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ЭтаКнига" defaultThemeVersion="164011"/>
  <mc:AlternateContent xmlns:mc="http://schemas.openxmlformats.org/markup-compatibility/2006">
    <mc:Choice Requires="x15">
      <x15ac:absPath xmlns:x15ac="http://schemas.microsoft.com/office/spreadsheetml/2010/11/ac" url="C:\Users\shilyaevan\Nextcloud\РАБОЧИЕ ФАЙЛЫ\"/>
    </mc:Choice>
  </mc:AlternateContent>
  <bookViews>
    <workbookView xWindow="-108" yWindow="-108" windowWidth="19416" windowHeight="10416" tabRatio="713" activeTab="7"/>
  </bookViews>
  <sheets>
    <sheet name="TOTAL" sheetId="2" r:id="rId1"/>
    <sheet name="DRAFT" sheetId="1" r:id="rId2"/>
    <sheet name="MOTIV" sheetId="33" r:id="rId3"/>
    <sheet name="ФО" sheetId="4" r:id="rId4"/>
    <sheet name="WORKSHEET" sheetId="142" state="hidden" r:id="rId5"/>
    <sheet name="DDLSettings" sheetId="192" state="hidden" r:id="rId6"/>
    <sheet name="DATES" sheetId="149" r:id="rId7"/>
    <sheet name="DATES (by hand)" sheetId="177" r:id="rId8"/>
    <sheet name="STATUS" sheetId="5" r:id="rId9"/>
    <sheet name="FILLING" sheetId="3" r:id="rId10"/>
    <sheet name="СОГЛАСОВАНИЕ" sheetId="169" r:id="rId11"/>
    <sheet name="ДЕЛА" sheetId="175" r:id="rId12"/>
    <sheet name="МАТРИЦА" sheetId="161" r:id="rId13"/>
    <sheet name="CHALLANGE_draft" sheetId="178" r:id="rId14"/>
    <sheet name="CHALLANGE" sheetId="176" r:id="rId15"/>
    <sheet name="STATISTICS" sheetId="141" state="hidden" r:id="rId16"/>
    <sheet name="РАБОЧИЕ" sheetId="188" state="hidden" r:id="rId17"/>
    <sheet name="MOTIV (2)" sheetId="184" state="hidden" r:id="rId18"/>
    <sheet name="Лист1" sheetId="190" state="hidden" r:id="rId19"/>
    <sheet name="ВОЗВРАТЫ" sheetId="153" r:id="rId20"/>
    <sheet name="ВОЗВРАТЫ ФУ" sheetId="191" r:id="rId21"/>
    <sheet name="RES" sheetId="187" r:id="rId22"/>
    <sheet name="MOT (Ущерб)" sheetId="182" r:id="rId23"/>
    <sheet name="СТАНДАРТИЗАЦИЯ" sheetId="189" r:id="rId24"/>
    <sheet name="MOT (Расходы)" sheetId="186" r:id="rId25"/>
    <sheet name="MOT (penalty)" sheetId="181" r:id="rId26"/>
    <sheet name="ANALYSE" sheetId="179" r:id="rId27"/>
    <sheet name="PENALTY" sheetId="180" r:id="rId28"/>
    <sheet name="СТАТИСТИКА_PAST" sheetId="150" r:id="rId29"/>
    <sheet name="СТАТИСТИКА_FUTURE" sheetId="151" r:id="rId30"/>
    <sheet name="ФУ" sheetId="152" r:id="rId31"/>
  </sheets>
  <functionGroups builtInGroupCount="18"/>
  <externalReferences>
    <externalReference r:id="rId32"/>
  </externalReferences>
  <definedNames>
    <definedName name="_Hlk4846348" localSheetId="6">DATES!$V$24</definedName>
    <definedName name="_xlnm._FilterDatabase" localSheetId="15" hidden="1">STATISTICS!$C$2:$GW$2</definedName>
    <definedName name="_xlnm._FilterDatabase" localSheetId="8" hidden="1">STATUS!$A$2:$AM$3883</definedName>
    <definedName name="_xlnm._FilterDatabase" localSheetId="10" hidden="1">СОГЛАСОВАНИЕ!$A$1:$G$1</definedName>
    <definedName name="_xlnm._FilterDatabase" localSheetId="3" hidden="1">ФО!$A$2:$E$157</definedName>
    <definedName name="DDL_Fake" localSheetId="7">'DATES (by hand)'!DDL_Table</definedName>
    <definedName name="DDL_Fake" localSheetId="22">'MOT (Ущерб)'!DDL_Table</definedName>
    <definedName name="DDL_Fake" localSheetId="17">'MOTIV (2)'!DDL_Table</definedName>
    <definedName name="DDL_Fake">DDL_Table</definedName>
    <definedName name="DDL_Fake_Region" localSheetId="7">'DATES (by hand)'!DDL_Table_Region</definedName>
    <definedName name="DDL_Fake_Region" localSheetId="22">'MOT (Ущерб)'!DDL_Table_Region</definedName>
    <definedName name="DDL_Fake_Region" localSheetId="17">'MOTIV (2)'!DDL_Table_Region</definedName>
    <definedName name="DDL_Fake_Region">DDL_Table_Region</definedName>
    <definedName name="DDL_Fake2" localSheetId="7">'DATES (by hand)'!DDL_Table2</definedName>
    <definedName name="DDL_Fake2" localSheetId="22">'MOT (Ущерб)'!DDL_Table2</definedName>
    <definedName name="DDL_Fake2" localSheetId="17">'MOTIV (2)'!DDL_Table2</definedName>
    <definedName name="DDL_Fake2">DDL_Table2</definedName>
    <definedName name="DDL_Table" localSheetId="7">WORKSHEET!$D$2:INDEX(tblData[Фильтр],MAX(tblData[Индекс]))</definedName>
    <definedName name="DDL_Table" localSheetId="22">WORKSHEET!$D$2:INDEX(tblData[Фильтр],MAX(tblData[Индекс]))</definedName>
    <definedName name="DDL_Table" localSheetId="17">WORKSHEET!$D$2:INDEX(tblData[Фильтр],MAX(tblData[Индекс]))</definedName>
    <definedName name="DDL_Table" localSheetId="29">WORKSHEET!$D$2:INDEX(tblData[Фильтр],MAX(tblData[Индекс]))</definedName>
    <definedName name="DDL_Table">WORKSHEET!$D$2:INDEX(tblData[Фильтр],MAX(tblData[Индекс]))</definedName>
    <definedName name="DDL_Table_Region" localSheetId="7">WORKSHEET!$L$2:INDEX(tblData_Region[Фильтр],MAX(tblData_Region[Индекс]))</definedName>
    <definedName name="DDL_Table_Region" localSheetId="22">WORKSHEET!$L$2:INDEX(tblData_Region[Фильтр],MAX(tblData_Region[Индекс]))</definedName>
    <definedName name="DDL_Table_Region" localSheetId="17">WORKSHEET!$L$2:INDEX(tblData_Region[Фильтр],MAX(tblData_Region[Индекс]))</definedName>
    <definedName name="DDL_Table_Region" localSheetId="29">WORKSHEET!$L$2:INDEX(tblData_Region[Фильтр],MAX(tblData_Region[Индекс]))</definedName>
    <definedName name="DDL_Table_Region">WORKSHEET!$L$2:INDEX(tblData_Region[Фильтр],MAX(tblData_Region[Индекс]))</definedName>
    <definedName name="DDL_Table2" localSheetId="7">WORKSHEET!$G$2:INDEX(tblData[Фильтр2],MAX(tblData[Индекс2]))</definedName>
    <definedName name="DDL_Table2" localSheetId="22">WORKSHEET!$G$2:INDEX(tblData[Фильтр2],MAX(tblData[Индекс2]))</definedName>
    <definedName name="DDL_Table2" localSheetId="17">WORKSHEET!$G$2:INDEX(tblData[Фильтр2],MAX(tblData[Индекс2]))</definedName>
    <definedName name="DDL_Table2" localSheetId="29">WORKSHEET!$G$2:INDEX(tblData[Фильтр2],MAX(tblData[Индекс2]))</definedName>
    <definedName name="DDL_Table2">WORKSHEET!$G$2:INDEX(tblData[Фильтр2],MAX(tblData[Индекс2]))</definedName>
    <definedName name="n_1">{"","одинz","дваz","триz","четыреz","пятьz","шестьz","семьz","восемьz","девятьz"}</definedName>
    <definedName name="n_2">{"десятьz","одиннадцатьz","двенадцатьz","тринадцатьz","четырнадцатьz","пятнадцатьz","шестнадцатьz","семнадцатьz","восемнадцатьz","девятнадцатьz"}</definedName>
    <definedName name="n_3">{"";1;"двадцатьz";"тридцатьz";"сорокz";"пятьдесятz";"шестьдесятz";"семьдесятz";"восемьдесятz";"девяностоz"}</definedName>
    <definedName name="n_4">{"","стоz","двестиz","тристаz","четырестаz","пятьсотz","шестьсотz","семьсотz","восемьсотz","девятьсотz"}</definedName>
    <definedName name="n_5">{"","однаz","двеz","триz","четыреz","пятьz","шестьz","семьz","восемьz","девятьz"}</definedName>
    <definedName name="n0">"000000000000"&amp;MID(1/2,2,1)&amp;"00"</definedName>
    <definedName name="n0x">IF(n_3=1,n_2,n_3&amp;n_1)</definedName>
    <definedName name="n1x">IF(n_3=1,n_2,n_3&amp;n_5)</definedName>
    <definedName name="мил">{0,"овz";1,"z";2,"аz";5,"овz"}</definedName>
    <definedName name="тыс">{0,"тысячz";1,"тысячаz";2,"тысячиz";5,"тысячz"}</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3883" i="5" l="1"/>
  <c r="GZ12" i="153" l="1"/>
  <c r="GY12" i="153"/>
  <c r="GX12" i="153"/>
  <c r="GW12" i="153"/>
  <c r="GV12" i="153"/>
  <c r="GT12" i="153"/>
  <c r="GS12" i="153"/>
  <c r="GR12" i="153"/>
  <c r="GQ12" i="153"/>
  <c r="GP12" i="153"/>
  <c r="GN12" i="153"/>
  <c r="GM12" i="153"/>
  <c r="GL12" i="153"/>
  <c r="GK12" i="153"/>
  <c r="GJ12" i="153"/>
  <c r="GH12" i="153"/>
  <c r="GG12" i="153"/>
  <c r="GF12" i="153"/>
  <c r="GE12" i="153"/>
  <c r="GD12" i="153"/>
  <c r="GB12" i="153"/>
  <c r="GA12" i="153"/>
  <c r="FZ12" i="153"/>
  <c r="FY12" i="153"/>
  <c r="FX12" i="153"/>
  <c r="FV12" i="153"/>
  <c r="FU12" i="153"/>
  <c r="FT12" i="153"/>
  <c r="FS12" i="153"/>
  <c r="FR12" i="153"/>
  <c r="FP12" i="153"/>
  <c r="FO12" i="153"/>
  <c r="FN12" i="153"/>
  <c r="FM12" i="153"/>
  <c r="FL12" i="153"/>
  <c r="FJ12" i="153"/>
  <c r="FI12" i="153"/>
  <c r="FH12" i="153"/>
  <c r="FG12" i="153"/>
  <c r="FF12" i="153"/>
  <c r="FD12" i="153"/>
  <c r="FC12" i="153"/>
  <c r="FB12" i="153"/>
  <c r="FA12" i="153"/>
  <c r="EZ12" i="153"/>
  <c r="EX12" i="153"/>
  <c r="EW12" i="153"/>
  <c r="EV12" i="153"/>
  <c r="EU12" i="153"/>
  <c r="ET12" i="153"/>
  <c r="ER12" i="153"/>
  <c r="EQ12" i="153"/>
  <c r="EP12" i="153"/>
  <c r="EO12" i="153"/>
  <c r="EN12" i="153"/>
  <c r="EL12" i="153"/>
  <c r="EK12" i="153"/>
  <c r="EJ12" i="153"/>
  <c r="EI12" i="153"/>
  <c r="EH12" i="153"/>
  <c r="EF12" i="153"/>
  <c r="EE12" i="153"/>
  <c r="ED12" i="153"/>
  <c r="EC12" i="153"/>
  <c r="EB12" i="153"/>
  <c r="DZ12" i="153"/>
  <c r="DY12" i="153"/>
  <c r="DX12" i="153"/>
  <c r="DW12" i="153"/>
  <c r="DV12" i="153"/>
  <c r="DT12" i="153"/>
  <c r="DS12" i="153"/>
  <c r="DR12" i="153"/>
  <c r="DQ12" i="153"/>
  <c r="DP12" i="153"/>
  <c r="DN12" i="153"/>
  <c r="DM12" i="153"/>
  <c r="DL12" i="153"/>
  <c r="DK12" i="153"/>
  <c r="DJ12" i="153"/>
  <c r="DH12" i="153"/>
  <c r="DG12" i="153"/>
  <c r="DF12" i="153"/>
  <c r="DE12" i="153"/>
  <c r="DD12" i="153"/>
  <c r="DB12" i="153"/>
  <c r="DA12" i="153"/>
  <c r="CZ12" i="153"/>
  <c r="CY12" i="153"/>
  <c r="CX12" i="153"/>
  <c r="CV12" i="153"/>
  <c r="CU12" i="153"/>
  <c r="CT12" i="153"/>
  <c r="CS12" i="153"/>
  <c r="CR12" i="153"/>
  <c r="CP12" i="153"/>
  <c r="CO12" i="153"/>
  <c r="CN12" i="153"/>
  <c r="CM12" i="153"/>
  <c r="CL12" i="153"/>
  <c r="CJ12" i="153"/>
  <c r="CI12" i="153"/>
  <c r="CH12" i="153"/>
  <c r="CG12" i="153"/>
  <c r="CF12" i="153"/>
  <c r="CD12" i="153"/>
  <c r="CC12" i="153"/>
  <c r="CB12" i="153"/>
  <c r="CA12" i="153"/>
  <c r="BZ12" i="153"/>
  <c r="BX12" i="153"/>
  <c r="BW12" i="153"/>
  <c r="BV12" i="153"/>
  <c r="BU12" i="153"/>
  <c r="BT12" i="153"/>
  <c r="BR12" i="153"/>
  <c r="BQ12" i="153"/>
  <c r="BP12" i="153"/>
  <c r="BO12" i="153"/>
  <c r="BN12" i="153"/>
  <c r="BL12" i="153"/>
  <c r="BK12" i="153"/>
  <c r="BJ12" i="153"/>
  <c r="BI12" i="153"/>
  <c r="BH12" i="153"/>
  <c r="BF12" i="153"/>
  <c r="BE12" i="153"/>
  <c r="BD12" i="153"/>
  <c r="BC12" i="153"/>
  <c r="BB12" i="153"/>
  <c r="AZ12" i="153"/>
  <c r="AY12" i="153"/>
  <c r="AX12" i="153"/>
  <c r="AW12" i="153"/>
  <c r="AV12" i="153"/>
  <c r="AT12" i="153"/>
  <c r="AS12" i="153"/>
  <c r="AR12" i="153"/>
  <c r="AQ12" i="153"/>
  <c r="AP12" i="153"/>
  <c r="AN12" i="153"/>
  <c r="AM12" i="153"/>
  <c r="AL12" i="153"/>
  <c r="AK12" i="153"/>
  <c r="AJ12" i="153"/>
  <c r="AH12" i="153"/>
  <c r="AG12" i="153"/>
  <c r="AF12" i="153"/>
  <c r="AE12" i="153"/>
  <c r="AD12" i="153"/>
  <c r="AB12" i="153"/>
  <c r="AA12" i="153"/>
  <c r="Z12" i="153"/>
  <c r="Y12" i="153"/>
  <c r="X12" i="153"/>
  <c r="V12" i="153"/>
  <c r="U12" i="153"/>
  <c r="T12" i="153"/>
  <c r="S12" i="153"/>
  <c r="Q12" i="153"/>
  <c r="P12" i="153"/>
  <c r="O12" i="153"/>
  <c r="M12" i="153"/>
  <c r="L12" i="153"/>
  <c r="K12" i="153"/>
  <c r="J12" i="153"/>
  <c r="I12" i="153"/>
  <c r="G12" i="153"/>
  <c r="F12" i="153"/>
  <c r="E12" i="153"/>
  <c r="D12" i="153"/>
  <c r="C12" i="153"/>
  <c r="GZ11" i="153"/>
  <c r="GY11" i="153"/>
  <c r="GX11" i="153"/>
  <c r="GW11" i="153"/>
  <c r="GV11" i="153"/>
  <c r="GT11" i="153"/>
  <c r="GS11" i="153"/>
  <c r="GR11" i="153"/>
  <c r="GQ11" i="153"/>
  <c r="GP11" i="153"/>
  <c r="GN11" i="153"/>
  <c r="GM11" i="153"/>
  <c r="GL11" i="153"/>
  <c r="GK11" i="153"/>
  <c r="GJ11" i="153"/>
  <c r="GH11" i="153"/>
  <c r="GG11" i="153"/>
  <c r="GF11" i="153"/>
  <c r="GE11" i="153"/>
  <c r="GD11" i="153"/>
  <c r="GB11" i="153"/>
  <c r="GA11" i="153"/>
  <c r="FZ11" i="153"/>
  <c r="FY11" i="153"/>
  <c r="FX11" i="153"/>
  <c r="FV11" i="153"/>
  <c r="FU11" i="153"/>
  <c r="FT11" i="153"/>
  <c r="FS11" i="153"/>
  <c r="FR11" i="153"/>
  <c r="FP11" i="153"/>
  <c r="FO11" i="153"/>
  <c r="FN11" i="153"/>
  <c r="FM11" i="153"/>
  <c r="FL11" i="153"/>
  <c r="FJ11" i="153"/>
  <c r="FI11" i="153"/>
  <c r="FH11" i="153"/>
  <c r="FG11" i="153"/>
  <c r="FF11" i="153"/>
  <c r="FD11" i="153"/>
  <c r="FC11" i="153"/>
  <c r="FB11" i="153"/>
  <c r="FA11" i="153"/>
  <c r="EZ11" i="153"/>
  <c r="EX11" i="153"/>
  <c r="EW11" i="153"/>
  <c r="EV11" i="153"/>
  <c r="EU11" i="153"/>
  <c r="ET11" i="153"/>
  <c r="ER11" i="153"/>
  <c r="EQ11" i="153"/>
  <c r="EP11" i="153"/>
  <c r="EO11" i="153"/>
  <c r="EN11" i="153"/>
  <c r="EL11" i="153"/>
  <c r="EK11" i="153"/>
  <c r="EJ11" i="153"/>
  <c r="EI11" i="153"/>
  <c r="EH11" i="153"/>
  <c r="EF11" i="153"/>
  <c r="EE11" i="153"/>
  <c r="ED11" i="153"/>
  <c r="EC11" i="153"/>
  <c r="EB11" i="153"/>
  <c r="DZ11" i="153"/>
  <c r="DY11" i="153"/>
  <c r="DX11" i="153"/>
  <c r="DW11" i="153"/>
  <c r="DV11" i="153"/>
  <c r="DT11" i="153"/>
  <c r="DS11" i="153"/>
  <c r="DR11" i="153"/>
  <c r="DQ11" i="153"/>
  <c r="DP11" i="153"/>
  <c r="DN11" i="153"/>
  <c r="DM11" i="153"/>
  <c r="DL11" i="153"/>
  <c r="DK11" i="153"/>
  <c r="DJ11" i="153"/>
  <c r="DH11" i="153"/>
  <c r="DG11" i="153"/>
  <c r="DF11" i="153"/>
  <c r="DE11" i="153"/>
  <c r="DD11" i="153"/>
  <c r="DB11" i="153"/>
  <c r="DA11" i="153"/>
  <c r="CZ11" i="153"/>
  <c r="CY11" i="153"/>
  <c r="CX11" i="153"/>
  <c r="CV11" i="153"/>
  <c r="CU11" i="153"/>
  <c r="CT11" i="153"/>
  <c r="CS11" i="153"/>
  <c r="CR11" i="153"/>
  <c r="CP11" i="153"/>
  <c r="CO11" i="153"/>
  <c r="CN11" i="153"/>
  <c r="CM11" i="153"/>
  <c r="CL11" i="153"/>
  <c r="CJ11" i="153"/>
  <c r="CI11" i="153"/>
  <c r="CH11" i="153"/>
  <c r="CG11" i="153"/>
  <c r="CF11" i="153"/>
  <c r="CD11" i="153"/>
  <c r="CC11" i="153"/>
  <c r="CB11" i="153"/>
  <c r="CA11" i="153"/>
  <c r="BZ11" i="153"/>
  <c r="BX11" i="153"/>
  <c r="BW11" i="153"/>
  <c r="BV11" i="153"/>
  <c r="BU11" i="153"/>
  <c r="BT11" i="153"/>
  <c r="BR11" i="153"/>
  <c r="BQ11" i="153"/>
  <c r="BP11" i="153"/>
  <c r="BO11" i="153"/>
  <c r="BN11" i="153"/>
  <c r="BL11" i="153"/>
  <c r="BK11" i="153"/>
  <c r="BJ11" i="153"/>
  <c r="BI11" i="153"/>
  <c r="BH11" i="153"/>
  <c r="BF11" i="153"/>
  <c r="BE11" i="153"/>
  <c r="BD11" i="153"/>
  <c r="BC11" i="153"/>
  <c r="BB11" i="153"/>
  <c r="AZ11" i="153"/>
  <c r="AY11" i="153"/>
  <c r="AX11" i="153"/>
  <c r="AW11" i="153"/>
  <c r="AV11" i="153"/>
  <c r="AT11" i="153"/>
  <c r="AS11" i="153"/>
  <c r="AR11" i="153"/>
  <c r="AQ11" i="153"/>
  <c r="AP11" i="153"/>
  <c r="AN11" i="153"/>
  <c r="AM11" i="153"/>
  <c r="AL11" i="153"/>
  <c r="AK11" i="153"/>
  <c r="AJ11" i="153"/>
  <c r="AH11" i="153"/>
  <c r="AG11" i="153"/>
  <c r="AF11" i="153"/>
  <c r="AE11" i="153"/>
  <c r="AD11" i="153"/>
  <c r="AB11" i="153"/>
  <c r="AA11" i="153"/>
  <c r="Z11" i="153"/>
  <c r="Y11" i="153"/>
  <c r="X11" i="153"/>
  <c r="V11" i="153"/>
  <c r="U11" i="153"/>
  <c r="T11" i="153"/>
  <c r="S11" i="153"/>
  <c r="Q11" i="153"/>
  <c r="P11" i="153"/>
  <c r="O11" i="153"/>
  <c r="M11" i="153"/>
  <c r="L11" i="153"/>
  <c r="K11" i="153"/>
  <c r="J11" i="153"/>
  <c r="I11" i="153"/>
  <c r="G11" i="153"/>
  <c r="F11" i="153"/>
  <c r="E11" i="153"/>
  <c r="D11" i="153"/>
  <c r="C11" i="153"/>
  <c r="GZ37" i="153"/>
  <c r="GY37" i="153"/>
  <c r="GX37" i="153"/>
  <c r="GW37" i="153"/>
  <c r="GV37" i="153"/>
  <c r="GZ36" i="153"/>
  <c r="GY36" i="153"/>
  <c r="GX36" i="153"/>
  <c r="GW36" i="153"/>
  <c r="GV36" i="153"/>
  <c r="GZ34" i="153"/>
  <c r="GY34" i="153"/>
  <c r="GX34" i="153"/>
  <c r="GW34" i="153"/>
  <c r="GV34" i="153"/>
  <c r="GZ33" i="153"/>
  <c r="GY33" i="153"/>
  <c r="GX33" i="153"/>
  <c r="GW33" i="153"/>
  <c r="GV33" i="153"/>
  <c r="GZ31" i="153"/>
  <c r="GY31" i="153"/>
  <c r="GX31" i="153"/>
  <c r="GW31" i="153"/>
  <c r="GV31" i="153"/>
  <c r="GZ30" i="153"/>
  <c r="GY30" i="153"/>
  <c r="GX30" i="153"/>
  <c r="GW30" i="153"/>
  <c r="GV30" i="153"/>
  <c r="GZ28" i="153"/>
  <c r="GY28" i="153"/>
  <c r="GX28" i="153"/>
  <c r="GW28" i="153"/>
  <c r="GV28" i="153"/>
  <c r="GZ27" i="153"/>
  <c r="GY27" i="153"/>
  <c r="GX27" i="153"/>
  <c r="GW27" i="153"/>
  <c r="GV27" i="153"/>
  <c r="GZ25" i="153"/>
  <c r="GY25" i="153"/>
  <c r="GX25" i="153"/>
  <c r="GW25" i="153"/>
  <c r="GV25" i="153"/>
  <c r="GZ24" i="153"/>
  <c r="GY24" i="153"/>
  <c r="GX24" i="153"/>
  <c r="GW24" i="153"/>
  <c r="GV24" i="153"/>
  <c r="GZ18" i="153"/>
  <c r="GY18" i="153"/>
  <c r="GX18" i="153"/>
  <c r="GW18" i="153"/>
  <c r="GV18" i="153"/>
  <c r="GZ17" i="153"/>
  <c r="GY17" i="153"/>
  <c r="GX17" i="153"/>
  <c r="GW17" i="153"/>
  <c r="GV17" i="153"/>
  <c r="GZ15" i="153"/>
  <c r="GY15" i="153"/>
  <c r="GX15" i="153"/>
  <c r="GW15" i="153"/>
  <c r="GV15" i="153"/>
  <c r="GZ14" i="153"/>
  <c r="GY14" i="153"/>
  <c r="GX14" i="153"/>
  <c r="GW14" i="153"/>
  <c r="GV14" i="153"/>
  <c r="GZ9" i="153"/>
  <c r="GY9" i="153"/>
  <c r="GX9" i="153"/>
  <c r="GW9" i="153"/>
  <c r="GV9" i="153"/>
  <c r="GZ8" i="153"/>
  <c r="GY8" i="153"/>
  <c r="GX8" i="153"/>
  <c r="GW8" i="153"/>
  <c r="GV8" i="153"/>
  <c r="GZ6" i="153"/>
  <c r="GY6" i="153"/>
  <c r="GX6" i="153"/>
  <c r="GW6" i="153"/>
  <c r="GV6" i="153"/>
  <c r="GZ5" i="153"/>
  <c r="GY5" i="153"/>
  <c r="GX5" i="153"/>
  <c r="GW5" i="153"/>
  <c r="GV5" i="153"/>
  <c r="GZ3" i="153"/>
  <c r="GY3" i="153"/>
  <c r="GX3" i="153"/>
  <c r="GW3" i="153"/>
  <c r="GV3" i="153"/>
  <c r="GZ2" i="153"/>
  <c r="GY2" i="153"/>
  <c r="GX2" i="153"/>
  <c r="GW2" i="153"/>
  <c r="GV2" i="153"/>
  <c r="GT37" i="153"/>
  <c r="GS37" i="153"/>
  <c r="GR37" i="153"/>
  <c r="GQ37" i="153"/>
  <c r="GP37" i="153"/>
  <c r="GT36" i="153"/>
  <c r="GS36" i="153"/>
  <c r="GR36" i="153"/>
  <c r="GQ36" i="153"/>
  <c r="GP36" i="153"/>
  <c r="GT34" i="153"/>
  <c r="GS34" i="153"/>
  <c r="GR34" i="153"/>
  <c r="GQ34" i="153"/>
  <c r="GP34" i="153"/>
  <c r="GT33" i="153"/>
  <c r="GS33" i="153"/>
  <c r="GR33" i="153"/>
  <c r="GQ33" i="153"/>
  <c r="GP33" i="153"/>
  <c r="GT31" i="153"/>
  <c r="GS31" i="153"/>
  <c r="GR31" i="153"/>
  <c r="GQ31" i="153"/>
  <c r="GP31" i="153"/>
  <c r="GT30" i="153"/>
  <c r="GS30" i="153"/>
  <c r="GR30" i="153"/>
  <c r="GQ30" i="153"/>
  <c r="GP30" i="153"/>
  <c r="GT28" i="153"/>
  <c r="GS28" i="153"/>
  <c r="GR28" i="153"/>
  <c r="GQ28" i="153"/>
  <c r="GP28" i="153"/>
  <c r="GT27" i="153"/>
  <c r="GS27" i="153"/>
  <c r="GR27" i="153"/>
  <c r="GQ27" i="153"/>
  <c r="GP27" i="153"/>
  <c r="GT25" i="153"/>
  <c r="GS25" i="153"/>
  <c r="GR25" i="153"/>
  <c r="GQ25" i="153"/>
  <c r="GP25" i="153"/>
  <c r="GT24" i="153"/>
  <c r="GS24" i="153"/>
  <c r="GR24" i="153"/>
  <c r="GQ24" i="153"/>
  <c r="GP24" i="153"/>
  <c r="GT18" i="153"/>
  <c r="GS18" i="153"/>
  <c r="GR18" i="153"/>
  <c r="GQ18" i="153"/>
  <c r="GP18" i="153"/>
  <c r="GT17" i="153"/>
  <c r="GS17" i="153"/>
  <c r="GR17" i="153"/>
  <c r="GQ17" i="153"/>
  <c r="GP17" i="153"/>
  <c r="GT15" i="153"/>
  <c r="GS15" i="153"/>
  <c r="GR15" i="153"/>
  <c r="GQ15" i="153"/>
  <c r="GP15" i="153"/>
  <c r="GT14" i="153"/>
  <c r="GS14" i="153"/>
  <c r="GR14" i="153"/>
  <c r="GQ14" i="153"/>
  <c r="GP14" i="153"/>
  <c r="GT9" i="153"/>
  <c r="GS9" i="153"/>
  <c r="GR9" i="153"/>
  <c r="GQ9" i="153"/>
  <c r="GP9" i="153"/>
  <c r="GT8" i="153"/>
  <c r="GS8" i="153"/>
  <c r="GR8" i="153"/>
  <c r="GQ8" i="153"/>
  <c r="GP8" i="153"/>
  <c r="GT6" i="153"/>
  <c r="GS6" i="153"/>
  <c r="GR6" i="153"/>
  <c r="GQ6" i="153"/>
  <c r="GP6" i="153"/>
  <c r="GT5" i="153"/>
  <c r="GS5" i="153"/>
  <c r="GR5" i="153"/>
  <c r="GQ5" i="153"/>
  <c r="GP5" i="153"/>
  <c r="GT3" i="153"/>
  <c r="GS3" i="153"/>
  <c r="GR3" i="153"/>
  <c r="GQ3" i="153"/>
  <c r="GP3" i="153"/>
  <c r="GT2" i="153"/>
  <c r="GS2" i="153"/>
  <c r="GR2" i="153"/>
  <c r="GQ2" i="153"/>
  <c r="GP2" i="153"/>
  <c r="GN37" i="153"/>
  <c r="GM37" i="153"/>
  <c r="GL37" i="153"/>
  <c r="GK37" i="153"/>
  <c r="GJ37" i="153"/>
  <c r="GN36" i="153"/>
  <c r="GM36" i="153"/>
  <c r="GL36" i="153"/>
  <c r="GK36" i="153"/>
  <c r="GJ36" i="153"/>
  <c r="GN34" i="153"/>
  <c r="GM34" i="153"/>
  <c r="GL34" i="153"/>
  <c r="GK34" i="153"/>
  <c r="GJ34" i="153"/>
  <c r="GN33" i="153"/>
  <c r="GM33" i="153"/>
  <c r="GL33" i="153"/>
  <c r="GK33" i="153"/>
  <c r="GJ33" i="153"/>
  <c r="GN31" i="153"/>
  <c r="GM31" i="153"/>
  <c r="GL31" i="153"/>
  <c r="GK31" i="153"/>
  <c r="GJ31" i="153"/>
  <c r="GN30" i="153"/>
  <c r="GM30" i="153"/>
  <c r="GL30" i="153"/>
  <c r="GK30" i="153"/>
  <c r="GJ30" i="153"/>
  <c r="GN28" i="153"/>
  <c r="GM28" i="153"/>
  <c r="GL28" i="153"/>
  <c r="GK28" i="153"/>
  <c r="GJ28" i="153"/>
  <c r="GN27" i="153"/>
  <c r="GM27" i="153"/>
  <c r="GL27" i="153"/>
  <c r="GK27" i="153"/>
  <c r="GJ27" i="153"/>
  <c r="GN25" i="153"/>
  <c r="GM25" i="153"/>
  <c r="GL25" i="153"/>
  <c r="GK25" i="153"/>
  <c r="GJ25" i="153"/>
  <c r="GN24" i="153"/>
  <c r="GM24" i="153"/>
  <c r="GL24" i="153"/>
  <c r="GK24" i="153"/>
  <c r="GJ24" i="153"/>
  <c r="GN18" i="153"/>
  <c r="GM18" i="153"/>
  <c r="GL18" i="153"/>
  <c r="GK18" i="153"/>
  <c r="GJ18" i="153"/>
  <c r="GN17" i="153"/>
  <c r="GM17" i="153"/>
  <c r="GL17" i="153"/>
  <c r="GK17" i="153"/>
  <c r="GJ17" i="153"/>
  <c r="GN15" i="153"/>
  <c r="GM15" i="153"/>
  <c r="GL15" i="153"/>
  <c r="GK15" i="153"/>
  <c r="GJ15" i="153"/>
  <c r="GN14" i="153"/>
  <c r="GM14" i="153"/>
  <c r="GL14" i="153"/>
  <c r="GK14" i="153"/>
  <c r="GJ14" i="153"/>
  <c r="GN9" i="153"/>
  <c r="GM9" i="153"/>
  <c r="GL9" i="153"/>
  <c r="GK9" i="153"/>
  <c r="GJ9" i="153"/>
  <c r="GN8" i="153"/>
  <c r="GM8" i="153"/>
  <c r="GL8" i="153"/>
  <c r="GK8" i="153"/>
  <c r="GJ8" i="153"/>
  <c r="GN6" i="153"/>
  <c r="GM6" i="153"/>
  <c r="GL6" i="153"/>
  <c r="GK6" i="153"/>
  <c r="GJ6" i="153"/>
  <c r="GN5" i="153"/>
  <c r="GM5" i="153"/>
  <c r="GL5" i="153"/>
  <c r="GK5" i="153"/>
  <c r="GJ5" i="153"/>
  <c r="GN3" i="153"/>
  <c r="GM3" i="153"/>
  <c r="GL3" i="153"/>
  <c r="GK3" i="153"/>
  <c r="GJ3" i="153"/>
  <c r="GN2" i="153"/>
  <c r="GM2" i="153"/>
  <c r="GL2" i="153"/>
  <c r="GK2" i="153"/>
  <c r="GJ2" i="153"/>
  <c r="GH37" i="153"/>
  <c r="GG37" i="153"/>
  <c r="GF37" i="153"/>
  <c r="GE37" i="153"/>
  <c r="GD37" i="153"/>
  <c r="GH36" i="153"/>
  <c r="GG36" i="153"/>
  <c r="GF36" i="153"/>
  <c r="GE36" i="153"/>
  <c r="GD36" i="153"/>
  <c r="GH34" i="153"/>
  <c r="GG34" i="153"/>
  <c r="GF34" i="153"/>
  <c r="GE34" i="153"/>
  <c r="GD34" i="153"/>
  <c r="GH33" i="153"/>
  <c r="GG33" i="153"/>
  <c r="GF33" i="153"/>
  <c r="GE33" i="153"/>
  <c r="GD33" i="153"/>
  <c r="GH31" i="153"/>
  <c r="GG31" i="153"/>
  <c r="GF31" i="153"/>
  <c r="GE31" i="153"/>
  <c r="GD31" i="153"/>
  <c r="GH30" i="153"/>
  <c r="GG30" i="153"/>
  <c r="GF30" i="153"/>
  <c r="GE30" i="153"/>
  <c r="GD30" i="153"/>
  <c r="GH28" i="153"/>
  <c r="GG28" i="153"/>
  <c r="GF28" i="153"/>
  <c r="GE28" i="153"/>
  <c r="GD28" i="153"/>
  <c r="GH27" i="153"/>
  <c r="GG27" i="153"/>
  <c r="GF27" i="153"/>
  <c r="GE27" i="153"/>
  <c r="GD27" i="153"/>
  <c r="GH25" i="153"/>
  <c r="GG25" i="153"/>
  <c r="GF25" i="153"/>
  <c r="GE25" i="153"/>
  <c r="GD25" i="153"/>
  <c r="GH24" i="153"/>
  <c r="GG24" i="153"/>
  <c r="GF24" i="153"/>
  <c r="GE24" i="153"/>
  <c r="GD24" i="153"/>
  <c r="GH18" i="153"/>
  <c r="GG18" i="153"/>
  <c r="GF18" i="153"/>
  <c r="GE18" i="153"/>
  <c r="GD18" i="153"/>
  <c r="GH17" i="153"/>
  <c r="GG17" i="153"/>
  <c r="GF17" i="153"/>
  <c r="GE17" i="153"/>
  <c r="GD17" i="153"/>
  <c r="GH15" i="153"/>
  <c r="GG15" i="153"/>
  <c r="GF15" i="153"/>
  <c r="GE15" i="153"/>
  <c r="GD15" i="153"/>
  <c r="GH14" i="153"/>
  <c r="GG14" i="153"/>
  <c r="GF14" i="153"/>
  <c r="GE14" i="153"/>
  <c r="GD14" i="153"/>
  <c r="GH9" i="153"/>
  <c r="GG9" i="153"/>
  <c r="GF9" i="153"/>
  <c r="GE9" i="153"/>
  <c r="GD9" i="153"/>
  <c r="GH8" i="153"/>
  <c r="GG8" i="153"/>
  <c r="GF8" i="153"/>
  <c r="GE8" i="153"/>
  <c r="GD8" i="153"/>
  <c r="GH6" i="153"/>
  <c r="GG6" i="153"/>
  <c r="GF6" i="153"/>
  <c r="GE6" i="153"/>
  <c r="GD6" i="153"/>
  <c r="GH5" i="153"/>
  <c r="GG5" i="153"/>
  <c r="GF5" i="153"/>
  <c r="GE5" i="153"/>
  <c r="GD5" i="153"/>
  <c r="GH3" i="153"/>
  <c r="GG3" i="153"/>
  <c r="GF3" i="153"/>
  <c r="GE3" i="153"/>
  <c r="GD3" i="153"/>
  <c r="GH2" i="153"/>
  <c r="GG2" i="153"/>
  <c r="GF2" i="153"/>
  <c r="GE2" i="153"/>
  <c r="GD2" i="153"/>
  <c r="AA3882" i="5"/>
  <c r="R3882" i="5"/>
  <c r="J3882" i="5"/>
  <c r="AA3881" i="5"/>
  <c r="R3881" i="5"/>
  <c r="J3881" i="5"/>
  <c r="GQ20" i="153" l="1"/>
  <c r="GT21" i="153"/>
  <c r="GH21" i="153"/>
  <c r="GS20" i="153"/>
  <c r="GU12" i="153"/>
  <c r="GX21" i="153"/>
  <c r="GC12" i="153"/>
  <c r="HA12" i="153"/>
  <c r="GK20" i="153"/>
  <c r="GN21" i="153"/>
  <c r="GE20" i="153"/>
  <c r="GV20" i="153"/>
  <c r="GZ20" i="153"/>
  <c r="GY21" i="153"/>
  <c r="GG20" i="153"/>
  <c r="GF21" i="153"/>
  <c r="GM20" i="153"/>
  <c r="HA11" i="153"/>
  <c r="EG12" i="153"/>
  <c r="FE12" i="153"/>
  <c r="GW20" i="153"/>
  <c r="GZ21" i="153"/>
  <c r="GO11" i="153"/>
  <c r="GR20" i="153"/>
  <c r="GQ21" i="153"/>
  <c r="GQ22" i="153" s="1"/>
  <c r="N11" i="153"/>
  <c r="EA11" i="153"/>
  <c r="EY11" i="153"/>
  <c r="FW11" i="153"/>
  <c r="GU11" i="153"/>
  <c r="GC11" i="153"/>
  <c r="AO12" i="153"/>
  <c r="BM12" i="153"/>
  <c r="CK12" i="153"/>
  <c r="DI12" i="153"/>
  <c r="AC12" i="153"/>
  <c r="BA12" i="153"/>
  <c r="BY12" i="153"/>
  <c r="CW12" i="153"/>
  <c r="DU12" i="153"/>
  <c r="ES12" i="153"/>
  <c r="FQ12" i="153"/>
  <c r="AI12" i="153"/>
  <c r="BG12" i="153"/>
  <c r="EY12" i="153"/>
  <c r="FW12" i="153"/>
  <c r="GF20" i="153"/>
  <c r="GE21" i="153"/>
  <c r="E13" i="153"/>
  <c r="O13" i="153"/>
  <c r="Y13" i="153"/>
  <c r="AM13" i="153"/>
  <c r="AW13" i="153"/>
  <c r="BK13" i="153"/>
  <c r="BU13" i="153"/>
  <c r="CE12" i="153"/>
  <c r="CI13" i="153"/>
  <c r="CS13" i="153"/>
  <c r="DC12" i="153"/>
  <c r="DG13" i="153"/>
  <c r="DQ13" i="153"/>
  <c r="EA12" i="153"/>
  <c r="DZ13" i="153"/>
  <c r="EE13" i="153"/>
  <c r="EJ13" i="153"/>
  <c r="EO13" i="153"/>
  <c r="EX13" i="153"/>
  <c r="FC13" i="153"/>
  <c r="FH13" i="153"/>
  <c r="FM13" i="153"/>
  <c r="FV13" i="153"/>
  <c r="GA13" i="153"/>
  <c r="GF13" i="153"/>
  <c r="GK13" i="153"/>
  <c r="GT13" i="153"/>
  <c r="GY13" i="153"/>
  <c r="R11" i="153"/>
  <c r="EG11" i="153"/>
  <c r="FE11" i="153"/>
  <c r="K13" i="153"/>
  <c r="U13" i="153"/>
  <c r="AE13" i="153"/>
  <c r="AS13" i="153"/>
  <c r="BC13" i="153"/>
  <c r="BQ13" i="153"/>
  <c r="CA13" i="153"/>
  <c r="CO13" i="153"/>
  <c r="CY13" i="153"/>
  <c r="DM13" i="153"/>
  <c r="DR13" i="153"/>
  <c r="DW13" i="153"/>
  <c r="EF13" i="153"/>
  <c r="EK13" i="153"/>
  <c r="EP13" i="153"/>
  <c r="EU13" i="153"/>
  <c r="FD13" i="153"/>
  <c r="FI13" i="153"/>
  <c r="FN13" i="153"/>
  <c r="FS13" i="153"/>
  <c r="GB13" i="153"/>
  <c r="GG13" i="153"/>
  <c r="GL13" i="153"/>
  <c r="GQ13" i="153"/>
  <c r="GZ13" i="153"/>
  <c r="GJ20" i="153"/>
  <c r="GN20" i="153"/>
  <c r="GN22" i="153" s="1"/>
  <c r="GM21" i="153"/>
  <c r="AU11" i="153"/>
  <c r="BS11" i="153"/>
  <c r="CQ11" i="153"/>
  <c r="DO11" i="153"/>
  <c r="EM11" i="153"/>
  <c r="FK11" i="153"/>
  <c r="GI11" i="153"/>
  <c r="C13" i="153"/>
  <c r="G13" i="153"/>
  <c r="Q13" i="153"/>
  <c r="AA13" i="153"/>
  <c r="AK13" i="153"/>
  <c r="AU12" i="153"/>
  <c r="AU13" i="153" s="1"/>
  <c r="AY13" i="153"/>
  <c r="BI13" i="153"/>
  <c r="BS12" i="153"/>
  <c r="BW13" i="153"/>
  <c r="CG13" i="153"/>
  <c r="CQ12" i="153"/>
  <c r="CQ13" i="153" s="1"/>
  <c r="CU13" i="153"/>
  <c r="DE13" i="153"/>
  <c r="DO12" i="153"/>
  <c r="DN13" i="153"/>
  <c r="DS13" i="153"/>
  <c r="DX13" i="153"/>
  <c r="EC13" i="153"/>
  <c r="EM12" i="153"/>
  <c r="EL13" i="153"/>
  <c r="EQ13" i="153"/>
  <c r="EV13" i="153"/>
  <c r="FA13" i="153"/>
  <c r="FK12" i="153"/>
  <c r="FJ13" i="153"/>
  <c r="FO13" i="153"/>
  <c r="FT13" i="153"/>
  <c r="FY13" i="153"/>
  <c r="GI12" i="153"/>
  <c r="GH13" i="153"/>
  <c r="GM13" i="153"/>
  <c r="GR13" i="153"/>
  <c r="GW13" i="153"/>
  <c r="H11" i="153"/>
  <c r="AC11" i="153"/>
  <c r="BA11" i="153"/>
  <c r="BY11" i="153"/>
  <c r="CW11" i="153"/>
  <c r="DU11" i="153"/>
  <c r="ES11" i="153"/>
  <c r="FQ11" i="153"/>
  <c r="I13" i="153"/>
  <c r="M13" i="153"/>
  <c r="S13" i="153"/>
  <c r="AG13" i="153"/>
  <c r="AQ13" i="153"/>
  <c r="BE13" i="153"/>
  <c r="BO13" i="153"/>
  <c r="CC13" i="153"/>
  <c r="CM13" i="153"/>
  <c r="DA13" i="153"/>
  <c r="DK13" i="153"/>
  <c r="DT13" i="153"/>
  <c r="DY13" i="153"/>
  <c r="ED13" i="153"/>
  <c r="EI13" i="153"/>
  <c r="ER13" i="153"/>
  <c r="EW13" i="153"/>
  <c r="FB13" i="153"/>
  <c r="FG13" i="153"/>
  <c r="FP13" i="153"/>
  <c r="FU13" i="153"/>
  <c r="FZ13" i="153"/>
  <c r="GE13" i="153"/>
  <c r="GO12" i="153"/>
  <c r="GN13" i="153"/>
  <c r="GS13" i="153"/>
  <c r="GX13" i="153"/>
  <c r="L13" i="153"/>
  <c r="V13" i="153"/>
  <c r="AF13" i="153"/>
  <c r="AT13" i="153"/>
  <c r="BD13" i="153"/>
  <c r="BR13" i="153"/>
  <c r="CB13" i="153"/>
  <c r="CP13" i="153"/>
  <c r="CZ13" i="153"/>
  <c r="GI5" i="153"/>
  <c r="GG7" i="153"/>
  <c r="GI14" i="153"/>
  <c r="GG16" i="153"/>
  <c r="GI24" i="153"/>
  <c r="GG26" i="153"/>
  <c r="GI27" i="153"/>
  <c r="GG29" i="153"/>
  <c r="GF32" i="153"/>
  <c r="GI33" i="153"/>
  <c r="GH35" i="153"/>
  <c r="GG35" i="153"/>
  <c r="GF38" i="153"/>
  <c r="GE38" i="153"/>
  <c r="GK7" i="153"/>
  <c r="GM10" i="153"/>
  <c r="GK16" i="153"/>
  <c r="GM19" i="153"/>
  <c r="GK26" i="153"/>
  <c r="GK29" i="153"/>
  <c r="GM32" i="153"/>
  <c r="GK35" i="153"/>
  <c r="GM38" i="153"/>
  <c r="GU5" i="153"/>
  <c r="GQ10" i="153"/>
  <c r="GU14" i="153"/>
  <c r="GS16" i="153"/>
  <c r="GQ19" i="153"/>
  <c r="GU24" i="153"/>
  <c r="GT26" i="153"/>
  <c r="GS26" i="153"/>
  <c r="GU27" i="153"/>
  <c r="GT29" i="153"/>
  <c r="GS29" i="153"/>
  <c r="GR32" i="153"/>
  <c r="GQ32" i="153"/>
  <c r="GU33" i="153"/>
  <c r="GT35" i="153"/>
  <c r="GS35" i="153"/>
  <c r="GR38" i="153"/>
  <c r="GQ38" i="153"/>
  <c r="GX16" i="153"/>
  <c r="GW26" i="153"/>
  <c r="GW29" i="153"/>
  <c r="W11" i="153"/>
  <c r="D13" i="153"/>
  <c r="AB13" i="153"/>
  <c r="AL13" i="153"/>
  <c r="AZ13" i="153"/>
  <c r="BJ13" i="153"/>
  <c r="BX13" i="153"/>
  <c r="CH13" i="153"/>
  <c r="CV13" i="153"/>
  <c r="DF13" i="153"/>
  <c r="AI11" i="153"/>
  <c r="BG11" i="153"/>
  <c r="CE11" i="153"/>
  <c r="DC11" i="153"/>
  <c r="J13" i="153"/>
  <c r="T13" i="153"/>
  <c r="AH13" i="153"/>
  <c r="AR13" i="153"/>
  <c r="BF13" i="153"/>
  <c r="BP13" i="153"/>
  <c r="CD13" i="153"/>
  <c r="CN13" i="153"/>
  <c r="DB13" i="153"/>
  <c r="DL13" i="153"/>
  <c r="GF7" i="153"/>
  <c r="GH10" i="153"/>
  <c r="GF16" i="153"/>
  <c r="GH19" i="153"/>
  <c r="GR7" i="153"/>
  <c r="GT10" i="153"/>
  <c r="GR16" i="153"/>
  <c r="GT19" i="153"/>
  <c r="GZ26" i="153"/>
  <c r="GZ29" i="153"/>
  <c r="GX32" i="153"/>
  <c r="GZ35" i="153"/>
  <c r="GX38" i="153"/>
  <c r="AO11" i="153"/>
  <c r="BM11" i="153"/>
  <c r="CK11" i="153"/>
  <c r="DI11" i="153"/>
  <c r="F13" i="153"/>
  <c r="P13" i="153"/>
  <c r="Z13" i="153"/>
  <c r="AN13" i="153"/>
  <c r="AX13" i="153"/>
  <c r="BL13" i="153"/>
  <c r="BV13" i="153"/>
  <c r="CJ13" i="153"/>
  <c r="CT13" i="153"/>
  <c r="DH13" i="153"/>
  <c r="N12" i="153"/>
  <c r="R12" i="153"/>
  <c r="R13" i="153" s="1"/>
  <c r="AD13" i="153"/>
  <c r="AP13" i="153"/>
  <c r="BB13" i="153"/>
  <c r="BN13" i="153"/>
  <c r="BZ13" i="153"/>
  <c r="CL13" i="153"/>
  <c r="CX13" i="153"/>
  <c r="DJ13" i="153"/>
  <c r="DV13" i="153"/>
  <c r="EH13" i="153"/>
  <c r="ET13" i="153"/>
  <c r="FF13" i="153"/>
  <c r="FR13" i="153"/>
  <c r="GD13" i="153"/>
  <c r="GP13" i="153"/>
  <c r="W12" i="153"/>
  <c r="W13" i="153" s="1"/>
  <c r="H12" i="153"/>
  <c r="X13" i="153"/>
  <c r="AJ13" i="153"/>
  <c r="AV13" i="153"/>
  <c r="BH13" i="153"/>
  <c r="BT13" i="153"/>
  <c r="CF13" i="153"/>
  <c r="CR13" i="153"/>
  <c r="DD13" i="153"/>
  <c r="DP13" i="153"/>
  <c r="EB13" i="153"/>
  <c r="EN13" i="153"/>
  <c r="EZ13" i="153"/>
  <c r="FL13" i="153"/>
  <c r="FX13" i="153"/>
  <c r="GJ13" i="153"/>
  <c r="GV13" i="153"/>
  <c r="GW35" i="153"/>
  <c r="GH7" i="153"/>
  <c r="GH16" i="153"/>
  <c r="GL16" i="153"/>
  <c r="GJ32" i="153"/>
  <c r="GJ38" i="153"/>
  <c r="GP7" i="153"/>
  <c r="GT7" i="153"/>
  <c r="GR10" i="153"/>
  <c r="GP16" i="153"/>
  <c r="GT16" i="153"/>
  <c r="GZ10" i="153"/>
  <c r="GZ32" i="153"/>
  <c r="GV38" i="153"/>
  <c r="GZ38" i="153"/>
  <c r="GD20" i="153"/>
  <c r="GH20" i="153"/>
  <c r="GG21" i="153"/>
  <c r="GE7" i="153"/>
  <c r="GE16" i="153"/>
  <c r="GE26" i="153"/>
  <c r="GE29" i="153"/>
  <c r="GE35" i="153"/>
  <c r="GG38" i="153"/>
  <c r="GL20" i="153"/>
  <c r="GK21" i="153"/>
  <c r="GM16" i="153"/>
  <c r="GK19" i="153"/>
  <c r="GM26" i="153"/>
  <c r="GM29" i="153"/>
  <c r="GK32" i="153"/>
  <c r="GO33" i="153"/>
  <c r="GM35" i="153"/>
  <c r="GK38" i="153"/>
  <c r="GP20" i="153"/>
  <c r="GT20" i="153"/>
  <c r="GT22" i="153" s="1"/>
  <c r="GS21" i="153"/>
  <c r="GQ7" i="153"/>
  <c r="GS10" i="153"/>
  <c r="GQ16" i="153"/>
  <c r="GS19" i="153"/>
  <c r="GQ26" i="153"/>
  <c r="GQ29" i="153"/>
  <c r="GS32" i="153"/>
  <c r="GQ35" i="153"/>
  <c r="GS38" i="153"/>
  <c r="GX20" i="153"/>
  <c r="GW21" i="153"/>
  <c r="GY7" i="153"/>
  <c r="GY16" i="153"/>
  <c r="GY26" i="153"/>
  <c r="HA27" i="153"/>
  <c r="GY29" i="153"/>
  <c r="HA33" i="153"/>
  <c r="GY35" i="153"/>
  <c r="GH32" i="153"/>
  <c r="GD38" i="153"/>
  <c r="GH38" i="153"/>
  <c r="GT38" i="153"/>
  <c r="GZ7" i="153"/>
  <c r="GX10" i="153"/>
  <c r="GZ16" i="153"/>
  <c r="GX19" i="153"/>
  <c r="GZ19" i="153"/>
  <c r="GY4" i="153"/>
  <c r="GY10" i="153"/>
  <c r="GY19" i="153"/>
  <c r="GY32" i="153"/>
  <c r="GY38" i="153"/>
  <c r="HA5" i="153"/>
  <c r="HA14" i="153"/>
  <c r="HA24" i="153"/>
  <c r="GX7" i="153"/>
  <c r="GX26" i="153"/>
  <c r="GX29" i="153"/>
  <c r="GX35" i="153"/>
  <c r="HA3" i="153"/>
  <c r="GW10" i="153"/>
  <c r="GW19" i="153"/>
  <c r="GW32" i="153"/>
  <c r="GW38" i="153"/>
  <c r="GW7" i="153"/>
  <c r="GW16" i="153"/>
  <c r="HA25" i="153"/>
  <c r="HA28" i="153"/>
  <c r="HA34" i="153"/>
  <c r="HA35" i="153" s="1"/>
  <c r="HA8" i="153"/>
  <c r="HA17" i="153"/>
  <c r="HA30" i="153"/>
  <c r="HA36" i="153"/>
  <c r="HA9" i="153"/>
  <c r="HA18" i="153"/>
  <c r="GV7" i="153"/>
  <c r="GV16" i="153"/>
  <c r="GV32" i="153"/>
  <c r="GV4" i="153"/>
  <c r="GZ4" i="153"/>
  <c r="GV10" i="153"/>
  <c r="GV19" i="153"/>
  <c r="GV21" i="153"/>
  <c r="GV26" i="153"/>
  <c r="GV29" i="153"/>
  <c r="GV35" i="153"/>
  <c r="HA2" i="153"/>
  <c r="GW4" i="153"/>
  <c r="HA6" i="153"/>
  <c r="HA15" i="153"/>
  <c r="GY20" i="153"/>
  <c r="HA31" i="153"/>
  <c r="HA37" i="153"/>
  <c r="GX4" i="153"/>
  <c r="GT32" i="153"/>
  <c r="GS7" i="153"/>
  <c r="GR19" i="153"/>
  <c r="GR4" i="153"/>
  <c r="GR26" i="153"/>
  <c r="GR29" i="153"/>
  <c r="GR35" i="153"/>
  <c r="GU25" i="153"/>
  <c r="GU28" i="153"/>
  <c r="GU34" i="153"/>
  <c r="GU8" i="153"/>
  <c r="GU17" i="153"/>
  <c r="GU30" i="153"/>
  <c r="GU36" i="153"/>
  <c r="GU3" i="153"/>
  <c r="GU9" i="153"/>
  <c r="GU18" i="153"/>
  <c r="GP32" i="153"/>
  <c r="GP38" i="153"/>
  <c r="GP4" i="153"/>
  <c r="GT4" i="153"/>
  <c r="GP10" i="153"/>
  <c r="GP19" i="153"/>
  <c r="GP21" i="153"/>
  <c r="GP26" i="153"/>
  <c r="GP29" i="153"/>
  <c r="GP35" i="153"/>
  <c r="GU2" i="153"/>
  <c r="GQ4" i="153"/>
  <c r="GU6" i="153"/>
  <c r="GU15" i="153"/>
  <c r="GU31" i="153"/>
  <c r="GU37" i="153"/>
  <c r="GR21" i="153"/>
  <c r="GS4" i="153"/>
  <c r="GL10" i="153"/>
  <c r="GL35" i="153"/>
  <c r="GN7" i="153"/>
  <c r="GN16" i="153"/>
  <c r="GN26" i="153"/>
  <c r="GN29" i="153"/>
  <c r="GN35" i="153"/>
  <c r="GN10" i="153"/>
  <c r="GN19" i="153"/>
  <c r="GN32" i="153"/>
  <c r="GN38" i="153"/>
  <c r="GM7" i="153"/>
  <c r="GL19" i="153"/>
  <c r="GL32" i="153"/>
  <c r="GL38" i="153"/>
  <c r="GL21" i="153"/>
  <c r="GL7" i="153"/>
  <c r="GL26" i="153"/>
  <c r="GL29" i="153"/>
  <c r="GO5" i="153"/>
  <c r="GO14" i="153"/>
  <c r="GO24" i="153"/>
  <c r="GO27" i="153"/>
  <c r="GO25" i="153"/>
  <c r="GO28" i="153"/>
  <c r="GO34" i="153"/>
  <c r="GO35" i="153" s="1"/>
  <c r="GO8" i="153"/>
  <c r="GO17" i="153"/>
  <c r="GO30" i="153"/>
  <c r="GO36" i="153"/>
  <c r="GO3" i="153"/>
  <c r="GK10" i="153"/>
  <c r="GO9" i="153"/>
  <c r="GO18" i="153"/>
  <c r="GJ7" i="153"/>
  <c r="GJ16" i="153"/>
  <c r="GJ4" i="153"/>
  <c r="GN4" i="153"/>
  <c r="GJ10" i="153"/>
  <c r="GJ19" i="153"/>
  <c r="GJ21" i="153"/>
  <c r="GJ26" i="153"/>
  <c r="GJ29" i="153"/>
  <c r="GJ35" i="153"/>
  <c r="GO2" i="153"/>
  <c r="GK4" i="153"/>
  <c r="GO6" i="153"/>
  <c r="GO15" i="153"/>
  <c r="GO31" i="153"/>
  <c r="GO37" i="153"/>
  <c r="GL4" i="153"/>
  <c r="GM4" i="153"/>
  <c r="GH26" i="153"/>
  <c r="GH29" i="153"/>
  <c r="GG10" i="153"/>
  <c r="GG19" i="153"/>
  <c r="GG32" i="153"/>
  <c r="GF10" i="153"/>
  <c r="GF19" i="153"/>
  <c r="GF26" i="153"/>
  <c r="GF29" i="153"/>
  <c r="GF35" i="153"/>
  <c r="GI3" i="153"/>
  <c r="GE10" i="153"/>
  <c r="GE19" i="153"/>
  <c r="GE32" i="153"/>
  <c r="GI25" i="153"/>
  <c r="GI28" i="153"/>
  <c r="GI34" i="153"/>
  <c r="GI8" i="153"/>
  <c r="GI17" i="153"/>
  <c r="GI30" i="153"/>
  <c r="GI36" i="153"/>
  <c r="GI9" i="153"/>
  <c r="GI18" i="153"/>
  <c r="GD7" i="153"/>
  <c r="GD16" i="153"/>
  <c r="GD32" i="153"/>
  <c r="GD19" i="153"/>
  <c r="GD21" i="153"/>
  <c r="GD26" i="153"/>
  <c r="GD29" i="153"/>
  <c r="GD35" i="153"/>
  <c r="GD4" i="153"/>
  <c r="GH4" i="153"/>
  <c r="GD10" i="153"/>
  <c r="GI2" i="153"/>
  <c r="GE4" i="153"/>
  <c r="GI6" i="153"/>
  <c r="GI7" i="153" s="1"/>
  <c r="GI15" i="153"/>
  <c r="GI31" i="153"/>
  <c r="GI37" i="153"/>
  <c r="GF4" i="153"/>
  <c r="GG4" i="153"/>
  <c r="AA3880" i="5"/>
  <c r="R3880" i="5"/>
  <c r="J3880" i="5"/>
  <c r="AA3879" i="5"/>
  <c r="R3879" i="5"/>
  <c r="J3879" i="5"/>
  <c r="AA3878" i="5"/>
  <c r="R3878" i="5"/>
  <c r="J3878" i="5"/>
  <c r="AA3877" i="5"/>
  <c r="R3877" i="5"/>
  <c r="J3877" i="5"/>
  <c r="GR22" i="153" l="1"/>
  <c r="GI10" i="153"/>
  <c r="GK22" i="153"/>
  <c r="GE22" i="153"/>
  <c r="GS22" i="153"/>
  <c r="N13" i="153"/>
  <c r="GU7" i="153"/>
  <c r="GC13" i="153"/>
  <c r="GX22" i="153"/>
  <c r="GH22" i="153"/>
  <c r="GU13" i="153"/>
  <c r="GM22" i="153"/>
  <c r="CK13" i="153"/>
  <c r="GI29" i="153"/>
  <c r="EG13" i="153"/>
  <c r="EA13" i="153"/>
  <c r="GZ22" i="153"/>
  <c r="GG22" i="153"/>
  <c r="DI13" i="153"/>
  <c r="BM13" i="153"/>
  <c r="FE13" i="153"/>
  <c r="GF22" i="153"/>
  <c r="AO13" i="153"/>
  <c r="FW13" i="153"/>
  <c r="HA13" i="153"/>
  <c r="GI20" i="153"/>
  <c r="EY13" i="153"/>
  <c r="GI35" i="153"/>
  <c r="GU35" i="153"/>
  <c r="GO13" i="153"/>
  <c r="DO13" i="153"/>
  <c r="FQ13" i="153"/>
  <c r="CE13" i="153"/>
  <c r="GI26" i="153"/>
  <c r="GU26" i="153"/>
  <c r="GW22" i="153"/>
  <c r="ES13" i="153"/>
  <c r="BS13" i="153"/>
  <c r="GU29" i="153"/>
  <c r="BY13" i="153"/>
  <c r="GI13" i="153"/>
  <c r="DU13" i="153"/>
  <c r="AC13" i="153"/>
  <c r="BA13" i="153"/>
  <c r="AI13" i="153"/>
  <c r="CW13" i="153"/>
  <c r="BG13" i="153"/>
  <c r="FK13" i="153"/>
  <c r="GI38" i="153"/>
  <c r="GU32" i="153"/>
  <c r="EM13" i="153"/>
  <c r="GU38" i="153"/>
  <c r="DC13" i="153"/>
  <c r="GI32" i="153"/>
  <c r="B11" i="153"/>
  <c r="GI16" i="153"/>
  <c r="GU16" i="153"/>
  <c r="HA20" i="153"/>
  <c r="GO20" i="153"/>
  <c r="H13" i="153"/>
  <c r="B12" i="153"/>
  <c r="GU20" i="153"/>
  <c r="HA10" i="153"/>
  <c r="GL22" i="153"/>
  <c r="HA29" i="153"/>
  <c r="HA4" i="153"/>
  <c r="HA38" i="153"/>
  <c r="HA32" i="153"/>
  <c r="HA19" i="153"/>
  <c r="HA26" i="153"/>
  <c r="HA16" i="153"/>
  <c r="HA7" i="153"/>
  <c r="GV22" i="153"/>
  <c r="HA21" i="153"/>
  <c r="HA22" i="153" s="1"/>
  <c r="GY22" i="153"/>
  <c r="GU19" i="153"/>
  <c r="GU4" i="153"/>
  <c r="GU10" i="153"/>
  <c r="GP22" i="153"/>
  <c r="GU21" i="153"/>
  <c r="GO26" i="153"/>
  <c r="GO4" i="153"/>
  <c r="GO10" i="153"/>
  <c r="GO29" i="153"/>
  <c r="GO38" i="153"/>
  <c r="GO19" i="153"/>
  <c r="GO7" i="153"/>
  <c r="GO32" i="153"/>
  <c r="GO16" i="153"/>
  <c r="GJ22" i="153"/>
  <c r="GO21" i="153"/>
  <c r="GO22" i="153" s="1"/>
  <c r="GI4" i="153"/>
  <c r="GI19" i="153"/>
  <c r="GD22" i="153"/>
  <c r="GI21" i="153"/>
  <c r="AA3876" i="5"/>
  <c r="R3876" i="5"/>
  <c r="J3876" i="5"/>
  <c r="GI22" i="153" l="1"/>
  <c r="GU22" i="153"/>
  <c r="B13" i="153"/>
  <c r="AA3875" i="5"/>
  <c r="R3875" i="5"/>
  <c r="J3875" i="5"/>
  <c r="AA3874" i="5"/>
  <c r="R3874" i="5"/>
  <c r="J3874" i="5"/>
  <c r="AA3873" i="5"/>
  <c r="R3873" i="5"/>
  <c r="J3873" i="5"/>
  <c r="B255" i="169" l="1"/>
  <c r="C255" i="169"/>
  <c r="B256" i="169"/>
  <c r="C256" i="169"/>
  <c r="B257" i="169"/>
  <c r="C257" i="169"/>
  <c r="B258" i="169"/>
  <c r="C258" i="169"/>
  <c r="B259" i="169"/>
  <c r="C259" i="169"/>
  <c r="B260" i="169"/>
  <c r="C260" i="169"/>
  <c r="B261" i="169"/>
  <c r="C261" i="169"/>
  <c r="B262" i="169"/>
  <c r="C262" i="169"/>
  <c r="B263" i="169"/>
  <c r="C263" i="169"/>
  <c r="B264" i="169"/>
  <c r="C264" i="169"/>
  <c r="B265" i="169"/>
  <c r="C265" i="169"/>
  <c r="B266" i="169"/>
  <c r="C266" i="169"/>
  <c r="B267" i="169"/>
  <c r="C267" i="169"/>
  <c r="B268" i="169"/>
  <c r="C268" i="169"/>
  <c r="B252" i="169"/>
  <c r="C252" i="169"/>
  <c r="B253" i="169"/>
  <c r="C253" i="169"/>
  <c r="B254" i="169"/>
  <c r="C254" i="169"/>
  <c r="B243" i="169"/>
  <c r="B244" i="169"/>
  <c r="B245" i="169"/>
  <c r="B246" i="169"/>
  <c r="B247" i="169"/>
  <c r="B248" i="169"/>
  <c r="B249" i="169"/>
  <c r="C249" i="169"/>
  <c r="B250" i="169"/>
  <c r="B251" i="169"/>
  <c r="C251" i="169"/>
  <c r="AA3872" i="5"/>
  <c r="R3872" i="5"/>
  <c r="J3872" i="5"/>
  <c r="R3836" i="5"/>
  <c r="AA3836" i="5"/>
  <c r="R3837" i="5"/>
  <c r="AA3837" i="5"/>
  <c r="R3838" i="5"/>
  <c r="AA3838" i="5"/>
  <c r="R3839" i="5"/>
  <c r="AA3839" i="5"/>
  <c r="R3840" i="5"/>
  <c r="AA3840" i="5"/>
  <c r="R3841" i="5"/>
  <c r="AA3841" i="5"/>
  <c r="R3842" i="5"/>
  <c r="AA3842" i="5"/>
  <c r="R3843" i="5"/>
  <c r="AA3843" i="5"/>
  <c r="R3844" i="5"/>
  <c r="AA3844" i="5"/>
  <c r="R3845" i="5"/>
  <c r="AA3845" i="5"/>
  <c r="R3846" i="5"/>
  <c r="AA3846" i="5"/>
  <c r="R3847" i="5"/>
  <c r="AA3847" i="5"/>
  <c r="R3848" i="5"/>
  <c r="AA3848" i="5"/>
  <c r="R3849" i="5"/>
  <c r="AA3849" i="5"/>
  <c r="R3850" i="5"/>
  <c r="AA3850" i="5"/>
  <c r="R3851" i="5"/>
  <c r="AA3851" i="5"/>
  <c r="R3852" i="5"/>
  <c r="AA3852" i="5"/>
  <c r="R3853" i="5"/>
  <c r="AA3853" i="5"/>
  <c r="R3854" i="5"/>
  <c r="AA3854" i="5"/>
  <c r="R3855" i="5"/>
  <c r="AA3855" i="5"/>
  <c r="R3856" i="5"/>
  <c r="AA3856" i="5"/>
  <c r="R3857" i="5"/>
  <c r="AA3857" i="5"/>
  <c r="R3858" i="5"/>
  <c r="AA3858" i="5"/>
  <c r="R3859" i="5"/>
  <c r="AA3859" i="5"/>
  <c r="R3860" i="5"/>
  <c r="AA3860" i="5"/>
  <c r="R3861" i="5"/>
  <c r="AA3861" i="5"/>
  <c r="R3862" i="5"/>
  <c r="AA3862" i="5"/>
  <c r="R3863" i="5"/>
  <c r="AA3863" i="5"/>
  <c r="R3864" i="5"/>
  <c r="AA3864" i="5"/>
  <c r="R3865" i="5"/>
  <c r="AA3865" i="5"/>
  <c r="R3866" i="5"/>
  <c r="AA3866" i="5"/>
  <c r="R3867" i="5"/>
  <c r="AA3867" i="5"/>
  <c r="R3868" i="5"/>
  <c r="AA3868" i="5"/>
  <c r="C250" i="169" s="1"/>
  <c r="R3869" i="5"/>
  <c r="AA3869" i="5"/>
  <c r="R3870" i="5"/>
  <c r="AA3870" i="5"/>
  <c r="R3871" i="5"/>
  <c r="AA3871" i="5"/>
  <c r="J3836" i="5"/>
  <c r="J3837" i="5"/>
  <c r="J3838" i="5"/>
  <c r="J3839" i="5"/>
  <c r="J3840" i="5"/>
  <c r="J3841" i="5"/>
  <c r="J3842" i="5"/>
  <c r="J3843" i="5"/>
  <c r="J3844" i="5"/>
  <c r="J3845" i="5"/>
  <c r="J3846" i="5"/>
  <c r="J3847" i="5"/>
  <c r="J3848" i="5"/>
  <c r="J3849" i="5"/>
  <c r="J3850" i="5"/>
  <c r="J3851" i="5"/>
  <c r="J3852" i="5"/>
  <c r="J3853" i="5"/>
  <c r="J3854" i="5"/>
  <c r="J3855" i="5"/>
  <c r="J3856" i="5"/>
  <c r="J3857" i="5"/>
  <c r="J3858" i="5"/>
  <c r="J3859" i="5"/>
  <c r="J3860" i="5"/>
  <c r="J3861" i="5"/>
  <c r="J3862" i="5"/>
  <c r="J3863" i="5"/>
  <c r="J3864" i="5"/>
  <c r="J3865" i="5"/>
  <c r="J3866" i="5"/>
  <c r="J3867" i="5"/>
  <c r="J3868" i="5"/>
  <c r="J3869" i="5"/>
  <c r="J3870" i="5"/>
  <c r="J3871" i="5"/>
  <c r="R3825" i="5"/>
  <c r="AA3825" i="5"/>
  <c r="R3826" i="5"/>
  <c r="AA3826" i="5"/>
  <c r="R3827" i="5"/>
  <c r="AA3827" i="5"/>
  <c r="R3828" i="5"/>
  <c r="AA3828" i="5"/>
  <c r="R3829" i="5"/>
  <c r="AA3829" i="5"/>
  <c r="R3830" i="5"/>
  <c r="AA3830" i="5"/>
  <c r="R3831" i="5"/>
  <c r="AA3831" i="5"/>
  <c r="R3832" i="5"/>
  <c r="AA3832" i="5"/>
  <c r="R3833" i="5"/>
  <c r="AA3833" i="5"/>
  <c r="R3834" i="5"/>
  <c r="AA3834" i="5"/>
  <c r="R3835" i="5"/>
  <c r="AA3835" i="5"/>
  <c r="J3825" i="5"/>
  <c r="J3826" i="5"/>
  <c r="J3827" i="5"/>
  <c r="J3828" i="5"/>
  <c r="J3829" i="5"/>
  <c r="J3830" i="5"/>
  <c r="J3831" i="5"/>
  <c r="J3832" i="5"/>
  <c r="J3833" i="5"/>
  <c r="J3834" i="5"/>
  <c r="J3835" i="5"/>
  <c r="R3818" i="5"/>
  <c r="AA3818" i="5"/>
  <c r="R3819" i="5"/>
  <c r="AA3819" i="5"/>
  <c r="R3820" i="5"/>
  <c r="AA3820" i="5"/>
  <c r="R3821" i="5"/>
  <c r="AA3821" i="5"/>
  <c r="R3822" i="5"/>
  <c r="AA3822" i="5"/>
  <c r="R3823" i="5"/>
  <c r="AA3823" i="5"/>
  <c r="R3824" i="5"/>
  <c r="AA3824" i="5"/>
  <c r="C243" i="169" s="1"/>
  <c r="J3818" i="5"/>
  <c r="J3819" i="5"/>
  <c r="J3820" i="5"/>
  <c r="J3821" i="5"/>
  <c r="J3822" i="5"/>
  <c r="J3823" i="5"/>
  <c r="J3824" i="5"/>
  <c r="D260" i="169" l="1"/>
  <c r="E260" i="169" s="1"/>
  <c r="F260" i="169" s="1"/>
  <c r="D256" i="169"/>
  <c r="E256" i="169" s="1"/>
  <c r="F256" i="169" s="1"/>
  <c r="C248" i="169"/>
  <c r="D248" i="169" s="1"/>
  <c r="E248" i="169" s="1"/>
  <c r="F248" i="169" s="1"/>
  <c r="C247" i="169"/>
  <c r="D247" i="169" s="1"/>
  <c r="E247" i="169" s="1"/>
  <c r="F247" i="169" s="1"/>
  <c r="C246" i="169"/>
  <c r="D246" i="169" s="1"/>
  <c r="E246" i="169" s="1"/>
  <c r="F246" i="169" s="1"/>
  <c r="C245" i="169"/>
  <c r="D245" i="169" s="1"/>
  <c r="E245" i="169" s="1"/>
  <c r="F245" i="169" s="1"/>
  <c r="C244" i="169"/>
  <c r="D244" i="169" s="1"/>
  <c r="E244" i="169" s="1"/>
  <c r="F244" i="169" s="1"/>
  <c r="D264" i="169"/>
  <c r="E264" i="169" s="1"/>
  <c r="F264" i="169" s="1"/>
  <c r="D255" i="169"/>
  <c r="E255" i="169" s="1"/>
  <c r="F255" i="169" s="1"/>
  <c r="D268" i="169"/>
  <c r="E268" i="169" s="1"/>
  <c r="F268" i="169" s="1"/>
  <c r="D250" i="169"/>
  <c r="E250" i="169" s="1"/>
  <c r="F250" i="169" s="1"/>
  <c r="D254" i="169"/>
  <c r="E254" i="169" s="1"/>
  <c r="F254" i="169" s="1"/>
  <c r="D252" i="169"/>
  <c r="E252" i="169" s="1"/>
  <c r="F252" i="169" s="1"/>
  <c r="D257" i="169"/>
  <c r="E257" i="169" s="1"/>
  <c r="F257" i="169" s="1"/>
  <c r="D258" i="169"/>
  <c r="E258" i="169" s="1"/>
  <c r="F258" i="169" s="1"/>
  <c r="D249" i="169"/>
  <c r="E249" i="169" s="1"/>
  <c r="F249" i="169" s="1"/>
  <c r="D243" i="169"/>
  <c r="E243" i="169" s="1"/>
  <c r="F243" i="169" s="1"/>
  <c r="D263" i="169"/>
  <c r="E263" i="169" s="1"/>
  <c r="F263" i="169" s="1"/>
  <c r="D261" i="169"/>
  <c r="E261" i="169" s="1"/>
  <c r="F261" i="169" s="1"/>
  <c r="D259" i="169"/>
  <c r="E259" i="169" s="1"/>
  <c r="F259" i="169" s="1"/>
  <c r="D253" i="169"/>
  <c r="E253" i="169" s="1"/>
  <c r="F253" i="169" s="1"/>
  <c r="D251" i="169"/>
  <c r="E251" i="169" s="1"/>
  <c r="F251" i="169" s="1"/>
  <c r="D266" i="169"/>
  <c r="E266" i="169" s="1"/>
  <c r="F266" i="169" s="1"/>
  <c r="D267" i="169"/>
  <c r="E267" i="169" s="1"/>
  <c r="F267" i="169" s="1"/>
  <c r="D265" i="169"/>
  <c r="E265" i="169" s="1"/>
  <c r="F265" i="169" s="1"/>
  <c r="D262" i="169"/>
  <c r="E262" i="169" s="1"/>
  <c r="F262" i="169" s="1"/>
  <c r="GB37" i="153"/>
  <c r="GA37" i="153"/>
  <c r="FZ37" i="153"/>
  <c r="FY37" i="153"/>
  <c r="FX37" i="153"/>
  <c r="GB36" i="153"/>
  <c r="GA36" i="153"/>
  <c r="FZ36" i="153"/>
  <c r="FY36" i="153"/>
  <c r="FX36" i="153"/>
  <c r="GB34" i="153"/>
  <c r="GA34" i="153"/>
  <c r="FZ34" i="153"/>
  <c r="FY34" i="153"/>
  <c r="FX34" i="153"/>
  <c r="GB33" i="153"/>
  <c r="GA33" i="153"/>
  <c r="FZ33" i="153"/>
  <c r="FY33" i="153"/>
  <c r="FX33" i="153"/>
  <c r="GB31" i="153"/>
  <c r="GA31" i="153"/>
  <c r="FZ31" i="153"/>
  <c r="FY31" i="153"/>
  <c r="FX31" i="153"/>
  <c r="GB30" i="153"/>
  <c r="GA30" i="153"/>
  <c r="FZ30" i="153"/>
  <c r="FY30" i="153"/>
  <c r="FX30" i="153"/>
  <c r="GB28" i="153"/>
  <c r="GA28" i="153"/>
  <c r="FZ28" i="153"/>
  <c r="FY28" i="153"/>
  <c r="FX28" i="153"/>
  <c r="GB27" i="153"/>
  <c r="GA27" i="153"/>
  <c r="FZ27" i="153"/>
  <c r="FY27" i="153"/>
  <c r="FX27" i="153"/>
  <c r="GB25" i="153"/>
  <c r="GA25" i="153"/>
  <c r="FZ25" i="153"/>
  <c r="FY25" i="153"/>
  <c r="FX25" i="153"/>
  <c r="GB24" i="153"/>
  <c r="GA24" i="153"/>
  <c r="FZ24" i="153"/>
  <c r="FY24" i="153"/>
  <c r="FX24" i="153"/>
  <c r="GB18" i="153"/>
  <c r="GA18" i="153"/>
  <c r="FZ18" i="153"/>
  <c r="FY18" i="153"/>
  <c r="FX18" i="153"/>
  <c r="GB17" i="153"/>
  <c r="GA17" i="153"/>
  <c r="FZ17" i="153"/>
  <c r="FY17" i="153"/>
  <c r="FX17" i="153"/>
  <c r="GB15" i="153"/>
  <c r="GA15" i="153"/>
  <c r="FZ15" i="153"/>
  <c r="FY15" i="153"/>
  <c r="FX15" i="153"/>
  <c r="GB14" i="153"/>
  <c r="GA14" i="153"/>
  <c r="FZ14" i="153"/>
  <c r="FY14" i="153"/>
  <c r="FX14" i="153"/>
  <c r="GB9" i="153"/>
  <c r="GA9" i="153"/>
  <c r="FZ9" i="153"/>
  <c r="FY9" i="153"/>
  <c r="FX9" i="153"/>
  <c r="GB8" i="153"/>
  <c r="GA8" i="153"/>
  <c r="FZ8" i="153"/>
  <c r="FY8" i="153"/>
  <c r="FX8" i="153"/>
  <c r="GB6" i="153"/>
  <c r="GA6" i="153"/>
  <c r="FZ6" i="153"/>
  <c r="FY6" i="153"/>
  <c r="FX6" i="153"/>
  <c r="GB5" i="153"/>
  <c r="GA5" i="153"/>
  <c r="FZ5" i="153"/>
  <c r="FY5" i="153"/>
  <c r="FX5" i="153"/>
  <c r="GB3" i="153"/>
  <c r="GA3" i="153"/>
  <c r="FZ3" i="153"/>
  <c r="FY3" i="153"/>
  <c r="FX3" i="153"/>
  <c r="GB2" i="153"/>
  <c r="GA2" i="153"/>
  <c r="FZ2" i="153"/>
  <c r="FY2" i="153"/>
  <c r="FX2" i="153"/>
  <c r="FV37" i="153"/>
  <c r="FU37" i="153"/>
  <c r="FT37" i="153"/>
  <c r="FS37" i="153"/>
  <c r="FR37" i="153"/>
  <c r="FV36" i="153"/>
  <c r="FU36" i="153"/>
  <c r="FT36" i="153"/>
  <c r="FS36" i="153"/>
  <c r="FR36" i="153"/>
  <c r="FV34" i="153"/>
  <c r="FU34" i="153"/>
  <c r="FT34" i="153"/>
  <c r="FS34" i="153"/>
  <c r="FR34" i="153"/>
  <c r="FV33" i="153"/>
  <c r="FU33" i="153"/>
  <c r="FT33" i="153"/>
  <c r="FS33" i="153"/>
  <c r="FR33" i="153"/>
  <c r="FV31" i="153"/>
  <c r="FU31" i="153"/>
  <c r="FT31" i="153"/>
  <c r="FS31" i="153"/>
  <c r="FR31" i="153"/>
  <c r="FV30" i="153"/>
  <c r="FU30" i="153"/>
  <c r="FT30" i="153"/>
  <c r="FS30" i="153"/>
  <c r="FR30" i="153"/>
  <c r="FV28" i="153"/>
  <c r="FU28" i="153"/>
  <c r="FT28" i="153"/>
  <c r="FS28" i="153"/>
  <c r="FR28" i="153"/>
  <c r="FV27" i="153"/>
  <c r="FU27" i="153"/>
  <c r="FT27" i="153"/>
  <c r="FS27" i="153"/>
  <c r="FR27" i="153"/>
  <c r="FV25" i="153"/>
  <c r="FU25" i="153"/>
  <c r="FT25" i="153"/>
  <c r="FS25" i="153"/>
  <c r="FR25" i="153"/>
  <c r="FV24" i="153"/>
  <c r="FU24" i="153"/>
  <c r="FT24" i="153"/>
  <c r="FS24" i="153"/>
  <c r="FR24" i="153"/>
  <c r="FV18" i="153"/>
  <c r="FU18" i="153"/>
  <c r="FT18" i="153"/>
  <c r="FS18" i="153"/>
  <c r="FR18" i="153"/>
  <c r="FV17" i="153"/>
  <c r="FU17" i="153"/>
  <c r="FT17" i="153"/>
  <c r="FS17" i="153"/>
  <c r="FR17" i="153"/>
  <c r="FV15" i="153"/>
  <c r="FU15" i="153"/>
  <c r="FT15" i="153"/>
  <c r="FS15" i="153"/>
  <c r="FR15" i="153"/>
  <c r="FV14" i="153"/>
  <c r="FU14" i="153"/>
  <c r="FT14" i="153"/>
  <c r="FS14" i="153"/>
  <c r="FR14" i="153"/>
  <c r="FV9" i="153"/>
  <c r="FU9" i="153"/>
  <c r="FT9" i="153"/>
  <c r="FS9" i="153"/>
  <c r="FR9" i="153"/>
  <c r="FV8" i="153"/>
  <c r="FU8" i="153"/>
  <c r="FT8" i="153"/>
  <c r="FS8" i="153"/>
  <c r="FR8" i="153"/>
  <c r="FV6" i="153"/>
  <c r="FU6" i="153"/>
  <c r="FT6" i="153"/>
  <c r="FS6" i="153"/>
  <c r="FR6" i="153"/>
  <c r="FV5" i="153"/>
  <c r="FU5" i="153"/>
  <c r="FT5" i="153"/>
  <c r="FS5" i="153"/>
  <c r="FR5" i="153"/>
  <c r="FV3" i="153"/>
  <c r="FU3" i="153"/>
  <c r="FT3" i="153"/>
  <c r="FS3" i="153"/>
  <c r="FR3" i="153"/>
  <c r="FV2" i="153"/>
  <c r="FU2" i="153"/>
  <c r="FT2" i="153"/>
  <c r="FS2" i="153"/>
  <c r="FR2" i="153"/>
  <c r="FP37" i="153"/>
  <c r="FO37" i="153"/>
  <c r="FN37" i="153"/>
  <c r="FM37" i="153"/>
  <c r="FL37" i="153"/>
  <c r="FP36" i="153"/>
  <c r="FO36" i="153"/>
  <c r="FN36" i="153"/>
  <c r="FM36" i="153"/>
  <c r="FL36" i="153"/>
  <c r="FP34" i="153"/>
  <c r="FO34" i="153"/>
  <c r="FN34" i="153"/>
  <c r="FM34" i="153"/>
  <c r="FL34" i="153"/>
  <c r="FP33" i="153"/>
  <c r="FO33" i="153"/>
  <c r="FN33" i="153"/>
  <c r="FM33" i="153"/>
  <c r="FL33" i="153"/>
  <c r="FP31" i="153"/>
  <c r="FO31" i="153"/>
  <c r="FN31" i="153"/>
  <c r="FM31" i="153"/>
  <c r="FL31" i="153"/>
  <c r="FP30" i="153"/>
  <c r="FO30" i="153"/>
  <c r="FN30" i="153"/>
  <c r="FM30" i="153"/>
  <c r="FL30" i="153"/>
  <c r="FP28" i="153"/>
  <c r="FO28" i="153"/>
  <c r="FN28" i="153"/>
  <c r="FM28" i="153"/>
  <c r="FL28" i="153"/>
  <c r="FP27" i="153"/>
  <c r="FO27" i="153"/>
  <c r="FN27" i="153"/>
  <c r="FM27" i="153"/>
  <c r="FL27" i="153"/>
  <c r="FP25" i="153"/>
  <c r="FO25" i="153"/>
  <c r="FN25" i="153"/>
  <c r="FM25" i="153"/>
  <c r="FL25" i="153"/>
  <c r="FP24" i="153"/>
  <c r="FO24" i="153"/>
  <c r="FN24" i="153"/>
  <c r="FM24" i="153"/>
  <c r="FL24" i="153"/>
  <c r="FP18" i="153"/>
  <c r="FO18" i="153"/>
  <c r="FN18" i="153"/>
  <c r="FM18" i="153"/>
  <c r="FL18" i="153"/>
  <c r="FP17" i="153"/>
  <c r="FO17" i="153"/>
  <c r="FN17" i="153"/>
  <c r="FM17" i="153"/>
  <c r="FL17" i="153"/>
  <c r="FP15" i="153"/>
  <c r="FO15" i="153"/>
  <c r="FN15" i="153"/>
  <c r="FM15" i="153"/>
  <c r="FL15" i="153"/>
  <c r="FP14" i="153"/>
  <c r="FO14" i="153"/>
  <c r="FN14" i="153"/>
  <c r="FM14" i="153"/>
  <c r="FL14" i="153"/>
  <c r="FP9" i="153"/>
  <c r="FO9" i="153"/>
  <c r="FN9" i="153"/>
  <c r="FM9" i="153"/>
  <c r="FL9" i="153"/>
  <c r="FP8" i="153"/>
  <c r="FO8" i="153"/>
  <c r="FN8" i="153"/>
  <c r="FM8" i="153"/>
  <c r="FL8" i="153"/>
  <c r="FP6" i="153"/>
  <c r="FO6" i="153"/>
  <c r="FN6" i="153"/>
  <c r="FM6" i="153"/>
  <c r="FL6" i="153"/>
  <c r="FP5" i="153"/>
  <c r="FO5" i="153"/>
  <c r="FN5" i="153"/>
  <c r="FM5" i="153"/>
  <c r="FL5" i="153"/>
  <c r="FP3" i="153"/>
  <c r="FO3" i="153"/>
  <c r="FN3" i="153"/>
  <c r="FM3" i="153"/>
  <c r="FL3" i="153"/>
  <c r="FP2" i="153"/>
  <c r="FO2" i="153"/>
  <c r="FN2" i="153"/>
  <c r="FM2" i="153"/>
  <c r="FL2" i="153"/>
  <c r="FJ37" i="153"/>
  <c r="FI37" i="153"/>
  <c r="FH37" i="153"/>
  <c r="FG37" i="153"/>
  <c r="FF37" i="153"/>
  <c r="FJ36" i="153"/>
  <c r="FI36" i="153"/>
  <c r="FH36" i="153"/>
  <c r="FG36" i="153"/>
  <c r="FF36" i="153"/>
  <c r="FJ34" i="153"/>
  <c r="FI34" i="153"/>
  <c r="FH34" i="153"/>
  <c r="FG34" i="153"/>
  <c r="FF34" i="153"/>
  <c r="FJ33" i="153"/>
  <c r="FI33" i="153"/>
  <c r="FH33" i="153"/>
  <c r="FG33" i="153"/>
  <c r="FF33" i="153"/>
  <c r="FJ31" i="153"/>
  <c r="FI31" i="153"/>
  <c r="FH31" i="153"/>
  <c r="FG31" i="153"/>
  <c r="FF31" i="153"/>
  <c r="FJ30" i="153"/>
  <c r="FI30" i="153"/>
  <c r="FH30" i="153"/>
  <c r="FG30" i="153"/>
  <c r="FF30" i="153"/>
  <c r="FJ28" i="153"/>
  <c r="FI28" i="153"/>
  <c r="FH28" i="153"/>
  <c r="FG28" i="153"/>
  <c r="FF28" i="153"/>
  <c r="FJ27" i="153"/>
  <c r="FI27" i="153"/>
  <c r="FH27" i="153"/>
  <c r="FG27" i="153"/>
  <c r="FF27" i="153"/>
  <c r="FJ25" i="153"/>
  <c r="FI25" i="153"/>
  <c r="FH25" i="153"/>
  <c r="FG25" i="153"/>
  <c r="FF25" i="153"/>
  <c r="FJ24" i="153"/>
  <c r="FI24" i="153"/>
  <c r="FH24" i="153"/>
  <c r="FG24" i="153"/>
  <c r="FF24" i="153"/>
  <c r="FJ18" i="153"/>
  <c r="FI18" i="153"/>
  <c r="FH18" i="153"/>
  <c r="FG18" i="153"/>
  <c r="FF18" i="153"/>
  <c r="FJ17" i="153"/>
  <c r="FI17" i="153"/>
  <c r="FH17" i="153"/>
  <c r="FG17" i="153"/>
  <c r="FF17" i="153"/>
  <c r="FJ15" i="153"/>
  <c r="FI15" i="153"/>
  <c r="FH15" i="153"/>
  <c r="FG15" i="153"/>
  <c r="FF15" i="153"/>
  <c r="FJ14" i="153"/>
  <c r="FI14" i="153"/>
  <c r="FH14" i="153"/>
  <c r="FG14" i="153"/>
  <c r="FF14" i="153"/>
  <c r="FJ9" i="153"/>
  <c r="FI9" i="153"/>
  <c r="FH9" i="153"/>
  <c r="FG9" i="153"/>
  <c r="FF9" i="153"/>
  <c r="FJ8" i="153"/>
  <c r="FI8" i="153"/>
  <c r="FH8" i="153"/>
  <c r="FG8" i="153"/>
  <c r="FF8" i="153"/>
  <c r="FJ6" i="153"/>
  <c r="FI6" i="153"/>
  <c r="FH6" i="153"/>
  <c r="FG6" i="153"/>
  <c r="FF6" i="153"/>
  <c r="FJ5" i="153"/>
  <c r="FI5" i="153"/>
  <c r="FH5" i="153"/>
  <c r="FG5" i="153"/>
  <c r="FF5" i="153"/>
  <c r="FJ3" i="153"/>
  <c r="FI3" i="153"/>
  <c r="FH3" i="153"/>
  <c r="FG3" i="153"/>
  <c r="FF3" i="153"/>
  <c r="FJ2" i="153"/>
  <c r="FI2" i="153"/>
  <c r="FH2" i="153"/>
  <c r="FG2" i="153"/>
  <c r="FF2" i="153"/>
  <c r="FD37" i="153"/>
  <c r="FC37" i="153"/>
  <c r="FB37" i="153"/>
  <c r="FA37" i="153"/>
  <c r="EZ37" i="153"/>
  <c r="FD36" i="153"/>
  <c r="FC36" i="153"/>
  <c r="FB36" i="153"/>
  <c r="FA36" i="153"/>
  <c r="EZ36" i="153"/>
  <c r="FD34" i="153"/>
  <c r="FC34" i="153"/>
  <c r="FB34" i="153"/>
  <c r="FA34" i="153"/>
  <c r="EZ34" i="153"/>
  <c r="FD33" i="153"/>
  <c r="FC33" i="153"/>
  <c r="FB33" i="153"/>
  <c r="FA33" i="153"/>
  <c r="EZ33" i="153"/>
  <c r="FD31" i="153"/>
  <c r="FC31" i="153"/>
  <c r="FB31" i="153"/>
  <c r="FA31" i="153"/>
  <c r="EZ31" i="153"/>
  <c r="FD30" i="153"/>
  <c r="FC30" i="153"/>
  <c r="FB30" i="153"/>
  <c r="FA30" i="153"/>
  <c r="EZ30" i="153"/>
  <c r="FD28" i="153"/>
  <c r="FC28" i="153"/>
  <c r="FB28" i="153"/>
  <c r="FA28" i="153"/>
  <c r="EZ28" i="153"/>
  <c r="FD27" i="153"/>
  <c r="FC27" i="153"/>
  <c r="FB27" i="153"/>
  <c r="FA27" i="153"/>
  <c r="EZ27" i="153"/>
  <c r="FD25" i="153"/>
  <c r="FC25" i="153"/>
  <c r="FB25" i="153"/>
  <c r="FA25" i="153"/>
  <c r="EZ25" i="153"/>
  <c r="FD24" i="153"/>
  <c r="FC24" i="153"/>
  <c r="FB24" i="153"/>
  <c r="FA24" i="153"/>
  <c r="EZ24" i="153"/>
  <c r="FD18" i="153"/>
  <c r="FC18" i="153"/>
  <c r="FB18" i="153"/>
  <c r="FA18" i="153"/>
  <c r="EZ18" i="153"/>
  <c r="FD17" i="153"/>
  <c r="FC17" i="153"/>
  <c r="FB17" i="153"/>
  <c r="FA17" i="153"/>
  <c r="EZ17" i="153"/>
  <c r="FD15" i="153"/>
  <c r="FC15" i="153"/>
  <c r="FB15" i="153"/>
  <c r="FA15" i="153"/>
  <c r="EZ15" i="153"/>
  <c r="FD14" i="153"/>
  <c r="FC14" i="153"/>
  <c r="FB14" i="153"/>
  <c r="FA14" i="153"/>
  <c r="EZ14" i="153"/>
  <c r="FD9" i="153"/>
  <c r="FC9" i="153"/>
  <c r="FB9" i="153"/>
  <c r="FA9" i="153"/>
  <c r="EZ9" i="153"/>
  <c r="FD8" i="153"/>
  <c r="FC8" i="153"/>
  <c r="FB8" i="153"/>
  <c r="FA8" i="153"/>
  <c r="EZ8" i="153"/>
  <c r="FD6" i="153"/>
  <c r="FC6" i="153"/>
  <c r="FB6" i="153"/>
  <c r="FA6" i="153"/>
  <c r="EZ6" i="153"/>
  <c r="FD5" i="153"/>
  <c r="FC5" i="153"/>
  <c r="FB5" i="153"/>
  <c r="FA5" i="153"/>
  <c r="EZ5" i="153"/>
  <c r="FD3" i="153"/>
  <c r="FC3" i="153"/>
  <c r="FB3" i="153"/>
  <c r="FA3" i="153"/>
  <c r="EZ3" i="153"/>
  <c r="FD2" i="153"/>
  <c r="FC2" i="153"/>
  <c r="FB2" i="153"/>
  <c r="FA2" i="153"/>
  <c r="EZ2" i="153"/>
  <c r="EX37" i="153"/>
  <c r="EW37" i="153"/>
  <c r="EV37" i="153"/>
  <c r="EU37" i="153"/>
  <c r="ET37" i="153"/>
  <c r="ER37" i="153"/>
  <c r="EQ37" i="153"/>
  <c r="EP37" i="153"/>
  <c r="EO37" i="153"/>
  <c r="EN37" i="153"/>
  <c r="EL37" i="153"/>
  <c r="EK37" i="153"/>
  <c r="EJ37" i="153"/>
  <c r="EI37" i="153"/>
  <c r="EH37" i="153"/>
  <c r="EF37" i="153"/>
  <c r="EE37" i="153"/>
  <c r="ED37" i="153"/>
  <c r="EC37" i="153"/>
  <c r="EB37" i="153"/>
  <c r="DZ37" i="153"/>
  <c r="DY37" i="153"/>
  <c r="DX37" i="153"/>
  <c r="DW37" i="153"/>
  <c r="DV37" i="153"/>
  <c r="DT37" i="153"/>
  <c r="DS37" i="153"/>
  <c r="DR37" i="153"/>
  <c r="DQ37" i="153"/>
  <c r="DP37" i="153"/>
  <c r="DN37" i="153"/>
  <c r="DM37" i="153"/>
  <c r="DL37" i="153"/>
  <c r="DK37" i="153"/>
  <c r="DJ37" i="153"/>
  <c r="DH37" i="153"/>
  <c r="DG37" i="153"/>
  <c r="DF37" i="153"/>
  <c r="DE37" i="153"/>
  <c r="DD37" i="153"/>
  <c r="DB37" i="153"/>
  <c r="DA37" i="153"/>
  <c r="CZ37" i="153"/>
  <c r="CY37" i="153"/>
  <c r="CX37" i="153"/>
  <c r="CV37" i="153"/>
  <c r="CU37" i="153"/>
  <c r="CT37" i="153"/>
  <c r="CS37" i="153"/>
  <c r="CR37" i="153"/>
  <c r="CP37" i="153"/>
  <c r="CO37" i="153"/>
  <c r="CN37" i="153"/>
  <c r="CM37" i="153"/>
  <c r="CL37" i="153"/>
  <c r="CJ37" i="153"/>
  <c r="CI37" i="153"/>
  <c r="CH37" i="153"/>
  <c r="CG37" i="153"/>
  <c r="CF37" i="153"/>
  <c r="CD37" i="153"/>
  <c r="CC37" i="153"/>
  <c r="CB37" i="153"/>
  <c r="CA37" i="153"/>
  <c r="BZ37" i="153"/>
  <c r="BX37" i="153"/>
  <c r="BW37" i="153"/>
  <c r="BV37" i="153"/>
  <c r="BU37" i="153"/>
  <c r="BT37" i="153"/>
  <c r="BR37" i="153"/>
  <c r="BQ37" i="153"/>
  <c r="BP37" i="153"/>
  <c r="BO37" i="153"/>
  <c r="BN37" i="153"/>
  <c r="BL37" i="153"/>
  <c r="BK37" i="153"/>
  <c r="BJ37" i="153"/>
  <c r="BI37" i="153"/>
  <c r="BH37" i="153"/>
  <c r="BF37" i="153"/>
  <c r="BE37" i="153"/>
  <c r="BD37" i="153"/>
  <c r="BC37" i="153"/>
  <c r="BB37" i="153"/>
  <c r="AZ37" i="153"/>
  <c r="AY37" i="153"/>
  <c r="AX37" i="153"/>
  <c r="AW37" i="153"/>
  <c r="AV37" i="153"/>
  <c r="AT37" i="153"/>
  <c r="AS37" i="153"/>
  <c r="AR37" i="153"/>
  <c r="AQ37" i="153"/>
  <c r="AP37" i="153"/>
  <c r="AN37" i="153"/>
  <c r="AM37" i="153"/>
  <c r="AL37" i="153"/>
  <c r="AK37" i="153"/>
  <c r="AJ37" i="153"/>
  <c r="AH37" i="153"/>
  <c r="AG37" i="153"/>
  <c r="AF37" i="153"/>
  <c r="AE37" i="153"/>
  <c r="AD37" i="153"/>
  <c r="AB37" i="153"/>
  <c r="AA37" i="153"/>
  <c r="Z37" i="153"/>
  <c r="Y37" i="153"/>
  <c r="X37" i="153"/>
  <c r="V37" i="153"/>
  <c r="U37" i="153"/>
  <c r="T37" i="153"/>
  <c r="S37" i="153"/>
  <c r="Q37" i="153"/>
  <c r="P37" i="153"/>
  <c r="O37" i="153"/>
  <c r="M37" i="153"/>
  <c r="L37" i="153"/>
  <c r="K37" i="153"/>
  <c r="J37" i="153"/>
  <c r="I37" i="153"/>
  <c r="G37" i="153"/>
  <c r="F37" i="153"/>
  <c r="E37" i="153"/>
  <c r="D37" i="153"/>
  <c r="C37" i="153"/>
  <c r="EX36" i="153"/>
  <c r="EW36" i="153"/>
  <c r="EV36" i="153"/>
  <c r="EU36" i="153"/>
  <c r="ET36" i="153"/>
  <c r="ER36" i="153"/>
  <c r="EQ36" i="153"/>
  <c r="EP36" i="153"/>
  <c r="EO36" i="153"/>
  <c r="EN36" i="153"/>
  <c r="EL36" i="153"/>
  <c r="EK36" i="153"/>
  <c r="EJ36" i="153"/>
  <c r="EI36" i="153"/>
  <c r="EH36" i="153"/>
  <c r="EF36" i="153"/>
  <c r="EE36" i="153"/>
  <c r="ED36" i="153"/>
  <c r="EC36" i="153"/>
  <c r="EB36" i="153"/>
  <c r="DZ36" i="153"/>
  <c r="DY36" i="153"/>
  <c r="DX36" i="153"/>
  <c r="DW36" i="153"/>
  <c r="DV36" i="153"/>
  <c r="DT36" i="153"/>
  <c r="DS36" i="153"/>
  <c r="DR36" i="153"/>
  <c r="DQ36" i="153"/>
  <c r="DP36" i="153"/>
  <c r="DN36" i="153"/>
  <c r="DM36" i="153"/>
  <c r="DL36" i="153"/>
  <c r="DK36" i="153"/>
  <c r="DJ36" i="153"/>
  <c r="DH36" i="153"/>
  <c r="DG36" i="153"/>
  <c r="DF36" i="153"/>
  <c r="DE36" i="153"/>
  <c r="DD36" i="153"/>
  <c r="DB36" i="153"/>
  <c r="DA36" i="153"/>
  <c r="CZ36" i="153"/>
  <c r="CY36" i="153"/>
  <c r="CX36" i="153"/>
  <c r="CV36" i="153"/>
  <c r="CU36" i="153"/>
  <c r="CT36" i="153"/>
  <c r="CS36" i="153"/>
  <c r="CR36" i="153"/>
  <c r="CP36" i="153"/>
  <c r="CO36" i="153"/>
  <c r="CN36" i="153"/>
  <c r="CM36" i="153"/>
  <c r="CL36" i="153"/>
  <c r="CJ36" i="153"/>
  <c r="CI36" i="153"/>
  <c r="CH36" i="153"/>
  <c r="CG36" i="153"/>
  <c r="CF36" i="153"/>
  <c r="CD36" i="153"/>
  <c r="CC36" i="153"/>
  <c r="CB36" i="153"/>
  <c r="CA36" i="153"/>
  <c r="BZ36" i="153"/>
  <c r="BX36" i="153"/>
  <c r="BW36" i="153"/>
  <c r="BV36" i="153"/>
  <c r="BU36" i="153"/>
  <c r="BT36" i="153"/>
  <c r="BR36" i="153"/>
  <c r="BQ36" i="153"/>
  <c r="BP36" i="153"/>
  <c r="BO36" i="153"/>
  <c r="BN36" i="153"/>
  <c r="BL36" i="153"/>
  <c r="BK36" i="153"/>
  <c r="BJ36" i="153"/>
  <c r="BI36" i="153"/>
  <c r="BH36" i="153"/>
  <c r="BF36" i="153"/>
  <c r="BE36" i="153"/>
  <c r="BD36" i="153"/>
  <c r="BC36" i="153"/>
  <c r="BB36" i="153"/>
  <c r="AZ36" i="153"/>
  <c r="AY36" i="153"/>
  <c r="AX36" i="153"/>
  <c r="AW36" i="153"/>
  <c r="AV36" i="153"/>
  <c r="AT36" i="153"/>
  <c r="AS36" i="153"/>
  <c r="AR36" i="153"/>
  <c r="AQ36" i="153"/>
  <c r="AP36" i="153"/>
  <c r="AN36" i="153"/>
  <c r="AM36" i="153"/>
  <c r="AL36" i="153"/>
  <c r="AK36" i="153"/>
  <c r="AJ36" i="153"/>
  <c r="AH36" i="153"/>
  <c r="AG36" i="153"/>
  <c r="AF36" i="153"/>
  <c r="AE36" i="153"/>
  <c r="AD36" i="153"/>
  <c r="AB36" i="153"/>
  <c r="AA36" i="153"/>
  <c r="Z36" i="153"/>
  <c r="Y36" i="153"/>
  <c r="X36" i="153"/>
  <c r="V36" i="153"/>
  <c r="U36" i="153"/>
  <c r="T36" i="153"/>
  <c r="S36" i="153"/>
  <c r="Q36" i="153"/>
  <c r="P36" i="153"/>
  <c r="O36" i="153"/>
  <c r="M36" i="153"/>
  <c r="L36" i="153"/>
  <c r="K36" i="153"/>
  <c r="J36" i="153"/>
  <c r="I36" i="153"/>
  <c r="G36" i="153"/>
  <c r="F36" i="153"/>
  <c r="E36" i="153"/>
  <c r="D36" i="153"/>
  <c r="C36" i="153"/>
  <c r="EX34" i="153"/>
  <c r="EW34" i="153"/>
  <c r="EV34" i="153"/>
  <c r="EU34" i="153"/>
  <c r="ET34" i="153"/>
  <c r="EX33" i="153"/>
  <c r="EW33" i="153"/>
  <c r="EV33" i="153"/>
  <c r="EU33" i="153"/>
  <c r="ET33" i="153"/>
  <c r="EX31" i="153"/>
  <c r="EW31" i="153"/>
  <c r="EV31" i="153"/>
  <c r="EU31" i="153"/>
  <c r="ET31" i="153"/>
  <c r="EX30" i="153"/>
  <c r="EW30" i="153"/>
  <c r="EV30" i="153"/>
  <c r="EU30" i="153"/>
  <c r="ET30" i="153"/>
  <c r="EX28" i="153"/>
  <c r="EW28" i="153"/>
  <c r="EV28" i="153"/>
  <c r="EU28" i="153"/>
  <c r="ET28" i="153"/>
  <c r="EX27" i="153"/>
  <c r="EW27" i="153"/>
  <c r="EV27" i="153"/>
  <c r="EU27" i="153"/>
  <c r="ET27" i="153"/>
  <c r="EX25" i="153"/>
  <c r="EW25" i="153"/>
  <c r="EV25" i="153"/>
  <c r="EU25" i="153"/>
  <c r="ET25" i="153"/>
  <c r="EX24" i="153"/>
  <c r="EW24" i="153"/>
  <c r="EV24" i="153"/>
  <c r="EU24" i="153"/>
  <c r="ET24" i="153"/>
  <c r="EX18" i="153"/>
  <c r="EW18" i="153"/>
  <c r="EV18" i="153"/>
  <c r="EU18" i="153"/>
  <c r="ET18" i="153"/>
  <c r="EX17" i="153"/>
  <c r="EW17" i="153"/>
  <c r="EV17" i="153"/>
  <c r="EU17" i="153"/>
  <c r="ET17" i="153"/>
  <c r="EX15" i="153"/>
  <c r="EW15" i="153"/>
  <c r="EV15" i="153"/>
  <c r="EU15" i="153"/>
  <c r="ET15" i="153"/>
  <c r="EX14" i="153"/>
  <c r="EW14" i="153"/>
  <c r="EV14" i="153"/>
  <c r="EU14" i="153"/>
  <c r="ET14" i="153"/>
  <c r="EX9" i="153"/>
  <c r="EW9" i="153"/>
  <c r="EV9" i="153"/>
  <c r="EU9" i="153"/>
  <c r="ET9" i="153"/>
  <c r="EX8" i="153"/>
  <c r="EW8" i="153"/>
  <c r="EV8" i="153"/>
  <c r="EU8" i="153"/>
  <c r="ET8" i="153"/>
  <c r="EX6" i="153"/>
  <c r="EW6" i="153"/>
  <c r="EV6" i="153"/>
  <c r="EU6" i="153"/>
  <c r="ET6" i="153"/>
  <c r="EX5" i="153"/>
  <c r="EW5" i="153"/>
  <c r="EV5" i="153"/>
  <c r="EU5" i="153"/>
  <c r="ET5" i="153"/>
  <c r="EX3" i="153"/>
  <c r="EW3" i="153"/>
  <c r="EV3" i="153"/>
  <c r="EU3" i="153"/>
  <c r="ET3" i="153"/>
  <c r="EX2" i="153"/>
  <c r="EW2" i="153"/>
  <c r="EV2" i="153"/>
  <c r="EU2" i="153"/>
  <c r="ET2" i="153"/>
  <c r="GB21" i="153" l="1"/>
  <c r="FY21" i="153"/>
  <c r="FU21" i="153"/>
  <c r="GA21" i="153"/>
  <c r="FS21" i="153"/>
  <c r="FS7" i="153"/>
  <c r="FS16" i="153"/>
  <c r="FD21" i="153"/>
  <c r="FH21" i="153"/>
  <c r="FO21" i="153"/>
  <c r="FX20" i="153"/>
  <c r="GB20" i="153"/>
  <c r="FZ20" i="153"/>
  <c r="FH20" i="153"/>
  <c r="FL20" i="153"/>
  <c r="FP20" i="153"/>
  <c r="FA21" i="153"/>
  <c r="FI21" i="153"/>
  <c r="FM21" i="153"/>
  <c r="FB21" i="153"/>
  <c r="FJ21" i="153"/>
  <c r="FN21" i="153"/>
  <c r="FU26" i="153"/>
  <c r="FY20" i="153"/>
  <c r="GA20" i="153"/>
  <c r="EV7" i="153"/>
  <c r="EV16" i="153"/>
  <c r="EX19" i="153"/>
  <c r="FD26" i="153"/>
  <c r="FD29" i="153"/>
  <c r="FB32" i="153"/>
  <c r="FD35" i="153"/>
  <c r="FB38" i="153"/>
  <c r="FP29" i="153"/>
  <c r="FN32" i="153"/>
  <c r="FP35" i="153"/>
  <c r="FN38" i="153"/>
  <c r="FV19" i="153"/>
  <c r="ET21" i="153"/>
  <c r="EX21" i="153"/>
  <c r="FC21" i="153"/>
  <c r="FG21" i="153"/>
  <c r="FH32" i="153"/>
  <c r="FJ35" i="153"/>
  <c r="FH38" i="153"/>
  <c r="FT4" i="153"/>
  <c r="FT32" i="153"/>
  <c r="FV35" i="153"/>
  <c r="FT38" i="153"/>
  <c r="FN20" i="153"/>
  <c r="FR20" i="153"/>
  <c r="FV20" i="153"/>
  <c r="FC20" i="153"/>
  <c r="FG20" i="153"/>
  <c r="FO20" i="153"/>
  <c r="FQ14" i="153"/>
  <c r="FQ24" i="153"/>
  <c r="FC7" i="153"/>
  <c r="FC16" i="153"/>
  <c r="FC26" i="153"/>
  <c r="FC29" i="153"/>
  <c r="FA32" i="153"/>
  <c r="FC35" i="153"/>
  <c r="FA38" i="153"/>
  <c r="FG7" i="153"/>
  <c r="FI10" i="153"/>
  <c r="FG16" i="153"/>
  <c r="FI19" i="153"/>
  <c r="FG26" i="153"/>
  <c r="FG29" i="153"/>
  <c r="FI32" i="153"/>
  <c r="FG35" i="153"/>
  <c r="FI38" i="153"/>
  <c r="FO7" i="153"/>
  <c r="FM10" i="153"/>
  <c r="FO16" i="153"/>
  <c r="FM19" i="153"/>
  <c r="FO26" i="153"/>
  <c r="FO29" i="153"/>
  <c r="FM32" i="153"/>
  <c r="FO35" i="153"/>
  <c r="FM38" i="153"/>
  <c r="FS29" i="153"/>
  <c r="FU32" i="153"/>
  <c r="FS35" i="153"/>
  <c r="FU38" i="153"/>
  <c r="GA26" i="153"/>
  <c r="FA7" i="153"/>
  <c r="FD10" i="153"/>
  <c r="FC10" i="153"/>
  <c r="FA16" i="153"/>
  <c r="FD19" i="153"/>
  <c r="FC19" i="153"/>
  <c r="FA26" i="153"/>
  <c r="FA29" i="153"/>
  <c r="FC32" i="153"/>
  <c r="FA35" i="153"/>
  <c r="FC38" i="153"/>
  <c r="FI7" i="153"/>
  <c r="FG10" i="153"/>
  <c r="FI16" i="153"/>
  <c r="FG19" i="153"/>
  <c r="FI26" i="153"/>
  <c r="FK27" i="153"/>
  <c r="FI29" i="153"/>
  <c r="FG32" i="153"/>
  <c r="FK33" i="153"/>
  <c r="FI35" i="153"/>
  <c r="FG38" i="153"/>
  <c r="FM7" i="153"/>
  <c r="FO10" i="153"/>
  <c r="FM16" i="153"/>
  <c r="FO19" i="153"/>
  <c r="FM26" i="153"/>
  <c r="FM29" i="153"/>
  <c r="FO32" i="153"/>
  <c r="FM35" i="153"/>
  <c r="FO38" i="153"/>
  <c r="FS10" i="153"/>
  <c r="FS19" i="153"/>
  <c r="FU29" i="153"/>
  <c r="FS32" i="153"/>
  <c r="FW33" i="153"/>
  <c r="FU35" i="153"/>
  <c r="FS38" i="153"/>
  <c r="FY7" i="153"/>
  <c r="GA10" i="153"/>
  <c r="FY16" i="153"/>
  <c r="GA19" i="153"/>
  <c r="FQ27" i="153"/>
  <c r="FQ33" i="153"/>
  <c r="EZ20" i="153"/>
  <c r="FD20" i="153"/>
  <c r="GA29" i="153"/>
  <c r="FY32" i="153"/>
  <c r="GC24" i="153"/>
  <c r="FB20" i="153"/>
  <c r="FE33" i="153"/>
  <c r="FF20" i="153"/>
  <c r="FJ20" i="153"/>
  <c r="GA35" i="153"/>
  <c r="FY38" i="153"/>
  <c r="EZ16" i="153"/>
  <c r="FH7" i="153"/>
  <c r="FJ10" i="153"/>
  <c r="FH16" i="153"/>
  <c r="FH26" i="153"/>
  <c r="FF32" i="153"/>
  <c r="FF38" i="153"/>
  <c r="FJ38" i="153"/>
  <c r="FS20" i="153"/>
  <c r="FT7" i="153"/>
  <c r="FT16" i="153"/>
  <c r="FT26" i="153"/>
  <c r="FT29" i="153"/>
  <c r="FR32" i="153"/>
  <c r="FT35" i="153"/>
  <c r="FR38" i="153"/>
  <c r="FV38" i="153"/>
  <c r="FX7" i="153"/>
  <c r="GB7" i="153"/>
  <c r="FX16" i="153"/>
  <c r="GB16" i="153"/>
  <c r="GB29" i="153"/>
  <c r="FW27" i="153"/>
  <c r="GA38" i="153"/>
  <c r="FA20" i="153"/>
  <c r="FB26" i="153"/>
  <c r="FB29" i="153"/>
  <c r="EZ32" i="153"/>
  <c r="FB35" i="153"/>
  <c r="EZ38" i="153"/>
  <c r="FD38" i="153"/>
  <c r="FI20" i="153"/>
  <c r="FF7" i="153"/>
  <c r="FF16" i="153"/>
  <c r="FM20" i="153"/>
  <c r="FN7" i="153"/>
  <c r="FP10" i="153"/>
  <c r="FN16" i="153"/>
  <c r="FP19" i="153"/>
  <c r="FN26" i="153"/>
  <c r="FN29" i="153"/>
  <c r="FP32" i="153"/>
  <c r="FN35" i="153"/>
  <c r="FP38" i="153"/>
  <c r="FV16" i="153"/>
  <c r="FZ26" i="153"/>
  <c r="FZ29" i="153"/>
  <c r="GB32" i="153"/>
  <c r="FZ35" i="153"/>
  <c r="AU36" i="153"/>
  <c r="BS36" i="153"/>
  <c r="CQ36" i="153"/>
  <c r="DO36" i="153"/>
  <c r="EM36" i="153"/>
  <c r="AC37" i="153"/>
  <c r="BA37" i="153"/>
  <c r="BY37" i="153"/>
  <c r="CW37" i="153"/>
  <c r="DU37" i="153"/>
  <c r="ES37" i="153"/>
  <c r="GB26" i="153"/>
  <c r="GB35" i="153"/>
  <c r="GB10" i="153"/>
  <c r="GB19" i="153"/>
  <c r="GB38" i="153"/>
  <c r="GA32" i="153"/>
  <c r="GA7" i="153"/>
  <c r="GA16" i="153"/>
  <c r="FZ4" i="153"/>
  <c r="FZ10" i="153"/>
  <c r="FZ19" i="153"/>
  <c r="FZ32" i="153"/>
  <c r="FZ38" i="153"/>
  <c r="FZ7" i="153"/>
  <c r="FZ16" i="153"/>
  <c r="GC5" i="153"/>
  <c r="GC14" i="153"/>
  <c r="GC27" i="153"/>
  <c r="GC33" i="153"/>
  <c r="FY26" i="153"/>
  <c r="GC25" i="153"/>
  <c r="FY29" i="153"/>
  <c r="GC28" i="153"/>
  <c r="FY35" i="153"/>
  <c r="GC34" i="153"/>
  <c r="GC8" i="153"/>
  <c r="GC17" i="153"/>
  <c r="GC30" i="153"/>
  <c r="GC36" i="153"/>
  <c r="GC3" i="153"/>
  <c r="FY10" i="153"/>
  <c r="GC9" i="153"/>
  <c r="FY19" i="153"/>
  <c r="GC18" i="153"/>
  <c r="FX32" i="153"/>
  <c r="FX38" i="153"/>
  <c r="FX4" i="153"/>
  <c r="GB4" i="153"/>
  <c r="FX10" i="153"/>
  <c r="FX19" i="153"/>
  <c r="FX21" i="153"/>
  <c r="FX26" i="153"/>
  <c r="FX29" i="153"/>
  <c r="FX35" i="153"/>
  <c r="GC2" i="153"/>
  <c r="FY4" i="153"/>
  <c r="GC6" i="153"/>
  <c r="GC15" i="153"/>
  <c r="GC31" i="153"/>
  <c r="GC37" i="153"/>
  <c r="FZ21" i="153"/>
  <c r="GA4" i="153"/>
  <c r="FV7" i="153"/>
  <c r="FV26" i="153"/>
  <c r="FV29" i="153"/>
  <c r="FV4" i="153"/>
  <c r="FV10" i="153"/>
  <c r="FV32" i="153"/>
  <c r="FU7" i="153"/>
  <c r="FU16" i="153"/>
  <c r="FU4" i="153"/>
  <c r="FU10" i="153"/>
  <c r="FU19" i="153"/>
  <c r="FT10" i="153"/>
  <c r="FT19" i="153"/>
  <c r="FT21" i="153"/>
  <c r="FW5" i="153"/>
  <c r="FW14" i="153"/>
  <c r="FW24" i="153"/>
  <c r="FW25" i="153"/>
  <c r="FW28" i="153"/>
  <c r="FW34" i="153"/>
  <c r="FW8" i="153"/>
  <c r="FW17" i="153"/>
  <c r="FS26" i="153"/>
  <c r="FW30" i="153"/>
  <c r="FW36" i="153"/>
  <c r="FW3" i="153"/>
  <c r="FW9" i="153"/>
  <c r="FW18" i="153"/>
  <c r="FR7" i="153"/>
  <c r="FR16" i="153"/>
  <c r="FR19" i="153"/>
  <c r="FT20" i="153"/>
  <c r="FR21" i="153"/>
  <c r="FV21" i="153"/>
  <c r="FR26" i="153"/>
  <c r="FR29" i="153"/>
  <c r="FR35" i="153"/>
  <c r="FR4" i="153"/>
  <c r="FR10" i="153"/>
  <c r="FW2" i="153"/>
  <c r="FS4" i="153"/>
  <c r="FW6" i="153"/>
  <c r="FW15" i="153"/>
  <c r="FU20" i="153"/>
  <c r="FW31" i="153"/>
  <c r="FW37" i="153"/>
  <c r="FP4" i="153"/>
  <c r="FQ5" i="153"/>
  <c r="FP7" i="153"/>
  <c r="FP16" i="153"/>
  <c r="FP26" i="153"/>
  <c r="FN10" i="153"/>
  <c r="FN19" i="153"/>
  <c r="FQ25" i="153"/>
  <c r="FQ28" i="153"/>
  <c r="FQ34" i="153"/>
  <c r="FQ8" i="153"/>
  <c r="FQ17" i="153"/>
  <c r="FQ30" i="153"/>
  <c r="FQ36" i="153"/>
  <c r="FQ3" i="153"/>
  <c r="FQ9" i="153"/>
  <c r="FQ18" i="153"/>
  <c r="FL7" i="153"/>
  <c r="FL16" i="153"/>
  <c r="FL32" i="153"/>
  <c r="FL38" i="153"/>
  <c r="FL19" i="153"/>
  <c r="FL21" i="153"/>
  <c r="FP21" i="153"/>
  <c r="FL26" i="153"/>
  <c r="FL29" i="153"/>
  <c r="FL35" i="153"/>
  <c r="FL4" i="153"/>
  <c r="FL10" i="153"/>
  <c r="FQ2" i="153"/>
  <c r="FM4" i="153"/>
  <c r="FQ6" i="153"/>
  <c r="FQ15" i="153"/>
  <c r="FQ31" i="153"/>
  <c r="FQ37" i="153"/>
  <c r="FN4" i="153"/>
  <c r="FO4" i="153"/>
  <c r="FJ7" i="153"/>
  <c r="FJ16" i="153"/>
  <c r="FJ26" i="153"/>
  <c r="FJ29" i="153"/>
  <c r="FJ19" i="153"/>
  <c r="FJ32" i="153"/>
  <c r="FK5" i="153"/>
  <c r="FK14" i="153"/>
  <c r="FK24" i="153"/>
  <c r="FH10" i="153"/>
  <c r="FH19" i="153"/>
  <c r="FH29" i="153"/>
  <c r="FH35" i="153"/>
  <c r="FK25" i="153"/>
  <c r="FK28" i="153"/>
  <c r="FK34" i="153"/>
  <c r="FK8" i="153"/>
  <c r="FK17" i="153"/>
  <c r="FK30" i="153"/>
  <c r="FK36" i="153"/>
  <c r="FK3" i="153"/>
  <c r="FK9" i="153"/>
  <c r="FK18" i="153"/>
  <c r="FF4" i="153"/>
  <c r="FJ4" i="153"/>
  <c r="FF10" i="153"/>
  <c r="FF19" i="153"/>
  <c r="FF21" i="153"/>
  <c r="FF26" i="153"/>
  <c r="FF29" i="153"/>
  <c r="FF35" i="153"/>
  <c r="FK2" i="153"/>
  <c r="FG4" i="153"/>
  <c r="FK6" i="153"/>
  <c r="FK15" i="153"/>
  <c r="FK31" i="153"/>
  <c r="FK37" i="153"/>
  <c r="FH4" i="153"/>
  <c r="FI4" i="153"/>
  <c r="FD7" i="153"/>
  <c r="FD16" i="153"/>
  <c r="FD32" i="153"/>
  <c r="FE5" i="153"/>
  <c r="FE14" i="153"/>
  <c r="FE24" i="153"/>
  <c r="FE27" i="153"/>
  <c r="FB10" i="153"/>
  <c r="FB19" i="153"/>
  <c r="FB7" i="153"/>
  <c r="FB16" i="153"/>
  <c r="FE3" i="153"/>
  <c r="FA10" i="153"/>
  <c r="FA19" i="153"/>
  <c r="FE25" i="153"/>
  <c r="FE28" i="153"/>
  <c r="FE34" i="153"/>
  <c r="FE8" i="153"/>
  <c r="FE17" i="153"/>
  <c r="FE30" i="153"/>
  <c r="FE36" i="153"/>
  <c r="FE9" i="153"/>
  <c r="FE18" i="153"/>
  <c r="EZ7" i="153"/>
  <c r="EZ4" i="153"/>
  <c r="FD4" i="153"/>
  <c r="EZ10" i="153"/>
  <c r="EZ19" i="153"/>
  <c r="EZ21" i="153"/>
  <c r="EZ26" i="153"/>
  <c r="EZ29" i="153"/>
  <c r="EZ35" i="153"/>
  <c r="FE2" i="153"/>
  <c r="FA4" i="153"/>
  <c r="FE6" i="153"/>
  <c r="FE15" i="153"/>
  <c r="FE31" i="153"/>
  <c r="FE37" i="153"/>
  <c r="FB4" i="153"/>
  <c r="FC4" i="153"/>
  <c r="EG37" i="153"/>
  <c r="H37" i="153"/>
  <c r="N36" i="153"/>
  <c r="AI36" i="153"/>
  <c r="BG36" i="153"/>
  <c r="CE36" i="153"/>
  <c r="DC36" i="153"/>
  <c r="EA36" i="153"/>
  <c r="EY36" i="153"/>
  <c r="F38" i="153"/>
  <c r="K38" i="153"/>
  <c r="P38" i="153"/>
  <c r="U38" i="153"/>
  <c r="Z38" i="153"/>
  <c r="AE38" i="153"/>
  <c r="AO37" i="153"/>
  <c r="AN38" i="153"/>
  <c r="AS38" i="153"/>
  <c r="AX38" i="153"/>
  <c r="BC38" i="153"/>
  <c r="BM37" i="153"/>
  <c r="BL38" i="153"/>
  <c r="BQ38" i="153"/>
  <c r="BV38" i="153"/>
  <c r="CA38" i="153"/>
  <c r="CK37" i="153"/>
  <c r="CJ38" i="153"/>
  <c r="CO38" i="153"/>
  <c r="CT38" i="153"/>
  <c r="CY38" i="153"/>
  <c r="DI37" i="153"/>
  <c r="DH38" i="153"/>
  <c r="DM38" i="153"/>
  <c r="DR38" i="153"/>
  <c r="DW38" i="153"/>
  <c r="EF38" i="153"/>
  <c r="EK38" i="153"/>
  <c r="EP38" i="153"/>
  <c r="EU38" i="153"/>
  <c r="R36" i="153"/>
  <c r="AO36" i="153"/>
  <c r="BM36" i="153"/>
  <c r="CK36" i="153"/>
  <c r="DI36" i="153"/>
  <c r="EG36" i="153"/>
  <c r="C38" i="153"/>
  <c r="G38" i="153"/>
  <c r="L38" i="153"/>
  <c r="Q38" i="153"/>
  <c r="V38" i="153"/>
  <c r="AA38" i="153"/>
  <c r="AF38" i="153"/>
  <c r="AK38" i="153"/>
  <c r="AP38" i="153"/>
  <c r="AT38" i="153"/>
  <c r="AY38" i="153"/>
  <c r="BD38" i="153"/>
  <c r="BI38" i="153"/>
  <c r="BN38" i="153"/>
  <c r="BR38" i="153"/>
  <c r="BW38" i="153"/>
  <c r="CB38" i="153"/>
  <c r="CG38" i="153"/>
  <c r="CL38" i="153"/>
  <c r="CP38" i="153"/>
  <c r="CU38" i="153"/>
  <c r="CZ38" i="153"/>
  <c r="DE38" i="153"/>
  <c r="DJ38" i="153"/>
  <c r="DN38" i="153"/>
  <c r="DS38" i="153"/>
  <c r="DX38" i="153"/>
  <c r="EC38" i="153"/>
  <c r="EH38" i="153"/>
  <c r="EL38" i="153"/>
  <c r="EQ38" i="153"/>
  <c r="EV38" i="153"/>
  <c r="I38" i="153"/>
  <c r="M38" i="153"/>
  <c r="S38" i="153"/>
  <c r="AB38" i="153"/>
  <c r="AG38" i="153"/>
  <c r="AL38" i="153"/>
  <c r="AQ38" i="153"/>
  <c r="AZ38" i="153"/>
  <c r="BE38" i="153"/>
  <c r="BJ38" i="153"/>
  <c r="BO38" i="153"/>
  <c r="BX38" i="153"/>
  <c r="CC38" i="153"/>
  <c r="CH38" i="153"/>
  <c r="CM38" i="153"/>
  <c r="CV38" i="153"/>
  <c r="DA38" i="153"/>
  <c r="DF38" i="153"/>
  <c r="DK38" i="153"/>
  <c r="DT38" i="153"/>
  <c r="DY38" i="153"/>
  <c r="ED38" i="153"/>
  <c r="EI38" i="153"/>
  <c r="ER38" i="153"/>
  <c r="EW38" i="153"/>
  <c r="H36" i="153"/>
  <c r="W36" i="153"/>
  <c r="AC36" i="153"/>
  <c r="BA36" i="153"/>
  <c r="BY36" i="153"/>
  <c r="CW36" i="153"/>
  <c r="DU36" i="153"/>
  <c r="ES36" i="153"/>
  <c r="E38" i="153"/>
  <c r="J38" i="153"/>
  <c r="O38" i="153"/>
  <c r="T38" i="153"/>
  <c r="Y38" i="153"/>
  <c r="AD38" i="153"/>
  <c r="AH38" i="153"/>
  <c r="AM38" i="153"/>
  <c r="AR38" i="153"/>
  <c r="AW38" i="153"/>
  <c r="BB38" i="153"/>
  <c r="BF38" i="153"/>
  <c r="BK38" i="153"/>
  <c r="BP38" i="153"/>
  <c r="BU38" i="153"/>
  <c r="BZ38" i="153"/>
  <c r="CD38" i="153"/>
  <c r="CI38" i="153"/>
  <c r="CN38" i="153"/>
  <c r="CS38" i="153"/>
  <c r="CX38" i="153"/>
  <c r="DB38" i="153"/>
  <c r="DG38" i="153"/>
  <c r="DL38" i="153"/>
  <c r="DQ38" i="153"/>
  <c r="DV38" i="153"/>
  <c r="DZ38" i="153"/>
  <c r="EE38" i="153"/>
  <c r="EJ38" i="153"/>
  <c r="EO38" i="153"/>
  <c r="ET38" i="153"/>
  <c r="EX38" i="153"/>
  <c r="N37" i="153"/>
  <c r="R37" i="153"/>
  <c r="D38" i="153"/>
  <c r="X38" i="153"/>
  <c r="AJ38" i="153"/>
  <c r="AV38" i="153"/>
  <c r="BH38" i="153"/>
  <c r="BT38" i="153"/>
  <c r="CF38" i="153"/>
  <c r="CR38" i="153"/>
  <c r="DD38" i="153"/>
  <c r="DP38" i="153"/>
  <c r="EB38" i="153"/>
  <c r="EN38" i="153"/>
  <c r="W37" i="153"/>
  <c r="AI37" i="153"/>
  <c r="AU37" i="153"/>
  <c r="BG37" i="153"/>
  <c r="BS37" i="153"/>
  <c r="CE37" i="153"/>
  <c r="CQ37" i="153"/>
  <c r="DC37" i="153"/>
  <c r="DO37" i="153"/>
  <c r="EA37" i="153"/>
  <c r="EM37" i="153"/>
  <c r="EY37" i="153"/>
  <c r="EU21" i="153"/>
  <c r="EU26" i="153"/>
  <c r="EY30" i="153"/>
  <c r="EY8" i="153"/>
  <c r="EY17" i="153"/>
  <c r="EW10" i="153"/>
  <c r="EW19" i="153"/>
  <c r="EU29" i="153"/>
  <c r="EW32" i="153"/>
  <c r="EU35" i="153"/>
  <c r="EW26" i="153"/>
  <c r="EW29" i="153"/>
  <c r="EU32" i="153"/>
  <c r="EW35" i="153"/>
  <c r="EV19" i="153"/>
  <c r="EX29" i="153"/>
  <c r="EV32" i="153"/>
  <c r="ET35" i="153"/>
  <c r="EX35" i="153"/>
  <c r="EX4" i="153"/>
  <c r="EX10" i="153"/>
  <c r="EX32" i="153"/>
  <c r="EX26" i="153"/>
  <c r="EX7" i="153"/>
  <c r="EX16" i="153"/>
  <c r="EW21" i="153"/>
  <c r="EW7" i="153"/>
  <c r="EW16" i="153"/>
  <c r="EW20" i="153"/>
  <c r="EV26" i="153"/>
  <c r="EV29" i="153"/>
  <c r="EV35" i="153"/>
  <c r="EV20" i="153"/>
  <c r="EY2" i="153"/>
  <c r="EV4" i="153"/>
  <c r="EV10" i="153"/>
  <c r="EU7" i="153"/>
  <c r="EU16" i="153"/>
  <c r="EU4" i="153"/>
  <c r="EU10" i="153"/>
  <c r="EY9" i="153"/>
  <c r="EU19" i="153"/>
  <c r="EY18" i="153"/>
  <c r="EY31" i="153"/>
  <c r="EY5" i="153"/>
  <c r="EY14" i="153"/>
  <c r="EY24" i="153"/>
  <c r="EY27" i="153"/>
  <c r="EY33" i="153"/>
  <c r="EY6" i="153"/>
  <c r="EY15" i="153"/>
  <c r="EY25" i="153"/>
  <c r="ET29" i="153"/>
  <c r="ET7" i="153"/>
  <c r="ET16" i="153"/>
  <c r="ET20" i="153"/>
  <c r="EX20" i="153"/>
  <c r="EV21" i="153"/>
  <c r="ET32" i="153"/>
  <c r="EY3" i="153"/>
  <c r="EW4" i="153"/>
  <c r="EU20" i="153"/>
  <c r="EY28" i="153"/>
  <c r="EY34" i="153"/>
  <c r="ET19" i="153"/>
  <c r="ET26" i="153"/>
  <c r="ET4" i="153"/>
  <c r="ET10" i="153"/>
  <c r="R3743" i="5"/>
  <c r="AA3743" i="5"/>
  <c r="R3744" i="5"/>
  <c r="AA3744" i="5"/>
  <c r="R3745" i="5"/>
  <c r="AA3745" i="5"/>
  <c r="R3746" i="5"/>
  <c r="AA3746" i="5"/>
  <c r="R3747" i="5"/>
  <c r="AA3747" i="5"/>
  <c r="R3748" i="5"/>
  <c r="AA3748" i="5"/>
  <c r="R3749" i="5"/>
  <c r="AA3749" i="5"/>
  <c r="R3750" i="5"/>
  <c r="AA3750" i="5"/>
  <c r="R3751" i="5"/>
  <c r="AA3751" i="5"/>
  <c r="R3752" i="5"/>
  <c r="AA3752" i="5"/>
  <c r="R3753" i="5"/>
  <c r="AA3753" i="5"/>
  <c r="R3754" i="5"/>
  <c r="AA3754" i="5"/>
  <c r="R3755" i="5"/>
  <c r="AA3755" i="5"/>
  <c r="R3756" i="5"/>
  <c r="AA3756" i="5"/>
  <c r="R3757" i="5"/>
  <c r="AA3757" i="5"/>
  <c r="R3758" i="5"/>
  <c r="AA3758" i="5"/>
  <c r="R3759" i="5"/>
  <c r="AA3759" i="5"/>
  <c r="R3760" i="5"/>
  <c r="AA3760" i="5"/>
  <c r="R3761" i="5"/>
  <c r="AA3761" i="5"/>
  <c r="R3762" i="5"/>
  <c r="AA3762" i="5"/>
  <c r="R3763" i="5"/>
  <c r="AA3763" i="5"/>
  <c r="R3764" i="5"/>
  <c r="AA3764" i="5"/>
  <c r="R3765" i="5"/>
  <c r="AA3765" i="5"/>
  <c r="R3766" i="5"/>
  <c r="AA3766" i="5"/>
  <c r="R3767" i="5"/>
  <c r="AA3767" i="5"/>
  <c r="R3768" i="5"/>
  <c r="AA3768" i="5"/>
  <c r="R3769" i="5"/>
  <c r="AA3769" i="5"/>
  <c r="R3770" i="5"/>
  <c r="AA3770" i="5"/>
  <c r="R3771" i="5"/>
  <c r="AA3771" i="5"/>
  <c r="R3772" i="5"/>
  <c r="AA3772" i="5"/>
  <c r="R3773" i="5"/>
  <c r="AA3773" i="5"/>
  <c r="R3774" i="5"/>
  <c r="AA3774" i="5"/>
  <c r="R3775" i="5"/>
  <c r="AA3775" i="5"/>
  <c r="R3776" i="5"/>
  <c r="AA3776" i="5"/>
  <c r="R3777" i="5"/>
  <c r="AA3777" i="5"/>
  <c r="R3778" i="5"/>
  <c r="AA3778" i="5"/>
  <c r="R3779" i="5"/>
  <c r="AA3779" i="5"/>
  <c r="R3780" i="5"/>
  <c r="AA3780" i="5"/>
  <c r="R3781" i="5"/>
  <c r="AA3781" i="5"/>
  <c r="R3782" i="5"/>
  <c r="AA3782" i="5"/>
  <c r="R3783" i="5"/>
  <c r="AA3783" i="5"/>
  <c r="R3784" i="5"/>
  <c r="AA3784" i="5"/>
  <c r="R3785" i="5"/>
  <c r="AA3785" i="5"/>
  <c r="R3786" i="5"/>
  <c r="AA3786" i="5"/>
  <c r="R3787" i="5"/>
  <c r="AA3787" i="5"/>
  <c r="R3788" i="5"/>
  <c r="AA3788" i="5"/>
  <c r="R3789" i="5"/>
  <c r="AA3789" i="5"/>
  <c r="R3790" i="5"/>
  <c r="AA3790" i="5"/>
  <c r="R3791" i="5"/>
  <c r="AA3791" i="5"/>
  <c r="R3792" i="5"/>
  <c r="AA3792" i="5"/>
  <c r="R3793" i="5"/>
  <c r="AA3793" i="5"/>
  <c r="R3794" i="5"/>
  <c r="AA3794" i="5"/>
  <c r="R3795" i="5"/>
  <c r="AA3795" i="5"/>
  <c r="R3796" i="5"/>
  <c r="AA3796" i="5"/>
  <c r="R3797" i="5"/>
  <c r="AA3797" i="5"/>
  <c r="R3798" i="5"/>
  <c r="AA3798" i="5"/>
  <c r="R3799" i="5"/>
  <c r="AA3799" i="5"/>
  <c r="R3800" i="5"/>
  <c r="AA3800" i="5"/>
  <c r="R3801" i="5"/>
  <c r="AA3801" i="5"/>
  <c r="R3802" i="5"/>
  <c r="AA3802" i="5"/>
  <c r="R3803" i="5"/>
  <c r="AA3803" i="5"/>
  <c r="R3804" i="5"/>
  <c r="AA3804" i="5"/>
  <c r="R3805" i="5"/>
  <c r="AA3805" i="5"/>
  <c r="R3806" i="5"/>
  <c r="AA3806" i="5"/>
  <c r="R3807" i="5"/>
  <c r="AA3807" i="5"/>
  <c r="R3808" i="5"/>
  <c r="AA3808" i="5"/>
  <c r="R3809" i="5"/>
  <c r="AA3809" i="5"/>
  <c r="R3810" i="5"/>
  <c r="AA3810" i="5"/>
  <c r="R3811" i="5"/>
  <c r="AA3811" i="5"/>
  <c r="R3812" i="5"/>
  <c r="AA3812" i="5"/>
  <c r="R3813" i="5"/>
  <c r="AA3813" i="5"/>
  <c r="R3814" i="5"/>
  <c r="AA3814" i="5"/>
  <c r="R3815" i="5"/>
  <c r="AA3815" i="5"/>
  <c r="R3816" i="5"/>
  <c r="AA3816" i="5"/>
  <c r="R3817" i="5"/>
  <c r="AA3817" i="5"/>
  <c r="J3743" i="5"/>
  <c r="J3744" i="5"/>
  <c r="J3745" i="5"/>
  <c r="J3746" i="5"/>
  <c r="J3747" i="5"/>
  <c r="J3748" i="5"/>
  <c r="J3749" i="5"/>
  <c r="J3750" i="5"/>
  <c r="J3751" i="5"/>
  <c r="J3752" i="5"/>
  <c r="J3753" i="5"/>
  <c r="J3754" i="5"/>
  <c r="J3755" i="5"/>
  <c r="J3756" i="5"/>
  <c r="J3757" i="5"/>
  <c r="J3758" i="5"/>
  <c r="J3759" i="5"/>
  <c r="J3760" i="5"/>
  <c r="J3761" i="5"/>
  <c r="J3762" i="5"/>
  <c r="J3763" i="5"/>
  <c r="J3764" i="5"/>
  <c r="J3765" i="5"/>
  <c r="J3766" i="5"/>
  <c r="J3767" i="5"/>
  <c r="J3768" i="5"/>
  <c r="J3769" i="5"/>
  <c r="J3770" i="5"/>
  <c r="J3771" i="5"/>
  <c r="J3772" i="5"/>
  <c r="J3773" i="5"/>
  <c r="J3774" i="5"/>
  <c r="J3775" i="5"/>
  <c r="J3776" i="5"/>
  <c r="J3777" i="5"/>
  <c r="J3778" i="5"/>
  <c r="J3779" i="5"/>
  <c r="J3780" i="5"/>
  <c r="J3781" i="5"/>
  <c r="J3782" i="5"/>
  <c r="J3783" i="5"/>
  <c r="J3784" i="5"/>
  <c r="J3785" i="5"/>
  <c r="J3786" i="5"/>
  <c r="J3787" i="5"/>
  <c r="J3788" i="5"/>
  <c r="J3789" i="5"/>
  <c r="J3790" i="5"/>
  <c r="J3791" i="5"/>
  <c r="J3792" i="5"/>
  <c r="J3793" i="5"/>
  <c r="J3794" i="5"/>
  <c r="J3795" i="5"/>
  <c r="J3796" i="5"/>
  <c r="J3797" i="5"/>
  <c r="J3798" i="5"/>
  <c r="J3799" i="5"/>
  <c r="J3800" i="5"/>
  <c r="J3801" i="5"/>
  <c r="J3802" i="5"/>
  <c r="J3803" i="5"/>
  <c r="J3804" i="5"/>
  <c r="J3805" i="5"/>
  <c r="J3806" i="5"/>
  <c r="J3807" i="5"/>
  <c r="J3808" i="5"/>
  <c r="J3809" i="5"/>
  <c r="J3810" i="5"/>
  <c r="J3811" i="5"/>
  <c r="J3812" i="5"/>
  <c r="J3813" i="5"/>
  <c r="J3814" i="5"/>
  <c r="J3815" i="5"/>
  <c r="J3816" i="5"/>
  <c r="J3817" i="5"/>
  <c r="EU22" i="153" l="1"/>
  <c r="EY19" i="153"/>
  <c r="FA22" i="153"/>
  <c r="FS22" i="153"/>
  <c r="B36" i="153"/>
  <c r="B37" i="153"/>
  <c r="FO22" i="153"/>
  <c r="GB22" i="153"/>
  <c r="FY22" i="153"/>
  <c r="FU22" i="153"/>
  <c r="GC19" i="153"/>
  <c r="FH22" i="153"/>
  <c r="FD22" i="153"/>
  <c r="FZ22" i="153"/>
  <c r="FI22" i="153"/>
  <c r="FP22" i="153"/>
  <c r="FJ22" i="153"/>
  <c r="FN22" i="153"/>
  <c r="FB22" i="153"/>
  <c r="BY38" i="153"/>
  <c r="FW35" i="153"/>
  <c r="GC20" i="153"/>
  <c r="FQ29" i="153"/>
  <c r="GA22" i="153"/>
  <c r="FC22" i="153"/>
  <c r="EX22" i="153"/>
  <c r="FG22" i="153"/>
  <c r="CQ38" i="153"/>
  <c r="FQ20" i="153"/>
  <c r="FV22" i="153"/>
  <c r="FQ26" i="153"/>
  <c r="FE35" i="153"/>
  <c r="FT22" i="153"/>
  <c r="FK35" i="153"/>
  <c r="FQ16" i="153"/>
  <c r="DU38" i="153"/>
  <c r="FM22" i="153"/>
  <c r="FQ35" i="153"/>
  <c r="FK29" i="153"/>
  <c r="FW29" i="153"/>
  <c r="BM38" i="153"/>
  <c r="FQ32" i="153"/>
  <c r="GC26" i="153"/>
  <c r="EM38" i="153"/>
  <c r="AU38" i="153"/>
  <c r="AC38" i="153"/>
  <c r="FE20" i="153"/>
  <c r="CW38" i="153"/>
  <c r="GC38" i="153"/>
  <c r="FK20" i="153"/>
  <c r="ES38" i="153"/>
  <c r="BA38" i="153"/>
  <c r="FK19" i="153"/>
  <c r="FK4" i="153"/>
  <c r="FW26" i="153"/>
  <c r="FW38" i="153"/>
  <c r="FW19" i="153"/>
  <c r="EG38" i="153"/>
  <c r="EY38" i="153"/>
  <c r="BG38" i="153"/>
  <c r="R38" i="153"/>
  <c r="H38" i="153"/>
  <c r="DO38" i="153"/>
  <c r="BS38" i="153"/>
  <c r="CK38" i="153"/>
  <c r="FE7" i="153"/>
  <c r="FE19" i="153"/>
  <c r="FK26" i="153"/>
  <c r="FQ19" i="153"/>
  <c r="FQ7" i="153"/>
  <c r="GC10" i="153"/>
  <c r="GC35" i="153"/>
  <c r="GC32" i="153"/>
  <c r="GC4" i="153"/>
  <c r="GC16" i="153"/>
  <c r="GC29" i="153"/>
  <c r="GC7" i="153"/>
  <c r="FX22" i="153"/>
  <c r="GC21" i="153"/>
  <c r="FW32" i="153"/>
  <c r="FW4" i="153"/>
  <c r="FW7" i="153"/>
  <c r="FW10" i="153"/>
  <c r="FW16" i="153"/>
  <c r="FR22" i="153"/>
  <c r="FW21" i="153"/>
  <c r="FW20" i="153"/>
  <c r="FQ10" i="153"/>
  <c r="FQ38" i="153"/>
  <c r="FQ4" i="153"/>
  <c r="FL22" i="153"/>
  <c r="FQ21" i="153"/>
  <c r="FK16" i="153"/>
  <c r="FK7" i="153"/>
  <c r="FK32" i="153"/>
  <c r="FK10" i="153"/>
  <c r="FK38" i="153"/>
  <c r="FF22" i="153"/>
  <c r="FK21" i="153"/>
  <c r="FE16" i="153"/>
  <c r="FE26" i="153"/>
  <c r="FE4" i="153"/>
  <c r="FE38" i="153"/>
  <c r="FE29" i="153"/>
  <c r="FE10" i="153"/>
  <c r="FE32" i="153"/>
  <c r="EZ22" i="153"/>
  <c r="FE21" i="153"/>
  <c r="DC38" i="153"/>
  <c r="N38" i="153"/>
  <c r="CE38" i="153"/>
  <c r="DI38" i="153"/>
  <c r="AO38" i="153"/>
  <c r="EA38" i="153"/>
  <c r="AI38" i="153"/>
  <c r="EY32" i="153"/>
  <c r="W38" i="153"/>
  <c r="EY7" i="153"/>
  <c r="EY10" i="153"/>
  <c r="EV22" i="153"/>
  <c r="EW22" i="153"/>
  <c r="EY29" i="153"/>
  <c r="EY20" i="153"/>
  <c r="EY26" i="153"/>
  <c r="EY4" i="153"/>
  <c r="EY21" i="153"/>
  <c r="EY16" i="153"/>
  <c r="EY35" i="153"/>
  <c r="ET22" i="153"/>
  <c r="R3694" i="5"/>
  <c r="AA3694" i="5"/>
  <c r="R3695" i="5"/>
  <c r="AA3695" i="5"/>
  <c r="R3696" i="5"/>
  <c r="AA3696" i="5"/>
  <c r="R3697" i="5"/>
  <c r="AA3697" i="5"/>
  <c r="R3698" i="5"/>
  <c r="AA3698" i="5"/>
  <c r="R3699" i="5"/>
  <c r="AA3699" i="5"/>
  <c r="R3700" i="5"/>
  <c r="AA3700" i="5"/>
  <c r="R3701" i="5"/>
  <c r="AA3701" i="5"/>
  <c r="R3702" i="5"/>
  <c r="AA3702" i="5"/>
  <c r="R3703" i="5"/>
  <c r="AA3703" i="5"/>
  <c r="R3704" i="5"/>
  <c r="AA3704" i="5"/>
  <c r="R3705" i="5"/>
  <c r="AA3705" i="5"/>
  <c r="R3706" i="5"/>
  <c r="AA3706" i="5"/>
  <c r="R3707" i="5"/>
  <c r="AA3707" i="5"/>
  <c r="R3708" i="5"/>
  <c r="AA3708" i="5"/>
  <c r="R3709" i="5"/>
  <c r="AA3709" i="5"/>
  <c r="R3710" i="5"/>
  <c r="AA3710" i="5"/>
  <c r="R3711" i="5"/>
  <c r="AA3711" i="5"/>
  <c r="R3712" i="5"/>
  <c r="AA3712" i="5"/>
  <c r="R3713" i="5"/>
  <c r="AA3713" i="5"/>
  <c r="R3714" i="5"/>
  <c r="AA3714" i="5"/>
  <c r="R3715" i="5"/>
  <c r="AA3715" i="5"/>
  <c r="R3716" i="5"/>
  <c r="AA3716" i="5"/>
  <c r="R3717" i="5"/>
  <c r="AA3717" i="5"/>
  <c r="R3718" i="5"/>
  <c r="AA3718" i="5"/>
  <c r="R3719" i="5"/>
  <c r="AA3719" i="5"/>
  <c r="R3720" i="5"/>
  <c r="AA3720" i="5"/>
  <c r="R3721" i="5"/>
  <c r="AA3721" i="5"/>
  <c r="R3722" i="5"/>
  <c r="AA3722" i="5"/>
  <c r="R3723" i="5"/>
  <c r="AA3723" i="5"/>
  <c r="R3724" i="5"/>
  <c r="AA3724" i="5"/>
  <c r="R3725" i="5"/>
  <c r="AA3725" i="5"/>
  <c r="R3726" i="5"/>
  <c r="AA3726" i="5"/>
  <c r="R3727" i="5"/>
  <c r="AA3727" i="5"/>
  <c r="R3728" i="5"/>
  <c r="AA3728" i="5"/>
  <c r="R3729" i="5"/>
  <c r="AA3729" i="5"/>
  <c r="R3730" i="5"/>
  <c r="AA3730" i="5"/>
  <c r="R3731" i="5"/>
  <c r="AA3731" i="5"/>
  <c r="R3732" i="5"/>
  <c r="AA3732" i="5"/>
  <c r="R3733" i="5"/>
  <c r="AA3733" i="5"/>
  <c r="R3734" i="5"/>
  <c r="AA3734" i="5"/>
  <c r="R3735" i="5"/>
  <c r="AA3735" i="5"/>
  <c r="R3736" i="5"/>
  <c r="AA3736" i="5"/>
  <c r="R3737" i="5"/>
  <c r="AA3737" i="5"/>
  <c r="R3738" i="5"/>
  <c r="AA3738" i="5"/>
  <c r="R3739" i="5"/>
  <c r="AA3739" i="5"/>
  <c r="R3740" i="5"/>
  <c r="AA3740" i="5"/>
  <c r="R3741" i="5"/>
  <c r="AA3741" i="5"/>
  <c r="R3742" i="5"/>
  <c r="AA3742" i="5"/>
  <c r="J3694" i="5"/>
  <c r="J3695" i="5"/>
  <c r="J3696" i="5"/>
  <c r="J3697" i="5"/>
  <c r="J3698" i="5"/>
  <c r="J3699" i="5"/>
  <c r="J3700" i="5"/>
  <c r="J3701" i="5"/>
  <c r="J3702" i="5"/>
  <c r="J3703" i="5"/>
  <c r="J3704" i="5"/>
  <c r="J3705" i="5"/>
  <c r="J3706" i="5"/>
  <c r="J3707" i="5"/>
  <c r="J3708" i="5"/>
  <c r="J3709" i="5"/>
  <c r="J3710" i="5"/>
  <c r="J3711" i="5"/>
  <c r="J3712" i="5"/>
  <c r="J3713" i="5"/>
  <c r="J3714" i="5"/>
  <c r="J3715" i="5"/>
  <c r="J3716" i="5"/>
  <c r="J3717" i="5"/>
  <c r="J3718" i="5"/>
  <c r="J3719" i="5"/>
  <c r="J3720" i="5"/>
  <c r="J3721" i="5"/>
  <c r="J3722" i="5"/>
  <c r="J3723" i="5"/>
  <c r="J3724" i="5"/>
  <c r="J3725" i="5"/>
  <c r="J3726" i="5"/>
  <c r="J3727" i="5"/>
  <c r="J3728" i="5"/>
  <c r="J3729" i="5"/>
  <c r="J3730" i="5"/>
  <c r="J3731" i="5"/>
  <c r="J3732" i="5"/>
  <c r="J3733" i="5"/>
  <c r="J3734" i="5"/>
  <c r="J3735" i="5"/>
  <c r="J3736" i="5"/>
  <c r="J3737" i="5"/>
  <c r="J3738" i="5"/>
  <c r="J3739" i="5"/>
  <c r="J3740" i="5"/>
  <c r="J3741" i="5"/>
  <c r="J3742" i="5"/>
  <c r="GC22" i="153" l="1"/>
  <c r="FE22" i="153"/>
  <c r="FQ22" i="153"/>
  <c r="B38" i="153"/>
  <c r="FK22" i="153"/>
  <c r="FW22" i="153"/>
  <c r="EY22" i="153"/>
  <c r="R3683" i="5"/>
  <c r="AA3683" i="5"/>
  <c r="R3684" i="5"/>
  <c r="AA3684" i="5"/>
  <c r="R3685" i="5"/>
  <c r="AA3685" i="5"/>
  <c r="R3686" i="5"/>
  <c r="AA3686" i="5"/>
  <c r="R3687" i="5"/>
  <c r="AA3687" i="5"/>
  <c r="R3688" i="5"/>
  <c r="AA3688" i="5"/>
  <c r="R3689" i="5"/>
  <c r="AA3689" i="5"/>
  <c r="R3690" i="5"/>
  <c r="AA3690" i="5"/>
  <c r="R3691" i="5"/>
  <c r="AA3691" i="5"/>
  <c r="R3692" i="5"/>
  <c r="AA3692" i="5"/>
  <c r="R3693" i="5"/>
  <c r="AA3693" i="5"/>
  <c r="AA3682" i="5"/>
  <c r="R3682" i="5"/>
  <c r="J3683" i="5"/>
  <c r="J3684" i="5"/>
  <c r="J3685" i="5"/>
  <c r="J3686" i="5"/>
  <c r="J3687" i="5"/>
  <c r="J3688" i="5"/>
  <c r="J3689" i="5"/>
  <c r="J3690" i="5"/>
  <c r="J3691" i="5"/>
  <c r="J3692" i="5"/>
  <c r="J3693" i="5"/>
  <c r="J3682" i="5"/>
  <c r="D41" i="149" l="1"/>
  <c r="D40" i="149"/>
  <c r="D39" i="149"/>
  <c r="D38" i="149"/>
  <c r="F59" i="4"/>
  <c r="G59" i="4" s="1"/>
  <c r="H59" i="4"/>
  <c r="I59" i="4" s="1"/>
  <c r="J59" i="4"/>
  <c r="L59" i="4"/>
  <c r="N59" i="4"/>
  <c r="F60" i="4"/>
  <c r="G60" i="4" s="1"/>
  <c r="H60" i="4"/>
  <c r="I60" i="4" s="1"/>
  <c r="J60" i="4"/>
  <c r="L60" i="4"/>
  <c r="N60" i="4"/>
  <c r="F61" i="4"/>
  <c r="G61" i="4" s="1"/>
  <c r="H61" i="4"/>
  <c r="I61" i="4" s="1"/>
  <c r="J61" i="4"/>
  <c r="L61" i="4"/>
  <c r="N61" i="4"/>
  <c r="F62" i="4"/>
  <c r="G62" i="4" s="1"/>
  <c r="H62" i="4"/>
  <c r="I62" i="4" s="1"/>
  <c r="J62" i="4"/>
  <c r="L62" i="4"/>
  <c r="N62" i="4"/>
  <c r="F63" i="4"/>
  <c r="G63" i="4" s="1"/>
  <c r="H63" i="4"/>
  <c r="I63" i="4" s="1"/>
  <c r="J63" i="4"/>
  <c r="L63" i="4"/>
  <c r="N63" i="4"/>
  <c r="F64" i="4"/>
  <c r="G64" i="4" s="1"/>
  <c r="H64" i="4"/>
  <c r="I64" i="4" s="1"/>
  <c r="J64" i="4"/>
  <c r="L64" i="4"/>
  <c r="N64" i="4"/>
  <c r="F65" i="4"/>
  <c r="G65" i="4" s="1"/>
  <c r="H65" i="4"/>
  <c r="I65" i="4" s="1"/>
  <c r="J65" i="4"/>
  <c r="L65" i="4"/>
  <c r="N65" i="4"/>
  <c r="F66" i="4"/>
  <c r="G66" i="4" s="1"/>
  <c r="H66" i="4"/>
  <c r="I66" i="4" s="1"/>
  <c r="J66" i="4"/>
  <c r="L66" i="4"/>
  <c r="N66" i="4"/>
  <c r="F67" i="4"/>
  <c r="G67" i="4" s="1"/>
  <c r="H67" i="4"/>
  <c r="I67" i="4" s="1"/>
  <c r="J67" i="4"/>
  <c r="L67" i="4"/>
  <c r="N67" i="4"/>
  <c r="F68" i="4"/>
  <c r="G68" i="4" s="1"/>
  <c r="H68" i="4"/>
  <c r="I68" i="4" s="1"/>
  <c r="J68" i="4"/>
  <c r="L68" i="4"/>
  <c r="N68" i="4"/>
  <c r="F69" i="4"/>
  <c r="G69" i="4" s="1"/>
  <c r="H69" i="4"/>
  <c r="I69" i="4" s="1"/>
  <c r="J69" i="4"/>
  <c r="L69" i="4"/>
  <c r="N69" i="4"/>
  <c r="F70" i="4"/>
  <c r="G70" i="4" s="1"/>
  <c r="H70" i="4"/>
  <c r="I70" i="4" s="1"/>
  <c r="J70" i="4"/>
  <c r="L70" i="4"/>
  <c r="N70" i="4"/>
  <c r="F71" i="4"/>
  <c r="G71" i="4" s="1"/>
  <c r="H71" i="4"/>
  <c r="I71" i="4" s="1"/>
  <c r="J71" i="4"/>
  <c r="L71" i="4"/>
  <c r="N71" i="4"/>
  <c r="F72" i="4"/>
  <c r="G72" i="4" s="1"/>
  <c r="H72" i="4"/>
  <c r="I72" i="4" s="1"/>
  <c r="J72" i="4"/>
  <c r="L72" i="4"/>
  <c r="N72" i="4"/>
  <c r="F73" i="4"/>
  <c r="G73" i="4" s="1"/>
  <c r="H73" i="4"/>
  <c r="I73" i="4" s="1"/>
  <c r="J73" i="4"/>
  <c r="L73" i="4"/>
  <c r="N73" i="4"/>
  <c r="F74" i="4"/>
  <c r="G74" i="4" s="1"/>
  <c r="H74" i="4"/>
  <c r="I74" i="4" s="1"/>
  <c r="J74" i="4"/>
  <c r="L74" i="4"/>
  <c r="N74" i="4"/>
  <c r="F75" i="4"/>
  <c r="G75" i="4" s="1"/>
  <c r="H75" i="4"/>
  <c r="I75" i="4" s="1"/>
  <c r="J75" i="4"/>
  <c r="L75" i="4"/>
  <c r="N75" i="4"/>
  <c r="F76" i="4"/>
  <c r="G76" i="4" s="1"/>
  <c r="H76" i="4"/>
  <c r="I76" i="4" s="1"/>
  <c r="J76" i="4"/>
  <c r="L76" i="4"/>
  <c r="N76" i="4"/>
  <c r="F77" i="4"/>
  <c r="G77" i="4" s="1"/>
  <c r="H77" i="4"/>
  <c r="I77" i="4" s="1"/>
  <c r="J77" i="4"/>
  <c r="L77" i="4"/>
  <c r="N77" i="4"/>
  <c r="F78" i="4"/>
  <c r="G78" i="4" s="1"/>
  <c r="H78" i="4"/>
  <c r="I78" i="4" s="1"/>
  <c r="J78" i="4"/>
  <c r="L78" i="4"/>
  <c r="N78" i="4"/>
  <c r="F79" i="4"/>
  <c r="G79" i="4" s="1"/>
  <c r="H79" i="4"/>
  <c r="I79" i="4" s="1"/>
  <c r="J79" i="4"/>
  <c r="L79" i="4"/>
  <c r="N79" i="4"/>
  <c r="F80" i="4"/>
  <c r="G80" i="4" s="1"/>
  <c r="H80" i="4"/>
  <c r="I80" i="4" s="1"/>
  <c r="J80" i="4"/>
  <c r="L80" i="4"/>
  <c r="N80" i="4"/>
  <c r="F81" i="4"/>
  <c r="G81" i="4" s="1"/>
  <c r="H81" i="4"/>
  <c r="I81" i="4" s="1"/>
  <c r="J81" i="4"/>
  <c r="L81" i="4"/>
  <c r="N81" i="4"/>
  <c r="F82" i="4"/>
  <c r="G82" i="4" s="1"/>
  <c r="H82" i="4"/>
  <c r="I82" i="4" s="1"/>
  <c r="J82" i="4"/>
  <c r="L82" i="4"/>
  <c r="N82" i="4"/>
  <c r="F83" i="4"/>
  <c r="G83" i="4" s="1"/>
  <c r="H83" i="4"/>
  <c r="I83" i="4" s="1"/>
  <c r="J83" i="4"/>
  <c r="L83" i="4"/>
  <c r="N83" i="4"/>
  <c r="F84" i="4"/>
  <c r="G84" i="4" s="1"/>
  <c r="H84" i="4"/>
  <c r="I84" i="4" s="1"/>
  <c r="J84" i="4"/>
  <c r="L84" i="4"/>
  <c r="N84" i="4"/>
  <c r="F85" i="4"/>
  <c r="G85" i="4" s="1"/>
  <c r="H85" i="4"/>
  <c r="I85" i="4" s="1"/>
  <c r="J85" i="4"/>
  <c r="L85" i="4"/>
  <c r="N85" i="4"/>
  <c r="F86" i="4"/>
  <c r="G86" i="4" s="1"/>
  <c r="H86" i="4"/>
  <c r="I86" i="4" s="1"/>
  <c r="J86" i="4"/>
  <c r="L86" i="4"/>
  <c r="N86" i="4"/>
  <c r="F87" i="4"/>
  <c r="G87" i="4" s="1"/>
  <c r="H87" i="4"/>
  <c r="I87" i="4" s="1"/>
  <c r="J87" i="4"/>
  <c r="L87" i="4"/>
  <c r="N87" i="4"/>
  <c r="F88" i="4"/>
  <c r="G88" i="4" s="1"/>
  <c r="H88" i="4"/>
  <c r="I88" i="4" s="1"/>
  <c r="J88" i="4"/>
  <c r="L88" i="4"/>
  <c r="N88" i="4"/>
  <c r="F89" i="4"/>
  <c r="G89" i="4" s="1"/>
  <c r="H89" i="4"/>
  <c r="I89" i="4" s="1"/>
  <c r="J89" i="4"/>
  <c r="L89" i="4"/>
  <c r="N89" i="4"/>
  <c r="F90" i="4"/>
  <c r="G90" i="4" s="1"/>
  <c r="H90" i="4"/>
  <c r="I90" i="4" s="1"/>
  <c r="J90" i="4"/>
  <c r="L90" i="4"/>
  <c r="N90" i="4"/>
  <c r="F91" i="4"/>
  <c r="G91" i="4" s="1"/>
  <c r="H91" i="4"/>
  <c r="I91" i="4" s="1"/>
  <c r="J91" i="4"/>
  <c r="L91" i="4"/>
  <c r="N91" i="4"/>
  <c r="F92" i="4"/>
  <c r="G92" i="4" s="1"/>
  <c r="H92" i="4"/>
  <c r="I92" i="4" s="1"/>
  <c r="J92" i="4"/>
  <c r="L92" i="4"/>
  <c r="N92" i="4"/>
  <c r="F93" i="4"/>
  <c r="G93" i="4" s="1"/>
  <c r="H93" i="4"/>
  <c r="I93" i="4" s="1"/>
  <c r="J93" i="4"/>
  <c r="L93" i="4"/>
  <c r="N93" i="4"/>
  <c r="F94" i="4"/>
  <c r="G94" i="4" s="1"/>
  <c r="H94" i="4"/>
  <c r="I94" i="4" s="1"/>
  <c r="J94" i="4"/>
  <c r="L94" i="4"/>
  <c r="N94" i="4"/>
  <c r="F95" i="4"/>
  <c r="G95" i="4" s="1"/>
  <c r="H95" i="4"/>
  <c r="I95" i="4" s="1"/>
  <c r="J95" i="4"/>
  <c r="L95" i="4"/>
  <c r="N95" i="4"/>
  <c r="F96" i="4"/>
  <c r="G96" i="4" s="1"/>
  <c r="H96" i="4"/>
  <c r="I96" i="4" s="1"/>
  <c r="J96" i="4"/>
  <c r="L96" i="4"/>
  <c r="N96" i="4"/>
  <c r="F97" i="4"/>
  <c r="G97" i="4" s="1"/>
  <c r="H97" i="4"/>
  <c r="I97" i="4" s="1"/>
  <c r="J97" i="4"/>
  <c r="L97" i="4"/>
  <c r="N97" i="4"/>
  <c r="F98" i="4"/>
  <c r="G98" i="4" s="1"/>
  <c r="H98" i="4"/>
  <c r="I98" i="4" s="1"/>
  <c r="J98" i="4"/>
  <c r="L98" i="4"/>
  <c r="N98" i="4"/>
  <c r="F99" i="4"/>
  <c r="G99" i="4" s="1"/>
  <c r="H99" i="4"/>
  <c r="I99" i="4" s="1"/>
  <c r="J99" i="4"/>
  <c r="L99" i="4"/>
  <c r="N99" i="4"/>
  <c r="F100" i="4"/>
  <c r="G100" i="4" s="1"/>
  <c r="H100" i="4"/>
  <c r="I100" i="4" s="1"/>
  <c r="J100" i="4"/>
  <c r="L100" i="4"/>
  <c r="N100" i="4"/>
  <c r="F101" i="4"/>
  <c r="G101" i="4" s="1"/>
  <c r="H101" i="4"/>
  <c r="I101" i="4" s="1"/>
  <c r="J101" i="4"/>
  <c r="L101" i="4"/>
  <c r="N101" i="4"/>
  <c r="F102" i="4"/>
  <c r="G102" i="4" s="1"/>
  <c r="H102" i="4"/>
  <c r="I102" i="4" s="1"/>
  <c r="J102" i="4"/>
  <c r="L102" i="4"/>
  <c r="N102" i="4"/>
  <c r="F103" i="4"/>
  <c r="G103" i="4" s="1"/>
  <c r="H103" i="4"/>
  <c r="I103" i="4" s="1"/>
  <c r="J103" i="4"/>
  <c r="L103" i="4"/>
  <c r="N103" i="4"/>
  <c r="F104" i="4"/>
  <c r="G104" i="4" s="1"/>
  <c r="H104" i="4"/>
  <c r="I104" i="4" s="1"/>
  <c r="J104" i="4"/>
  <c r="L104" i="4"/>
  <c r="N104" i="4"/>
  <c r="F105" i="4"/>
  <c r="G105" i="4" s="1"/>
  <c r="H105" i="4"/>
  <c r="I105" i="4" s="1"/>
  <c r="J105" i="4"/>
  <c r="L105" i="4"/>
  <c r="N105" i="4"/>
  <c r="F106" i="4"/>
  <c r="G106" i="4" s="1"/>
  <c r="H106" i="4"/>
  <c r="I106" i="4" s="1"/>
  <c r="J106" i="4"/>
  <c r="L106" i="4"/>
  <c r="N106" i="4"/>
  <c r="F107" i="4"/>
  <c r="G107" i="4" s="1"/>
  <c r="H107" i="4"/>
  <c r="I107" i="4" s="1"/>
  <c r="J107" i="4"/>
  <c r="L107" i="4"/>
  <c r="N107" i="4"/>
  <c r="F108" i="4"/>
  <c r="G108" i="4" s="1"/>
  <c r="H108" i="4"/>
  <c r="I108" i="4" s="1"/>
  <c r="J108" i="4"/>
  <c r="L108" i="4"/>
  <c r="N108" i="4"/>
  <c r="F109" i="4"/>
  <c r="G109" i="4" s="1"/>
  <c r="H109" i="4"/>
  <c r="I109" i="4" s="1"/>
  <c r="J109" i="4"/>
  <c r="L109" i="4"/>
  <c r="N109" i="4"/>
  <c r="F110" i="4"/>
  <c r="G110" i="4" s="1"/>
  <c r="H110" i="4"/>
  <c r="I110" i="4" s="1"/>
  <c r="J110" i="4"/>
  <c r="L110" i="4"/>
  <c r="N110" i="4"/>
  <c r="F111" i="4"/>
  <c r="G111" i="4" s="1"/>
  <c r="H111" i="4"/>
  <c r="I111" i="4" s="1"/>
  <c r="J111" i="4"/>
  <c r="L111" i="4"/>
  <c r="N111" i="4"/>
  <c r="F112" i="4"/>
  <c r="G112" i="4" s="1"/>
  <c r="H112" i="4"/>
  <c r="I112" i="4" s="1"/>
  <c r="J112" i="4"/>
  <c r="L112" i="4"/>
  <c r="N112" i="4"/>
  <c r="F113" i="4"/>
  <c r="G113" i="4" s="1"/>
  <c r="H113" i="4"/>
  <c r="I113" i="4" s="1"/>
  <c r="J113" i="4"/>
  <c r="L113" i="4"/>
  <c r="N113" i="4"/>
  <c r="F114" i="4"/>
  <c r="G114" i="4" s="1"/>
  <c r="H114" i="4"/>
  <c r="I114" i="4" s="1"/>
  <c r="J114" i="4"/>
  <c r="L114" i="4"/>
  <c r="N114" i="4"/>
  <c r="F115" i="4"/>
  <c r="G115" i="4" s="1"/>
  <c r="H115" i="4"/>
  <c r="I115" i="4" s="1"/>
  <c r="J115" i="4"/>
  <c r="L115" i="4"/>
  <c r="N115" i="4"/>
  <c r="F116" i="4"/>
  <c r="G116" i="4" s="1"/>
  <c r="H116" i="4"/>
  <c r="I116" i="4" s="1"/>
  <c r="J116" i="4"/>
  <c r="L116" i="4"/>
  <c r="N116" i="4"/>
  <c r="F117" i="4"/>
  <c r="G117" i="4" s="1"/>
  <c r="H117" i="4"/>
  <c r="I117" i="4" s="1"/>
  <c r="J117" i="4"/>
  <c r="L117" i="4"/>
  <c r="N117" i="4"/>
  <c r="F118" i="4"/>
  <c r="G118" i="4" s="1"/>
  <c r="H118" i="4"/>
  <c r="I118" i="4" s="1"/>
  <c r="J118" i="4"/>
  <c r="L118" i="4"/>
  <c r="N118" i="4"/>
  <c r="F119" i="4"/>
  <c r="G119" i="4" s="1"/>
  <c r="H119" i="4"/>
  <c r="I119" i="4" s="1"/>
  <c r="J119" i="4"/>
  <c r="L119" i="4"/>
  <c r="N119" i="4"/>
  <c r="F120" i="4"/>
  <c r="G120" i="4" s="1"/>
  <c r="H120" i="4"/>
  <c r="I120" i="4" s="1"/>
  <c r="J120" i="4"/>
  <c r="L120" i="4"/>
  <c r="N120" i="4"/>
  <c r="F121" i="4"/>
  <c r="G121" i="4" s="1"/>
  <c r="H121" i="4"/>
  <c r="I121" i="4" s="1"/>
  <c r="J121" i="4"/>
  <c r="L121" i="4"/>
  <c r="N121" i="4"/>
  <c r="F122" i="4"/>
  <c r="G122" i="4" s="1"/>
  <c r="H122" i="4"/>
  <c r="I122" i="4" s="1"/>
  <c r="J122" i="4"/>
  <c r="L122" i="4"/>
  <c r="N122" i="4"/>
  <c r="F123" i="4"/>
  <c r="G123" i="4" s="1"/>
  <c r="H123" i="4"/>
  <c r="I123" i="4" s="1"/>
  <c r="J123" i="4"/>
  <c r="L123" i="4"/>
  <c r="N123" i="4"/>
  <c r="F124" i="4"/>
  <c r="G124" i="4" s="1"/>
  <c r="H124" i="4"/>
  <c r="I124" i="4" s="1"/>
  <c r="J124" i="4"/>
  <c r="L124" i="4"/>
  <c r="N124" i="4"/>
  <c r="F125" i="4"/>
  <c r="G125" i="4" s="1"/>
  <c r="H125" i="4"/>
  <c r="I125" i="4" s="1"/>
  <c r="J125" i="4"/>
  <c r="L125" i="4"/>
  <c r="N125" i="4"/>
  <c r="F126" i="4"/>
  <c r="G126" i="4" s="1"/>
  <c r="H126" i="4"/>
  <c r="I126" i="4" s="1"/>
  <c r="J126" i="4"/>
  <c r="L126" i="4"/>
  <c r="N126" i="4"/>
  <c r="F127" i="4"/>
  <c r="G127" i="4" s="1"/>
  <c r="H127" i="4"/>
  <c r="I127" i="4" s="1"/>
  <c r="J127" i="4"/>
  <c r="L127" i="4"/>
  <c r="N127" i="4"/>
  <c r="F128" i="4"/>
  <c r="G128" i="4" s="1"/>
  <c r="H128" i="4"/>
  <c r="I128" i="4" s="1"/>
  <c r="J128" i="4"/>
  <c r="L128" i="4"/>
  <c r="N128" i="4"/>
  <c r="F129" i="4"/>
  <c r="G129" i="4" s="1"/>
  <c r="H129" i="4"/>
  <c r="I129" i="4" s="1"/>
  <c r="J129" i="4"/>
  <c r="L129" i="4"/>
  <c r="N129" i="4"/>
  <c r="F130" i="4"/>
  <c r="G130" i="4" s="1"/>
  <c r="H130" i="4"/>
  <c r="I130" i="4" s="1"/>
  <c r="J130" i="4"/>
  <c r="L130" i="4"/>
  <c r="N130" i="4"/>
  <c r="F131" i="4"/>
  <c r="G131" i="4" s="1"/>
  <c r="H131" i="4"/>
  <c r="I131" i="4" s="1"/>
  <c r="J131" i="4"/>
  <c r="L131" i="4"/>
  <c r="N131" i="4"/>
  <c r="F132" i="4"/>
  <c r="G132" i="4" s="1"/>
  <c r="H132" i="4"/>
  <c r="I132" i="4" s="1"/>
  <c r="J132" i="4"/>
  <c r="L132" i="4"/>
  <c r="N132" i="4"/>
  <c r="F133" i="4"/>
  <c r="G133" i="4" s="1"/>
  <c r="H133" i="4"/>
  <c r="I133" i="4" s="1"/>
  <c r="J133" i="4"/>
  <c r="L133" i="4"/>
  <c r="N133" i="4"/>
  <c r="F134" i="4"/>
  <c r="G134" i="4" s="1"/>
  <c r="H134" i="4"/>
  <c r="I134" i="4" s="1"/>
  <c r="J134" i="4"/>
  <c r="L134" i="4"/>
  <c r="N134" i="4"/>
  <c r="F135" i="4"/>
  <c r="G135" i="4" s="1"/>
  <c r="H135" i="4"/>
  <c r="I135" i="4" s="1"/>
  <c r="J135" i="4"/>
  <c r="L135" i="4"/>
  <c r="N135" i="4"/>
  <c r="F136" i="4"/>
  <c r="G136" i="4" s="1"/>
  <c r="H136" i="4"/>
  <c r="I136" i="4" s="1"/>
  <c r="J136" i="4"/>
  <c r="L136" i="4"/>
  <c r="N136" i="4"/>
  <c r="F137" i="4"/>
  <c r="G137" i="4" s="1"/>
  <c r="H137" i="4"/>
  <c r="I137" i="4" s="1"/>
  <c r="J137" i="4"/>
  <c r="L137" i="4"/>
  <c r="N137" i="4"/>
  <c r="F138" i="4"/>
  <c r="G138" i="4" s="1"/>
  <c r="H138" i="4"/>
  <c r="I138" i="4" s="1"/>
  <c r="J138" i="4"/>
  <c r="L138" i="4"/>
  <c r="N138" i="4"/>
  <c r="F139" i="4"/>
  <c r="G139" i="4" s="1"/>
  <c r="H139" i="4"/>
  <c r="I139" i="4" s="1"/>
  <c r="J139" i="4"/>
  <c r="L139" i="4"/>
  <c r="N139" i="4"/>
  <c r="F140" i="4"/>
  <c r="G140" i="4" s="1"/>
  <c r="H140" i="4"/>
  <c r="I140" i="4" s="1"/>
  <c r="J140" i="4"/>
  <c r="L140" i="4"/>
  <c r="N140" i="4"/>
  <c r="F141" i="4"/>
  <c r="G141" i="4" s="1"/>
  <c r="H141" i="4"/>
  <c r="I141" i="4" s="1"/>
  <c r="J141" i="4"/>
  <c r="L141" i="4"/>
  <c r="N141" i="4"/>
  <c r="F142" i="4"/>
  <c r="G142" i="4" s="1"/>
  <c r="H142" i="4"/>
  <c r="I142" i="4" s="1"/>
  <c r="J142" i="4"/>
  <c r="L142" i="4"/>
  <c r="N142" i="4"/>
  <c r="F143" i="4"/>
  <c r="G143" i="4" s="1"/>
  <c r="H143" i="4"/>
  <c r="I143" i="4" s="1"/>
  <c r="J143" i="4"/>
  <c r="L143" i="4"/>
  <c r="N143" i="4"/>
  <c r="F144" i="4"/>
  <c r="G144" i="4" s="1"/>
  <c r="H144" i="4"/>
  <c r="I144" i="4" s="1"/>
  <c r="J144" i="4"/>
  <c r="L144" i="4"/>
  <c r="N144" i="4"/>
  <c r="F145" i="4"/>
  <c r="G145" i="4" s="1"/>
  <c r="H145" i="4"/>
  <c r="I145" i="4" s="1"/>
  <c r="J145" i="4"/>
  <c r="L145" i="4"/>
  <c r="N145" i="4"/>
  <c r="F146" i="4"/>
  <c r="G146" i="4" s="1"/>
  <c r="H146" i="4"/>
  <c r="I146" i="4" s="1"/>
  <c r="J146" i="4"/>
  <c r="L146" i="4"/>
  <c r="N146" i="4"/>
  <c r="F147" i="4"/>
  <c r="G147" i="4" s="1"/>
  <c r="H147" i="4"/>
  <c r="I147" i="4" s="1"/>
  <c r="J147" i="4"/>
  <c r="L147" i="4"/>
  <c r="N147" i="4"/>
  <c r="F148" i="4"/>
  <c r="G148" i="4" s="1"/>
  <c r="H148" i="4"/>
  <c r="I148" i="4" s="1"/>
  <c r="J148" i="4"/>
  <c r="L148" i="4"/>
  <c r="N148" i="4"/>
  <c r="F149" i="4"/>
  <c r="G149" i="4" s="1"/>
  <c r="H149" i="4"/>
  <c r="I149" i="4" s="1"/>
  <c r="J149" i="4"/>
  <c r="L149" i="4"/>
  <c r="N149" i="4"/>
  <c r="F150" i="4"/>
  <c r="G150" i="4" s="1"/>
  <c r="H150" i="4"/>
  <c r="I150" i="4" s="1"/>
  <c r="J150" i="4"/>
  <c r="L150" i="4"/>
  <c r="N150" i="4"/>
  <c r="F151" i="4"/>
  <c r="G151" i="4" s="1"/>
  <c r="H151" i="4"/>
  <c r="I151" i="4" s="1"/>
  <c r="J151" i="4"/>
  <c r="L151" i="4"/>
  <c r="N151" i="4"/>
  <c r="F152" i="4"/>
  <c r="G152" i="4" s="1"/>
  <c r="H152" i="4"/>
  <c r="I152" i="4" s="1"/>
  <c r="J152" i="4"/>
  <c r="L152" i="4"/>
  <c r="N152" i="4"/>
  <c r="F153" i="4"/>
  <c r="G153" i="4" s="1"/>
  <c r="H153" i="4"/>
  <c r="I153" i="4" s="1"/>
  <c r="J153" i="4"/>
  <c r="L153" i="4"/>
  <c r="N153" i="4"/>
  <c r="F154" i="4"/>
  <c r="G154" i="4" s="1"/>
  <c r="H154" i="4"/>
  <c r="I154" i="4" s="1"/>
  <c r="J154" i="4"/>
  <c r="L154" i="4"/>
  <c r="N154" i="4"/>
  <c r="F155" i="4"/>
  <c r="G155" i="4" s="1"/>
  <c r="H155" i="4"/>
  <c r="I155" i="4" s="1"/>
  <c r="J155" i="4"/>
  <c r="L155" i="4"/>
  <c r="N155" i="4"/>
  <c r="F156" i="4"/>
  <c r="G156" i="4" s="1"/>
  <c r="H156" i="4"/>
  <c r="I156" i="4" s="1"/>
  <c r="J156" i="4"/>
  <c r="L156" i="4"/>
  <c r="N156" i="4"/>
  <c r="F157" i="4"/>
  <c r="G157" i="4" s="1"/>
  <c r="H157" i="4"/>
  <c r="I157" i="4" s="1"/>
  <c r="J157" i="4"/>
  <c r="L157" i="4"/>
  <c r="N157" i="4"/>
  <c r="F58" i="4"/>
  <c r="G58" i="4" s="1"/>
  <c r="H58" i="4"/>
  <c r="I58" i="4" s="1"/>
  <c r="J58" i="4"/>
  <c r="L58" i="4"/>
  <c r="N58" i="4"/>
  <c r="O127" i="4" l="1"/>
  <c r="K75" i="4"/>
  <c r="O108" i="4"/>
  <c r="K135" i="4"/>
  <c r="K131" i="4"/>
  <c r="O106" i="4"/>
  <c r="K127" i="4"/>
  <c r="K123" i="4"/>
  <c r="O135" i="4"/>
  <c r="O124" i="4"/>
  <c r="M74" i="4"/>
  <c r="M130" i="4"/>
  <c r="O75" i="4"/>
  <c r="O140" i="4"/>
  <c r="K119" i="4"/>
  <c r="O114" i="4"/>
  <c r="K85" i="4"/>
  <c r="M80" i="4"/>
  <c r="K77" i="4"/>
  <c r="K64" i="4"/>
  <c r="O59" i="4"/>
  <c r="O157" i="4"/>
  <c r="M154" i="4"/>
  <c r="O153" i="4"/>
  <c r="K151" i="4"/>
  <c r="M150" i="4"/>
  <c r="O149" i="4"/>
  <c r="K147" i="4"/>
  <c r="M146" i="4"/>
  <c r="O145" i="4"/>
  <c r="O143" i="4"/>
  <c r="O125" i="4"/>
  <c r="K69" i="4"/>
  <c r="O67" i="4"/>
  <c r="O65" i="4"/>
  <c r="K87" i="4"/>
  <c r="K83" i="4"/>
  <c r="K143" i="4"/>
  <c r="K139" i="4"/>
  <c r="O132" i="4"/>
  <c r="O119" i="4"/>
  <c r="K110" i="4"/>
  <c r="M109" i="4"/>
  <c r="K107" i="4"/>
  <c r="O98" i="4"/>
  <c r="K155" i="4"/>
  <c r="M138" i="4"/>
  <c r="K100" i="4"/>
  <c r="M99" i="4"/>
  <c r="O156" i="4"/>
  <c r="O141" i="4"/>
  <c r="O133" i="4"/>
  <c r="O117" i="4"/>
  <c r="K115" i="4"/>
  <c r="K106" i="4"/>
  <c r="O104" i="4"/>
  <c r="M95" i="4"/>
  <c r="O94" i="4"/>
  <c r="M88" i="4"/>
  <c r="K79" i="4"/>
  <c r="K68" i="4"/>
  <c r="M58" i="4"/>
  <c r="M152" i="4"/>
  <c r="M148" i="4"/>
  <c r="M122" i="4"/>
  <c r="O116" i="4"/>
  <c r="K108" i="4"/>
  <c r="K98" i="4"/>
  <c r="M90" i="4"/>
  <c r="M78" i="4"/>
  <c r="M72" i="4"/>
  <c r="O69" i="4"/>
  <c r="M64" i="4"/>
  <c r="M144" i="4"/>
  <c r="O112" i="4"/>
  <c r="M93" i="4"/>
  <c r="O82" i="4"/>
  <c r="M63" i="4"/>
  <c r="K61" i="4"/>
  <c r="K58" i="4"/>
  <c r="K157" i="4"/>
  <c r="O155" i="4"/>
  <c r="K153" i="4"/>
  <c r="O151" i="4"/>
  <c r="K149" i="4"/>
  <c r="O147" i="4"/>
  <c r="K145" i="4"/>
  <c r="O144" i="4"/>
  <c r="K142" i="4"/>
  <c r="O139" i="4"/>
  <c r="O137" i="4"/>
  <c r="K134" i="4"/>
  <c r="O131" i="4"/>
  <c r="O129" i="4"/>
  <c r="K126" i="4"/>
  <c r="O123" i="4"/>
  <c r="O121" i="4"/>
  <c r="K118" i="4"/>
  <c r="O115" i="4"/>
  <c r="O111" i="4"/>
  <c r="K109" i="4"/>
  <c r="M101" i="4"/>
  <c r="O100" i="4"/>
  <c r="O96" i="4"/>
  <c r="O90" i="4"/>
  <c r="M86" i="4"/>
  <c r="O83" i="4"/>
  <c r="M82" i="4"/>
  <c r="O77" i="4"/>
  <c r="K76" i="4"/>
  <c r="O73" i="4"/>
  <c r="K72" i="4"/>
  <c r="M71" i="4"/>
  <c r="K63" i="4"/>
  <c r="K59" i="4"/>
  <c r="M156" i="4"/>
  <c r="O58" i="4"/>
  <c r="K156" i="4"/>
  <c r="M155" i="4"/>
  <c r="O154" i="4"/>
  <c r="K152" i="4"/>
  <c r="M151" i="4"/>
  <c r="O150" i="4"/>
  <c r="K148" i="4"/>
  <c r="M147" i="4"/>
  <c r="O146" i="4"/>
  <c r="M143" i="4"/>
  <c r="M137" i="4"/>
  <c r="M129" i="4"/>
  <c r="M121" i="4"/>
  <c r="O113" i="4"/>
  <c r="K112" i="4"/>
  <c r="O110" i="4"/>
  <c r="O105" i="4"/>
  <c r="K104" i="4"/>
  <c r="O103" i="4"/>
  <c r="K101" i="4"/>
  <c r="O92" i="4"/>
  <c r="O85" i="4"/>
  <c r="K84" i="4"/>
  <c r="O81" i="4"/>
  <c r="K80" i="4"/>
  <c r="M79" i="4"/>
  <c r="K71" i="4"/>
  <c r="K67" i="4"/>
  <c r="O66" i="4"/>
  <c r="M62" i="4"/>
  <c r="M107" i="4"/>
  <c r="O102" i="4"/>
  <c r="O99" i="4"/>
  <c r="O97" i="4"/>
  <c r="K96" i="4"/>
  <c r="O95" i="4"/>
  <c r="K93" i="4"/>
  <c r="O91" i="4"/>
  <c r="K88" i="4"/>
  <c r="M87" i="4"/>
  <c r="O74" i="4"/>
  <c r="M70" i="4"/>
  <c r="M66" i="4"/>
  <c r="O61" i="4"/>
  <c r="K60" i="4"/>
  <c r="M157" i="4"/>
  <c r="K154" i="4"/>
  <c r="M153" i="4"/>
  <c r="O152" i="4"/>
  <c r="K150" i="4"/>
  <c r="M149" i="4"/>
  <c r="O148" i="4"/>
  <c r="K146" i="4"/>
  <c r="M145" i="4"/>
  <c r="K144" i="4"/>
  <c r="M142" i="4"/>
  <c r="K141" i="4"/>
  <c r="M136" i="4"/>
  <c r="M134" i="4"/>
  <c r="K133" i="4"/>
  <c r="M128" i="4"/>
  <c r="M126" i="4"/>
  <c r="K125" i="4"/>
  <c r="M120" i="4"/>
  <c r="M118" i="4"/>
  <c r="K117" i="4"/>
  <c r="M114" i="4"/>
  <c r="K140" i="4"/>
  <c r="O138" i="4"/>
  <c r="M135" i="4"/>
  <c r="K132" i="4"/>
  <c r="O130" i="4"/>
  <c r="M127" i="4"/>
  <c r="K124" i="4"/>
  <c r="O122" i="4"/>
  <c r="M119" i="4"/>
  <c r="K116" i="4"/>
  <c r="O142" i="4"/>
  <c r="M140" i="4"/>
  <c r="M139" i="4"/>
  <c r="K137" i="4"/>
  <c r="K136" i="4"/>
  <c r="O134" i="4"/>
  <c r="M132" i="4"/>
  <c r="M131" i="4"/>
  <c r="K129" i="4"/>
  <c r="K128" i="4"/>
  <c r="O126" i="4"/>
  <c r="M124" i="4"/>
  <c r="M123" i="4"/>
  <c r="K121" i="4"/>
  <c r="K120" i="4"/>
  <c r="O118" i="4"/>
  <c r="M116" i="4"/>
  <c r="M115" i="4"/>
  <c r="M141" i="4"/>
  <c r="K138" i="4"/>
  <c r="O136" i="4"/>
  <c r="M133" i="4"/>
  <c r="K130" i="4"/>
  <c r="O128" i="4"/>
  <c r="M125" i="4"/>
  <c r="K122" i="4"/>
  <c r="O120" i="4"/>
  <c r="M117" i="4"/>
  <c r="K114" i="4"/>
  <c r="K113" i="4"/>
  <c r="M108" i="4"/>
  <c r="K105" i="4"/>
  <c r="M100" i="4"/>
  <c r="K97" i="4"/>
  <c r="K91" i="4"/>
  <c r="M111" i="4"/>
  <c r="M110" i="4"/>
  <c r="M103" i="4"/>
  <c r="M102" i="4"/>
  <c r="K99" i="4"/>
  <c r="M94" i="4"/>
  <c r="K92" i="4"/>
  <c r="M113" i="4"/>
  <c r="M112" i="4"/>
  <c r="O107" i="4"/>
  <c r="M105" i="4"/>
  <c r="M104" i="4"/>
  <c r="K102" i="4"/>
  <c r="M97" i="4"/>
  <c r="M96" i="4"/>
  <c r="K94" i="4"/>
  <c r="O89" i="4"/>
  <c r="K89" i="4"/>
  <c r="K111" i="4"/>
  <c r="O109" i="4"/>
  <c r="M106" i="4"/>
  <c r="K103" i="4"/>
  <c r="O101" i="4"/>
  <c r="M98" i="4"/>
  <c r="K95" i="4"/>
  <c r="O93" i="4"/>
  <c r="M92" i="4"/>
  <c r="M91" i="4"/>
  <c r="M89" i="4"/>
  <c r="K86" i="4"/>
  <c r="O84" i="4"/>
  <c r="M81" i="4"/>
  <c r="K78" i="4"/>
  <c r="O76" i="4"/>
  <c r="M73" i="4"/>
  <c r="K70" i="4"/>
  <c r="O68" i="4"/>
  <c r="M65" i="4"/>
  <c r="K62" i="4"/>
  <c r="O60" i="4"/>
  <c r="O87" i="4"/>
  <c r="O86" i="4"/>
  <c r="M84" i="4"/>
  <c r="M83" i="4"/>
  <c r="K81" i="4"/>
  <c r="O79" i="4"/>
  <c r="O78" i="4"/>
  <c r="M76" i="4"/>
  <c r="M75" i="4"/>
  <c r="K73" i="4"/>
  <c r="O71" i="4"/>
  <c r="O70" i="4"/>
  <c r="M68" i="4"/>
  <c r="M67" i="4"/>
  <c r="K65" i="4"/>
  <c r="O63" i="4"/>
  <c r="O62" i="4"/>
  <c r="M60" i="4"/>
  <c r="M59" i="4"/>
  <c r="K90" i="4"/>
  <c r="O88" i="4"/>
  <c r="M85" i="4"/>
  <c r="K82" i="4"/>
  <c r="O80" i="4"/>
  <c r="M77" i="4"/>
  <c r="K74" i="4"/>
  <c r="O72" i="4"/>
  <c r="M69" i="4"/>
  <c r="K66" i="4"/>
  <c r="O64" i="4"/>
  <c r="M61" i="4"/>
  <c r="B185" i="169"/>
  <c r="B186" i="169"/>
  <c r="B187" i="169"/>
  <c r="C187" i="169"/>
  <c r="B188" i="169"/>
  <c r="B189" i="169"/>
  <c r="B190" i="169"/>
  <c r="C190" i="169"/>
  <c r="B191" i="169"/>
  <c r="C191" i="169"/>
  <c r="B192" i="169"/>
  <c r="C192" i="169"/>
  <c r="B193" i="169"/>
  <c r="C193" i="169"/>
  <c r="B194" i="169"/>
  <c r="C194" i="169"/>
  <c r="B195" i="169"/>
  <c r="C195" i="169"/>
  <c r="B196" i="169"/>
  <c r="C196" i="169"/>
  <c r="B197" i="169"/>
  <c r="C197" i="169"/>
  <c r="B198" i="169"/>
  <c r="C198" i="169"/>
  <c r="B199" i="169"/>
  <c r="C199" i="169"/>
  <c r="B200" i="169"/>
  <c r="C200" i="169"/>
  <c r="B201" i="169"/>
  <c r="C201" i="169"/>
  <c r="B202" i="169"/>
  <c r="B203" i="169"/>
  <c r="B204" i="169"/>
  <c r="B205" i="169"/>
  <c r="B206" i="169"/>
  <c r="B207" i="169"/>
  <c r="C207" i="169"/>
  <c r="B208" i="169"/>
  <c r="C208" i="169"/>
  <c r="B209" i="169"/>
  <c r="B210" i="169"/>
  <c r="B211" i="169"/>
  <c r="C211" i="169"/>
  <c r="B212" i="169"/>
  <c r="C212" i="169"/>
  <c r="B213" i="169"/>
  <c r="C213" i="169"/>
  <c r="B214" i="169"/>
  <c r="C214" i="169"/>
  <c r="B215" i="169"/>
  <c r="C215" i="169"/>
  <c r="B216" i="169"/>
  <c r="C216" i="169"/>
  <c r="B217" i="169"/>
  <c r="C217" i="169"/>
  <c r="B218" i="169"/>
  <c r="C218" i="169"/>
  <c r="B219" i="169"/>
  <c r="C219" i="169"/>
  <c r="B220" i="169"/>
  <c r="C220" i="169"/>
  <c r="B221" i="169"/>
  <c r="C221" i="169"/>
  <c r="B222" i="169"/>
  <c r="C222" i="169"/>
  <c r="B223" i="169"/>
  <c r="C223" i="169"/>
  <c r="B224" i="169"/>
  <c r="C224" i="169"/>
  <c r="B225" i="169"/>
  <c r="C225" i="169"/>
  <c r="B226" i="169"/>
  <c r="C226" i="169"/>
  <c r="B227" i="169"/>
  <c r="C227" i="169"/>
  <c r="B228" i="169"/>
  <c r="C228" i="169"/>
  <c r="B229" i="169"/>
  <c r="C229" i="169"/>
  <c r="B230" i="169"/>
  <c r="C230" i="169"/>
  <c r="B231" i="169"/>
  <c r="C231" i="169"/>
  <c r="B232" i="169"/>
  <c r="C232" i="169"/>
  <c r="B233" i="169"/>
  <c r="C233" i="169"/>
  <c r="B234" i="169"/>
  <c r="C234" i="169"/>
  <c r="B235" i="169"/>
  <c r="C235" i="169"/>
  <c r="B236" i="169"/>
  <c r="C236" i="169"/>
  <c r="B237" i="169"/>
  <c r="C237" i="169"/>
  <c r="B238" i="169"/>
  <c r="C238" i="169"/>
  <c r="B239" i="169"/>
  <c r="C239" i="169"/>
  <c r="B240" i="169"/>
  <c r="C240" i="169"/>
  <c r="B241" i="169"/>
  <c r="C241" i="169"/>
  <c r="B242" i="169"/>
  <c r="C242" i="169"/>
  <c r="AA3681" i="5"/>
  <c r="R3681" i="5"/>
  <c r="J3681" i="5"/>
  <c r="AA3680" i="5"/>
  <c r="R3680" i="5"/>
  <c r="J3680" i="5"/>
  <c r="AA3679" i="5"/>
  <c r="R3679" i="5"/>
  <c r="J3679" i="5"/>
  <c r="AA3678" i="5"/>
  <c r="R3678" i="5"/>
  <c r="J3678" i="5"/>
  <c r="D187" i="169" l="1"/>
  <c r="E187" i="169" s="1"/>
  <c r="F187" i="169" s="1"/>
  <c r="D190" i="169"/>
  <c r="E190" i="169" s="1"/>
  <c r="F190" i="169" s="1"/>
  <c r="D193" i="169"/>
  <c r="E193" i="169" s="1"/>
  <c r="F193" i="169" s="1"/>
  <c r="D191" i="169"/>
  <c r="E191" i="169" s="1"/>
  <c r="F191" i="169" s="1"/>
  <c r="D198" i="169"/>
  <c r="E198" i="169" s="1"/>
  <c r="F198" i="169" s="1"/>
  <c r="D196" i="169"/>
  <c r="E196" i="169" s="1"/>
  <c r="F196" i="169" s="1"/>
  <c r="D238" i="169"/>
  <c r="E238" i="169" s="1"/>
  <c r="F238" i="169" s="1"/>
  <c r="D234" i="169"/>
  <c r="E234" i="169" s="1"/>
  <c r="F234" i="169" s="1"/>
  <c r="D232" i="169"/>
  <c r="E232" i="169" s="1"/>
  <c r="F232" i="169" s="1"/>
  <c r="D214" i="169"/>
  <c r="E214" i="169" s="1"/>
  <c r="F214" i="169" s="1"/>
  <c r="D212" i="169"/>
  <c r="E212" i="169" s="1"/>
  <c r="F212" i="169" s="1"/>
  <c r="D230" i="169"/>
  <c r="E230" i="169" s="1"/>
  <c r="F230" i="169" s="1"/>
  <c r="D241" i="169"/>
  <c r="E241" i="169" s="1"/>
  <c r="F241" i="169" s="1"/>
  <c r="D239" i="169"/>
  <c r="E239" i="169" s="1"/>
  <c r="F239" i="169" s="1"/>
  <c r="D237" i="169"/>
  <c r="E237" i="169" s="1"/>
  <c r="F237" i="169" s="1"/>
  <c r="D235" i="169"/>
  <c r="E235" i="169" s="1"/>
  <c r="F235" i="169" s="1"/>
  <c r="D207" i="169"/>
  <c r="E207" i="169" s="1"/>
  <c r="F207" i="169" s="1"/>
  <c r="D225" i="169"/>
  <c r="E225" i="169" s="1"/>
  <c r="F225" i="169" s="1"/>
  <c r="D223" i="169"/>
  <c r="E223" i="169" s="1"/>
  <c r="F223" i="169" s="1"/>
  <c r="D194" i="169"/>
  <c r="E194" i="169" s="1"/>
  <c r="F194" i="169" s="1"/>
  <c r="D242" i="169"/>
  <c r="E242" i="169" s="1"/>
  <c r="F242" i="169" s="1"/>
  <c r="D226" i="169"/>
  <c r="E226" i="169" s="1"/>
  <c r="F226" i="169" s="1"/>
  <c r="D222" i="169"/>
  <c r="E222" i="169" s="1"/>
  <c r="F222" i="169" s="1"/>
  <c r="D218" i="169"/>
  <c r="E218" i="169" s="1"/>
  <c r="F218" i="169" s="1"/>
  <c r="D216" i="169"/>
  <c r="E216" i="169" s="1"/>
  <c r="F216" i="169" s="1"/>
  <c r="D200" i="169"/>
  <c r="E200" i="169" s="1"/>
  <c r="F200" i="169" s="1"/>
  <c r="D228" i="169"/>
  <c r="E228" i="169" s="1"/>
  <c r="F228" i="169" s="1"/>
  <c r="D221" i="169"/>
  <c r="E221" i="169" s="1"/>
  <c r="F221" i="169" s="1"/>
  <c r="D219" i="169"/>
  <c r="E219" i="169" s="1"/>
  <c r="F219" i="169" s="1"/>
  <c r="D240" i="169"/>
  <c r="E240" i="169" s="1"/>
  <c r="F240" i="169" s="1"/>
  <c r="D233" i="169"/>
  <c r="E233" i="169" s="1"/>
  <c r="F233" i="169" s="1"/>
  <c r="D231" i="169"/>
  <c r="E231" i="169" s="1"/>
  <c r="F231" i="169" s="1"/>
  <c r="D224" i="169"/>
  <c r="E224" i="169" s="1"/>
  <c r="F224" i="169" s="1"/>
  <c r="D217" i="169"/>
  <c r="E217" i="169" s="1"/>
  <c r="F217" i="169" s="1"/>
  <c r="D215" i="169"/>
  <c r="E215" i="169" s="1"/>
  <c r="F215" i="169" s="1"/>
  <c r="D208" i="169"/>
  <c r="E208" i="169" s="1"/>
  <c r="F208" i="169" s="1"/>
  <c r="D201" i="169"/>
  <c r="E201" i="169" s="1"/>
  <c r="F201" i="169" s="1"/>
  <c r="D199" i="169"/>
  <c r="E199" i="169" s="1"/>
  <c r="F199" i="169" s="1"/>
  <c r="D192" i="169"/>
  <c r="E192" i="169" s="1"/>
  <c r="F192" i="169" s="1"/>
  <c r="D236" i="169"/>
  <c r="E236" i="169" s="1"/>
  <c r="F236" i="169" s="1"/>
  <c r="D229" i="169"/>
  <c r="E229" i="169" s="1"/>
  <c r="F229" i="169" s="1"/>
  <c r="D227" i="169"/>
  <c r="E227" i="169" s="1"/>
  <c r="F227" i="169" s="1"/>
  <c r="D220" i="169"/>
  <c r="E220" i="169" s="1"/>
  <c r="F220" i="169" s="1"/>
  <c r="D213" i="169"/>
  <c r="E213" i="169" s="1"/>
  <c r="F213" i="169" s="1"/>
  <c r="D211" i="169"/>
  <c r="E211" i="169" s="1"/>
  <c r="F211" i="169" s="1"/>
  <c r="D197" i="169"/>
  <c r="E197" i="169" s="1"/>
  <c r="F197" i="169" s="1"/>
  <c r="D195" i="169"/>
  <c r="E195" i="169" s="1"/>
  <c r="F195" i="169" s="1"/>
  <c r="QE12" i="175"/>
  <c r="QD12" i="175"/>
  <c r="QB12" i="175"/>
  <c r="QA12" i="175"/>
  <c r="PY12" i="175"/>
  <c r="PX12" i="175"/>
  <c r="PV12" i="175"/>
  <c r="PU12" i="175"/>
  <c r="PS12" i="175"/>
  <c r="PR12" i="175"/>
  <c r="QE11" i="175"/>
  <c r="QD11" i="175"/>
  <c r="QB11" i="175"/>
  <c r="QA11" i="175"/>
  <c r="PY11" i="175"/>
  <c r="PX11" i="175"/>
  <c r="PV11" i="175"/>
  <c r="PU11" i="175"/>
  <c r="PS11" i="175"/>
  <c r="PR11" i="175"/>
  <c r="QE10" i="175"/>
  <c r="QD10" i="175"/>
  <c r="QB10" i="175"/>
  <c r="QA10" i="175"/>
  <c r="PY10" i="175"/>
  <c r="PX10" i="175"/>
  <c r="PV10" i="175"/>
  <c r="PU10" i="175"/>
  <c r="PS10" i="175"/>
  <c r="PR10" i="175"/>
  <c r="QE9" i="175"/>
  <c r="QD9" i="175"/>
  <c r="QB9" i="175"/>
  <c r="QA9" i="175"/>
  <c r="PY9" i="175"/>
  <c r="PX9" i="175"/>
  <c r="PV9" i="175"/>
  <c r="PU9" i="175"/>
  <c r="PS9" i="175"/>
  <c r="PR9" i="175"/>
  <c r="QE8" i="175"/>
  <c r="QD8" i="175"/>
  <c r="QB8" i="175"/>
  <c r="QA8" i="175"/>
  <c r="PY8" i="175"/>
  <c r="PX8" i="175"/>
  <c r="PV8" i="175"/>
  <c r="PU8" i="175"/>
  <c r="PS8" i="175"/>
  <c r="PR8" i="175"/>
  <c r="QE7" i="175"/>
  <c r="QD7" i="175"/>
  <c r="QB7" i="175"/>
  <c r="QA7" i="175"/>
  <c r="PY7" i="175"/>
  <c r="PX7" i="175"/>
  <c r="PV7" i="175"/>
  <c r="PU7" i="175"/>
  <c r="PS7" i="175"/>
  <c r="PR7" i="175"/>
  <c r="QE6" i="175"/>
  <c r="QD6" i="175"/>
  <c r="QB6" i="175"/>
  <c r="QA6" i="175"/>
  <c r="PY6" i="175"/>
  <c r="PX6" i="175"/>
  <c r="PV6" i="175"/>
  <c r="PU6" i="175"/>
  <c r="PS6" i="175"/>
  <c r="PR6" i="175"/>
  <c r="QE5" i="175"/>
  <c r="QD5" i="175"/>
  <c r="QB5" i="175"/>
  <c r="QA5" i="175"/>
  <c r="PY5" i="175"/>
  <c r="PX5" i="175"/>
  <c r="PV5" i="175"/>
  <c r="PU5" i="175"/>
  <c r="PS5" i="175"/>
  <c r="PR5" i="175"/>
  <c r="QE4" i="175"/>
  <c r="QD4" i="175"/>
  <c r="QB4" i="175"/>
  <c r="QA4" i="175"/>
  <c r="PY4" i="175"/>
  <c r="PX4" i="175"/>
  <c r="PV4" i="175"/>
  <c r="PU4" i="175"/>
  <c r="PS4" i="175"/>
  <c r="PR4" i="175"/>
  <c r="QE3" i="175"/>
  <c r="QD3" i="175"/>
  <c r="QB3" i="175"/>
  <c r="QA3" i="175"/>
  <c r="PY3" i="175"/>
  <c r="PX3" i="175"/>
  <c r="PV3" i="175"/>
  <c r="PU3" i="175"/>
  <c r="PS3" i="175"/>
  <c r="PR3" i="175"/>
  <c r="KH11" i="175"/>
  <c r="KG11" i="175"/>
  <c r="KE11" i="175"/>
  <c r="KD11" i="175"/>
  <c r="KB11" i="175"/>
  <c r="KA11" i="175"/>
  <c r="JY11" i="175"/>
  <c r="JX11" i="175"/>
  <c r="JV11" i="175"/>
  <c r="JU11" i="175"/>
  <c r="KH10" i="175"/>
  <c r="KG10" i="175"/>
  <c r="KE10" i="175"/>
  <c r="KD10" i="175"/>
  <c r="KB10" i="175"/>
  <c r="KA10" i="175"/>
  <c r="JY10" i="175"/>
  <c r="JX10" i="175"/>
  <c r="JV10" i="175"/>
  <c r="JU10" i="175"/>
  <c r="KY11" i="175"/>
  <c r="KX11" i="175"/>
  <c r="KV11" i="175"/>
  <c r="KU11" i="175"/>
  <c r="KS11" i="175"/>
  <c r="KR11" i="175"/>
  <c r="KP11" i="175"/>
  <c r="KO11" i="175"/>
  <c r="KM11" i="175"/>
  <c r="KL11" i="175"/>
  <c r="KY10" i="175"/>
  <c r="KX10" i="175"/>
  <c r="KV10" i="175"/>
  <c r="KU10" i="175"/>
  <c r="KS10" i="175"/>
  <c r="KR10" i="175"/>
  <c r="KP10" i="175"/>
  <c r="KO10" i="175"/>
  <c r="KM10" i="175"/>
  <c r="KL10" i="175"/>
  <c r="LP11" i="175"/>
  <c r="LO11" i="175"/>
  <c r="LM11" i="175"/>
  <c r="LL11" i="175"/>
  <c r="LJ11" i="175"/>
  <c r="LI11" i="175"/>
  <c r="LG11" i="175"/>
  <c r="LF11" i="175"/>
  <c r="LD11" i="175"/>
  <c r="LC11" i="175"/>
  <c r="LP10" i="175"/>
  <c r="LO10" i="175"/>
  <c r="LM10" i="175"/>
  <c r="LL10" i="175"/>
  <c r="LJ10" i="175"/>
  <c r="LI10" i="175"/>
  <c r="LG10" i="175"/>
  <c r="LF10" i="175"/>
  <c r="LD10" i="175"/>
  <c r="LC10" i="175"/>
  <c r="MG11" i="175"/>
  <c r="MF11" i="175"/>
  <c r="MD11" i="175"/>
  <c r="MC11" i="175"/>
  <c r="MA11" i="175"/>
  <c r="LZ11" i="175"/>
  <c r="LX11" i="175"/>
  <c r="LW11" i="175"/>
  <c r="LU11" i="175"/>
  <c r="LT11" i="175"/>
  <c r="MG10" i="175"/>
  <c r="MF10" i="175"/>
  <c r="MD10" i="175"/>
  <c r="MC10" i="175"/>
  <c r="MA10" i="175"/>
  <c r="LZ10" i="175"/>
  <c r="LX10" i="175"/>
  <c r="LW10" i="175"/>
  <c r="LU10" i="175"/>
  <c r="LT10" i="175"/>
  <c r="FB11" i="175"/>
  <c r="FA11" i="175"/>
  <c r="EY11" i="175"/>
  <c r="EX11" i="175"/>
  <c r="EV11" i="175"/>
  <c r="EU11" i="175"/>
  <c r="ES11" i="175"/>
  <c r="ER11" i="175"/>
  <c r="EP11" i="175"/>
  <c r="EO11" i="175"/>
  <c r="FB10" i="175"/>
  <c r="FA10" i="175"/>
  <c r="EY10" i="175"/>
  <c r="EX10" i="175"/>
  <c r="EV10" i="175"/>
  <c r="EU10" i="175"/>
  <c r="ES10" i="175"/>
  <c r="ER10" i="175"/>
  <c r="EP10" i="175"/>
  <c r="EO10" i="175"/>
  <c r="FB9" i="175"/>
  <c r="FA9" i="175"/>
  <c r="EY9" i="175"/>
  <c r="EX9" i="175"/>
  <c r="EV9" i="175"/>
  <c r="EU9" i="175"/>
  <c r="ES9" i="175"/>
  <c r="ER9" i="175"/>
  <c r="EP9" i="175"/>
  <c r="EO9" i="175"/>
  <c r="AC11" i="175"/>
  <c r="AB11" i="175"/>
  <c r="Z11" i="175"/>
  <c r="Y11" i="175"/>
  <c r="W11" i="175"/>
  <c r="V11" i="175"/>
  <c r="AC10" i="175"/>
  <c r="AB10" i="175"/>
  <c r="Z10" i="175"/>
  <c r="Y10" i="175"/>
  <c r="W10" i="175"/>
  <c r="V10" i="175"/>
  <c r="AC9" i="175"/>
  <c r="AB9" i="175"/>
  <c r="Z9" i="175"/>
  <c r="Y9" i="175"/>
  <c r="W9" i="175"/>
  <c r="V9" i="175"/>
  <c r="R10" i="175"/>
  <c r="Q10" i="175"/>
  <c r="P10" i="175"/>
  <c r="N10" i="175"/>
  <c r="L10" i="175"/>
  <c r="M10" i="175" s="1"/>
  <c r="J10" i="175"/>
  <c r="H10" i="175"/>
  <c r="F10" i="175"/>
  <c r="D10" i="175"/>
  <c r="E10" i="175" s="1"/>
  <c r="MX11" i="175"/>
  <c r="MW11" i="175"/>
  <c r="MU11" i="175"/>
  <c r="MT11" i="175"/>
  <c r="MR11" i="175"/>
  <c r="MQ11" i="175"/>
  <c r="MO11" i="175"/>
  <c r="MN11" i="175"/>
  <c r="ML11" i="175"/>
  <c r="MK11" i="175"/>
  <c r="MX10" i="175"/>
  <c r="MW10" i="175"/>
  <c r="MU10" i="175"/>
  <c r="MT10" i="175"/>
  <c r="MR10" i="175"/>
  <c r="MQ10" i="175"/>
  <c r="MO10" i="175"/>
  <c r="MN10" i="175"/>
  <c r="ML10" i="175"/>
  <c r="MK10" i="175"/>
  <c r="NO11" i="175"/>
  <c r="NN11" i="175"/>
  <c r="NL11" i="175"/>
  <c r="NK11" i="175"/>
  <c r="NI11" i="175"/>
  <c r="NH11" i="175"/>
  <c r="NF11" i="175"/>
  <c r="NE11" i="175"/>
  <c r="NC11" i="175"/>
  <c r="NB11" i="175"/>
  <c r="NO10" i="175"/>
  <c r="NN10" i="175"/>
  <c r="NL10" i="175"/>
  <c r="NK10" i="175"/>
  <c r="NI10" i="175"/>
  <c r="NH10" i="175"/>
  <c r="NF10" i="175"/>
  <c r="NE10" i="175"/>
  <c r="NC10" i="175"/>
  <c r="NB10" i="175"/>
  <c r="OW10" i="175"/>
  <c r="OV10" i="175"/>
  <c r="OT10" i="175"/>
  <c r="OS10" i="175"/>
  <c r="OQ10" i="175"/>
  <c r="OP10" i="175"/>
  <c r="ON10" i="175"/>
  <c r="OM10" i="175"/>
  <c r="OK10" i="175"/>
  <c r="OJ10" i="175"/>
  <c r="OF11" i="175"/>
  <c r="OE11" i="175"/>
  <c r="OC11" i="175"/>
  <c r="OB11" i="175"/>
  <c r="NZ11" i="175"/>
  <c r="NY11" i="175"/>
  <c r="NW11" i="175"/>
  <c r="NV11" i="175"/>
  <c r="NT11" i="175"/>
  <c r="NS11" i="175"/>
  <c r="OF10" i="175"/>
  <c r="OE10" i="175"/>
  <c r="OC10" i="175"/>
  <c r="OB10" i="175"/>
  <c r="NZ10" i="175"/>
  <c r="NY10" i="175"/>
  <c r="NW10" i="175"/>
  <c r="NV10" i="175"/>
  <c r="NT10" i="175"/>
  <c r="NS10" i="175"/>
  <c r="PB10" i="175"/>
  <c r="PA10" i="175"/>
  <c r="PN10" i="175"/>
  <c r="PM10" i="175"/>
  <c r="PK10" i="175"/>
  <c r="PJ10" i="175"/>
  <c r="PH10" i="175"/>
  <c r="PG10" i="175"/>
  <c r="PE10" i="175"/>
  <c r="PD10" i="175"/>
  <c r="PN12" i="175"/>
  <c r="PM12" i="175"/>
  <c r="PK12" i="175"/>
  <c r="PJ12" i="175"/>
  <c r="PH12" i="175"/>
  <c r="PG12" i="175"/>
  <c r="PE12" i="175"/>
  <c r="PD12" i="175"/>
  <c r="PB12" i="175"/>
  <c r="PA12" i="175"/>
  <c r="PN11" i="175"/>
  <c r="PM11" i="175"/>
  <c r="PK11" i="175"/>
  <c r="PJ11" i="175"/>
  <c r="PH11" i="175"/>
  <c r="PG11" i="175"/>
  <c r="PE11" i="175"/>
  <c r="PD11" i="175"/>
  <c r="PB11" i="175"/>
  <c r="PA11" i="175"/>
  <c r="PN9" i="175"/>
  <c r="PM9" i="175"/>
  <c r="PK9" i="175"/>
  <c r="PJ9" i="175"/>
  <c r="PH9" i="175"/>
  <c r="PG9" i="175"/>
  <c r="PE9" i="175"/>
  <c r="PD9" i="175"/>
  <c r="PB9" i="175"/>
  <c r="PA9" i="175"/>
  <c r="PN8" i="175"/>
  <c r="PM8" i="175"/>
  <c r="PK8" i="175"/>
  <c r="PJ8" i="175"/>
  <c r="PH8" i="175"/>
  <c r="PG8" i="175"/>
  <c r="PE8" i="175"/>
  <c r="PD8" i="175"/>
  <c r="PB8" i="175"/>
  <c r="PA8" i="175"/>
  <c r="PN7" i="175"/>
  <c r="PM7" i="175"/>
  <c r="PK7" i="175"/>
  <c r="PJ7" i="175"/>
  <c r="PH7" i="175"/>
  <c r="PG7" i="175"/>
  <c r="PE7" i="175"/>
  <c r="PD7" i="175"/>
  <c r="PB7" i="175"/>
  <c r="PA7" i="175"/>
  <c r="PN6" i="175"/>
  <c r="PM6" i="175"/>
  <c r="PK6" i="175"/>
  <c r="PJ6" i="175"/>
  <c r="PH6" i="175"/>
  <c r="PG6" i="175"/>
  <c r="PE6" i="175"/>
  <c r="PD6" i="175"/>
  <c r="PB6" i="175"/>
  <c r="PA6" i="175"/>
  <c r="PN5" i="175"/>
  <c r="PM5" i="175"/>
  <c r="PK5" i="175"/>
  <c r="PJ5" i="175"/>
  <c r="PH5" i="175"/>
  <c r="PG5" i="175"/>
  <c r="PE5" i="175"/>
  <c r="PD5" i="175"/>
  <c r="PB5" i="175"/>
  <c r="PA5" i="175"/>
  <c r="PN4" i="175"/>
  <c r="PM4" i="175"/>
  <c r="PK4" i="175"/>
  <c r="PJ4" i="175"/>
  <c r="PH4" i="175"/>
  <c r="PG4" i="175"/>
  <c r="PE4" i="175"/>
  <c r="PD4" i="175"/>
  <c r="PB4" i="175"/>
  <c r="PA4" i="175"/>
  <c r="PN3" i="175"/>
  <c r="PM3" i="175"/>
  <c r="PK3" i="175"/>
  <c r="PJ3" i="175"/>
  <c r="PH3" i="175"/>
  <c r="PG3" i="175"/>
  <c r="PE3" i="175"/>
  <c r="PD3" i="175"/>
  <c r="PB3" i="175"/>
  <c r="PA3" i="175"/>
  <c r="R3623" i="5"/>
  <c r="AA3623" i="5"/>
  <c r="R3624" i="5"/>
  <c r="AA3624" i="5"/>
  <c r="R3625" i="5"/>
  <c r="AA3625" i="5"/>
  <c r="R3626" i="5"/>
  <c r="AA3626" i="5"/>
  <c r="R3627" i="5"/>
  <c r="AA3627" i="5"/>
  <c r="R3628" i="5"/>
  <c r="AA3628" i="5"/>
  <c r="R3629" i="5"/>
  <c r="AA3629" i="5"/>
  <c r="R3630" i="5"/>
  <c r="AA3630" i="5"/>
  <c r="C202" i="169" s="1"/>
  <c r="D202" i="169" s="1"/>
  <c r="E202" i="169" s="1"/>
  <c r="F202" i="169" s="1"/>
  <c r="R3631" i="5"/>
  <c r="AA3631" i="5"/>
  <c r="R3632" i="5"/>
  <c r="AA3632" i="5"/>
  <c r="R3633" i="5"/>
  <c r="AA3633" i="5"/>
  <c r="R3634" i="5"/>
  <c r="AA3634" i="5"/>
  <c r="R3635" i="5"/>
  <c r="AA3635" i="5"/>
  <c r="R3636" i="5"/>
  <c r="AA3636" i="5"/>
  <c r="R3637" i="5"/>
  <c r="AA3637" i="5"/>
  <c r="R3638" i="5"/>
  <c r="AA3638" i="5"/>
  <c r="R3639" i="5"/>
  <c r="AA3639" i="5"/>
  <c r="R3640" i="5"/>
  <c r="AA3640" i="5"/>
  <c r="R3641" i="5"/>
  <c r="AA3641" i="5"/>
  <c r="R3642" i="5"/>
  <c r="AA3642" i="5"/>
  <c r="R3643" i="5"/>
  <c r="AA3643" i="5"/>
  <c r="R3644" i="5"/>
  <c r="AA3644" i="5"/>
  <c r="R3645" i="5"/>
  <c r="AA3645" i="5"/>
  <c r="R3646" i="5"/>
  <c r="AA3646" i="5"/>
  <c r="R3647" i="5"/>
  <c r="AA3647" i="5"/>
  <c r="R3648" i="5"/>
  <c r="AA3648" i="5"/>
  <c r="R3649" i="5"/>
  <c r="AA3649" i="5"/>
  <c r="R3650" i="5"/>
  <c r="AA3650" i="5"/>
  <c r="R3651" i="5"/>
  <c r="AA3651" i="5"/>
  <c r="R3652" i="5"/>
  <c r="AA3652" i="5"/>
  <c r="R3653" i="5"/>
  <c r="AA3653" i="5"/>
  <c r="R3654" i="5"/>
  <c r="AA3654" i="5"/>
  <c r="R3655" i="5"/>
  <c r="AA3655" i="5"/>
  <c r="R3656" i="5"/>
  <c r="AA3656" i="5"/>
  <c r="R3657" i="5"/>
  <c r="AA3657" i="5"/>
  <c r="R3658" i="5"/>
  <c r="AA3658" i="5"/>
  <c r="R3659" i="5"/>
  <c r="AA3659" i="5"/>
  <c r="R3660" i="5"/>
  <c r="AA3660" i="5"/>
  <c r="R3661" i="5"/>
  <c r="AA3661" i="5"/>
  <c r="R3662" i="5"/>
  <c r="AA3662" i="5"/>
  <c r="R3663" i="5"/>
  <c r="AA3663" i="5"/>
  <c r="R3664" i="5"/>
  <c r="AA3664" i="5"/>
  <c r="R3665" i="5"/>
  <c r="AA3665" i="5"/>
  <c r="R3666" i="5"/>
  <c r="AA3666" i="5"/>
  <c r="R3667" i="5"/>
  <c r="AA3667" i="5"/>
  <c r="R3668" i="5"/>
  <c r="AA3668" i="5"/>
  <c r="R3669" i="5"/>
  <c r="AA3669" i="5"/>
  <c r="R3670" i="5"/>
  <c r="AA3670" i="5"/>
  <c r="R3671" i="5"/>
  <c r="AA3671" i="5"/>
  <c r="R3672" i="5"/>
  <c r="AA3672" i="5"/>
  <c r="R3673" i="5"/>
  <c r="AA3673" i="5"/>
  <c r="R3674" i="5"/>
  <c r="AA3674" i="5"/>
  <c r="R3675" i="5"/>
  <c r="AA3675" i="5"/>
  <c r="R3676" i="5"/>
  <c r="AA3676" i="5"/>
  <c r="C210" i="169" s="1"/>
  <c r="D210" i="169" s="1"/>
  <c r="E210" i="169" s="1"/>
  <c r="F210" i="169" s="1"/>
  <c r="R3677" i="5"/>
  <c r="AA3677" i="5"/>
  <c r="AA3622" i="5"/>
  <c r="R3622" i="5"/>
  <c r="J3623" i="5"/>
  <c r="J3624" i="5"/>
  <c r="J3625" i="5"/>
  <c r="J3626" i="5"/>
  <c r="J3627" i="5"/>
  <c r="J3628" i="5"/>
  <c r="J3629" i="5"/>
  <c r="J3630" i="5"/>
  <c r="J3631" i="5"/>
  <c r="J3632" i="5"/>
  <c r="J3633" i="5"/>
  <c r="J3634" i="5"/>
  <c r="J3635" i="5"/>
  <c r="J3636" i="5"/>
  <c r="J3637" i="5"/>
  <c r="J3638" i="5"/>
  <c r="J3639" i="5"/>
  <c r="J3640" i="5"/>
  <c r="J3641" i="5"/>
  <c r="J3642" i="5"/>
  <c r="J3643" i="5"/>
  <c r="J3644" i="5"/>
  <c r="J3645" i="5"/>
  <c r="J3646" i="5"/>
  <c r="J3647" i="5"/>
  <c r="J3648" i="5"/>
  <c r="J3649" i="5"/>
  <c r="J3650" i="5"/>
  <c r="J3651" i="5"/>
  <c r="J3652" i="5"/>
  <c r="J3653" i="5"/>
  <c r="J3654" i="5"/>
  <c r="J3655" i="5"/>
  <c r="J3656" i="5"/>
  <c r="J3657" i="5"/>
  <c r="J3658" i="5"/>
  <c r="J3659" i="5"/>
  <c r="J3660" i="5"/>
  <c r="J3661" i="5"/>
  <c r="J3662" i="5"/>
  <c r="J3663" i="5"/>
  <c r="J3664" i="5"/>
  <c r="J3665" i="5"/>
  <c r="J3666" i="5"/>
  <c r="J3667" i="5"/>
  <c r="J3668" i="5"/>
  <c r="J3669" i="5"/>
  <c r="J3670" i="5"/>
  <c r="J3671" i="5"/>
  <c r="J3672" i="5"/>
  <c r="J3673" i="5"/>
  <c r="J3674" i="5"/>
  <c r="J3675" i="5"/>
  <c r="J3676" i="5"/>
  <c r="J3677" i="5"/>
  <c r="J3622" i="5"/>
  <c r="C209" i="169" l="1"/>
  <c r="D209" i="169" s="1"/>
  <c r="E209" i="169" s="1"/>
  <c r="F209" i="169" s="1"/>
  <c r="C206" i="169"/>
  <c r="D206" i="169" s="1"/>
  <c r="E206" i="169" s="1"/>
  <c r="F206" i="169" s="1"/>
  <c r="QE13" i="175"/>
  <c r="C205" i="169"/>
  <c r="D205" i="169" s="1"/>
  <c r="E205" i="169" s="1"/>
  <c r="F205" i="169" s="1"/>
  <c r="C203" i="169"/>
  <c r="D203" i="169" s="1"/>
  <c r="E203" i="169" s="1"/>
  <c r="F203" i="169" s="1"/>
  <c r="PV13" i="175"/>
  <c r="C204" i="169"/>
  <c r="D204" i="169" s="1"/>
  <c r="E204" i="169" s="1"/>
  <c r="F204" i="169" s="1"/>
  <c r="PU13" i="175"/>
  <c r="QA13" i="175"/>
  <c r="PR13" i="175"/>
  <c r="PX13" i="175"/>
  <c r="QD13" i="175"/>
  <c r="B10" i="175"/>
  <c r="C10" i="175" s="1"/>
  <c r="QC12" i="175"/>
  <c r="PW12" i="175"/>
  <c r="PW8" i="175"/>
  <c r="QF9" i="175"/>
  <c r="PW10" i="175"/>
  <c r="QC10" i="175"/>
  <c r="PT11" i="175"/>
  <c r="QF11" i="175"/>
  <c r="KQ10" i="175"/>
  <c r="X9" i="175"/>
  <c r="AD9" i="175"/>
  <c r="AA10" i="175"/>
  <c r="X11" i="175"/>
  <c r="AD11" i="175"/>
  <c r="ET9" i="175"/>
  <c r="EZ9" i="175"/>
  <c r="EQ10" i="175"/>
  <c r="EW10" i="175"/>
  <c r="FC10" i="175"/>
  <c r="OZ10" i="175"/>
  <c r="MJ11" i="175"/>
  <c r="LS11" i="175"/>
  <c r="OO10" i="175"/>
  <c r="NX10" i="175"/>
  <c r="OH11" i="175"/>
  <c r="NR10" i="175"/>
  <c r="NG11" i="175"/>
  <c r="NA10" i="175"/>
  <c r="MP11" i="175"/>
  <c r="G10" i="175"/>
  <c r="O10" i="175"/>
  <c r="ET11" i="175"/>
  <c r="EZ11" i="175"/>
  <c r="LV10" i="175"/>
  <c r="PZ5" i="175"/>
  <c r="QF5" i="175"/>
  <c r="PT7" i="175"/>
  <c r="PZ7" i="175"/>
  <c r="QF7" i="175"/>
  <c r="PI10" i="175"/>
  <c r="PO10" i="175"/>
  <c r="NU10" i="175"/>
  <c r="OA10" i="175"/>
  <c r="OG10" i="175"/>
  <c r="NX11" i="175"/>
  <c r="OD11" i="175"/>
  <c r="OR10" i="175"/>
  <c r="OX10" i="175"/>
  <c r="NM10" i="175"/>
  <c r="ND11" i="175"/>
  <c r="NJ11" i="175"/>
  <c r="NP11" i="175"/>
  <c r="MV10" i="175"/>
  <c r="MM11" i="175"/>
  <c r="MS11" i="175"/>
  <c r="I10" i="175"/>
  <c r="LY11" i="175"/>
  <c r="LH11" i="175"/>
  <c r="K10" i="175"/>
  <c r="T10" i="175"/>
  <c r="AA9" i="175"/>
  <c r="X10" i="175"/>
  <c r="AD10" i="175"/>
  <c r="AA11" i="175"/>
  <c r="EQ9" i="175"/>
  <c r="EW9" i="175"/>
  <c r="FC9" i="175"/>
  <c r="EZ10" i="175"/>
  <c r="EQ11" i="175"/>
  <c r="EW11" i="175"/>
  <c r="FC11" i="175"/>
  <c r="LY10" i="175"/>
  <c r="KW10" i="175"/>
  <c r="KN11" i="175"/>
  <c r="KT11" i="175"/>
  <c r="KZ11" i="175"/>
  <c r="JZ10" i="175"/>
  <c r="KF10" i="175"/>
  <c r="JW11" i="175"/>
  <c r="KC11" i="175"/>
  <c r="KI11" i="175"/>
  <c r="PT4" i="175"/>
  <c r="PW5" i="175"/>
  <c r="PW7" i="175"/>
  <c r="QC7" i="175"/>
  <c r="PT8" i="175"/>
  <c r="QF8" i="175"/>
  <c r="PZ10" i="175"/>
  <c r="PW11" i="175"/>
  <c r="PZ12" i="175"/>
  <c r="QF12" i="175"/>
  <c r="PO5" i="175"/>
  <c r="OH10" i="175"/>
  <c r="OI11" i="175"/>
  <c r="OU10" i="175"/>
  <c r="ND10" i="175"/>
  <c r="NJ10" i="175"/>
  <c r="NP10" i="175"/>
  <c r="NM11" i="175"/>
  <c r="MM10" i="175"/>
  <c r="MS10" i="175"/>
  <c r="MY10" i="175"/>
  <c r="MV11" i="175"/>
  <c r="AE9" i="175"/>
  <c r="AE11" i="175"/>
  <c r="FE10" i="175"/>
  <c r="MJ10" i="175"/>
  <c r="MB10" i="175"/>
  <c r="MH10" i="175"/>
  <c r="ME11" i="175"/>
  <c r="LE10" i="175"/>
  <c r="LK10" i="175"/>
  <c r="LQ10" i="175"/>
  <c r="LN11" i="175"/>
  <c r="KN10" i="175"/>
  <c r="KT10" i="175"/>
  <c r="KZ10" i="175"/>
  <c r="KQ11" i="175"/>
  <c r="KW11" i="175"/>
  <c r="JW10" i="175"/>
  <c r="KC10" i="175"/>
  <c r="KI10" i="175"/>
  <c r="JZ11" i="175"/>
  <c r="KF11" i="175"/>
  <c r="PF10" i="175"/>
  <c r="OD10" i="175"/>
  <c r="NU11" i="175"/>
  <c r="OA11" i="175"/>
  <c r="OG11" i="175"/>
  <c r="OL10" i="175"/>
  <c r="S10" i="175"/>
  <c r="U10" i="175" s="1"/>
  <c r="LS10" i="175"/>
  <c r="LB10" i="175"/>
  <c r="KK10" i="175"/>
  <c r="MY11" i="175"/>
  <c r="AE10" i="175"/>
  <c r="FE9" i="175"/>
  <c r="ET10" i="175"/>
  <c r="FE11" i="175"/>
  <c r="ME10" i="175"/>
  <c r="LV11" i="175"/>
  <c r="MB11" i="175"/>
  <c r="MH11" i="175"/>
  <c r="LH10" i="175"/>
  <c r="LN10" i="175"/>
  <c r="LE11" i="175"/>
  <c r="LK11" i="175"/>
  <c r="LQ11" i="175"/>
  <c r="QC11" i="175"/>
  <c r="PT12" i="175"/>
  <c r="OI10" i="175"/>
  <c r="NG10" i="175"/>
  <c r="NR11" i="175"/>
  <c r="MP10" i="175"/>
  <c r="NA11" i="175"/>
  <c r="LB11" i="175"/>
  <c r="KK11" i="175"/>
  <c r="QF6" i="175"/>
  <c r="QC9" i="175"/>
  <c r="QF10" i="175"/>
  <c r="QF4" i="175"/>
  <c r="QC8" i="175"/>
  <c r="QC5" i="175"/>
  <c r="QB13" i="175"/>
  <c r="QC4" i="175"/>
  <c r="QC6" i="175"/>
  <c r="PY13" i="175"/>
  <c r="PZ9" i="175"/>
  <c r="PZ11" i="175"/>
  <c r="PZ4" i="175"/>
  <c r="PZ6" i="175"/>
  <c r="PZ8" i="175"/>
  <c r="QH3" i="175"/>
  <c r="QH5" i="175"/>
  <c r="QH7" i="175"/>
  <c r="QG8" i="175"/>
  <c r="PW9" i="175"/>
  <c r="QG4" i="175"/>
  <c r="PW4" i="175"/>
  <c r="PW6" i="175"/>
  <c r="QH9" i="175"/>
  <c r="QG12" i="175"/>
  <c r="QH11" i="175"/>
  <c r="QH6" i="175"/>
  <c r="QH10" i="175"/>
  <c r="PT5" i="175"/>
  <c r="PT9" i="175"/>
  <c r="QH4" i="175"/>
  <c r="QG5" i="175"/>
  <c r="PT6" i="175"/>
  <c r="QH8" i="175"/>
  <c r="QG9" i="175"/>
  <c r="PT10" i="175"/>
  <c r="QH12" i="175"/>
  <c r="PW3" i="175"/>
  <c r="PT3" i="175"/>
  <c r="QF3" i="175"/>
  <c r="QG6" i="175"/>
  <c r="QG10" i="175"/>
  <c r="QC3" i="175"/>
  <c r="QG3" i="175"/>
  <c r="QG7" i="175"/>
  <c r="QG11" i="175"/>
  <c r="PS13" i="175"/>
  <c r="PZ3" i="175"/>
  <c r="KJ11" i="175"/>
  <c r="KJ10" i="175"/>
  <c r="LA11" i="175"/>
  <c r="LA10" i="175"/>
  <c r="LR11" i="175"/>
  <c r="LR10" i="175"/>
  <c r="MI11" i="175"/>
  <c r="MI10" i="175"/>
  <c r="FD11" i="175"/>
  <c r="FD10" i="175"/>
  <c r="FD9" i="175"/>
  <c r="MZ11" i="175"/>
  <c r="MZ10" i="175"/>
  <c r="NQ11" i="175"/>
  <c r="NQ10" i="175"/>
  <c r="OY10" i="175"/>
  <c r="PI3" i="175"/>
  <c r="PL4" i="175"/>
  <c r="PF5" i="175"/>
  <c r="PL5" i="175"/>
  <c r="PC6" i="175"/>
  <c r="PF7" i="175"/>
  <c r="PL7" i="175"/>
  <c r="PC8" i="175"/>
  <c r="PF9" i="175"/>
  <c r="PC11" i="175"/>
  <c r="PO11" i="175"/>
  <c r="PL12" i="175"/>
  <c r="PL10" i="175"/>
  <c r="PC10" i="175"/>
  <c r="PQ10" i="175"/>
  <c r="PP10" i="175"/>
  <c r="PI5" i="175"/>
  <c r="PF6" i="175"/>
  <c r="PC9" i="175"/>
  <c r="PI9" i="175"/>
  <c r="PO9" i="175"/>
  <c r="PF11" i="175"/>
  <c r="PC12" i="175"/>
  <c r="PI12" i="175"/>
  <c r="PF3" i="175"/>
  <c r="PL3" i="175"/>
  <c r="PC4" i="175"/>
  <c r="PI4" i="175"/>
  <c r="PO4" i="175"/>
  <c r="PN13" i="175"/>
  <c r="PO7" i="175"/>
  <c r="PO12" i="175"/>
  <c r="PO3" i="175"/>
  <c r="PO6" i="175"/>
  <c r="PO8" i="175"/>
  <c r="PL6" i="175"/>
  <c r="PK13" i="175"/>
  <c r="PL8" i="175"/>
  <c r="PL11" i="175"/>
  <c r="PL9" i="175"/>
  <c r="PI7" i="175"/>
  <c r="PG13" i="175"/>
  <c r="PI6" i="175"/>
  <c r="PI8" i="175"/>
  <c r="PP4" i="175"/>
  <c r="PI11" i="175"/>
  <c r="PP3" i="175"/>
  <c r="PE13" i="175"/>
  <c r="PF8" i="175"/>
  <c r="PP12" i="175"/>
  <c r="PF4" i="175"/>
  <c r="PP7" i="175"/>
  <c r="PQ9" i="175"/>
  <c r="PF12" i="175"/>
  <c r="PQ4" i="175"/>
  <c r="PQ5" i="175"/>
  <c r="PQ8" i="175"/>
  <c r="PC3" i="175"/>
  <c r="PC7" i="175"/>
  <c r="PQ6" i="175"/>
  <c r="PQ11" i="175"/>
  <c r="PQ3" i="175"/>
  <c r="PC5" i="175"/>
  <c r="PQ7" i="175"/>
  <c r="PP8" i="175"/>
  <c r="PQ12" i="175"/>
  <c r="PD13" i="175"/>
  <c r="PH13" i="175"/>
  <c r="PP5" i="175"/>
  <c r="PP9" i="175"/>
  <c r="PA13" i="175"/>
  <c r="PM13" i="175"/>
  <c r="PP6" i="175"/>
  <c r="PP11" i="175"/>
  <c r="PB13" i="175"/>
  <c r="PJ13" i="175"/>
  <c r="P11" i="175"/>
  <c r="N11" i="175"/>
  <c r="L11" i="175"/>
  <c r="J11" i="175"/>
  <c r="H11" i="175"/>
  <c r="F11" i="175"/>
  <c r="D11" i="175"/>
  <c r="R11" i="175"/>
  <c r="Q11" i="175"/>
  <c r="Q9" i="175"/>
  <c r="QF13" i="175" l="1"/>
  <c r="QE14" i="175"/>
  <c r="PW13" i="175"/>
  <c r="PV14" i="175"/>
  <c r="QC13" i="175"/>
  <c r="PZ13" i="175"/>
  <c r="PS14" i="175"/>
  <c r="QB14" i="175"/>
  <c r="PY14" i="175"/>
  <c r="QH13" i="175"/>
  <c r="PT13" i="175"/>
  <c r="QH14" i="175"/>
  <c r="QG13" i="175"/>
  <c r="PO13" i="175"/>
  <c r="PB14" i="175"/>
  <c r="PL13" i="175"/>
  <c r="PH14" i="175"/>
  <c r="PF13" i="175"/>
  <c r="PP13" i="175"/>
  <c r="PI13" i="175"/>
  <c r="PQ14" i="175"/>
  <c r="PC13" i="175"/>
  <c r="PK14" i="175"/>
  <c r="PQ13" i="175"/>
  <c r="PE14" i="175"/>
  <c r="PN14" i="175"/>
  <c r="T11" i="175"/>
  <c r="S11" i="175"/>
  <c r="U11" i="175" s="1"/>
  <c r="E11" i="175"/>
  <c r="G11" i="175"/>
  <c r="I11" i="175"/>
  <c r="M11" i="175"/>
  <c r="O11" i="175"/>
  <c r="K11" i="175"/>
  <c r="ER34" i="153"/>
  <c r="EQ34" i="153"/>
  <c r="EP34" i="153"/>
  <c r="EO34" i="153"/>
  <c r="EN34" i="153"/>
  <c r="ER33" i="153"/>
  <c r="EQ33" i="153"/>
  <c r="EP33" i="153"/>
  <c r="EO33" i="153"/>
  <c r="EN33" i="153"/>
  <c r="ER31" i="153"/>
  <c r="EQ31" i="153"/>
  <c r="EP31" i="153"/>
  <c r="EO31" i="153"/>
  <c r="EN31" i="153"/>
  <c r="ER30" i="153"/>
  <c r="EQ30" i="153"/>
  <c r="EP30" i="153"/>
  <c r="EO30" i="153"/>
  <c r="EN30" i="153"/>
  <c r="ER28" i="153"/>
  <c r="EQ28" i="153"/>
  <c r="EP28" i="153"/>
  <c r="EO28" i="153"/>
  <c r="EN28" i="153"/>
  <c r="ER27" i="153"/>
  <c r="EQ27" i="153"/>
  <c r="EP27" i="153"/>
  <c r="EO27" i="153"/>
  <c r="EN27" i="153"/>
  <c r="ER25" i="153"/>
  <c r="EQ25" i="153"/>
  <c r="EP25" i="153"/>
  <c r="EO25" i="153"/>
  <c r="EN25" i="153"/>
  <c r="ER24" i="153"/>
  <c r="EQ24" i="153"/>
  <c r="EP24" i="153"/>
  <c r="EO24" i="153"/>
  <c r="EN24" i="153"/>
  <c r="ER18" i="153"/>
  <c r="EQ18" i="153"/>
  <c r="EP18" i="153"/>
  <c r="EO18" i="153"/>
  <c r="EN18" i="153"/>
  <c r="ER17" i="153"/>
  <c r="EQ17" i="153"/>
  <c r="EP17" i="153"/>
  <c r="EO17" i="153"/>
  <c r="EN17" i="153"/>
  <c r="ER15" i="153"/>
  <c r="EQ15" i="153"/>
  <c r="EP15" i="153"/>
  <c r="EO15" i="153"/>
  <c r="EN15" i="153"/>
  <c r="ER14" i="153"/>
  <c r="EQ14" i="153"/>
  <c r="EP14" i="153"/>
  <c r="EO14" i="153"/>
  <c r="EN14" i="153"/>
  <c r="ER9" i="153"/>
  <c r="EQ9" i="153"/>
  <c r="EP9" i="153"/>
  <c r="EO9" i="153"/>
  <c r="EN9" i="153"/>
  <c r="ER8" i="153"/>
  <c r="EQ8" i="153"/>
  <c r="EP8" i="153"/>
  <c r="EO8" i="153"/>
  <c r="EN8" i="153"/>
  <c r="ER6" i="153"/>
  <c r="EQ6" i="153"/>
  <c r="EP6" i="153"/>
  <c r="EO6" i="153"/>
  <c r="EN6" i="153"/>
  <c r="ER5" i="153"/>
  <c r="EQ5" i="153"/>
  <c r="EP5" i="153"/>
  <c r="EO5" i="153"/>
  <c r="EN5" i="153"/>
  <c r="ER3" i="153"/>
  <c r="EQ3" i="153"/>
  <c r="EP3" i="153"/>
  <c r="EO3" i="153"/>
  <c r="EN3" i="153"/>
  <c r="ER2" i="153"/>
  <c r="EQ2" i="153"/>
  <c r="EP2" i="153"/>
  <c r="EO2" i="153"/>
  <c r="EN2" i="153"/>
  <c r="OW11" i="175"/>
  <c r="OV11" i="175"/>
  <c r="OT11" i="175"/>
  <c r="OS11" i="175"/>
  <c r="OQ11" i="175"/>
  <c r="OP11" i="175"/>
  <c r="ON11" i="175"/>
  <c r="OM11" i="175"/>
  <c r="OK11" i="175"/>
  <c r="OJ11" i="175"/>
  <c r="OM9" i="175"/>
  <c r="OW12" i="175"/>
  <c r="OV12" i="175"/>
  <c r="OT12" i="175"/>
  <c r="OS12" i="175"/>
  <c r="OQ12" i="175"/>
  <c r="OP12" i="175"/>
  <c r="ON12" i="175"/>
  <c r="OM12" i="175"/>
  <c r="OK12" i="175"/>
  <c r="OJ12" i="175"/>
  <c r="OW9" i="175"/>
  <c r="OV9" i="175"/>
  <c r="OT9" i="175"/>
  <c r="OS9" i="175"/>
  <c r="OQ9" i="175"/>
  <c r="OP9" i="175"/>
  <c r="ON9" i="175"/>
  <c r="OK9" i="175"/>
  <c r="OJ9" i="175"/>
  <c r="OW8" i="175"/>
  <c r="OV8" i="175"/>
  <c r="OT8" i="175"/>
  <c r="OS8" i="175"/>
  <c r="OQ8" i="175"/>
  <c r="OP8" i="175"/>
  <c r="ON8" i="175"/>
  <c r="OM8" i="175"/>
  <c r="OK8" i="175"/>
  <c r="OJ8" i="175"/>
  <c r="OW7" i="175"/>
  <c r="OV7" i="175"/>
  <c r="OT7" i="175"/>
  <c r="OS7" i="175"/>
  <c r="OQ7" i="175"/>
  <c r="OP7" i="175"/>
  <c r="ON7" i="175"/>
  <c r="OM7" i="175"/>
  <c r="OK7" i="175"/>
  <c r="OJ7" i="175"/>
  <c r="OW6" i="175"/>
  <c r="OV6" i="175"/>
  <c r="OT6" i="175"/>
  <c r="OS6" i="175"/>
  <c r="OQ6" i="175"/>
  <c r="OP6" i="175"/>
  <c r="ON6" i="175"/>
  <c r="OM6" i="175"/>
  <c r="OK6" i="175"/>
  <c r="OJ6" i="175"/>
  <c r="OW5" i="175"/>
  <c r="OV5" i="175"/>
  <c r="OT5" i="175"/>
  <c r="OS5" i="175"/>
  <c r="OQ5" i="175"/>
  <c r="OP5" i="175"/>
  <c r="ON5" i="175"/>
  <c r="OM5" i="175"/>
  <c r="OK5" i="175"/>
  <c r="OJ5" i="175"/>
  <c r="OW4" i="175"/>
  <c r="OV4" i="175"/>
  <c r="OT4" i="175"/>
  <c r="OS4" i="175"/>
  <c r="OQ4" i="175"/>
  <c r="OP4" i="175"/>
  <c r="ON4" i="175"/>
  <c r="OM4" i="175"/>
  <c r="OK4" i="175"/>
  <c r="OJ4" i="175"/>
  <c r="OW3" i="175"/>
  <c r="OV3" i="175"/>
  <c r="OT3" i="175"/>
  <c r="OS3" i="175"/>
  <c r="OQ3" i="175"/>
  <c r="OP3" i="175"/>
  <c r="ON3" i="175"/>
  <c r="OM3" i="175"/>
  <c r="OK3" i="175"/>
  <c r="OJ3" i="175"/>
  <c r="AA3529" i="5"/>
  <c r="AA3530" i="5"/>
  <c r="AA3531" i="5"/>
  <c r="AA3532" i="5"/>
  <c r="AA3533" i="5"/>
  <c r="AA3534" i="5"/>
  <c r="AA3535" i="5"/>
  <c r="AA3536" i="5"/>
  <c r="AA3537" i="5"/>
  <c r="AA3538" i="5"/>
  <c r="AA3539" i="5"/>
  <c r="AA3540" i="5"/>
  <c r="AA3541" i="5"/>
  <c r="AA3542" i="5"/>
  <c r="AA3543" i="5"/>
  <c r="AA3544" i="5"/>
  <c r="AA3545" i="5"/>
  <c r="AA3546" i="5"/>
  <c r="AA3547" i="5"/>
  <c r="AA3548" i="5"/>
  <c r="AA3549" i="5"/>
  <c r="AA3550" i="5"/>
  <c r="AA3551" i="5"/>
  <c r="AA3552" i="5"/>
  <c r="AA3553" i="5"/>
  <c r="AA3554" i="5"/>
  <c r="AA3555" i="5"/>
  <c r="AA3556" i="5"/>
  <c r="AA3557" i="5"/>
  <c r="AA3558" i="5"/>
  <c r="AA3559" i="5"/>
  <c r="AA3560" i="5"/>
  <c r="AA3561" i="5"/>
  <c r="AA3562" i="5"/>
  <c r="AA3563" i="5"/>
  <c r="AA3564" i="5"/>
  <c r="AA3565" i="5"/>
  <c r="AA3566" i="5"/>
  <c r="AA3567" i="5"/>
  <c r="AA3568" i="5"/>
  <c r="AA3569" i="5"/>
  <c r="AA3570" i="5"/>
  <c r="AA3571" i="5"/>
  <c r="AA3572" i="5"/>
  <c r="AA3573" i="5"/>
  <c r="AA3574" i="5"/>
  <c r="AA3575" i="5"/>
  <c r="AA3576" i="5"/>
  <c r="AA3577" i="5"/>
  <c r="AA3578" i="5"/>
  <c r="AA3579" i="5"/>
  <c r="AA3580" i="5"/>
  <c r="AA3581" i="5"/>
  <c r="AA3582" i="5"/>
  <c r="AA3583" i="5"/>
  <c r="AA3584" i="5"/>
  <c r="AA3585" i="5"/>
  <c r="AA3586" i="5"/>
  <c r="AA3587" i="5"/>
  <c r="AA3588" i="5"/>
  <c r="AA3589" i="5"/>
  <c r="AA3590" i="5"/>
  <c r="AA3591" i="5"/>
  <c r="AA3592" i="5"/>
  <c r="AA3593" i="5"/>
  <c r="AA3594" i="5"/>
  <c r="AA3595" i="5"/>
  <c r="AA3596" i="5"/>
  <c r="AA3597" i="5"/>
  <c r="AA3598" i="5"/>
  <c r="AA3599" i="5"/>
  <c r="AA3600" i="5"/>
  <c r="AA3601" i="5"/>
  <c r="AA3602" i="5"/>
  <c r="AA3603" i="5"/>
  <c r="AA3604" i="5"/>
  <c r="AA3605" i="5"/>
  <c r="AA3606" i="5"/>
  <c r="AA3607" i="5"/>
  <c r="AA3608" i="5"/>
  <c r="AA3609" i="5"/>
  <c r="AA3610" i="5"/>
  <c r="AA3611" i="5"/>
  <c r="AA3612" i="5"/>
  <c r="AA3613" i="5"/>
  <c r="AA3614" i="5"/>
  <c r="AA3615" i="5"/>
  <c r="AA3616" i="5"/>
  <c r="AA3617" i="5"/>
  <c r="AA3618" i="5"/>
  <c r="AA3619" i="5"/>
  <c r="C186" i="169" s="1"/>
  <c r="D186" i="169" s="1"/>
  <c r="E186" i="169" s="1"/>
  <c r="F186" i="169" s="1"/>
  <c r="AA3620" i="5"/>
  <c r="AA3621" i="5"/>
  <c r="J3530" i="5"/>
  <c r="R3530" i="5"/>
  <c r="J3531" i="5"/>
  <c r="R3531" i="5"/>
  <c r="J3532" i="5"/>
  <c r="R3532" i="5"/>
  <c r="J3533" i="5"/>
  <c r="R3533" i="5"/>
  <c r="J3534" i="5"/>
  <c r="R3534" i="5"/>
  <c r="J3535" i="5"/>
  <c r="R3535" i="5"/>
  <c r="J3536" i="5"/>
  <c r="R3536" i="5"/>
  <c r="J3537" i="5"/>
  <c r="R3537" i="5"/>
  <c r="J3538" i="5"/>
  <c r="R3538" i="5"/>
  <c r="J3539" i="5"/>
  <c r="R3539" i="5"/>
  <c r="J3540" i="5"/>
  <c r="R3540" i="5"/>
  <c r="J3541" i="5"/>
  <c r="R3541" i="5"/>
  <c r="J3542" i="5"/>
  <c r="R3542" i="5"/>
  <c r="J3543" i="5"/>
  <c r="R3543" i="5"/>
  <c r="J3544" i="5"/>
  <c r="R3544" i="5"/>
  <c r="J3545" i="5"/>
  <c r="R3545" i="5"/>
  <c r="J3546" i="5"/>
  <c r="R3546" i="5"/>
  <c r="J3547" i="5"/>
  <c r="R3547" i="5"/>
  <c r="J3548" i="5"/>
  <c r="R3548" i="5"/>
  <c r="J3549" i="5"/>
  <c r="R3549" i="5"/>
  <c r="J3550" i="5"/>
  <c r="R3550" i="5"/>
  <c r="J3551" i="5"/>
  <c r="R3551" i="5"/>
  <c r="J3552" i="5"/>
  <c r="R3552" i="5"/>
  <c r="J3553" i="5"/>
  <c r="R3553" i="5"/>
  <c r="J3554" i="5"/>
  <c r="R3554" i="5"/>
  <c r="J3555" i="5"/>
  <c r="R3555" i="5"/>
  <c r="J3556" i="5"/>
  <c r="R3556" i="5"/>
  <c r="J3557" i="5"/>
  <c r="R3557" i="5"/>
  <c r="J3558" i="5"/>
  <c r="R3558" i="5"/>
  <c r="J3559" i="5"/>
  <c r="R3559" i="5"/>
  <c r="J3560" i="5"/>
  <c r="R3560" i="5"/>
  <c r="J3561" i="5"/>
  <c r="R3561" i="5"/>
  <c r="J3562" i="5"/>
  <c r="R3562" i="5"/>
  <c r="J3563" i="5"/>
  <c r="R3563" i="5"/>
  <c r="J3564" i="5"/>
  <c r="R3564" i="5"/>
  <c r="J3565" i="5"/>
  <c r="R3565" i="5"/>
  <c r="J3566" i="5"/>
  <c r="R3566" i="5"/>
  <c r="J3567" i="5"/>
  <c r="R3567" i="5"/>
  <c r="J3568" i="5"/>
  <c r="R3568" i="5"/>
  <c r="J3569" i="5"/>
  <c r="R3569" i="5"/>
  <c r="J3570" i="5"/>
  <c r="R3570" i="5"/>
  <c r="J3571" i="5"/>
  <c r="R3571" i="5"/>
  <c r="J3572" i="5"/>
  <c r="R3572" i="5"/>
  <c r="J3573" i="5"/>
  <c r="R3573" i="5"/>
  <c r="J3574" i="5"/>
  <c r="R3574" i="5"/>
  <c r="J3575" i="5"/>
  <c r="R3575" i="5"/>
  <c r="J3576" i="5"/>
  <c r="R3576" i="5"/>
  <c r="J3577" i="5"/>
  <c r="R3577" i="5"/>
  <c r="J3578" i="5"/>
  <c r="R3578" i="5"/>
  <c r="J3579" i="5"/>
  <c r="R3579" i="5"/>
  <c r="J3580" i="5"/>
  <c r="R3580" i="5"/>
  <c r="J3581" i="5"/>
  <c r="R3581" i="5"/>
  <c r="J3582" i="5"/>
  <c r="R3582" i="5"/>
  <c r="J3583" i="5"/>
  <c r="R3583" i="5"/>
  <c r="J3584" i="5"/>
  <c r="R3584" i="5"/>
  <c r="J3585" i="5"/>
  <c r="R3585" i="5"/>
  <c r="J3586" i="5"/>
  <c r="R3586" i="5"/>
  <c r="J3587" i="5"/>
  <c r="R3587" i="5"/>
  <c r="J3588" i="5"/>
  <c r="R3588" i="5"/>
  <c r="J3589" i="5"/>
  <c r="R3589" i="5"/>
  <c r="J3590" i="5"/>
  <c r="R3590" i="5"/>
  <c r="J3591" i="5"/>
  <c r="R3591" i="5"/>
  <c r="J3592" i="5"/>
  <c r="R3592" i="5"/>
  <c r="J3593" i="5"/>
  <c r="R3593" i="5"/>
  <c r="J3594" i="5"/>
  <c r="R3594" i="5"/>
  <c r="J3595" i="5"/>
  <c r="R3595" i="5"/>
  <c r="J3596" i="5"/>
  <c r="R3596" i="5"/>
  <c r="J3597" i="5"/>
  <c r="R3597" i="5"/>
  <c r="J3598" i="5"/>
  <c r="R3598" i="5"/>
  <c r="J3599" i="5"/>
  <c r="R3599" i="5"/>
  <c r="J3600" i="5"/>
  <c r="R3600" i="5"/>
  <c r="J3601" i="5"/>
  <c r="R3601" i="5"/>
  <c r="J3602" i="5"/>
  <c r="R3602" i="5"/>
  <c r="J3603" i="5"/>
  <c r="R3603" i="5"/>
  <c r="J3604" i="5"/>
  <c r="R3604" i="5"/>
  <c r="J3605" i="5"/>
  <c r="R3605" i="5"/>
  <c r="J3606" i="5"/>
  <c r="R3606" i="5"/>
  <c r="J3607" i="5"/>
  <c r="R3607" i="5"/>
  <c r="J3608" i="5"/>
  <c r="R3608" i="5"/>
  <c r="J3609" i="5"/>
  <c r="R3609" i="5"/>
  <c r="J3610" i="5"/>
  <c r="R3610" i="5"/>
  <c r="J3611" i="5"/>
  <c r="R3611" i="5"/>
  <c r="J3612" i="5"/>
  <c r="R3612" i="5"/>
  <c r="J3613" i="5"/>
  <c r="R3613" i="5"/>
  <c r="J3614" i="5"/>
  <c r="R3614" i="5"/>
  <c r="J3615" i="5"/>
  <c r="R3615" i="5"/>
  <c r="J3616" i="5"/>
  <c r="R3616" i="5"/>
  <c r="J3617" i="5"/>
  <c r="R3617" i="5"/>
  <c r="J3618" i="5"/>
  <c r="R3618" i="5"/>
  <c r="J3619" i="5"/>
  <c r="R3619" i="5"/>
  <c r="J3620" i="5"/>
  <c r="R3620" i="5"/>
  <c r="J3621" i="5"/>
  <c r="R3621" i="5"/>
  <c r="R3529" i="5"/>
  <c r="J3529" i="5"/>
  <c r="C188" i="169" l="1"/>
  <c r="D188" i="169" s="1"/>
  <c r="E188" i="169" s="1"/>
  <c r="F188" i="169" s="1"/>
  <c r="C185" i="169"/>
  <c r="D185" i="169" s="1"/>
  <c r="E185" i="169" s="1"/>
  <c r="F185" i="169" s="1"/>
  <c r="C189" i="169"/>
  <c r="D189" i="169" s="1"/>
  <c r="E189" i="169" s="1"/>
  <c r="F189" i="169" s="1"/>
  <c r="B11" i="175"/>
  <c r="C11" i="175" s="1"/>
  <c r="ER32" i="153"/>
  <c r="EQ21" i="153"/>
  <c r="OP13" i="175"/>
  <c r="ER20" i="153"/>
  <c r="EP20" i="153"/>
  <c r="OR9" i="175"/>
  <c r="OU12" i="175"/>
  <c r="EO20" i="153"/>
  <c r="EN21" i="153"/>
  <c r="ER21" i="153"/>
  <c r="ER10" i="153"/>
  <c r="EP16" i="153"/>
  <c r="OV13" i="175"/>
  <c r="ER7" i="153"/>
  <c r="EP10" i="153"/>
  <c r="EP26" i="153"/>
  <c r="OZ9" i="175"/>
  <c r="EQ20" i="153"/>
  <c r="OO3" i="175"/>
  <c r="EO7" i="153"/>
  <c r="EQ10" i="153"/>
  <c r="EO16" i="153"/>
  <c r="EQ19" i="153"/>
  <c r="EO26" i="153"/>
  <c r="EO29" i="153"/>
  <c r="EQ32" i="153"/>
  <c r="EO35" i="153"/>
  <c r="EP7" i="153"/>
  <c r="OR7" i="175"/>
  <c r="OX7" i="175"/>
  <c r="OO8" i="175"/>
  <c r="OU8" i="175"/>
  <c r="OL9" i="175"/>
  <c r="OR11" i="175"/>
  <c r="OX11" i="175"/>
  <c r="EQ7" i="153"/>
  <c r="EO10" i="153"/>
  <c r="EQ16" i="153"/>
  <c r="EO19" i="153"/>
  <c r="EQ26" i="153"/>
  <c r="EQ29" i="153"/>
  <c r="EO32" i="153"/>
  <c r="EQ35" i="153"/>
  <c r="ER16" i="153"/>
  <c r="EN26" i="153"/>
  <c r="EN29" i="153"/>
  <c r="ER29" i="153"/>
  <c r="EN35" i="153"/>
  <c r="ER35" i="153"/>
  <c r="ER19" i="153"/>
  <c r="ER26" i="153"/>
  <c r="ES8" i="153"/>
  <c r="ES17" i="153"/>
  <c r="EP29" i="153"/>
  <c r="ES30" i="153"/>
  <c r="EP35" i="153"/>
  <c r="EP21" i="153"/>
  <c r="EP19" i="153"/>
  <c r="EP32" i="153"/>
  <c r="ES31" i="153"/>
  <c r="EO21" i="153"/>
  <c r="ES5" i="153"/>
  <c r="ES14" i="153"/>
  <c r="ES24" i="153"/>
  <c r="ES27" i="153"/>
  <c r="ES33" i="153"/>
  <c r="ES2" i="153"/>
  <c r="ES6" i="153"/>
  <c r="ES15" i="153"/>
  <c r="EN10" i="153"/>
  <c r="EN19" i="153"/>
  <c r="EN16" i="153"/>
  <c r="EN20" i="153"/>
  <c r="EN32" i="153"/>
  <c r="EP4" i="153"/>
  <c r="EN7" i="153"/>
  <c r="ES3" i="153"/>
  <c r="EQ4" i="153"/>
  <c r="ES9" i="153"/>
  <c r="ES18" i="153"/>
  <c r="ES25" i="153"/>
  <c r="ES28" i="153"/>
  <c r="ES34" i="153"/>
  <c r="EN4" i="153"/>
  <c r="ER4" i="153"/>
  <c r="EO4" i="153"/>
  <c r="OU11" i="175"/>
  <c r="OZ11" i="175"/>
  <c r="OY9" i="175"/>
  <c r="OU5" i="175"/>
  <c r="OU7" i="175"/>
  <c r="OO11" i="175"/>
  <c r="OL11" i="175"/>
  <c r="OO6" i="175"/>
  <c r="OL7" i="175"/>
  <c r="OK13" i="175"/>
  <c r="OS13" i="175"/>
  <c r="OY11" i="175"/>
  <c r="OO4" i="175"/>
  <c r="OL5" i="175"/>
  <c r="OR5" i="175"/>
  <c r="OX5" i="175"/>
  <c r="OR8" i="175"/>
  <c r="OO9" i="175"/>
  <c r="OR12" i="175"/>
  <c r="OX12" i="175"/>
  <c r="OX4" i="175"/>
  <c r="OO5" i="175"/>
  <c r="OW13" i="175"/>
  <c r="OX3" i="175"/>
  <c r="OX6" i="175"/>
  <c r="OX9" i="175"/>
  <c r="OX8" i="175"/>
  <c r="OT13" i="175"/>
  <c r="OU9" i="175"/>
  <c r="OU4" i="175"/>
  <c r="OU6" i="175"/>
  <c r="OQ13" i="175"/>
  <c r="OR4" i="175"/>
  <c r="OR6" i="175"/>
  <c r="OY6" i="175"/>
  <c r="OO12" i="175"/>
  <c r="ON13" i="175"/>
  <c r="OO7" i="175"/>
  <c r="OY12" i="175"/>
  <c r="OZ5" i="175"/>
  <c r="OZ7" i="175"/>
  <c r="OZ8" i="175"/>
  <c r="OL3" i="175"/>
  <c r="OZ4" i="175"/>
  <c r="OL6" i="175"/>
  <c r="OL12" i="175"/>
  <c r="OU3" i="175"/>
  <c r="OY3" i="175"/>
  <c r="OL4" i="175"/>
  <c r="OZ6" i="175"/>
  <c r="OY7" i="175"/>
  <c r="OL8" i="175"/>
  <c r="OZ12" i="175"/>
  <c r="OM13" i="175"/>
  <c r="OR3" i="175"/>
  <c r="OZ3" i="175"/>
  <c r="OY4" i="175"/>
  <c r="OY8" i="175"/>
  <c r="OJ13" i="175"/>
  <c r="OY5" i="175"/>
  <c r="AA3528" i="5"/>
  <c r="R3528" i="5"/>
  <c r="J3528" i="5"/>
  <c r="EQ22" i="153" l="1"/>
  <c r="OR13" i="175"/>
  <c r="ES32" i="153"/>
  <c r="ER22" i="153"/>
  <c r="ES20" i="153"/>
  <c r="EP22" i="153"/>
  <c r="OW14" i="175"/>
  <c r="ES21" i="153"/>
  <c r="ES7" i="153"/>
  <c r="ES19" i="153"/>
  <c r="ES16" i="153"/>
  <c r="ES10" i="153"/>
  <c r="ES35" i="153"/>
  <c r="ES29" i="153"/>
  <c r="EO22" i="153"/>
  <c r="ES26" i="153"/>
  <c r="ES4" i="153"/>
  <c r="EN22" i="153"/>
  <c r="OU13" i="175"/>
  <c r="OO13" i="175"/>
  <c r="OT14" i="175"/>
  <c r="OX13" i="175"/>
  <c r="OQ14" i="175"/>
  <c r="OZ13" i="175"/>
  <c r="OY13" i="175"/>
  <c r="OZ14" i="175"/>
  <c r="OL13" i="175"/>
  <c r="OK14" i="175"/>
  <c r="ON14" i="175"/>
  <c r="AA3527" i="5"/>
  <c r="R3527" i="5"/>
  <c r="J3527" i="5"/>
  <c r="ES22" i="153" l="1"/>
  <c r="EL34" i="153"/>
  <c r="EK34" i="153"/>
  <c r="EJ34" i="153"/>
  <c r="EI34" i="153"/>
  <c r="EH34" i="153"/>
  <c r="EL33" i="153"/>
  <c r="EK33" i="153"/>
  <c r="EJ33" i="153"/>
  <c r="EI33" i="153"/>
  <c r="EH33" i="153"/>
  <c r="EL31" i="153"/>
  <c r="EK31" i="153"/>
  <c r="EJ31" i="153"/>
  <c r="EI31" i="153"/>
  <c r="EH31" i="153"/>
  <c r="EL30" i="153"/>
  <c r="EK30" i="153"/>
  <c r="EJ30" i="153"/>
  <c r="EI30" i="153"/>
  <c r="EH30" i="153"/>
  <c r="EL28" i="153"/>
  <c r="EK28" i="153"/>
  <c r="EJ28" i="153"/>
  <c r="EI28" i="153"/>
  <c r="EH28" i="153"/>
  <c r="EL27" i="153"/>
  <c r="EK27" i="153"/>
  <c r="EJ27" i="153"/>
  <c r="EI27" i="153"/>
  <c r="EH27" i="153"/>
  <c r="EL25" i="153"/>
  <c r="EK25" i="153"/>
  <c r="EJ25" i="153"/>
  <c r="EI25" i="153"/>
  <c r="EH25" i="153"/>
  <c r="EL24" i="153"/>
  <c r="EK24" i="153"/>
  <c r="EJ24" i="153"/>
  <c r="EI24" i="153"/>
  <c r="EH24" i="153"/>
  <c r="EL18" i="153"/>
  <c r="EK18" i="153"/>
  <c r="EJ18" i="153"/>
  <c r="EI18" i="153"/>
  <c r="EH18" i="153"/>
  <c r="EL17" i="153"/>
  <c r="EK17" i="153"/>
  <c r="EJ17" i="153"/>
  <c r="EI17" i="153"/>
  <c r="EH17" i="153"/>
  <c r="EL15" i="153"/>
  <c r="EK15" i="153"/>
  <c r="EJ15" i="153"/>
  <c r="EI15" i="153"/>
  <c r="EH15" i="153"/>
  <c r="EL14" i="153"/>
  <c r="EK14" i="153"/>
  <c r="EJ14" i="153"/>
  <c r="EI14" i="153"/>
  <c r="EH14" i="153"/>
  <c r="EL9" i="153"/>
  <c r="EK9" i="153"/>
  <c r="EJ9" i="153"/>
  <c r="EI9" i="153"/>
  <c r="EH9" i="153"/>
  <c r="EL8" i="153"/>
  <c r="EK8" i="153"/>
  <c r="EJ8" i="153"/>
  <c r="EI8" i="153"/>
  <c r="EH8" i="153"/>
  <c r="EL6" i="153"/>
  <c r="EK6" i="153"/>
  <c r="EJ6" i="153"/>
  <c r="EI6" i="153"/>
  <c r="EH6" i="153"/>
  <c r="EL5" i="153"/>
  <c r="EK5" i="153"/>
  <c r="EJ5" i="153"/>
  <c r="EI5" i="153"/>
  <c r="EH5" i="153"/>
  <c r="EL3" i="153"/>
  <c r="EK3" i="153"/>
  <c r="EJ3" i="153"/>
  <c r="EI3" i="153"/>
  <c r="EH3" i="153"/>
  <c r="EL2" i="153"/>
  <c r="EK2" i="153"/>
  <c r="EJ2" i="153"/>
  <c r="EI2" i="153"/>
  <c r="EH2" i="153"/>
  <c r="EF34" i="153"/>
  <c r="EE34" i="153"/>
  <c r="ED34" i="153"/>
  <c r="EC34" i="153"/>
  <c r="EB34" i="153"/>
  <c r="EF33" i="153"/>
  <c r="EE33" i="153"/>
  <c r="ED33" i="153"/>
  <c r="EC33" i="153"/>
  <c r="EB33" i="153"/>
  <c r="EF31" i="153"/>
  <c r="EE31" i="153"/>
  <c r="ED31" i="153"/>
  <c r="EC31" i="153"/>
  <c r="EB31" i="153"/>
  <c r="EF30" i="153"/>
  <c r="EE30" i="153"/>
  <c r="ED30" i="153"/>
  <c r="EC30" i="153"/>
  <c r="EB30" i="153"/>
  <c r="EF28" i="153"/>
  <c r="EE28" i="153"/>
  <c r="ED28" i="153"/>
  <c r="EC28" i="153"/>
  <c r="EB28" i="153"/>
  <c r="EF27" i="153"/>
  <c r="EE27" i="153"/>
  <c r="ED27" i="153"/>
  <c r="EC27" i="153"/>
  <c r="EB27" i="153"/>
  <c r="EF25" i="153"/>
  <c r="EE25" i="153"/>
  <c r="ED25" i="153"/>
  <c r="EC25" i="153"/>
  <c r="EB25" i="153"/>
  <c r="EF24" i="153"/>
  <c r="EE24" i="153"/>
  <c r="ED24" i="153"/>
  <c r="EC24" i="153"/>
  <c r="EB24" i="153"/>
  <c r="EF18" i="153"/>
  <c r="EE18" i="153"/>
  <c r="ED18" i="153"/>
  <c r="EC18" i="153"/>
  <c r="EB18" i="153"/>
  <c r="EF17" i="153"/>
  <c r="EE17" i="153"/>
  <c r="ED17" i="153"/>
  <c r="EC17" i="153"/>
  <c r="EB17" i="153"/>
  <c r="EF15" i="153"/>
  <c r="EE15" i="153"/>
  <c r="ED15" i="153"/>
  <c r="EC15" i="153"/>
  <c r="EB15" i="153"/>
  <c r="EF14" i="153"/>
  <c r="EE14" i="153"/>
  <c r="ED14" i="153"/>
  <c r="EC14" i="153"/>
  <c r="EB14" i="153"/>
  <c r="EF9" i="153"/>
  <c r="EE9" i="153"/>
  <c r="ED9" i="153"/>
  <c r="EC9" i="153"/>
  <c r="EB9" i="153"/>
  <c r="EF8" i="153"/>
  <c r="EE8" i="153"/>
  <c r="ED8" i="153"/>
  <c r="EC8" i="153"/>
  <c r="EB8" i="153"/>
  <c r="EF6" i="153"/>
  <c r="EE6" i="153"/>
  <c r="ED6" i="153"/>
  <c r="EC6" i="153"/>
  <c r="EB6" i="153"/>
  <c r="EF5" i="153"/>
  <c r="EE5" i="153"/>
  <c r="ED5" i="153"/>
  <c r="EC5" i="153"/>
  <c r="EB5" i="153"/>
  <c r="EF3" i="153"/>
  <c r="EE3" i="153"/>
  <c r="ED3" i="153"/>
  <c r="EC3" i="153"/>
  <c r="EB3" i="153"/>
  <c r="EF2" i="153"/>
  <c r="EE2" i="153"/>
  <c r="ED2" i="153"/>
  <c r="EC2" i="153"/>
  <c r="EB2" i="153"/>
  <c r="N3" i="175"/>
  <c r="D5" i="175"/>
  <c r="F5" i="175"/>
  <c r="P7" i="175"/>
  <c r="R9" i="175"/>
  <c r="P9" i="175"/>
  <c r="N9" i="175"/>
  <c r="L9" i="175"/>
  <c r="J9" i="175"/>
  <c r="H9" i="175"/>
  <c r="F9" i="175"/>
  <c r="D9" i="175"/>
  <c r="OF12" i="175"/>
  <c r="OE12" i="175"/>
  <c r="OC12" i="175"/>
  <c r="OB12" i="175"/>
  <c r="NZ12" i="175"/>
  <c r="NY12" i="175"/>
  <c r="NW12" i="175"/>
  <c r="NV12" i="175"/>
  <c r="NT12" i="175"/>
  <c r="NS12" i="175"/>
  <c r="OF9" i="175"/>
  <c r="OE9" i="175"/>
  <c r="OC9" i="175"/>
  <c r="OB9" i="175"/>
  <c r="NZ9" i="175"/>
  <c r="NY9" i="175"/>
  <c r="NW9" i="175"/>
  <c r="NV9" i="175"/>
  <c r="NT9" i="175"/>
  <c r="NS9" i="175"/>
  <c r="OF8" i="175"/>
  <c r="OE8" i="175"/>
  <c r="OC8" i="175"/>
  <c r="OB8" i="175"/>
  <c r="NZ8" i="175"/>
  <c r="NY8" i="175"/>
  <c r="NW8" i="175"/>
  <c r="NV8" i="175"/>
  <c r="NT8" i="175"/>
  <c r="NS8" i="175"/>
  <c r="OF7" i="175"/>
  <c r="OE7" i="175"/>
  <c r="OC7" i="175"/>
  <c r="OB7" i="175"/>
  <c r="NZ7" i="175"/>
  <c r="NY7" i="175"/>
  <c r="NW7" i="175"/>
  <c r="NV7" i="175"/>
  <c r="NT7" i="175"/>
  <c r="NS7" i="175"/>
  <c r="OF6" i="175"/>
  <c r="OE6" i="175"/>
  <c r="OC6" i="175"/>
  <c r="OB6" i="175"/>
  <c r="NZ6" i="175"/>
  <c r="NY6" i="175"/>
  <c r="NW6" i="175"/>
  <c r="NV6" i="175"/>
  <c r="NT6" i="175"/>
  <c r="NS6" i="175"/>
  <c r="OF5" i="175"/>
  <c r="OE5" i="175"/>
  <c r="OC5" i="175"/>
  <c r="OB5" i="175"/>
  <c r="NZ5" i="175"/>
  <c r="NY5" i="175"/>
  <c r="NW5" i="175"/>
  <c r="NV5" i="175"/>
  <c r="NT5" i="175"/>
  <c r="NS5" i="175"/>
  <c r="OF4" i="175"/>
  <c r="OE4" i="175"/>
  <c r="OC4" i="175"/>
  <c r="OB4" i="175"/>
  <c r="NZ4" i="175"/>
  <c r="NY4" i="175"/>
  <c r="NW4" i="175"/>
  <c r="NV4" i="175"/>
  <c r="NT4" i="175"/>
  <c r="NS4" i="175"/>
  <c r="OF3" i="175"/>
  <c r="OE3" i="175"/>
  <c r="OC3" i="175"/>
  <c r="OB3" i="175"/>
  <c r="NZ3" i="175"/>
  <c r="NY3" i="175"/>
  <c r="NW3" i="175"/>
  <c r="NV3" i="175"/>
  <c r="NT3" i="175"/>
  <c r="NS3" i="175"/>
  <c r="NO7" i="175"/>
  <c r="NN7" i="175"/>
  <c r="NL7" i="175"/>
  <c r="NK7" i="175"/>
  <c r="NI7" i="175"/>
  <c r="NH7" i="175"/>
  <c r="NF7" i="175"/>
  <c r="NE7" i="175"/>
  <c r="NC7" i="175"/>
  <c r="NB7" i="175"/>
  <c r="MX7" i="175"/>
  <c r="MW7" i="175"/>
  <c r="MU7" i="175"/>
  <c r="MT7" i="175"/>
  <c r="MR7" i="175"/>
  <c r="MQ7" i="175"/>
  <c r="MO7" i="175"/>
  <c r="MN7" i="175"/>
  <c r="ML7" i="175"/>
  <c r="MK7" i="175"/>
  <c r="MG7" i="175"/>
  <c r="MF7" i="175"/>
  <c r="MD7" i="175"/>
  <c r="MC7" i="175"/>
  <c r="MA7" i="175"/>
  <c r="LZ7" i="175"/>
  <c r="LX7" i="175"/>
  <c r="LW7" i="175"/>
  <c r="LU7" i="175"/>
  <c r="LT7" i="175"/>
  <c r="LP7" i="175"/>
  <c r="LO7" i="175"/>
  <c r="LM7" i="175"/>
  <c r="LL7" i="175"/>
  <c r="LJ7" i="175"/>
  <c r="LI7" i="175"/>
  <c r="LG7" i="175"/>
  <c r="LF7" i="175"/>
  <c r="LD7" i="175"/>
  <c r="LC7" i="175"/>
  <c r="KY7" i="175"/>
  <c r="KX7" i="175"/>
  <c r="KV7" i="175"/>
  <c r="KU7" i="175"/>
  <c r="KS7" i="175"/>
  <c r="KR7" i="175"/>
  <c r="KP7" i="175"/>
  <c r="KO7" i="175"/>
  <c r="KM7" i="175"/>
  <c r="KL7" i="175"/>
  <c r="KH7" i="175"/>
  <c r="KG7" i="175"/>
  <c r="KE7" i="175"/>
  <c r="KD7" i="175"/>
  <c r="KB7" i="175"/>
  <c r="KA7" i="175"/>
  <c r="JY7" i="175"/>
  <c r="JX7" i="175"/>
  <c r="JV7" i="175"/>
  <c r="JU7" i="175"/>
  <c r="JQ7" i="175"/>
  <c r="JP7" i="175"/>
  <c r="JN7" i="175"/>
  <c r="JM7" i="175"/>
  <c r="JK7" i="175"/>
  <c r="JJ7" i="175"/>
  <c r="JH7" i="175"/>
  <c r="JG7" i="175"/>
  <c r="JE7" i="175"/>
  <c r="JD7" i="175"/>
  <c r="IZ7" i="175"/>
  <c r="IY7" i="175"/>
  <c r="IW7" i="175"/>
  <c r="IV7" i="175"/>
  <c r="IT7" i="175"/>
  <c r="IS7" i="175"/>
  <c r="IQ7" i="175"/>
  <c r="IP7" i="175"/>
  <c r="IN7" i="175"/>
  <c r="IM7" i="175"/>
  <c r="II7" i="175"/>
  <c r="IH7" i="175"/>
  <c r="IF7" i="175"/>
  <c r="IE7" i="175"/>
  <c r="IC7" i="175"/>
  <c r="IB7" i="175"/>
  <c r="HZ7" i="175"/>
  <c r="HY7" i="175"/>
  <c r="HW7" i="175"/>
  <c r="HV7" i="175"/>
  <c r="HR7" i="175"/>
  <c r="HQ7" i="175"/>
  <c r="HO7" i="175"/>
  <c r="HN7" i="175"/>
  <c r="HL7" i="175"/>
  <c r="HK7" i="175"/>
  <c r="HI7" i="175"/>
  <c r="HH7" i="175"/>
  <c r="HF7" i="175"/>
  <c r="HE7" i="175"/>
  <c r="HA7" i="175"/>
  <c r="GZ7" i="175"/>
  <c r="GX7" i="175"/>
  <c r="GW7" i="175"/>
  <c r="GU7" i="175"/>
  <c r="GT7" i="175"/>
  <c r="GR7" i="175"/>
  <c r="GQ7" i="175"/>
  <c r="GO7" i="175"/>
  <c r="GN7" i="175"/>
  <c r="GJ7" i="175"/>
  <c r="GI7" i="175"/>
  <c r="GG7" i="175"/>
  <c r="GF7" i="175"/>
  <c r="GD7" i="175"/>
  <c r="GC7" i="175"/>
  <c r="GA7" i="175"/>
  <c r="FZ7" i="175"/>
  <c r="FX7" i="175"/>
  <c r="FW7" i="175"/>
  <c r="FS7" i="175"/>
  <c r="FR7" i="175"/>
  <c r="FP7" i="175"/>
  <c r="FO7" i="175"/>
  <c r="FM7" i="175"/>
  <c r="FL7" i="175"/>
  <c r="FJ7" i="175"/>
  <c r="FI7" i="175"/>
  <c r="FG7" i="175"/>
  <c r="FF7" i="175"/>
  <c r="FB7" i="175"/>
  <c r="FA7" i="175"/>
  <c r="EY7" i="175"/>
  <c r="EX7" i="175"/>
  <c r="EV7" i="175"/>
  <c r="EU7" i="175"/>
  <c r="ES7" i="175"/>
  <c r="ER7" i="175"/>
  <c r="EP7" i="175"/>
  <c r="EO7" i="175"/>
  <c r="EK7" i="175"/>
  <c r="EJ7" i="175"/>
  <c r="EH7" i="175"/>
  <c r="EG7" i="175"/>
  <c r="EE7" i="175"/>
  <c r="ED7" i="175"/>
  <c r="EB7" i="175"/>
  <c r="EA7" i="175"/>
  <c r="DY7" i="175"/>
  <c r="DX7" i="175"/>
  <c r="DT7" i="175"/>
  <c r="DS7" i="175"/>
  <c r="DQ7" i="175"/>
  <c r="DP7" i="175"/>
  <c r="DN7" i="175"/>
  <c r="DM7" i="175"/>
  <c r="DK7" i="175"/>
  <c r="DJ7" i="175"/>
  <c r="DH7" i="175"/>
  <c r="DG7" i="175"/>
  <c r="DC7" i="175"/>
  <c r="DB7" i="175"/>
  <c r="CZ7" i="175"/>
  <c r="CY7" i="175"/>
  <c r="CW7" i="175"/>
  <c r="CV7" i="175"/>
  <c r="CT7" i="175"/>
  <c r="CS7" i="175"/>
  <c r="CQ7" i="175"/>
  <c r="CP7" i="175"/>
  <c r="CL7" i="175"/>
  <c r="CK7" i="175"/>
  <c r="CI7" i="175"/>
  <c r="CH7" i="175"/>
  <c r="CF7" i="175"/>
  <c r="CE7" i="175"/>
  <c r="CC7" i="175"/>
  <c r="CB7" i="175"/>
  <c r="BZ7" i="175"/>
  <c r="BY7" i="175"/>
  <c r="BV7" i="175"/>
  <c r="BU7" i="175"/>
  <c r="BS7" i="175"/>
  <c r="BR7" i="175"/>
  <c r="BP7" i="175"/>
  <c r="BO7" i="175"/>
  <c r="BM7" i="175"/>
  <c r="BL7" i="175"/>
  <c r="BJ7" i="175"/>
  <c r="BI7" i="175"/>
  <c r="BF7" i="175"/>
  <c r="BE7" i="175"/>
  <c r="BC7" i="175"/>
  <c r="BB7" i="175"/>
  <c r="AZ7" i="175"/>
  <c r="AY7" i="175"/>
  <c r="AW7" i="175"/>
  <c r="AV7" i="175"/>
  <c r="AT7" i="175"/>
  <c r="AS7" i="175"/>
  <c r="AP7" i="175"/>
  <c r="AO7" i="175"/>
  <c r="AM7" i="175"/>
  <c r="AL7" i="175"/>
  <c r="AJ7" i="175"/>
  <c r="AI7" i="175"/>
  <c r="AG7" i="175"/>
  <c r="AF7" i="175"/>
  <c r="AC7" i="175"/>
  <c r="AB7" i="175"/>
  <c r="Z7" i="175"/>
  <c r="Y7" i="175"/>
  <c r="W7" i="175"/>
  <c r="V7" i="175"/>
  <c r="R7" i="175"/>
  <c r="Q7" i="175"/>
  <c r="N7" i="175"/>
  <c r="L7" i="175"/>
  <c r="J7" i="175"/>
  <c r="H7" i="175"/>
  <c r="F7" i="175"/>
  <c r="D7" i="175"/>
  <c r="NO9" i="175"/>
  <c r="NN9" i="175"/>
  <c r="NL9" i="175"/>
  <c r="NK9" i="175"/>
  <c r="NI9" i="175"/>
  <c r="NH9" i="175"/>
  <c r="NF9" i="175"/>
  <c r="NE9" i="175"/>
  <c r="NC9" i="175"/>
  <c r="NB9" i="175"/>
  <c r="NO8" i="175"/>
  <c r="NN8" i="175"/>
  <c r="NL8" i="175"/>
  <c r="NK8" i="175"/>
  <c r="NI8" i="175"/>
  <c r="NH8" i="175"/>
  <c r="NF8" i="175"/>
  <c r="NE8" i="175"/>
  <c r="NC8" i="175"/>
  <c r="NB8" i="175"/>
  <c r="NO12" i="175"/>
  <c r="NN12" i="175"/>
  <c r="NL12" i="175"/>
  <c r="NK12" i="175"/>
  <c r="NI12" i="175"/>
  <c r="NH12" i="175"/>
  <c r="NF12" i="175"/>
  <c r="NE12" i="175"/>
  <c r="NC12" i="175"/>
  <c r="NB12" i="175"/>
  <c r="NO6" i="175"/>
  <c r="NN6" i="175"/>
  <c r="NL6" i="175"/>
  <c r="NK6" i="175"/>
  <c r="NI6" i="175"/>
  <c r="NH6" i="175"/>
  <c r="NF6" i="175"/>
  <c r="NE6" i="175"/>
  <c r="NC6" i="175"/>
  <c r="NB6" i="175"/>
  <c r="NO5" i="175"/>
  <c r="NN5" i="175"/>
  <c r="NL5" i="175"/>
  <c r="NK5" i="175"/>
  <c r="NI5" i="175"/>
  <c r="NH5" i="175"/>
  <c r="NF5" i="175"/>
  <c r="NE5" i="175"/>
  <c r="NC5" i="175"/>
  <c r="NB5" i="175"/>
  <c r="NO4" i="175"/>
  <c r="NN4" i="175"/>
  <c r="NL4" i="175"/>
  <c r="NK4" i="175"/>
  <c r="NI4" i="175"/>
  <c r="NH4" i="175"/>
  <c r="NF4" i="175"/>
  <c r="NE4" i="175"/>
  <c r="NC4" i="175"/>
  <c r="NB4" i="175"/>
  <c r="NO3" i="175"/>
  <c r="NN3" i="175"/>
  <c r="NL3" i="175"/>
  <c r="NK3" i="175"/>
  <c r="NI3" i="175"/>
  <c r="NH3" i="175"/>
  <c r="NF3" i="175"/>
  <c r="NE3" i="175"/>
  <c r="NC3" i="175"/>
  <c r="NB3" i="175"/>
  <c r="R3447" i="5"/>
  <c r="AA3447" i="5"/>
  <c r="R3448" i="5"/>
  <c r="AA3448" i="5"/>
  <c r="R3449" i="5"/>
  <c r="AA3449" i="5"/>
  <c r="R3450" i="5"/>
  <c r="AA3450" i="5"/>
  <c r="R3451" i="5"/>
  <c r="AA3451" i="5"/>
  <c r="R3452" i="5"/>
  <c r="AA3452" i="5"/>
  <c r="R3453" i="5"/>
  <c r="AA3453" i="5"/>
  <c r="R3454" i="5"/>
  <c r="AA3454" i="5"/>
  <c r="R3455" i="5"/>
  <c r="AA3455" i="5"/>
  <c r="R3456" i="5"/>
  <c r="AA3456" i="5"/>
  <c r="R3457" i="5"/>
  <c r="AA3457" i="5"/>
  <c r="R3458" i="5"/>
  <c r="AA3458" i="5"/>
  <c r="R3459" i="5"/>
  <c r="AA3459" i="5"/>
  <c r="R3460" i="5"/>
  <c r="AA3460" i="5"/>
  <c r="R3461" i="5"/>
  <c r="AA3461" i="5"/>
  <c r="R3462" i="5"/>
  <c r="AA3462" i="5"/>
  <c r="R3463" i="5"/>
  <c r="AA3463" i="5"/>
  <c r="R3464" i="5"/>
  <c r="AA3464" i="5"/>
  <c r="R3465" i="5"/>
  <c r="AA3465" i="5"/>
  <c r="R3466" i="5"/>
  <c r="AA3466" i="5"/>
  <c r="R3467" i="5"/>
  <c r="AA3467" i="5"/>
  <c r="R3468" i="5"/>
  <c r="AA3468" i="5"/>
  <c r="R3469" i="5"/>
  <c r="AA3469" i="5"/>
  <c r="R3470" i="5"/>
  <c r="AA3470" i="5"/>
  <c r="R3471" i="5"/>
  <c r="AA3471" i="5"/>
  <c r="R3472" i="5"/>
  <c r="AA3472" i="5"/>
  <c r="R3473" i="5"/>
  <c r="AA3473" i="5"/>
  <c r="R3474" i="5"/>
  <c r="AA3474" i="5"/>
  <c r="R3475" i="5"/>
  <c r="AA3475" i="5"/>
  <c r="R3476" i="5"/>
  <c r="AA3476" i="5"/>
  <c r="R3477" i="5"/>
  <c r="AA3477" i="5"/>
  <c r="R3478" i="5"/>
  <c r="AA3478" i="5"/>
  <c r="R3479" i="5"/>
  <c r="AA3479" i="5"/>
  <c r="R3480" i="5"/>
  <c r="AA3480" i="5"/>
  <c r="R3481" i="5"/>
  <c r="AA3481" i="5"/>
  <c r="R3482" i="5"/>
  <c r="AA3482" i="5"/>
  <c r="R3483" i="5"/>
  <c r="AA3483" i="5"/>
  <c r="R3484" i="5"/>
  <c r="AA3484" i="5"/>
  <c r="R3485" i="5"/>
  <c r="AA3485" i="5"/>
  <c r="R3486" i="5"/>
  <c r="AA3486" i="5"/>
  <c r="R3487" i="5"/>
  <c r="AA3487" i="5"/>
  <c r="R3488" i="5"/>
  <c r="AA3488" i="5"/>
  <c r="R3489" i="5"/>
  <c r="AA3489" i="5"/>
  <c r="R3490" i="5"/>
  <c r="AA3490" i="5"/>
  <c r="R3491" i="5"/>
  <c r="AA3491" i="5"/>
  <c r="R3492" i="5"/>
  <c r="AA3492" i="5"/>
  <c r="R3493" i="5"/>
  <c r="AA3493" i="5"/>
  <c r="R3494" i="5"/>
  <c r="AA3494" i="5"/>
  <c r="R3495" i="5"/>
  <c r="AA3495" i="5"/>
  <c r="R3496" i="5"/>
  <c r="AA3496" i="5"/>
  <c r="R3497" i="5"/>
  <c r="AA3497" i="5"/>
  <c r="R3498" i="5"/>
  <c r="AA3498" i="5"/>
  <c r="R3499" i="5"/>
  <c r="AA3499" i="5"/>
  <c r="R3500" i="5"/>
  <c r="AA3500" i="5"/>
  <c r="R3501" i="5"/>
  <c r="AA3501" i="5"/>
  <c r="R3502" i="5"/>
  <c r="AA3502" i="5"/>
  <c r="R3503" i="5"/>
  <c r="AA3503" i="5"/>
  <c r="R3504" i="5"/>
  <c r="AA3504" i="5"/>
  <c r="R3505" i="5"/>
  <c r="AA3505" i="5"/>
  <c r="R3506" i="5"/>
  <c r="AA3506" i="5"/>
  <c r="R3507" i="5"/>
  <c r="AA3507" i="5"/>
  <c r="R3508" i="5"/>
  <c r="AA3508" i="5"/>
  <c r="R3509" i="5"/>
  <c r="AA3509" i="5"/>
  <c r="R3510" i="5"/>
  <c r="AA3510" i="5"/>
  <c r="R3511" i="5"/>
  <c r="AA3511" i="5"/>
  <c r="R3512" i="5"/>
  <c r="AA3512" i="5"/>
  <c r="R3513" i="5"/>
  <c r="AA3513" i="5"/>
  <c r="R3514" i="5"/>
  <c r="AA3514" i="5"/>
  <c r="R3515" i="5"/>
  <c r="AA3515" i="5"/>
  <c r="R3516" i="5"/>
  <c r="AA3516" i="5"/>
  <c r="R3517" i="5"/>
  <c r="AA3517" i="5"/>
  <c r="R3518" i="5"/>
  <c r="AA3518" i="5"/>
  <c r="R3519" i="5"/>
  <c r="AA3519" i="5"/>
  <c r="R3520" i="5"/>
  <c r="AA3520" i="5"/>
  <c r="R3521" i="5"/>
  <c r="AA3521" i="5"/>
  <c r="R3522" i="5"/>
  <c r="AA3522" i="5"/>
  <c r="R3523" i="5"/>
  <c r="AA3523" i="5"/>
  <c r="R3524" i="5"/>
  <c r="AA3524" i="5"/>
  <c r="R3525" i="5"/>
  <c r="AA3525" i="5"/>
  <c r="R3526" i="5"/>
  <c r="AA3526" i="5"/>
  <c r="AA3446" i="5"/>
  <c r="R3446" i="5"/>
  <c r="J3447" i="5"/>
  <c r="J3448" i="5"/>
  <c r="J3449" i="5"/>
  <c r="J3450" i="5"/>
  <c r="J3451" i="5"/>
  <c r="J3452" i="5"/>
  <c r="J3453" i="5"/>
  <c r="J3454" i="5"/>
  <c r="J3455" i="5"/>
  <c r="J3456" i="5"/>
  <c r="J3457" i="5"/>
  <c r="J3458" i="5"/>
  <c r="J3459" i="5"/>
  <c r="J3460" i="5"/>
  <c r="J3461" i="5"/>
  <c r="J3462" i="5"/>
  <c r="J3463" i="5"/>
  <c r="J3464" i="5"/>
  <c r="J3465" i="5"/>
  <c r="J3466" i="5"/>
  <c r="J3467" i="5"/>
  <c r="J3468" i="5"/>
  <c r="J3469" i="5"/>
  <c r="J3470" i="5"/>
  <c r="J3471" i="5"/>
  <c r="J3472" i="5"/>
  <c r="J3473" i="5"/>
  <c r="J3474" i="5"/>
  <c r="J3475" i="5"/>
  <c r="J3476" i="5"/>
  <c r="J3477" i="5"/>
  <c r="J3478" i="5"/>
  <c r="J3479" i="5"/>
  <c r="J3480" i="5"/>
  <c r="J3481" i="5"/>
  <c r="J3482" i="5"/>
  <c r="J3483" i="5"/>
  <c r="J3484" i="5"/>
  <c r="J3485" i="5"/>
  <c r="J3486" i="5"/>
  <c r="J3487" i="5"/>
  <c r="J3488" i="5"/>
  <c r="J3489" i="5"/>
  <c r="J3490" i="5"/>
  <c r="J3491" i="5"/>
  <c r="J3492" i="5"/>
  <c r="J3493" i="5"/>
  <c r="J3494" i="5"/>
  <c r="J3495" i="5"/>
  <c r="J3496" i="5"/>
  <c r="J3497" i="5"/>
  <c r="J3498" i="5"/>
  <c r="J3499" i="5"/>
  <c r="J3500" i="5"/>
  <c r="J3501" i="5"/>
  <c r="J3502" i="5"/>
  <c r="J3503" i="5"/>
  <c r="J3504" i="5"/>
  <c r="J3505" i="5"/>
  <c r="J3506" i="5"/>
  <c r="J3507" i="5"/>
  <c r="J3508" i="5"/>
  <c r="J3509" i="5"/>
  <c r="J3510" i="5"/>
  <c r="J3511" i="5"/>
  <c r="J3512" i="5"/>
  <c r="J3513" i="5"/>
  <c r="J3514" i="5"/>
  <c r="J3515" i="5"/>
  <c r="J3516" i="5"/>
  <c r="J3517" i="5"/>
  <c r="J3518" i="5"/>
  <c r="J3519" i="5"/>
  <c r="J3520" i="5"/>
  <c r="J3521" i="5"/>
  <c r="J3522" i="5"/>
  <c r="J3523" i="5"/>
  <c r="J3524" i="5"/>
  <c r="J3525" i="5"/>
  <c r="J3526" i="5"/>
  <c r="J3446" i="5"/>
  <c r="OI9" i="175" l="1"/>
  <c r="E9" i="175"/>
  <c r="OH9" i="175"/>
  <c r="M9" i="175"/>
  <c r="EJ35" i="153"/>
  <c r="EK16" i="153"/>
  <c r="EK21" i="153"/>
  <c r="EL32" i="153"/>
  <c r="K9" i="175"/>
  <c r="EK20" i="153"/>
  <c r="EI19" i="153"/>
  <c r="M7" i="175"/>
  <c r="OC13" i="175"/>
  <c r="EC21" i="153"/>
  <c r="EI21" i="153"/>
  <c r="I9" i="175"/>
  <c r="EB21" i="153"/>
  <c r="EF21" i="153"/>
  <c r="EI20" i="153"/>
  <c r="EH21" i="153"/>
  <c r="EL21" i="153"/>
  <c r="EI10" i="153"/>
  <c r="OH3" i="175"/>
  <c r="MY7" i="175"/>
  <c r="NG7" i="175"/>
  <c r="NM7" i="175"/>
  <c r="NU3" i="175"/>
  <c r="EC7" i="153"/>
  <c r="EC20" i="153"/>
  <c r="EL20" i="153"/>
  <c r="NY13" i="175"/>
  <c r="EF20" i="153"/>
  <c r="NB13" i="175"/>
  <c r="EJ26" i="153"/>
  <c r="EJ29" i="153"/>
  <c r="EL16" i="153"/>
  <c r="OD3" i="175"/>
  <c r="NU4" i="175"/>
  <c r="OA4" i="175"/>
  <c r="OG4" i="175"/>
  <c r="NX5" i="175"/>
  <c r="OD5" i="175"/>
  <c r="NU6" i="175"/>
  <c r="OA6" i="175"/>
  <c r="OG6" i="175"/>
  <c r="OD7" i="175"/>
  <c r="NU8" i="175"/>
  <c r="OA8" i="175"/>
  <c r="OG8" i="175"/>
  <c r="NX9" i="175"/>
  <c r="OD9" i="175"/>
  <c r="NU12" i="175"/>
  <c r="OA12" i="175"/>
  <c r="OG12" i="175"/>
  <c r="OG5" i="175"/>
  <c r="NX12" i="175"/>
  <c r="S9" i="175"/>
  <c r="U9" i="175" s="1"/>
  <c r="ED7" i="153"/>
  <c r="EF10" i="153"/>
  <c r="EF19" i="153"/>
  <c r="ED20" i="153"/>
  <c r="EJ20" i="153"/>
  <c r="T9" i="175"/>
  <c r="ED26" i="153"/>
  <c r="EC26" i="153"/>
  <c r="ED29" i="153"/>
  <c r="EC29" i="153"/>
  <c r="EE32" i="153"/>
  <c r="ED35" i="153"/>
  <c r="EC35" i="153"/>
  <c r="EI29" i="153"/>
  <c r="EM30" i="153"/>
  <c r="EK32" i="153"/>
  <c r="EI35" i="153"/>
  <c r="EJ7" i="153"/>
  <c r="EH10" i="153"/>
  <c r="EJ16" i="153"/>
  <c r="EH19" i="153"/>
  <c r="EL19" i="153"/>
  <c r="G9" i="175"/>
  <c r="O9" i="175"/>
  <c r="EE29" i="153"/>
  <c r="EE35" i="153"/>
  <c r="EK35" i="153"/>
  <c r="LR7" i="175"/>
  <c r="OG3" i="175"/>
  <c r="NX4" i="175"/>
  <c r="OD4" i="175"/>
  <c r="NU7" i="175"/>
  <c r="OA7" i="175"/>
  <c r="NX8" i="175"/>
  <c r="OD12" i="175"/>
  <c r="EF26" i="153"/>
  <c r="EF29" i="153"/>
  <c r="ED32" i="153"/>
  <c r="EJ32" i="153"/>
  <c r="EL10" i="153"/>
  <c r="EL7" i="153"/>
  <c r="EL26" i="153"/>
  <c r="EL29" i="153"/>
  <c r="EL35" i="153"/>
  <c r="EK10" i="153"/>
  <c r="EK19" i="153"/>
  <c r="EK7" i="153"/>
  <c r="EK26" i="153"/>
  <c r="EK29" i="153"/>
  <c r="EJ19" i="153"/>
  <c r="EJ21" i="153"/>
  <c r="EJ10" i="153"/>
  <c r="EM2" i="153"/>
  <c r="EI7" i="153"/>
  <c r="EM8" i="153"/>
  <c r="EI16" i="153"/>
  <c r="EM17" i="153"/>
  <c r="EM31" i="153"/>
  <c r="EM5" i="153"/>
  <c r="EM14" i="153"/>
  <c r="EM24" i="153"/>
  <c r="EM27" i="153"/>
  <c r="EI32" i="153"/>
  <c r="EM33" i="153"/>
  <c r="EM6" i="153"/>
  <c r="EM15" i="153"/>
  <c r="EI26" i="153"/>
  <c r="EH26" i="153"/>
  <c r="EH29" i="153"/>
  <c r="EH35" i="153"/>
  <c r="EJ4" i="153"/>
  <c r="EH16" i="153"/>
  <c r="EH20" i="153"/>
  <c r="EH32" i="153"/>
  <c r="EH7" i="153"/>
  <c r="EM3" i="153"/>
  <c r="EK4" i="153"/>
  <c r="EM9" i="153"/>
  <c r="EM18" i="153"/>
  <c r="EM25" i="153"/>
  <c r="EM28" i="153"/>
  <c r="EM34" i="153"/>
  <c r="EH4" i="153"/>
  <c r="EL4" i="153"/>
  <c r="EI4" i="153"/>
  <c r="EF32" i="153"/>
  <c r="EF7" i="153"/>
  <c r="EF16" i="153"/>
  <c r="EF35" i="153"/>
  <c r="EE21" i="153"/>
  <c r="EE26" i="153"/>
  <c r="EE7" i="153"/>
  <c r="EE16" i="153"/>
  <c r="EE20" i="153"/>
  <c r="EE10" i="153"/>
  <c r="EE19" i="153"/>
  <c r="ED16" i="153"/>
  <c r="ED10" i="153"/>
  <c r="ED19" i="153"/>
  <c r="ED21" i="153"/>
  <c r="EG2" i="153"/>
  <c r="EG8" i="153"/>
  <c r="EG17" i="153"/>
  <c r="EG30" i="153"/>
  <c r="EG31" i="153"/>
  <c r="EG5" i="153"/>
  <c r="EC10" i="153"/>
  <c r="EG14" i="153"/>
  <c r="EC19" i="153"/>
  <c r="EG24" i="153"/>
  <c r="EG27" i="153"/>
  <c r="EC32" i="153"/>
  <c r="EG33" i="153"/>
  <c r="EG6" i="153"/>
  <c r="EC16" i="153"/>
  <c r="EG15" i="153"/>
  <c r="EB10" i="153"/>
  <c r="EB19" i="153"/>
  <c r="EB26" i="153"/>
  <c r="EB29" i="153"/>
  <c r="EB35" i="153"/>
  <c r="EB20" i="153"/>
  <c r="EB32" i="153"/>
  <c r="ED4" i="153"/>
  <c r="EB7" i="153"/>
  <c r="EB16" i="153"/>
  <c r="EG3" i="153"/>
  <c r="EE4" i="153"/>
  <c r="EG9" i="153"/>
  <c r="EG18" i="153"/>
  <c r="EG25" i="153"/>
  <c r="EG28" i="153"/>
  <c r="EG34" i="153"/>
  <c r="EB4" i="153"/>
  <c r="EF4" i="153"/>
  <c r="EC4" i="153"/>
  <c r="OG9" i="175"/>
  <c r="OF13" i="175"/>
  <c r="OG7" i="175"/>
  <c r="OB13" i="175"/>
  <c r="OD6" i="175"/>
  <c r="OD8" i="175"/>
  <c r="OA5" i="175"/>
  <c r="OA3" i="175"/>
  <c r="OA9" i="175"/>
  <c r="NX6" i="175"/>
  <c r="OI5" i="175"/>
  <c r="NX3" i="175"/>
  <c r="OH6" i="175"/>
  <c r="NX7" i="175"/>
  <c r="OH12" i="175"/>
  <c r="NT13" i="175"/>
  <c r="OI7" i="175"/>
  <c r="OI4" i="175"/>
  <c r="OI8" i="175"/>
  <c r="OI6" i="175"/>
  <c r="OH7" i="175"/>
  <c r="OI12" i="175"/>
  <c r="NV13" i="175"/>
  <c r="NZ13" i="175"/>
  <c r="OI3" i="175"/>
  <c r="OH4" i="175"/>
  <c r="NU5" i="175"/>
  <c r="OH8" i="175"/>
  <c r="NU9" i="175"/>
  <c r="NS13" i="175"/>
  <c r="NW13" i="175"/>
  <c r="OE13" i="175"/>
  <c r="OH5" i="175"/>
  <c r="IA7" i="175"/>
  <c r="G7" i="175"/>
  <c r="ID7" i="175"/>
  <c r="IR7" i="175"/>
  <c r="AH7" i="175"/>
  <c r="CX7" i="175"/>
  <c r="JB7" i="175"/>
  <c r="KI7" i="175"/>
  <c r="KZ7" i="175"/>
  <c r="CJ7" i="175"/>
  <c r="EZ7" i="175"/>
  <c r="HP7" i="175"/>
  <c r="KQ7" i="175"/>
  <c r="CU7" i="175"/>
  <c r="DO7" i="175"/>
  <c r="DU7" i="175"/>
  <c r="EC7" i="175"/>
  <c r="EI7" i="175"/>
  <c r="EQ7" i="175"/>
  <c r="EW7" i="175"/>
  <c r="FC7" i="175"/>
  <c r="FK7" i="175"/>
  <c r="IU7" i="175"/>
  <c r="JA7" i="175"/>
  <c r="JI7" i="175"/>
  <c r="JO7" i="175"/>
  <c r="JW7" i="175"/>
  <c r="LH7" i="175"/>
  <c r="MH7" i="175"/>
  <c r="NL13" i="175"/>
  <c r="NR4" i="175"/>
  <c r="S7" i="175"/>
  <c r="U7" i="175" s="1"/>
  <c r="NF13" i="175"/>
  <c r="NJ3" i="175"/>
  <c r="NG4" i="175"/>
  <c r="ND5" i="175"/>
  <c r="NG8" i="175"/>
  <c r="NM8" i="175"/>
  <c r="NP9" i="175"/>
  <c r="I7" i="175"/>
  <c r="O7" i="175"/>
  <c r="X7" i="175"/>
  <c r="AD7" i="175"/>
  <c r="AK7" i="175"/>
  <c r="AQ7" i="175"/>
  <c r="AX7" i="175"/>
  <c r="BD7" i="175"/>
  <c r="BK7" i="175"/>
  <c r="BQ7" i="175"/>
  <c r="BW7" i="175"/>
  <c r="DV7" i="175"/>
  <c r="GE7" i="175"/>
  <c r="GK7" i="175"/>
  <c r="GS7" i="175"/>
  <c r="GY7" i="175"/>
  <c r="HG7" i="175"/>
  <c r="HM7" i="175"/>
  <c r="HS7" i="175"/>
  <c r="JL7" i="175"/>
  <c r="MP7" i="175"/>
  <c r="MV7" i="175"/>
  <c r="DL7" i="175"/>
  <c r="DR7" i="175"/>
  <c r="DZ7" i="175"/>
  <c r="EF7" i="175"/>
  <c r="EL7" i="175"/>
  <c r="GL7" i="175"/>
  <c r="NJ7" i="175"/>
  <c r="NP7" i="175"/>
  <c r="AN7" i="175"/>
  <c r="AU7" i="175"/>
  <c r="BA7" i="175"/>
  <c r="BG7" i="175"/>
  <c r="BN7" i="175"/>
  <c r="BT7" i="175"/>
  <c r="CA7" i="175"/>
  <c r="CG7" i="175"/>
  <c r="CM7" i="175"/>
  <c r="FV7" i="175"/>
  <c r="FN7" i="175"/>
  <c r="GB7" i="175"/>
  <c r="GH7" i="175"/>
  <c r="GP7" i="175"/>
  <c r="HB7" i="175"/>
  <c r="LK7" i="175"/>
  <c r="LQ7" i="175"/>
  <c r="LY7" i="175"/>
  <c r="ME7" i="175"/>
  <c r="MM7" i="175"/>
  <c r="MS7" i="175"/>
  <c r="NI13" i="175"/>
  <c r="NE13" i="175"/>
  <c r="NK13" i="175"/>
  <c r="NJ4" i="175"/>
  <c r="NP4" i="175"/>
  <c r="NG5" i="175"/>
  <c r="NP6" i="175"/>
  <c r="NG12" i="175"/>
  <c r="NM12" i="175"/>
  <c r="ND8" i="175"/>
  <c r="NP8" i="175"/>
  <c r="NG9" i="175"/>
  <c r="NM9" i="175"/>
  <c r="E7" i="175"/>
  <c r="T7" i="175"/>
  <c r="AA7" i="175"/>
  <c r="BX7" i="175"/>
  <c r="CD7" i="175"/>
  <c r="DA7" i="175"/>
  <c r="DI7" i="175"/>
  <c r="EN7" i="175"/>
  <c r="ET7" i="175"/>
  <c r="FQ7" i="175"/>
  <c r="FY7" i="175"/>
  <c r="HD7" i="175"/>
  <c r="GV7" i="175"/>
  <c r="HJ7" i="175"/>
  <c r="IG7" i="175"/>
  <c r="IO7" i="175"/>
  <c r="JT7" i="175"/>
  <c r="JZ7" i="175"/>
  <c r="KF7" i="175"/>
  <c r="KW7" i="175"/>
  <c r="LE7" i="175"/>
  <c r="NA7" i="175"/>
  <c r="ND7" i="175"/>
  <c r="BH7" i="175"/>
  <c r="CO7" i="175"/>
  <c r="DF7" i="175"/>
  <c r="FE7" i="175"/>
  <c r="HU7" i="175"/>
  <c r="IL7" i="175"/>
  <c r="KK7" i="175"/>
  <c r="KC7" i="175"/>
  <c r="LB7" i="175"/>
  <c r="KT7" i="175"/>
  <c r="LN7" i="175"/>
  <c r="LV7" i="175"/>
  <c r="MB7" i="175"/>
  <c r="NR7" i="175"/>
  <c r="NO13" i="175"/>
  <c r="ND12" i="175"/>
  <c r="NP12" i="175"/>
  <c r="K7" i="175"/>
  <c r="AE7" i="175"/>
  <c r="DD7" i="175"/>
  <c r="FT7" i="175"/>
  <c r="IJ7" i="175"/>
  <c r="IX7" i="175"/>
  <c r="JF7" i="175"/>
  <c r="JR7" i="175"/>
  <c r="MJ7" i="175"/>
  <c r="DW7" i="175"/>
  <c r="EM7" i="175"/>
  <c r="GM7" i="175"/>
  <c r="HC7" i="175"/>
  <c r="JC7" i="175"/>
  <c r="JS7" i="175"/>
  <c r="LS7" i="175"/>
  <c r="MI7" i="175"/>
  <c r="AR7" i="175"/>
  <c r="CN7" i="175"/>
  <c r="CR7" i="175"/>
  <c r="FD7" i="175"/>
  <c r="FH7" i="175"/>
  <c r="HT7" i="175"/>
  <c r="HX7" i="175"/>
  <c r="KJ7" i="175"/>
  <c r="KN7" i="175"/>
  <c r="MZ7" i="175"/>
  <c r="DE7" i="175"/>
  <c r="FU7" i="175"/>
  <c r="IK7" i="175"/>
  <c r="LA7" i="175"/>
  <c r="NQ7" i="175"/>
  <c r="NN13" i="175"/>
  <c r="NM5" i="175"/>
  <c r="ND6" i="175"/>
  <c r="NJ6" i="175"/>
  <c r="ND9" i="175"/>
  <c r="NM4" i="175"/>
  <c r="NQ6" i="175"/>
  <c r="NR8" i="175"/>
  <c r="NJ8" i="175"/>
  <c r="NR9" i="175"/>
  <c r="NJ9" i="175"/>
  <c r="NC13" i="175"/>
  <c r="NR5" i="175"/>
  <c r="NJ5" i="175"/>
  <c r="NP5" i="175"/>
  <c r="NG6" i="175"/>
  <c r="NM6" i="175"/>
  <c r="NJ12" i="175"/>
  <c r="NM3" i="175"/>
  <c r="NQ3" i="175"/>
  <c r="ND4" i="175"/>
  <c r="NR6" i="175"/>
  <c r="NQ12" i="175"/>
  <c r="NH13" i="175"/>
  <c r="NQ8" i="175"/>
  <c r="NG3" i="175"/>
  <c r="ND3" i="175"/>
  <c r="NR3" i="175"/>
  <c r="NQ4" i="175"/>
  <c r="NR12" i="175"/>
  <c r="NQ5" i="175"/>
  <c r="NQ9" i="175"/>
  <c r="NP3" i="175"/>
  <c r="AA3445" i="5"/>
  <c r="R3445" i="5"/>
  <c r="J3445" i="5"/>
  <c r="NJ13" i="175" l="1"/>
  <c r="EF22" i="153"/>
  <c r="EK22" i="153"/>
  <c r="OC14" i="175"/>
  <c r="EI22" i="153"/>
  <c r="EM4" i="153"/>
  <c r="EC22" i="153"/>
  <c r="EM21" i="153"/>
  <c r="EL22" i="153"/>
  <c r="EG16" i="153"/>
  <c r="NZ14" i="175"/>
  <c r="EM32" i="153"/>
  <c r="NC14" i="175"/>
  <c r="NW14" i="175"/>
  <c r="ED22" i="153"/>
  <c r="EG4" i="153"/>
  <c r="NT14" i="175"/>
  <c r="EG7" i="153"/>
  <c r="OG13" i="175"/>
  <c r="EG26" i="153"/>
  <c r="EG29" i="153"/>
  <c r="EM20" i="153"/>
  <c r="EG32" i="153"/>
  <c r="EM7" i="153"/>
  <c r="EM35" i="153"/>
  <c r="EM10" i="153"/>
  <c r="EJ22" i="153"/>
  <c r="EM29" i="153"/>
  <c r="EM16" i="153"/>
  <c r="EM26" i="153"/>
  <c r="EM19" i="153"/>
  <c r="EH22" i="153"/>
  <c r="EE22" i="153"/>
  <c r="EG20" i="153"/>
  <c r="EG21" i="153"/>
  <c r="EG19" i="153"/>
  <c r="EG35" i="153"/>
  <c r="EG10" i="153"/>
  <c r="EB22" i="153"/>
  <c r="OD13" i="175"/>
  <c r="OH13" i="175"/>
  <c r="OI13" i="175"/>
  <c r="NX13" i="175"/>
  <c r="OF14" i="175"/>
  <c r="OI14" i="175"/>
  <c r="NU13" i="175"/>
  <c r="OA13" i="175"/>
  <c r="NL14" i="175"/>
  <c r="NG13" i="175"/>
  <c r="NM13" i="175"/>
  <c r="NF14" i="175"/>
  <c r="NO14" i="175"/>
  <c r="NP13" i="175"/>
  <c r="ND13" i="175"/>
  <c r="NI14" i="175"/>
  <c r="NQ13" i="175"/>
  <c r="NR14" i="175"/>
  <c r="NR13" i="175"/>
  <c r="J3365" i="5"/>
  <c r="R3365" i="5"/>
  <c r="AA3365" i="5"/>
  <c r="J3366" i="5"/>
  <c r="R3366" i="5"/>
  <c r="AA3366" i="5"/>
  <c r="J3367" i="5"/>
  <c r="R3367" i="5"/>
  <c r="AA3367" i="5"/>
  <c r="J3368" i="5"/>
  <c r="R3368" i="5"/>
  <c r="AA3368" i="5"/>
  <c r="J3369" i="5"/>
  <c r="R3369" i="5"/>
  <c r="AA3369" i="5"/>
  <c r="J3370" i="5"/>
  <c r="R3370" i="5"/>
  <c r="AA3370" i="5"/>
  <c r="J3371" i="5"/>
  <c r="R3371" i="5"/>
  <c r="AA3371" i="5"/>
  <c r="J3372" i="5"/>
  <c r="R3372" i="5"/>
  <c r="AA3372" i="5"/>
  <c r="J3373" i="5"/>
  <c r="R3373" i="5"/>
  <c r="AA3373" i="5"/>
  <c r="J3374" i="5"/>
  <c r="R3374" i="5"/>
  <c r="AA3374" i="5"/>
  <c r="J3375" i="5"/>
  <c r="R3375" i="5"/>
  <c r="AA3375" i="5"/>
  <c r="J3376" i="5"/>
  <c r="R3376" i="5"/>
  <c r="AA3376" i="5"/>
  <c r="J3377" i="5"/>
  <c r="R3377" i="5"/>
  <c r="AA3377" i="5"/>
  <c r="J3378" i="5"/>
  <c r="R3378" i="5"/>
  <c r="AA3378" i="5"/>
  <c r="J3379" i="5"/>
  <c r="R3379" i="5"/>
  <c r="AA3379" i="5"/>
  <c r="J3380" i="5"/>
  <c r="R3380" i="5"/>
  <c r="AA3380" i="5"/>
  <c r="J3381" i="5"/>
  <c r="R3381" i="5"/>
  <c r="AA3381" i="5"/>
  <c r="J3382" i="5"/>
  <c r="R3382" i="5"/>
  <c r="AA3382" i="5"/>
  <c r="J3383" i="5"/>
  <c r="R3383" i="5"/>
  <c r="AA3383" i="5"/>
  <c r="J3384" i="5"/>
  <c r="R3384" i="5"/>
  <c r="AA3384" i="5"/>
  <c r="J3385" i="5"/>
  <c r="R3385" i="5"/>
  <c r="AA3385" i="5"/>
  <c r="J3386" i="5"/>
  <c r="R3386" i="5"/>
  <c r="AA3386" i="5"/>
  <c r="J3387" i="5"/>
  <c r="R3387" i="5"/>
  <c r="AA3387" i="5"/>
  <c r="J3388" i="5"/>
  <c r="R3388" i="5"/>
  <c r="AA3388" i="5"/>
  <c r="J3389" i="5"/>
  <c r="R3389" i="5"/>
  <c r="AA3389" i="5"/>
  <c r="J3390" i="5"/>
  <c r="R3390" i="5"/>
  <c r="AA3390" i="5"/>
  <c r="J3391" i="5"/>
  <c r="R3391" i="5"/>
  <c r="AA3391" i="5"/>
  <c r="J3392" i="5"/>
  <c r="R3392" i="5"/>
  <c r="AA3392" i="5"/>
  <c r="J3393" i="5"/>
  <c r="R3393" i="5"/>
  <c r="AA3393" i="5"/>
  <c r="J3394" i="5"/>
  <c r="R3394" i="5"/>
  <c r="AA3394" i="5"/>
  <c r="J3395" i="5"/>
  <c r="R3395" i="5"/>
  <c r="AA3395" i="5"/>
  <c r="J3396" i="5"/>
  <c r="R3396" i="5"/>
  <c r="AA3396" i="5"/>
  <c r="J3397" i="5"/>
  <c r="R3397" i="5"/>
  <c r="AA3397" i="5"/>
  <c r="J3398" i="5"/>
  <c r="R3398" i="5"/>
  <c r="AA3398" i="5"/>
  <c r="J3399" i="5"/>
  <c r="R3399" i="5"/>
  <c r="AA3399" i="5"/>
  <c r="J3400" i="5"/>
  <c r="R3400" i="5"/>
  <c r="AA3400" i="5"/>
  <c r="J3401" i="5"/>
  <c r="R3401" i="5"/>
  <c r="AA3401" i="5"/>
  <c r="J3402" i="5"/>
  <c r="R3402" i="5"/>
  <c r="AA3402" i="5"/>
  <c r="J3403" i="5"/>
  <c r="R3403" i="5"/>
  <c r="AA3403" i="5"/>
  <c r="J3404" i="5"/>
  <c r="R3404" i="5"/>
  <c r="AA3404" i="5"/>
  <c r="J3405" i="5"/>
  <c r="R3405" i="5"/>
  <c r="AA3405" i="5"/>
  <c r="J3406" i="5"/>
  <c r="R3406" i="5"/>
  <c r="AA3406" i="5"/>
  <c r="J3407" i="5"/>
  <c r="R3407" i="5"/>
  <c r="AA3407" i="5"/>
  <c r="J3408" i="5"/>
  <c r="R3408" i="5"/>
  <c r="AA3408" i="5"/>
  <c r="J3409" i="5"/>
  <c r="R3409" i="5"/>
  <c r="AA3409" i="5"/>
  <c r="J3410" i="5"/>
  <c r="R3410" i="5"/>
  <c r="AA3410" i="5"/>
  <c r="J3411" i="5"/>
  <c r="R3411" i="5"/>
  <c r="AA3411" i="5"/>
  <c r="J3412" i="5"/>
  <c r="R3412" i="5"/>
  <c r="AA3412" i="5"/>
  <c r="J3413" i="5"/>
  <c r="R3413" i="5"/>
  <c r="AA3413" i="5"/>
  <c r="J3414" i="5"/>
  <c r="R3414" i="5"/>
  <c r="AA3414" i="5"/>
  <c r="J3415" i="5"/>
  <c r="R3415" i="5"/>
  <c r="AA3415" i="5"/>
  <c r="J3416" i="5"/>
  <c r="R3416" i="5"/>
  <c r="AA3416" i="5"/>
  <c r="J3417" i="5"/>
  <c r="R3417" i="5"/>
  <c r="AA3417" i="5"/>
  <c r="J3418" i="5"/>
  <c r="R3418" i="5"/>
  <c r="AA3418" i="5"/>
  <c r="J3419" i="5"/>
  <c r="R3419" i="5"/>
  <c r="AA3419" i="5"/>
  <c r="J3420" i="5"/>
  <c r="R3420" i="5"/>
  <c r="AA3420" i="5"/>
  <c r="J3421" i="5"/>
  <c r="R3421" i="5"/>
  <c r="AA3421" i="5"/>
  <c r="J3422" i="5"/>
  <c r="R3422" i="5"/>
  <c r="AA3422" i="5"/>
  <c r="J3423" i="5"/>
  <c r="R3423" i="5"/>
  <c r="AA3423" i="5"/>
  <c r="J3424" i="5"/>
  <c r="R3424" i="5"/>
  <c r="AA3424" i="5"/>
  <c r="J3425" i="5"/>
  <c r="R3425" i="5"/>
  <c r="AA3425" i="5"/>
  <c r="J3426" i="5"/>
  <c r="R3426" i="5"/>
  <c r="AA3426" i="5"/>
  <c r="J3427" i="5"/>
  <c r="R3427" i="5"/>
  <c r="AA3427" i="5"/>
  <c r="J3428" i="5"/>
  <c r="R3428" i="5"/>
  <c r="AA3428" i="5"/>
  <c r="J3429" i="5"/>
  <c r="R3429" i="5"/>
  <c r="AA3429" i="5"/>
  <c r="J3430" i="5"/>
  <c r="R3430" i="5"/>
  <c r="AA3430" i="5"/>
  <c r="J3431" i="5"/>
  <c r="R3431" i="5"/>
  <c r="AA3431" i="5"/>
  <c r="J3432" i="5"/>
  <c r="R3432" i="5"/>
  <c r="AA3432" i="5"/>
  <c r="J3433" i="5"/>
  <c r="R3433" i="5"/>
  <c r="AA3433" i="5"/>
  <c r="J3434" i="5"/>
  <c r="R3434" i="5"/>
  <c r="AA3434" i="5"/>
  <c r="J3435" i="5"/>
  <c r="R3435" i="5"/>
  <c r="AA3435" i="5"/>
  <c r="J3436" i="5"/>
  <c r="R3436" i="5"/>
  <c r="AA3436" i="5"/>
  <c r="J3437" i="5"/>
  <c r="R3437" i="5"/>
  <c r="AA3437" i="5"/>
  <c r="J3438" i="5"/>
  <c r="R3438" i="5"/>
  <c r="AA3438" i="5"/>
  <c r="J3439" i="5"/>
  <c r="R3439" i="5"/>
  <c r="AA3439" i="5"/>
  <c r="J3440" i="5"/>
  <c r="R3440" i="5"/>
  <c r="AA3440" i="5"/>
  <c r="J3441" i="5"/>
  <c r="R3441" i="5"/>
  <c r="AA3441" i="5"/>
  <c r="J3442" i="5"/>
  <c r="R3442" i="5"/>
  <c r="AA3442" i="5"/>
  <c r="J3443" i="5"/>
  <c r="R3443" i="5"/>
  <c r="AA3443" i="5"/>
  <c r="J3444" i="5"/>
  <c r="R3444" i="5"/>
  <c r="AA3444" i="5"/>
  <c r="AA3364" i="5"/>
  <c r="R3364" i="5"/>
  <c r="J3364" i="5"/>
  <c r="EM22" i="153" l="1"/>
  <c r="EG22" i="153"/>
  <c r="AA3363" i="5"/>
  <c r="R3363" i="5"/>
  <c r="J3363" i="5"/>
  <c r="DZ34" i="153" l="1"/>
  <c r="DY34" i="153"/>
  <c r="DX34" i="153"/>
  <c r="DW34" i="153"/>
  <c r="DV34" i="153"/>
  <c r="DT34" i="153"/>
  <c r="DS34" i="153"/>
  <c r="DR34" i="153"/>
  <c r="DQ34" i="153"/>
  <c r="DP34" i="153"/>
  <c r="DN34" i="153"/>
  <c r="DM34" i="153"/>
  <c r="DL34" i="153"/>
  <c r="DK34" i="153"/>
  <c r="DJ34" i="153"/>
  <c r="DH34" i="153"/>
  <c r="DG34" i="153"/>
  <c r="DF34" i="153"/>
  <c r="DE34" i="153"/>
  <c r="DD34" i="153"/>
  <c r="DB34" i="153"/>
  <c r="DA34" i="153"/>
  <c r="CZ34" i="153"/>
  <c r="CY34" i="153"/>
  <c r="CX34" i="153"/>
  <c r="CV34" i="153"/>
  <c r="CU34" i="153"/>
  <c r="CT34" i="153"/>
  <c r="CS34" i="153"/>
  <c r="CR34" i="153"/>
  <c r="CP34" i="153"/>
  <c r="CO34" i="153"/>
  <c r="CN34" i="153"/>
  <c r="CM34" i="153"/>
  <c r="CL34" i="153"/>
  <c r="CJ34" i="153"/>
  <c r="CI34" i="153"/>
  <c r="CH34" i="153"/>
  <c r="CG34" i="153"/>
  <c r="CF34" i="153"/>
  <c r="CD34" i="153"/>
  <c r="CC34" i="153"/>
  <c r="CB34" i="153"/>
  <c r="CA34" i="153"/>
  <c r="BZ34" i="153"/>
  <c r="BX34" i="153"/>
  <c r="BW34" i="153"/>
  <c r="BV34" i="153"/>
  <c r="BU34" i="153"/>
  <c r="BT34" i="153"/>
  <c r="BR34" i="153"/>
  <c r="BQ34" i="153"/>
  <c r="BP34" i="153"/>
  <c r="BO34" i="153"/>
  <c r="BN34" i="153"/>
  <c r="BL34" i="153"/>
  <c r="BK34" i="153"/>
  <c r="BJ34" i="153"/>
  <c r="BI34" i="153"/>
  <c r="BH34" i="153"/>
  <c r="BF34" i="153"/>
  <c r="BE34" i="153"/>
  <c r="BD34" i="153"/>
  <c r="BC34" i="153"/>
  <c r="BB34" i="153"/>
  <c r="AZ34" i="153"/>
  <c r="AY34" i="153"/>
  <c r="AX34" i="153"/>
  <c r="AW34" i="153"/>
  <c r="AV34" i="153"/>
  <c r="AT34" i="153"/>
  <c r="AS34" i="153"/>
  <c r="AR34" i="153"/>
  <c r="AQ34" i="153"/>
  <c r="AP34" i="153"/>
  <c r="AN34" i="153"/>
  <c r="AM34" i="153"/>
  <c r="AL34" i="153"/>
  <c r="AK34" i="153"/>
  <c r="AJ34" i="153"/>
  <c r="AH34" i="153"/>
  <c r="AG34" i="153"/>
  <c r="AF34" i="153"/>
  <c r="AE34" i="153"/>
  <c r="AD34" i="153"/>
  <c r="AB34" i="153"/>
  <c r="AA34" i="153"/>
  <c r="Z34" i="153"/>
  <c r="Y34" i="153"/>
  <c r="X34" i="153"/>
  <c r="V34" i="153"/>
  <c r="U34" i="153"/>
  <c r="T34" i="153"/>
  <c r="S34" i="153"/>
  <c r="Q34" i="153"/>
  <c r="P34" i="153"/>
  <c r="O34" i="153"/>
  <c r="M34" i="153"/>
  <c r="L34" i="153"/>
  <c r="K34" i="153"/>
  <c r="J34" i="153"/>
  <c r="I34" i="153"/>
  <c r="G34" i="153"/>
  <c r="F34" i="153"/>
  <c r="E34" i="153"/>
  <c r="D34" i="153"/>
  <c r="C34" i="153"/>
  <c r="DZ33" i="153"/>
  <c r="DY33" i="153"/>
  <c r="DX33" i="153"/>
  <c r="DX35" i="153" s="1"/>
  <c r="DW33" i="153"/>
  <c r="DV33" i="153"/>
  <c r="DT33" i="153"/>
  <c r="DS33" i="153"/>
  <c r="DR33" i="153"/>
  <c r="DQ33" i="153"/>
  <c r="DP33" i="153"/>
  <c r="DN33" i="153"/>
  <c r="DM33" i="153"/>
  <c r="DL33" i="153"/>
  <c r="DK33" i="153"/>
  <c r="DJ33" i="153"/>
  <c r="DH33" i="153"/>
  <c r="DG33" i="153"/>
  <c r="DF33" i="153"/>
  <c r="DE33" i="153"/>
  <c r="DD33" i="153"/>
  <c r="DB33" i="153"/>
  <c r="DA33" i="153"/>
  <c r="CZ33" i="153"/>
  <c r="CY33" i="153"/>
  <c r="CX33" i="153"/>
  <c r="CV33" i="153"/>
  <c r="CU33" i="153"/>
  <c r="CT33" i="153"/>
  <c r="CS33" i="153"/>
  <c r="CR33" i="153"/>
  <c r="CP33" i="153"/>
  <c r="CO33" i="153"/>
  <c r="CN33" i="153"/>
  <c r="CM33" i="153"/>
  <c r="CL33" i="153"/>
  <c r="CJ33" i="153"/>
  <c r="CI33" i="153"/>
  <c r="CH33" i="153"/>
  <c r="CG33" i="153"/>
  <c r="CF33" i="153"/>
  <c r="CD33" i="153"/>
  <c r="CC33" i="153"/>
  <c r="CB33" i="153"/>
  <c r="CA33" i="153"/>
  <c r="BZ33" i="153"/>
  <c r="BX33" i="153"/>
  <c r="BW33" i="153"/>
  <c r="BV33" i="153"/>
  <c r="BU33" i="153"/>
  <c r="BT33" i="153"/>
  <c r="BR33" i="153"/>
  <c r="BQ33" i="153"/>
  <c r="BP33" i="153"/>
  <c r="BO33" i="153"/>
  <c r="BN33" i="153"/>
  <c r="BL33" i="153"/>
  <c r="BK33" i="153"/>
  <c r="BJ33" i="153"/>
  <c r="BI33" i="153"/>
  <c r="BH33" i="153"/>
  <c r="BF33" i="153"/>
  <c r="BE33" i="153"/>
  <c r="BD33" i="153"/>
  <c r="BC33" i="153"/>
  <c r="BB33" i="153"/>
  <c r="AZ33" i="153"/>
  <c r="AY33" i="153"/>
  <c r="AX33" i="153"/>
  <c r="AW33" i="153"/>
  <c r="AV33" i="153"/>
  <c r="AT33" i="153"/>
  <c r="AS33" i="153"/>
  <c r="AR33" i="153"/>
  <c r="AQ33" i="153"/>
  <c r="AP33" i="153"/>
  <c r="AN33" i="153"/>
  <c r="AM33" i="153"/>
  <c r="AL33" i="153"/>
  <c r="AK33" i="153"/>
  <c r="AJ33" i="153"/>
  <c r="AH33" i="153"/>
  <c r="AG33" i="153"/>
  <c r="AF33" i="153"/>
  <c r="AE33" i="153"/>
  <c r="AD33" i="153"/>
  <c r="AB33" i="153"/>
  <c r="AA33" i="153"/>
  <c r="Z33" i="153"/>
  <c r="Y33" i="153"/>
  <c r="X33" i="153"/>
  <c r="V33" i="153"/>
  <c r="U33" i="153"/>
  <c r="T33" i="153"/>
  <c r="S33" i="153"/>
  <c r="Q33" i="153"/>
  <c r="P33" i="153"/>
  <c r="O33" i="153"/>
  <c r="M33" i="153"/>
  <c r="L33" i="153"/>
  <c r="K33" i="153"/>
  <c r="J33" i="153"/>
  <c r="I33" i="153"/>
  <c r="G33" i="153"/>
  <c r="F33" i="153"/>
  <c r="E33" i="153"/>
  <c r="D33" i="153"/>
  <c r="C33" i="153"/>
  <c r="DZ31" i="153"/>
  <c r="DY31" i="153"/>
  <c r="DX31" i="153"/>
  <c r="DW31" i="153"/>
  <c r="DV31" i="153"/>
  <c r="DZ30" i="153"/>
  <c r="DY30" i="153"/>
  <c r="DX30" i="153"/>
  <c r="DW30" i="153"/>
  <c r="DV30" i="153"/>
  <c r="DZ28" i="153"/>
  <c r="DY28" i="153"/>
  <c r="DX28" i="153"/>
  <c r="DW28" i="153"/>
  <c r="DV28" i="153"/>
  <c r="DZ27" i="153"/>
  <c r="DY27" i="153"/>
  <c r="DX27" i="153"/>
  <c r="DW27" i="153"/>
  <c r="DV27" i="153"/>
  <c r="DZ25" i="153"/>
  <c r="DY25" i="153"/>
  <c r="DX25" i="153"/>
  <c r="DW25" i="153"/>
  <c r="DV25" i="153"/>
  <c r="DZ24" i="153"/>
  <c r="DY24" i="153"/>
  <c r="DX24" i="153"/>
  <c r="DW24" i="153"/>
  <c r="DV24" i="153"/>
  <c r="DZ18" i="153"/>
  <c r="DY18" i="153"/>
  <c r="DX18" i="153"/>
  <c r="DW18" i="153"/>
  <c r="DV18" i="153"/>
  <c r="DZ17" i="153"/>
  <c r="DY17" i="153"/>
  <c r="DX17" i="153"/>
  <c r="DW17" i="153"/>
  <c r="DV17" i="153"/>
  <c r="DZ15" i="153"/>
  <c r="DY15" i="153"/>
  <c r="DX15" i="153"/>
  <c r="DW15" i="153"/>
  <c r="DV15" i="153"/>
  <c r="DZ14" i="153"/>
  <c r="DY14" i="153"/>
  <c r="DX14" i="153"/>
  <c r="DW14" i="153"/>
  <c r="DV14" i="153"/>
  <c r="DZ9" i="153"/>
  <c r="DY9" i="153"/>
  <c r="DX9" i="153"/>
  <c r="DW9" i="153"/>
  <c r="DV9" i="153"/>
  <c r="DZ8" i="153"/>
  <c r="DY8" i="153"/>
  <c r="DX8" i="153"/>
  <c r="DW8" i="153"/>
  <c r="DV8" i="153"/>
  <c r="DZ6" i="153"/>
  <c r="DY6" i="153"/>
  <c r="DX6" i="153"/>
  <c r="DW6" i="153"/>
  <c r="DV6" i="153"/>
  <c r="DZ5" i="153"/>
  <c r="DY5" i="153"/>
  <c r="DX5" i="153"/>
  <c r="DW5" i="153"/>
  <c r="DV5" i="153"/>
  <c r="DZ3" i="153"/>
  <c r="DY3" i="153"/>
  <c r="DX3" i="153"/>
  <c r="DW3" i="153"/>
  <c r="DV3" i="153"/>
  <c r="DZ2" i="153"/>
  <c r="DY2" i="153"/>
  <c r="DX2" i="153"/>
  <c r="DW2" i="153"/>
  <c r="DV2" i="153"/>
  <c r="MX9" i="175"/>
  <c r="MW9" i="175"/>
  <c r="MU9" i="175"/>
  <c r="MT9" i="175"/>
  <c r="MR9" i="175"/>
  <c r="MQ9" i="175"/>
  <c r="MO9" i="175"/>
  <c r="MN9" i="175"/>
  <c r="ML9" i="175"/>
  <c r="MK9" i="175"/>
  <c r="MG9" i="175"/>
  <c r="MF9" i="175"/>
  <c r="MD9" i="175"/>
  <c r="MC9" i="175"/>
  <c r="MA9" i="175"/>
  <c r="LZ9" i="175"/>
  <c r="LX9" i="175"/>
  <c r="LW9" i="175"/>
  <c r="LU9" i="175"/>
  <c r="LT9" i="175"/>
  <c r="LP9" i="175"/>
  <c r="LO9" i="175"/>
  <c r="LM9" i="175"/>
  <c r="LL9" i="175"/>
  <c r="LJ9" i="175"/>
  <c r="LI9" i="175"/>
  <c r="LG9" i="175"/>
  <c r="LF9" i="175"/>
  <c r="LD9" i="175"/>
  <c r="LC9" i="175"/>
  <c r="KY9" i="175"/>
  <c r="KX9" i="175"/>
  <c r="KV9" i="175"/>
  <c r="KU9" i="175"/>
  <c r="KS9" i="175"/>
  <c r="KR9" i="175"/>
  <c r="KP9" i="175"/>
  <c r="KO9" i="175"/>
  <c r="KM9" i="175"/>
  <c r="KL9" i="175"/>
  <c r="KH9" i="175"/>
  <c r="KG9" i="175"/>
  <c r="KE9" i="175"/>
  <c r="KD9" i="175"/>
  <c r="KB9" i="175"/>
  <c r="KA9" i="175"/>
  <c r="JY9" i="175"/>
  <c r="JX9" i="175"/>
  <c r="JV9" i="175"/>
  <c r="JU9" i="175"/>
  <c r="JQ9" i="175"/>
  <c r="JP9" i="175"/>
  <c r="JN9" i="175"/>
  <c r="JM9" i="175"/>
  <c r="JK9" i="175"/>
  <c r="JJ9" i="175"/>
  <c r="JH9" i="175"/>
  <c r="JG9" i="175"/>
  <c r="JE9" i="175"/>
  <c r="JD9" i="175"/>
  <c r="IZ9" i="175"/>
  <c r="IY9" i="175"/>
  <c r="IW9" i="175"/>
  <c r="IV9" i="175"/>
  <c r="IT9" i="175"/>
  <c r="IS9" i="175"/>
  <c r="IQ9" i="175"/>
  <c r="IP9" i="175"/>
  <c r="IN9" i="175"/>
  <c r="IM9" i="175"/>
  <c r="II9" i="175"/>
  <c r="IH9" i="175"/>
  <c r="IF9" i="175"/>
  <c r="IE9" i="175"/>
  <c r="IC9" i="175"/>
  <c r="IB9" i="175"/>
  <c r="HZ9" i="175"/>
  <c r="HY9" i="175"/>
  <c r="HW9" i="175"/>
  <c r="HV9" i="175"/>
  <c r="HR9" i="175"/>
  <c r="HQ9" i="175"/>
  <c r="HO9" i="175"/>
  <c r="HN9" i="175"/>
  <c r="HL9" i="175"/>
  <c r="HK9" i="175"/>
  <c r="HI9" i="175"/>
  <c r="HH9" i="175"/>
  <c r="HF9" i="175"/>
  <c r="HE9" i="175"/>
  <c r="HA9" i="175"/>
  <c r="GZ9" i="175"/>
  <c r="GX9" i="175"/>
  <c r="GW9" i="175"/>
  <c r="GU9" i="175"/>
  <c r="GT9" i="175"/>
  <c r="GR9" i="175"/>
  <c r="GQ9" i="175"/>
  <c r="GO9" i="175"/>
  <c r="GN9" i="175"/>
  <c r="GJ9" i="175"/>
  <c r="GI9" i="175"/>
  <c r="GG9" i="175"/>
  <c r="GF9" i="175"/>
  <c r="GD9" i="175"/>
  <c r="GC9" i="175"/>
  <c r="GA9" i="175"/>
  <c r="FZ9" i="175"/>
  <c r="FX9" i="175"/>
  <c r="FW9" i="175"/>
  <c r="FS9" i="175"/>
  <c r="FR9" i="175"/>
  <c r="FP9" i="175"/>
  <c r="FO9" i="175"/>
  <c r="FM9" i="175"/>
  <c r="FL9" i="175"/>
  <c r="FJ9" i="175"/>
  <c r="FI9" i="175"/>
  <c r="FG9" i="175"/>
  <c r="FF9" i="175"/>
  <c r="DY21" i="153" l="1"/>
  <c r="DX10" i="153"/>
  <c r="DZ29" i="153"/>
  <c r="DX32" i="153"/>
  <c r="DZ21" i="153"/>
  <c r="DX4" i="153"/>
  <c r="DZ7" i="153"/>
  <c r="AI33" i="153"/>
  <c r="BG33" i="153"/>
  <c r="CE33" i="153"/>
  <c r="DC33" i="153"/>
  <c r="EA33" i="153"/>
  <c r="AO34" i="153"/>
  <c r="BM34" i="153"/>
  <c r="W33" i="153"/>
  <c r="AC33" i="153"/>
  <c r="BA33" i="153"/>
  <c r="BY33" i="153"/>
  <c r="CW33" i="153"/>
  <c r="DU33" i="153"/>
  <c r="CK34" i="153"/>
  <c r="H33" i="153"/>
  <c r="N33" i="153"/>
  <c r="F35" i="153"/>
  <c r="K35" i="153"/>
  <c r="P35" i="153"/>
  <c r="U35" i="153"/>
  <c r="Z35" i="153"/>
  <c r="AE35" i="153"/>
  <c r="AN35" i="153"/>
  <c r="AS35" i="153"/>
  <c r="AX35" i="153"/>
  <c r="BC35" i="153"/>
  <c r="BL35" i="153"/>
  <c r="BQ35" i="153"/>
  <c r="BV35" i="153"/>
  <c r="CA35" i="153"/>
  <c r="CJ35" i="153"/>
  <c r="CO35" i="153"/>
  <c r="CT35" i="153"/>
  <c r="CY35" i="153"/>
  <c r="DI34" i="153"/>
  <c r="DH35" i="153"/>
  <c r="DM35" i="153"/>
  <c r="DR35" i="153"/>
  <c r="DW35" i="153"/>
  <c r="R33" i="153"/>
  <c r="AO33" i="153"/>
  <c r="BM33" i="153"/>
  <c r="CK33" i="153"/>
  <c r="DI33" i="153"/>
  <c r="C35" i="153"/>
  <c r="G35" i="153"/>
  <c r="L35" i="153"/>
  <c r="Q35" i="153"/>
  <c r="V35" i="153"/>
  <c r="AA35" i="153"/>
  <c r="AF35" i="153"/>
  <c r="AK35" i="153"/>
  <c r="AP35" i="153"/>
  <c r="AT35" i="153"/>
  <c r="AY35" i="153"/>
  <c r="BD35" i="153"/>
  <c r="BI35" i="153"/>
  <c r="BN35" i="153"/>
  <c r="BR35" i="153"/>
  <c r="BW35" i="153"/>
  <c r="CB35" i="153"/>
  <c r="CG35" i="153"/>
  <c r="CL35" i="153"/>
  <c r="CP35" i="153"/>
  <c r="CU35" i="153"/>
  <c r="CZ35" i="153"/>
  <c r="DE35" i="153"/>
  <c r="DJ35" i="153"/>
  <c r="DN35" i="153"/>
  <c r="DS35" i="153"/>
  <c r="AU33" i="153"/>
  <c r="BS33" i="153"/>
  <c r="CQ33" i="153"/>
  <c r="DO33" i="153"/>
  <c r="H34" i="153"/>
  <c r="I35" i="153"/>
  <c r="M35" i="153"/>
  <c r="S35" i="153"/>
  <c r="AC34" i="153"/>
  <c r="AB35" i="153"/>
  <c r="AG35" i="153"/>
  <c r="AL35" i="153"/>
  <c r="AQ35" i="153"/>
  <c r="BA34" i="153"/>
  <c r="AZ35" i="153"/>
  <c r="BE35" i="153"/>
  <c r="BJ35" i="153"/>
  <c r="BO35" i="153"/>
  <c r="BY34" i="153"/>
  <c r="BX35" i="153"/>
  <c r="CC35" i="153"/>
  <c r="CH35" i="153"/>
  <c r="CM35" i="153"/>
  <c r="CW34" i="153"/>
  <c r="CV35" i="153"/>
  <c r="DA35" i="153"/>
  <c r="DF35" i="153"/>
  <c r="DK35" i="153"/>
  <c r="DU34" i="153"/>
  <c r="DT35" i="153"/>
  <c r="DY35" i="153"/>
  <c r="E35" i="153"/>
  <c r="J35" i="153"/>
  <c r="O35" i="153"/>
  <c r="T35" i="153"/>
  <c r="Y35" i="153"/>
  <c r="AD35" i="153"/>
  <c r="AH35" i="153"/>
  <c r="AM35" i="153"/>
  <c r="AR35" i="153"/>
  <c r="AW35" i="153"/>
  <c r="BB35" i="153"/>
  <c r="BF35" i="153"/>
  <c r="BK35" i="153"/>
  <c r="BP35" i="153"/>
  <c r="BU35" i="153"/>
  <c r="BZ35" i="153"/>
  <c r="CD35" i="153"/>
  <c r="CI35" i="153"/>
  <c r="CN35" i="153"/>
  <c r="CS35" i="153"/>
  <c r="CX35" i="153"/>
  <c r="DB35" i="153"/>
  <c r="DG35" i="153"/>
  <c r="DL35" i="153"/>
  <c r="DQ35" i="153"/>
  <c r="DV35" i="153"/>
  <c r="DZ35" i="153"/>
  <c r="N34" i="153"/>
  <c r="R34" i="153"/>
  <c r="D35" i="153"/>
  <c r="X35" i="153"/>
  <c r="AJ35" i="153"/>
  <c r="AV35" i="153"/>
  <c r="BH35" i="153"/>
  <c r="BT35" i="153"/>
  <c r="CF35" i="153"/>
  <c r="CR35" i="153"/>
  <c r="DD35" i="153"/>
  <c r="DP35" i="153"/>
  <c r="W34" i="153"/>
  <c r="AI34" i="153"/>
  <c r="AU34" i="153"/>
  <c r="BG34" i="153"/>
  <c r="BS34" i="153"/>
  <c r="CE34" i="153"/>
  <c r="CQ34" i="153"/>
  <c r="DC34" i="153"/>
  <c r="DO34" i="153"/>
  <c r="EA34" i="153"/>
  <c r="DZ16" i="153"/>
  <c r="DX19" i="153"/>
  <c r="DZ20" i="153"/>
  <c r="DV20" i="153"/>
  <c r="DW20" i="153"/>
  <c r="DY20" i="153"/>
  <c r="DX21" i="153"/>
  <c r="GV9" i="175"/>
  <c r="HB9" i="175"/>
  <c r="HJ9" i="175"/>
  <c r="HP9" i="175"/>
  <c r="HX9" i="175"/>
  <c r="IJ9" i="175"/>
  <c r="MP9" i="175"/>
  <c r="MV9" i="175"/>
  <c r="DY10" i="153"/>
  <c r="DY19" i="153"/>
  <c r="DW21" i="153"/>
  <c r="DW10" i="153"/>
  <c r="DW19" i="153"/>
  <c r="DY26" i="153"/>
  <c r="DY29" i="153"/>
  <c r="DW32" i="153"/>
  <c r="DV7" i="153"/>
  <c r="DV16" i="153"/>
  <c r="DY32" i="153"/>
  <c r="DX7" i="153"/>
  <c r="DZ10" i="153"/>
  <c r="DX16" i="153"/>
  <c r="DZ19" i="153"/>
  <c r="DX26" i="153"/>
  <c r="DX29" i="153"/>
  <c r="DV32" i="153"/>
  <c r="DZ32" i="153"/>
  <c r="DZ26" i="153"/>
  <c r="DY7" i="153"/>
  <c r="DY16" i="153"/>
  <c r="EA14" i="153"/>
  <c r="EA24" i="153"/>
  <c r="EA27" i="153"/>
  <c r="EA25" i="153"/>
  <c r="EA28" i="153"/>
  <c r="EA5" i="153"/>
  <c r="DW7" i="153"/>
  <c r="EA8" i="153"/>
  <c r="DW16" i="153"/>
  <c r="EA17" i="153"/>
  <c r="DW26" i="153"/>
  <c r="DW29" i="153"/>
  <c r="EA30" i="153"/>
  <c r="EA3" i="153"/>
  <c r="EA9" i="153"/>
  <c r="EA18" i="153"/>
  <c r="DV4" i="153"/>
  <c r="DZ4" i="153"/>
  <c r="DV10" i="153"/>
  <c r="DV19" i="153"/>
  <c r="DX20" i="153"/>
  <c r="DV21" i="153"/>
  <c r="DV26" i="153"/>
  <c r="DV29" i="153"/>
  <c r="EA2" i="153"/>
  <c r="DW4" i="153"/>
  <c r="EA6" i="153"/>
  <c r="EA15" i="153"/>
  <c r="EA31" i="153"/>
  <c r="DY4" i="153"/>
  <c r="FY9" i="175"/>
  <c r="GE9" i="175"/>
  <c r="GS9" i="175"/>
  <c r="IO9" i="175"/>
  <c r="JI9" i="175"/>
  <c r="JO9" i="175"/>
  <c r="JW9" i="175"/>
  <c r="KC9" i="175"/>
  <c r="LE9" i="175"/>
  <c r="LY9" i="175"/>
  <c r="KF9" i="175"/>
  <c r="KN9" i="175"/>
  <c r="KT9" i="175"/>
  <c r="KZ9" i="175"/>
  <c r="LH9" i="175"/>
  <c r="GB9" i="175"/>
  <c r="HM9" i="175"/>
  <c r="FQ9" i="175"/>
  <c r="IA9" i="175"/>
  <c r="LA9" i="175"/>
  <c r="MB9" i="175"/>
  <c r="MH9" i="175"/>
  <c r="FH9" i="175"/>
  <c r="FN9" i="175"/>
  <c r="FT9" i="175"/>
  <c r="GH9" i="175"/>
  <c r="GP9" i="175"/>
  <c r="HU9" i="175"/>
  <c r="LQ9" i="175"/>
  <c r="JA9" i="175"/>
  <c r="KW9" i="175"/>
  <c r="LS9" i="175"/>
  <c r="IR9" i="175"/>
  <c r="IX9" i="175"/>
  <c r="NA9" i="175"/>
  <c r="GM9" i="175"/>
  <c r="IK9" i="175"/>
  <c r="ID9" i="175"/>
  <c r="JC9" i="175"/>
  <c r="JF9" i="175"/>
  <c r="KK9" i="175"/>
  <c r="KI9" i="175"/>
  <c r="LK9" i="175"/>
  <c r="MJ9" i="175"/>
  <c r="FU9" i="175"/>
  <c r="FK9" i="175"/>
  <c r="GK9" i="175"/>
  <c r="GY9" i="175"/>
  <c r="HG9" i="175"/>
  <c r="HS9" i="175"/>
  <c r="IU9" i="175"/>
  <c r="JT9" i="175"/>
  <c r="JL9" i="175"/>
  <c r="JR9" i="175"/>
  <c r="JZ9" i="175"/>
  <c r="KQ9" i="175"/>
  <c r="LN9" i="175"/>
  <c r="ME9" i="175"/>
  <c r="MM9" i="175"/>
  <c r="MS9" i="175"/>
  <c r="MY9" i="175"/>
  <c r="HD9" i="175"/>
  <c r="IG9" i="175"/>
  <c r="FV9" i="175"/>
  <c r="GL9" i="175"/>
  <c r="IL9" i="175"/>
  <c r="JB9" i="175"/>
  <c r="LB9" i="175"/>
  <c r="LR9" i="175"/>
  <c r="LV9" i="175"/>
  <c r="HC9" i="175"/>
  <c r="JS9" i="175"/>
  <c r="MI9" i="175"/>
  <c r="HT9" i="175"/>
  <c r="KJ9" i="175"/>
  <c r="MZ9" i="175"/>
  <c r="F57" i="4"/>
  <c r="G57" i="4" s="1"/>
  <c r="H57" i="4"/>
  <c r="I57" i="4" s="1"/>
  <c r="J57" i="4"/>
  <c r="L57" i="4"/>
  <c r="N57" i="4"/>
  <c r="B34" i="153" l="1"/>
  <c r="B33" i="153"/>
  <c r="H35" i="153"/>
  <c r="DY22" i="153"/>
  <c r="EA10" i="153"/>
  <c r="DZ22" i="153"/>
  <c r="BA35" i="153"/>
  <c r="CE35" i="153"/>
  <c r="BM35" i="153"/>
  <c r="CK35" i="153"/>
  <c r="AO35" i="153"/>
  <c r="BY35" i="153"/>
  <c r="CQ35" i="153"/>
  <c r="DO35" i="153"/>
  <c r="EA35" i="153"/>
  <c r="AI35" i="153"/>
  <c r="BS35" i="153"/>
  <c r="W35" i="153"/>
  <c r="N35" i="153"/>
  <c r="DC35" i="153"/>
  <c r="BG35" i="153"/>
  <c r="DU35" i="153"/>
  <c r="AC35" i="153"/>
  <c r="CW35" i="153"/>
  <c r="DI35" i="153"/>
  <c r="AU35" i="153"/>
  <c r="R35" i="153"/>
  <c r="DW22" i="153"/>
  <c r="DX22" i="153"/>
  <c r="EA16" i="153"/>
  <c r="EA29" i="153"/>
  <c r="EA26" i="153"/>
  <c r="EA7" i="153"/>
  <c r="EA19" i="153"/>
  <c r="EA32" i="153"/>
  <c r="EA4" i="153"/>
  <c r="EA20" i="153"/>
  <c r="DV22" i="153"/>
  <c r="EA21" i="153"/>
  <c r="M57" i="4"/>
  <c r="K57" i="4"/>
  <c r="O57" i="4"/>
  <c r="AA3362" i="5"/>
  <c r="R3362" i="5"/>
  <c r="J3362" i="5"/>
  <c r="B35" i="153" l="1"/>
  <c r="EA22" i="153"/>
  <c r="AMH31" i="178"/>
  <c r="AMG31" i="178"/>
  <c r="AA3361" i="5" l="1"/>
  <c r="R3361" i="5"/>
  <c r="J3361" i="5"/>
  <c r="J3250" i="5" l="1"/>
  <c r="R3250" i="5"/>
  <c r="J3251" i="5"/>
  <c r="R3251" i="5"/>
  <c r="J3252" i="5"/>
  <c r="R3252" i="5"/>
  <c r="J3253" i="5"/>
  <c r="R3253" i="5"/>
  <c r="J3254" i="5"/>
  <c r="R3254" i="5"/>
  <c r="J3255" i="5"/>
  <c r="R3255" i="5"/>
  <c r="J3256" i="5"/>
  <c r="R3256" i="5"/>
  <c r="J3257" i="5"/>
  <c r="R3257" i="5"/>
  <c r="J3258" i="5"/>
  <c r="R3258" i="5"/>
  <c r="J3259" i="5"/>
  <c r="R3259" i="5"/>
  <c r="J3260" i="5"/>
  <c r="R3260" i="5"/>
  <c r="J3261" i="5"/>
  <c r="R3261" i="5"/>
  <c r="J3262" i="5"/>
  <c r="R3262" i="5"/>
  <c r="J3263" i="5"/>
  <c r="R3263" i="5"/>
  <c r="J3264" i="5"/>
  <c r="R3264" i="5"/>
  <c r="J3265" i="5"/>
  <c r="R3265" i="5"/>
  <c r="J3266" i="5"/>
  <c r="R3266" i="5"/>
  <c r="J3267" i="5"/>
  <c r="R3267" i="5"/>
  <c r="J3268" i="5"/>
  <c r="R3268" i="5"/>
  <c r="J3269" i="5"/>
  <c r="R3269" i="5"/>
  <c r="J3270" i="5"/>
  <c r="R3270" i="5"/>
  <c r="J3271" i="5"/>
  <c r="R3271" i="5"/>
  <c r="J3272" i="5"/>
  <c r="R3272" i="5"/>
  <c r="J3273" i="5"/>
  <c r="R3273" i="5"/>
  <c r="J3274" i="5"/>
  <c r="R3274" i="5"/>
  <c r="J3275" i="5"/>
  <c r="R3275" i="5"/>
  <c r="J3276" i="5"/>
  <c r="R3276" i="5"/>
  <c r="J3277" i="5"/>
  <c r="R3277" i="5"/>
  <c r="J3278" i="5"/>
  <c r="R3278" i="5"/>
  <c r="J3279" i="5"/>
  <c r="R3279" i="5"/>
  <c r="J3280" i="5"/>
  <c r="R3280" i="5"/>
  <c r="J3281" i="5"/>
  <c r="R3281" i="5"/>
  <c r="J3282" i="5"/>
  <c r="R3282" i="5"/>
  <c r="J3283" i="5"/>
  <c r="R3283" i="5"/>
  <c r="J3284" i="5"/>
  <c r="R3284" i="5"/>
  <c r="J3285" i="5"/>
  <c r="R3285" i="5"/>
  <c r="J3286" i="5"/>
  <c r="R3286" i="5"/>
  <c r="J3287" i="5"/>
  <c r="R3287" i="5"/>
  <c r="J3288" i="5"/>
  <c r="R3288" i="5"/>
  <c r="J3289" i="5"/>
  <c r="R3289" i="5"/>
  <c r="J3290" i="5"/>
  <c r="R3290" i="5"/>
  <c r="J3291" i="5"/>
  <c r="R3291" i="5"/>
  <c r="J3292" i="5"/>
  <c r="R3292" i="5"/>
  <c r="J3293" i="5"/>
  <c r="R3293" i="5"/>
  <c r="J3294" i="5"/>
  <c r="R3294" i="5"/>
  <c r="J3295" i="5"/>
  <c r="R3295" i="5"/>
  <c r="J3296" i="5"/>
  <c r="R3296" i="5"/>
  <c r="J3297" i="5"/>
  <c r="R3297" i="5"/>
  <c r="J3298" i="5"/>
  <c r="R3298" i="5"/>
  <c r="J3299" i="5"/>
  <c r="R3299" i="5"/>
  <c r="J3300" i="5"/>
  <c r="R3300" i="5"/>
  <c r="J3301" i="5"/>
  <c r="R3301" i="5"/>
  <c r="J3302" i="5"/>
  <c r="R3302" i="5"/>
  <c r="J3303" i="5"/>
  <c r="R3303" i="5"/>
  <c r="J3304" i="5"/>
  <c r="R3304" i="5"/>
  <c r="J3305" i="5"/>
  <c r="R3305" i="5"/>
  <c r="J3306" i="5"/>
  <c r="R3306" i="5"/>
  <c r="J3307" i="5"/>
  <c r="R3307" i="5"/>
  <c r="J3308" i="5"/>
  <c r="R3308" i="5"/>
  <c r="J3309" i="5"/>
  <c r="R3309" i="5"/>
  <c r="J3310" i="5"/>
  <c r="R3310" i="5"/>
  <c r="J3311" i="5"/>
  <c r="R3311" i="5"/>
  <c r="J3312" i="5"/>
  <c r="R3312" i="5"/>
  <c r="J3313" i="5"/>
  <c r="R3313" i="5"/>
  <c r="J3314" i="5"/>
  <c r="R3314" i="5"/>
  <c r="J3315" i="5"/>
  <c r="R3315" i="5"/>
  <c r="J3316" i="5"/>
  <c r="R3316" i="5"/>
  <c r="J3317" i="5"/>
  <c r="R3317" i="5"/>
  <c r="J3318" i="5"/>
  <c r="R3318" i="5"/>
  <c r="J3319" i="5"/>
  <c r="R3319" i="5"/>
  <c r="J3320" i="5"/>
  <c r="R3320" i="5"/>
  <c r="J3321" i="5"/>
  <c r="R3321" i="5"/>
  <c r="J3322" i="5"/>
  <c r="R3322" i="5"/>
  <c r="J3323" i="5"/>
  <c r="R3323" i="5"/>
  <c r="J3324" i="5"/>
  <c r="R3324" i="5"/>
  <c r="J3325" i="5"/>
  <c r="R3325" i="5"/>
  <c r="J3326" i="5"/>
  <c r="R3326" i="5"/>
  <c r="J3327" i="5"/>
  <c r="R3327" i="5"/>
  <c r="J3328" i="5"/>
  <c r="R3328" i="5"/>
  <c r="J3329" i="5"/>
  <c r="R3329" i="5"/>
  <c r="J3330" i="5"/>
  <c r="R3330" i="5"/>
  <c r="J3331" i="5"/>
  <c r="R3331" i="5"/>
  <c r="J3332" i="5"/>
  <c r="R3332" i="5"/>
  <c r="J3333" i="5"/>
  <c r="R3333" i="5"/>
  <c r="J3334" i="5"/>
  <c r="R3334" i="5"/>
  <c r="J3335" i="5"/>
  <c r="R3335" i="5"/>
  <c r="J3336" i="5"/>
  <c r="R3336" i="5"/>
  <c r="J3337" i="5"/>
  <c r="R3337" i="5"/>
  <c r="J3338" i="5"/>
  <c r="R3338" i="5"/>
  <c r="J3339" i="5"/>
  <c r="R3339" i="5"/>
  <c r="J3340" i="5"/>
  <c r="R3340" i="5"/>
  <c r="J3341" i="5"/>
  <c r="R3341" i="5"/>
  <c r="J3342" i="5"/>
  <c r="R3342" i="5"/>
  <c r="J3343" i="5"/>
  <c r="R3343" i="5"/>
  <c r="J3344" i="5"/>
  <c r="R3344" i="5"/>
  <c r="J3345" i="5"/>
  <c r="R3345" i="5"/>
  <c r="J3346" i="5"/>
  <c r="R3346" i="5"/>
  <c r="J3347" i="5"/>
  <c r="R3347" i="5"/>
  <c r="J3348" i="5"/>
  <c r="R3348" i="5"/>
  <c r="J3349" i="5"/>
  <c r="R3349" i="5"/>
  <c r="J3350" i="5"/>
  <c r="R3350" i="5"/>
  <c r="J3351" i="5"/>
  <c r="R3351" i="5"/>
  <c r="J3352" i="5"/>
  <c r="R3352" i="5"/>
  <c r="J3353" i="5"/>
  <c r="R3353" i="5"/>
  <c r="J3354" i="5"/>
  <c r="R3354" i="5"/>
  <c r="J3355" i="5"/>
  <c r="R3355" i="5"/>
  <c r="J3356" i="5"/>
  <c r="R3356" i="5"/>
  <c r="J3357" i="5"/>
  <c r="R3357" i="5"/>
  <c r="J3358" i="5"/>
  <c r="R3358" i="5"/>
  <c r="J3359" i="5"/>
  <c r="R3359" i="5"/>
  <c r="J3360" i="5"/>
  <c r="R3360" i="5"/>
  <c r="AA3248" i="5"/>
  <c r="AA3249" i="5"/>
  <c r="AA3250" i="5"/>
  <c r="AA3251" i="5"/>
  <c r="AA3252" i="5"/>
  <c r="AA3253" i="5"/>
  <c r="AA3254" i="5"/>
  <c r="AA3255" i="5"/>
  <c r="AA3256" i="5"/>
  <c r="AA3257" i="5"/>
  <c r="AA3258" i="5"/>
  <c r="AA3259" i="5"/>
  <c r="AA3260" i="5"/>
  <c r="AA3261" i="5"/>
  <c r="AA3262" i="5"/>
  <c r="AA3263" i="5"/>
  <c r="AA3264" i="5"/>
  <c r="AA3265" i="5"/>
  <c r="AA3266" i="5"/>
  <c r="AA3267" i="5"/>
  <c r="AA3268" i="5"/>
  <c r="AA3269" i="5"/>
  <c r="AA3270" i="5"/>
  <c r="AA3271" i="5"/>
  <c r="AA3272" i="5"/>
  <c r="AA3273" i="5"/>
  <c r="AA3274" i="5"/>
  <c r="AA3275" i="5"/>
  <c r="AA3276" i="5"/>
  <c r="AA3277" i="5"/>
  <c r="AA3278" i="5"/>
  <c r="AA3279" i="5"/>
  <c r="AA3280" i="5"/>
  <c r="AA3281" i="5"/>
  <c r="AA3282" i="5"/>
  <c r="AA3283" i="5"/>
  <c r="AA3284" i="5"/>
  <c r="AA3285" i="5"/>
  <c r="AA3286" i="5"/>
  <c r="AA3287" i="5"/>
  <c r="AA3288" i="5"/>
  <c r="AA3289" i="5"/>
  <c r="AA3290" i="5"/>
  <c r="AA3291" i="5"/>
  <c r="AA3292" i="5"/>
  <c r="AA3293" i="5"/>
  <c r="AA3294" i="5"/>
  <c r="AA3295" i="5"/>
  <c r="AA3296" i="5"/>
  <c r="AA3297" i="5"/>
  <c r="AA3298" i="5"/>
  <c r="AA3299" i="5"/>
  <c r="AA3300" i="5"/>
  <c r="AA3301" i="5"/>
  <c r="AA3302" i="5"/>
  <c r="AA3303" i="5"/>
  <c r="AA3304" i="5"/>
  <c r="AA3305" i="5"/>
  <c r="AA3306" i="5"/>
  <c r="AA3307" i="5"/>
  <c r="AA3308" i="5"/>
  <c r="AA3309" i="5"/>
  <c r="AA3310" i="5"/>
  <c r="AA3311" i="5"/>
  <c r="AA3312" i="5"/>
  <c r="AA3313" i="5"/>
  <c r="AA3314" i="5"/>
  <c r="AA3315" i="5"/>
  <c r="AA3316" i="5"/>
  <c r="AA3317" i="5"/>
  <c r="AA3318" i="5"/>
  <c r="AA3319" i="5"/>
  <c r="AA3320" i="5"/>
  <c r="AA3321" i="5"/>
  <c r="AA3322" i="5"/>
  <c r="AA3323" i="5"/>
  <c r="AA3324" i="5"/>
  <c r="AA3325" i="5"/>
  <c r="AA3326" i="5"/>
  <c r="AA3327" i="5"/>
  <c r="AA3328" i="5"/>
  <c r="AA3329" i="5"/>
  <c r="AA3330" i="5"/>
  <c r="AA3331" i="5"/>
  <c r="AA3332" i="5"/>
  <c r="AA3333" i="5"/>
  <c r="AA3334" i="5"/>
  <c r="AA3335" i="5"/>
  <c r="AA3336" i="5"/>
  <c r="AA3337" i="5"/>
  <c r="AA3338" i="5"/>
  <c r="AA3339" i="5"/>
  <c r="AA3340" i="5"/>
  <c r="AA3341" i="5"/>
  <c r="AA3342" i="5"/>
  <c r="AA3343" i="5"/>
  <c r="AA3344" i="5"/>
  <c r="AA3345" i="5"/>
  <c r="AA3346" i="5"/>
  <c r="AA3347" i="5"/>
  <c r="AA3348" i="5"/>
  <c r="AA3349" i="5"/>
  <c r="AA3350" i="5"/>
  <c r="AA3351" i="5"/>
  <c r="AA3352" i="5"/>
  <c r="AA3353" i="5"/>
  <c r="AA3354" i="5"/>
  <c r="AA3355" i="5"/>
  <c r="AA3356" i="5"/>
  <c r="AA3357" i="5"/>
  <c r="AA3358" i="5"/>
  <c r="AA3359" i="5"/>
  <c r="AA3360" i="5"/>
  <c r="J3248" i="5"/>
  <c r="R3249" i="5"/>
  <c r="R3248" i="5"/>
  <c r="J3249" i="5"/>
  <c r="MX8" i="175"/>
  <c r="MW8" i="175"/>
  <c r="MU8" i="175"/>
  <c r="MT8" i="175"/>
  <c r="MR8" i="175"/>
  <c r="MQ8" i="175"/>
  <c r="MO8" i="175"/>
  <c r="MN8" i="175"/>
  <c r="ML8" i="175"/>
  <c r="MK8" i="175"/>
  <c r="MX12" i="175"/>
  <c r="MW12" i="175"/>
  <c r="MU12" i="175"/>
  <c r="MT12" i="175"/>
  <c r="MR12" i="175"/>
  <c r="MQ12" i="175"/>
  <c r="MO12" i="175"/>
  <c r="MN12" i="175"/>
  <c r="ML12" i="175"/>
  <c r="MK12" i="175"/>
  <c r="MX6" i="175"/>
  <c r="MW6" i="175"/>
  <c r="MU6" i="175"/>
  <c r="MT6" i="175"/>
  <c r="MR6" i="175"/>
  <c r="MQ6" i="175"/>
  <c r="MO6" i="175"/>
  <c r="MN6" i="175"/>
  <c r="ML6" i="175"/>
  <c r="MK6" i="175"/>
  <c r="MX5" i="175"/>
  <c r="MW5" i="175"/>
  <c r="MU5" i="175"/>
  <c r="MT5" i="175"/>
  <c r="MR5" i="175"/>
  <c r="MQ5" i="175"/>
  <c r="MO5" i="175"/>
  <c r="MN5" i="175"/>
  <c r="ML5" i="175"/>
  <c r="MK5" i="175"/>
  <c r="MX4" i="175"/>
  <c r="MW4" i="175"/>
  <c r="MU4" i="175"/>
  <c r="MT4" i="175"/>
  <c r="MR4" i="175"/>
  <c r="MQ4" i="175"/>
  <c r="MO4" i="175"/>
  <c r="MN4" i="175"/>
  <c r="ML4" i="175"/>
  <c r="MK4" i="175"/>
  <c r="MX3" i="175"/>
  <c r="MW3" i="175"/>
  <c r="MU3" i="175"/>
  <c r="MT3" i="175"/>
  <c r="MR3" i="175"/>
  <c r="MQ3" i="175"/>
  <c r="MO3" i="175"/>
  <c r="MN3" i="175"/>
  <c r="ML3" i="175"/>
  <c r="MK3" i="175"/>
  <c r="B159" i="169"/>
  <c r="MR13" i="175" l="1"/>
  <c r="MX13" i="175"/>
  <c r="MW13" i="175"/>
  <c r="MU13" i="175"/>
  <c r="MN13" i="175"/>
  <c r="MM8" i="175"/>
  <c r="MY8" i="175"/>
  <c r="MM5" i="175"/>
  <c r="MY5" i="175"/>
  <c r="MP6" i="175"/>
  <c r="MV6" i="175"/>
  <c r="MS12" i="175"/>
  <c r="MY12" i="175"/>
  <c r="MV8" i="175"/>
  <c r="MS3" i="175"/>
  <c r="MP5" i="175"/>
  <c r="MV12" i="175"/>
  <c r="MM4" i="175"/>
  <c r="MY6" i="175"/>
  <c r="MP12" i="175"/>
  <c r="MP8" i="175"/>
  <c r="MY4" i="175"/>
  <c r="MV4" i="175"/>
  <c r="MV3" i="175"/>
  <c r="MV5" i="175"/>
  <c r="MS6" i="175"/>
  <c r="MS8" i="175"/>
  <c r="MS5" i="175"/>
  <c r="MZ5" i="175"/>
  <c r="MS4" i="175"/>
  <c r="MP4" i="175"/>
  <c r="MO13" i="175"/>
  <c r="NA12" i="175"/>
  <c r="NA3" i="175"/>
  <c r="NA8" i="175"/>
  <c r="MK13" i="175"/>
  <c r="NA4" i="175"/>
  <c r="MM12" i="175"/>
  <c r="MM6" i="175"/>
  <c r="NA5" i="175"/>
  <c r="MZ6" i="175"/>
  <c r="ML13" i="175"/>
  <c r="MT13" i="175"/>
  <c r="MP3" i="175"/>
  <c r="MM3" i="175"/>
  <c r="MY3" i="175"/>
  <c r="MZ3" i="175"/>
  <c r="NA6" i="175"/>
  <c r="MZ12" i="175"/>
  <c r="MQ13" i="175"/>
  <c r="MZ8" i="175"/>
  <c r="MZ4" i="175"/>
  <c r="A24" i="3"/>
  <c r="MS13" i="175" l="1"/>
  <c r="MY13" i="175"/>
  <c r="MO14" i="175"/>
  <c r="MX14" i="175"/>
  <c r="MV13" i="175"/>
  <c r="MM13" i="175"/>
  <c r="MP13" i="175"/>
  <c r="NA13" i="175"/>
  <c r="ML14" i="175"/>
  <c r="MZ13" i="175"/>
  <c r="NA14" i="175"/>
  <c r="MR14" i="175"/>
  <c r="MU14" i="175"/>
  <c r="TT28" i="178"/>
  <c r="TT27" i="178"/>
  <c r="TT26" i="178"/>
  <c r="TT25" i="178"/>
  <c r="TT24" i="178"/>
  <c r="TT23" i="178"/>
  <c r="TT22" i="178"/>
  <c r="TT21" i="178"/>
  <c r="TT20" i="178"/>
  <c r="TT19" i="178"/>
  <c r="TT18" i="178"/>
  <c r="TT17" i="178"/>
  <c r="TT16" i="178"/>
  <c r="TT15" i="178"/>
  <c r="TT14" i="178"/>
  <c r="TT13" i="178"/>
  <c r="C9" i="176"/>
  <c r="R3247" i="5" l="1"/>
  <c r="AA3247" i="5"/>
  <c r="J3247" i="5"/>
  <c r="MG8" i="175" l="1"/>
  <c r="MF8" i="175"/>
  <c r="MD8" i="175"/>
  <c r="MC8" i="175"/>
  <c r="MA8" i="175"/>
  <c r="LZ8" i="175"/>
  <c r="LX8" i="175"/>
  <c r="LW8" i="175"/>
  <c r="LU8" i="175"/>
  <c r="LT8" i="175"/>
  <c r="MG12" i="175"/>
  <c r="MF12" i="175"/>
  <c r="MD12" i="175"/>
  <c r="MC12" i="175"/>
  <c r="MA12" i="175"/>
  <c r="LZ12" i="175"/>
  <c r="LX12" i="175"/>
  <c r="LW12" i="175"/>
  <c r="LU12" i="175"/>
  <c r="LT12" i="175"/>
  <c r="MG6" i="175"/>
  <c r="MF6" i="175"/>
  <c r="MD6" i="175"/>
  <c r="MC6" i="175"/>
  <c r="MA6" i="175"/>
  <c r="LZ6" i="175"/>
  <c r="LX6" i="175"/>
  <c r="LW6" i="175"/>
  <c r="LU6" i="175"/>
  <c r="LT6" i="175"/>
  <c r="MG5" i="175"/>
  <c r="MF5" i="175"/>
  <c r="MD5" i="175"/>
  <c r="MC5" i="175"/>
  <c r="MA5" i="175"/>
  <c r="LZ5" i="175"/>
  <c r="LX5" i="175"/>
  <c r="LW5" i="175"/>
  <c r="LU5" i="175"/>
  <c r="LT5" i="175"/>
  <c r="MG4" i="175"/>
  <c r="MF4" i="175"/>
  <c r="MD4" i="175"/>
  <c r="MC4" i="175"/>
  <c r="MA4" i="175"/>
  <c r="LZ4" i="175"/>
  <c r="LX4" i="175"/>
  <c r="LW4" i="175"/>
  <c r="LU4" i="175"/>
  <c r="LT4" i="175"/>
  <c r="MG3" i="175"/>
  <c r="MF3" i="175"/>
  <c r="MD3" i="175"/>
  <c r="MC3" i="175"/>
  <c r="MA3" i="175"/>
  <c r="LZ3" i="175"/>
  <c r="LX3" i="175"/>
  <c r="LW3" i="175"/>
  <c r="LU3" i="175"/>
  <c r="LT3" i="175"/>
  <c r="DT31" i="153"/>
  <c r="DS31" i="153"/>
  <c r="DR31" i="153"/>
  <c r="DQ31" i="153"/>
  <c r="DP31" i="153"/>
  <c r="DT30" i="153"/>
  <c r="DS30" i="153"/>
  <c r="DR30" i="153"/>
  <c r="DQ30" i="153"/>
  <c r="DP30" i="153"/>
  <c r="DT28" i="153"/>
  <c r="DS28" i="153"/>
  <c r="DR28" i="153"/>
  <c r="DQ28" i="153"/>
  <c r="DP28" i="153"/>
  <c r="DT27" i="153"/>
  <c r="DS27" i="153"/>
  <c r="DR27" i="153"/>
  <c r="DQ27" i="153"/>
  <c r="DP27" i="153"/>
  <c r="DT25" i="153"/>
  <c r="DS25" i="153"/>
  <c r="DR25" i="153"/>
  <c r="DQ25" i="153"/>
  <c r="DP25" i="153"/>
  <c r="DT24" i="153"/>
  <c r="DS24" i="153"/>
  <c r="DR24" i="153"/>
  <c r="DQ24" i="153"/>
  <c r="DP24" i="153"/>
  <c r="DT18" i="153"/>
  <c r="DS18" i="153"/>
  <c r="DR18" i="153"/>
  <c r="DQ18" i="153"/>
  <c r="DP18" i="153"/>
  <c r="DT17" i="153"/>
  <c r="DS17" i="153"/>
  <c r="DR17" i="153"/>
  <c r="DQ17" i="153"/>
  <c r="DP17" i="153"/>
  <c r="DT15" i="153"/>
  <c r="DS15" i="153"/>
  <c r="DR15" i="153"/>
  <c r="DQ15" i="153"/>
  <c r="DP15" i="153"/>
  <c r="DT14" i="153"/>
  <c r="DS14" i="153"/>
  <c r="DR14" i="153"/>
  <c r="DQ14" i="153"/>
  <c r="DP14" i="153"/>
  <c r="DT9" i="153"/>
  <c r="DS9" i="153"/>
  <c r="DR9" i="153"/>
  <c r="DQ9" i="153"/>
  <c r="DP9" i="153"/>
  <c r="DT8" i="153"/>
  <c r="DS8" i="153"/>
  <c r="DR8" i="153"/>
  <c r="DQ8" i="153"/>
  <c r="DP8" i="153"/>
  <c r="DT6" i="153"/>
  <c r="DS6" i="153"/>
  <c r="DR6" i="153"/>
  <c r="DQ6" i="153"/>
  <c r="DP6" i="153"/>
  <c r="DT5" i="153"/>
  <c r="DS5" i="153"/>
  <c r="DR5" i="153"/>
  <c r="DQ5" i="153"/>
  <c r="DP5" i="153"/>
  <c r="DT3" i="153"/>
  <c r="DS3" i="153"/>
  <c r="DR3" i="153"/>
  <c r="DQ3" i="153"/>
  <c r="DP3" i="153"/>
  <c r="DT2" i="153"/>
  <c r="DS2" i="153"/>
  <c r="DR2" i="153"/>
  <c r="DQ2" i="153"/>
  <c r="DP2" i="153"/>
  <c r="DQ20" i="153" l="1"/>
  <c r="DT21" i="153"/>
  <c r="DQ21" i="153"/>
  <c r="DR20" i="153"/>
  <c r="LY3" i="175"/>
  <c r="LV8" i="175"/>
  <c r="MB8" i="175"/>
  <c r="MH8" i="175"/>
  <c r="ME8" i="175"/>
  <c r="LT13" i="175"/>
  <c r="DS20" i="153"/>
  <c r="MB3" i="175"/>
  <c r="LY4" i="175"/>
  <c r="ME4" i="175"/>
  <c r="MB5" i="175"/>
  <c r="MH5" i="175"/>
  <c r="LY6" i="175"/>
  <c r="ME6" i="175"/>
  <c r="LY8" i="175"/>
  <c r="DS7" i="153"/>
  <c r="DS16" i="153"/>
  <c r="ME3" i="175"/>
  <c r="MB4" i="175"/>
  <c r="MH4" i="175"/>
  <c r="ME5" i="175"/>
  <c r="LV6" i="175"/>
  <c r="MB6" i="175"/>
  <c r="MH6" i="175"/>
  <c r="LY12" i="175"/>
  <c r="DP20" i="153"/>
  <c r="DT20" i="153"/>
  <c r="DS21" i="153"/>
  <c r="DQ7" i="153"/>
  <c r="DS10" i="153"/>
  <c r="DQ16" i="153"/>
  <c r="DS19" i="153"/>
  <c r="DQ29" i="153"/>
  <c r="MH12" i="175"/>
  <c r="DT10" i="153"/>
  <c r="DR16" i="153"/>
  <c r="DT19" i="153"/>
  <c r="DR26" i="153"/>
  <c r="DR29" i="153"/>
  <c r="DT32" i="153"/>
  <c r="DU27" i="153"/>
  <c r="DS29" i="153"/>
  <c r="DQ32" i="153"/>
  <c r="DP7" i="153"/>
  <c r="DP16" i="153"/>
  <c r="DS32" i="153"/>
  <c r="MF13" i="175"/>
  <c r="MH3" i="175"/>
  <c r="MD13" i="175"/>
  <c r="ME12" i="175"/>
  <c r="MA13" i="175"/>
  <c r="MB12" i="175"/>
  <c r="MJ4" i="175"/>
  <c r="LW13" i="175"/>
  <c r="LX13" i="175"/>
  <c r="MI5" i="175"/>
  <c r="MJ8" i="175"/>
  <c r="LY5" i="175"/>
  <c r="LV4" i="175"/>
  <c r="MJ3" i="175"/>
  <c r="MJ12" i="175"/>
  <c r="MJ6" i="175"/>
  <c r="LV5" i="175"/>
  <c r="MJ5" i="175"/>
  <c r="MI6" i="175"/>
  <c r="LV12" i="175"/>
  <c r="LU13" i="175"/>
  <c r="MC13" i="175"/>
  <c r="MG13" i="175"/>
  <c r="LV3" i="175"/>
  <c r="MI3" i="175"/>
  <c r="MI12" i="175"/>
  <c r="LZ13" i="175"/>
  <c r="MI8" i="175"/>
  <c r="MI4" i="175"/>
  <c r="DT7" i="153"/>
  <c r="DT16" i="153"/>
  <c r="DT26" i="153"/>
  <c r="DT29" i="153"/>
  <c r="DU5" i="153"/>
  <c r="DU14" i="153"/>
  <c r="DU24" i="153"/>
  <c r="DS26" i="153"/>
  <c r="DR10" i="153"/>
  <c r="DR19" i="153"/>
  <c r="DR32" i="153"/>
  <c r="DR4" i="153"/>
  <c r="DR7" i="153"/>
  <c r="DQ26" i="153"/>
  <c r="DU25" i="153"/>
  <c r="DU28" i="153"/>
  <c r="DU8" i="153"/>
  <c r="DU17" i="153"/>
  <c r="DU30" i="153"/>
  <c r="DU3" i="153"/>
  <c r="DQ10" i="153"/>
  <c r="DU9" i="153"/>
  <c r="DQ19" i="153"/>
  <c r="DU18" i="153"/>
  <c r="DP32" i="153"/>
  <c r="DP4" i="153"/>
  <c r="DT4" i="153"/>
  <c r="DP10" i="153"/>
  <c r="DP19" i="153"/>
  <c r="DP21" i="153"/>
  <c r="DP26" i="153"/>
  <c r="DP29" i="153"/>
  <c r="DU2" i="153"/>
  <c r="DQ4" i="153"/>
  <c r="DU6" i="153"/>
  <c r="DU15" i="153"/>
  <c r="DU31" i="153"/>
  <c r="DR21" i="153"/>
  <c r="DS4" i="153"/>
  <c r="AA3148" i="5"/>
  <c r="AA3149" i="5"/>
  <c r="AA3150" i="5"/>
  <c r="AA3151" i="5"/>
  <c r="AA3152" i="5"/>
  <c r="AA3153" i="5"/>
  <c r="AA3154" i="5"/>
  <c r="AA3155" i="5"/>
  <c r="AA3156" i="5"/>
  <c r="AA3157" i="5"/>
  <c r="AA3158" i="5"/>
  <c r="AA3159" i="5"/>
  <c r="AA3160" i="5"/>
  <c r="AA3161" i="5"/>
  <c r="AA3162" i="5"/>
  <c r="AA3163" i="5"/>
  <c r="AA3164" i="5"/>
  <c r="AA3165" i="5"/>
  <c r="AA3166" i="5"/>
  <c r="AA3167" i="5"/>
  <c r="AA3168" i="5"/>
  <c r="AA3169" i="5"/>
  <c r="AA3170" i="5"/>
  <c r="AA3171" i="5"/>
  <c r="AA3172" i="5"/>
  <c r="AA3173" i="5"/>
  <c r="AA3174" i="5"/>
  <c r="AA3175" i="5"/>
  <c r="AA3176" i="5"/>
  <c r="AA3177" i="5"/>
  <c r="AA3178" i="5"/>
  <c r="AA3179" i="5"/>
  <c r="AA3180" i="5"/>
  <c r="AA3181" i="5"/>
  <c r="AA3182" i="5"/>
  <c r="AA3183" i="5"/>
  <c r="AA3184" i="5"/>
  <c r="AA3185" i="5"/>
  <c r="AA3186" i="5"/>
  <c r="AA3187" i="5"/>
  <c r="AA3188" i="5"/>
  <c r="AA3189" i="5"/>
  <c r="AA3190" i="5"/>
  <c r="AA3191" i="5"/>
  <c r="AA3192" i="5"/>
  <c r="AA3193" i="5"/>
  <c r="AA3194" i="5"/>
  <c r="AA3195" i="5"/>
  <c r="AA3196" i="5"/>
  <c r="AA3197" i="5"/>
  <c r="AA3198" i="5"/>
  <c r="AA3199" i="5"/>
  <c r="AA3200" i="5"/>
  <c r="AA3201" i="5"/>
  <c r="AA3202" i="5"/>
  <c r="AA3203" i="5"/>
  <c r="AA3204" i="5"/>
  <c r="AA3205" i="5"/>
  <c r="AA3206" i="5"/>
  <c r="AA3207" i="5"/>
  <c r="AA3208" i="5"/>
  <c r="AA3209" i="5"/>
  <c r="AA3210" i="5"/>
  <c r="AA3211" i="5"/>
  <c r="AA3212" i="5"/>
  <c r="AA3213" i="5"/>
  <c r="AA3214" i="5"/>
  <c r="AA3215" i="5"/>
  <c r="AA3216" i="5"/>
  <c r="AA3217" i="5"/>
  <c r="AA3218" i="5"/>
  <c r="AA3219" i="5"/>
  <c r="AA3220" i="5"/>
  <c r="AA3221" i="5"/>
  <c r="AA3222" i="5"/>
  <c r="AA3223" i="5"/>
  <c r="AA3224" i="5"/>
  <c r="AA3225" i="5"/>
  <c r="AA3226" i="5"/>
  <c r="AA3227" i="5"/>
  <c r="AA3228" i="5"/>
  <c r="AA3229" i="5"/>
  <c r="AA3230" i="5"/>
  <c r="AA3231" i="5"/>
  <c r="AA3232" i="5"/>
  <c r="AA3233" i="5"/>
  <c r="AA3234" i="5"/>
  <c r="AA3235" i="5"/>
  <c r="AA3236" i="5"/>
  <c r="AA3237" i="5"/>
  <c r="AA3238" i="5"/>
  <c r="AA3239" i="5"/>
  <c r="AA3240" i="5"/>
  <c r="AA3241" i="5"/>
  <c r="AA3242" i="5"/>
  <c r="AA3243" i="5"/>
  <c r="AA3244" i="5"/>
  <c r="AA3245" i="5"/>
  <c r="AA3246" i="5"/>
  <c r="J3151" i="5"/>
  <c r="R3151" i="5"/>
  <c r="J3152" i="5"/>
  <c r="R3152" i="5"/>
  <c r="J3153" i="5"/>
  <c r="R3153" i="5"/>
  <c r="J3154" i="5"/>
  <c r="R3154" i="5"/>
  <c r="J3155" i="5"/>
  <c r="R3155" i="5"/>
  <c r="J3156" i="5"/>
  <c r="R3156" i="5"/>
  <c r="J3157" i="5"/>
  <c r="R3157" i="5"/>
  <c r="J3158" i="5"/>
  <c r="R3158" i="5"/>
  <c r="J3159" i="5"/>
  <c r="R3159" i="5"/>
  <c r="J3160" i="5"/>
  <c r="R3160" i="5"/>
  <c r="J3161" i="5"/>
  <c r="R3161" i="5"/>
  <c r="J3162" i="5"/>
  <c r="R3162" i="5"/>
  <c r="J3163" i="5"/>
  <c r="R3163" i="5"/>
  <c r="J3164" i="5"/>
  <c r="R3164" i="5"/>
  <c r="J3165" i="5"/>
  <c r="R3165" i="5"/>
  <c r="J3166" i="5"/>
  <c r="R3166" i="5"/>
  <c r="J3167" i="5"/>
  <c r="R3167" i="5"/>
  <c r="J3168" i="5"/>
  <c r="R3168" i="5"/>
  <c r="J3169" i="5"/>
  <c r="R3169" i="5"/>
  <c r="J3170" i="5"/>
  <c r="R3170" i="5"/>
  <c r="J3171" i="5"/>
  <c r="R3171" i="5"/>
  <c r="J3172" i="5"/>
  <c r="R3172" i="5"/>
  <c r="J3173" i="5"/>
  <c r="R3173" i="5"/>
  <c r="J3174" i="5"/>
  <c r="R3174" i="5"/>
  <c r="J3175" i="5"/>
  <c r="R3175" i="5"/>
  <c r="J3176" i="5"/>
  <c r="R3176" i="5"/>
  <c r="J3177" i="5"/>
  <c r="R3177" i="5"/>
  <c r="J3178" i="5"/>
  <c r="R3178" i="5"/>
  <c r="J3179" i="5"/>
  <c r="R3179" i="5"/>
  <c r="J3180" i="5"/>
  <c r="R3180" i="5"/>
  <c r="J3181" i="5"/>
  <c r="R3181" i="5"/>
  <c r="J3182" i="5"/>
  <c r="R3182" i="5"/>
  <c r="J3183" i="5"/>
  <c r="R3183" i="5"/>
  <c r="J3184" i="5"/>
  <c r="R3184" i="5"/>
  <c r="J3185" i="5"/>
  <c r="R3185" i="5"/>
  <c r="J3186" i="5"/>
  <c r="R3186" i="5"/>
  <c r="J3187" i="5"/>
  <c r="R3187" i="5"/>
  <c r="J3188" i="5"/>
  <c r="R3188" i="5"/>
  <c r="J3189" i="5"/>
  <c r="R3189" i="5"/>
  <c r="J3190" i="5"/>
  <c r="R3190" i="5"/>
  <c r="J3191" i="5"/>
  <c r="R3191" i="5"/>
  <c r="J3192" i="5"/>
  <c r="R3192" i="5"/>
  <c r="J3193" i="5"/>
  <c r="R3193" i="5"/>
  <c r="J3194" i="5"/>
  <c r="R3194" i="5"/>
  <c r="J3195" i="5"/>
  <c r="R3195" i="5"/>
  <c r="J3196" i="5"/>
  <c r="R3196" i="5"/>
  <c r="J3197" i="5"/>
  <c r="R3197" i="5"/>
  <c r="J3198" i="5"/>
  <c r="R3198" i="5"/>
  <c r="J3199" i="5"/>
  <c r="R3199" i="5"/>
  <c r="J3200" i="5"/>
  <c r="R3200" i="5"/>
  <c r="J3201" i="5"/>
  <c r="R3201" i="5"/>
  <c r="J3202" i="5"/>
  <c r="R3202" i="5"/>
  <c r="J3203" i="5"/>
  <c r="R3203" i="5"/>
  <c r="J3204" i="5"/>
  <c r="R3204" i="5"/>
  <c r="J3205" i="5"/>
  <c r="R3205" i="5"/>
  <c r="J3206" i="5"/>
  <c r="R3206" i="5"/>
  <c r="J3207" i="5"/>
  <c r="R3207" i="5"/>
  <c r="J3208" i="5"/>
  <c r="R3208" i="5"/>
  <c r="J3209" i="5"/>
  <c r="R3209" i="5"/>
  <c r="J3210" i="5"/>
  <c r="R3210" i="5"/>
  <c r="J3211" i="5"/>
  <c r="R3211" i="5"/>
  <c r="J3212" i="5"/>
  <c r="R3212" i="5"/>
  <c r="J3213" i="5"/>
  <c r="R3213" i="5"/>
  <c r="J3214" i="5"/>
  <c r="R3214" i="5"/>
  <c r="J3215" i="5"/>
  <c r="R3215" i="5"/>
  <c r="J3216" i="5"/>
  <c r="R3216" i="5"/>
  <c r="J3217" i="5"/>
  <c r="R3217" i="5"/>
  <c r="J3218" i="5"/>
  <c r="R3218" i="5"/>
  <c r="J3219" i="5"/>
  <c r="R3219" i="5"/>
  <c r="J3220" i="5"/>
  <c r="R3220" i="5"/>
  <c r="J3221" i="5"/>
  <c r="R3221" i="5"/>
  <c r="J3222" i="5"/>
  <c r="R3222" i="5"/>
  <c r="J3223" i="5"/>
  <c r="R3223" i="5"/>
  <c r="J3224" i="5"/>
  <c r="R3224" i="5"/>
  <c r="J3225" i="5"/>
  <c r="R3225" i="5"/>
  <c r="J3226" i="5"/>
  <c r="R3226" i="5"/>
  <c r="J3227" i="5"/>
  <c r="R3227" i="5"/>
  <c r="J3228" i="5"/>
  <c r="R3228" i="5"/>
  <c r="J3229" i="5"/>
  <c r="R3229" i="5"/>
  <c r="J3230" i="5"/>
  <c r="R3230" i="5"/>
  <c r="J3231" i="5"/>
  <c r="R3231" i="5"/>
  <c r="J3232" i="5"/>
  <c r="R3232" i="5"/>
  <c r="J3233" i="5"/>
  <c r="R3233" i="5"/>
  <c r="J3234" i="5"/>
  <c r="R3234" i="5"/>
  <c r="J3235" i="5"/>
  <c r="R3235" i="5"/>
  <c r="J3236" i="5"/>
  <c r="R3236" i="5"/>
  <c r="J3237" i="5"/>
  <c r="R3237" i="5"/>
  <c r="J3238" i="5"/>
  <c r="R3238" i="5"/>
  <c r="J3239" i="5"/>
  <c r="R3239" i="5"/>
  <c r="J3240" i="5"/>
  <c r="R3240" i="5"/>
  <c r="J3241" i="5"/>
  <c r="R3241" i="5"/>
  <c r="J3242" i="5"/>
  <c r="R3242" i="5"/>
  <c r="J3243" i="5"/>
  <c r="R3243" i="5"/>
  <c r="J3244" i="5"/>
  <c r="R3244" i="5"/>
  <c r="J3245" i="5"/>
  <c r="R3245" i="5"/>
  <c r="J3246" i="5"/>
  <c r="R3246" i="5"/>
  <c r="R3150" i="5"/>
  <c r="R3149" i="5"/>
  <c r="R3148" i="5"/>
  <c r="J3150" i="5"/>
  <c r="J3149" i="5"/>
  <c r="J3148" i="5"/>
  <c r="ME13" i="175" l="1"/>
  <c r="C159" i="169"/>
  <c r="D159" i="169" s="1"/>
  <c r="E159" i="169" s="1"/>
  <c r="F159" i="169" s="1"/>
  <c r="DR22" i="153"/>
  <c r="DQ22" i="153"/>
  <c r="DS22" i="153"/>
  <c r="DU20" i="153"/>
  <c r="LU14" i="175"/>
  <c r="DT22" i="153"/>
  <c r="MB13" i="175"/>
  <c r="MG14" i="175"/>
  <c r="DU7" i="153"/>
  <c r="DU29" i="153"/>
  <c r="LX14" i="175"/>
  <c r="DU16" i="153"/>
  <c r="MD14" i="175"/>
  <c r="MJ13" i="175"/>
  <c r="LY13" i="175"/>
  <c r="MH13" i="175"/>
  <c r="MJ14" i="175"/>
  <c r="MI13" i="175"/>
  <c r="MA14" i="175"/>
  <c r="LV13" i="175"/>
  <c r="DU26" i="153"/>
  <c r="DU19" i="153"/>
  <c r="DU10" i="153"/>
  <c r="DU4" i="153"/>
  <c r="DU32" i="153"/>
  <c r="DP22" i="153"/>
  <c r="DU21" i="153"/>
  <c r="AA3147" i="5"/>
  <c r="R3147" i="5"/>
  <c r="J3147" i="5"/>
  <c r="R3146" i="5"/>
  <c r="AA3146" i="5"/>
  <c r="B9" i="175" s="1"/>
  <c r="J3146" i="5"/>
  <c r="C9" i="175" l="1"/>
  <c r="DU22" i="153"/>
  <c r="B178" i="169"/>
  <c r="C178" i="169"/>
  <c r="B179" i="169"/>
  <c r="C179" i="169"/>
  <c r="B180" i="169"/>
  <c r="C180" i="169"/>
  <c r="B181" i="169"/>
  <c r="C181" i="169"/>
  <c r="B182" i="169"/>
  <c r="C182" i="169"/>
  <c r="B183" i="169"/>
  <c r="C183" i="169"/>
  <c r="B184" i="169"/>
  <c r="C184" i="169"/>
  <c r="B175" i="169"/>
  <c r="C175" i="169"/>
  <c r="B176" i="169"/>
  <c r="C176" i="169"/>
  <c r="B177" i="169"/>
  <c r="C177" i="169"/>
  <c r="B164" i="169"/>
  <c r="C164" i="169"/>
  <c r="B165" i="169"/>
  <c r="C165" i="169"/>
  <c r="B166" i="169"/>
  <c r="C166" i="169"/>
  <c r="B167" i="169"/>
  <c r="C167" i="169"/>
  <c r="B168" i="169"/>
  <c r="C168" i="169"/>
  <c r="B169" i="169"/>
  <c r="C169" i="169"/>
  <c r="B170" i="169"/>
  <c r="C170" i="169"/>
  <c r="B171" i="169"/>
  <c r="C171" i="169"/>
  <c r="B172" i="169"/>
  <c r="C172" i="169"/>
  <c r="B173" i="169"/>
  <c r="C173" i="169"/>
  <c r="B174" i="169"/>
  <c r="C174" i="169"/>
  <c r="B153" i="169"/>
  <c r="B154" i="169"/>
  <c r="B155" i="169"/>
  <c r="B156" i="169"/>
  <c r="B157" i="169"/>
  <c r="C157" i="169"/>
  <c r="B158" i="169"/>
  <c r="C158" i="169"/>
  <c r="B160" i="169"/>
  <c r="C160" i="169"/>
  <c r="B161" i="169"/>
  <c r="C161" i="169"/>
  <c r="B162" i="169"/>
  <c r="C162" i="169"/>
  <c r="B163" i="169"/>
  <c r="C163" i="169"/>
  <c r="D179" i="169" l="1"/>
  <c r="E179" i="169" s="1"/>
  <c r="F179" i="169" s="1"/>
  <c r="D180" i="169"/>
  <c r="E180" i="169" s="1"/>
  <c r="F180" i="169" s="1"/>
  <c r="D178" i="169"/>
  <c r="E178" i="169" s="1"/>
  <c r="F178" i="169" s="1"/>
  <c r="D184" i="169"/>
  <c r="E184" i="169" s="1"/>
  <c r="F184" i="169" s="1"/>
  <c r="D182" i="169"/>
  <c r="E182" i="169" s="1"/>
  <c r="F182" i="169" s="1"/>
  <c r="D164" i="169"/>
  <c r="E164" i="169" s="1"/>
  <c r="F164" i="169" s="1"/>
  <c r="D172" i="169"/>
  <c r="E172" i="169" s="1"/>
  <c r="F172" i="169" s="1"/>
  <c r="D170" i="169"/>
  <c r="E170" i="169" s="1"/>
  <c r="F170" i="169" s="1"/>
  <c r="D173" i="169"/>
  <c r="E173" i="169" s="1"/>
  <c r="F173" i="169" s="1"/>
  <c r="D171" i="169"/>
  <c r="E171" i="169" s="1"/>
  <c r="F171" i="169" s="1"/>
  <c r="D165" i="169"/>
  <c r="E165" i="169" s="1"/>
  <c r="F165" i="169" s="1"/>
  <c r="D177" i="169"/>
  <c r="E177" i="169" s="1"/>
  <c r="F177" i="169" s="1"/>
  <c r="D175" i="169"/>
  <c r="E175" i="169" s="1"/>
  <c r="F175" i="169" s="1"/>
  <c r="D183" i="169"/>
  <c r="E183" i="169" s="1"/>
  <c r="F183" i="169" s="1"/>
  <c r="D181" i="169"/>
  <c r="E181" i="169" s="1"/>
  <c r="F181" i="169" s="1"/>
  <c r="D176" i="169"/>
  <c r="E176" i="169" s="1"/>
  <c r="F176" i="169" s="1"/>
  <c r="D158" i="169"/>
  <c r="E158" i="169" s="1"/>
  <c r="F158" i="169" s="1"/>
  <c r="D162" i="169"/>
  <c r="E162" i="169" s="1"/>
  <c r="F162" i="169" s="1"/>
  <c r="D160" i="169"/>
  <c r="E160" i="169" s="1"/>
  <c r="F160" i="169" s="1"/>
  <c r="D169" i="169"/>
  <c r="E169" i="169" s="1"/>
  <c r="F169" i="169" s="1"/>
  <c r="D168" i="169"/>
  <c r="E168" i="169" s="1"/>
  <c r="F168" i="169" s="1"/>
  <c r="D166" i="169"/>
  <c r="E166" i="169" s="1"/>
  <c r="F166" i="169" s="1"/>
  <c r="D163" i="169"/>
  <c r="E163" i="169" s="1"/>
  <c r="F163" i="169" s="1"/>
  <c r="D174" i="169"/>
  <c r="E174" i="169" s="1"/>
  <c r="F174" i="169" s="1"/>
  <c r="D167" i="169"/>
  <c r="E167" i="169" s="1"/>
  <c r="F167" i="169" s="1"/>
  <c r="D157" i="169"/>
  <c r="E157" i="169" s="1"/>
  <c r="F157" i="169" s="1"/>
  <c r="D161" i="169"/>
  <c r="E161" i="169" s="1"/>
  <c r="F161" i="169" s="1"/>
  <c r="LP8" i="175"/>
  <c r="LO8" i="175"/>
  <c r="LM8" i="175"/>
  <c r="LL8" i="175"/>
  <c r="LJ8" i="175"/>
  <c r="LI8" i="175"/>
  <c r="LG8" i="175"/>
  <c r="LF8" i="175"/>
  <c r="LD8" i="175"/>
  <c r="LC8" i="175"/>
  <c r="LP12" i="175"/>
  <c r="LO12" i="175"/>
  <c r="LM12" i="175"/>
  <c r="LL12" i="175"/>
  <c r="LJ12" i="175"/>
  <c r="LI12" i="175"/>
  <c r="LG12" i="175"/>
  <c r="LF12" i="175"/>
  <c r="LD12" i="175"/>
  <c r="LC12" i="175"/>
  <c r="LP6" i="175"/>
  <c r="LO6" i="175"/>
  <c r="LM6" i="175"/>
  <c r="LL6" i="175"/>
  <c r="LJ6" i="175"/>
  <c r="LI6" i="175"/>
  <c r="LG6" i="175"/>
  <c r="LF6" i="175"/>
  <c r="LD6" i="175"/>
  <c r="LC6" i="175"/>
  <c r="LP5" i="175"/>
  <c r="LO5" i="175"/>
  <c r="LM5" i="175"/>
  <c r="LL5" i="175"/>
  <c r="LJ5" i="175"/>
  <c r="LI5" i="175"/>
  <c r="LG5" i="175"/>
  <c r="LF5" i="175"/>
  <c r="LD5" i="175"/>
  <c r="LC5" i="175"/>
  <c r="LP4" i="175"/>
  <c r="LO4" i="175"/>
  <c r="LM4" i="175"/>
  <c r="LL4" i="175"/>
  <c r="LJ4" i="175"/>
  <c r="LI4" i="175"/>
  <c r="LG4" i="175"/>
  <c r="LF4" i="175"/>
  <c r="LD4" i="175"/>
  <c r="LC4" i="175"/>
  <c r="LP3" i="175"/>
  <c r="LO3" i="175"/>
  <c r="LM3" i="175"/>
  <c r="LL3" i="175"/>
  <c r="LJ3" i="175"/>
  <c r="LI3" i="175"/>
  <c r="LG3" i="175"/>
  <c r="LF3" i="175"/>
  <c r="LD3" i="175"/>
  <c r="LC3" i="175"/>
  <c r="LF13" i="175" l="1"/>
  <c r="LR5" i="175"/>
  <c r="LN3" i="175"/>
  <c r="LH5" i="175"/>
  <c r="LN5" i="175"/>
  <c r="LK6" i="175"/>
  <c r="LQ6" i="175"/>
  <c r="LH12" i="175"/>
  <c r="LK3" i="175"/>
  <c r="LO13" i="175"/>
  <c r="LE5" i="175"/>
  <c r="LK5" i="175"/>
  <c r="LQ5" i="175"/>
  <c r="LH6" i="175"/>
  <c r="LN6" i="175"/>
  <c r="LE12" i="175"/>
  <c r="LK12" i="175"/>
  <c r="LH8" i="175"/>
  <c r="LN8" i="175"/>
  <c r="LP13" i="175"/>
  <c r="LQ8" i="175"/>
  <c r="LQ4" i="175"/>
  <c r="LQ12" i="175"/>
  <c r="LN4" i="175"/>
  <c r="LN12" i="175"/>
  <c r="LM13" i="175"/>
  <c r="LK8" i="175"/>
  <c r="LJ13" i="175"/>
  <c r="LK4" i="175"/>
  <c r="LH4" i="175"/>
  <c r="LG13" i="175"/>
  <c r="LS4" i="175"/>
  <c r="LS3" i="175"/>
  <c r="LE6" i="175"/>
  <c r="LS12" i="175"/>
  <c r="LC13" i="175"/>
  <c r="LE4" i="175"/>
  <c r="LS8" i="175"/>
  <c r="LH3" i="175"/>
  <c r="LQ3" i="175"/>
  <c r="LS5" i="175"/>
  <c r="LR6" i="175"/>
  <c r="LD13" i="175"/>
  <c r="LL13" i="175"/>
  <c r="LE8" i="175"/>
  <c r="LE3" i="175"/>
  <c r="LR3" i="175"/>
  <c r="LS6" i="175"/>
  <c r="LR12" i="175"/>
  <c r="LI13" i="175"/>
  <c r="LR8" i="175"/>
  <c r="LR4" i="175"/>
  <c r="C67" i="149"/>
  <c r="LG14" i="175" l="1"/>
  <c r="LN13" i="175"/>
  <c r="LD14" i="175"/>
  <c r="LK13" i="175"/>
  <c r="LP14" i="175"/>
  <c r="LQ13" i="175"/>
  <c r="LH13" i="175"/>
  <c r="LS14" i="175"/>
  <c r="LS13" i="175"/>
  <c r="LM14" i="175"/>
  <c r="LR13" i="175"/>
  <c r="LJ14" i="175"/>
  <c r="LE13" i="175"/>
  <c r="R3088" i="5"/>
  <c r="AA3088" i="5"/>
  <c r="R3089" i="5"/>
  <c r="AA3089" i="5"/>
  <c r="R3090" i="5"/>
  <c r="AA3090" i="5"/>
  <c r="R3091" i="5"/>
  <c r="AA3091" i="5"/>
  <c r="R3092" i="5"/>
  <c r="AA3092" i="5"/>
  <c r="R3093" i="5"/>
  <c r="AA3093" i="5"/>
  <c r="R3094" i="5"/>
  <c r="AA3094" i="5"/>
  <c r="R3095" i="5"/>
  <c r="AA3095" i="5"/>
  <c r="R3096" i="5"/>
  <c r="AA3096" i="5"/>
  <c r="R3097" i="5"/>
  <c r="AA3097" i="5"/>
  <c r="R3098" i="5"/>
  <c r="AA3098" i="5"/>
  <c r="R3099" i="5"/>
  <c r="AA3099" i="5"/>
  <c r="R3100" i="5"/>
  <c r="AA3100" i="5"/>
  <c r="R3101" i="5"/>
  <c r="AA3101" i="5"/>
  <c r="R3102" i="5"/>
  <c r="AA3102" i="5"/>
  <c r="R3103" i="5"/>
  <c r="AA3103" i="5"/>
  <c r="R3104" i="5"/>
  <c r="AA3104" i="5"/>
  <c r="R3105" i="5"/>
  <c r="AA3105" i="5"/>
  <c r="R3106" i="5"/>
  <c r="AA3106" i="5"/>
  <c r="R3107" i="5"/>
  <c r="AA3107" i="5"/>
  <c r="R3108" i="5"/>
  <c r="AA3108" i="5"/>
  <c r="R3109" i="5"/>
  <c r="AA3109" i="5"/>
  <c r="R3110" i="5"/>
  <c r="AA3110" i="5"/>
  <c r="R3111" i="5"/>
  <c r="AA3111" i="5"/>
  <c r="R3112" i="5"/>
  <c r="AA3112" i="5"/>
  <c r="R3113" i="5"/>
  <c r="AA3113" i="5"/>
  <c r="R3114" i="5"/>
  <c r="AA3114" i="5"/>
  <c r="R3115" i="5"/>
  <c r="AA3115" i="5"/>
  <c r="R3116" i="5"/>
  <c r="AA3116" i="5"/>
  <c r="R3117" i="5"/>
  <c r="AA3117" i="5"/>
  <c r="R3118" i="5"/>
  <c r="AA3118" i="5"/>
  <c r="R3119" i="5"/>
  <c r="AA3119" i="5"/>
  <c r="R3120" i="5"/>
  <c r="AA3120" i="5"/>
  <c r="R3121" i="5"/>
  <c r="AA3121" i="5"/>
  <c r="R3122" i="5"/>
  <c r="AA3122" i="5"/>
  <c r="R3123" i="5"/>
  <c r="AA3123" i="5"/>
  <c r="R3124" i="5"/>
  <c r="AA3124" i="5"/>
  <c r="R3125" i="5"/>
  <c r="AA3125" i="5"/>
  <c r="R3126" i="5"/>
  <c r="AA3126" i="5"/>
  <c r="R3127" i="5"/>
  <c r="AA3127" i="5"/>
  <c r="R3128" i="5"/>
  <c r="AA3128" i="5"/>
  <c r="R3129" i="5"/>
  <c r="AA3129" i="5"/>
  <c r="R3130" i="5"/>
  <c r="AA3130" i="5"/>
  <c r="R3131" i="5"/>
  <c r="AA3131" i="5"/>
  <c r="R3132" i="5"/>
  <c r="AA3132" i="5"/>
  <c r="R3133" i="5"/>
  <c r="AA3133" i="5"/>
  <c r="R3134" i="5"/>
  <c r="AA3134" i="5"/>
  <c r="R3135" i="5"/>
  <c r="AA3135" i="5"/>
  <c r="R3136" i="5"/>
  <c r="AA3136" i="5"/>
  <c r="R3137" i="5"/>
  <c r="AA3137" i="5"/>
  <c r="C156" i="169" s="1"/>
  <c r="D156" i="169" s="1"/>
  <c r="E156" i="169" s="1"/>
  <c r="F156" i="169" s="1"/>
  <c r="R3138" i="5"/>
  <c r="AA3138" i="5"/>
  <c r="R3139" i="5"/>
  <c r="AA3139" i="5"/>
  <c r="R3140" i="5"/>
  <c r="AA3140" i="5"/>
  <c r="R3141" i="5"/>
  <c r="AA3141" i="5"/>
  <c r="R3142" i="5"/>
  <c r="AA3142" i="5"/>
  <c r="R3143" i="5"/>
  <c r="AA3143" i="5"/>
  <c r="R3144" i="5"/>
  <c r="AA3144" i="5"/>
  <c r="R3145" i="5"/>
  <c r="AA3145" i="5"/>
  <c r="C155" i="169" s="1"/>
  <c r="D155" i="169" s="1"/>
  <c r="E155" i="169" s="1"/>
  <c r="F155" i="169" s="1"/>
  <c r="J3088" i="5"/>
  <c r="J3089" i="5"/>
  <c r="J3090" i="5"/>
  <c r="J3091" i="5"/>
  <c r="J3092" i="5"/>
  <c r="J3093" i="5"/>
  <c r="J3094" i="5"/>
  <c r="J3095" i="5"/>
  <c r="J3096" i="5"/>
  <c r="J3097" i="5"/>
  <c r="J3098" i="5"/>
  <c r="J3099" i="5"/>
  <c r="J3100" i="5"/>
  <c r="J3101" i="5"/>
  <c r="J3102" i="5"/>
  <c r="J3103" i="5"/>
  <c r="J3104" i="5"/>
  <c r="J3105" i="5"/>
  <c r="J3106" i="5"/>
  <c r="J3107" i="5"/>
  <c r="J3108" i="5"/>
  <c r="J3109" i="5"/>
  <c r="J3110" i="5"/>
  <c r="J3111" i="5"/>
  <c r="J3112" i="5"/>
  <c r="J3113" i="5"/>
  <c r="J3114" i="5"/>
  <c r="J3115" i="5"/>
  <c r="J3116" i="5"/>
  <c r="J3117" i="5"/>
  <c r="J3118" i="5"/>
  <c r="J3119" i="5"/>
  <c r="J3120" i="5"/>
  <c r="J3121" i="5"/>
  <c r="J3122" i="5"/>
  <c r="J3123" i="5"/>
  <c r="J3124" i="5"/>
  <c r="J3125" i="5"/>
  <c r="J3126" i="5"/>
  <c r="J3127" i="5"/>
  <c r="J3128" i="5"/>
  <c r="J3129" i="5"/>
  <c r="J3130" i="5"/>
  <c r="J3131" i="5"/>
  <c r="J3132" i="5"/>
  <c r="J3133" i="5"/>
  <c r="J3134" i="5"/>
  <c r="J3135" i="5"/>
  <c r="J3136" i="5"/>
  <c r="J3137" i="5"/>
  <c r="J3138" i="5"/>
  <c r="J3139" i="5"/>
  <c r="J3140" i="5"/>
  <c r="J3141" i="5"/>
  <c r="J3142" i="5"/>
  <c r="J3143" i="5"/>
  <c r="J3144" i="5"/>
  <c r="J3145" i="5"/>
  <c r="C153" i="169" l="1"/>
  <c r="D153" i="169" s="1"/>
  <c r="E153" i="169" s="1"/>
  <c r="F153" i="169" s="1"/>
  <c r="C154" i="169"/>
  <c r="D154" i="169" s="1"/>
  <c r="E154" i="169" s="1"/>
  <c r="F154" i="169" s="1"/>
  <c r="E37" i="149"/>
  <c r="E36" i="149"/>
  <c r="E34" i="149"/>
  <c r="E35" i="149"/>
  <c r="DN31" i="153" l="1"/>
  <c r="DM31" i="153"/>
  <c r="DL31" i="153"/>
  <c r="DK31" i="153"/>
  <c r="DJ31" i="153"/>
  <c r="DN30" i="153"/>
  <c r="DM30" i="153"/>
  <c r="DL30" i="153"/>
  <c r="DK30" i="153"/>
  <c r="DJ30" i="153"/>
  <c r="DN28" i="153"/>
  <c r="DM28" i="153"/>
  <c r="DL28" i="153"/>
  <c r="DK28" i="153"/>
  <c r="DJ28" i="153"/>
  <c r="DN27" i="153"/>
  <c r="DM27" i="153"/>
  <c r="DL27" i="153"/>
  <c r="DK27" i="153"/>
  <c r="DJ27" i="153"/>
  <c r="DN25" i="153"/>
  <c r="DM25" i="153"/>
  <c r="DL25" i="153"/>
  <c r="DK25" i="153"/>
  <c r="DJ25" i="153"/>
  <c r="DN24" i="153"/>
  <c r="DM24" i="153"/>
  <c r="DL24" i="153"/>
  <c r="DK24" i="153"/>
  <c r="DJ24" i="153"/>
  <c r="DN18" i="153"/>
  <c r="DM18" i="153"/>
  <c r="DL18" i="153"/>
  <c r="DK18" i="153"/>
  <c r="DJ18" i="153"/>
  <c r="DN17" i="153"/>
  <c r="DM17" i="153"/>
  <c r="DL17" i="153"/>
  <c r="DK17" i="153"/>
  <c r="DJ17" i="153"/>
  <c r="DN15" i="153"/>
  <c r="DM15" i="153"/>
  <c r="DL15" i="153"/>
  <c r="DK15" i="153"/>
  <c r="DJ15" i="153"/>
  <c r="DN14" i="153"/>
  <c r="DM14" i="153"/>
  <c r="DL14" i="153"/>
  <c r="DK14" i="153"/>
  <c r="DJ14" i="153"/>
  <c r="DN9" i="153"/>
  <c r="DM9" i="153"/>
  <c r="DL9" i="153"/>
  <c r="DK9" i="153"/>
  <c r="DJ9" i="153"/>
  <c r="DN8" i="153"/>
  <c r="DM8" i="153"/>
  <c r="DL8" i="153"/>
  <c r="DK8" i="153"/>
  <c r="DJ8" i="153"/>
  <c r="DN6" i="153"/>
  <c r="DM6" i="153"/>
  <c r="DL6" i="153"/>
  <c r="DK6" i="153"/>
  <c r="DJ6" i="153"/>
  <c r="DN5" i="153"/>
  <c r="DM5" i="153"/>
  <c r="DL5" i="153"/>
  <c r="DK5" i="153"/>
  <c r="DJ5" i="153"/>
  <c r="DN3" i="153"/>
  <c r="DM3" i="153"/>
  <c r="DL3" i="153"/>
  <c r="DK3" i="153"/>
  <c r="DJ3" i="153"/>
  <c r="DN2" i="153"/>
  <c r="DM2" i="153"/>
  <c r="DL2" i="153"/>
  <c r="DK2" i="153"/>
  <c r="DJ2" i="153"/>
  <c r="DH31" i="153"/>
  <c r="DG31" i="153"/>
  <c r="DF31" i="153"/>
  <c r="DE31" i="153"/>
  <c r="DD31" i="153"/>
  <c r="DH30" i="153"/>
  <c r="DG30" i="153"/>
  <c r="DF30" i="153"/>
  <c r="DE30" i="153"/>
  <c r="DD30" i="153"/>
  <c r="DH28" i="153"/>
  <c r="DG28" i="153"/>
  <c r="DF28" i="153"/>
  <c r="DE28" i="153"/>
  <c r="DD28" i="153"/>
  <c r="DH27" i="153"/>
  <c r="DG27" i="153"/>
  <c r="DF27" i="153"/>
  <c r="DE27" i="153"/>
  <c r="DD27" i="153"/>
  <c r="DH25" i="153"/>
  <c r="DG25" i="153"/>
  <c r="DF25" i="153"/>
  <c r="DE25" i="153"/>
  <c r="DD25" i="153"/>
  <c r="DH24" i="153"/>
  <c r="DG24" i="153"/>
  <c r="DF24" i="153"/>
  <c r="DE24" i="153"/>
  <c r="DD24" i="153"/>
  <c r="DH18" i="153"/>
  <c r="DG18" i="153"/>
  <c r="DF18" i="153"/>
  <c r="DE18" i="153"/>
  <c r="DD18" i="153"/>
  <c r="DH17" i="153"/>
  <c r="DG17" i="153"/>
  <c r="DF17" i="153"/>
  <c r="DE17" i="153"/>
  <c r="DD17" i="153"/>
  <c r="DH15" i="153"/>
  <c r="DG15" i="153"/>
  <c r="DF15" i="153"/>
  <c r="DE15" i="153"/>
  <c r="DD15" i="153"/>
  <c r="DH14" i="153"/>
  <c r="DG14" i="153"/>
  <c r="DF14" i="153"/>
  <c r="DE14" i="153"/>
  <c r="DD14" i="153"/>
  <c r="DH9" i="153"/>
  <c r="DG9" i="153"/>
  <c r="DF9" i="153"/>
  <c r="DE9" i="153"/>
  <c r="DD9" i="153"/>
  <c r="DH8" i="153"/>
  <c r="DG8" i="153"/>
  <c r="DF8" i="153"/>
  <c r="DE8" i="153"/>
  <c r="DD8" i="153"/>
  <c r="DH6" i="153"/>
  <c r="DG6" i="153"/>
  <c r="DF6" i="153"/>
  <c r="DE6" i="153"/>
  <c r="DD6" i="153"/>
  <c r="DH5" i="153"/>
  <c r="DG5" i="153"/>
  <c r="DF5" i="153"/>
  <c r="DE5" i="153"/>
  <c r="DD5" i="153"/>
  <c r="DH3" i="153"/>
  <c r="DG3" i="153"/>
  <c r="DF3" i="153"/>
  <c r="DE3" i="153"/>
  <c r="DD3" i="153"/>
  <c r="DH2" i="153"/>
  <c r="DG2" i="153"/>
  <c r="DF2" i="153"/>
  <c r="DE2" i="153"/>
  <c r="DD2" i="153"/>
  <c r="DF21" i="153" l="1"/>
  <c r="DN21" i="153"/>
  <c r="DN29" i="153"/>
  <c r="DL32" i="153"/>
  <c r="DN26" i="153"/>
  <c r="DH29" i="153"/>
  <c r="DF32" i="153"/>
  <c r="DN10" i="153"/>
  <c r="DN19" i="153"/>
  <c r="DE21" i="153"/>
  <c r="DM21" i="153"/>
  <c r="DE20" i="153"/>
  <c r="DJ20" i="153"/>
  <c r="DN20" i="153"/>
  <c r="DF20" i="153"/>
  <c r="DK20" i="153"/>
  <c r="DF16" i="153"/>
  <c r="DG7" i="153"/>
  <c r="DE10" i="153"/>
  <c r="DG16" i="153"/>
  <c r="DE19" i="153"/>
  <c r="DG26" i="153"/>
  <c r="DG29" i="153"/>
  <c r="DE32" i="153"/>
  <c r="DK29" i="153"/>
  <c r="DM32" i="153"/>
  <c r="DE7" i="153"/>
  <c r="DG10" i="153"/>
  <c r="DD7" i="153"/>
  <c r="DL26" i="153"/>
  <c r="DL29" i="153"/>
  <c r="DJ32" i="153"/>
  <c r="DN32" i="153"/>
  <c r="DD20" i="153"/>
  <c r="DH20" i="153"/>
  <c r="DG21" i="153"/>
  <c r="DG19" i="153"/>
  <c r="DE26" i="153"/>
  <c r="DE29" i="153"/>
  <c r="DG32" i="153"/>
  <c r="DL20" i="153"/>
  <c r="DK21" i="153"/>
  <c r="DM7" i="153"/>
  <c r="DM16" i="153"/>
  <c r="DO27" i="153"/>
  <c r="DM29" i="153"/>
  <c r="DK32" i="153"/>
  <c r="DH4" i="153"/>
  <c r="DH10" i="153"/>
  <c r="DH19" i="153"/>
  <c r="DD32" i="153"/>
  <c r="DH32" i="153"/>
  <c r="DK7" i="153"/>
  <c r="DM10" i="153"/>
  <c r="DK16" i="153"/>
  <c r="DM19" i="153"/>
  <c r="DN7" i="153"/>
  <c r="DN16" i="153"/>
  <c r="DM4" i="153"/>
  <c r="DM26" i="153"/>
  <c r="DL10" i="153"/>
  <c r="DL19" i="153"/>
  <c r="DL4" i="153"/>
  <c r="DL7" i="153"/>
  <c r="DL16" i="153"/>
  <c r="DO3" i="153"/>
  <c r="DK10" i="153"/>
  <c r="DO14" i="153"/>
  <c r="DK19" i="153"/>
  <c r="DO24" i="153"/>
  <c r="DO25" i="153"/>
  <c r="DO28" i="153"/>
  <c r="DO5" i="153"/>
  <c r="DO8" i="153"/>
  <c r="DO17" i="153"/>
  <c r="DK26" i="153"/>
  <c r="DO30" i="153"/>
  <c r="DO9" i="153"/>
  <c r="DO18" i="153"/>
  <c r="DJ7" i="153"/>
  <c r="DJ16" i="153"/>
  <c r="DJ19" i="153"/>
  <c r="DJ21" i="153"/>
  <c r="DJ26" i="153"/>
  <c r="DJ29" i="153"/>
  <c r="DJ4" i="153"/>
  <c r="DN4" i="153"/>
  <c r="DJ10" i="153"/>
  <c r="DO2" i="153"/>
  <c r="DK4" i="153"/>
  <c r="DO6" i="153"/>
  <c r="DO15" i="153"/>
  <c r="DM20" i="153"/>
  <c r="DO31" i="153"/>
  <c r="DL21" i="153"/>
  <c r="DH7" i="153"/>
  <c r="DH16" i="153"/>
  <c r="DH26" i="153"/>
  <c r="DG4" i="153"/>
  <c r="DI14" i="153"/>
  <c r="DI24" i="153"/>
  <c r="DI27" i="153"/>
  <c r="DF10" i="153"/>
  <c r="DF19" i="153"/>
  <c r="DF7" i="153"/>
  <c r="DF26" i="153"/>
  <c r="DF29" i="153"/>
  <c r="DE16" i="153"/>
  <c r="DI25" i="153"/>
  <c r="DI28" i="153"/>
  <c r="DI5" i="153"/>
  <c r="DI8" i="153"/>
  <c r="DI17" i="153"/>
  <c r="DI30" i="153"/>
  <c r="DI3" i="153"/>
  <c r="DI9" i="153"/>
  <c r="DI18" i="153"/>
  <c r="DD16" i="153"/>
  <c r="DD19" i="153"/>
  <c r="DD21" i="153"/>
  <c r="DH21" i="153"/>
  <c r="DD26" i="153"/>
  <c r="DD29" i="153"/>
  <c r="DD4" i="153"/>
  <c r="DD10" i="153"/>
  <c r="DI2" i="153"/>
  <c r="DE4" i="153"/>
  <c r="DI6" i="153"/>
  <c r="DI15" i="153"/>
  <c r="DG20" i="153"/>
  <c r="DI31" i="153"/>
  <c r="DF4" i="153"/>
  <c r="KY8" i="175"/>
  <c r="KX8" i="175"/>
  <c r="KV8" i="175"/>
  <c r="KU8" i="175"/>
  <c r="KS8" i="175"/>
  <c r="KR8" i="175"/>
  <c r="KP8" i="175"/>
  <c r="KO8" i="175"/>
  <c r="KM8" i="175"/>
  <c r="KL8" i="175"/>
  <c r="KY12" i="175"/>
  <c r="KX12" i="175"/>
  <c r="KV12" i="175"/>
  <c r="KU12" i="175"/>
  <c r="KS12" i="175"/>
  <c r="KR12" i="175"/>
  <c r="KP12" i="175"/>
  <c r="KO12" i="175"/>
  <c r="KM12" i="175"/>
  <c r="KL12" i="175"/>
  <c r="KY6" i="175"/>
  <c r="KX6" i="175"/>
  <c r="KV6" i="175"/>
  <c r="KU6" i="175"/>
  <c r="KS6" i="175"/>
  <c r="KR6" i="175"/>
  <c r="KP6" i="175"/>
  <c r="KO6" i="175"/>
  <c r="KM6" i="175"/>
  <c r="KL6" i="175"/>
  <c r="KY5" i="175"/>
  <c r="KX5" i="175"/>
  <c r="KV5" i="175"/>
  <c r="KU5" i="175"/>
  <c r="KS5" i="175"/>
  <c r="KR5" i="175"/>
  <c r="KP5" i="175"/>
  <c r="KO5" i="175"/>
  <c r="KM5" i="175"/>
  <c r="KL5" i="175"/>
  <c r="KY4" i="175"/>
  <c r="KX4" i="175"/>
  <c r="KV4" i="175"/>
  <c r="KU4" i="175"/>
  <c r="KS4" i="175"/>
  <c r="KR4" i="175"/>
  <c r="KP4" i="175"/>
  <c r="KO4" i="175"/>
  <c r="KM4" i="175"/>
  <c r="KL4" i="175"/>
  <c r="KY3" i="175"/>
  <c r="KX3" i="175"/>
  <c r="KV3" i="175"/>
  <c r="KU3" i="175"/>
  <c r="KS3" i="175"/>
  <c r="KR3" i="175"/>
  <c r="KP3" i="175"/>
  <c r="KO3" i="175"/>
  <c r="KM3" i="175"/>
  <c r="KL3" i="175"/>
  <c r="E32" i="149"/>
  <c r="B20" i="149"/>
  <c r="B22" i="149"/>
  <c r="DN22" i="153" l="1"/>
  <c r="DF22" i="153"/>
  <c r="DO29" i="153"/>
  <c r="DM22" i="153"/>
  <c r="DE22" i="153"/>
  <c r="DK22" i="153"/>
  <c r="DH22" i="153"/>
  <c r="DI20" i="153"/>
  <c r="DL22" i="153"/>
  <c r="DO7" i="153"/>
  <c r="DO19" i="153"/>
  <c r="DO16" i="153"/>
  <c r="DO26" i="153"/>
  <c r="DO32" i="153"/>
  <c r="DO10" i="153"/>
  <c r="DO4" i="153"/>
  <c r="DJ22" i="153"/>
  <c r="DO21" i="153"/>
  <c r="DO20" i="153"/>
  <c r="DI19" i="153"/>
  <c r="DI29" i="153"/>
  <c r="DG22" i="153"/>
  <c r="DI16" i="153"/>
  <c r="DI32" i="153"/>
  <c r="DI7" i="153"/>
  <c r="DI10" i="153"/>
  <c r="DI26" i="153"/>
  <c r="DI4" i="153"/>
  <c r="DD22" i="153"/>
  <c r="DI21" i="153"/>
  <c r="KS13" i="175"/>
  <c r="KY13" i="175"/>
  <c r="KL13" i="175"/>
  <c r="KX13" i="175"/>
  <c r="KP13" i="175"/>
  <c r="KV13" i="175"/>
  <c r="KW5" i="175"/>
  <c r="KT6" i="175"/>
  <c r="KQ12" i="175"/>
  <c r="KW12" i="175"/>
  <c r="KT8" i="175"/>
  <c r="KT3" i="175"/>
  <c r="KQ4" i="175"/>
  <c r="KW4" i="175"/>
  <c r="KN5" i="175"/>
  <c r="KT5" i="175"/>
  <c r="KQ6" i="175"/>
  <c r="KW6" i="175"/>
  <c r="KT12" i="175"/>
  <c r="KZ12" i="175"/>
  <c r="KQ8" i="175"/>
  <c r="KZ6" i="175"/>
  <c r="KZ8" i="175"/>
  <c r="KW8" i="175"/>
  <c r="KW3" i="175"/>
  <c r="KZ4" i="175"/>
  <c r="KZ5" i="175"/>
  <c r="KT4" i="175"/>
  <c r="LB8" i="175"/>
  <c r="LA5" i="175"/>
  <c r="KO13" i="175"/>
  <c r="KQ5" i="175"/>
  <c r="LB12" i="175"/>
  <c r="LB4" i="175"/>
  <c r="KN4" i="175"/>
  <c r="KN12" i="175"/>
  <c r="KN6" i="175"/>
  <c r="LB3" i="175"/>
  <c r="KN3" i="175"/>
  <c r="KZ3" i="175"/>
  <c r="LB5" i="175"/>
  <c r="LA6" i="175"/>
  <c r="KM13" i="175"/>
  <c r="KU13" i="175"/>
  <c r="KN8" i="175"/>
  <c r="KQ3" i="175"/>
  <c r="LA3" i="175"/>
  <c r="LB6" i="175"/>
  <c r="LA12" i="175"/>
  <c r="KR13" i="175"/>
  <c r="LA8" i="175"/>
  <c r="LA4" i="175"/>
  <c r="R3034" i="5"/>
  <c r="AA3034" i="5"/>
  <c r="R3035" i="5"/>
  <c r="AA3035" i="5"/>
  <c r="R3036" i="5"/>
  <c r="AA3036" i="5"/>
  <c r="R3037" i="5"/>
  <c r="AA3037" i="5"/>
  <c r="R3038" i="5"/>
  <c r="AA3038" i="5"/>
  <c r="R3039" i="5"/>
  <c r="AA3039" i="5"/>
  <c r="R3040" i="5"/>
  <c r="AA3040" i="5"/>
  <c r="R3041" i="5"/>
  <c r="AA3041" i="5"/>
  <c r="R3042" i="5"/>
  <c r="AA3042" i="5"/>
  <c r="R3043" i="5"/>
  <c r="AA3043" i="5"/>
  <c r="R3044" i="5"/>
  <c r="AA3044" i="5"/>
  <c r="R3045" i="5"/>
  <c r="AA3045" i="5"/>
  <c r="R3046" i="5"/>
  <c r="AA3046" i="5"/>
  <c r="R3047" i="5"/>
  <c r="AA3047" i="5"/>
  <c r="R3048" i="5"/>
  <c r="AA3048" i="5"/>
  <c r="R3049" i="5"/>
  <c r="AA3049" i="5"/>
  <c r="R3050" i="5"/>
  <c r="AA3050" i="5"/>
  <c r="R3051" i="5"/>
  <c r="AA3051" i="5"/>
  <c r="R3052" i="5"/>
  <c r="AA3052" i="5"/>
  <c r="R3053" i="5"/>
  <c r="AA3053" i="5"/>
  <c r="R3054" i="5"/>
  <c r="AA3054" i="5"/>
  <c r="R3055" i="5"/>
  <c r="AA3055" i="5"/>
  <c r="R3056" i="5"/>
  <c r="AA3056" i="5"/>
  <c r="R3057" i="5"/>
  <c r="AA3057" i="5"/>
  <c r="R3058" i="5"/>
  <c r="AA3058" i="5"/>
  <c r="R3059" i="5"/>
  <c r="AA3059" i="5"/>
  <c r="R3060" i="5"/>
  <c r="AA3060" i="5"/>
  <c r="R3061" i="5"/>
  <c r="AA3061" i="5"/>
  <c r="R3062" i="5"/>
  <c r="AA3062" i="5"/>
  <c r="R3063" i="5"/>
  <c r="AA3063" i="5"/>
  <c r="R3064" i="5"/>
  <c r="AA3064" i="5"/>
  <c r="R3065" i="5"/>
  <c r="AA3065" i="5"/>
  <c r="R3066" i="5"/>
  <c r="AA3066" i="5"/>
  <c r="R3067" i="5"/>
  <c r="AA3067" i="5"/>
  <c r="R3068" i="5"/>
  <c r="AA3068" i="5"/>
  <c r="R3069" i="5"/>
  <c r="AA3069" i="5"/>
  <c r="R3070" i="5"/>
  <c r="AA3070" i="5"/>
  <c r="R3071" i="5"/>
  <c r="AA3071" i="5"/>
  <c r="R3072" i="5"/>
  <c r="AA3072" i="5"/>
  <c r="R3073" i="5"/>
  <c r="AA3073" i="5"/>
  <c r="R3074" i="5"/>
  <c r="AA3074" i="5"/>
  <c r="R3075" i="5"/>
  <c r="AA3075" i="5"/>
  <c r="R3076" i="5"/>
  <c r="AA3076" i="5"/>
  <c r="R3077" i="5"/>
  <c r="AA3077" i="5"/>
  <c r="R3078" i="5"/>
  <c r="AA3078" i="5"/>
  <c r="R3079" i="5"/>
  <c r="AA3079" i="5"/>
  <c r="R3080" i="5"/>
  <c r="AA3080" i="5"/>
  <c r="R3081" i="5"/>
  <c r="AA3081" i="5"/>
  <c r="R3082" i="5"/>
  <c r="AA3082" i="5"/>
  <c r="R3083" i="5"/>
  <c r="AA3083" i="5"/>
  <c r="R3084" i="5"/>
  <c r="AA3084" i="5"/>
  <c r="R3085" i="5"/>
  <c r="AA3085" i="5"/>
  <c r="R3086" i="5"/>
  <c r="AA3086" i="5"/>
  <c r="R3087" i="5"/>
  <c r="AA3087" i="5"/>
  <c r="J3034" i="5"/>
  <c r="J3035" i="5"/>
  <c r="J3036" i="5"/>
  <c r="J3037" i="5"/>
  <c r="J3038" i="5"/>
  <c r="J3039" i="5"/>
  <c r="J3040" i="5"/>
  <c r="J3041" i="5"/>
  <c r="J3042" i="5"/>
  <c r="J3043" i="5"/>
  <c r="J3044" i="5"/>
  <c r="J3045" i="5"/>
  <c r="J3046" i="5"/>
  <c r="J3047" i="5"/>
  <c r="J3048" i="5"/>
  <c r="J3049" i="5"/>
  <c r="J3050" i="5"/>
  <c r="J3051" i="5"/>
  <c r="J3052" i="5"/>
  <c r="J3053" i="5"/>
  <c r="J3054" i="5"/>
  <c r="J3055" i="5"/>
  <c r="J3056" i="5"/>
  <c r="J3057" i="5"/>
  <c r="J3058" i="5"/>
  <c r="J3059" i="5"/>
  <c r="J3060" i="5"/>
  <c r="J3061" i="5"/>
  <c r="J3062" i="5"/>
  <c r="J3063" i="5"/>
  <c r="J3064" i="5"/>
  <c r="J3065" i="5"/>
  <c r="J3066" i="5"/>
  <c r="J3067" i="5"/>
  <c r="J3068" i="5"/>
  <c r="J3069" i="5"/>
  <c r="J3070" i="5"/>
  <c r="J3071" i="5"/>
  <c r="J3072" i="5"/>
  <c r="J3073" i="5"/>
  <c r="J3074" i="5"/>
  <c r="J3075" i="5"/>
  <c r="J3076" i="5"/>
  <c r="J3077" i="5"/>
  <c r="J3078" i="5"/>
  <c r="J3079" i="5"/>
  <c r="J3080" i="5"/>
  <c r="J3081" i="5"/>
  <c r="J3082" i="5"/>
  <c r="J3083" i="5"/>
  <c r="J3084" i="5"/>
  <c r="J3085" i="5"/>
  <c r="J3086" i="5"/>
  <c r="J3087" i="5"/>
  <c r="DI22" i="153" l="1"/>
  <c r="KT13" i="175"/>
  <c r="KZ13" i="175"/>
  <c r="DO22" i="153"/>
  <c r="KQ13" i="175"/>
  <c r="KY14" i="175"/>
  <c r="KM14" i="175"/>
  <c r="KW13" i="175"/>
  <c r="KV14" i="175"/>
  <c r="LB13" i="175"/>
  <c r="KP14" i="175"/>
  <c r="KN13" i="175"/>
  <c r="LB14" i="175"/>
  <c r="LA13" i="175"/>
  <c r="KS14" i="175"/>
  <c r="ANZ15" i="178" l="1"/>
  <c r="ANY15" i="178"/>
  <c r="KH8" i="175" l="1"/>
  <c r="KG8" i="175"/>
  <c r="KE8" i="175"/>
  <c r="KD8" i="175"/>
  <c r="KB8" i="175"/>
  <c r="KA8" i="175"/>
  <c r="JY8" i="175"/>
  <c r="JX8" i="175"/>
  <c r="JV8" i="175"/>
  <c r="JU8" i="175"/>
  <c r="KH12" i="175"/>
  <c r="KG12" i="175"/>
  <c r="KE12" i="175"/>
  <c r="KD12" i="175"/>
  <c r="KB12" i="175"/>
  <c r="KA12" i="175"/>
  <c r="JY12" i="175"/>
  <c r="JX12" i="175"/>
  <c r="JV12" i="175"/>
  <c r="JU12" i="175"/>
  <c r="KH6" i="175"/>
  <c r="KG6" i="175"/>
  <c r="KE6" i="175"/>
  <c r="KD6" i="175"/>
  <c r="KB6" i="175"/>
  <c r="KA6" i="175"/>
  <c r="JY6" i="175"/>
  <c r="JX6" i="175"/>
  <c r="JV6" i="175"/>
  <c r="JU6" i="175"/>
  <c r="KH5" i="175"/>
  <c r="KG5" i="175"/>
  <c r="KE5" i="175"/>
  <c r="KD5" i="175"/>
  <c r="KB5" i="175"/>
  <c r="KA5" i="175"/>
  <c r="JY5" i="175"/>
  <c r="JX5" i="175"/>
  <c r="JV5" i="175"/>
  <c r="JU5" i="175"/>
  <c r="KH4" i="175"/>
  <c r="KG4" i="175"/>
  <c r="KE4" i="175"/>
  <c r="KD4" i="175"/>
  <c r="KB4" i="175"/>
  <c r="KA4" i="175"/>
  <c r="JY4" i="175"/>
  <c r="JX4" i="175"/>
  <c r="JV4" i="175"/>
  <c r="JU4" i="175"/>
  <c r="KH3" i="175"/>
  <c r="KG3" i="175"/>
  <c r="KE3" i="175"/>
  <c r="KD3" i="175"/>
  <c r="KB3" i="175"/>
  <c r="KA3" i="175"/>
  <c r="JY3" i="175"/>
  <c r="JX3" i="175"/>
  <c r="JV3" i="175"/>
  <c r="JU3" i="175"/>
  <c r="F56" i="4"/>
  <c r="G56" i="4" s="1"/>
  <c r="H56" i="4"/>
  <c r="I56" i="4" s="1"/>
  <c r="J56" i="4"/>
  <c r="L56" i="4"/>
  <c r="N56" i="4"/>
  <c r="AA2968" i="5"/>
  <c r="AA2969" i="5"/>
  <c r="AA2970" i="5"/>
  <c r="AA2971" i="5"/>
  <c r="AA2972" i="5"/>
  <c r="AA2973" i="5"/>
  <c r="AA2974" i="5"/>
  <c r="AA2975" i="5"/>
  <c r="AA2976" i="5"/>
  <c r="AA2977" i="5"/>
  <c r="AA2978" i="5"/>
  <c r="AA2979" i="5"/>
  <c r="AA2980" i="5"/>
  <c r="AA2981" i="5"/>
  <c r="AA2982" i="5"/>
  <c r="AA2983" i="5"/>
  <c r="AA2984" i="5"/>
  <c r="AA2985" i="5"/>
  <c r="AA2986" i="5"/>
  <c r="AA2987" i="5"/>
  <c r="AA2988" i="5"/>
  <c r="AA2989" i="5"/>
  <c r="AA2990" i="5"/>
  <c r="AA2991" i="5"/>
  <c r="AA2992" i="5"/>
  <c r="AA2993" i="5"/>
  <c r="AA2994" i="5"/>
  <c r="AA2995" i="5"/>
  <c r="AA2996" i="5"/>
  <c r="AA2997" i="5"/>
  <c r="AA2998" i="5"/>
  <c r="AA2999" i="5"/>
  <c r="AA3000" i="5"/>
  <c r="AA3001" i="5"/>
  <c r="AA3002" i="5"/>
  <c r="AA3003" i="5"/>
  <c r="AA3004" i="5"/>
  <c r="AA3005" i="5"/>
  <c r="AA3006" i="5"/>
  <c r="AA3007" i="5"/>
  <c r="AA3008" i="5"/>
  <c r="AA3009" i="5"/>
  <c r="AA3010" i="5"/>
  <c r="AA3011" i="5"/>
  <c r="AA3012" i="5"/>
  <c r="AA3013" i="5"/>
  <c r="AA3014" i="5"/>
  <c r="AA3015" i="5"/>
  <c r="AA3016" i="5"/>
  <c r="AA3017" i="5"/>
  <c r="AA3018" i="5"/>
  <c r="AA3019" i="5"/>
  <c r="AA3020" i="5"/>
  <c r="AA3021" i="5"/>
  <c r="AA3022" i="5"/>
  <c r="AA3023" i="5"/>
  <c r="AA3024" i="5"/>
  <c r="AA3025" i="5"/>
  <c r="AA3026" i="5"/>
  <c r="AA3027" i="5"/>
  <c r="AA3028" i="5"/>
  <c r="AA3029" i="5"/>
  <c r="AA3030" i="5"/>
  <c r="AA3031" i="5"/>
  <c r="AA3032" i="5"/>
  <c r="AA3033" i="5"/>
  <c r="J2970" i="5"/>
  <c r="R2970" i="5"/>
  <c r="J2971" i="5"/>
  <c r="R2971" i="5"/>
  <c r="J2972" i="5"/>
  <c r="R2972" i="5"/>
  <c r="J2973" i="5"/>
  <c r="R2973" i="5"/>
  <c r="J2974" i="5"/>
  <c r="R2974" i="5"/>
  <c r="J2975" i="5"/>
  <c r="R2975" i="5"/>
  <c r="J2976" i="5"/>
  <c r="R2976" i="5"/>
  <c r="J2977" i="5"/>
  <c r="R2977" i="5"/>
  <c r="J2978" i="5"/>
  <c r="R2978" i="5"/>
  <c r="J2979" i="5"/>
  <c r="R2979" i="5"/>
  <c r="J2980" i="5"/>
  <c r="R2980" i="5"/>
  <c r="J2981" i="5"/>
  <c r="R2981" i="5"/>
  <c r="J2982" i="5"/>
  <c r="R2982" i="5"/>
  <c r="J2983" i="5"/>
  <c r="R2983" i="5"/>
  <c r="J2984" i="5"/>
  <c r="R2984" i="5"/>
  <c r="J2985" i="5"/>
  <c r="R2985" i="5"/>
  <c r="J2986" i="5"/>
  <c r="R2986" i="5"/>
  <c r="J2987" i="5"/>
  <c r="R2987" i="5"/>
  <c r="J2988" i="5"/>
  <c r="R2988" i="5"/>
  <c r="J2989" i="5"/>
  <c r="R2989" i="5"/>
  <c r="J2990" i="5"/>
  <c r="R2990" i="5"/>
  <c r="J2991" i="5"/>
  <c r="R2991" i="5"/>
  <c r="J2992" i="5"/>
  <c r="R2992" i="5"/>
  <c r="J2993" i="5"/>
  <c r="R2993" i="5"/>
  <c r="J2994" i="5"/>
  <c r="R2994" i="5"/>
  <c r="J2995" i="5"/>
  <c r="R2995" i="5"/>
  <c r="J2996" i="5"/>
  <c r="R2996" i="5"/>
  <c r="J2997" i="5"/>
  <c r="R2997" i="5"/>
  <c r="J2998" i="5"/>
  <c r="R2998" i="5"/>
  <c r="J2999" i="5"/>
  <c r="R2999" i="5"/>
  <c r="J3000" i="5"/>
  <c r="R3000" i="5"/>
  <c r="J3001" i="5"/>
  <c r="R3001" i="5"/>
  <c r="J3002" i="5"/>
  <c r="R3002" i="5"/>
  <c r="J3003" i="5"/>
  <c r="R3003" i="5"/>
  <c r="J3004" i="5"/>
  <c r="R3004" i="5"/>
  <c r="J3005" i="5"/>
  <c r="R3005" i="5"/>
  <c r="J3006" i="5"/>
  <c r="R3006" i="5"/>
  <c r="J3007" i="5"/>
  <c r="R3007" i="5"/>
  <c r="J3008" i="5"/>
  <c r="R3008" i="5"/>
  <c r="J3009" i="5"/>
  <c r="R3009" i="5"/>
  <c r="J3010" i="5"/>
  <c r="R3010" i="5"/>
  <c r="J3011" i="5"/>
  <c r="R3011" i="5"/>
  <c r="J3012" i="5"/>
  <c r="R3012" i="5"/>
  <c r="J3013" i="5"/>
  <c r="R3013" i="5"/>
  <c r="J3014" i="5"/>
  <c r="R3014" i="5"/>
  <c r="J3015" i="5"/>
  <c r="R3015" i="5"/>
  <c r="J3016" i="5"/>
  <c r="R3016" i="5"/>
  <c r="J3017" i="5"/>
  <c r="R3017" i="5"/>
  <c r="J3018" i="5"/>
  <c r="R3018" i="5"/>
  <c r="J3019" i="5"/>
  <c r="R3019" i="5"/>
  <c r="J3020" i="5"/>
  <c r="R3020" i="5"/>
  <c r="J3021" i="5"/>
  <c r="R3021" i="5"/>
  <c r="J3022" i="5"/>
  <c r="R3022" i="5"/>
  <c r="J3023" i="5"/>
  <c r="R3023" i="5"/>
  <c r="J3024" i="5"/>
  <c r="R3024" i="5"/>
  <c r="J3025" i="5"/>
  <c r="R3025" i="5"/>
  <c r="J3026" i="5"/>
  <c r="R3026" i="5"/>
  <c r="J3027" i="5"/>
  <c r="R3027" i="5"/>
  <c r="J3028" i="5"/>
  <c r="R3028" i="5"/>
  <c r="J3029" i="5"/>
  <c r="R3029" i="5"/>
  <c r="J3030" i="5"/>
  <c r="R3030" i="5"/>
  <c r="J3031" i="5"/>
  <c r="R3031" i="5"/>
  <c r="J3032" i="5"/>
  <c r="R3032" i="5"/>
  <c r="J3033" i="5"/>
  <c r="R3033" i="5"/>
  <c r="R2969" i="5"/>
  <c r="J2969" i="5"/>
  <c r="C69" i="149"/>
  <c r="JX13" i="175" l="1"/>
  <c r="JW8" i="175"/>
  <c r="KC8" i="175"/>
  <c r="KI8" i="175"/>
  <c r="KF3" i="175"/>
  <c r="JW4" i="175"/>
  <c r="KC4" i="175"/>
  <c r="KI4" i="175"/>
  <c r="JZ5" i="175"/>
  <c r="KC6" i="175"/>
  <c r="JZ12" i="175"/>
  <c r="JY13" i="175"/>
  <c r="JW6" i="175"/>
  <c r="JU13" i="175"/>
  <c r="KC3" i="175"/>
  <c r="JZ4" i="175"/>
  <c r="KF4" i="175"/>
  <c r="JW5" i="175"/>
  <c r="KF6" i="175"/>
  <c r="JZ8" i="175"/>
  <c r="KF8" i="175"/>
  <c r="KI12" i="175"/>
  <c r="KI6" i="175"/>
  <c r="KH13" i="175"/>
  <c r="KI5" i="175"/>
  <c r="KG13" i="175"/>
  <c r="KI3" i="175"/>
  <c r="KJ5" i="175"/>
  <c r="KE13" i="175"/>
  <c r="KF5" i="175"/>
  <c r="KF12" i="175"/>
  <c r="KB13" i="175"/>
  <c r="KC5" i="175"/>
  <c r="KC12" i="175"/>
  <c r="JZ6" i="175"/>
  <c r="KK8" i="175"/>
  <c r="JZ3" i="175"/>
  <c r="KK12" i="175"/>
  <c r="KK3" i="175"/>
  <c r="KK4" i="175"/>
  <c r="KK5" i="175"/>
  <c r="KJ6" i="175"/>
  <c r="JW12" i="175"/>
  <c r="JV13" i="175"/>
  <c r="KD13" i="175"/>
  <c r="JW3" i="175"/>
  <c r="KJ3" i="175"/>
  <c r="KK6" i="175"/>
  <c r="KJ12" i="175"/>
  <c r="KA13" i="175"/>
  <c r="KJ8" i="175"/>
  <c r="KJ4" i="175"/>
  <c r="M56" i="4"/>
  <c r="K56" i="4"/>
  <c r="O56" i="4"/>
  <c r="J7" i="4"/>
  <c r="L7" i="4"/>
  <c r="N7" i="4"/>
  <c r="J8" i="4"/>
  <c r="L8" i="4"/>
  <c r="N8" i="4"/>
  <c r="J9" i="4"/>
  <c r="L9" i="4"/>
  <c r="N9" i="4"/>
  <c r="J10" i="4"/>
  <c r="L10" i="4"/>
  <c r="N10" i="4"/>
  <c r="J11" i="4"/>
  <c r="L11" i="4"/>
  <c r="N11" i="4"/>
  <c r="J12" i="4"/>
  <c r="L12" i="4"/>
  <c r="N12" i="4"/>
  <c r="J13" i="4"/>
  <c r="L13" i="4"/>
  <c r="N13" i="4"/>
  <c r="J14" i="4"/>
  <c r="L14" i="4"/>
  <c r="N14" i="4"/>
  <c r="J15" i="4"/>
  <c r="L15" i="4"/>
  <c r="N15" i="4"/>
  <c r="J16" i="4"/>
  <c r="L16" i="4"/>
  <c r="N16" i="4"/>
  <c r="J17" i="4"/>
  <c r="L17" i="4"/>
  <c r="N17" i="4"/>
  <c r="J18" i="4"/>
  <c r="L18" i="4"/>
  <c r="N18" i="4"/>
  <c r="J19" i="4"/>
  <c r="L19" i="4"/>
  <c r="N19" i="4"/>
  <c r="J20" i="4"/>
  <c r="L20" i="4"/>
  <c r="N20" i="4"/>
  <c r="J21" i="4"/>
  <c r="L21" i="4"/>
  <c r="N21" i="4"/>
  <c r="J22" i="4"/>
  <c r="L22" i="4"/>
  <c r="N22" i="4"/>
  <c r="J23" i="4"/>
  <c r="L23" i="4"/>
  <c r="N23" i="4"/>
  <c r="J24" i="4"/>
  <c r="L24" i="4"/>
  <c r="N24" i="4"/>
  <c r="J25" i="4"/>
  <c r="L25" i="4"/>
  <c r="N25" i="4"/>
  <c r="J26" i="4"/>
  <c r="L26" i="4"/>
  <c r="N26" i="4"/>
  <c r="J27" i="4"/>
  <c r="L27" i="4"/>
  <c r="N27" i="4"/>
  <c r="J28" i="4"/>
  <c r="L28" i="4"/>
  <c r="N28" i="4"/>
  <c r="J29" i="4"/>
  <c r="L29" i="4"/>
  <c r="N29" i="4"/>
  <c r="J30" i="4"/>
  <c r="L30" i="4"/>
  <c r="N30" i="4"/>
  <c r="J31" i="4"/>
  <c r="L31" i="4"/>
  <c r="N31" i="4"/>
  <c r="J32" i="4"/>
  <c r="L32" i="4"/>
  <c r="N32" i="4"/>
  <c r="J33" i="4"/>
  <c r="L33" i="4"/>
  <c r="N33" i="4"/>
  <c r="J34" i="4"/>
  <c r="L34" i="4"/>
  <c r="N34" i="4"/>
  <c r="J35" i="4"/>
  <c r="L35" i="4"/>
  <c r="N35" i="4"/>
  <c r="J36" i="4"/>
  <c r="L36" i="4"/>
  <c r="N36" i="4"/>
  <c r="J37" i="4"/>
  <c r="L37" i="4"/>
  <c r="N37" i="4"/>
  <c r="J38" i="4"/>
  <c r="L38" i="4"/>
  <c r="N38" i="4"/>
  <c r="J39" i="4"/>
  <c r="L39" i="4"/>
  <c r="N39" i="4"/>
  <c r="J40" i="4"/>
  <c r="L40" i="4"/>
  <c r="N40" i="4"/>
  <c r="J41" i="4"/>
  <c r="L41" i="4"/>
  <c r="N41" i="4"/>
  <c r="J42" i="4"/>
  <c r="L42" i="4"/>
  <c r="N42" i="4"/>
  <c r="J43" i="4"/>
  <c r="L43" i="4"/>
  <c r="N43" i="4"/>
  <c r="J44" i="4"/>
  <c r="L44" i="4"/>
  <c r="N44" i="4"/>
  <c r="J45" i="4"/>
  <c r="L45" i="4"/>
  <c r="N45" i="4"/>
  <c r="J46" i="4"/>
  <c r="L46" i="4"/>
  <c r="N46" i="4"/>
  <c r="J47" i="4"/>
  <c r="L47" i="4"/>
  <c r="N47" i="4"/>
  <c r="J48" i="4"/>
  <c r="L48" i="4"/>
  <c r="N48" i="4"/>
  <c r="J49" i="4"/>
  <c r="L49" i="4"/>
  <c r="N49" i="4"/>
  <c r="J50" i="4"/>
  <c r="L50" i="4"/>
  <c r="N50" i="4"/>
  <c r="J51" i="4"/>
  <c r="L51" i="4"/>
  <c r="N51" i="4"/>
  <c r="J52" i="4"/>
  <c r="L52" i="4"/>
  <c r="N52" i="4"/>
  <c r="J53" i="4"/>
  <c r="L53" i="4"/>
  <c r="N53" i="4"/>
  <c r="J54" i="4"/>
  <c r="L54" i="4"/>
  <c r="N54" i="4"/>
  <c r="J55" i="4"/>
  <c r="L55" i="4"/>
  <c r="N55" i="4"/>
  <c r="N6" i="4"/>
  <c r="L6" i="4"/>
  <c r="J6" i="4"/>
  <c r="L5" i="4"/>
  <c r="N5" i="4"/>
  <c r="N4" i="4"/>
  <c r="L4" i="4"/>
  <c r="J5" i="4"/>
  <c r="J4" i="4"/>
  <c r="J3" i="4"/>
  <c r="F3" i="4"/>
  <c r="N3" i="4"/>
  <c r="L3" i="4"/>
  <c r="R2968" i="5"/>
  <c r="J2968" i="5"/>
  <c r="JV14" i="175" l="1"/>
  <c r="JY14" i="175"/>
  <c r="JZ13" i="175"/>
  <c r="KC13" i="175"/>
  <c r="KE14" i="175"/>
  <c r="KB14" i="175"/>
  <c r="KH14" i="175"/>
  <c r="KI13" i="175"/>
  <c r="KF13" i="175"/>
  <c r="KK13" i="175"/>
  <c r="JW13" i="175"/>
  <c r="KJ13" i="175"/>
  <c r="KK14" i="175"/>
  <c r="K5" i="4"/>
  <c r="O17" i="4"/>
  <c r="O13" i="4"/>
  <c r="O9" i="4"/>
  <c r="O21" i="4"/>
  <c r="M16" i="4"/>
  <c r="M12" i="4"/>
  <c r="K3" i="4"/>
  <c r="M14" i="4"/>
  <c r="M50" i="4"/>
  <c r="M40" i="4"/>
  <c r="M36" i="4"/>
  <c r="M32" i="4"/>
  <c r="M28" i="4"/>
  <c r="M20" i="4"/>
  <c r="M8" i="4"/>
  <c r="O52" i="4"/>
  <c r="O48" i="4"/>
  <c r="O46" i="4"/>
  <c r="O42" i="4"/>
  <c r="O38" i="4"/>
  <c r="O34" i="4"/>
  <c r="O30" i="4"/>
  <c r="O26" i="4"/>
  <c r="M25" i="4"/>
  <c r="K24" i="4"/>
  <c r="O22" i="4"/>
  <c r="O18" i="4"/>
  <c r="M5" i="4"/>
  <c r="K10" i="4"/>
  <c r="O55" i="4"/>
  <c r="M54" i="4"/>
  <c r="K53" i="4"/>
  <c r="O51" i="4"/>
  <c r="K49" i="4"/>
  <c r="O47" i="4"/>
  <c r="O45" i="4"/>
  <c r="M44" i="4"/>
  <c r="K43" i="4"/>
  <c r="O41" i="4"/>
  <c r="K39" i="4"/>
  <c r="O37" i="4"/>
  <c r="K35" i="4"/>
  <c r="O33" i="4"/>
  <c r="K31" i="4"/>
  <c r="O29" i="4"/>
  <c r="K27" i="4"/>
  <c r="K23" i="4"/>
  <c r="K19" i="4"/>
  <c r="K15" i="4"/>
  <c r="K11" i="4"/>
  <c r="K7" i="4"/>
  <c r="M55" i="4"/>
  <c r="K54" i="4"/>
  <c r="M51" i="4"/>
  <c r="K50" i="4"/>
  <c r="M47" i="4"/>
  <c r="M45" i="4"/>
  <c r="K44" i="4"/>
  <c r="M41" i="4"/>
  <c r="K40" i="4"/>
  <c r="M37" i="4"/>
  <c r="K36" i="4"/>
  <c r="M33" i="4"/>
  <c r="K32" i="4"/>
  <c r="M29" i="4"/>
  <c r="K28" i="4"/>
  <c r="M21" i="4"/>
  <c r="K20" i="4"/>
  <c r="M17" i="4"/>
  <c r="K16" i="4"/>
  <c r="O14" i="4"/>
  <c r="M13" i="4"/>
  <c r="K12" i="4"/>
  <c r="O10" i="4"/>
  <c r="K55" i="4"/>
  <c r="O53" i="4"/>
  <c r="M52" i="4"/>
  <c r="K51" i="4"/>
  <c r="O49" i="4"/>
  <c r="M48" i="4"/>
  <c r="K47" i="4"/>
  <c r="M46" i="4"/>
  <c r="K45" i="4"/>
  <c r="O43" i="4"/>
  <c r="M42" i="4"/>
  <c r="K41" i="4"/>
  <c r="O39" i="4"/>
  <c r="M38" i="4"/>
  <c r="K37" i="4"/>
  <c r="O35" i="4"/>
  <c r="M34" i="4"/>
  <c r="K33" i="4"/>
  <c r="O31" i="4"/>
  <c r="M30" i="4"/>
  <c r="K29" i="4"/>
  <c r="O27" i="4"/>
  <c r="M26" i="4"/>
  <c r="K25" i="4"/>
  <c r="O23" i="4"/>
  <c r="M22" i="4"/>
  <c r="K21" i="4"/>
  <c r="O19" i="4"/>
  <c r="M18" i="4"/>
  <c r="K17" i="4"/>
  <c r="O15" i="4"/>
  <c r="K13" i="4"/>
  <c r="O11" i="4"/>
  <c r="M10" i="4"/>
  <c r="K9" i="4"/>
  <c r="O7" i="4"/>
  <c r="O54" i="4"/>
  <c r="M53" i="4"/>
  <c r="K52" i="4"/>
  <c r="O50" i="4"/>
  <c r="M49" i="4"/>
  <c r="K48" i="4"/>
  <c r="K46" i="4"/>
  <c r="O44" i="4"/>
  <c r="M43" i="4"/>
  <c r="K42" i="4"/>
  <c r="O40" i="4"/>
  <c r="M39" i="4"/>
  <c r="K38" i="4"/>
  <c r="O36" i="4"/>
  <c r="M35" i="4"/>
  <c r="K34" i="4"/>
  <c r="O32" i="4"/>
  <c r="M31" i="4"/>
  <c r="K30" i="4"/>
  <c r="O28" i="4"/>
  <c r="M27" i="4"/>
  <c r="K26" i="4"/>
  <c r="O24" i="4"/>
  <c r="M23" i="4"/>
  <c r="K22" i="4"/>
  <c r="O20" i="4"/>
  <c r="M19" i="4"/>
  <c r="K18" i="4"/>
  <c r="O16" i="4"/>
  <c r="M15" i="4"/>
  <c r="K14" i="4"/>
  <c r="O12" i="4"/>
  <c r="M11" i="4"/>
  <c r="O25" i="4"/>
  <c r="M24" i="4"/>
  <c r="M9" i="4"/>
  <c r="O8" i="4"/>
  <c r="K8" i="4"/>
  <c r="M7" i="4"/>
  <c r="K6" i="4"/>
  <c r="O6" i="4"/>
  <c r="M6" i="4"/>
  <c r="O5" i="4"/>
  <c r="M3" i="4"/>
  <c r="K4" i="4"/>
  <c r="O3" i="4"/>
  <c r="EX3" i="178"/>
  <c r="D3" i="149"/>
  <c r="M4" i="4" l="1"/>
  <c r="O4" i="4"/>
  <c r="JQ8" i="175"/>
  <c r="JP8" i="175"/>
  <c r="JN8" i="175"/>
  <c r="JM8" i="175"/>
  <c r="JK8" i="175"/>
  <c r="JJ8" i="175"/>
  <c r="JH8" i="175"/>
  <c r="JG8" i="175"/>
  <c r="JE8" i="175"/>
  <c r="JD8" i="175"/>
  <c r="IZ8" i="175"/>
  <c r="IY8" i="175"/>
  <c r="IW8" i="175"/>
  <c r="IV8" i="175"/>
  <c r="IT8" i="175"/>
  <c r="IS8" i="175"/>
  <c r="IQ8" i="175"/>
  <c r="IP8" i="175"/>
  <c r="IN8" i="175"/>
  <c r="IM8" i="175"/>
  <c r="II8" i="175"/>
  <c r="IH8" i="175"/>
  <c r="IF8" i="175"/>
  <c r="IE8" i="175"/>
  <c r="IC8" i="175"/>
  <c r="IB8" i="175"/>
  <c r="HZ8" i="175"/>
  <c r="HY8" i="175"/>
  <c r="HW8" i="175"/>
  <c r="HV8" i="175"/>
  <c r="HR8" i="175"/>
  <c r="HQ8" i="175"/>
  <c r="HO8" i="175"/>
  <c r="HN8" i="175"/>
  <c r="HL8" i="175"/>
  <c r="HK8" i="175"/>
  <c r="HI8" i="175"/>
  <c r="HH8" i="175"/>
  <c r="HF8" i="175"/>
  <c r="HE8" i="175"/>
  <c r="HA8" i="175"/>
  <c r="GZ8" i="175"/>
  <c r="GX8" i="175"/>
  <c r="GW8" i="175"/>
  <c r="GU8" i="175"/>
  <c r="GT8" i="175"/>
  <c r="GR8" i="175"/>
  <c r="GQ8" i="175"/>
  <c r="GO8" i="175"/>
  <c r="GN8" i="175"/>
  <c r="GJ8" i="175"/>
  <c r="GI8" i="175"/>
  <c r="GG8" i="175"/>
  <c r="GF8" i="175"/>
  <c r="GD8" i="175"/>
  <c r="GC8" i="175"/>
  <c r="GA8" i="175"/>
  <c r="FZ8" i="175"/>
  <c r="FX8" i="175"/>
  <c r="FW8" i="175"/>
  <c r="FS8" i="175"/>
  <c r="FR8" i="175"/>
  <c r="FP8" i="175"/>
  <c r="FO8" i="175"/>
  <c r="FM8" i="175"/>
  <c r="FL8" i="175"/>
  <c r="FJ8" i="175"/>
  <c r="FI8" i="175"/>
  <c r="FG8" i="175"/>
  <c r="FF8" i="175"/>
  <c r="FB8" i="175"/>
  <c r="FA8" i="175"/>
  <c r="EY8" i="175"/>
  <c r="EX8" i="175"/>
  <c r="EV8" i="175"/>
  <c r="EU8" i="175"/>
  <c r="ES8" i="175"/>
  <c r="ER8" i="175"/>
  <c r="EP8" i="175"/>
  <c r="EO8" i="175"/>
  <c r="EK8" i="175"/>
  <c r="EJ8" i="175"/>
  <c r="EH8" i="175"/>
  <c r="EG8" i="175"/>
  <c r="EE8" i="175"/>
  <c r="ED8" i="175"/>
  <c r="EB8" i="175"/>
  <c r="EA8" i="175"/>
  <c r="DY8" i="175"/>
  <c r="DX8" i="175"/>
  <c r="DT8" i="175"/>
  <c r="DS8" i="175"/>
  <c r="DQ8" i="175"/>
  <c r="DP8" i="175"/>
  <c r="DN8" i="175"/>
  <c r="DM8" i="175"/>
  <c r="DK8" i="175"/>
  <c r="DJ8" i="175"/>
  <c r="DH8" i="175"/>
  <c r="DG8" i="175"/>
  <c r="DC8" i="175"/>
  <c r="DB8" i="175"/>
  <c r="CZ8" i="175"/>
  <c r="CY8" i="175"/>
  <c r="CW8" i="175"/>
  <c r="CV8" i="175"/>
  <c r="CT8" i="175"/>
  <c r="CS8" i="175"/>
  <c r="CQ8" i="175"/>
  <c r="CP8" i="175"/>
  <c r="CL8" i="175"/>
  <c r="CK8" i="175"/>
  <c r="CI8" i="175"/>
  <c r="CH8" i="175"/>
  <c r="CF8" i="175"/>
  <c r="CE8" i="175"/>
  <c r="CC8" i="175"/>
  <c r="CB8" i="175"/>
  <c r="BZ8" i="175"/>
  <c r="BY8" i="175"/>
  <c r="BV8" i="175"/>
  <c r="BU8" i="175"/>
  <c r="BS8" i="175"/>
  <c r="BR8" i="175"/>
  <c r="BP8" i="175"/>
  <c r="BO8" i="175"/>
  <c r="BM8" i="175"/>
  <c r="BL8" i="175"/>
  <c r="BJ8" i="175"/>
  <c r="BI8" i="175"/>
  <c r="BF8" i="175"/>
  <c r="BE8" i="175"/>
  <c r="BC8" i="175"/>
  <c r="BB8" i="175"/>
  <c r="AZ8" i="175"/>
  <c r="AY8" i="175"/>
  <c r="AW8" i="175"/>
  <c r="AV8" i="175"/>
  <c r="AT8" i="175"/>
  <c r="AS8" i="175"/>
  <c r="AP8" i="175"/>
  <c r="AO8" i="175"/>
  <c r="AM8" i="175"/>
  <c r="AL8" i="175"/>
  <c r="AJ8" i="175"/>
  <c r="AI8" i="175"/>
  <c r="AG8" i="175"/>
  <c r="AF8" i="175"/>
  <c r="AC8" i="175"/>
  <c r="AB8" i="175"/>
  <c r="Z8" i="175"/>
  <c r="Y8" i="175"/>
  <c r="W8" i="175"/>
  <c r="V8" i="175"/>
  <c r="R8" i="175"/>
  <c r="Q8" i="175"/>
  <c r="P8" i="175"/>
  <c r="N8" i="175"/>
  <c r="L8" i="175"/>
  <c r="M8" i="175" s="1"/>
  <c r="J8" i="175"/>
  <c r="H8" i="175"/>
  <c r="F8" i="175"/>
  <c r="D8" i="175"/>
  <c r="E8" i="175" s="1"/>
  <c r="AA2967" i="5"/>
  <c r="R2967" i="5"/>
  <c r="J2967" i="5"/>
  <c r="C31" i="149"/>
  <c r="C30" i="149"/>
  <c r="I8" i="175" l="1"/>
  <c r="K8" i="175"/>
  <c r="G8" i="175"/>
  <c r="JO8" i="175"/>
  <c r="O8" i="175"/>
  <c r="JR8" i="175"/>
  <c r="JT8" i="175"/>
  <c r="S8" i="175"/>
  <c r="U8" i="175" s="1"/>
  <c r="DU8" i="175"/>
  <c r="EC8" i="175"/>
  <c r="AK8" i="175"/>
  <c r="AQ8" i="175"/>
  <c r="AX8" i="175"/>
  <c r="BD8" i="175"/>
  <c r="BK8" i="175"/>
  <c r="BQ8" i="175"/>
  <c r="BW8" i="175"/>
  <c r="CD8" i="175"/>
  <c r="CJ8" i="175"/>
  <c r="CR8" i="175"/>
  <c r="DL8" i="175"/>
  <c r="DR8" i="175"/>
  <c r="DZ8" i="175"/>
  <c r="EF8" i="175"/>
  <c r="EL8" i="175"/>
  <c r="FH8" i="175"/>
  <c r="FN8" i="175"/>
  <c r="FT8" i="175"/>
  <c r="IL8" i="175"/>
  <c r="AN8" i="175"/>
  <c r="AU8" i="175"/>
  <c r="BA8" i="175"/>
  <c r="GE8" i="175"/>
  <c r="GY8" i="175"/>
  <c r="HG8" i="175"/>
  <c r="HM8" i="175"/>
  <c r="IU8" i="175"/>
  <c r="JI8" i="175"/>
  <c r="AR8" i="175"/>
  <c r="CN8" i="175"/>
  <c r="GM8" i="175"/>
  <c r="JC8" i="175"/>
  <c r="HX8" i="175"/>
  <c r="ID8" i="175"/>
  <c r="IJ8" i="175"/>
  <c r="IR8" i="175"/>
  <c r="JL8" i="175"/>
  <c r="AE8" i="175"/>
  <c r="DD8" i="175"/>
  <c r="FV8" i="175"/>
  <c r="GB8" i="175"/>
  <c r="HD8" i="175"/>
  <c r="EN8" i="175"/>
  <c r="JA8" i="175"/>
  <c r="X8" i="175"/>
  <c r="AD8" i="175"/>
  <c r="BH8" i="175"/>
  <c r="BX8" i="175"/>
  <c r="DF8" i="175"/>
  <c r="CX8" i="175"/>
  <c r="DW8" i="175"/>
  <c r="DO8" i="175"/>
  <c r="EI8" i="175"/>
  <c r="EQ8" i="175"/>
  <c r="EW8" i="175"/>
  <c r="FC8" i="175"/>
  <c r="GK8" i="175"/>
  <c r="GS8" i="175"/>
  <c r="HT8" i="175"/>
  <c r="HS8" i="175"/>
  <c r="IA8" i="175"/>
  <c r="IG8" i="175"/>
  <c r="IX8" i="175"/>
  <c r="JF8" i="175"/>
  <c r="BG8" i="175"/>
  <c r="BN8" i="175"/>
  <c r="BT8" i="175"/>
  <c r="CA8" i="175"/>
  <c r="CG8" i="175"/>
  <c r="CM8" i="175"/>
  <c r="FD8" i="175"/>
  <c r="FK8" i="175"/>
  <c r="FQ8" i="175"/>
  <c r="GH8" i="175"/>
  <c r="GP8" i="175"/>
  <c r="GV8" i="175"/>
  <c r="HB8" i="175"/>
  <c r="HJ8" i="175"/>
  <c r="HP8" i="175"/>
  <c r="T8" i="175"/>
  <c r="AA8" i="175"/>
  <c r="CU8" i="175"/>
  <c r="DA8" i="175"/>
  <c r="ET8" i="175"/>
  <c r="EZ8" i="175"/>
  <c r="CO8" i="175"/>
  <c r="DE8" i="175"/>
  <c r="DI8" i="175"/>
  <c r="FE8" i="175"/>
  <c r="FU8" i="175"/>
  <c r="FY8" i="175"/>
  <c r="HU8" i="175"/>
  <c r="IK8" i="175"/>
  <c r="IO8" i="175"/>
  <c r="AH8" i="175"/>
  <c r="DV8" i="175"/>
  <c r="GL8" i="175"/>
  <c r="JB8" i="175"/>
  <c r="EM8" i="175"/>
  <c r="HC8" i="175"/>
  <c r="JS8" i="175"/>
  <c r="AOY4" i="178"/>
  <c r="AOY5" i="178"/>
  <c r="AOY6" i="178"/>
  <c r="AOY7" i="178"/>
  <c r="AOY8" i="178"/>
  <c r="AOY9" i="178"/>
  <c r="AOY10" i="178"/>
  <c r="AOY11" i="178"/>
  <c r="AOY12" i="178"/>
  <c r="AOY13" i="178"/>
  <c r="AOY14" i="178"/>
  <c r="AOY3" i="178"/>
  <c r="AOS4" i="178"/>
  <c r="AOT4" i="178"/>
  <c r="AOS5" i="178"/>
  <c r="AOT5" i="178"/>
  <c r="AOS6" i="178"/>
  <c r="AOT6" i="178"/>
  <c r="AOS7" i="178"/>
  <c r="AOT7" i="178"/>
  <c r="AOS8" i="178"/>
  <c r="AOT8" i="178"/>
  <c r="AOS9" i="178"/>
  <c r="AOT9" i="178"/>
  <c r="AOS10" i="178"/>
  <c r="AOT10" i="178"/>
  <c r="AOS11" i="178"/>
  <c r="AOT11" i="178"/>
  <c r="AOS12" i="178"/>
  <c r="AOT12" i="178"/>
  <c r="AOS13" i="178"/>
  <c r="AOT13" i="178"/>
  <c r="AOS14" i="178"/>
  <c r="AOT14" i="178"/>
  <c r="AOT3" i="178"/>
  <c r="AOS3" i="178"/>
  <c r="ANU4" i="178"/>
  <c r="ANU5" i="178"/>
  <c r="ANU6" i="178"/>
  <c r="ANU7" i="178"/>
  <c r="ANU8" i="178"/>
  <c r="ANU9" i="178"/>
  <c r="ANU10" i="178"/>
  <c r="ANU11" i="178"/>
  <c r="ANU12" i="178"/>
  <c r="ANU13" i="178"/>
  <c r="ANU14" i="178"/>
  <c r="ANU3" i="178"/>
  <c r="ANO4" i="178"/>
  <c r="ANP4" i="178"/>
  <c r="ANO5" i="178"/>
  <c r="ANP5" i="178"/>
  <c r="ANO6" i="178"/>
  <c r="ANP6" i="178"/>
  <c r="ANO7" i="178"/>
  <c r="ANP7" i="178"/>
  <c r="ANO8" i="178"/>
  <c r="ANP8" i="178"/>
  <c r="ANO9" i="178"/>
  <c r="ANP9" i="178"/>
  <c r="ANO10" i="178"/>
  <c r="ANP10" i="178"/>
  <c r="ANO11" i="178"/>
  <c r="ANP11" i="178"/>
  <c r="ANO12" i="178"/>
  <c r="ANP12" i="178"/>
  <c r="ANO13" i="178"/>
  <c r="ANP13" i="178"/>
  <c r="ANO14" i="178"/>
  <c r="ANP14" i="178"/>
  <c r="ANP3" i="178"/>
  <c r="ANO3" i="178"/>
  <c r="AFN4" i="178" l="1"/>
  <c r="AFN5" i="178"/>
  <c r="AFN6" i="178"/>
  <c r="AFN3" i="178"/>
  <c r="AMG15" i="178"/>
  <c r="AMH15" i="178"/>
  <c r="AMG16" i="178"/>
  <c r="AMH16" i="178"/>
  <c r="AMG17" i="178"/>
  <c r="AMH17" i="178"/>
  <c r="AMG18" i="178"/>
  <c r="AMH18" i="178"/>
  <c r="AMG19" i="178"/>
  <c r="AMH19" i="178"/>
  <c r="AMG20" i="178"/>
  <c r="AMH20" i="178"/>
  <c r="AMG21" i="178"/>
  <c r="AMH21" i="178"/>
  <c r="AMG22" i="178"/>
  <c r="AMH22" i="178"/>
  <c r="AMG23" i="178"/>
  <c r="AMH23" i="178"/>
  <c r="AMG24" i="178"/>
  <c r="AMH24" i="178"/>
  <c r="AMG25" i="178"/>
  <c r="AMH25" i="178"/>
  <c r="AMG26" i="178"/>
  <c r="AMH26" i="178"/>
  <c r="AMG27" i="178"/>
  <c r="AMH27" i="178"/>
  <c r="AMG28" i="178"/>
  <c r="AMH28" i="178"/>
  <c r="AMG29" i="178"/>
  <c r="AMH29" i="178"/>
  <c r="AMG30" i="178"/>
  <c r="AMH30" i="178"/>
  <c r="DB31" i="153" l="1"/>
  <c r="DA31" i="153"/>
  <c r="CZ31" i="153"/>
  <c r="CY31" i="153"/>
  <c r="CX31" i="153"/>
  <c r="CV31" i="153"/>
  <c r="CU31" i="153"/>
  <c r="CT31" i="153"/>
  <c r="CS31" i="153"/>
  <c r="CR31" i="153"/>
  <c r="CP31" i="153"/>
  <c r="CO31" i="153"/>
  <c r="CN31" i="153"/>
  <c r="CM31" i="153"/>
  <c r="CL31" i="153"/>
  <c r="CJ31" i="153"/>
  <c r="CI31" i="153"/>
  <c r="CH31" i="153"/>
  <c r="CG31" i="153"/>
  <c r="CF31" i="153"/>
  <c r="CD31" i="153"/>
  <c r="CC31" i="153"/>
  <c r="CB31" i="153"/>
  <c r="CA31" i="153"/>
  <c r="BZ31" i="153"/>
  <c r="BX31" i="153"/>
  <c r="BW31" i="153"/>
  <c r="BV31" i="153"/>
  <c r="BU31" i="153"/>
  <c r="BT31" i="153"/>
  <c r="BR31" i="153"/>
  <c r="BQ31" i="153"/>
  <c r="BP31" i="153"/>
  <c r="BO31" i="153"/>
  <c r="BN31" i="153"/>
  <c r="BL31" i="153"/>
  <c r="BK31" i="153"/>
  <c r="BJ31" i="153"/>
  <c r="BI31" i="153"/>
  <c r="BH31" i="153"/>
  <c r="BF31" i="153"/>
  <c r="BE31" i="153"/>
  <c r="BD31" i="153"/>
  <c r="BC31" i="153"/>
  <c r="BB31" i="153"/>
  <c r="AZ31" i="153"/>
  <c r="AY31" i="153"/>
  <c r="AX31" i="153"/>
  <c r="AW31" i="153"/>
  <c r="AV31" i="153"/>
  <c r="AT31" i="153"/>
  <c r="AS31" i="153"/>
  <c r="AR31" i="153"/>
  <c r="AQ31" i="153"/>
  <c r="AP31" i="153"/>
  <c r="AN31" i="153"/>
  <c r="AM31" i="153"/>
  <c r="AL31" i="153"/>
  <c r="AK31" i="153"/>
  <c r="AJ31" i="153"/>
  <c r="AH31" i="153"/>
  <c r="AG31" i="153"/>
  <c r="AF31" i="153"/>
  <c r="AE31" i="153"/>
  <c r="AD31" i="153"/>
  <c r="AB31" i="153"/>
  <c r="AA31" i="153"/>
  <c r="Z31" i="153"/>
  <c r="Y31" i="153"/>
  <c r="X31" i="153"/>
  <c r="V31" i="153"/>
  <c r="U31" i="153"/>
  <c r="T31" i="153"/>
  <c r="S31" i="153"/>
  <c r="Q31" i="153"/>
  <c r="P31" i="153"/>
  <c r="O31" i="153"/>
  <c r="M31" i="153"/>
  <c r="L31" i="153"/>
  <c r="K31" i="153"/>
  <c r="J31" i="153"/>
  <c r="I31" i="153"/>
  <c r="G31" i="153"/>
  <c r="F31" i="153"/>
  <c r="E31" i="153"/>
  <c r="D31" i="153"/>
  <c r="C31" i="153"/>
  <c r="DB30" i="153"/>
  <c r="DA30" i="153"/>
  <c r="CZ30" i="153"/>
  <c r="CY30" i="153"/>
  <c r="CX30" i="153"/>
  <c r="CV30" i="153"/>
  <c r="CU30" i="153"/>
  <c r="CT30" i="153"/>
  <c r="CS30" i="153"/>
  <c r="CR30" i="153"/>
  <c r="CP30" i="153"/>
  <c r="CO30" i="153"/>
  <c r="CN30" i="153"/>
  <c r="CM30" i="153"/>
  <c r="CL30" i="153"/>
  <c r="CJ30" i="153"/>
  <c r="CI30" i="153"/>
  <c r="CH30" i="153"/>
  <c r="CG30" i="153"/>
  <c r="CF30" i="153"/>
  <c r="CD30" i="153"/>
  <c r="CC30" i="153"/>
  <c r="CB30" i="153"/>
  <c r="CA30" i="153"/>
  <c r="BZ30" i="153"/>
  <c r="BX30" i="153"/>
  <c r="BW30" i="153"/>
  <c r="BV30" i="153"/>
  <c r="BU30" i="153"/>
  <c r="BT30" i="153"/>
  <c r="BR30" i="153"/>
  <c r="BQ30" i="153"/>
  <c r="BP30" i="153"/>
  <c r="BO30" i="153"/>
  <c r="BN30" i="153"/>
  <c r="BL30" i="153"/>
  <c r="BK30" i="153"/>
  <c r="BJ30" i="153"/>
  <c r="BI30" i="153"/>
  <c r="BH30" i="153"/>
  <c r="BF30" i="153"/>
  <c r="BE30" i="153"/>
  <c r="BD30" i="153"/>
  <c r="BC30" i="153"/>
  <c r="BB30" i="153"/>
  <c r="AZ30" i="153"/>
  <c r="AY30" i="153"/>
  <c r="AX30" i="153"/>
  <c r="AW30" i="153"/>
  <c r="AV30" i="153"/>
  <c r="AT30" i="153"/>
  <c r="AS30" i="153"/>
  <c r="AR30" i="153"/>
  <c r="AQ30" i="153"/>
  <c r="AP30" i="153"/>
  <c r="AN30" i="153"/>
  <c r="AM30" i="153"/>
  <c r="AL30" i="153"/>
  <c r="AK30" i="153"/>
  <c r="AJ30" i="153"/>
  <c r="AH30" i="153"/>
  <c r="AG30" i="153"/>
  <c r="AF30" i="153"/>
  <c r="AE30" i="153"/>
  <c r="AD30" i="153"/>
  <c r="AB30" i="153"/>
  <c r="AA30" i="153"/>
  <c r="Z30" i="153"/>
  <c r="Y30" i="153"/>
  <c r="X30" i="153"/>
  <c r="V30" i="153"/>
  <c r="U30" i="153"/>
  <c r="T30" i="153"/>
  <c r="S30" i="153"/>
  <c r="Q30" i="153"/>
  <c r="P30" i="153"/>
  <c r="O30" i="153"/>
  <c r="M30" i="153"/>
  <c r="L30" i="153"/>
  <c r="K30" i="153"/>
  <c r="J30" i="153"/>
  <c r="I30" i="153"/>
  <c r="G30" i="153"/>
  <c r="F30" i="153"/>
  <c r="E30" i="153"/>
  <c r="D30" i="153"/>
  <c r="C30" i="153"/>
  <c r="DB28" i="153"/>
  <c r="DA28" i="153"/>
  <c r="CZ28" i="153"/>
  <c r="CY28" i="153"/>
  <c r="CX28" i="153"/>
  <c r="CV28" i="153"/>
  <c r="CU28" i="153"/>
  <c r="CT28" i="153"/>
  <c r="CS28" i="153"/>
  <c r="CR28" i="153"/>
  <c r="CP28" i="153"/>
  <c r="CO28" i="153"/>
  <c r="CN28" i="153"/>
  <c r="CM28" i="153"/>
  <c r="CL28" i="153"/>
  <c r="CJ28" i="153"/>
  <c r="CI28" i="153"/>
  <c r="CH28" i="153"/>
  <c r="CG28" i="153"/>
  <c r="CF28" i="153"/>
  <c r="CD28" i="153"/>
  <c r="CC28" i="153"/>
  <c r="CB28" i="153"/>
  <c r="CA28" i="153"/>
  <c r="BZ28" i="153"/>
  <c r="BX28" i="153"/>
  <c r="BW28" i="153"/>
  <c r="BV28" i="153"/>
  <c r="BU28" i="153"/>
  <c r="BT28" i="153"/>
  <c r="BR28" i="153"/>
  <c r="BQ28" i="153"/>
  <c r="BP28" i="153"/>
  <c r="BO28" i="153"/>
  <c r="BN28" i="153"/>
  <c r="BL28" i="153"/>
  <c r="BK28" i="153"/>
  <c r="BJ28" i="153"/>
  <c r="BI28" i="153"/>
  <c r="BH28" i="153"/>
  <c r="BF28" i="153"/>
  <c r="BE28" i="153"/>
  <c r="BD28" i="153"/>
  <c r="BC28" i="153"/>
  <c r="BB28" i="153"/>
  <c r="AZ28" i="153"/>
  <c r="AY28" i="153"/>
  <c r="AX28" i="153"/>
  <c r="AW28" i="153"/>
  <c r="AV28" i="153"/>
  <c r="AT28" i="153"/>
  <c r="AS28" i="153"/>
  <c r="AR28" i="153"/>
  <c r="AQ28" i="153"/>
  <c r="AP28" i="153"/>
  <c r="AN28" i="153"/>
  <c r="AM28" i="153"/>
  <c r="AL28" i="153"/>
  <c r="AK28" i="153"/>
  <c r="AJ28" i="153"/>
  <c r="AH28" i="153"/>
  <c r="AG28" i="153"/>
  <c r="AF28" i="153"/>
  <c r="AE28" i="153"/>
  <c r="AD28" i="153"/>
  <c r="AB28" i="153"/>
  <c r="AA28" i="153"/>
  <c r="Z28" i="153"/>
  <c r="Y28" i="153"/>
  <c r="X28" i="153"/>
  <c r="V28" i="153"/>
  <c r="U28" i="153"/>
  <c r="T28" i="153"/>
  <c r="S28" i="153"/>
  <c r="Q28" i="153"/>
  <c r="P28" i="153"/>
  <c r="O28" i="153"/>
  <c r="M28" i="153"/>
  <c r="L28" i="153"/>
  <c r="K28" i="153"/>
  <c r="J28" i="153"/>
  <c r="I28" i="153"/>
  <c r="G28" i="153"/>
  <c r="F28" i="153"/>
  <c r="E28" i="153"/>
  <c r="D28" i="153"/>
  <c r="C28" i="153"/>
  <c r="DB27" i="153"/>
  <c r="DA27" i="153"/>
  <c r="CZ27" i="153"/>
  <c r="CY27" i="153"/>
  <c r="CX27" i="153"/>
  <c r="CV27" i="153"/>
  <c r="CU27" i="153"/>
  <c r="CT27" i="153"/>
  <c r="CS27" i="153"/>
  <c r="CR27" i="153"/>
  <c r="CP27" i="153"/>
  <c r="CO27" i="153"/>
  <c r="CN27" i="153"/>
  <c r="CM27" i="153"/>
  <c r="CL27" i="153"/>
  <c r="CJ27" i="153"/>
  <c r="CI27" i="153"/>
  <c r="CH27" i="153"/>
  <c r="CG27" i="153"/>
  <c r="CF27" i="153"/>
  <c r="CD27" i="153"/>
  <c r="CC27" i="153"/>
  <c r="CB27" i="153"/>
  <c r="CA27" i="153"/>
  <c r="BZ27" i="153"/>
  <c r="BX27" i="153"/>
  <c r="BW27" i="153"/>
  <c r="BV27" i="153"/>
  <c r="BU27" i="153"/>
  <c r="BT27" i="153"/>
  <c r="BR27" i="153"/>
  <c r="BQ27" i="153"/>
  <c r="BP27" i="153"/>
  <c r="BO27" i="153"/>
  <c r="BN27" i="153"/>
  <c r="BL27" i="153"/>
  <c r="BK27" i="153"/>
  <c r="BJ27" i="153"/>
  <c r="BI27" i="153"/>
  <c r="BH27" i="153"/>
  <c r="BF27" i="153"/>
  <c r="BE27" i="153"/>
  <c r="BD27" i="153"/>
  <c r="BC27" i="153"/>
  <c r="BB27" i="153"/>
  <c r="AZ27" i="153"/>
  <c r="AY27" i="153"/>
  <c r="AX27" i="153"/>
  <c r="AW27" i="153"/>
  <c r="AV27" i="153"/>
  <c r="AT27" i="153"/>
  <c r="AS27" i="153"/>
  <c r="AR27" i="153"/>
  <c r="AQ27" i="153"/>
  <c r="AP27" i="153"/>
  <c r="AN27" i="153"/>
  <c r="AM27" i="153"/>
  <c r="AL27" i="153"/>
  <c r="AK27" i="153"/>
  <c r="AJ27" i="153"/>
  <c r="AH27" i="153"/>
  <c r="AG27" i="153"/>
  <c r="AF27" i="153"/>
  <c r="AE27" i="153"/>
  <c r="AD27" i="153"/>
  <c r="AB27" i="153"/>
  <c r="AA27" i="153"/>
  <c r="Z27" i="153"/>
  <c r="Y27" i="153"/>
  <c r="X27" i="153"/>
  <c r="V27" i="153"/>
  <c r="U27" i="153"/>
  <c r="T27" i="153"/>
  <c r="S27" i="153"/>
  <c r="Q27" i="153"/>
  <c r="P27" i="153"/>
  <c r="O27" i="153"/>
  <c r="M27" i="153"/>
  <c r="L27" i="153"/>
  <c r="K27" i="153"/>
  <c r="J27" i="153"/>
  <c r="I27" i="153"/>
  <c r="G27" i="153"/>
  <c r="F27" i="153"/>
  <c r="E27" i="153"/>
  <c r="D27" i="153"/>
  <c r="C27" i="153"/>
  <c r="DB25" i="153"/>
  <c r="DA25" i="153"/>
  <c r="CZ25" i="153"/>
  <c r="CY25" i="153"/>
  <c r="CX25" i="153"/>
  <c r="CV25" i="153"/>
  <c r="CU25" i="153"/>
  <c r="CT25" i="153"/>
  <c r="CS25" i="153"/>
  <c r="CR25" i="153"/>
  <c r="CP25" i="153"/>
  <c r="CO25" i="153"/>
  <c r="CN25" i="153"/>
  <c r="CM25" i="153"/>
  <c r="CL25" i="153"/>
  <c r="CJ25" i="153"/>
  <c r="CI25" i="153"/>
  <c r="CH25" i="153"/>
  <c r="CG25" i="153"/>
  <c r="CF25" i="153"/>
  <c r="CD25" i="153"/>
  <c r="CC25" i="153"/>
  <c r="CB25" i="153"/>
  <c r="CA25" i="153"/>
  <c r="BZ25" i="153"/>
  <c r="BX25" i="153"/>
  <c r="BW25" i="153"/>
  <c r="BV25" i="153"/>
  <c r="BU25" i="153"/>
  <c r="BT25" i="153"/>
  <c r="BR25" i="153"/>
  <c r="BQ25" i="153"/>
  <c r="BP25" i="153"/>
  <c r="BO25" i="153"/>
  <c r="BN25" i="153"/>
  <c r="BL25" i="153"/>
  <c r="BK25" i="153"/>
  <c r="BJ25" i="153"/>
  <c r="BI25" i="153"/>
  <c r="BH25" i="153"/>
  <c r="BF25" i="153"/>
  <c r="BE25" i="153"/>
  <c r="BD25" i="153"/>
  <c r="BC25" i="153"/>
  <c r="BB25" i="153"/>
  <c r="AZ25" i="153"/>
  <c r="AY25" i="153"/>
  <c r="AX25" i="153"/>
  <c r="AW25" i="153"/>
  <c r="AV25" i="153"/>
  <c r="AT25" i="153"/>
  <c r="AS25" i="153"/>
  <c r="AR25" i="153"/>
  <c r="AQ25" i="153"/>
  <c r="AP25" i="153"/>
  <c r="AN25" i="153"/>
  <c r="AM25" i="153"/>
  <c r="AL25" i="153"/>
  <c r="AK25" i="153"/>
  <c r="AJ25" i="153"/>
  <c r="AH25" i="153"/>
  <c r="AG25" i="153"/>
  <c r="AF25" i="153"/>
  <c r="AE25" i="153"/>
  <c r="AD25" i="153"/>
  <c r="AB25" i="153"/>
  <c r="AA25" i="153"/>
  <c r="Z25" i="153"/>
  <c r="Y25" i="153"/>
  <c r="X25" i="153"/>
  <c r="V25" i="153"/>
  <c r="U25" i="153"/>
  <c r="T25" i="153"/>
  <c r="S25" i="153"/>
  <c r="Q25" i="153"/>
  <c r="P25" i="153"/>
  <c r="O25" i="153"/>
  <c r="M25" i="153"/>
  <c r="L25" i="153"/>
  <c r="K25" i="153"/>
  <c r="J25" i="153"/>
  <c r="I25" i="153"/>
  <c r="G25" i="153"/>
  <c r="F25" i="153"/>
  <c r="E25" i="153"/>
  <c r="D25" i="153"/>
  <c r="C25" i="153"/>
  <c r="DB24" i="153"/>
  <c r="DA24" i="153"/>
  <c r="CZ24" i="153"/>
  <c r="CY24" i="153"/>
  <c r="CX24" i="153"/>
  <c r="CV24" i="153"/>
  <c r="CU24" i="153"/>
  <c r="CT24" i="153"/>
  <c r="CS24" i="153"/>
  <c r="CR24" i="153"/>
  <c r="CP24" i="153"/>
  <c r="CO24" i="153"/>
  <c r="CN24" i="153"/>
  <c r="CM24" i="153"/>
  <c r="CL24" i="153"/>
  <c r="CJ24" i="153"/>
  <c r="CI24" i="153"/>
  <c r="CH24" i="153"/>
  <c r="CG24" i="153"/>
  <c r="CF24" i="153"/>
  <c r="CD24" i="153"/>
  <c r="CC24" i="153"/>
  <c r="CB24" i="153"/>
  <c r="CA24" i="153"/>
  <c r="BZ24" i="153"/>
  <c r="BX24" i="153"/>
  <c r="BW24" i="153"/>
  <c r="BV24" i="153"/>
  <c r="BU24" i="153"/>
  <c r="BT24" i="153"/>
  <c r="BR24" i="153"/>
  <c r="BQ24" i="153"/>
  <c r="BP24" i="153"/>
  <c r="BO24" i="153"/>
  <c r="BN24" i="153"/>
  <c r="BL24" i="153"/>
  <c r="BK24" i="153"/>
  <c r="BJ24" i="153"/>
  <c r="BI24" i="153"/>
  <c r="BH24" i="153"/>
  <c r="BF24" i="153"/>
  <c r="BE24" i="153"/>
  <c r="BD24" i="153"/>
  <c r="BC24" i="153"/>
  <c r="BB24" i="153"/>
  <c r="AZ24" i="153"/>
  <c r="AY24" i="153"/>
  <c r="AX24" i="153"/>
  <c r="AW24" i="153"/>
  <c r="AV24" i="153"/>
  <c r="AT24" i="153"/>
  <c r="AS24" i="153"/>
  <c r="AR24" i="153"/>
  <c r="AQ24" i="153"/>
  <c r="AP24" i="153"/>
  <c r="AN24" i="153"/>
  <c r="AM24" i="153"/>
  <c r="AL24" i="153"/>
  <c r="AK24" i="153"/>
  <c r="AJ24" i="153"/>
  <c r="AH24" i="153"/>
  <c r="AG24" i="153"/>
  <c r="AF24" i="153"/>
  <c r="AE24" i="153"/>
  <c r="AD24" i="153"/>
  <c r="AB24" i="153"/>
  <c r="AA24" i="153"/>
  <c r="Z24" i="153"/>
  <c r="Y24" i="153"/>
  <c r="X24" i="153"/>
  <c r="V24" i="153"/>
  <c r="U24" i="153"/>
  <c r="T24" i="153"/>
  <c r="S24" i="153"/>
  <c r="Q24" i="153"/>
  <c r="P24" i="153"/>
  <c r="O24" i="153"/>
  <c r="M24" i="153"/>
  <c r="L24" i="153"/>
  <c r="K24" i="153"/>
  <c r="J24" i="153"/>
  <c r="I24" i="153"/>
  <c r="G24" i="153"/>
  <c r="F24" i="153"/>
  <c r="E24" i="153"/>
  <c r="D24" i="153"/>
  <c r="C24" i="153"/>
  <c r="O2" i="153"/>
  <c r="P2" i="153"/>
  <c r="Q2" i="153"/>
  <c r="O3" i="153"/>
  <c r="P3" i="153"/>
  <c r="Q3" i="153"/>
  <c r="O5" i="153"/>
  <c r="P5" i="153"/>
  <c r="Q5" i="153"/>
  <c r="O6" i="153"/>
  <c r="P6" i="153"/>
  <c r="Q6" i="153"/>
  <c r="O8" i="153"/>
  <c r="P8" i="153"/>
  <c r="Q8" i="153"/>
  <c r="O9" i="153"/>
  <c r="P9" i="153"/>
  <c r="Q9" i="153"/>
  <c r="O14" i="153"/>
  <c r="P14" i="153"/>
  <c r="Q14" i="153"/>
  <c r="O15" i="153"/>
  <c r="P15" i="153"/>
  <c r="Q15" i="153"/>
  <c r="O17" i="153"/>
  <c r="P17" i="153"/>
  <c r="Q17" i="153"/>
  <c r="O18" i="153"/>
  <c r="P18" i="153"/>
  <c r="Q18" i="153"/>
  <c r="DB18" i="153"/>
  <c r="DA18" i="153"/>
  <c r="CZ18" i="153"/>
  <c r="CY18" i="153"/>
  <c r="CX18" i="153"/>
  <c r="DB17" i="153"/>
  <c r="DA17" i="153"/>
  <c r="CZ17" i="153"/>
  <c r="CY17" i="153"/>
  <c r="CX17" i="153"/>
  <c r="DB15" i="153"/>
  <c r="DA15" i="153"/>
  <c r="CZ15" i="153"/>
  <c r="CY15" i="153"/>
  <c r="CX15" i="153"/>
  <c r="DB14" i="153"/>
  <c r="DA14" i="153"/>
  <c r="CZ14" i="153"/>
  <c r="CY14" i="153"/>
  <c r="CX14" i="153"/>
  <c r="DB9" i="153"/>
  <c r="DA9" i="153"/>
  <c r="CZ9" i="153"/>
  <c r="CY9" i="153"/>
  <c r="CX9" i="153"/>
  <c r="DB8" i="153"/>
  <c r="DA8" i="153"/>
  <c r="CZ8" i="153"/>
  <c r="CY8" i="153"/>
  <c r="CX8" i="153"/>
  <c r="DB6" i="153"/>
  <c r="DA6" i="153"/>
  <c r="CZ6" i="153"/>
  <c r="CY6" i="153"/>
  <c r="CX6" i="153"/>
  <c r="DB5" i="153"/>
  <c r="DA5" i="153"/>
  <c r="CZ5" i="153"/>
  <c r="CY5" i="153"/>
  <c r="CX5" i="153"/>
  <c r="DB3" i="153"/>
  <c r="DA3" i="153"/>
  <c r="CZ3" i="153"/>
  <c r="CY3" i="153"/>
  <c r="CX3" i="153"/>
  <c r="DB2" i="153"/>
  <c r="DA2" i="153"/>
  <c r="CZ2" i="153"/>
  <c r="CY2" i="153"/>
  <c r="CX2" i="153"/>
  <c r="CV18" i="153"/>
  <c r="CU18" i="153"/>
  <c r="CT18" i="153"/>
  <c r="CS18" i="153"/>
  <c r="CR18" i="153"/>
  <c r="CV17" i="153"/>
  <c r="CU17" i="153"/>
  <c r="CT17" i="153"/>
  <c r="CS17" i="153"/>
  <c r="CR17" i="153"/>
  <c r="CV15" i="153"/>
  <c r="CU15" i="153"/>
  <c r="CT15" i="153"/>
  <c r="CS15" i="153"/>
  <c r="CR15" i="153"/>
  <c r="CV14" i="153"/>
  <c r="CU14" i="153"/>
  <c r="CT14" i="153"/>
  <c r="CS14" i="153"/>
  <c r="CR14" i="153"/>
  <c r="CV9" i="153"/>
  <c r="CU9" i="153"/>
  <c r="CT9" i="153"/>
  <c r="CS9" i="153"/>
  <c r="CR9" i="153"/>
  <c r="CV8" i="153"/>
  <c r="CU8" i="153"/>
  <c r="CT8" i="153"/>
  <c r="CS8" i="153"/>
  <c r="CR8" i="153"/>
  <c r="CV6" i="153"/>
  <c r="CU6" i="153"/>
  <c r="CT6" i="153"/>
  <c r="CS6" i="153"/>
  <c r="CR6" i="153"/>
  <c r="CV5" i="153"/>
  <c r="CU5" i="153"/>
  <c r="CT5" i="153"/>
  <c r="CS5" i="153"/>
  <c r="CR5" i="153"/>
  <c r="CV3" i="153"/>
  <c r="CU3" i="153"/>
  <c r="CT3" i="153"/>
  <c r="CS3" i="153"/>
  <c r="CR3" i="153"/>
  <c r="CV2" i="153"/>
  <c r="CU2" i="153"/>
  <c r="CT2" i="153"/>
  <c r="CS2" i="153"/>
  <c r="CR2" i="153"/>
  <c r="CP18" i="153"/>
  <c r="CO18" i="153"/>
  <c r="CN18" i="153"/>
  <c r="CM18" i="153"/>
  <c r="CL18" i="153"/>
  <c r="CP17" i="153"/>
  <c r="CO17" i="153"/>
  <c r="CN17" i="153"/>
  <c r="CM17" i="153"/>
  <c r="CL17" i="153"/>
  <c r="CP15" i="153"/>
  <c r="CO15" i="153"/>
  <c r="CN15" i="153"/>
  <c r="CM15" i="153"/>
  <c r="CL15" i="153"/>
  <c r="CP14" i="153"/>
  <c r="CO14" i="153"/>
  <c r="CN14" i="153"/>
  <c r="CM14" i="153"/>
  <c r="CL14" i="153"/>
  <c r="CP9" i="153"/>
  <c r="CO9" i="153"/>
  <c r="CN9" i="153"/>
  <c r="CM9" i="153"/>
  <c r="CL9" i="153"/>
  <c r="CP8" i="153"/>
  <c r="CO8" i="153"/>
  <c r="CN8" i="153"/>
  <c r="CM8" i="153"/>
  <c r="CL8" i="153"/>
  <c r="CP6" i="153"/>
  <c r="CO6" i="153"/>
  <c r="CN6" i="153"/>
  <c r="CM6" i="153"/>
  <c r="CL6" i="153"/>
  <c r="CP5" i="153"/>
  <c r="CO5" i="153"/>
  <c r="CN5" i="153"/>
  <c r="CM5" i="153"/>
  <c r="CL5" i="153"/>
  <c r="CP3" i="153"/>
  <c r="CO3" i="153"/>
  <c r="CN3" i="153"/>
  <c r="CM3" i="153"/>
  <c r="CL3" i="153"/>
  <c r="CP2" i="153"/>
  <c r="CO2" i="153"/>
  <c r="CN2" i="153"/>
  <c r="CM2" i="153"/>
  <c r="CL2" i="153"/>
  <c r="CJ18" i="153"/>
  <c r="CI18" i="153"/>
  <c r="CH18" i="153"/>
  <c r="CG18" i="153"/>
  <c r="CF18" i="153"/>
  <c r="CJ17" i="153"/>
  <c r="CI17" i="153"/>
  <c r="CH17" i="153"/>
  <c r="CG17" i="153"/>
  <c r="CF17" i="153"/>
  <c r="CJ15" i="153"/>
  <c r="CI15" i="153"/>
  <c r="CH15" i="153"/>
  <c r="CG15" i="153"/>
  <c r="CF15" i="153"/>
  <c r="CJ14" i="153"/>
  <c r="CI14" i="153"/>
  <c r="CH14" i="153"/>
  <c r="CG14" i="153"/>
  <c r="CF14" i="153"/>
  <c r="CJ9" i="153"/>
  <c r="CI9" i="153"/>
  <c r="CH9" i="153"/>
  <c r="CG9" i="153"/>
  <c r="CF9" i="153"/>
  <c r="CJ8" i="153"/>
  <c r="CI8" i="153"/>
  <c r="CH8" i="153"/>
  <c r="CG8" i="153"/>
  <c r="CF8" i="153"/>
  <c r="CJ6" i="153"/>
  <c r="CI6" i="153"/>
  <c r="CH6" i="153"/>
  <c r="CG6" i="153"/>
  <c r="CF6" i="153"/>
  <c r="CJ5" i="153"/>
  <c r="CI5" i="153"/>
  <c r="CH5" i="153"/>
  <c r="CG5" i="153"/>
  <c r="CF5" i="153"/>
  <c r="CJ3" i="153"/>
  <c r="CI3" i="153"/>
  <c r="CH3" i="153"/>
  <c r="CG3" i="153"/>
  <c r="CF3" i="153"/>
  <c r="CJ2" i="153"/>
  <c r="CI2" i="153"/>
  <c r="CH2" i="153"/>
  <c r="CG2" i="153"/>
  <c r="CF2" i="153"/>
  <c r="CD18" i="153"/>
  <c r="CC18" i="153"/>
  <c r="CB18" i="153"/>
  <c r="CA18" i="153"/>
  <c r="BZ18" i="153"/>
  <c r="CD17" i="153"/>
  <c r="CC17" i="153"/>
  <c r="CB17" i="153"/>
  <c r="CA17" i="153"/>
  <c r="BZ17" i="153"/>
  <c r="CD15" i="153"/>
  <c r="CC15" i="153"/>
  <c r="CB15" i="153"/>
  <c r="CA15" i="153"/>
  <c r="BZ15" i="153"/>
  <c r="CD14" i="153"/>
  <c r="CC14" i="153"/>
  <c r="CB14" i="153"/>
  <c r="CA14" i="153"/>
  <c r="BZ14" i="153"/>
  <c r="CD9" i="153"/>
  <c r="CC9" i="153"/>
  <c r="CB9" i="153"/>
  <c r="CA9" i="153"/>
  <c r="BZ9" i="153"/>
  <c r="CD8" i="153"/>
  <c r="CC8" i="153"/>
  <c r="CB8" i="153"/>
  <c r="CA8" i="153"/>
  <c r="BZ8" i="153"/>
  <c r="CD6" i="153"/>
  <c r="CC6" i="153"/>
  <c r="CB6" i="153"/>
  <c r="CA6" i="153"/>
  <c r="BZ6" i="153"/>
  <c r="CD5" i="153"/>
  <c r="CC5" i="153"/>
  <c r="CB5" i="153"/>
  <c r="CA5" i="153"/>
  <c r="BZ5" i="153"/>
  <c r="CD3" i="153"/>
  <c r="CC3" i="153"/>
  <c r="CB3" i="153"/>
  <c r="CA3" i="153"/>
  <c r="BZ3" i="153"/>
  <c r="CD2" i="153"/>
  <c r="CC2" i="153"/>
  <c r="CB2" i="153"/>
  <c r="CA2" i="153"/>
  <c r="BZ2" i="153"/>
  <c r="BX18" i="153"/>
  <c r="BW18" i="153"/>
  <c r="BV18" i="153"/>
  <c r="BU18" i="153"/>
  <c r="BT18" i="153"/>
  <c r="BX17" i="153"/>
  <c r="BW17" i="153"/>
  <c r="BV17" i="153"/>
  <c r="BU17" i="153"/>
  <c r="BT17" i="153"/>
  <c r="BX15" i="153"/>
  <c r="BW15" i="153"/>
  <c r="BV15" i="153"/>
  <c r="BU15" i="153"/>
  <c r="BT15" i="153"/>
  <c r="BX14" i="153"/>
  <c r="BW14" i="153"/>
  <c r="BV14" i="153"/>
  <c r="BU14" i="153"/>
  <c r="BT14" i="153"/>
  <c r="BX9" i="153"/>
  <c r="BW9" i="153"/>
  <c r="BV9" i="153"/>
  <c r="BU9" i="153"/>
  <c r="BT9" i="153"/>
  <c r="BX8" i="153"/>
  <c r="BW8" i="153"/>
  <c r="BV8" i="153"/>
  <c r="BU8" i="153"/>
  <c r="BT8" i="153"/>
  <c r="BX6" i="153"/>
  <c r="BW6" i="153"/>
  <c r="BV6" i="153"/>
  <c r="BU6" i="153"/>
  <c r="BT6" i="153"/>
  <c r="BX5" i="153"/>
  <c r="BW5" i="153"/>
  <c r="BV5" i="153"/>
  <c r="BU5" i="153"/>
  <c r="BT5" i="153"/>
  <c r="BX3" i="153"/>
  <c r="BW3" i="153"/>
  <c r="BV3" i="153"/>
  <c r="BU3" i="153"/>
  <c r="BT3" i="153"/>
  <c r="BX2" i="153"/>
  <c r="BW2" i="153"/>
  <c r="BV2" i="153"/>
  <c r="BU2" i="153"/>
  <c r="BT2" i="153"/>
  <c r="BR18" i="153"/>
  <c r="BQ18" i="153"/>
  <c r="BP18" i="153"/>
  <c r="BO18" i="153"/>
  <c r="BN18" i="153"/>
  <c r="BR17" i="153"/>
  <c r="BQ17" i="153"/>
  <c r="BP17" i="153"/>
  <c r="BO17" i="153"/>
  <c r="BN17" i="153"/>
  <c r="BR15" i="153"/>
  <c r="BQ15" i="153"/>
  <c r="BP15" i="153"/>
  <c r="BO15" i="153"/>
  <c r="BN15" i="153"/>
  <c r="BR14" i="153"/>
  <c r="BQ14" i="153"/>
  <c r="BP14" i="153"/>
  <c r="BO14" i="153"/>
  <c r="BN14" i="153"/>
  <c r="BR9" i="153"/>
  <c r="BQ9" i="153"/>
  <c r="BP9" i="153"/>
  <c r="BO9" i="153"/>
  <c r="BN9" i="153"/>
  <c r="BR8" i="153"/>
  <c r="BQ8" i="153"/>
  <c r="BP8" i="153"/>
  <c r="BO8" i="153"/>
  <c r="BN8" i="153"/>
  <c r="BR6" i="153"/>
  <c r="BQ6" i="153"/>
  <c r="BP6" i="153"/>
  <c r="BO6" i="153"/>
  <c r="BN6" i="153"/>
  <c r="BR5" i="153"/>
  <c r="BQ5" i="153"/>
  <c r="BP5" i="153"/>
  <c r="BO5" i="153"/>
  <c r="BN5" i="153"/>
  <c r="BR3" i="153"/>
  <c r="BQ3" i="153"/>
  <c r="BP3" i="153"/>
  <c r="BO3" i="153"/>
  <c r="BN3" i="153"/>
  <c r="BR2" i="153"/>
  <c r="BQ2" i="153"/>
  <c r="BP2" i="153"/>
  <c r="BO2" i="153"/>
  <c r="BN2" i="153"/>
  <c r="JQ12" i="175"/>
  <c r="JP12" i="175"/>
  <c r="JN12" i="175"/>
  <c r="JM12" i="175"/>
  <c r="JK12" i="175"/>
  <c r="JJ12" i="175"/>
  <c r="JH12" i="175"/>
  <c r="JG12" i="175"/>
  <c r="JE12" i="175"/>
  <c r="JD12" i="175"/>
  <c r="JQ6" i="175"/>
  <c r="JP6" i="175"/>
  <c r="JN6" i="175"/>
  <c r="JM6" i="175"/>
  <c r="JK6" i="175"/>
  <c r="JJ6" i="175"/>
  <c r="JH6" i="175"/>
  <c r="JG6" i="175"/>
  <c r="JE6" i="175"/>
  <c r="JD6" i="175"/>
  <c r="JQ5" i="175"/>
  <c r="JP5" i="175"/>
  <c r="JN5" i="175"/>
  <c r="JM5" i="175"/>
  <c r="JK5" i="175"/>
  <c r="JJ5" i="175"/>
  <c r="JH5" i="175"/>
  <c r="JG5" i="175"/>
  <c r="JE5" i="175"/>
  <c r="JD5" i="175"/>
  <c r="JQ4" i="175"/>
  <c r="JP4" i="175"/>
  <c r="JN4" i="175"/>
  <c r="JM4" i="175"/>
  <c r="JK4" i="175"/>
  <c r="JJ4" i="175"/>
  <c r="JH4" i="175"/>
  <c r="JG4" i="175"/>
  <c r="JE4" i="175"/>
  <c r="JD4" i="175"/>
  <c r="JQ3" i="175"/>
  <c r="JP3" i="175"/>
  <c r="JN3" i="175"/>
  <c r="JM3" i="175"/>
  <c r="JK3" i="175"/>
  <c r="JJ3" i="175"/>
  <c r="JH3" i="175"/>
  <c r="JG3" i="175"/>
  <c r="JE3" i="175"/>
  <c r="JD3" i="175"/>
  <c r="AA2900" i="5"/>
  <c r="AA2901" i="5"/>
  <c r="AA2902" i="5"/>
  <c r="AA2903" i="5"/>
  <c r="AA2904" i="5"/>
  <c r="AA2905" i="5"/>
  <c r="AA2906" i="5"/>
  <c r="AA2907" i="5"/>
  <c r="AA2908" i="5"/>
  <c r="AA2909" i="5"/>
  <c r="AA2910" i="5"/>
  <c r="AA2911" i="5"/>
  <c r="AA2912" i="5"/>
  <c r="AA2913" i="5"/>
  <c r="AA2914" i="5"/>
  <c r="AA2915" i="5"/>
  <c r="AA2916" i="5"/>
  <c r="AA2917" i="5"/>
  <c r="AA2918" i="5"/>
  <c r="AA2919" i="5"/>
  <c r="AA2920" i="5"/>
  <c r="AA2921" i="5"/>
  <c r="AA2922" i="5"/>
  <c r="AA2923" i="5"/>
  <c r="AA2924" i="5"/>
  <c r="AA2925" i="5"/>
  <c r="AA2926" i="5"/>
  <c r="AA2927" i="5"/>
  <c r="AA2928" i="5"/>
  <c r="AA2929" i="5"/>
  <c r="AA2930" i="5"/>
  <c r="AA2931" i="5"/>
  <c r="AA2932" i="5"/>
  <c r="AA2933" i="5"/>
  <c r="AA2934" i="5"/>
  <c r="AA2935" i="5"/>
  <c r="AA2936" i="5"/>
  <c r="AA2937" i="5"/>
  <c r="AA2938" i="5"/>
  <c r="AA2939" i="5"/>
  <c r="AA2940" i="5"/>
  <c r="AA2941" i="5"/>
  <c r="AA2942" i="5"/>
  <c r="AA2943" i="5"/>
  <c r="AA2944" i="5"/>
  <c r="AA2945" i="5"/>
  <c r="AA2946" i="5"/>
  <c r="AA2947" i="5"/>
  <c r="AA2948" i="5"/>
  <c r="AA2949" i="5"/>
  <c r="AA2950" i="5"/>
  <c r="AA2951" i="5"/>
  <c r="AA2952" i="5"/>
  <c r="AA2953" i="5"/>
  <c r="AA2954" i="5"/>
  <c r="AA2955" i="5"/>
  <c r="AA2956" i="5"/>
  <c r="AA2957" i="5"/>
  <c r="AA2958" i="5"/>
  <c r="AA2959" i="5"/>
  <c r="AA2960" i="5"/>
  <c r="AA2961" i="5"/>
  <c r="AA2962" i="5"/>
  <c r="AA2963" i="5"/>
  <c r="AA2964" i="5"/>
  <c r="AA2965" i="5"/>
  <c r="AA2966" i="5"/>
  <c r="R2900" i="5"/>
  <c r="R2901" i="5"/>
  <c r="R2902" i="5"/>
  <c r="R2903" i="5"/>
  <c r="R2904" i="5"/>
  <c r="R2905" i="5"/>
  <c r="R2906" i="5"/>
  <c r="R2907" i="5"/>
  <c r="R2908" i="5"/>
  <c r="R2909" i="5"/>
  <c r="R2910" i="5"/>
  <c r="R2911" i="5"/>
  <c r="R2912" i="5"/>
  <c r="R2913" i="5"/>
  <c r="R2914" i="5"/>
  <c r="R2915" i="5"/>
  <c r="R2916" i="5"/>
  <c r="R2917" i="5"/>
  <c r="R2918" i="5"/>
  <c r="R2919" i="5"/>
  <c r="R2920" i="5"/>
  <c r="R2921" i="5"/>
  <c r="R2922" i="5"/>
  <c r="R2923" i="5"/>
  <c r="R2924" i="5"/>
  <c r="R2925" i="5"/>
  <c r="R2926" i="5"/>
  <c r="R2927" i="5"/>
  <c r="R2928" i="5"/>
  <c r="R2929" i="5"/>
  <c r="R2930" i="5"/>
  <c r="R2931" i="5"/>
  <c r="R2932" i="5"/>
  <c r="R2933" i="5"/>
  <c r="R2934" i="5"/>
  <c r="R2935" i="5"/>
  <c r="R2936" i="5"/>
  <c r="R2937" i="5"/>
  <c r="R2938" i="5"/>
  <c r="R2939" i="5"/>
  <c r="R2940" i="5"/>
  <c r="R2941" i="5"/>
  <c r="R2942" i="5"/>
  <c r="R2943" i="5"/>
  <c r="R2944" i="5"/>
  <c r="R2945" i="5"/>
  <c r="R2946" i="5"/>
  <c r="R2947" i="5"/>
  <c r="R2948" i="5"/>
  <c r="R2949" i="5"/>
  <c r="R2950" i="5"/>
  <c r="R2951" i="5"/>
  <c r="R2952" i="5"/>
  <c r="R2953" i="5"/>
  <c r="R2954" i="5"/>
  <c r="R2955" i="5"/>
  <c r="R2956" i="5"/>
  <c r="R2957" i="5"/>
  <c r="R2958" i="5"/>
  <c r="R2959" i="5"/>
  <c r="R2960" i="5"/>
  <c r="R2961" i="5"/>
  <c r="R2962" i="5"/>
  <c r="R2963" i="5"/>
  <c r="R2964" i="5"/>
  <c r="R2965" i="5"/>
  <c r="R2966" i="5"/>
  <c r="J2900" i="5"/>
  <c r="J2901" i="5"/>
  <c r="J2902" i="5"/>
  <c r="J2903" i="5"/>
  <c r="J2904" i="5"/>
  <c r="J2905" i="5"/>
  <c r="J2906" i="5"/>
  <c r="J2907" i="5"/>
  <c r="J2908" i="5"/>
  <c r="J2909" i="5"/>
  <c r="J2910" i="5"/>
  <c r="J2911" i="5"/>
  <c r="J2912" i="5"/>
  <c r="J2913" i="5"/>
  <c r="J2914" i="5"/>
  <c r="J2915" i="5"/>
  <c r="J2916" i="5"/>
  <c r="J2917" i="5"/>
  <c r="J2918" i="5"/>
  <c r="J2919" i="5"/>
  <c r="J2920" i="5"/>
  <c r="J2921" i="5"/>
  <c r="J2922" i="5"/>
  <c r="J2923" i="5"/>
  <c r="J2924" i="5"/>
  <c r="J2925" i="5"/>
  <c r="J2926" i="5"/>
  <c r="J2927" i="5"/>
  <c r="J2928" i="5"/>
  <c r="J2929" i="5"/>
  <c r="J2930" i="5"/>
  <c r="J2931" i="5"/>
  <c r="J2932" i="5"/>
  <c r="J2933" i="5"/>
  <c r="J2934" i="5"/>
  <c r="J2935" i="5"/>
  <c r="J2936" i="5"/>
  <c r="J2937" i="5"/>
  <c r="J2938" i="5"/>
  <c r="J2939" i="5"/>
  <c r="J2940" i="5"/>
  <c r="J2941" i="5"/>
  <c r="J2942" i="5"/>
  <c r="J2943" i="5"/>
  <c r="J2944" i="5"/>
  <c r="J2945" i="5"/>
  <c r="J2946" i="5"/>
  <c r="J2947" i="5"/>
  <c r="J2948" i="5"/>
  <c r="J2949" i="5"/>
  <c r="J2950" i="5"/>
  <c r="J2951" i="5"/>
  <c r="J2952" i="5"/>
  <c r="J2953" i="5"/>
  <c r="J2954" i="5"/>
  <c r="J2955" i="5"/>
  <c r="J2956" i="5"/>
  <c r="J2957" i="5"/>
  <c r="J2958" i="5"/>
  <c r="J2959" i="5"/>
  <c r="J2960" i="5"/>
  <c r="J2961" i="5"/>
  <c r="J2962" i="5"/>
  <c r="J2963" i="5"/>
  <c r="J2964" i="5"/>
  <c r="J2965" i="5"/>
  <c r="J2966" i="5"/>
  <c r="Q10" i="153" l="1"/>
  <c r="BA31" i="153"/>
  <c r="BY31" i="153"/>
  <c r="CW31" i="153"/>
  <c r="O19" i="153"/>
  <c r="O10" i="153"/>
  <c r="Q7" i="153"/>
  <c r="O4" i="153"/>
  <c r="N30" i="153"/>
  <c r="R30" i="153"/>
  <c r="CH21" i="153"/>
  <c r="CM20" i="153"/>
  <c r="CP21" i="153"/>
  <c r="CU20" i="153"/>
  <c r="CY20" i="153"/>
  <c r="W30" i="153"/>
  <c r="AC30" i="153"/>
  <c r="BA30" i="153"/>
  <c r="BY30" i="153"/>
  <c r="CW30" i="153"/>
  <c r="O21" i="153"/>
  <c r="AI30" i="153"/>
  <c r="BG30" i="153"/>
  <c r="CE30" i="153"/>
  <c r="DC30" i="153"/>
  <c r="F32" i="153"/>
  <c r="K32" i="153"/>
  <c r="P32" i="153"/>
  <c r="U32" i="153"/>
  <c r="Z32" i="153"/>
  <c r="AE32" i="153"/>
  <c r="AO31" i="153"/>
  <c r="AN32" i="153"/>
  <c r="AS32" i="153"/>
  <c r="AX32" i="153"/>
  <c r="BC32" i="153"/>
  <c r="BM31" i="153"/>
  <c r="BL32" i="153"/>
  <c r="BQ32" i="153"/>
  <c r="BV32" i="153"/>
  <c r="CA32" i="153"/>
  <c r="CK31" i="153"/>
  <c r="CJ32" i="153"/>
  <c r="CO32" i="153"/>
  <c r="CT32" i="153"/>
  <c r="CY32" i="153"/>
  <c r="P20" i="153"/>
  <c r="N27" i="153"/>
  <c r="R27" i="153"/>
  <c r="AO30" i="153"/>
  <c r="BM30" i="153"/>
  <c r="CK30" i="153"/>
  <c r="C32" i="153"/>
  <c r="G32" i="153"/>
  <c r="L32" i="153"/>
  <c r="Q32" i="153"/>
  <c r="V32" i="153"/>
  <c r="AA32" i="153"/>
  <c r="AF32" i="153"/>
  <c r="AK32" i="153"/>
  <c r="AP32" i="153"/>
  <c r="AT32" i="153"/>
  <c r="AY32" i="153"/>
  <c r="BD32" i="153"/>
  <c r="BI32" i="153"/>
  <c r="BN32" i="153"/>
  <c r="BR32" i="153"/>
  <c r="BW32" i="153"/>
  <c r="CB32" i="153"/>
  <c r="CG32" i="153"/>
  <c r="CL32" i="153"/>
  <c r="CP32" i="153"/>
  <c r="CU32" i="153"/>
  <c r="CZ32" i="153"/>
  <c r="H30" i="153"/>
  <c r="AU30" i="153"/>
  <c r="BS30" i="153"/>
  <c r="CQ30" i="153"/>
  <c r="H31" i="153"/>
  <c r="I32" i="153"/>
  <c r="M32" i="153"/>
  <c r="S32" i="153"/>
  <c r="AC31" i="153"/>
  <c r="AB32" i="153"/>
  <c r="AG32" i="153"/>
  <c r="AL32" i="153"/>
  <c r="AQ32" i="153"/>
  <c r="AZ32" i="153"/>
  <c r="BE32" i="153"/>
  <c r="BJ32" i="153"/>
  <c r="BO32" i="153"/>
  <c r="BX32" i="153"/>
  <c r="CC32" i="153"/>
  <c r="CH32" i="153"/>
  <c r="CM32" i="153"/>
  <c r="CV32" i="153"/>
  <c r="DA32" i="153"/>
  <c r="E32" i="153"/>
  <c r="J32" i="153"/>
  <c r="O32" i="153"/>
  <c r="T32" i="153"/>
  <c r="Y32" i="153"/>
  <c r="AD32" i="153"/>
  <c r="AH32" i="153"/>
  <c r="AM32" i="153"/>
  <c r="AR32" i="153"/>
  <c r="AW32" i="153"/>
  <c r="BB32" i="153"/>
  <c r="BF32" i="153"/>
  <c r="BK32" i="153"/>
  <c r="BP32" i="153"/>
  <c r="BU32" i="153"/>
  <c r="BZ32" i="153"/>
  <c r="CD32" i="153"/>
  <c r="CI32" i="153"/>
  <c r="CN32" i="153"/>
  <c r="CS32" i="153"/>
  <c r="CX32" i="153"/>
  <c r="DB32" i="153"/>
  <c r="N31" i="153"/>
  <c r="R31" i="153"/>
  <c r="D32" i="153"/>
  <c r="X32" i="153"/>
  <c r="AJ32" i="153"/>
  <c r="AV32" i="153"/>
  <c r="BH32" i="153"/>
  <c r="BT32" i="153"/>
  <c r="CF32" i="153"/>
  <c r="CR32" i="153"/>
  <c r="W31" i="153"/>
  <c r="AI31" i="153"/>
  <c r="AU31" i="153"/>
  <c r="BG31" i="153"/>
  <c r="BS31" i="153"/>
  <c r="CE31" i="153"/>
  <c r="CQ31" i="153"/>
  <c r="DC31" i="153"/>
  <c r="CK27" i="153"/>
  <c r="AC28" i="153"/>
  <c r="BA28" i="153"/>
  <c r="BY28" i="153"/>
  <c r="CW28" i="153"/>
  <c r="W27" i="153"/>
  <c r="AC27" i="153"/>
  <c r="BA27" i="153"/>
  <c r="BY27" i="153"/>
  <c r="CW27" i="153"/>
  <c r="AI27" i="153"/>
  <c r="BG27" i="153"/>
  <c r="CE27" i="153"/>
  <c r="DC27" i="153"/>
  <c r="F29" i="153"/>
  <c r="K29" i="153"/>
  <c r="P29" i="153"/>
  <c r="U29" i="153"/>
  <c r="Z29" i="153"/>
  <c r="AE29" i="153"/>
  <c r="AO28" i="153"/>
  <c r="AN29" i="153"/>
  <c r="AS29" i="153"/>
  <c r="AX29" i="153"/>
  <c r="BC29" i="153"/>
  <c r="BM28" i="153"/>
  <c r="BL29" i="153"/>
  <c r="BQ29" i="153"/>
  <c r="BV29" i="153"/>
  <c r="CA29" i="153"/>
  <c r="CK28" i="153"/>
  <c r="CJ29" i="153"/>
  <c r="CO29" i="153"/>
  <c r="CT29" i="153"/>
  <c r="CY29" i="153"/>
  <c r="AO27" i="153"/>
  <c r="BM27" i="153"/>
  <c r="C29" i="153"/>
  <c r="G29" i="153"/>
  <c r="L29" i="153"/>
  <c r="Q29" i="153"/>
  <c r="V29" i="153"/>
  <c r="AA29" i="153"/>
  <c r="AF29" i="153"/>
  <c r="AK29" i="153"/>
  <c r="AP29" i="153"/>
  <c r="AT29" i="153"/>
  <c r="AY29" i="153"/>
  <c r="BD29" i="153"/>
  <c r="BI29" i="153"/>
  <c r="BN29" i="153"/>
  <c r="BR29" i="153"/>
  <c r="BW29" i="153"/>
  <c r="CB29" i="153"/>
  <c r="CG29" i="153"/>
  <c r="CL29" i="153"/>
  <c r="CP29" i="153"/>
  <c r="CU29" i="153"/>
  <c r="CZ29" i="153"/>
  <c r="H27" i="153"/>
  <c r="AU27" i="153"/>
  <c r="BS27" i="153"/>
  <c r="CQ27" i="153"/>
  <c r="H28" i="153"/>
  <c r="I29" i="153"/>
  <c r="M29" i="153"/>
  <c r="S29" i="153"/>
  <c r="AB29" i="153"/>
  <c r="AG29" i="153"/>
  <c r="AL29" i="153"/>
  <c r="AQ29" i="153"/>
  <c r="AZ29" i="153"/>
  <c r="BE29" i="153"/>
  <c r="BJ29" i="153"/>
  <c r="BO29" i="153"/>
  <c r="BX29" i="153"/>
  <c r="CC29" i="153"/>
  <c r="CH29" i="153"/>
  <c r="CM29" i="153"/>
  <c r="CV29" i="153"/>
  <c r="DA29" i="153"/>
  <c r="E29" i="153"/>
  <c r="J29" i="153"/>
  <c r="O29" i="153"/>
  <c r="T29" i="153"/>
  <c r="Y29" i="153"/>
  <c r="AD29" i="153"/>
  <c r="AH29" i="153"/>
  <c r="AM29" i="153"/>
  <c r="AR29" i="153"/>
  <c r="AW29" i="153"/>
  <c r="BB29" i="153"/>
  <c r="BF29" i="153"/>
  <c r="BK29" i="153"/>
  <c r="BP29" i="153"/>
  <c r="BU29" i="153"/>
  <c r="BZ29" i="153"/>
  <c r="CD29" i="153"/>
  <c r="CI29" i="153"/>
  <c r="CN29" i="153"/>
  <c r="CS29" i="153"/>
  <c r="CX29" i="153"/>
  <c r="DB29" i="153"/>
  <c r="N28" i="153"/>
  <c r="R28" i="153"/>
  <c r="D29" i="153"/>
  <c r="X29" i="153"/>
  <c r="AJ29" i="153"/>
  <c r="AV29" i="153"/>
  <c r="BH29" i="153"/>
  <c r="BT29" i="153"/>
  <c r="CF29" i="153"/>
  <c r="CR29" i="153"/>
  <c r="W28" i="153"/>
  <c r="AI28" i="153"/>
  <c r="AU28" i="153"/>
  <c r="BG28" i="153"/>
  <c r="BS28" i="153"/>
  <c r="CE28" i="153"/>
  <c r="CQ28" i="153"/>
  <c r="DC28" i="153"/>
  <c r="JG13" i="175"/>
  <c r="Q21" i="153"/>
  <c r="CI4" i="153"/>
  <c r="CG7" i="153"/>
  <c r="CI10" i="153"/>
  <c r="P19" i="153"/>
  <c r="P4" i="153"/>
  <c r="JQ13" i="175"/>
  <c r="P21" i="153"/>
  <c r="R15" i="153"/>
  <c r="O20" i="153"/>
  <c r="Q4" i="153"/>
  <c r="AO24" i="153"/>
  <c r="BO20" i="153"/>
  <c r="BW20" i="153"/>
  <c r="BV21" i="153"/>
  <c r="CA20" i="153"/>
  <c r="CD21" i="153"/>
  <c r="P16" i="153"/>
  <c r="P7" i="153"/>
  <c r="R5" i="153"/>
  <c r="BR7" i="153"/>
  <c r="BX10" i="153"/>
  <c r="BV16" i="153"/>
  <c r="BX19" i="153"/>
  <c r="CJ10" i="153"/>
  <c r="CH16" i="153"/>
  <c r="CJ19" i="153"/>
  <c r="CT16" i="153"/>
  <c r="CV19" i="153"/>
  <c r="CZ4" i="153"/>
  <c r="CZ10" i="153"/>
  <c r="DC14" i="153"/>
  <c r="Q20" i="153"/>
  <c r="Q16" i="153"/>
  <c r="P10" i="153"/>
  <c r="R8" i="153"/>
  <c r="CK25" i="153"/>
  <c r="AI24" i="153"/>
  <c r="BG24" i="153"/>
  <c r="CE24" i="153"/>
  <c r="DC24" i="153"/>
  <c r="AO25" i="153"/>
  <c r="BM25" i="153"/>
  <c r="CW25" i="153"/>
  <c r="H24" i="153"/>
  <c r="W24" i="153"/>
  <c r="AC24" i="153"/>
  <c r="BA24" i="153"/>
  <c r="BY24" i="153"/>
  <c r="CW24" i="153"/>
  <c r="Q19" i="153"/>
  <c r="R17" i="153"/>
  <c r="R6" i="153"/>
  <c r="R2" i="153"/>
  <c r="N24" i="153"/>
  <c r="F26" i="153"/>
  <c r="K26" i="153"/>
  <c r="P26" i="153"/>
  <c r="U26" i="153"/>
  <c r="Z26" i="153"/>
  <c r="AE26" i="153"/>
  <c r="AN26" i="153"/>
  <c r="AS26" i="153"/>
  <c r="AX26" i="153"/>
  <c r="BC26" i="153"/>
  <c r="BL26" i="153"/>
  <c r="BQ26" i="153"/>
  <c r="BV26" i="153"/>
  <c r="CA26" i="153"/>
  <c r="CJ26" i="153"/>
  <c r="CO26" i="153"/>
  <c r="CT26" i="153"/>
  <c r="CY26" i="153"/>
  <c r="R18" i="153"/>
  <c r="R14" i="153"/>
  <c r="O7" i="153"/>
  <c r="R3" i="153"/>
  <c r="R24" i="153"/>
  <c r="BM24" i="153"/>
  <c r="CK24" i="153"/>
  <c r="C26" i="153"/>
  <c r="G26" i="153"/>
  <c r="L26" i="153"/>
  <c r="Q26" i="153"/>
  <c r="V26" i="153"/>
  <c r="AA26" i="153"/>
  <c r="AF26" i="153"/>
  <c r="AK26" i="153"/>
  <c r="AP26" i="153"/>
  <c r="AT26" i="153"/>
  <c r="AY26" i="153"/>
  <c r="BD26" i="153"/>
  <c r="BI26" i="153"/>
  <c r="BN26" i="153"/>
  <c r="BR26" i="153"/>
  <c r="BW26" i="153"/>
  <c r="CB26" i="153"/>
  <c r="CG26" i="153"/>
  <c r="CL26" i="153"/>
  <c r="CP26" i="153"/>
  <c r="CU26" i="153"/>
  <c r="CZ26" i="153"/>
  <c r="AU24" i="153"/>
  <c r="BS24" i="153"/>
  <c r="CQ24" i="153"/>
  <c r="H25" i="153"/>
  <c r="I26" i="153"/>
  <c r="M26" i="153"/>
  <c r="S26" i="153"/>
  <c r="AC25" i="153"/>
  <c r="AB26" i="153"/>
  <c r="AG26" i="153"/>
  <c r="AL26" i="153"/>
  <c r="AQ26" i="153"/>
  <c r="BA25" i="153"/>
  <c r="AZ26" i="153"/>
  <c r="BE26" i="153"/>
  <c r="BJ26" i="153"/>
  <c r="BO26" i="153"/>
  <c r="BY25" i="153"/>
  <c r="BX26" i="153"/>
  <c r="CC26" i="153"/>
  <c r="CH26" i="153"/>
  <c r="CM26" i="153"/>
  <c r="CV26" i="153"/>
  <c r="DA26" i="153"/>
  <c r="O16" i="153"/>
  <c r="R9" i="153"/>
  <c r="E26" i="153"/>
  <c r="J26" i="153"/>
  <c r="O26" i="153"/>
  <c r="T26" i="153"/>
  <c r="Y26" i="153"/>
  <c r="AD26" i="153"/>
  <c r="AH26" i="153"/>
  <c r="AM26" i="153"/>
  <c r="AR26" i="153"/>
  <c r="AW26" i="153"/>
  <c r="BB26" i="153"/>
  <c r="BF26" i="153"/>
  <c r="BK26" i="153"/>
  <c r="BP26" i="153"/>
  <c r="BU26" i="153"/>
  <c r="BZ26" i="153"/>
  <c r="CD26" i="153"/>
  <c r="CI26" i="153"/>
  <c r="CN26" i="153"/>
  <c r="CS26" i="153"/>
  <c r="CX26" i="153"/>
  <c r="DB26" i="153"/>
  <c r="N25" i="153"/>
  <c r="R25" i="153"/>
  <c r="D26" i="153"/>
  <c r="X26" i="153"/>
  <c r="AJ26" i="153"/>
  <c r="AV26" i="153"/>
  <c r="BH26" i="153"/>
  <c r="BT26" i="153"/>
  <c r="CF26" i="153"/>
  <c r="CR26" i="153"/>
  <c r="W25" i="153"/>
  <c r="AI25" i="153"/>
  <c r="AU25" i="153"/>
  <c r="BG25" i="153"/>
  <c r="BS25" i="153"/>
  <c r="CE25" i="153"/>
  <c r="CQ25" i="153"/>
  <c r="DC25" i="153"/>
  <c r="BN20" i="153"/>
  <c r="BR20" i="153"/>
  <c r="BQ21" i="153"/>
  <c r="BV20" i="153"/>
  <c r="BU21" i="153"/>
  <c r="BY14" i="153"/>
  <c r="BZ20" i="153"/>
  <c r="CD20" i="153"/>
  <c r="CC21" i="153"/>
  <c r="CB7" i="153"/>
  <c r="CD10" i="153"/>
  <c r="CB16" i="153"/>
  <c r="CH20" i="153"/>
  <c r="CG21" i="153"/>
  <c r="CP20" i="153"/>
  <c r="CO21" i="153"/>
  <c r="CN7" i="153"/>
  <c r="CQ8" i="153"/>
  <c r="CP10" i="153"/>
  <c r="CN16" i="153"/>
  <c r="CP19" i="153"/>
  <c r="CT20" i="153"/>
  <c r="CS21" i="153"/>
  <c r="CW5" i="153"/>
  <c r="CU7" i="153"/>
  <c r="CS10" i="153"/>
  <c r="CW14" i="153"/>
  <c r="CU16" i="153"/>
  <c r="CS19" i="153"/>
  <c r="CX20" i="153"/>
  <c r="DB20" i="153"/>
  <c r="DA21" i="153"/>
  <c r="CY7" i="153"/>
  <c r="DC8" i="153"/>
  <c r="DA10" i="153"/>
  <c r="CY16" i="153"/>
  <c r="DC17" i="153"/>
  <c r="DB19" i="153"/>
  <c r="BQ20" i="153"/>
  <c r="BU20" i="153"/>
  <c r="CC20" i="153"/>
  <c r="CB21" i="153"/>
  <c r="CG20" i="153"/>
  <c r="CN21" i="153"/>
  <c r="CS20" i="153"/>
  <c r="CV21" i="153"/>
  <c r="DA20" i="153"/>
  <c r="CZ21" i="153"/>
  <c r="BP20" i="153"/>
  <c r="BO21" i="153"/>
  <c r="BS14" i="153"/>
  <c r="BT20" i="153"/>
  <c r="BX20" i="153"/>
  <c r="BW21" i="153"/>
  <c r="BU7" i="153"/>
  <c r="BY8" i="153"/>
  <c r="CB20" i="153"/>
  <c r="CA21" i="153"/>
  <c r="CF20" i="153"/>
  <c r="CJ20" i="153"/>
  <c r="CI21" i="153"/>
  <c r="CK8" i="153"/>
  <c r="CN20" i="153"/>
  <c r="CM21" i="153"/>
  <c r="CR20" i="153"/>
  <c r="CV20" i="153"/>
  <c r="CU21" i="153"/>
  <c r="CY21" i="153"/>
  <c r="DB7" i="153"/>
  <c r="BP4" i="153"/>
  <c r="CO4" i="153"/>
  <c r="DC5" i="153"/>
  <c r="DA7" i="153"/>
  <c r="CY10" i="153"/>
  <c r="DA16" i="153"/>
  <c r="CY19" i="153"/>
  <c r="DC6" i="153"/>
  <c r="DB16" i="153"/>
  <c r="CZ19" i="153"/>
  <c r="DA19" i="153"/>
  <c r="DC3" i="153"/>
  <c r="DB4" i="153"/>
  <c r="CZ7" i="153"/>
  <c r="DC9" i="153"/>
  <c r="DB10" i="153"/>
  <c r="CZ16" i="153"/>
  <c r="DC18" i="153"/>
  <c r="CX16" i="153"/>
  <c r="CX10" i="153"/>
  <c r="CX19" i="153"/>
  <c r="CZ20" i="153"/>
  <c r="CX21" i="153"/>
  <c r="DB21" i="153"/>
  <c r="CX4" i="153"/>
  <c r="DC2" i="153"/>
  <c r="CY4" i="153"/>
  <c r="DC15" i="153"/>
  <c r="CX7" i="153"/>
  <c r="DA4" i="153"/>
  <c r="CT4" i="153"/>
  <c r="CV7" i="153"/>
  <c r="CT10" i="153"/>
  <c r="CV16" i="153"/>
  <c r="CT19" i="153"/>
  <c r="CS7" i="153"/>
  <c r="CW8" i="153"/>
  <c r="CU10" i="153"/>
  <c r="CS16" i="153"/>
  <c r="CW17" i="153"/>
  <c r="CU19" i="153"/>
  <c r="CW3" i="153"/>
  <c r="CT7" i="153"/>
  <c r="CW9" i="153"/>
  <c r="CV10" i="153"/>
  <c r="CW18" i="153"/>
  <c r="CR7" i="153"/>
  <c r="CR16" i="153"/>
  <c r="CR4" i="153"/>
  <c r="CV4" i="153"/>
  <c r="CR10" i="153"/>
  <c r="CR19" i="153"/>
  <c r="CR21" i="153"/>
  <c r="CW2" i="153"/>
  <c r="CS4" i="153"/>
  <c r="CW6" i="153"/>
  <c r="CW15" i="153"/>
  <c r="CT21" i="153"/>
  <c r="CU4" i="153"/>
  <c r="CQ5" i="153"/>
  <c r="CO7" i="153"/>
  <c r="CM10" i="153"/>
  <c r="CQ14" i="153"/>
  <c r="CO16" i="153"/>
  <c r="CM19" i="153"/>
  <c r="CP7" i="153"/>
  <c r="CN10" i="153"/>
  <c r="CP16" i="153"/>
  <c r="CN19" i="153"/>
  <c r="CM7" i="153"/>
  <c r="CO10" i="153"/>
  <c r="CM16" i="153"/>
  <c r="CQ17" i="153"/>
  <c r="CO19" i="153"/>
  <c r="CQ3" i="153"/>
  <c r="CQ9" i="153"/>
  <c r="CQ18" i="153"/>
  <c r="CL7" i="153"/>
  <c r="CL16" i="153"/>
  <c r="CL20" i="153"/>
  <c r="CL4" i="153"/>
  <c r="CP4" i="153"/>
  <c r="CL10" i="153"/>
  <c r="CL19" i="153"/>
  <c r="CL21" i="153"/>
  <c r="CQ2" i="153"/>
  <c r="CM4" i="153"/>
  <c r="CQ6" i="153"/>
  <c r="CQ15" i="153"/>
  <c r="CO20" i="153"/>
  <c r="CN4" i="153"/>
  <c r="CK5" i="153"/>
  <c r="CI7" i="153"/>
  <c r="CG10" i="153"/>
  <c r="CK14" i="153"/>
  <c r="CI16" i="153"/>
  <c r="CG19" i="153"/>
  <c r="CJ7" i="153"/>
  <c r="CH10" i="153"/>
  <c r="CJ16" i="153"/>
  <c r="CH19" i="153"/>
  <c r="CG16" i="153"/>
  <c r="CK17" i="153"/>
  <c r="CI19" i="153"/>
  <c r="CK3" i="153"/>
  <c r="CJ4" i="153"/>
  <c r="CH7" i="153"/>
  <c r="CK9" i="153"/>
  <c r="CK18" i="153"/>
  <c r="CF7" i="153"/>
  <c r="CF16" i="153"/>
  <c r="CF10" i="153"/>
  <c r="CF19" i="153"/>
  <c r="CF21" i="153"/>
  <c r="CJ21" i="153"/>
  <c r="CF4" i="153"/>
  <c r="CK2" i="153"/>
  <c r="CG4" i="153"/>
  <c r="CK6" i="153"/>
  <c r="CK15" i="153"/>
  <c r="CI20" i="153"/>
  <c r="CH4" i="153"/>
  <c r="CE5" i="153"/>
  <c r="CC7" i="153"/>
  <c r="CA10" i="153"/>
  <c r="CE14" i="153"/>
  <c r="CC16" i="153"/>
  <c r="CA19" i="153"/>
  <c r="CD7" i="153"/>
  <c r="CB10" i="153"/>
  <c r="CD16" i="153"/>
  <c r="CB19" i="153"/>
  <c r="CA7" i="153"/>
  <c r="CE8" i="153"/>
  <c r="CC10" i="153"/>
  <c r="CA16" i="153"/>
  <c r="CE17" i="153"/>
  <c r="CC19" i="153"/>
  <c r="CE3" i="153"/>
  <c r="CE9" i="153"/>
  <c r="CE18" i="153"/>
  <c r="CD19" i="153"/>
  <c r="BZ7" i="153"/>
  <c r="BZ16" i="153"/>
  <c r="BZ4" i="153"/>
  <c r="CD4" i="153"/>
  <c r="BZ10" i="153"/>
  <c r="BZ19" i="153"/>
  <c r="BZ21" i="153"/>
  <c r="CE2" i="153"/>
  <c r="CA4" i="153"/>
  <c r="CE6" i="153"/>
  <c r="CE15" i="153"/>
  <c r="CB4" i="153"/>
  <c r="CC4" i="153"/>
  <c r="BY5" i="153"/>
  <c r="BW7" i="153"/>
  <c r="BU10" i="153"/>
  <c r="BW16" i="153"/>
  <c r="BU19" i="153"/>
  <c r="BX7" i="153"/>
  <c r="BV10" i="153"/>
  <c r="BX16" i="153"/>
  <c r="BV19" i="153"/>
  <c r="BW10" i="153"/>
  <c r="BU16" i="153"/>
  <c r="BY17" i="153"/>
  <c r="BW19" i="153"/>
  <c r="BY3" i="153"/>
  <c r="BX4" i="153"/>
  <c r="BV7" i="153"/>
  <c r="BY9" i="153"/>
  <c r="BY18" i="153"/>
  <c r="BT7" i="153"/>
  <c r="BT16" i="153"/>
  <c r="BT10" i="153"/>
  <c r="BT19" i="153"/>
  <c r="BT21" i="153"/>
  <c r="BX21" i="153"/>
  <c r="BT4" i="153"/>
  <c r="BY2" i="153"/>
  <c r="BU4" i="153"/>
  <c r="BY6" i="153"/>
  <c r="BY15" i="153"/>
  <c r="BV4" i="153"/>
  <c r="BW4" i="153"/>
  <c r="BS5" i="153"/>
  <c r="BQ7" i="153"/>
  <c r="BO10" i="153"/>
  <c r="BQ16" i="153"/>
  <c r="BO19" i="153"/>
  <c r="BP10" i="153"/>
  <c r="BR16" i="153"/>
  <c r="BP19" i="153"/>
  <c r="BO7" i="153"/>
  <c r="BS8" i="153"/>
  <c r="BQ10" i="153"/>
  <c r="BO16" i="153"/>
  <c r="BS17" i="153"/>
  <c r="BQ19" i="153"/>
  <c r="BS3" i="153"/>
  <c r="BR4" i="153"/>
  <c r="BP7" i="153"/>
  <c r="BS9" i="153"/>
  <c r="BR10" i="153"/>
  <c r="BP16" i="153"/>
  <c r="BS18" i="153"/>
  <c r="BR19" i="153"/>
  <c r="BN7" i="153"/>
  <c r="BN16" i="153"/>
  <c r="BN10" i="153"/>
  <c r="BN19" i="153"/>
  <c r="BN21" i="153"/>
  <c r="BR21" i="153"/>
  <c r="BN4" i="153"/>
  <c r="BS2" i="153"/>
  <c r="BO4" i="153"/>
  <c r="BS6" i="153"/>
  <c r="BS15" i="153"/>
  <c r="BP21" i="153"/>
  <c r="BQ4" i="153"/>
  <c r="JN13" i="175"/>
  <c r="JR12" i="175"/>
  <c r="JO12" i="175"/>
  <c r="JF3" i="175"/>
  <c r="JJ13" i="175"/>
  <c r="JP13" i="175"/>
  <c r="JI4" i="175"/>
  <c r="JR5" i="175"/>
  <c r="JF12" i="175"/>
  <c r="JI12" i="175"/>
  <c r="JI6" i="175"/>
  <c r="JO6" i="175"/>
  <c r="JO3" i="175"/>
  <c r="JF4" i="175"/>
  <c r="JL4" i="175"/>
  <c r="JR4" i="175"/>
  <c r="JO5" i="175"/>
  <c r="JL6" i="175"/>
  <c r="JR6" i="175"/>
  <c r="JO4" i="175"/>
  <c r="JS3" i="175"/>
  <c r="JK13" i="175"/>
  <c r="JL5" i="175"/>
  <c r="JL12" i="175"/>
  <c r="JH13" i="175"/>
  <c r="JT5" i="175"/>
  <c r="JI3" i="175"/>
  <c r="JI5" i="175"/>
  <c r="JS12" i="175"/>
  <c r="JT4" i="175"/>
  <c r="JF5" i="175"/>
  <c r="JT6" i="175"/>
  <c r="JL3" i="175"/>
  <c r="JT3" i="175"/>
  <c r="JS4" i="175"/>
  <c r="JT12" i="175"/>
  <c r="JS5" i="175"/>
  <c r="JF6" i="175"/>
  <c r="JD13" i="175"/>
  <c r="JR3" i="175"/>
  <c r="JS6" i="175"/>
  <c r="JE13" i="175"/>
  <c r="JM13" i="175"/>
  <c r="ANZ3" i="178"/>
  <c r="B30" i="153" l="1"/>
  <c r="B25" i="153"/>
  <c r="B24" i="153"/>
  <c r="B31" i="153"/>
  <c r="B28" i="153"/>
  <c r="B27" i="153"/>
  <c r="CD22" i="153"/>
  <c r="CU22" i="153"/>
  <c r="CY22" i="153"/>
  <c r="H29" i="153"/>
  <c r="CH22" i="153"/>
  <c r="CW32" i="153"/>
  <c r="CQ19" i="153"/>
  <c r="CE19" i="153"/>
  <c r="H32" i="153"/>
  <c r="JH14" i="175"/>
  <c r="BS10" i="153"/>
  <c r="R32" i="153"/>
  <c r="BA32" i="153"/>
  <c r="CK32" i="153"/>
  <c r="CP22" i="153"/>
  <c r="BM32" i="153"/>
  <c r="CK7" i="153"/>
  <c r="Q22" i="153"/>
  <c r="O22" i="153"/>
  <c r="BS19" i="153"/>
  <c r="DC26" i="153"/>
  <c r="AO32" i="153"/>
  <c r="R29" i="153"/>
  <c r="BS32" i="153"/>
  <c r="P22" i="153"/>
  <c r="AI32" i="153"/>
  <c r="BY32" i="153"/>
  <c r="CQ10" i="153"/>
  <c r="R4" i="153"/>
  <c r="W32" i="153"/>
  <c r="BG32" i="153"/>
  <c r="CA22" i="153"/>
  <c r="AU29" i="153"/>
  <c r="N29" i="153"/>
  <c r="BY29" i="153"/>
  <c r="DC32" i="153"/>
  <c r="AC32" i="153"/>
  <c r="R7" i="153"/>
  <c r="R16" i="153"/>
  <c r="N32" i="153"/>
  <c r="CM22" i="153"/>
  <c r="BG26" i="153"/>
  <c r="BM29" i="153"/>
  <c r="AC29" i="153"/>
  <c r="CQ29" i="153"/>
  <c r="CW29" i="153"/>
  <c r="R21" i="153"/>
  <c r="CE29" i="153"/>
  <c r="CK29" i="153"/>
  <c r="BA29" i="153"/>
  <c r="CQ32" i="153"/>
  <c r="AU32" i="153"/>
  <c r="CW7" i="153"/>
  <c r="CE32" i="153"/>
  <c r="AO26" i="153"/>
  <c r="BG29" i="153"/>
  <c r="AO29" i="153"/>
  <c r="AI29" i="153"/>
  <c r="DC29" i="153"/>
  <c r="W29" i="153"/>
  <c r="JR13" i="175"/>
  <c r="CZ22" i="153"/>
  <c r="BS29" i="153"/>
  <c r="R20" i="153"/>
  <c r="BV22" i="153"/>
  <c r="CK26" i="153"/>
  <c r="CS22" i="153"/>
  <c r="CE16" i="153"/>
  <c r="BY26" i="153"/>
  <c r="CW26" i="153"/>
  <c r="BS16" i="153"/>
  <c r="CK16" i="153"/>
  <c r="CQ16" i="153"/>
  <c r="CN22" i="153"/>
  <c r="W26" i="153"/>
  <c r="BM26" i="153"/>
  <c r="BQ22" i="153"/>
  <c r="BW22" i="153"/>
  <c r="R19" i="153"/>
  <c r="BY7" i="153"/>
  <c r="BY10" i="153"/>
  <c r="CW4" i="153"/>
  <c r="DC16" i="153"/>
  <c r="DB22" i="153"/>
  <c r="BO22" i="153"/>
  <c r="CV22" i="153"/>
  <c r="CG22" i="153"/>
  <c r="H26" i="153"/>
  <c r="CJ22" i="153"/>
  <c r="CE7" i="153"/>
  <c r="CK19" i="153"/>
  <c r="CQ20" i="153"/>
  <c r="CQ4" i="153"/>
  <c r="CW16" i="153"/>
  <c r="BY20" i="153"/>
  <c r="BU22" i="153"/>
  <c r="BS26" i="153"/>
  <c r="R10" i="153"/>
  <c r="BA26" i="153"/>
  <c r="AU26" i="153"/>
  <c r="AC26" i="153"/>
  <c r="CE26" i="153"/>
  <c r="AI26" i="153"/>
  <c r="BY16" i="153"/>
  <c r="BY19" i="153"/>
  <c r="CE4" i="153"/>
  <c r="CT22" i="153"/>
  <c r="CQ26" i="153"/>
  <c r="N26" i="153"/>
  <c r="CK10" i="153"/>
  <c r="CW20" i="153"/>
  <c r="CB22" i="153"/>
  <c r="CC22" i="153"/>
  <c r="BS20" i="153"/>
  <c r="BS7" i="153"/>
  <c r="BR22" i="153"/>
  <c r="CQ7" i="153"/>
  <c r="DC4" i="153"/>
  <c r="DC10" i="153"/>
  <c r="R26" i="153"/>
  <c r="CW10" i="153"/>
  <c r="CW19" i="153"/>
  <c r="DC19" i="153"/>
  <c r="DA22" i="153"/>
  <c r="BP22" i="153"/>
  <c r="BS4" i="153"/>
  <c r="CE20" i="153"/>
  <c r="BX22" i="153"/>
  <c r="CI22" i="153"/>
  <c r="DC7" i="153"/>
  <c r="CK20" i="153"/>
  <c r="CO22" i="153"/>
  <c r="CE10" i="153"/>
  <c r="DC20" i="153"/>
  <c r="CX22" i="153"/>
  <c r="DC21" i="153"/>
  <c r="CR22" i="153"/>
  <c r="CW21" i="153"/>
  <c r="CL22" i="153"/>
  <c r="CQ21" i="153"/>
  <c r="CK4" i="153"/>
  <c r="CF22" i="153"/>
  <c r="CK21" i="153"/>
  <c r="BZ22" i="153"/>
  <c r="CE21" i="153"/>
  <c r="BY4" i="153"/>
  <c r="BT22" i="153"/>
  <c r="BY21" i="153"/>
  <c r="BN22" i="153"/>
  <c r="BS21" i="153"/>
  <c r="JO13" i="175"/>
  <c r="JQ14" i="175"/>
  <c r="JL13" i="175"/>
  <c r="JN14" i="175"/>
  <c r="JK14" i="175"/>
  <c r="JI13" i="175"/>
  <c r="JE14" i="175"/>
  <c r="JT13" i="175"/>
  <c r="JS13" i="175"/>
  <c r="JT14" i="175"/>
  <c r="JF13" i="175"/>
  <c r="PB4" i="3"/>
  <c r="PB3" i="3"/>
  <c r="CQ22" i="153" l="1"/>
  <c r="CK22" i="153"/>
  <c r="CW22" i="153"/>
  <c r="B32" i="153"/>
  <c r="R22" i="153"/>
  <c r="B29" i="153"/>
  <c r="BY22" i="153"/>
  <c r="DC22" i="153"/>
  <c r="B26" i="153"/>
  <c r="BS22" i="153"/>
  <c r="CE22" i="153"/>
  <c r="PU3" i="3"/>
  <c r="PV3" i="3" s="1"/>
  <c r="AOE4" i="178" l="1"/>
  <c r="AOE5" i="178"/>
  <c r="AOE6" i="178"/>
  <c r="AOE7" i="178"/>
  <c r="AOE8" i="178"/>
  <c r="AOE9" i="178"/>
  <c r="AOE10" i="178"/>
  <c r="AOE11" i="178"/>
  <c r="AOE12" i="178"/>
  <c r="AOE13" i="178"/>
  <c r="AOE14" i="178"/>
  <c r="AOE3" i="178"/>
  <c r="APC6" i="178"/>
  <c r="APD6" i="178"/>
  <c r="AOI6" i="178"/>
  <c r="ANK4" i="178"/>
  <c r="ANK5" i="178"/>
  <c r="ANK6" i="178"/>
  <c r="ANK7" i="178"/>
  <c r="ANK8" i="178"/>
  <c r="ANK9" i="178"/>
  <c r="ANK10" i="178"/>
  <c r="ANK11" i="178"/>
  <c r="ANK12" i="178"/>
  <c r="ANK13" i="178"/>
  <c r="ANK14" i="178"/>
  <c r="ANK3" i="178"/>
  <c r="APC4" i="178"/>
  <c r="APD4" i="178"/>
  <c r="APC5" i="178"/>
  <c r="APD5" i="178"/>
  <c r="APC7" i="178"/>
  <c r="APD7" i="178"/>
  <c r="APC8" i="178"/>
  <c r="APD8" i="178"/>
  <c r="APC9" i="178"/>
  <c r="APD9" i="178"/>
  <c r="APC10" i="178"/>
  <c r="APD10" i="178"/>
  <c r="APC11" i="178"/>
  <c r="APD11" i="178"/>
  <c r="APC12" i="178"/>
  <c r="APD12" i="178"/>
  <c r="APC13" i="178"/>
  <c r="APD13" i="178"/>
  <c r="APC14" i="178"/>
  <c r="APD14" i="178"/>
  <c r="APD3" i="178"/>
  <c r="APC3" i="178"/>
  <c r="AOJ6" i="178"/>
  <c r="AOI4" i="178"/>
  <c r="AOJ4" i="178"/>
  <c r="AOI5" i="178"/>
  <c r="AOJ5" i="178"/>
  <c r="AOI7" i="178"/>
  <c r="AOJ7" i="178"/>
  <c r="AOI8" i="178"/>
  <c r="AOJ8" i="178"/>
  <c r="AOI9" i="178"/>
  <c r="AOJ9" i="178"/>
  <c r="AOI10" i="178"/>
  <c r="AOJ10" i="178"/>
  <c r="AOI11" i="178"/>
  <c r="AOJ11" i="178"/>
  <c r="AOI12" i="178"/>
  <c r="AOJ12" i="178"/>
  <c r="AOI13" i="178"/>
  <c r="AOJ13" i="178"/>
  <c r="AOI14" i="178"/>
  <c r="AOJ14" i="178"/>
  <c r="AOJ3" i="178"/>
  <c r="AOI3" i="178"/>
  <c r="AMQ4" i="178"/>
  <c r="AMR4" i="178"/>
  <c r="AMQ5" i="178"/>
  <c r="AMR5" i="178"/>
  <c r="AMQ6" i="178"/>
  <c r="AMR6" i="178"/>
  <c r="AMQ7" i="178"/>
  <c r="AMR7" i="178"/>
  <c r="AMQ8" i="178"/>
  <c r="AMR8" i="178"/>
  <c r="AMQ9" i="178"/>
  <c r="AMR9" i="178"/>
  <c r="AMQ10" i="178"/>
  <c r="AMR10" i="178"/>
  <c r="AMQ11" i="178"/>
  <c r="AMR11" i="178"/>
  <c r="AMQ12" i="178"/>
  <c r="AMR12" i="178"/>
  <c r="AMQ13" i="178"/>
  <c r="AMR13" i="178"/>
  <c r="AMQ14" i="178"/>
  <c r="AMR14" i="178"/>
  <c r="AMR3" i="178"/>
  <c r="AMQ3" i="178"/>
  <c r="ANY4" i="178"/>
  <c r="ANZ4" i="178"/>
  <c r="ANY5" i="178"/>
  <c r="ANZ5" i="178"/>
  <c r="ANY6" i="178"/>
  <c r="ANZ6" i="178"/>
  <c r="ANY7" i="178"/>
  <c r="ANZ7" i="178"/>
  <c r="ANY8" i="178"/>
  <c r="ANZ8" i="178"/>
  <c r="ANY9" i="178"/>
  <c r="ANZ9" i="178"/>
  <c r="ANY10" i="178"/>
  <c r="ANZ10" i="178"/>
  <c r="ANY11" i="178"/>
  <c r="ANZ11" i="178"/>
  <c r="ANY12" i="178"/>
  <c r="ANZ12" i="178"/>
  <c r="ANY13" i="178"/>
  <c r="ANZ13" i="178"/>
  <c r="ANY14" i="178"/>
  <c r="ANZ14" i="178"/>
  <c r="ANY3" i="178"/>
  <c r="AA2899" i="5"/>
  <c r="R2899" i="5"/>
  <c r="J2899" i="5"/>
  <c r="AMH4" i="178" l="1"/>
  <c r="AMH5" i="178"/>
  <c r="AMH6" i="178"/>
  <c r="AMH7" i="178"/>
  <c r="AMH8" i="178"/>
  <c r="AMH9" i="178"/>
  <c r="AMH10" i="178"/>
  <c r="AMH11" i="178"/>
  <c r="AMH12" i="178"/>
  <c r="AMH13" i="178"/>
  <c r="AMH14" i="178"/>
  <c r="AMG4" i="178"/>
  <c r="AMG5" i="178"/>
  <c r="AMG6" i="178"/>
  <c r="AMG7" i="178"/>
  <c r="AMG8" i="178"/>
  <c r="AMG9" i="178"/>
  <c r="AMG10" i="178"/>
  <c r="AMG11" i="178"/>
  <c r="AMG12" i="178"/>
  <c r="AMG13" i="178"/>
  <c r="AMG14" i="178"/>
  <c r="AMH3" i="178"/>
  <c r="AMG3" i="178"/>
  <c r="ANF4" i="178"/>
  <c r="ANF5" i="178"/>
  <c r="ANF6" i="178"/>
  <c r="ANF7" i="178"/>
  <c r="ANF8" i="178"/>
  <c r="ANF9" i="178"/>
  <c r="ANF10" i="178"/>
  <c r="ANF11" i="178"/>
  <c r="ANF12" i="178"/>
  <c r="ANF13" i="178"/>
  <c r="ANF14" i="178"/>
  <c r="ANF3" i="178"/>
  <c r="ANE4" i="178"/>
  <c r="ANE5" i="178"/>
  <c r="ANE6" i="178"/>
  <c r="ANE7" i="178"/>
  <c r="ANE8" i="178"/>
  <c r="ANE9" i="178"/>
  <c r="ANE10" i="178"/>
  <c r="ANE11" i="178"/>
  <c r="ANE12" i="178"/>
  <c r="ANE13" i="178"/>
  <c r="ANE14" i="178"/>
  <c r="ANE3" i="178"/>
  <c r="A2" i="149"/>
  <c r="A3" i="178"/>
  <c r="A2" i="178"/>
  <c r="A1" i="178" l="1"/>
  <c r="D6" i="178" s="1"/>
  <c r="P3" i="178"/>
  <c r="Q3" i="178" s="1"/>
  <c r="R3" i="178" s="1"/>
  <c r="ALR3" i="178"/>
  <c r="ALT3" i="178" s="1"/>
  <c r="ALU3" i="178" s="1"/>
  <c r="ALV3" i="178" s="1"/>
  <c r="AMI31" i="178" s="1"/>
  <c r="APO3" i="178"/>
  <c r="APQ3" i="178" s="1"/>
  <c r="APR3" i="178" s="1"/>
  <c r="AHL3" i="178"/>
  <c r="AHU3" i="178"/>
  <c r="AHW3" i="178" s="1"/>
  <c r="AHX3" i="178" s="1"/>
  <c r="WN4" i="178"/>
  <c r="WN5" i="178"/>
  <c r="WN6" i="178"/>
  <c r="WN7" i="178"/>
  <c r="WN8" i="178"/>
  <c r="WN9" i="178"/>
  <c r="WN10" i="178"/>
  <c r="WN11" i="178"/>
  <c r="WN12" i="178"/>
  <c r="WN3" i="178"/>
  <c r="VP12" i="178"/>
  <c r="VP4" i="178"/>
  <c r="VP5" i="178"/>
  <c r="VP6" i="178"/>
  <c r="VP7" i="178"/>
  <c r="VP8" i="178"/>
  <c r="VP9" i="178"/>
  <c r="VP10" i="178"/>
  <c r="VP11" i="178"/>
  <c r="VP3" i="178"/>
  <c r="UR4" i="178"/>
  <c r="UR5" i="178"/>
  <c r="UR6" i="178"/>
  <c r="UR7" i="178"/>
  <c r="UR8" i="178"/>
  <c r="UR9" i="178"/>
  <c r="UR10" i="178"/>
  <c r="UR11" i="178"/>
  <c r="UR12" i="178"/>
  <c r="UR3" i="178"/>
  <c r="TT10" i="178"/>
  <c r="TT11" i="178"/>
  <c r="TT12" i="178"/>
  <c r="TT9" i="178"/>
  <c r="ZZ4" i="178"/>
  <c r="ZZ5" i="178"/>
  <c r="ZZ6" i="178"/>
  <c r="ZZ7" i="178"/>
  <c r="ZZ8" i="178"/>
  <c r="ZZ9" i="178"/>
  <c r="ZZ10" i="178"/>
  <c r="ZZ11" i="178"/>
  <c r="ZZ12" i="178"/>
  <c r="ZZ3" i="178"/>
  <c r="ZN12" i="178"/>
  <c r="ZN4" i="178"/>
  <c r="ZN5" i="178"/>
  <c r="ZN6" i="178"/>
  <c r="ZN7" i="178"/>
  <c r="ZN8" i="178"/>
  <c r="ZN9" i="178"/>
  <c r="ZN10" i="178"/>
  <c r="ZN11" i="178"/>
  <c r="ZN3" i="178"/>
  <c r="ZB4" i="178"/>
  <c r="ZB5" i="178"/>
  <c r="ZB6" i="178"/>
  <c r="ZB7" i="178"/>
  <c r="ZB8" i="178"/>
  <c r="ZB9" i="178"/>
  <c r="ZB10" i="178"/>
  <c r="ZB11" i="178"/>
  <c r="ZB12" i="178"/>
  <c r="ZB3" i="178"/>
  <c r="YP11" i="178"/>
  <c r="YP12" i="178"/>
  <c r="YP10" i="178"/>
  <c r="YP9" i="178"/>
  <c r="YP8" i="178"/>
  <c r="YP7" i="178"/>
  <c r="YP5" i="178"/>
  <c r="YP6" i="178"/>
  <c r="YP4" i="178"/>
  <c r="YP3" i="178"/>
  <c r="AOD3" i="178" l="1"/>
  <c r="AOA15" i="178"/>
  <c r="D3" i="178"/>
  <c r="C5" i="178"/>
  <c r="S3" i="178"/>
  <c r="X3" i="178"/>
  <c r="Z3" i="178" s="1"/>
  <c r="C3" i="178"/>
  <c r="APS3" i="178"/>
  <c r="AOU6" i="178"/>
  <c r="AOU10" i="178"/>
  <c r="AOU14" i="178"/>
  <c r="AOX3" i="178"/>
  <c r="AOU7" i="178"/>
  <c r="AOU11" i="178"/>
  <c r="AOU3" i="178"/>
  <c r="AOU4" i="178"/>
  <c r="AOU8" i="178"/>
  <c r="AOU12" i="178"/>
  <c r="AOU5" i="178"/>
  <c r="AOU9" i="178"/>
  <c r="AOU13" i="178"/>
  <c r="ANQ6" i="178"/>
  <c r="ANQ10" i="178"/>
  <c r="ANQ14" i="178"/>
  <c r="ANT3" i="178"/>
  <c r="ANV3" i="178" s="1"/>
  <c r="ANQ7" i="178"/>
  <c r="ANQ11" i="178"/>
  <c r="ANQ3" i="178"/>
  <c r="ANQ4" i="178"/>
  <c r="ANQ8" i="178"/>
  <c r="ANQ12" i="178"/>
  <c r="ANQ5" i="178"/>
  <c r="ANQ9" i="178"/>
  <c r="ANQ13" i="178"/>
  <c r="AMI27" i="178"/>
  <c r="AMI15" i="178"/>
  <c r="AMI19" i="178"/>
  <c r="AMI23" i="178"/>
  <c r="AMI24" i="178"/>
  <c r="AMI28" i="178"/>
  <c r="AMI16" i="178"/>
  <c r="AMI20" i="178"/>
  <c r="AMI25" i="178"/>
  <c r="AMI29" i="178"/>
  <c r="AMI17" i="178"/>
  <c r="AMI21" i="178"/>
  <c r="AMI26" i="178"/>
  <c r="AMI30" i="178"/>
  <c r="AMI18" i="178"/>
  <c r="AMI22" i="178"/>
  <c r="AMF3" i="178"/>
  <c r="APE4" i="178"/>
  <c r="APE9" i="178"/>
  <c r="APE13" i="178"/>
  <c r="ANJ3" i="178"/>
  <c r="AOA4" i="178"/>
  <c r="AOA10" i="178"/>
  <c r="AOA14" i="178"/>
  <c r="ANG5" i="178"/>
  <c r="ANG9" i="178"/>
  <c r="ANG13" i="178"/>
  <c r="AMS5" i="178"/>
  <c r="AMS9" i="178"/>
  <c r="AMS13" i="178"/>
  <c r="AMI4" i="178"/>
  <c r="AMI8" i="178"/>
  <c r="AMI12" i="178"/>
  <c r="APE11" i="178"/>
  <c r="AOA8" i="178"/>
  <c r="ANG11" i="178"/>
  <c r="AMS7" i="178"/>
  <c r="AMS3" i="178"/>
  <c r="AMI6" i="178"/>
  <c r="AMI10" i="178"/>
  <c r="APE8" i="178"/>
  <c r="AOA5" i="178"/>
  <c r="AOA13" i="178"/>
  <c r="ANG4" i="178"/>
  <c r="AMS4" i="178"/>
  <c r="AMS12" i="178"/>
  <c r="AMI11" i="178"/>
  <c r="APE6" i="178"/>
  <c r="APE10" i="178"/>
  <c r="APE14" i="178"/>
  <c r="AOA7" i="178"/>
  <c r="AOA11" i="178"/>
  <c r="AOA3" i="178"/>
  <c r="ANG6" i="178"/>
  <c r="ANG10" i="178"/>
  <c r="ANG14" i="178"/>
  <c r="AMS6" i="178"/>
  <c r="AMS10" i="178"/>
  <c r="AMS14" i="178"/>
  <c r="AML3" i="178"/>
  <c r="AMN3" i="178" s="1"/>
  <c r="AMO3" i="178" s="1"/>
  <c r="AMI5" i="178"/>
  <c r="AMI9" i="178"/>
  <c r="AMI13" i="178"/>
  <c r="APE7" i="178"/>
  <c r="APE3" i="178"/>
  <c r="AOA6" i="178"/>
  <c r="AOA12" i="178"/>
  <c r="ANG7" i="178"/>
  <c r="ANG3" i="178"/>
  <c r="AMV3" i="178"/>
  <c r="AMZ3" i="178" s="1"/>
  <c r="AMS11" i="178"/>
  <c r="AMI14" i="178"/>
  <c r="APH3" i="178"/>
  <c r="APJ3" i="178" s="1"/>
  <c r="APE12" i="178"/>
  <c r="AOA9" i="178"/>
  <c r="ANG8" i="178"/>
  <c r="ANG12" i="178"/>
  <c r="AMS8" i="178"/>
  <c r="AMI7" i="178"/>
  <c r="AMI3" i="178"/>
  <c r="APE5" i="178"/>
  <c r="AHN3" i="178"/>
  <c r="AHO3" i="178" s="1"/>
  <c r="AHP3" i="178" s="1"/>
  <c r="AHY3" i="178"/>
  <c r="AIL31" i="178" s="1"/>
  <c r="B8" i="176"/>
  <c r="C8" i="176" s="1"/>
  <c r="AMJ3" i="178" l="1"/>
  <c r="AMK3" i="178" s="1"/>
  <c r="AOB3" i="178"/>
  <c r="AKG3" i="178"/>
  <c r="AKI3" i="178" s="1"/>
  <c r="AKD15" i="178"/>
  <c r="AKD3" i="178"/>
  <c r="T3" i="178"/>
  <c r="J3" i="178"/>
  <c r="B3" i="178" s="1"/>
  <c r="APU3" i="178"/>
  <c r="APT3" i="178"/>
  <c r="AOZ3" i="178"/>
  <c r="ANR3" i="178"/>
  <c r="ANS3" i="178" s="1"/>
  <c r="AJT14" i="178"/>
  <c r="AJT10" i="178"/>
  <c r="AJT6" i="178"/>
  <c r="AJT13" i="178"/>
  <c r="AJT9" i="178"/>
  <c r="AJT5" i="178"/>
  <c r="AJT3" i="178"/>
  <c r="AJT7" i="178"/>
  <c r="AJT12" i="178"/>
  <c r="AJT8" i="178"/>
  <c r="AJT4" i="178"/>
  <c r="AJW3" i="178"/>
  <c r="AJT11" i="178"/>
  <c r="AJM3" i="178"/>
  <c r="AJO3" i="178" s="1"/>
  <c r="AJP3" i="178" s="1"/>
  <c r="AIL19" i="178"/>
  <c r="AIL23" i="178"/>
  <c r="AIL27" i="178"/>
  <c r="AIL15" i="178"/>
  <c r="AIL16" i="178"/>
  <c r="AIL20" i="178"/>
  <c r="AIL24" i="178"/>
  <c r="AIL28" i="178"/>
  <c r="AIL17" i="178"/>
  <c r="AIL21" i="178"/>
  <c r="AIL25" i="178"/>
  <c r="AIL29" i="178"/>
  <c r="AIL18" i="178"/>
  <c r="AIL22" i="178"/>
  <c r="AIL26" i="178"/>
  <c r="AIL30" i="178"/>
  <c r="AII3" i="178"/>
  <c r="AJJ3" i="178"/>
  <c r="AJJ4" i="178"/>
  <c r="ANL3" i="178"/>
  <c r="ANM3" i="178" s="1"/>
  <c r="ANN3" i="178" s="1"/>
  <c r="AOF3" i="178"/>
  <c r="ANH3" i="178"/>
  <c r="AIV4" i="178"/>
  <c r="AIV14" i="178"/>
  <c r="AIV10" i="178"/>
  <c r="AIV6" i="178"/>
  <c r="AIV13" i="178"/>
  <c r="AIV9" i="178"/>
  <c r="AIV5" i="178"/>
  <c r="AIV3" i="178"/>
  <c r="AIV12" i="178"/>
  <c r="AIV8" i="178"/>
  <c r="AIY3" i="178"/>
  <c r="AJC3" i="178" s="1"/>
  <c r="AJD3" i="178" s="1"/>
  <c r="AIV11" i="178"/>
  <c r="AIV7" i="178"/>
  <c r="AKX14" i="178"/>
  <c r="AKX10" i="178"/>
  <c r="AKX6" i="178"/>
  <c r="AKX13" i="178"/>
  <c r="AKX9" i="178"/>
  <c r="AKX5" i="178"/>
  <c r="AKX3" i="178"/>
  <c r="AKX12" i="178"/>
  <c r="AKX8" i="178"/>
  <c r="AKX4" i="178"/>
  <c r="ALA3" i="178"/>
  <c r="ALC3" i="178" s="1"/>
  <c r="ALD3" i="178" s="1"/>
  <c r="AKX11" i="178"/>
  <c r="AKX7" i="178"/>
  <c r="AIL14" i="178"/>
  <c r="AIL10" i="178"/>
  <c r="AIL6" i="178"/>
  <c r="AIL13" i="178"/>
  <c r="AIL9" i="178"/>
  <c r="AIL5" i="178"/>
  <c r="AIL3" i="178"/>
  <c r="AIL11" i="178"/>
  <c r="AIL12" i="178"/>
  <c r="AIL8" i="178"/>
  <c r="AIL4" i="178"/>
  <c r="AIL7" i="178"/>
  <c r="AIB13" i="178"/>
  <c r="AIB9" i="178"/>
  <c r="AIB5" i="178"/>
  <c r="AIB3" i="178"/>
  <c r="AIB12" i="178"/>
  <c r="AIB8" i="178"/>
  <c r="AIB4" i="178"/>
  <c r="AIB11" i="178"/>
  <c r="AIB7" i="178"/>
  <c r="AIB14" i="178"/>
  <c r="AIB10" i="178"/>
  <c r="AIB6" i="178"/>
  <c r="ALY14" i="178"/>
  <c r="ALY10" i="178"/>
  <c r="ALY6" i="178"/>
  <c r="ALY3" i="178"/>
  <c r="ALY13" i="178"/>
  <c r="ALY9" i="178"/>
  <c r="ALY5" i="178"/>
  <c r="AMB3" i="178"/>
  <c r="AMD3" i="178" s="1"/>
  <c r="AME3" i="178" s="1"/>
  <c r="ALY11" i="178"/>
  <c r="ALY7" i="178"/>
  <c r="ALY12" i="178"/>
  <c r="ALY8" i="178"/>
  <c r="ALY4" i="178"/>
  <c r="ALH14" i="178"/>
  <c r="ALH10" i="178"/>
  <c r="ALH6" i="178"/>
  <c r="ALH13" i="178"/>
  <c r="ALH9" i="178"/>
  <c r="ALH5" i="178"/>
  <c r="ALH3" i="178"/>
  <c r="ALH12" i="178"/>
  <c r="ALH8" i="178"/>
  <c r="ALH4" i="178"/>
  <c r="ALH11" i="178"/>
  <c r="ALH7" i="178"/>
  <c r="AKD13" i="178"/>
  <c r="AKD9" i="178"/>
  <c r="AKD5" i="178"/>
  <c r="AKD12" i="178"/>
  <c r="AKD8" i="178"/>
  <c r="AKD4" i="178"/>
  <c r="AKD11" i="178"/>
  <c r="AKD7" i="178"/>
  <c r="AKD14" i="178"/>
  <c r="AKD10" i="178"/>
  <c r="AKD6" i="178"/>
  <c r="AJJ6" i="178"/>
  <c r="AJJ10" i="178"/>
  <c r="AJJ14" i="178"/>
  <c r="AJJ7" i="178"/>
  <c r="AJJ11" i="178"/>
  <c r="AJJ5" i="178"/>
  <c r="AJJ9" i="178"/>
  <c r="AJJ13" i="178"/>
  <c r="AJJ8" i="178"/>
  <c r="AJJ12" i="178"/>
  <c r="AIO3" i="178"/>
  <c r="AIQ3" i="178" s="1"/>
  <c r="AIR3" i="178" s="1"/>
  <c r="AIE3" i="178"/>
  <c r="AIG3" i="178" s="1"/>
  <c r="AIH3" i="178" s="1"/>
  <c r="APK3" i="178"/>
  <c r="APL3" i="178" s="1"/>
  <c r="ALK3" i="178"/>
  <c r="ALM3" i="178" s="1"/>
  <c r="ALN3" i="178" s="1"/>
  <c r="AHQ3" i="178"/>
  <c r="AHR3" i="178"/>
  <c r="XP3" i="178"/>
  <c r="FP3" i="178"/>
  <c r="AA2898" i="5"/>
  <c r="R2898" i="5"/>
  <c r="J2898" i="5"/>
  <c r="AIM3" i="178" l="1"/>
  <c r="AIN3" i="178" s="1"/>
  <c r="AIS3" i="178" s="1"/>
  <c r="AKE3" i="178"/>
  <c r="AKF3" i="178" s="1"/>
  <c r="AKN4" i="178"/>
  <c r="AKN3" i="178"/>
  <c r="APV3" i="178"/>
  <c r="L18" i="149" s="1"/>
  <c r="AJU3" i="178"/>
  <c r="AJV3" i="178" s="1"/>
  <c r="ANW3" i="178"/>
  <c r="ANX3" i="178" s="1"/>
  <c r="AJY3" i="178"/>
  <c r="AJZ3" i="178" s="1"/>
  <c r="AKA3" i="178" s="1"/>
  <c r="AJK3" i="178"/>
  <c r="AJL3" i="178" s="1"/>
  <c r="AKN5" i="178"/>
  <c r="AKN12" i="178"/>
  <c r="AKN7" i="178"/>
  <c r="AON3" i="178"/>
  <c r="AOK7" i="178"/>
  <c r="AOK10" i="178"/>
  <c r="AOK11" i="178"/>
  <c r="AOK5" i="178"/>
  <c r="AOK12" i="178"/>
  <c r="AOK14" i="178"/>
  <c r="AOK4" i="178"/>
  <c r="AOK9" i="178"/>
  <c r="AOK3" i="178"/>
  <c r="AOK8" i="178"/>
  <c r="AOK13" i="178"/>
  <c r="AOK6" i="178"/>
  <c r="AKQ3" i="178"/>
  <c r="AKS3" i="178" s="1"/>
  <c r="AKT3" i="178" s="1"/>
  <c r="AKN13" i="178"/>
  <c r="AKN8" i="178"/>
  <c r="AKN14" i="178"/>
  <c r="AKN9" i="178"/>
  <c r="AKN6" i="178"/>
  <c r="AKN11" i="178"/>
  <c r="AKN10" i="178"/>
  <c r="AOG3" i="178"/>
  <c r="AOH3" i="178" s="1"/>
  <c r="ANA3" i="178"/>
  <c r="AMT3" i="178"/>
  <c r="AMX3" i="178" s="1"/>
  <c r="AIW3" i="178"/>
  <c r="AIX3" i="178" s="1"/>
  <c r="AIC3" i="178"/>
  <c r="AID3" i="178" s="1"/>
  <c r="AKY3" i="178"/>
  <c r="AKZ3" i="178" s="1"/>
  <c r="AOV3" i="178"/>
  <c r="AOW3" i="178" s="1"/>
  <c r="AHS3" i="178"/>
  <c r="C11" i="176" s="1"/>
  <c r="APA3" i="178"/>
  <c r="APB3" i="178" s="1"/>
  <c r="ALE3" i="178"/>
  <c r="ANI3" i="178"/>
  <c r="ALZ3" i="178"/>
  <c r="AMA3" i="178" s="1"/>
  <c r="ALI3" i="178"/>
  <c r="ALJ3" i="178" s="1"/>
  <c r="APF3" i="178"/>
  <c r="APG3" i="178" s="1"/>
  <c r="AMP3" i="178"/>
  <c r="AOC3" i="178"/>
  <c r="ALO3" i="178"/>
  <c r="AJQ3" i="178"/>
  <c r="AKJ3" i="178"/>
  <c r="AKK3" i="178" s="1"/>
  <c r="IZ12" i="175"/>
  <c r="IY12" i="175"/>
  <c r="IW12" i="175"/>
  <c r="IV12" i="175"/>
  <c r="IT12" i="175"/>
  <c r="IS12" i="175"/>
  <c r="IQ12" i="175"/>
  <c r="IP12" i="175"/>
  <c r="IN12" i="175"/>
  <c r="IM12" i="175"/>
  <c r="IZ6" i="175"/>
  <c r="IY6" i="175"/>
  <c r="IW6" i="175"/>
  <c r="IV6" i="175"/>
  <c r="IT6" i="175"/>
  <c r="IS6" i="175"/>
  <c r="IQ6" i="175"/>
  <c r="IP6" i="175"/>
  <c r="IN6" i="175"/>
  <c r="IM6" i="175"/>
  <c r="IZ5" i="175"/>
  <c r="IY5" i="175"/>
  <c r="IW5" i="175"/>
  <c r="IV5" i="175"/>
  <c r="IT5" i="175"/>
  <c r="IS5" i="175"/>
  <c r="IQ5" i="175"/>
  <c r="IP5" i="175"/>
  <c r="IN5" i="175"/>
  <c r="IM5" i="175"/>
  <c r="IZ4" i="175"/>
  <c r="IY4" i="175"/>
  <c r="IW4" i="175"/>
  <c r="IV4" i="175"/>
  <c r="IT4" i="175"/>
  <c r="IS4" i="175"/>
  <c r="IQ4" i="175"/>
  <c r="IP4" i="175"/>
  <c r="IN4" i="175"/>
  <c r="IM4" i="175"/>
  <c r="IZ3" i="175"/>
  <c r="IY3" i="175"/>
  <c r="IW3" i="175"/>
  <c r="IV3" i="175"/>
  <c r="IT3" i="175"/>
  <c r="IS3" i="175"/>
  <c r="IQ3" i="175"/>
  <c r="IP3" i="175"/>
  <c r="IN3" i="175"/>
  <c r="IM3" i="175"/>
  <c r="AA2807" i="5"/>
  <c r="AA2808" i="5"/>
  <c r="AA2809" i="5"/>
  <c r="AA2810" i="5"/>
  <c r="AA2811" i="5"/>
  <c r="AA2812" i="5"/>
  <c r="AA2813" i="5"/>
  <c r="AA2814" i="5"/>
  <c r="AA2815" i="5"/>
  <c r="AA2816" i="5"/>
  <c r="AA2817" i="5"/>
  <c r="AA2818" i="5"/>
  <c r="AA2819" i="5"/>
  <c r="AA2820" i="5"/>
  <c r="AA2821" i="5"/>
  <c r="AA2822" i="5"/>
  <c r="AA2823" i="5"/>
  <c r="AA2824" i="5"/>
  <c r="AA2825" i="5"/>
  <c r="AA2826" i="5"/>
  <c r="AA2827" i="5"/>
  <c r="AA2828" i="5"/>
  <c r="AA2829" i="5"/>
  <c r="AA2830" i="5"/>
  <c r="AA2831" i="5"/>
  <c r="AA2832" i="5"/>
  <c r="AA2833" i="5"/>
  <c r="AA2834" i="5"/>
  <c r="AA2835" i="5"/>
  <c r="AA2836" i="5"/>
  <c r="AA2837" i="5"/>
  <c r="AA2838" i="5"/>
  <c r="AA2839" i="5"/>
  <c r="AA2840" i="5"/>
  <c r="AA2841" i="5"/>
  <c r="AA2842" i="5"/>
  <c r="AA2843" i="5"/>
  <c r="AA2844" i="5"/>
  <c r="AA2845" i="5"/>
  <c r="AA2846" i="5"/>
  <c r="AA2847" i="5"/>
  <c r="AA2848" i="5"/>
  <c r="AA2849" i="5"/>
  <c r="AA2850" i="5"/>
  <c r="AA2851" i="5"/>
  <c r="AA2852" i="5"/>
  <c r="AA2853" i="5"/>
  <c r="AA2854" i="5"/>
  <c r="AA2855" i="5"/>
  <c r="AA2856" i="5"/>
  <c r="AA2857" i="5"/>
  <c r="AA2858" i="5"/>
  <c r="AA2859" i="5"/>
  <c r="AA2860" i="5"/>
  <c r="AA2861" i="5"/>
  <c r="AA2862" i="5"/>
  <c r="AA2863" i="5"/>
  <c r="AA2864" i="5"/>
  <c r="AA2865" i="5"/>
  <c r="AA2866" i="5"/>
  <c r="AA2867" i="5"/>
  <c r="AA2868" i="5"/>
  <c r="AA2869" i="5"/>
  <c r="AA2870" i="5"/>
  <c r="AA2871" i="5"/>
  <c r="AA2872" i="5"/>
  <c r="AA2873" i="5"/>
  <c r="AA2874" i="5"/>
  <c r="AA2875" i="5"/>
  <c r="AA2876" i="5"/>
  <c r="AA2877" i="5"/>
  <c r="AA2878" i="5"/>
  <c r="AA2879" i="5"/>
  <c r="AA2880" i="5"/>
  <c r="AA2881" i="5"/>
  <c r="AA2882" i="5"/>
  <c r="AA2883" i="5"/>
  <c r="AA2884" i="5"/>
  <c r="AA2885" i="5"/>
  <c r="AA2886" i="5"/>
  <c r="AA2887" i="5"/>
  <c r="AA2888" i="5"/>
  <c r="AA2889" i="5"/>
  <c r="AA2890" i="5"/>
  <c r="AA2891" i="5"/>
  <c r="AA2892" i="5"/>
  <c r="AA2893" i="5"/>
  <c r="AA2894" i="5"/>
  <c r="AA2895" i="5"/>
  <c r="AA2896" i="5"/>
  <c r="AA2897" i="5"/>
  <c r="AA2806" i="5"/>
  <c r="R2807" i="5"/>
  <c r="R2808" i="5"/>
  <c r="R2809" i="5"/>
  <c r="R2810" i="5"/>
  <c r="R2811" i="5"/>
  <c r="R2812" i="5"/>
  <c r="R2813" i="5"/>
  <c r="R2814" i="5"/>
  <c r="R2815" i="5"/>
  <c r="R2816" i="5"/>
  <c r="R2817" i="5"/>
  <c r="R2818" i="5"/>
  <c r="R2819" i="5"/>
  <c r="R2820" i="5"/>
  <c r="R2821" i="5"/>
  <c r="R2822" i="5"/>
  <c r="R2823" i="5"/>
  <c r="R2824" i="5"/>
  <c r="R2825" i="5"/>
  <c r="R2826" i="5"/>
  <c r="R2827" i="5"/>
  <c r="R2828" i="5"/>
  <c r="R2829" i="5"/>
  <c r="R2830" i="5"/>
  <c r="R2831" i="5"/>
  <c r="R2832" i="5"/>
  <c r="R2833" i="5"/>
  <c r="R2834" i="5"/>
  <c r="R2835" i="5"/>
  <c r="R2836" i="5"/>
  <c r="R2837" i="5"/>
  <c r="R2838" i="5"/>
  <c r="R2839" i="5"/>
  <c r="R2840" i="5"/>
  <c r="R2841" i="5"/>
  <c r="R2842" i="5"/>
  <c r="R2843" i="5"/>
  <c r="R2844" i="5"/>
  <c r="R2845" i="5"/>
  <c r="R2846" i="5"/>
  <c r="R2847" i="5"/>
  <c r="R2848" i="5"/>
  <c r="R2849" i="5"/>
  <c r="R2850" i="5"/>
  <c r="R2851" i="5"/>
  <c r="R2852" i="5"/>
  <c r="R2853" i="5"/>
  <c r="R2854" i="5"/>
  <c r="R2855" i="5"/>
  <c r="R2856" i="5"/>
  <c r="R2857" i="5"/>
  <c r="R2858" i="5"/>
  <c r="R2859" i="5"/>
  <c r="R2860" i="5"/>
  <c r="R2861" i="5"/>
  <c r="R2862" i="5"/>
  <c r="R2863" i="5"/>
  <c r="R2864" i="5"/>
  <c r="R2865" i="5"/>
  <c r="R2866" i="5"/>
  <c r="R2867" i="5"/>
  <c r="R2868" i="5"/>
  <c r="R2869" i="5"/>
  <c r="R2870" i="5"/>
  <c r="R2871" i="5"/>
  <c r="R2872" i="5"/>
  <c r="R2873" i="5"/>
  <c r="R2874" i="5"/>
  <c r="R2875" i="5"/>
  <c r="R2876" i="5"/>
  <c r="R2877" i="5"/>
  <c r="R2878" i="5"/>
  <c r="R2879" i="5"/>
  <c r="R2880" i="5"/>
  <c r="R2881" i="5"/>
  <c r="R2882" i="5"/>
  <c r="R2883" i="5"/>
  <c r="R2884" i="5"/>
  <c r="R2885" i="5"/>
  <c r="R2886" i="5"/>
  <c r="R2887" i="5"/>
  <c r="R2888" i="5"/>
  <c r="R2889" i="5"/>
  <c r="R2890" i="5"/>
  <c r="R2891" i="5"/>
  <c r="R2892" i="5"/>
  <c r="R2893" i="5"/>
  <c r="R2894" i="5"/>
  <c r="R2895" i="5"/>
  <c r="R2896" i="5"/>
  <c r="R2897" i="5"/>
  <c r="R2806" i="5"/>
  <c r="J2806" i="5"/>
  <c r="J2807" i="5"/>
  <c r="J2808" i="5"/>
  <c r="J2809" i="5"/>
  <c r="J2810" i="5"/>
  <c r="J2811" i="5"/>
  <c r="J2812" i="5"/>
  <c r="J2813" i="5"/>
  <c r="J2814" i="5"/>
  <c r="J2815" i="5"/>
  <c r="J2816" i="5"/>
  <c r="J2817" i="5"/>
  <c r="J2818" i="5"/>
  <c r="J2819" i="5"/>
  <c r="J2820" i="5"/>
  <c r="J2821" i="5"/>
  <c r="J2822" i="5"/>
  <c r="J2823" i="5"/>
  <c r="J2824" i="5"/>
  <c r="J2825" i="5"/>
  <c r="J2826" i="5"/>
  <c r="J2827" i="5"/>
  <c r="J2828" i="5"/>
  <c r="J2829" i="5"/>
  <c r="J2830" i="5"/>
  <c r="J2831" i="5"/>
  <c r="J2832" i="5"/>
  <c r="J2833" i="5"/>
  <c r="J2834" i="5"/>
  <c r="J2835" i="5"/>
  <c r="J2836" i="5"/>
  <c r="J2837" i="5"/>
  <c r="J2838" i="5"/>
  <c r="J2839" i="5"/>
  <c r="J2840" i="5"/>
  <c r="J2841" i="5"/>
  <c r="J2842" i="5"/>
  <c r="J2843" i="5"/>
  <c r="J2844" i="5"/>
  <c r="J2845" i="5"/>
  <c r="J2846" i="5"/>
  <c r="J2847" i="5"/>
  <c r="J2848" i="5"/>
  <c r="J2849" i="5"/>
  <c r="J2850" i="5"/>
  <c r="J2851" i="5"/>
  <c r="J2852" i="5"/>
  <c r="J2853" i="5"/>
  <c r="J2854" i="5"/>
  <c r="J2855" i="5"/>
  <c r="J2856" i="5"/>
  <c r="J2857" i="5"/>
  <c r="J2858" i="5"/>
  <c r="J2859" i="5"/>
  <c r="J2860" i="5"/>
  <c r="J2861" i="5"/>
  <c r="J2862" i="5"/>
  <c r="J2863" i="5"/>
  <c r="J2864" i="5"/>
  <c r="J2865" i="5"/>
  <c r="J2866" i="5"/>
  <c r="J2867" i="5"/>
  <c r="J2868" i="5"/>
  <c r="J2869" i="5"/>
  <c r="J2870" i="5"/>
  <c r="J2871" i="5"/>
  <c r="J2872" i="5"/>
  <c r="J2873" i="5"/>
  <c r="J2874" i="5"/>
  <c r="J2875" i="5"/>
  <c r="J2876" i="5"/>
  <c r="J2877" i="5"/>
  <c r="J2878" i="5"/>
  <c r="J2879" i="5"/>
  <c r="J2880" i="5"/>
  <c r="J2881" i="5"/>
  <c r="J2882" i="5"/>
  <c r="J2883" i="5"/>
  <c r="J2884" i="5"/>
  <c r="J2885" i="5"/>
  <c r="J2886" i="5"/>
  <c r="J2887" i="5"/>
  <c r="J2888" i="5"/>
  <c r="J2889" i="5"/>
  <c r="J2890" i="5"/>
  <c r="J2891" i="5"/>
  <c r="J2892" i="5"/>
  <c r="J2893" i="5"/>
  <c r="J2894" i="5"/>
  <c r="J2895" i="5"/>
  <c r="J2896" i="5"/>
  <c r="J2897" i="5"/>
  <c r="H55" i="4"/>
  <c r="I55" i="4" s="1"/>
  <c r="F55" i="4"/>
  <c r="G55" i="4" s="1"/>
  <c r="AKU3" i="178" l="1"/>
  <c r="AKO3" i="178"/>
  <c r="AKP3" i="178" s="1"/>
  <c r="AMU3" i="178"/>
  <c r="ANB3" i="178"/>
  <c r="ANC3" i="178" s="1"/>
  <c r="AND3" i="178" s="1"/>
  <c r="AOL3" i="178"/>
  <c r="AOM3" i="178" s="1"/>
  <c r="AOP3" i="178"/>
  <c r="AOQ3" i="178" s="1"/>
  <c r="AOR3" i="178" s="1"/>
  <c r="AJA3" i="178"/>
  <c r="AJE3" i="178" s="1"/>
  <c r="AJF3" i="178" s="1"/>
  <c r="IT13" i="175"/>
  <c r="IZ13" i="175"/>
  <c r="IQ13" i="175"/>
  <c r="IW13" i="175"/>
  <c r="IX12" i="175"/>
  <c r="IR5" i="175"/>
  <c r="IR3" i="175"/>
  <c r="IU4" i="175"/>
  <c r="JA4" i="175"/>
  <c r="IX5" i="175"/>
  <c r="IO6" i="175"/>
  <c r="IU6" i="175"/>
  <c r="IX4" i="175"/>
  <c r="IR6" i="175"/>
  <c r="IU12" i="175"/>
  <c r="JA5" i="175"/>
  <c r="JA3" i="175"/>
  <c r="JA6" i="175"/>
  <c r="JA12" i="175"/>
  <c r="IX6" i="175"/>
  <c r="IX3" i="175"/>
  <c r="IS13" i="175"/>
  <c r="IU5" i="175"/>
  <c r="IR12" i="175"/>
  <c r="JB3" i="175"/>
  <c r="JC4" i="175"/>
  <c r="IR4" i="175"/>
  <c r="JB12" i="175"/>
  <c r="JC6" i="175"/>
  <c r="IO4" i="175"/>
  <c r="JC5" i="175"/>
  <c r="IO12" i="175"/>
  <c r="IO3" i="175"/>
  <c r="IU3" i="175"/>
  <c r="JC3" i="175"/>
  <c r="JB4" i="175"/>
  <c r="IO5" i="175"/>
  <c r="JC12" i="175"/>
  <c r="IP13" i="175"/>
  <c r="JB5" i="175"/>
  <c r="IM13" i="175"/>
  <c r="IY13" i="175"/>
  <c r="JB6" i="175"/>
  <c r="IN13" i="175"/>
  <c r="IV13" i="175"/>
  <c r="C10" i="176"/>
  <c r="APM3" i="178" l="1"/>
  <c r="AJG3" i="178"/>
  <c r="ALP3" i="178" s="1"/>
  <c r="IT14" i="175"/>
  <c r="IU13" i="175"/>
  <c r="JA13" i="175"/>
  <c r="IR13" i="175"/>
  <c r="IX13" i="175"/>
  <c r="IQ14" i="175"/>
  <c r="JB13" i="175"/>
  <c r="JC14" i="175"/>
  <c r="IO13" i="175"/>
  <c r="IN14" i="175"/>
  <c r="IZ14" i="175"/>
  <c r="JC13" i="175"/>
  <c r="IW14" i="175"/>
  <c r="AA2805" i="5"/>
  <c r="R2805" i="5"/>
  <c r="J2805" i="5"/>
  <c r="B2" i="177"/>
  <c r="B2" i="149"/>
  <c r="C12" i="176" l="1"/>
  <c r="C13" i="176"/>
  <c r="II12" i="175"/>
  <c r="IH12" i="175"/>
  <c r="IF12" i="175"/>
  <c r="IE12" i="175"/>
  <c r="IC12" i="175"/>
  <c r="IB12" i="175"/>
  <c r="HZ12" i="175"/>
  <c r="HY12" i="175"/>
  <c r="HW12" i="175"/>
  <c r="HV12" i="175"/>
  <c r="II6" i="175"/>
  <c r="IH6" i="175"/>
  <c r="IF6" i="175"/>
  <c r="IE6" i="175"/>
  <c r="IC6" i="175"/>
  <c r="IB6" i="175"/>
  <c r="HZ6" i="175"/>
  <c r="HY6" i="175"/>
  <c r="HW6" i="175"/>
  <c r="HV6" i="175"/>
  <c r="II5" i="175"/>
  <c r="IH5" i="175"/>
  <c r="IF5" i="175"/>
  <c r="IE5" i="175"/>
  <c r="IC5" i="175"/>
  <c r="IB5" i="175"/>
  <c r="HZ5" i="175"/>
  <c r="HY5" i="175"/>
  <c r="HW5" i="175"/>
  <c r="HV5" i="175"/>
  <c r="II4" i="175"/>
  <c r="IH4" i="175"/>
  <c r="IF4" i="175"/>
  <c r="IE4" i="175"/>
  <c r="IC4" i="175"/>
  <c r="IB4" i="175"/>
  <c r="HZ4" i="175"/>
  <c r="HY4" i="175"/>
  <c r="HW4" i="175"/>
  <c r="HV4" i="175"/>
  <c r="II3" i="175"/>
  <c r="IH3" i="175"/>
  <c r="IF3" i="175"/>
  <c r="IE3" i="175"/>
  <c r="IC3" i="175"/>
  <c r="IB3" i="175"/>
  <c r="HZ3" i="175"/>
  <c r="HY3" i="175"/>
  <c r="HW3" i="175"/>
  <c r="HV3" i="175"/>
  <c r="HZ13" i="175" l="1"/>
  <c r="IF13" i="175"/>
  <c r="HW13" i="175"/>
  <c r="IC13" i="175"/>
  <c r="II13" i="175"/>
  <c r="IK5" i="175"/>
  <c r="IK12" i="175"/>
  <c r="HV13" i="175"/>
  <c r="IH13" i="175"/>
  <c r="HY13" i="175"/>
  <c r="IE13" i="175"/>
  <c r="IK4" i="175"/>
  <c r="IK6" i="175"/>
  <c r="HX4" i="175"/>
  <c r="ID4" i="175"/>
  <c r="IA5" i="175"/>
  <c r="HX6" i="175"/>
  <c r="IA6" i="175"/>
  <c r="IG6" i="175"/>
  <c r="IA12" i="175"/>
  <c r="IK3" i="175"/>
  <c r="ID3" i="175"/>
  <c r="IG4" i="175"/>
  <c r="HX5" i="175"/>
  <c r="IJ12" i="175"/>
  <c r="IJ5" i="175"/>
  <c r="IJ4" i="175"/>
  <c r="IJ6" i="175"/>
  <c r="IG5" i="175"/>
  <c r="IG12" i="175"/>
  <c r="ID5" i="175"/>
  <c r="ID12" i="175"/>
  <c r="IB13" i="175"/>
  <c r="ID6" i="175"/>
  <c r="IA4" i="175"/>
  <c r="IL5" i="175"/>
  <c r="IL4" i="175"/>
  <c r="IL12" i="175"/>
  <c r="IL6" i="175"/>
  <c r="IA3" i="175"/>
  <c r="HX12" i="175"/>
  <c r="HX3" i="175"/>
  <c r="IJ3" i="175"/>
  <c r="IG3" i="175"/>
  <c r="IL3" i="175"/>
  <c r="MC3" i="178"/>
  <c r="II14" i="175" l="1"/>
  <c r="HZ14" i="175"/>
  <c r="IG13" i="175"/>
  <c r="HW14" i="175"/>
  <c r="IC14" i="175"/>
  <c r="HX13" i="175"/>
  <c r="IJ13" i="175"/>
  <c r="IF14" i="175"/>
  <c r="IA13" i="175"/>
  <c r="IK13" i="175"/>
  <c r="ID13" i="175"/>
  <c r="IL14" i="175"/>
  <c r="IL13" i="175"/>
  <c r="D50" i="149"/>
  <c r="AA2726" i="5" l="1"/>
  <c r="AA2727" i="5"/>
  <c r="AA2728" i="5"/>
  <c r="AA2729" i="5"/>
  <c r="AA2730" i="5"/>
  <c r="AA2731" i="5"/>
  <c r="AA2732" i="5"/>
  <c r="AA2733" i="5"/>
  <c r="AA2734" i="5"/>
  <c r="AA2735" i="5"/>
  <c r="AA2736" i="5"/>
  <c r="AA2737" i="5"/>
  <c r="AA2738" i="5"/>
  <c r="AA2739" i="5"/>
  <c r="AA2740" i="5"/>
  <c r="AA2741" i="5"/>
  <c r="AA2742" i="5"/>
  <c r="AA2743" i="5"/>
  <c r="AA2744" i="5"/>
  <c r="AA2745" i="5"/>
  <c r="AA2746" i="5"/>
  <c r="AA2747" i="5"/>
  <c r="AA2748" i="5"/>
  <c r="AA2749" i="5"/>
  <c r="AA2750" i="5"/>
  <c r="AA2751" i="5"/>
  <c r="AA2752" i="5"/>
  <c r="AA2753" i="5"/>
  <c r="AA2754" i="5"/>
  <c r="AA2755" i="5"/>
  <c r="AA2756" i="5"/>
  <c r="AA2757" i="5"/>
  <c r="AA2758" i="5"/>
  <c r="AA2759" i="5"/>
  <c r="AA2760" i="5"/>
  <c r="AA2761" i="5"/>
  <c r="AA2762" i="5"/>
  <c r="AA2763" i="5"/>
  <c r="AA2764" i="5"/>
  <c r="AA2765" i="5"/>
  <c r="AA2766" i="5"/>
  <c r="AA2767" i="5"/>
  <c r="AA2768" i="5"/>
  <c r="AA2769" i="5"/>
  <c r="AA2770" i="5"/>
  <c r="AA2771" i="5"/>
  <c r="AA2772" i="5"/>
  <c r="AA2773" i="5"/>
  <c r="AA2774" i="5"/>
  <c r="AA2775" i="5"/>
  <c r="AA2776" i="5"/>
  <c r="AA2777" i="5"/>
  <c r="AA2778" i="5"/>
  <c r="AA2779" i="5"/>
  <c r="AA2780" i="5"/>
  <c r="AA2781" i="5"/>
  <c r="AA2782" i="5"/>
  <c r="AA2783" i="5"/>
  <c r="AA2784" i="5"/>
  <c r="AA2785" i="5"/>
  <c r="AA2786" i="5"/>
  <c r="AA2787" i="5"/>
  <c r="AA2788" i="5"/>
  <c r="AA2789" i="5"/>
  <c r="AA2790" i="5"/>
  <c r="AA2791" i="5"/>
  <c r="AA2792" i="5"/>
  <c r="AA2793" i="5"/>
  <c r="AA2794" i="5"/>
  <c r="AA2795" i="5"/>
  <c r="AA2796" i="5"/>
  <c r="AA2797" i="5"/>
  <c r="AA2798" i="5"/>
  <c r="AA2799" i="5"/>
  <c r="AA2800" i="5"/>
  <c r="AA2801" i="5"/>
  <c r="AA2802" i="5"/>
  <c r="AA2803" i="5"/>
  <c r="AA2804" i="5"/>
  <c r="R2726" i="5"/>
  <c r="R2727" i="5"/>
  <c r="R2728" i="5"/>
  <c r="R2729" i="5"/>
  <c r="R2730" i="5"/>
  <c r="R2731" i="5"/>
  <c r="R2732" i="5"/>
  <c r="R2733" i="5"/>
  <c r="R2734" i="5"/>
  <c r="R2735" i="5"/>
  <c r="R2736" i="5"/>
  <c r="R2737" i="5"/>
  <c r="R2738" i="5"/>
  <c r="R2739" i="5"/>
  <c r="R2740" i="5"/>
  <c r="R2741" i="5"/>
  <c r="R2742" i="5"/>
  <c r="R2743" i="5"/>
  <c r="R2744" i="5"/>
  <c r="R2745" i="5"/>
  <c r="R2746" i="5"/>
  <c r="R2747" i="5"/>
  <c r="R2748" i="5"/>
  <c r="R2749" i="5"/>
  <c r="R2750" i="5"/>
  <c r="R2751" i="5"/>
  <c r="R2752" i="5"/>
  <c r="R2753" i="5"/>
  <c r="R2754" i="5"/>
  <c r="R2755" i="5"/>
  <c r="R2756" i="5"/>
  <c r="R2757" i="5"/>
  <c r="R2758" i="5"/>
  <c r="R2759" i="5"/>
  <c r="R2760" i="5"/>
  <c r="R2761" i="5"/>
  <c r="R2762" i="5"/>
  <c r="R2763" i="5"/>
  <c r="R2764" i="5"/>
  <c r="R2765" i="5"/>
  <c r="R2766" i="5"/>
  <c r="R2767" i="5"/>
  <c r="R2768" i="5"/>
  <c r="R2769" i="5"/>
  <c r="R2770" i="5"/>
  <c r="R2771" i="5"/>
  <c r="R2772" i="5"/>
  <c r="R2773" i="5"/>
  <c r="R2774" i="5"/>
  <c r="R2775" i="5"/>
  <c r="R2776" i="5"/>
  <c r="R2777" i="5"/>
  <c r="R2778" i="5"/>
  <c r="R2779" i="5"/>
  <c r="R2780" i="5"/>
  <c r="R2781" i="5"/>
  <c r="R2782" i="5"/>
  <c r="R2783" i="5"/>
  <c r="R2784" i="5"/>
  <c r="R2785" i="5"/>
  <c r="R2786" i="5"/>
  <c r="R2787" i="5"/>
  <c r="R2788" i="5"/>
  <c r="R2789" i="5"/>
  <c r="R2790" i="5"/>
  <c r="R2791" i="5"/>
  <c r="R2792" i="5"/>
  <c r="R2793" i="5"/>
  <c r="R2794" i="5"/>
  <c r="R2795" i="5"/>
  <c r="R2796" i="5"/>
  <c r="R2797" i="5"/>
  <c r="R2798" i="5"/>
  <c r="R2799" i="5"/>
  <c r="R2800" i="5"/>
  <c r="R2801" i="5"/>
  <c r="R2802" i="5"/>
  <c r="R2803" i="5"/>
  <c r="R2804" i="5"/>
  <c r="J2726" i="5"/>
  <c r="J2727" i="5"/>
  <c r="J2728" i="5"/>
  <c r="J2729" i="5"/>
  <c r="J2730" i="5"/>
  <c r="J2731" i="5"/>
  <c r="J2732" i="5"/>
  <c r="J2733" i="5"/>
  <c r="J2734" i="5"/>
  <c r="J2735" i="5"/>
  <c r="J2736" i="5"/>
  <c r="J2737" i="5"/>
  <c r="J2738" i="5"/>
  <c r="J2739" i="5"/>
  <c r="J2740" i="5"/>
  <c r="J2741" i="5"/>
  <c r="J2742" i="5"/>
  <c r="J2743" i="5"/>
  <c r="J2744" i="5"/>
  <c r="J2745" i="5"/>
  <c r="J2746" i="5"/>
  <c r="J2747" i="5"/>
  <c r="J2748" i="5"/>
  <c r="J2749" i="5"/>
  <c r="J2750" i="5"/>
  <c r="J2751" i="5"/>
  <c r="J2752" i="5"/>
  <c r="J2753" i="5"/>
  <c r="J2754" i="5"/>
  <c r="J2755" i="5"/>
  <c r="J2756" i="5"/>
  <c r="J2757" i="5"/>
  <c r="J2758" i="5"/>
  <c r="J2759" i="5"/>
  <c r="J2760" i="5"/>
  <c r="J2761" i="5"/>
  <c r="J2762" i="5"/>
  <c r="J2763" i="5"/>
  <c r="J2764" i="5"/>
  <c r="J2765" i="5"/>
  <c r="J2766" i="5"/>
  <c r="J2767" i="5"/>
  <c r="J2768" i="5"/>
  <c r="J2769" i="5"/>
  <c r="J2770" i="5"/>
  <c r="J2771" i="5"/>
  <c r="J2772" i="5"/>
  <c r="J2773" i="5"/>
  <c r="J2774" i="5"/>
  <c r="J2775" i="5"/>
  <c r="J2776" i="5"/>
  <c r="J2777" i="5"/>
  <c r="J2778" i="5"/>
  <c r="J2779" i="5"/>
  <c r="J2780" i="5"/>
  <c r="J2781" i="5"/>
  <c r="J2782" i="5"/>
  <c r="J2783" i="5"/>
  <c r="J2784" i="5"/>
  <c r="J2785" i="5"/>
  <c r="J2786" i="5"/>
  <c r="J2787" i="5"/>
  <c r="J2788" i="5"/>
  <c r="J2789" i="5"/>
  <c r="J2790" i="5"/>
  <c r="J2791" i="5"/>
  <c r="J2792" i="5"/>
  <c r="J2793" i="5"/>
  <c r="J2794" i="5"/>
  <c r="J2795" i="5"/>
  <c r="J2796" i="5"/>
  <c r="J2797" i="5"/>
  <c r="J2798" i="5"/>
  <c r="J2799" i="5"/>
  <c r="J2800" i="5"/>
  <c r="J2801" i="5"/>
  <c r="J2802" i="5"/>
  <c r="J2803" i="5"/>
  <c r="J2804" i="5"/>
  <c r="B8" i="175" l="1"/>
  <c r="C8" i="175" s="1"/>
  <c r="B18" i="177"/>
  <c r="F54" i="4" l="1"/>
  <c r="G54" i="4" s="1"/>
  <c r="H54" i="4"/>
  <c r="I54" i="4" s="1"/>
  <c r="TT4" i="178" l="1"/>
  <c r="TT5" i="178"/>
  <c r="TT6" i="178"/>
  <c r="TT7" i="178"/>
  <c r="TT8" i="178"/>
  <c r="TT3" i="178"/>
  <c r="B65" i="149"/>
  <c r="B66" i="149" l="1"/>
  <c r="HR12" i="175"/>
  <c r="HQ12" i="175"/>
  <c r="HO12" i="175"/>
  <c r="HN12" i="175"/>
  <c r="HL12" i="175"/>
  <c r="HK12" i="175"/>
  <c r="HI12" i="175"/>
  <c r="HH12" i="175"/>
  <c r="HF12" i="175"/>
  <c r="HE12" i="175"/>
  <c r="HR6" i="175"/>
  <c r="HQ6" i="175"/>
  <c r="HO6" i="175"/>
  <c r="HN6" i="175"/>
  <c r="HL6" i="175"/>
  <c r="HK6" i="175"/>
  <c r="HI6" i="175"/>
  <c r="HH6" i="175"/>
  <c r="HF6" i="175"/>
  <c r="HE6" i="175"/>
  <c r="HR5" i="175"/>
  <c r="HQ5" i="175"/>
  <c r="HO5" i="175"/>
  <c r="HN5" i="175"/>
  <c r="HL5" i="175"/>
  <c r="HK5" i="175"/>
  <c r="HI5" i="175"/>
  <c r="HH5" i="175"/>
  <c r="HF5" i="175"/>
  <c r="HE5" i="175"/>
  <c r="HR4" i="175"/>
  <c r="HQ4" i="175"/>
  <c r="HO4" i="175"/>
  <c r="HN4" i="175"/>
  <c r="HL4" i="175"/>
  <c r="HK4" i="175"/>
  <c r="HI4" i="175"/>
  <c r="HH4" i="175"/>
  <c r="HF4" i="175"/>
  <c r="HE4" i="175"/>
  <c r="HR3" i="175"/>
  <c r="HQ3" i="175"/>
  <c r="HO3" i="175"/>
  <c r="HN3" i="175"/>
  <c r="HL3" i="175"/>
  <c r="HK3" i="175"/>
  <c r="HI3" i="175"/>
  <c r="HH3" i="175"/>
  <c r="HF3" i="175"/>
  <c r="HE3" i="175"/>
  <c r="HA12" i="175"/>
  <c r="GZ12" i="175"/>
  <c r="GX12" i="175"/>
  <c r="GW12" i="175"/>
  <c r="GU12" i="175"/>
  <c r="GT12" i="175"/>
  <c r="GR12" i="175"/>
  <c r="GQ12" i="175"/>
  <c r="GO12" i="175"/>
  <c r="GN12" i="175"/>
  <c r="HA6" i="175"/>
  <c r="GZ6" i="175"/>
  <c r="GX6" i="175"/>
  <c r="GW6" i="175"/>
  <c r="GU6" i="175"/>
  <c r="GT6" i="175"/>
  <c r="GR6" i="175"/>
  <c r="GQ6" i="175"/>
  <c r="GO6" i="175"/>
  <c r="GN6" i="175"/>
  <c r="HA5" i="175"/>
  <c r="GZ5" i="175"/>
  <c r="GX5" i="175"/>
  <c r="GW5" i="175"/>
  <c r="GU5" i="175"/>
  <c r="GT5" i="175"/>
  <c r="GR5" i="175"/>
  <c r="GQ5" i="175"/>
  <c r="GO5" i="175"/>
  <c r="GN5" i="175"/>
  <c r="HA4" i="175"/>
  <c r="GZ4" i="175"/>
  <c r="GX4" i="175"/>
  <c r="GW4" i="175"/>
  <c r="GU4" i="175"/>
  <c r="GT4" i="175"/>
  <c r="GR4" i="175"/>
  <c r="GQ4" i="175"/>
  <c r="GO4" i="175"/>
  <c r="GN4" i="175"/>
  <c r="HA3" i="175"/>
  <c r="GZ3" i="175"/>
  <c r="GX3" i="175"/>
  <c r="GW3" i="175"/>
  <c r="GU3" i="175"/>
  <c r="GT3" i="175"/>
  <c r="GR3" i="175"/>
  <c r="GQ3" i="175"/>
  <c r="GO3" i="175"/>
  <c r="GN3" i="175"/>
  <c r="B150" i="169"/>
  <c r="C150" i="169"/>
  <c r="B151" i="169"/>
  <c r="C151" i="169"/>
  <c r="B152" i="169"/>
  <c r="C152" i="169"/>
  <c r="B113" i="169"/>
  <c r="C113" i="169"/>
  <c r="B114" i="169"/>
  <c r="B115" i="169"/>
  <c r="C115" i="169"/>
  <c r="B116" i="169"/>
  <c r="C116" i="169"/>
  <c r="B117" i="169"/>
  <c r="C117" i="169"/>
  <c r="B118" i="169"/>
  <c r="B119" i="169"/>
  <c r="C119" i="169"/>
  <c r="B120" i="169"/>
  <c r="C120" i="169"/>
  <c r="B121" i="169"/>
  <c r="C121" i="169"/>
  <c r="B122" i="169"/>
  <c r="C122" i="169"/>
  <c r="B123" i="169"/>
  <c r="C123" i="169"/>
  <c r="B124" i="169"/>
  <c r="C124" i="169"/>
  <c r="B125" i="169"/>
  <c r="C125" i="169"/>
  <c r="B126" i="169"/>
  <c r="C126" i="169"/>
  <c r="B127" i="169"/>
  <c r="C127" i="169"/>
  <c r="B128" i="169"/>
  <c r="C128" i="169"/>
  <c r="B129" i="169"/>
  <c r="C129" i="169"/>
  <c r="B130" i="169"/>
  <c r="C130" i="169"/>
  <c r="B131" i="169"/>
  <c r="C131" i="169"/>
  <c r="B132" i="169"/>
  <c r="C132" i="169"/>
  <c r="B133" i="169"/>
  <c r="C133" i="169"/>
  <c r="B134" i="169"/>
  <c r="C134" i="169"/>
  <c r="B135" i="169"/>
  <c r="C135" i="169"/>
  <c r="B136" i="169"/>
  <c r="C136" i="169"/>
  <c r="B137" i="169"/>
  <c r="C137" i="169"/>
  <c r="B138" i="169"/>
  <c r="C138" i="169"/>
  <c r="B139" i="169"/>
  <c r="C139" i="169"/>
  <c r="B140" i="169"/>
  <c r="C140" i="169"/>
  <c r="B141" i="169"/>
  <c r="C141" i="169"/>
  <c r="B142" i="169"/>
  <c r="C142" i="169"/>
  <c r="B143" i="169"/>
  <c r="C143" i="169"/>
  <c r="B144" i="169"/>
  <c r="C144" i="169"/>
  <c r="B145" i="169"/>
  <c r="C145" i="169"/>
  <c r="B146" i="169"/>
  <c r="C146" i="169"/>
  <c r="B147" i="169"/>
  <c r="C147" i="169"/>
  <c r="B148" i="169"/>
  <c r="C148" i="169"/>
  <c r="B149" i="169"/>
  <c r="C149" i="169"/>
  <c r="J2713" i="5"/>
  <c r="J2714" i="5"/>
  <c r="J2715" i="5"/>
  <c r="J2716" i="5"/>
  <c r="J2717" i="5"/>
  <c r="J2718" i="5"/>
  <c r="J2719" i="5"/>
  <c r="J2720" i="5"/>
  <c r="J2721" i="5"/>
  <c r="J2722" i="5"/>
  <c r="J2723" i="5"/>
  <c r="J2724" i="5"/>
  <c r="J2725" i="5"/>
  <c r="AA2713" i="5"/>
  <c r="AA2714" i="5"/>
  <c r="AA2715" i="5"/>
  <c r="AA2716" i="5"/>
  <c r="AA2717" i="5"/>
  <c r="AA2718" i="5"/>
  <c r="AA2719" i="5"/>
  <c r="AA2720" i="5"/>
  <c r="AA2721" i="5"/>
  <c r="AA2722" i="5"/>
  <c r="AA2723" i="5"/>
  <c r="AA2724" i="5"/>
  <c r="AA2725" i="5"/>
  <c r="R2713" i="5"/>
  <c r="R2714" i="5"/>
  <c r="R2715" i="5"/>
  <c r="R2716" i="5"/>
  <c r="R2717" i="5"/>
  <c r="R2718" i="5"/>
  <c r="R2719" i="5"/>
  <c r="R2720" i="5"/>
  <c r="R2721" i="5"/>
  <c r="R2722" i="5"/>
  <c r="R2723" i="5"/>
  <c r="R2724" i="5"/>
  <c r="R2725" i="5"/>
  <c r="HC6" i="175" l="1"/>
  <c r="HC4" i="175"/>
  <c r="HC3" i="175"/>
  <c r="HC5" i="175"/>
  <c r="HC12" i="175"/>
  <c r="HT6" i="175"/>
  <c r="HT4" i="175"/>
  <c r="HT3" i="175"/>
  <c r="HT5" i="175"/>
  <c r="HT12" i="175"/>
  <c r="HI13" i="175"/>
  <c r="HO13" i="175"/>
  <c r="HN13" i="175"/>
  <c r="GX13" i="175"/>
  <c r="HR13" i="175"/>
  <c r="GO13" i="175"/>
  <c r="HA13" i="175"/>
  <c r="GT13" i="175"/>
  <c r="GZ13" i="175"/>
  <c r="D113" i="169"/>
  <c r="E113" i="169" s="1"/>
  <c r="F113" i="169" s="1"/>
  <c r="D151" i="169"/>
  <c r="E151" i="169" s="1"/>
  <c r="F151" i="169" s="1"/>
  <c r="GY4" i="175"/>
  <c r="GP5" i="175"/>
  <c r="GV5" i="175"/>
  <c r="GY6" i="175"/>
  <c r="GV12" i="175"/>
  <c r="HG4" i="175"/>
  <c r="HM4" i="175"/>
  <c r="HS4" i="175"/>
  <c r="HJ5" i="175"/>
  <c r="HG6" i="175"/>
  <c r="HP12" i="175"/>
  <c r="HM6" i="175"/>
  <c r="HS6" i="175"/>
  <c r="GS6" i="175"/>
  <c r="D146" i="169"/>
  <c r="E146" i="169" s="1"/>
  <c r="F146" i="169" s="1"/>
  <c r="D152" i="169"/>
  <c r="E152" i="169" s="1"/>
  <c r="F152" i="169" s="1"/>
  <c r="D150" i="169"/>
  <c r="E150" i="169" s="1"/>
  <c r="F150" i="169" s="1"/>
  <c r="GW13" i="175"/>
  <c r="GP4" i="175"/>
  <c r="GV4" i="175"/>
  <c r="HB4" i="175"/>
  <c r="GY5" i="175"/>
  <c r="GP6" i="175"/>
  <c r="GV6" i="175"/>
  <c r="HB6" i="175"/>
  <c r="GY12" i="175"/>
  <c r="HK13" i="175"/>
  <c r="HQ13" i="175"/>
  <c r="HP4" i="175"/>
  <c r="HG5" i="175"/>
  <c r="HM5" i="175"/>
  <c r="HJ6" i="175"/>
  <c r="HP6" i="175"/>
  <c r="HG12" i="175"/>
  <c r="HS5" i="175"/>
  <c r="HS12" i="175"/>
  <c r="HP5" i="175"/>
  <c r="HL13" i="175"/>
  <c r="HM3" i="175"/>
  <c r="HM12" i="175"/>
  <c r="HJ12" i="175"/>
  <c r="HH13" i="175"/>
  <c r="HJ4" i="175"/>
  <c r="HU5" i="175"/>
  <c r="HU6" i="175"/>
  <c r="HE13" i="175"/>
  <c r="HU4" i="175"/>
  <c r="HF13" i="175"/>
  <c r="HU12" i="175"/>
  <c r="HJ3" i="175"/>
  <c r="HS3" i="175"/>
  <c r="HG3" i="175"/>
  <c r="HP3" i="175"/>
  <c r="HU3" i="175"/>
  <c r="HB5" i="175"/>
  <c r="HB12" i="175"/>
  <c r="GU13" i="175"/>
  <c r="GV3" i="175"/>
  <c r="GS5" i="175"/>
  <c r="GS12" i="175"/>
  <c r="GS4" i="175"/>
  <c r="GQ13" i="175"/>
  <c r="GS3" i="175"/>
  <c r="HD12" i="175"/>
  <c r="GN13" i="175"/>
  <c r="HD6" i="175"/>
  <c r="HD5" i="175"/>
  <c r="GP12" i="175"/>
  <c r="HD4" i="175"/>
  <c r="HB3" i="175"/>
  <c r="GP3" i="175"/>
  <c r="GY3" i="175"/>
  <c r="HD3" i="175"/>
  <c r="GR13" i="175"/>
  <c r="D140" i="169"/>
  <c r="E140" i="169" s="1"/>
  <c r="F140" i="169" s="1"/>
  <c r="D134" i="169"/>
  <c r="E134" i="169" s="1"/>
  <c r="F134" i="169" s="1"/>
  <c r="D132" i="169"/>
  <c r="E132" i="169" s="1"/>
  <c r="F132" i="169" s="1"/>
  <c r="D126" i="169"/>
  <c r="E126" i="169" s="1"/>
  <c r="F126" i="169" s="1"/>
  <c r="D138" i="169"/>
  <c r="E138" i="169" s="1"/>
  <c r="F138" i="169" s="1"/>
  <c r="D130" i="169"/>
  <c r="E130" i="169" s="1"/>
  <c r="F130" i="169" s="1"/>
  <c r="D128" i="169"/>
  <c r="E128" i="169" s="1"/>
  <c r="F128" i="169" s="1"/>
  <c r="D122" i="169"/>
  <c r="E122" i="169" s="1"/>
  <c r="F122" i="169" s="1"/>
  <c r="D120" i="169"/>
  <c r="E120" i="169" s="1"/>
  <c r="F120" i="169" s="1"/>
  <c r="D148" i="169"/>
  <c r="E148" i="169" s="1"/>
  <c r="F148" i="169" s="1"/>
  <c r="D142" i="169"/>
  <c r="E142" i="169" s="1"/>
  <c r="F142" i="169" s="1"/>
  <c r="D145" i="169"/>
  <c r="E145" i="169" s="1"/>
  <c r="F145" i="169" s="1"/>
  <c r="D143" i="169"/>
  <c r="E143" i="169" s="1"/>
  <c r="F143" i="169" s="1"/>
  <c r="D137" i="169"/>
  <c r="E137" i="169" s="1"/>
  <c r="F137" i="169" s="1"/>
  <c r="D135" i="169"/>
  <c r="E135" i="169" s="1"/>
  <c r="F135" i="169" s="1"/>
  <c r="D129" i="169"/>
  <c r="E129" i="169" s="1"/>
  <c r="F129" i="169" s="1"/>
  <c r="D127" i="169"/>
  <c r="E127" i="169" s="1"/>
  <c r="F127" i="169" s="1"/>
  <c r="D121" i="169"/>
  <c r="E121" i="169" s="1"/>
  <c r="F121" i="169" s="1"/>
  <c r="D119" i="169"/>
  <c r="E119" i="169" s="1"/>
  <c r="F119" i="169" s="1"/>
  <c r="D141" i="169"/>
  <c r="E141" i="169" s="1"/>
  <c r="F141" i="169" s="1"/>
  <c r="D139" i="169"/>
  <c r="E139" i="169" s="1"/>
  <c r="F139" i="169" s="1"/>
  <c r="D136" i="169"/>
  <c r="E136" i="169" s="1"/>
  <c r="F136" i="169" s="1"/>
  <c r="D125" i="169"/>
  <c r="E125" i="169" s="1"/>
  <c r="F125" i="169" s="1"/>
  <c r="D123" i="169"/>
  <c r="E123" i="169" s="1"/>
  <c r="F123" i="169" s="1"/>
  <c r="D116" i="169"/>
  <c r="E116" i="169" s="1"/>
  <c r="F116" i="169" s="1"/>
  <c r="D149" i="169"/>
  <c r="E149" i="169" s="1"/>
  <c r="F149" i="169" s="1"/>
  <c r="D147" i="169"/>
  <c r="E147" i="169" s="1"/>
  <c r="F147" i="169" s="1"/>
  <c r="D144" i="169"/>
  <c r="E144" i="169" s="1"/>
  <c r="F144" i="169" s="1"/>
  <c r="D133" i="169"/>
  <c r="E133" i="169" s="1"/>
  <c r="F133" i="169" s="1"/>
  <c r="D131" i="169"/>
  <c r="E131" i="169" s="1"/>
  <c r="F131" i="169" s="1"/>
  <c r="D124" i="169"/>
  <c r="E124" i="169" s="1"/>
  <c r="F124" i="169" s="1"/>
  <c r="D117" i="169"/>
  <c r="E117" i="169" s="1"/>
  <c r="F117" i="169" s="1"/>
  <c r="D115" i="169"/>
  <c r="E115" i="169" s="1"/>
  <c r="F115" i="169" s="1"/>
  <c r="C88" i="176"/>
  <c r="C104" i="176"/>
  <c r="C106" i="176"/>
  <c r="C107" i="176"/>
  <c r="C108" i="176"/>
  <c r="C109" i="176"/>
  <c r="C110" i="176"/>
  <c r="C111" i="176"/>
  <c r="C112" i="176"/>
  <c r="C113" i="176"/>
  <c r="C114" i="176"/>
  <c r="C115" i="176"/>
  <c r="C116" i="176"/>
  <c r="C117" i="176"/>
  <c r="C118" i="176"/>
  <c r="C119" i="176"/>
  <c r="C120" i="176"/>
  <c r="C121" i="176"/>
  <c r="H53" i="4"/>
  <c r="I53" i="4" s="1"/>
  <c r="F53" i="4"/>
  <c r="G53" i="4" s="1"/>
  <c r="HC13" i="175" l="1"/>
  <c r="HT13" i="175"/>
  <c r="HR14" i="175"/>
  <c r="HO14" i="175"/>
  <c r="HP13" i="175"/>
  <c r="HJ13" i="175"/>
  <c r="HM13" i="175"/>
  <c r="GP13" i="175"/>
  <c r="HB13" i="175"/>
  <c r="HI14" i="175"/>
  <c r="HA14" i="175"/>
  <c r="HF14" i="175"/>
  <c r="GU14" i="175"/>
  <c r="HS13" i="175"/>
  <c r="HD14" i="175"/>
  <c r="GR14" i="175"/>
  <c r="GO14" i="175"/>
  <c r="GY13" i="175"/>
  <c r="HG13" i="175"/>
  <c r="GX14" i="175"/>
  <c r="HL14" i="175"/>
  <c r="GV13" i="175"/>
  <c r="HU14" i="175"/>
  <c r="HU13" i="175"/>
  <c r="HD13" i="175"/>
  <c r="GS13" i="175"/>
  <c r="RH3" i="178"/>
  <c r="RF3" i="178"/>
  <c r="AA2638" i="5"/>
  <c r="AA2639" i="5"/>
  <c r="AA2640" i="5"/>
  <c r="AA2641" i="5"/>
  <c r="AA2642" i="5"/>
  <c r="AA2643" i="5"/>
  <c r="AA2644" i="5"/>
  <c r="AA2645" i="5"/>
  <c r="AA2646" i="5"/>
  <c r="AA2647" i="5"/>
  <c r="AA2648" i="5"/>
  <c r="AA2649" i="5"/>
  <c r="AA2650" i="5"/>
  <c r="AA2651" i="5"/>
  <c r="AA2652" i="5"/>
  <c r="AA2653" i="5"/>
  <c r="AA2654" i="5"/>
  <c r="AA2655" i="5"/>
  <c r="AA2656" i="5"/>
  <c r="AA2657" i="5"/>
  <c r="AA2658" i="5"/>
  <c r="AA2659" i="5"/>
  <c r="AA2660" i="5"/>
  <c r="AA2661" i="5"/>
  <c r="AA2662" i="5"/>
  <c r="AA2663" i="5"/>
  <c r="AA2664" i="5"/>
  <c r="AA2665" i="5"/>
  <c r="C118" i="169" s="1"/>
  <c r="D118" i="169" s="1"/>
  <c r="E118" i="169" s="1"/>
  <c r="F118" i="169" s="1"/>
  <c r="AA2666" i="5"/>
  <c r="AA2667" i="5"/>
  <c r="AA2668" i="5"/>
  <c r="AA2669" i="5"/>
  <c r="AA2670" i="5"/>
  <c r="AA2671" i="5"/>
  <c r="AA2672" i="5"/>
  <c r="AA2673" i="5"/>
  <c r="AA2674" i="5"/>
  <c r="AA2675" i="5"/>
  <c r="AA2676" i="5"/>
  <c r="AA2677" i="5"/>
  <c r="AA2678" i="5"/>
  <c r="AA2679" i="5"/>
  <c r="AA2680" i="5"/>
  <c r="AA2681" i="5"/>
  <c r="AA2682" i="5"/>
  <c r="AA2683" i="5"/>
  <c r="AA2684" i="5"/>
  <c r="AA2685" i="5"/>
  <c r="AA2686" i="5"/>
  <c r="AA2687" i="5"/>
  <c r="AA2688" i="5"/>
  <c r="AA2689" i="5"/>
  <c r="AA2690" i="5"/>
  <c r="AA2691" i="5"/>
  <c r="AA2692" i="5"/>
  <c r="AA2693" i="5"/>
  <c r="AA2694" i="5"/>
  <c r="AA2695" i="5"/>
  <c r="AA2696" i="5"/>
  <c r="AA2697" i="5"/>
  <c r="AA2698" i="5"/>
  <c r="AA2699" i="5"/>
  <c r="AA2700" i="5"/>
  <c r="AA2701" i="5"/>
  <c r="AA2702" i="5"/>
  <c r="AA2703" i="5"/>
  <c r="AA2704" i="5"/>
  <c r="AA2705" i="5"/>
  <c r="AA2706" i="5"/>
  <c r="AA2707" i="5"/>
  <c r="AA2708" i="5"/>
  <c r="AA2709" i="5"/>
  <c r="AA2710" i="5"/>
  <c r="AA2711" i="5"/>
  <c r="AA2712" i="5"/>
  <c r="ABF3" i="178"/>
  <c r="C114" i="169" l="1"/>
  <c r="D114" i="169" s="1"/>
  <c r="E114" i="169" s="1"/>
  <c r="F114" i="169" s="1"/>
  <c r="AAZ3" i="177"/>
  <c r="AAZ5" i="177"/>
  <c r="AAZ4" i="177"/>
  <c r="AAR7" i="178"/>
  <c r="H45" i="149" l="1"/>
  <c r="H44" i="149"/>
  <c r="G45" i="149"/>
  <c r="G44" i="149"/>
  <c r="H43" i="149"/>
  <c r="G43" i="149"/>
  <c r="TX9" i="177" l="1"/>
  <c r="C5" i="176"/>
  <c r="E11" i="149" s="1"/>
  <c r="C4" i="176"/>
  <c r="J2673" i="5"/>
  <c r="J2674" i="5"/>
  <c r="J2675" i="5"/>
  <c r="J2676" i="5"/>
  <c r="J2677" i="5"/>
  <c r="J2678" i="5"/>
  <c r="J2679" i="5"/>
  <c r="J2680" i="5"/>
  <c r="J2681" i="5"/>
  <c r="J2682" i="5"/>
  <c r="J2683" i="5"/>
  <c r="J2684" i="5"/>
  <c r="J2685" i="5"/>
  <c r="J2686" i="5"/>
  <c r="J2687" i="5"/>
  <c r="J2688" i="5"/>
  <c r="J2689" i="5"/>
  <c r="J2690" i="5"/>
  <c r="J2691" i="5"/>
  <c r="J2692" i="5"/>
  <c r="J2693" i="5"/>
  <c r="J2694" i="5"/>
  <c r="J2695" i="5"/>
  <c r="J2696" i="5"/>
  <c r="J2697" i="5"/>
  <c r="J2698" i="5"/>
  <c r="J2699" i="5"/>
  <c r="J2700" i="5"/>
  <c r="J2701" i="5"/>
  <c r="J2702" i="5"/>
  <c r="J2703" i="5"/>
  <c r="J2704" i="5"/>
  <c r="J2705" i="5"/>
  <c r="J2706" i="5"/>
  <c r="J2707" i="5"/>
  <c r="J2708" i="5"/>
  <c r="J2709" i="5"/>
  <c r="J2710" i="5"/>
  <c r="J2711" i="5"/>
  <c r="J2712" i="5"/>
  <c r="R2673" i="5"/>
  <c r="R2674" i="5"/>
  <c r="R2675" i="5"/>
  <c r="R2676" i="5"/>
  <c r="R2677" i="5"/>
  <c r="R2678" i="5"/>
  <c r="R2679" i="5"/>
  <c r="R2680" i="5"/>
  <c r="R2681" i="5"/>
  <c r="R2682" i="5"/>
  <c r="R2683" i="5"/>
  <c r="R2684" i="5"/>
  <c r="R2685" i="5"/>
  <c r="R2686" i="5"/>
  <c r="R2687" i="5"/>
  <c r="R2688" i="5"/>
  <c r="R2689" i="5"/>
  <c r="R2690" i="5"/>
  <c r="R2691" i="5"/>
  <c r="R2692" i="5"/>
  <c r="R2693" i="5"/>
  <c r="R2694" i="5"/>
  <c r="R2695" i="5"/>
  <c r="R2696" i="5"/>
  <c r="R2697" i="5"/>
  <c r="R2698" i="5"/>
  <c r="R2699" i="5"/>
  <c r="R2700" i="5"/>
  <c r="R2701" i="5"/>
  <c r="R2702" i="5"/>
  <c r="R2703" i="5"/>
  <c r="R2704" i="5"/>
  <c r="R2705" i="5"/>
  <c r="R2706" i="5"/>
  <c r="R2707" i="5"/>
  <c r="R2708" i="5"/>
  <c r="R2709" i="5"/>
  <c r="R2710" i="5"/>
  <c r="R2711" i="5"/>
  <c r="R2712" i="5"/>
  <c r="R2639" i="5"/>
  <c r="R2640" i="5"/>
  <c r="R2641" i="5"/>
  <c r="R2642" i="5"/>
  <c r="R2643" i="5"/>
  <c r="R2644" i="5"/>
  <c r="R2645" i="5"/>
  <c r="R2646" i="5"/>
  <c r="R2647" i="5"/>
  <c r="R2648" i="5"/>
  <c r="R2649" i="5"/>
  <c r="R2650" i="5"/>
  <c r="R2651" i="5"/>
  <c r="R2652" i="5"/>
  <c r="R2653" i="5"/>
  <c r="R2654" i="5"/>
  <c r="R2655" i="5"/>
  <c r="R2656" i="5"/>
  <c r="R2657" i="5"/>
  <c r="R2658" i="5"/>
  <c r="R2659" i="5"/>
  <c r="R2660" i="5"/>
  <c r="R2661" i="5"/>
  <c r="R2662" i="5"/>
  <c r="R2663" i="5"/>
  <c r="R2664" i="5"/>
  <c r="R2665" i="5"/>
  <c r="R2666" i="5"/>
  <c r="R2667" i="5"/>
  <c r="R2668" i="5"/>
  <c r="R2669" i="5"/>
  <c r="R2670" i="5"/>
  <c r="R2671" i="5"/>
  <c r="R2672" i="5"/>
  <c r="J2639" i="5"/>
  <c r="J2640" i="5"/>
  <c r="J2641" i="5"/>
  <c r="J2642" i="5"/>
  <c r="J2643" i="5"/>
  <c r="J2644" i="5"/>
  <c r="J2645" i="5"/>
  <c r="J2646" i="5"/>
  <c r="J2647" i="5"/>
  <c r="J2648" i="5"/>
  <c r="J2649" i="5"/>
  <c r="J2650" i="5"/>
  <c r="J2651" i="5"/>
  <c r="J2652" i="5"/>
  <c r="J2653" i="5"/>
  <c r="J2654" i="5"/>
  <c r="J2655" i="5"/>
  <c r="J2656" i="5"/>
  <c r="J2657" i="5"/>
  <c r="J2658" i="5"/>
  <c r="J2659" i="5"/>
  <c r="J2660" i="5"/>
  <c r="J2661" i="5"/>
  <c r="J2662" i="5"/>
  <c r="J2663" i="5"/>
  <c r="J2664" i="5"/>
  <c r="J2665" i="5"/>
  <c r="J2666" i="5"/>
  <c r="J2667" i="5"/>
  <c r="J2668" i="5"/>
  <c r="J2669" i="5"/>
  <c r="J2670" i="5"/>
  <c r="J2671" i="5"/>
  <c r="J2672" i="5"/>
  <c r="E5" i="176" l="1"/>
  <c r="NY3" i="178"/>
  <c r="NW3" i="178"/>
  <c r="N3" i="187"/>
  <c r="Q3" i="187"/>
  <c r="L3" i="187"/>
  <c r="F3" i="187"/>
  <c r="U3" i="186"/>
  <c r="P3" i="186"/>
  <c r="I3" i="186"/>
  <c r="D3" i="186"/>
  <c r="I3" i="181"/>
  <c r="D3" i="181"/>
  <c r="NK4" i="177" l="1"/>
  <c r="NN3" i="177"/>
  <c r="NJ3" i="177"/>
  <c r="ND3" i="178"/>
  <c r="NB3" i="178"/>
  <c r="I3" i="182"/>
  <c r="D3" i="182"/>
  <c r="BE3" i="182"/>
  <c r="BW3" i="182"/>
  <c r="BQ3" i="182"/>
  <c r="BI3" i="182"/>
  <c r="BC3" i="182"/>
  <c r="AU3" i="182"/>
  <c r="AO3" i="182"/>
  <c r="AI3" i="182"/>
  <c r="AE3" i="182"/>
  <c r="W3" i="182"/>
  <c r="Q3" i="182"/>
  <c r="X4" i="181"/>
  <c r="P4" i="181"/>
  <c r="JT3" i="178"/>
  <c r="HQ3" i="178" l="1"/>
  <c r="AAV26" i="178" l="1"/>
  <c r="AAV25" i="178"/>
  <c r="AAV24" i="178"/>
  <c r="AAV23" i="178"/>
  <c r="AAV22" i="178"/>
  <c r="AAV21" i="178"/>
  <c r="AAV20" i="178"/>
  <c r="AAV19" i="178"/>
  <c r="AAV18" i="178"/>
  <c r="AAV17" i="178"/>
  <c r="AAV16" i="178"/>
  <c r="AAV15" i="178"/>
  <c r="AAV27" i="178" s="1"/>
  <c r="AAR3" i="178"/>
  <c r="AAP3" i="178"/>
  <c r="AEF3" i="178"/>
  <c r="AED3" i="178"/>
  <c r="ADX3" i="178"/>
  <c r="ADV3" i="178"/>
  <c r="OI51" i="178"/>
  <c r="OG51" i="178"/>
  <c r="OI39" i="178"/>
  <c r="OG39" i="178"/>
  <c r="OI27" i="178"/>
  <c r="OG27" i="178"/>
  <c r="OD26" i="178"/>
  <c r="OD38" i="178" s="1"/>
  <c r="OD50" i="178" s="1"/>
  <c r="OD25" i="178"/>
  <c r="OD37" i="178" s="1"/>
  <c r="OD24" i="178"/>
  <c r="OD36" i="178" s="1"/>
  <c r="OD48" i="178" s="1"/>
  <c r="OD23" i="178"/>
  <c r="OD35" i="178" s="1"/>
  <c r="OD22" i="178"/>
  <c r="OD34" i="178" s="1"/>
  <c r="OD46" i="178" s="1"/>
  <c r="OD21" i="178"/>
  <c r="OD33" i="178" s="1"/>
  <c r="OD20" i="178"/>
  <c r="OD32" i="178" s="1"/>
  <c r="OD44" i="178" s="1"/>
  <c r="OD19" i="178"/>
  <c r="OD31" i="178" s="1"/>
  <c r="OD18" i="178"/>
  <c r="OD30" i="178" s="1"/>
  <c r="OD42" i="178" s="1"/>
  <c r="OD17" i="178"/>
  <c r="OD29" i="178" s="1"/>
  <c r="OD16" i="178"/>
  <c r="OD28" i="178" s="1"/>
  <c r="OD40" i="178" s="1"/>
  <c r="OI15" i="178"/>
  <c r="OG15" i="178"/>
  <c r="OD15" i="178"/>
  <c r="OD27" i="178" s="1"/>
  <c r="OI3" i="178"/>
  <c r="OG3" i="178"/>
  <c r="AAV39" i="178" l="1"/>
  <c r="AAV28" i="178"/>
  <c r="AAV32" i="178"/>
  <c r="AAV36" i="178"/>
  <c r="AAV31" i="178"/>
  <c r="AAV35" i="178"/>
  <c r="AAV29" i="178"/>
  <c r="AAV33" i="178"/>
  <c r="AAV37" i="178"/>
  <c r="AAV30" i="178"/>
  <c r="AAV34" i="178"/>
  <c r="AAV38" i="178"/>
  <c r="OD56" i="178"/>
  <c r="OD39" i="178"/>
  <c r="OD45" i="178"/>
  <c r="OD52" i="178"/>
  <c r="OD60" i="178"/>
  <c r="OD43" i="178"/>
  <c r="OD47" i="178"/>
  <c r="OD58" i="178"/>
  <c r="OD41" i="178"/>
  <c r="OD49" i="178"/>
  <c r="OD54" i="178"/>
  <c r="OD62" i="178"/>
  <c r="ABH3" i="178"/>
  <c r="QR26" i="178"/>
  <c r="QR38" i="178" s="1"/>
  <c r="QR25" i="178"/>
  <c r="QR24" i="178"/>
  <c r="QR36" i="178" s="1"/>
  <c r="QR23" i="178"/>
  <c r="QR22" i="178"/>
  <c r="QR34" i="178" s="1"/>
  <c r="QR21" i="178"/>
  <c r="QR20" i="178"/>
  <c r="QR32" i="178" s="1"/>
  <c r="QR19" i="178"/>
  <c r="QR18" i="178"/>
  <c r="QR30" i="178" s="1"/>
  <c r="QR17" i="178"/>
  <c r="QR16" i="178"/>
  <c r="QR28" i="178" s="1"/>
  <c r="QR15" i="178"/>
  <c r="QI26" i="178"/>
  <c r="QI38" i="178" s="1"/>
  <c r="QI25" i="178"/>
  <c r="QI24" i="178"/>
  <c r="QI36" i="178" s="1"/>
  <c r="QI23" i="178"/>
  <c r="QI22" i="178"/>
  <c r="QI34" i="178" s="1"/>
  <c r="QI21" i="178"/>
  <c r="QI20" i="178"/>
  <c r="QI32" i="178" s="1"/>
  <c r="QI19" i="178"/>
  <c r="QI18" i="178"/>
  <c r="QI30" i="178" s="1"/>
  <c r="QI17" i="178"/>
  <c r="QI16" i="178"/>
  <c r="QI28" i="178" s="1"/>
  <c r="QI15" i="178"/>
  <c r="PZ26" i="178"/>
  <c r="PZ38" i="178" s="1"/>
  <c r="PZ25" i="178"/>
  <c r="PZ37" i="178" s="1"/>
  <c r="PZ49" i="178" s="1"/>
  <c r="PZ24" i="178"/>
  <c r="PZ36" i="178" s="1"/>
  <c r="PZ23" i="178"/>
  <c r="PZ35" i="178" s="1"/>
  <c r="PZ47" i="178" s="1"/>
  <c r="PZ22" i="178"/>
  <c r="PZ34" i="178" s="1"/>
  <c r="PZ21" i="178"/>
  <c r="PZ33" i="178" s="1"/>
  <c r="PZ45" i="178" s="1"/>
  <c r="PZ20" i="178"/>
  <c r="PZ32" i="178" s="1"/>
  <c r="PZ19" i="178"/>
  <c r="PZ31" i="178" s="1"/>
  <c r="PZ43" i="178" s="1"/>
  <c r="PZ18" i="178"/>
  <c r="PZ30" i="178" s="1"/>
  <c r="PZ17" i="178"/>
  <c r="PZ29" i="178" s="1"/>
  <c r="PZ41" i="178" s="1"/>
  <c r="PZ16" i="178"/>
  <c r="PZ28" i="178" s="1"/>
  <c r="PZ15" i="178"/>
  <c r="PZ27" i="178" s="1"/>
  <c r="PQ26" i="178"/>
  <c r="PQ38" i="178" s="1"/>
  <c r="PQ50" i="178" s="1"/>
  <c r="PQ25" i="178"/>
  <c r="PQ37" i="178" s="1"/>
  <c r="PQ49" i="178" s="1"/>
  <c r="PQ24" i="178"/>
  <c r="PQ36" i="178" s="1"/>
  <c r="PQ48" i="178" s="1"/>
  <c r="PQ23" i="178"/>
  <c r="PQ35" i="178" s="1"/>
  <c r="PQ47" i="178" s="1"/>
  <c r="PQ22" i="178"/>
  <c r="PQ34" i="178" s="1"/>
  <c r="PQ46" i="178" s="1"/>
  <c r="PQ21" i="178"/>
  <c r="PQ33" i="178" s="1"/>
  <c r="PQ45" i="178" s="1"/>
  <c r="PQ20" i="178"/>
  <c r="PQ32" i="178" s="1"/>
  <c r="PQ44" i="178" s="1"/>
  <c r="PQ19" i="178"/>
  <c r="PQ31" i="178" s="1"/>
  <c r="PQ43" i="178" s="1"/>
  <c r="PQ18" i="178"/>
  <c r="PQ30" i="178" s="1"/>
  <c r="PQ42" i="178" s="1"/>
  <c r="PQ17" i="178"/>
  <c r="PQ29" i="178" s="1"/>
  <c r="PQ41" i="178" s="1"/>
  <c r="PQ16" i="178"/>
  <c r="PQ28" i="178" s="1"/>
  <c r="PQ40" i="178" s="1"/>
  <c r="PQ15" i="178"/>
  <c r="PQ27" i="178" s="1"/>
  <c r="OU3" i="178"/>
  <c r="OS3" i="178"/>
  <c r="C37" i="149"/>
  <c r="C36" i="149"/>
  <c r="XR3" i="178"/>
  <c r="ME3" i="178"/>
  <c r="JV3" i="178"/>
  <c r="EZ3" i="178"/>
  <c r="C34" i="149"/>
  <c r="D33" i="149"/>
  <c r="F33" i="149" s="1"/>
  <c r="D35" i="149"/>
  <c r="F35" i="149" s="1"/>
  <c r="G35" i="149" s="1"/>
  <c r="D37" i="149"/>
  <c r="F37" i="149" s="1"/>
  <c r="C35" i="149"/>
  <c r="D31" i="149" l="1"/>
  <c r="F31" i="149" s="1"/>
  <c r="C33" i="149"/>
  <c r="C32" i="149"/>
  <c r="E33" i="149"/>
  <c r="G33" i="149" s="1"/>
  <c r="G37" i="149"/>
  <c r="E30" i="149"/>
  <c r="E31" i="149"/>
  <c r="XL15" i="178"/>
  <c r="XL11" i="178"/>
  <c r="F41" i="149"/>
  <c r="XL6" i="178"/>
  <c r="XL9" i="178"/>
  <c r="XL12" i="178"/>
  <c r="XL4" i="178"/>
  <c r="XL16" i="178"/>
  <c r="XL13" i="178"/>
  <c r="XL3" i="178"/>
  <c r="XL8" i="178"/>
  <c r="XL5" i="178"/>
  <c r="XL7" i="178"/>
  <c r="XL17" i="178"/>
  <c r="XL14" i="178"/>
  <c r="XL10" i="178"/>
  <c r="AAV43" i="178"/>
  <c r="AAV50" i="178"/>
  <c r="AAV48" i="178"/>
  <c r="AAV45" i="178"/>
  <c r="AAV46" i="178"/>
  <c r="AAV44" i="178"/>
  <c r="AAV51" i="178"/>
  <c r="AAV42" i="178"/>
  <c r="AAV49" i="178"/>
  <c r="AAV41" i="178"/>
  <c r="AAV47" i="178"/>
  <c r="AAV40" i="178"/>
  <c r="OD53" i="178"/>
  <c r="OD55" i="178"/>
  <c r="OD61" i="178"/>
  <c r="OD51" i="178"/>
  <c r="OD59" i="178"/>
  <c r="OD57" i="178"/>
  <c r="QR27" i="178"/>
  <c r="QR39" i="178" s="1"/>
  <c r="QR29" i="178"/>
  <c r="QR31" i="178"/>
  <c r="QR33" i="178"/>
  <c r="QR35" i="178"/>
  <c r="QR37" i="178"/>
  <c r="QR40" i="178"/>
  <c r="QR42" i="178"/>
  <c r="QR44" i="178"/>
  <c r="QR46" i="178"/>
  <c r="QR48" i="178"/>
  <c r="QR50" i="178"/>
  <c r="QI27" i="178"/>
  <c r="QI39" i="178" s="1"/>
  <c r="QI29" i="178"/>
  <c r="QI31" i="178"/>
  <c r="QI33" i="178"/>
  <c r="QI35" i="178"/>
  <c r="QI37" i="178"/>
  <c r="QI40" i="178"/>
  <c r="QI42" i="178"/>
  <c r="QI44" i="178"/>
  <c r="QI46" i="178"/>
  <c r="QI48" i="178"/>
  <c r="QI50" i="178"/>
  <c r="PZ40" i="178"/>
  <c r="PZ55" i="178"/>
  <c r="PZ57" i="178"/>
  <c r="PZ44" i="178"/>
  <c r="PZ48" i="178"/>
  <c r="PZ42" i="178"/>
  <c r="PZ46" i="178"/>
  <c r="PZ50" i="178"/>
  <c r="PZ59" i="178"/>
  <c r="PZ39" i="178"/>
  <c r="PZ53" i="178"/>
  <c r="PZ61" i="178"/>
  <c r="PQ55" i="178"/>
  <c r="PQ56" i="178"/>
  <c r="PQ53" i="178"/>
  <c r="PQ57" i="178"/>
  <c r="PQ61" i="178"/>
  <c r="PQ59" i="178"/>
  <c r="PQ39" i="178"/>
  <c r="PQ52" i="178"/>
  <c r="PQ60" i="178"/>
  <c r="PQ54" i="178"/>
  <c r="PQ58" i="178"/>
  <c r="PQ62" i="178"/>
  <c r="B19" i="180"/>
  <c r="B18" i="180"/>
  <c r="B17" i="180"/>
  <c r="B14" i="180"/>
  <c r="B24" i="149"/>
  <c r="B16" i="180" s="1"/>
  <c r="B15" i="180" s="1"/>
  <c r="B13" i="180"/>
  <c r="B12" i="180" s="1"/>
  <c r="B10" i="180"/>
  <c r="B9" i="180" s="1"/>
  <c r="B11" i="180"/>
  <c r="B8" i="180"/>
  <c r="AAL4" i="178"/>
  <c r="AAL5" i="178"/>
  <c r="AAL6" i="178"/>
  <c r="AAL7" i="178"/>
  <c r="AAL8" i="178"/>
  <c r="AAL9" i="178"/>
  <c r="AAL10" i="178"/>
  <c r="AAL11" i="178"/>
  <c r="AAL12" i="178"/>
  <c r="AAL13" i="178"/>
  <c r="AAL14" i="178"/>
  <c r="AAL15" i="178"/>
  <c r="AAL16" i="178"/>
  <c r="AAL17" i="178"/>
  <c r="AAL3" i="178"/>
  <c r="AK15" i="179"/>
  <c r="AK16" i="179"/>
  <c r="AK17" i="179"/>
  <c r="AK4" i="179"/>
  <c r="AK5" i="179"/>
  <c r="AK6" i="179"/>
  <c r="AK7" i="179"/>
  <c r="AK8" i="179"/>
  <c r="AK9" i="179"/>
  <c r="AK10" i="179"/>
  <c r="AK11" i="179"/>
  <c r="AK12" i="179"/>
  <c r="AK13" i="179"/>
  <c r="AK14" i="179"/>
  <c r="AK3" i="179"/>
  <c r="C2" i="149" l="1"/>
  <c r="G31" i="149"/>
  <c r="H31" i="149" s="1"/>
  <c r="H35" i="149"/>
  <c r="H33" i="149"/>
  <c r="AAV56" i="178"/>
  <c r="AAV53" i="178"/>
  <c r="AAV57" i="178"/>
  <c r="AAV55" i="178"/>
  <c r="AAV62" i="178"/>
  <c r="AAV52" i="178"/>
  <c r="AAV59" i="178"/>
  <c r="AAV61" i="178"/>
  <c r="AAV58" i="178"/>
  <c r="AAV60" i="178"/>
  <c r="AAV54" i="178"/>
  <c r="QR54" i="178"/>
  <c r="QR47" i="178"/>
  <c r="QR60" i="178"/>
  <c r="QR52" i="178"/>
  <c r="QR45" i="178"/>
  <c r="QR56" i="178"/>
  <c r="QR49" i="178"/>
  <c r="QR41" i="178"/>
  <c r="QR62" i="178"/>
  <c r="QR58" i="178"/>
  <c r="QR51" i="178"/>
  <c r="QR43" i="178"/>
  <c r="QI54" i="178"/>
  <c r="QI47" i="178"/>
  <c r="QI60" i="178"/>
  <c r="QI52" i="178"/>
  <c r="QI45" i="178"/>
  <c r="QI56" i="178"/>
  <c r="QI49" i="178"/>
  <c r="QI41" i="178"/>
  <c r="QI62" i="178"/>
  <c r="QI58" i="178"/>
  <c r="QI51" i="178"/>
  <c r="QI43" i="178"/>
  <c r="PZ62" i="178"/>
  <c r="PZ54" i="178"/>
  <c r="PZ56" i="178"/>
  <c r="PZ51" i="178"/>
  <c r="PZ58" i="178"/>
  <c r="PZ60" i="178"/>
  <c r="PZ52" i="178"/>
  <c r="PQ51" i="178"/>
  <c r="SN3" i="178"/>
  <c r="SL3" i="178"/>
  <c r="QR53" i="178" l="1"/>
  <c r="QR57" i="178"/>
  <c r="QR55" i="178"/>
  <c r="QR61" i="178"/>
  <c r="QR59" i="178"/>
  <c r="QI61" i="178"/>
  <c r="QI55" i="178"/>
  <c r="QI53" i="178"/>
  <c r="QI57" i="178"/>
  <c r="QI59" i="178"/>
  <c r="AO13" i="179"/>
  <c r="AO14" i="179"/>
  <c r="AO15" i="179"/>
  <c r="AO16" i="179"/>
  <c r="AO17" i="179"/>
  <c r="AO10" i="179"/>
  <c r="AO12" i="179"/>
  <c r="AO11" i="179"/>
  <c r="AO9" i="179"/>
  <c r="AO8" i="179"/>
  <c r="AO7" i="179"/>
  <c r="AO6" i="179"/>
  <c r="AO5" i="179"/>
  <c r="AO4" i="179"/>
  <c r="AO3" i="179"/>
  <c r="E10" i="176"/>
  <c r="DW9" i="177" l="1"/>
  <c r="F33" i="177"/>
  <c r="F50" i="4" l="1"/>
  <c r="G50" i="4" s="1"/>
  <c r="H50" i="4"/>
  <c r="I50" i="4" s="1"/>
  <c r="F51" i="4"/>
  <c r="G51" i="4" s="1"/>
  <c r="H51" i="4"/>
  <c r="I51" i="4" s="1"/>
  <c r="F52" i="4"/>
  <c r="G52" i="4" s="1"/>
  <c r="H52" i="4"/>
  <c r="I52" i="4" s="1"/>
  <c r="I4" i="178" l="1"/>
  <c r="A3" i="187" s="1"/>
  <c r="K3" i="187" l="1"/>
  <c r="M3" i="187" s="1"/>
  <c r="D3" i="187"/>
  <c r="G3" i="187"/>
  <c r="H3" i="187" s="1"/>
  <c r="I3" i="187" s="1"/>
  <c r="E4" i="178"/>
  <c r="SK3" i="178" s="1"/>
  <c r="E3" i="178"/>
  <c r="HH5" i="178" s="1"/>
  <c r="C53" i="177"/>
  <c r="B51" i="177"/>
  <c r="B52" i="177" s="1"/>
  <c r="C54" i="177" s="1"/>
  <c r="F49" i="177"/>
  <c r="E46" i="177"/>
  <c r="F46" i="177" s="1"/>
  <c r="C43" i="177"/>
  <c r="D43" i="177" s="1"/>
  <c r="F38" i="177"/>
  <c r="B38" i="177"/>
  <c r="F22" i="177" s="1"/>
  <c r="G22" i="177" s="1"/>
  <c r="H22" i="177" s="1"/>
  <c r="G37" i="177"/>
  <c r="H37" i="177" s="1"/>
  <c r="D37" i="177"/>
  <c r="C37" i="177"/>
  <c r="C46" i="177" s="1"/>
  <c r="G36" i="177"/>
  <c r="H36" i="177" s="1"/>
  <c r="G32" i="177"/>
  <c r="H32" i="177" s="1"/>
  <c r="G31" i="177"/>
  <c r="H31" i="177" s="1"/>
  <c r="G30" i="177"/>
  <c r="E30" i="177"/>
  <c r="E32" i="177" s="1"/>
  <c r="C42" i="177" s="1"/>
  <c r="F28" i="177"/>
  <c r="H28" i="177" s="1"/>
  <c r="D28" i="177"/>
  <c r="F27" i="177"/>
  <c r="H27" i="177" s="1"/>
  <c r="D27" i="177"/>
  <c r="D26" i="177"/>
  <c r="E43" i="177" s="1"/>
  <c r="F43" i="177" s="1"/>
  <c r="B26" i="177"/>
  <c r="D25" i="177"/>
  <c r="E42" i="177" s="1"/>
  <c r="F42" i="177" s="1"/>
  <c r="F24" i="177"/>
  <c r="G24" i="177" s="1"/>
  <c r="H24" i="177" s="1"/>
  <c r="B24" i="177"/>
  <c r="B22" i="177"/>
  <c r="B20" i="177"/>
  <c r="F35" i="177"/>
  <c r="C7" i="177"/>
  <c r="A9" i="177" s="1"/>
  <c r="H6" i="177"/>
  <c r="H3" i="177"/>
  <c r="C2" i="177"/>
  <c r="A2" i="177"/>
  <c r="SM3" i="178" l="1"/>
  <c r="RN5" i="178"/>
  <c r="RN7" i="178"/>
  <c r="RN6" i="178"/>
  <c r="O3" i="187"/>
  <c r="XX5" i="178"/>
  <c r="XX7" i="178"/>
  <c r="FO3" i="178"/>
  <c r="ST7" i="178"/>
  <c r="ST6" i="178"/>
  <c r="EW3" i="178"/>
  <c r="EY3" i="178" s="1"/>
  <c r="ADU3" i="178"/>
  <c r="ADW3" i="178" s="1"/>
  <c r="RE3" i="178"/>
  <c r="RG3" i="178" s="1"/>
  <c r="F20" i="177"/>
  <c r="G20" i="177" s="1"/>
  <c r="H20" i="177" s="1"/>
  <c r="F18" i="177"/>
  <c r="G18" i="177" s="1"/>
  <c r="H18" i="177" s="1"/>
  <c r="F21" i="177"/>
  <c r="G21" i="177" s="1"/>
  <c r="H21" i="177" s="1"/>
  <c r="F19" i="177"/>
  <c r="G19" i="177" s="1"/>
  <c r="H19" i="177" s="1"/>
  <c r="F16" i="177"/>
  <c r="G16" i="177" s="1"/>
  <c r="H16" i="177" s="1"/>
  <c r="AEC5" i="178"/>
  <c r="AEE5" i="178" s="1"/>
  <c r="AEC7" i="178"/>
  <c r="AEE7" i="178" s="1"/>
  <c r="AEC6" i="178"/>
  <c r="AEE6" i="178" s="1"/>
  <c r="AEC4" i="178"/>
  <c r="AEE4" i="178" s="1"/>
  <c r="AEC3" i="178"/>
  <c r="AEE3" i="178" s="1"/>
  <c r="ABE3" i="178"/>
  <c r="ABG3" i="178" s="1"/>
  <c r="AAO3" i="178"/>
  <c r="AAQ3" i="178" s="1"/>
  <c r="AAS3" i="178" s="1"/>
  <c r="AAO4" i="178" s="1"/>
  <c r="C3" i="188"/>
  <c r="F3" i="178"/>
  <c r="G3" i="178" s="1"/>
  <c r="I3" i="178"/>
  <c r="AY4" i="178" s="1"/>
  <c r="MZ14" i="178"/>
  <c r="MZ10" i="178"/>
  <c r="MZ6" i="178"/>
  <c r="MZ5" i="178"/>
  <c r="MZ13" i="178"/>
  <c r="MZ9" i="178"/>
  <c r="MZ7" i="178"/>
  <c r="MZ12" i="178"/>
  <c r="MZ8" i="178"/>
  <c r="MZ4" i="178"/>
  <c r="MZ3" i="178"/>
  <c r="MZ11" i="178"/>
  <c r="JQ4" i="178"/>
  <c r="OE4" i="178"/>
  <c r="OE6" i="178"/>
  <c r="OE12" i="178"/>
  <c r="OE14" i="178"/>
  <c r="OE11" i="178"/>
  <c r="OE9" i="178"/>
  <c r="JQ3" i="178"/>
  <c r="OE3" i="178"/>
  <c r="OE7" i="178"/>
  <c r="OE13" i="178"/>
  <c r="JQ5" i="178"/>
  <c r="OE8" i="178"/>
  <c r="OE5" i="178"/>
  <c r="OE10" i="178"/>
  <c r="HH4" i="178"/>
  <c r="F26" i="177"/>
  <c r="H26" i="177" s="1"/>
  <c r="H3" i="178"/>
  <c r="AG3" i="178" s="1"/>
  <c r="AH3" i="178" s="1"/>
  <c r="AI3" i="178" s="1"/>
  <c r="EQ4" i="178"/>
  <c r="G1" i="176"/>
  <c r="AA3" i="178"/>
  <c r="AB3" i="178" s="1"/>
  <c r="F17" i="177"/>
  <c r="G17" i="177" s="1"/>
  <c r="H17" i="177" s="1"/>
  <c r="G33" i="177"/>
  <c r="E33" i="177"/>
  <c r="H5" i="177"/>
  <c r="G35" i="177"/>
  <c r="C45" i="177" s="1"/>
  <c r="A7" i="177"/>
  <c r="C3" i="177"/>
  <c r="G43" i="177"/>
  <c r="G42" i="177"/>
  <c r="D42" i="177"/>
  <c r="D46" i="177"/>
  <c r="G46" i="177"/>
  <c r="B7" i="177"/>
  <c r="F23" i="177"/>
  <c r="G23" i="177" s="1"/>
  <c r="H23" i="177" s="1"/>
  <c r="H30" i="177"/>
  <c r="H33" i="177" s="1"/>
  <c r="E44" i="177" s="1"/>
  <c r="F44" i="177" s="1"/>
  <c r="A8" i="177"/>
  <c r="S3" i="187" l="1"/>
  <c r="T3" i="187" s="1"/>
  <c r="R3" i="187"/>
  <c r="FQ3" i="178"/>
  <c r="FR3" i="178" s="1"/>
  <c r="FS3" i="178" s="1"/>
  <c r="FA3" i="178"/>
  <c r="FB3" i="178" s="1"/>
  <c r="FC3" i="178" s="1"/>
  <c r="DX3" i="178"/>
  <c r="RI3" i="178"/>
  <c r="SO3" i="178"/>
  <c r="SK4" i="178" s="1"/>
  <c r="AEG5" i="178"/>
  <c r="AEH5" i="178" s="1"/>
  <c r="AEI5" i="178" s="1"/>
  <c r="AEG4" i="178"/>
  <c r="AEH4" i="178" s="1"/>
  <c r="AEI4" i="178" s="1"/>
  <c r="AEL4" i="178" s="1"/>
  <c r="AEG3" i="178"/>
  <c r="AEH3" i="178" s="1"/>
  <c r="AEI3" i="178" s="1"/>
  <c r="AEL3" i="178" s="1"/>
  <c r="AEG6" i="178"/>
  <c r="AEH6" i="178" s="1"/>
  <c r="AEI6" i="178" s="1"/>
  <c r="AEG7" i="178"/>
  <c r="AEH7" i="178" s="1"/>
  <c r="AEI7" i="178" s="1"/>
  <c r="ADY3" i="178"/>
  <c r="ADZ3" i="178" s="1"/>
  <c r="AEA3" i="178" s="1"/>
  <c r="ABI3" i="178"/>
  <c r="ABE4" i="178" s="1"/>
  <c r="AAQ4" i="178"/>
  <c r="AAS4" i="178" s="1"/>
  <c r="AAT3" i="178"/>
  <c r="AAU3" i="178" s="1"/>
  <c r="OF3" i="178"/>
  <c r="OH3" i="178" s="1"/>
  <c r="OJ3" i="178" s="1"/>
  <c r="OK3" i="178" s="1"/>
  <c r="OL3" i="178" s="1"/>
  <c r="ON3" i="178" s="1"/>
  <c r="H3" i="188"/>
  <c r="B4" i="188"/>
  <c r="D3" i="188"/>
  <c r="E3" i="188" s="1"/>
  <c r="AQ3" i="178"/>
  <c r="AQ4" i="178"/>
  <c r="B9" i="186"/>
  <c r="B10" i="186"/>
  <c r="B7" i="182"/>
  <c r="B4" i="181"/>
  <c r="B10" i="181"/>
  <c r="B9" i="182"/>
  <c r="B5" i="181"/>
  <c r="B8" i="182"/>
  <c r="B10" i="182"/>
  <c r="B12" i="181"/>
  <c r="B11" i="181"/>
  <c r="B13" i="181"/>
  <c r="B7" i="186"/>
  <c r="B8" i="186"/>
  <c r="B4" i="182"/>
  <c r="B11" i="182"/>
  <c r="B6" i="182"/>
  <c r="B13" i="182"/>
  <c r="B8" i="181"/>
  <c r="B7" i="181"/>
  <c r="B9" i="181"/>
  <c r="B13" i="186"/>
  <c r="B4" i="186"/>
  <c r="B11" i="186"/>
  <c r="B14" i="186"/>
  <c r="D14" i="187"/>
  <c r="D10" i="187"/>
  <c r="D6" i="187"/>
  <c r="D9" i="187"/>
  <c r="D7" i="187"/>
  <c r="D13" i="187"/>
  <c r="D5" i="187"/>
  <c r="D11" i="187"/>
  <c r="D12" i="187"/>
  <c r="D8" i="187"/>
  <c r="D4" i="187"/>
  <c r="B12" i="182"/>
  <c r="B3" i="182"/>
  <c r="B14" i="182"/>
  <c r="B5" i="182"/>
  <c r="B14" i="181"/>
  <c r="B3" i="181"/>
  <c r="B6" i="181"/>
  <c r="B3" i="186"/>
  <c r="B5" i="186"/>
  <c r="B12" i="186"/>
  <c r="B6" i="186"/>
  <c r="NA3" i="178"/>
  <c r="NC3" i="178" s="1"/>
  <c r="JS3" i="178"/>
  <c r="JU3" i="178" s="1"/>
  <c r="JR3" i="178"/>
  <c r="HH3" i="178"/>
  <c r="EJ3" i="178"/>
  <c r="EL3" i="178" s="1"/>
  <c r="EM3" i="178" s="1"/>
  <c r="EN3" i="178" s="1"/>
  <c r="EQ5" i="178"/>
  <c r="EQ3" i="178"/>
  <c r="EF3" i="178"/>
  <c r="EH3" i="178" s="1"/>
  <c r="AG5" i="178"/>
  <c r="AH5" i="178" s="1"/>
  <c r="AI5" i="178" s="1"/>
  <c r="AY3" i="178"/>
  <c r="BA3" i="178" s="1"/>
  <c r="AG6" i="178"/>
  <c r="AH6" i="178" s="1"/>
  <c r="AI6" i="178" s="1"/>
  <c r="AQ5" i="178"/>
  <c r="AG4" i="178"/>
  <c r="AH4" i="178" s="1"/>
  <c r="AI4" i="178" s="1"/>
  <c r="F15" i="177"/>
  <c r="G15" i="177" s="1"/>
  <c r="H15" i="177" s="1"/>
  <c r="DV5" i="177"/>
  <c r="AC3" i="178"/>
  <c r="G38" i="177"/>
  <c r="H35" i="177"/>
  <c r="H38" i="177" s="1"/>
  <c r="E45" i="177" s="1"/>
  <c r="F45" i="177" s="1"/>
  <c r="H46" i="177"/>
  <c r="I46" i="177"/>
  <c r="H43" i="177"/>
  <c r="I43" i="177"/>
  <c r="H42" i="177"/>
  <c r="I42" i="177"/>
  <c r="D45" i="177"/>
  <c r="C14" i="176"/>
  <c r="C18" i="176" s="1"/>
  <c r="C3" i="176"/>
  <c r="C80" i="176" s="1"/>
  <c r="C2" i="176"/>
  <c r="AR3" i="178" l="1"/>
  <c r="AS3" i="178"/>
  <c r="C79" i="176"/>
  <c r="HI3" i="178"/>
  <c r="HJ3" i="178" s="1"/>
  <c r="DZ3" i="178"/>
  <c r="EA3" i="178" s="1"/>
  <c r="RJ3" i="178"/>
  <c r="RK3" i="178" s="1"/>
  <c r="RQ3" i="178" s="1"/>
  <c r="RS3" i="178" s="1"/>
  <c r="RT3" i="178" s="1"/>
  <c r="RU3" i="178" s="1"/>
  <c r="SH4" i="178" s="1"/>
  <c r="RE4" i="178"/>
  <c r="RG4" i="178" s="1"/>
  <c r="RI4" i="178" s="1"/>
  <c r="FI3" i="178"/>
  <c r="FK3" i="178" s="1"/>
  <c r="FL3" i="178" s="1"/>
  <c r="FE3" i="178"/>
  <c r="FG3" i="178" s="1"/>
  <c r="SP3" i="178"/>
  <c r="SQ3" i="178" s="1"/>
  <c r="ST3" i="178" s="1"/>
  <c r="SM4" i="178"/>
  <c r="AEZ3" i="178"/>
  <c r="AFA3" i="178" s="1"/>
  <c r="AEN3" i="178"/>
  <c r="AEP3" i="178" s="1"/>
  <c r="AET3" i="178"/>
  <c r="AEV3" i="178" s="1"/>
  <c r="AEW3" i="178" s="1"/>
  <c r="AEX3" i="178" s="1"/>
  <c r="AEK3" i="178"/>
  <c r="ADU4" i="178"/>
  <c r="ADW4" i="178" s="1"/>
  <c r="ABG4" i="178"/>
  <c r="ABJ3" i="178"/>
  <c r="ABK3" i="178" s="1"/>
  <c r="AAT4" i="178"/>
  <c r="AAU4" i="178" s="1"/>
  <c r="AAO5" i="178"/>
  <c r="AAQ5" i="178" s="1"/>
  <c r="AAS5" i="178" s="1"/>
  <c r="C4" i="188"/>
  <c r="I3" i="188"/>
  <c r="J3" i="188" s="1"/>
  <c r="G4" i="188"/>
  <c r="C3" i="186"/>
  <c r="G10" i="186" s="1"/>
  <c r="E3" i="187"/>
  <c r="NE3" i="178"/>
  <c r="JW3" i="178"/>
  <c r="JX3" i="178" s="1"/>
  <c r="JY3" i="178" s="1"/>
  <c r="KA3" i="178" s="1"/>
  <c r="KB3" i="178" s="1"/>
  <c r="OE20" i="178"/>
  <c r="OE18" i="178"/>
  <c r="OE21" i="178"/>
  <c r="OE24" i="178"/>
  <c r="OE17" i="178"/>
  <c r="OE22" i="178"/>
  <c r="OE26" i="178"/>
  <c r="OE16" i="178"/>
  <c r="OE25" i="178"/>
  <c r="OE15" i="178"/>
  <c r="OE19" i="178"/>
  <c r="OE23" i="178"/>
  <c r="AAW6" i="178"/>
  <c r="D79" i="176"/>
  <c r="B3" i="149" s="1"/>
  <c r="EU4" i="178"/>
  <c r="D80" i="176"/>
  <c r="E80" i="176" s="1"/>
  <c r="EU3" i="178"/>
  <c r="AK3" i="178"/>
  <c r="OO3" i="178"/>
  <c r="ER3" i="178"/>
  <c r="ES3" i="178" s="1"/>
  <c r="ET3" i="178" s="1"/>
  <c r="AJ3" i="178"/>
  <c r="AZ3" i="178"/>
  <c r="F25" i="177"/>
  <c r="H25" i="177" s="1"/>
  <c r="AD3" i="178"/>
  <c r="G45" i="177"/>
  <c r="H45" i="177" s="1"/>
  <c r="K1" i="176"/>
  <c r="B11" i="177"/>
  <c r="D11" i="149"/>
  <c r="D11" i="177"/>
  <c r="C17" i="176"/>
  <c r="C7" i="149"/>
  <c r="A9" i="149" s="1"/>
  <c r="C3" i="149"/>
  <c r="AL3" i="178" l="1"/>
  <c r="D6" i="176" s="1"/>
  <c r="B5" i="178"/>
  <c r="BD3" i="178"/>
  <c r="BF3" i="178" s="1"/>
  <c r="ABY3" i="178"/>
  <c r="ACA3" i="178" s="1"/>
  <c r="D90" i="176"/>
  <c r="C90" i="176" s="1"/>
  <c r="E90" i="176" s="1"/>
  <c r="HL20" i="178"/>
  <c r="SC3" i="178"/>
  <c r="SE3" i="178" s="1"/>
  <c r="SF3" i="178" s="1"/>
  <c r="SG3" i="178" s="1"/>
  <c r="SH6" i="178" s="1"/>
  <c r="RW3" i="178"/>
  <c r="RY3" i="178" s="1"/>
  <c r="RZ3" i="178" s="1"/>
  <c r="RN3" i="178"/>
  <c r="RO3" i="178" s="1"/>
  <c r="SH3" i="178" s="1"/>
  <c r="B33" i="149" s="1"/>
  <c r="B20" i="180" s="1"/>
  <c r="EC3" i="178"/>
  <c r="EB3" i="178"/>
  <c r="DX10" i="178"/>
  <c r="DZ10" i="178" s="1"/>
  <c r="DX17" i="178" s="1"/>
  <c r="DZ17" i="178" s="1"/>
  <c r="DX24" i="178" s="1"/>
  <c r="DZ24" i="178" s="1"/>
  <c r="DX31" i="178" s="1"/>
  <c r="DY3" i="178"/>
  <c r="DX4" i="178" s="1"/>
  <c r="DZ4" i="178" s="1"/>
  <c r="DX5" i="178" s="1"/>
  <c r="EB5" i="178" s="1"/>
  <c r="EC5" i="178" s="1"/>
  <c r="RJ4" i="178"/>
  <c r="RK4" i="178" s="1"/>
  <c r="RE5" i="178"/>
  <c r="RG5" i="178" s="1"/>
  <c r="RI5" i="178" s="1"/>
  <c r="SX4" i="178"/>
  <c r="SX3" i="178" s="1"/>
  <c r="FM3" i="178"/>
  <c r="FT3" i="178" s="1"/>
  <c r="E79" i="176"/>
  <c r="SO4" i="178"/>
  <c r="SK5" i="178" s="1"/>
  <c r="AEQ3" i="178"/>
  <c r="AER3" i="178" s="1"/>
  <c r="ADY4" i="178"/>
  <c r="ADI3" i="178"/>
  <c r="ADJ3" i="178" s="1"/>
  <c r="ACY3" i="178"/>
  <c r="ACZ3" i="178" s="1"/>
  <c r="ACO3" i="178"/>
  <c r="ACP3" i="178" s="1"/>
  <c r="ACE3" i="178"/>
  <c r="ABS3" i="178"/>
  <c r="ABU3" i="178" s="1"/>
  <c r="ABM3" i="178"/>
  <c r="ABO3" i="178" s="1"/>
  <c r="ABP3" i="178" s="1"/>
  <c r="ABQ3" i="178" s="1"/>
  <c r="AAO6" i="178"/>
  <c r="AAQ6" i="178" s="1"/>
  <c r="AAS6" i="178" s="1"/>
  <c r="AAT5" i="178"/>
  <c r="AAU5" i="178" s="1"/>
  <c r="TJ4" i="178"/>
  <c r="H4" i="188"/>
  <c r="D4" i="188"/>
  <c r="E4" i="188" s="1"/>
  <c r="B5" i="188"/>
  <c r="G6" i="186"/>
  <c r="G7" i="186"/>
  <c r="G11" i="186"/>
  <c r="G5" i="186"/>
  <c r="G14" i="186"/>
  <c r="E3" i="186"/>
  <c r="G4" i="186"/>
  <c r="G3" i="186"/>
  <c r="G12" i="186"/>
  <c r="G8" i="186"/>
  <c r="G9" i="186"/>
  <c r="G13" i="186"/>
  <c r="NF3" i="178"/>
  <c r="NG3" i="178" s="1"/>
  <c r="A3" i="149"/>
  <c r="LD3" i="178"/>
  <c r="LE3" i="178" s="1"/>
  <c r="LF3" i="178" s="1"/>
  <c r="LH12" i="178" s="1"/>
  <c r="KV4" i="178"/>
  <c r="KI3" i="178"/>
  <c r="KV3" i="178"/>
  <c r="KI4" i="178"/>
  <c r="KD4" i="178"/>
  <c r="KD3" i="178"/>
  <c r="LM3" i="178"/>
  <c r="LN3" i="178" s="1"/>
  <c r="LO3" i="178" s="1"/>
  <c r="LQ3" i="178" s="1"/>
  <c r="LX7" i="178" s="1"/>
  <c r="AA2" i="149" s="1"/>
  <c r="KT3" i="178"/>
  <c r="LX6" i="178" s="1"/>
  <c r="Z2" i="149" s="1"/>
  <c r="V3" i="180"/>
  <c r="GB8" i="178"/>
  <c r="GB10" i="178"/>
  <c r="FW4" i="178"/>
  <c r="GZ3" i="178"/>
  <c r="GB6" i="178"/>
  <c r="GB5" i="178"/>
  <c r="GB7" i="178"/>
  <c r="GB4" i="178"/>
  <c r="GB3" i="178"/>
  <c r="GB12" i="178"/>
  <c r="GZ4" i="178"/>
  <c r="FW3" i="178"/>
  <c r="AAW3" i="178"/>
  <c r="AAW4" i="178"/>
  <c r="AAW5" i="178"/>
  <c r="OF15" i="178"/>
  <c r="OH15" i="178" s="1"/>
  <c r="OJ15" i="178" s="1"/>
  <c r="AAW9" i="178"/>
  <c r="AAW12" i="178"/>
  <c r="AAW11" i="178"/>
  <c r="AAW10" i="178"/>
  <c r="AAW13" i="178"/>
  <c r="AAW14" i="178"/>
  <c r="AAW8" i="178"/>
  <c r="AAW7" i="178"/>
  <c r="D81" i="176"/>
  <c r="E81" i="176" s="1"/>
  <c r="EU5" i="178"/>
  <c r="CO3" i="178"/>
  <c r="AV4" i="178"/>
  <c r="AV3" i="178"/>
  <c r="F29" i="177"/>
  <c r="I45" i="177"/>
  <c r="A7" i="149"/>
  <c r="B7" i="149"/>
  <c r="A8" i="149"/>
  <c r="E4" i="176"/>
  <c r="C16" i="176"/>
  <c r="C15" i="176"/>
  <c r="AA2582" i="5"/>
  <c r="AA2583" i="5"/>
  <c r="AA2584" i="5"/>
  <c r="AA2585" i="5"/>
  <c r="AA2586" i="5"/>
  <c r="AA2587" i="5"/>
  <c r="AA2588" i="5"/>
  <c r="AA2589" i="5"/>
  <c r="AA2590" i="5"/>
  <c r="AA2591" i="5"/>
  <c r="AA2592" i="5"/>
  <c r="AA2593" i="5"/>
  <c r="AA2594" i="5"/>
  <c r="AA2595" i="5"/>
  <c r="AA2596" i="5"/>
  <c r="AA2597" i="5"/>
  <c r="AA2598" i="5"/>
  <c r="AA2599" i="5"/>
  <c r="AA2600" i="5"/>
  <c r="AA2601" i="5"/>
  <c r="AA2602" i="5"/>
  <c r="AA2603" i="5"/>
  <c r="AA2604" i="5"/>
  <c r="AA2605" i="5"/>
  <c r="AA2606" i="5"/>
  <c r="AA2607" i="5"/>
  <c r="AA2608" i="5"/>
  <c r="AA2609" i="5"/>
  <c r="AA2610" i="5"/>
  <c r="AA2611" i="5"/>
  <c r="AA2612" i="5"/>
  <c r="AA2613" i="5"/>
  <c r="AA2614" i="5"/>
  <c r="AA2615" i="5"/>
  <c r="AA2616" i="5"/>
  <c r="AA2617" i="5"/>
  <c r="AA2618" i="5"/>
  <c r="AA2619" i="5"/>
  <c r="AA2620" i="5"/>
  <c r="AA2621" i="5"/>
  <c r="AA2622" i="5"/>
  <c r="AA2623" i="5"/>
  <c r="AA2624" i="5"/>
  <c r="AA2625" i="5"/>
  <c r="AA2626" i="5"/>
  <c r="AA2627" i="5"/>
  <c r="AA2628" i="5"/>
  <c r="AA2629" i="5"/>
  <c r="AA2630" i="5"/>
  <c r="AA2631" i="5"/>
  <c r="AA2632" i="5"/>
  <c r="AA2633" i="5"/>
  <c r="AA2634" i="5"/>
  <c r="AA2635" i="5"/>
  <c r="AA2636" i="5"/>
  <c r="AA2637" i="5"/>
  <c r="R2582" i="5"/>
  <c r="R2583" i="5"/>
  <c r="R2584" i="5"/>
  <c r="R2585" i="5"/>
  <c r="R2586" i="5"/>
  <c r="R2587" i="5"/>
  <c r="R2588" i="5"/>
  <c r="R2589" i="5"/>
  <c r="R2590" i="5"/>
  <c r="R2591" i="5"/>
  <c r="R2592" i="5"/>
  <c r="R2593" i="5"/>
  <c r="R2594" i="5"/>
  <c r="R2595" i="5"/>
  <c r="R2596" i="5"/>
  <c r="R2597" i="5"/>
  <c r="R2598" i="5"/>
  <c r="R2599" i="5"/>
  <c r="R2600" i="5"/>
  <c r="R2601" i="5"/>
  <c r="R2602" i="5"/>
  <c r="R2603" i="5"/>
  <c r="R2604" i="5"/>
  <c r="R2605" i="5"/>
  <c r="R2606" i="5"/>
  <c r="R2607" i="5"/>
  <c r="R2608" i="5"/>
  <c r="R2609" i="5"/>
  <c r="R2610" i="5"/>
  <c r="R2611" i="5"/>
  <c r="R2612" i="5"/>
  <c r="R2613" i="5"/>
  <c r="R2614" i="5"/>
  <c r="R2615" i="5"/>
  <c r="R2616" i="5"/>
  <c r="R2617" i="5"/>
  <c r="R2618" i="5"/>
  <c r="R2619" i="5"/>
  <c r="R2620" i="5"/>
  <c r="R2621" i="5"/>
  <c r="R2622" i="5"/>
  <c r="R2623" i="5"/>
  <c r="R2624" i="5"/>
  <c r="R2625" i="5"/>
  <c r="R2626" i="5"/>
  <c r="R2627" i="5"/>
  <c r="R2628" i="5"/>
  <c r="R2629" i="5"/>
  <c r="R2630" i="5"/>
  <c r="R2631" i="5"/>
  <c r="R2632" i="5"/>
  <c r="R2633" i="5"/>
  <c r="R2634" i="5"/>
  <c r="R2635" i="5"/>
  <c r="R2636" i="5"/>
  <c r="R2637" i="5"/>
  <c r="R2638" i="5"/>
  <c r="J2582" i="5"/>
  <c r="J2583" i="5"/>
  <c r="J2584" i="5"/>
  <c r="J2585" i="5"/>
  <c r="J2586" i="5"/>
  <c r="J2587" i="5"/>
  <c r="J2588" i="5"/>
  <c r="J2589" i="5"/>
  <c r="J2590" i="5"/>
  <c r="J2591" i="5"/>
  <c r="J2592" i="5"/>
  <c r="J2593" i="5"/>
  <c r="J2594" i="5"/>
  <c r="J2595" i="5"/>
  <c r="J2596" i="5"/>
  <c r="J2597" i="5"/>
  <c r="J2598" i="5"/>
  <c r="J2599" i="5"/>
  <c r="J2600" i="5"/>
  <c r="J2601" i="5"/>
  <c r="J2602" i="5"/>
  <c r="J2603" i="5"/>
  <c r="J2604" i="5"/>
  <c r="J2605" i="5"/>
  <c r="J2606" i="5"/>
  <c r="J2607" i="5"/>
  <c r="J2608" i="5"/>
  <c r="J2609" i="5"/>
  <c r="J2610" i="5"/>
  <c r="J2611" i="5"/>
  <c r="J2612" i="5"/>
  <c r="J2613" i="5"/>
  <c r="J2614" i="5"/>
  <c r="J2615" i="5"/>
  <c r="J2616" i="5"/>
  <c r="J2617" i="5"/>
  <c r="J2618" i="5"/>
  <c r="J2619" i="5"/>
  <c r="J2620" i="5"/>
  <c r="J2621" i="5"/>
  <c r="J2622" i="5"/>
  <c r="J2623" i="5"/>
  <c r="J2624" i="5"/>
  <c r="J2625" i="5"/>
  <c r="J2626" i="5"/>
  <c r="J2627" i="5"/>
  <c r="J2628" i="5"/>
  <c r="J2629" i="5"/>
  <c r="J2630" i="5"/>
  <c r="J2631" i="5"/>
  <c r="J2632" i="5"/>
  <c r="J2633" i="5"/>
  <c r="J2634" i="5"/>
  <c r="J2635" i="5"/>
  <c r="J2636" i="5"/>
  <c r="J2637" i="5"/>
  <c r="J2638" i="5"/>
  <c r="ST5" i="178" l="1"/>
  <c r="BH3" i="178"/>
  <c r="BJ3" i="178" s="1"/>
  <c r="BM3" i="178" s="1"/>
  <c r="BO3" i="178" s="1"/>
  <c r="BU4" i="178" s="1"/>
  <c r="AN5" i="178"/>
  <c r="AN4" i="178"/>
  <c r="A2" i="190"/>
  <c r="AN3" i="178"/>
  <c r="CO4" i="178"/>
  <c r="CP3" i="178" s="1"/>
  <c r="CQ3" i="178" s="1"/>
  <c r="H4" i="149"/>
  <c r="SA3" i="178"/>
  <c r="SH5" i="178" s="1"/>
  <c r="RN4" i="178"/>
  <c r="RO4" i="178" s="1"/>
  <c r="EA17" i="178"/>
  <c r="EC17" i="178" s="1"/>
  <c r="A5" i="179" s="1"/>
  <c r="K4" i="149" s="1"/>
  <c r="J4" i="149" s="1"/>
  <c r="EA4" i="178"/>
  <c r="EB4" i="178" s="1"/>
  <c r="EC4" i="178" s="1"/>
  <c r="D21" i="176" s="1"/>
  <c r="EA10" i="178"/>
  <c r="EC10" i="178" s="1"/>
  <c r="A4" i="179" s="1"/>
  <c r="K3" i="149" s="1"/>
  <c r="J3" i="149" s="1"/>
  <c r="DY17" i="178"/>
  <c r="DX18" i="178" s="1"/>
  <c r="DZ18" i="178" s="1"/>
  <c r="DX19" i="178" s="1"/>
  <c r="EB19" i="178" s="1"/>
  <c r="EC19" i="178" s="1"/>
  <c r="DY10" i="178"/>
  <c r="DX11" i="178" s="1"/>
  <c r="DZ11" i="178" s="1"/>
  <c r="EA11" i="178" s="1"/>
  <c r="EB11" i="178" s="1"/>
  <c r="RJ5" i="178"/>
  <c r="RK5" i="178" s="1"/>
  <c r="RO5" i="178" s="1"/>
  <c r="RE6" i="178"/>
  <c r="RG6" i="178" s="1"/>
  <c r="RI6" i="178" s="1"/>
  <c r="SC4" i="178"/>
  <c r="RQ4" i="178"/>
  <c r="RS4" i="178" s="1"/>
  <c r="RW4" i="178"/>
  <c r="RY4" i="178" s="1"/>
  <c r="RZ4" i="178" s="1"/>
  <c r="SA4" i="178" s="1"/>
  <c r="TI14" i="178"/>
  <c r="TI7" i="178"/>
  <c r="TI9" i="178"/>
  <c r="TI3" i="178"/>
  <c r="TI8" i="178"/>
  <c r="TI5" i="178"/>
  <c r="SW8" i="178"/>
  <c r="SW12" i="178"/>
  <c r="SW10" i="178"/>
  <c r="SW11" i="178"/>
  <c r="SW9" i="178"/>
  <c r="SW5" i="178"/>
  <c r="SW6" i="178"/>
  <c r="SW3" i="178"/>
  <c r="SW7" i="178"/>
  <c r="B11" i="149"/>
  <c r="C6" i="176"/>
  <c r="E6" i="176" s="1"/>
  <c r="H29" i="177"/>
  <c r="C44" i="177"/>
  <c r="D44" i="177" s="1"/>
  <c r="GC7" i="178"/>
  <c r="GD7" i="178" s="1"/>
  <c r="SP4" i="178"/>
  <c r="SQ4" i="178" s="1"/>
  <c r="SM5" i="178"/>
  <c r="ACB3" i="178"/>
  <c r="ACC3" i="178" s="1"/>
  <c r="ADZ4" i="178"/>
  <c r="AEA4" i="178" s="1"/>
  <c r="ADU5" i="178"/>
  <c r="ADW5" i="178" s="1"/>
  <c r="ADK3" i="178"/>
  <c r="ADL3" i="178" s="1"/>
  <c r="ADM3" i="178"/>
  <c r="ADN3" i="178" s="1"/>
  <c r="ADO3" i="178" s="1"/>
  <c r="ADP3" i="178" s="1"/>
  <c r="ADA3" i="178"/>
  <c r="ADB3" i="178" s="1"/>
  <c r="ADC3" i="178"/>
  <c r="ADD3" i="178" s="1"/>
  <c r="ADE3" i="178" s="1"/>
  <c r="ADF3" i="178" s="1"/>
  <c r="ACQ3" i="178"/>
  <c r="ACR3" i="178" s="1"/>
  <c r="ACS3" i="178"/>
  <c r="ACT3" i="178" s="1"/>
  <c r="ACU3" i="178" s="1"/>
  <c r="ACV3" i="178" s="1"/>
  <c r="ACF3" i="178"/>
  <c r="AAO7" i="178"/>
  <c r="AAQ7" i="178" s="1"/>
  <c r="AAS7" i="178" s="1"/>
  <c r="AAT6" i="178"/>
  <c r="AAU6" i="178" s="1"/>
  <c r="TI16" i="178"/>
  <c r="TI6" i="178"/>
  <c r="TI15" i="178"/>
  <c r="TI12" i="178"/>
  <c r="TI10" i="178"/>
  <c r="TI11" i="178"/>
  <c r="C5" i="188"/>
  <c r="I4" i="188"/>
  <c r="J4" i="188" s="1"/>
  <c r="G5" i="188"/>
  <c r="H3" i="186"/>
  <c r="J3" i="186" s="1"/>
  <c r="K3" i="186" s="1"/>
  <c r="L3" i="186" s="1"/>
  <c r="HA3" i="178"/>
  <c r="HB3" i="178" s="1"/>
  <c r="HD3" i="178" s="1"/>
  <c r="HE3" i="178" s="1"/>
  <c r="HF3" i="178" s="1"/>
  <c r="HL10" i="178" s="1"/>
  <c r="W2" i="149" s="1"/>
  <c r="NJ4" i="178"/>
  <c r="NI6" i="178" s="1"/>
  <c r="NI3" i="178"/>
  <c r="AAX3" i="178"/>
  <c r="AAY3" i="178" s="1"/>
  <c r="ABA3" i="178" s="1"/>
  <c r="ABB3" i="178" s="1"/>
  <c r="FX3" i="178"/>
  <c r="KW3" i="178"/>
  <c r="KX3" i="178" s="1"/>
  <c r="KZ3" i="178" s="1"/>
  <c r="LA3" i="178" s="1"/>
  <c r="LB3" i="178" s="1"/>
  <c r="KK3" i="178"/>
  <c r="KM3" i="178" s="1"/>
  <c r="LH4" i="178"/>
  <c r="LH8" i="178"/>
  <c r="LH3" i="178"/>
  <c r="LH9" i="178"/>
  <c r="LH7" i="178"/>
  <c r="LH5" i="178"/>
  <c r="LH6" i="178"/>
  <c r="LH11" i="178"/>
  <c r="LH10" i="178"/>
  <c r="D83" i="176"/>
  <c r="C83" i="176" s="1"/>
  <c r="LS3" i="178"/>
  <c r="D86" i="176"/>
  <c r="C86" i="176" s="1"/>
  <c r="LS4" i="178"/>
  <c r="KJ3" i="178"/>
  <c r="GC3" i="178"/>
  <c r="GD3" i="178" s="1"/>
  <c r="GF3" i="178" s="1"/>
  <c r="GJ4" i="178" s="1"/>
  <c r="GC5" i="178"/>
  <c r="GD5" i="178" s="1"/>
  <c r="GF5" i="178" s="1"/>
  <c r="GJ5" i="178" s="1"/>
  <c r="AAW26" i="178"/>
  <c r="OK15" i="178"/>
  <c r="OL15" i="178" s="1"/>
  <c r="ON4" i="178" s="1"/>
  <c r="OO4" i="178" s="1"/>
  <c r="OE37" i="178"/>
  <c r="OE27" i="178"/>
  <c r="OE31" i="178"/>
  <c r="OE34" i="178"/>
  <c r="OE30" i="178"/>
  <c r="OE28" i="178"/>
  <c r="OE33" i="178"/>
  <c r="OE32" i="178"/>
  <c r="OE29" i="178"/>
  <c r="OE36" i="178"/>
  <c r="OE38" i="178"/>
  <c r="OE35" i="178"/>
  <c r="D2" i="176"/>
  <c r="E2" i="176" s="1"/>
  <c r="DQ5" i="178"/>
  <c r="D22" i="176"/>
  <c r="D3" i="179"/>
  <c r="N2" i="149" s="1"/>
  <c r="D19" i="176"/>
  <c r="C19" i="176" s="1"/>
  <c r="A3" i="179"/>
  <c r="K2" i="149" s="1"/>
  <c r="AX3" i="178"/>
  <c r="BB3" i="178" s="1"/>
  <c r="D8" i="176" s="1"/>
  <c r="AW3" i="178"/>
  <c r="DY24" i="178"/>
  <c r="DX25" i="178" s="1"/>
  <c r="DZ25" i="178" s="1"/>
  <c r="EA24" i="178"/>
  <c r="EB24" i="178" s="1"/>
  <c r="DZ31" i="178"/>
  <c r="EA31" i="178" s="1"/>
  <c r="EC31" i="178" s="1"/>
  <c r="A7" i="179" s="1"/>
  <c r="K6" i="149" s="1"/>
  <c r="J6" i="149" s="1"/>
  <c r="DZ5" i="178"/>
  <c r="DZ6" i="178" s="1"/>
  <c r="DY6" i="178" s="1"/>
  <c r="DX7" i="178" s="1"/>
  <c r="DZ7" i="178" s="1"/>
  <c r="F6" i="175"/>
  <c r="J12" i="175"/>
  <c r="J6" i="175"/>
  <c r="J5" i="175"/>
  <c r="J4" i="175"/>
  <c r="J3" i="175"/>
  <c r="H12" i="175"/>
  <c r="H6" i="175"/>
  <c r="H5" i="175"/>
  <c r="H4" i="175"/>
  <c r="H3" i="175"/>
  <c r="B103" i="150"/>
  <c r="C103" i="150"/>
  <c r="D103" i="150"/>
  <c r="E103" i="150"/>
  <c r="F103" i="150"/>
  <c r="G103" i="150"/>
  <c r="H103" i="150"/>
  <c r="I103" i="150"/>
  <c r="B104" i="150"/>
  <c r="C104" i="150"/>
  <c r="D104" i="150"/>
  <c r="E104" i="150"/>
  <c r="F104" i="150"/>
  <c r="G104" i="150"/>
  <c r="H104" i="150"/>
  <c r="I104" i="150"/>
  <c r="B105" i="150"/>
  <c r="C105" i="150"/>
  <c r="D105" i="150"/>
  <c r="E105" i="150"/>
  <c r="F105" i="150"/>
  <c r="G105" i="150"/>
  <c r="H105" i="150"/>
  <c r="I105" i="150"/>
  <c r="B106" i="150"/>
  <c r="C106" i="150"/>
  <c r="D106" i="150"/>
  <c r="E106" i="150"/>
  <c r="F106" i="150"/>
  <c r="G106" i="150"/>
  <c r="H106" i="150"/>
  <c r="I106" i="150"/>
  <c r="B107" i="150"/>
  <c r="C107" i="150"/>
  <c r="D107" i="150"/>
  <c r="E107" i="150"/>
  <c r="F107" i="150"/>
  <c r="G107" i="150"/>
  <c r="H107" i="150"/>
  <c r="I107" i="150"/>
  <c r="B108" i="150"/>
  <c r="C108" i="150"/>
  <c r="D108" i="150"/>
  <c r="E108" i="150"/>
  <c r="F108" i="150"/>
  <c r="G108" i="150"/>
  <c r="H108" i="150"/>
  <c r="I108" i="150"/>
  <c r="B109" i="150"/>
  <c r="C109" i="150"/>
  <c r="D109" i="150"/>
  <c r="E109" i="150"/>
  <c r="F109" i="150"/>
  <c r="G109" i="150"/>
  <c r="H109" i="150"/>
  <c r="I109" i="150"/>
  <c r="B110" i="150"/>
  <c r="C110" i="150"/>
  <c r="D110" i="150"/>
  <c r="E110" i="150"/>
  <c r="F110" i="150"/>
  <c r="G110" i="150"/>
  <c r="H110" i="150"/>
  <c r="I110" i="150"/>
  <c r="B111" i="150"/>
  <c r="C111" i="150"/>
  <c r="D111" i="150"/>
  <c r="E111" i="150"/>
  <c r="F111" i="150"/>
  <c r="G111" i="150"/>
  <c r="H111" i="150"/>
  <c r="I111" i="150"/>
  <c r="B112" i="150"/>
  <c r="C112" i="150"/>
  <c r="D112" i="150"/>
  <c r="E112" i="150"/>
  <c r="F112" i="150"/>
  <c r="G112" i="150"/>
  <c r="H112" i="150"/>
  <c r="I112" i="150"/>
  <c r="B113" i="150"/>
  <c r="C113" i="150"/>
  <c r="D113" i="150"/>
  <c r="E113" i="150"/>
  <c r="F113" i="150"/>
  <c r="G113" i="150"/>
  <c r="H113" i="150"/>
  <c r="I113" i="150"/>
  <c r="B114" i="150"/>
  <c r="C114" i="150"/>
  <c r="D114" i="150"/>
  <c r="E114" i="150"/>
  <c r="F114" i="150"/>
  <c r="G114" i="150"/>
  <c r="H114" i="150"/>
  <c r="I114" i="150"/>
  <c r="B115" i="150"/>
  <c r="C115" i="150"/>
  <c r="D115" i="150"/>
  <c r="E115" i="150"/>
  <c r="F115" i="150"/>
  <c r="G115" i="150"/>
  <c r="H115" i="150"/>
  <c r="I115" i="150"/>
  <c r="B116" i="150"/>
  <c r="C116" i="150"/>
  <c r="D116" i="150"/>
  <c r="E116" i="150"/>
  <c r="F116" i="150"/>
  <c r="G116" i="150"/>
  <c r="H116" i="150"/>
  <c r="I116" i="150"/>
  <c r="B117" i="150"/>
  <c r="C117" i="150"/>
  <c r="D117" i="150"/>
  <c r="E117" i="150"/>
  <c r="F117" i="150"/>
  <c r="G117" i="150"/>
  <c r="H117" i="150"/>
  <c r="I117" i="150"/>
  <c r="B118" i="150"/>
  <c r="C118" i="150"/>
  <c r="D118" i="150"/>
  <c r="E118" i="150"/>
  <c r="F118" i="150"/>
  <c r="G118" i="150"/>
  <c r="H118" i="150"/>
  <c r="I118" i="150"/>
  <c r="B119" i="150"/>
  <c r="C119" i="150"/>
  <c r="D119" i="150"/>
  <c r="E119" i="150"/>
  <c r="F119" i="150"/>
  <c r="G119" i="150"/>
  <c r="H119" i="150"/>
  <c r="I119" i="150"/>
  <c r="B120" i="150"/>
  <c r="C120" i="150"/>
  <c r="D120" i="150"/>
  <c r="E120" i="150"/>
  <c r="F120" i="150"/>
  <c r="G120" i="150"/>
  <c r="H120" i="150"/>
  <c r="I120" i="150"/>
  <c r="B121" i="150"/>
  <c r="C121" i="150"/>
  <c r="D121" i="150"/>
  <c r="E121" i="150"/>
  <c r="F121" i="150"/>
  <c r="G121" i="150"/>
  <c r="H121" i="150"/>
  <c r="I121" i="150"/>
  <c r="BL18" i="153"/>
  <c r="BK18" i="153"/>
  <c r="BJ18" i="153"/>
  <c r="BI18" i="153"/>
  <c r="BH18" i="153"/>
  <c r="BL17" i="153"/>
  <c r="BK17" i="153"/>
  <c r="BJ17" i="153"/>
  <c r="BI17" i="153"/>
  <c r="BH17" i="153"/>
  <c r="BL15" i="153"/>
  <c r="BK15" i="153"/>
  <c r="BJ15" i="153"/>
  <c r="BI15" i="153"/>
  <c r="BH15" i="153"/>
  <c r="BL14" i="153"/>
  <c r="BK14" i="153"/>
  <c r="BJ14" i="153"/>
  <c r="BI14" i="153"/>
  <c r="BH14" i="153"/>
  <c r="BL9" i="153"/>
  <c r="BK9" i="153"/>
  <c r="BJ9" i="153"/>
  <c r="BI9" i="153"/>
  <c r="BH9" i="153"/>
  <c r="BL8" i="153"/>
  <c r="BK8" i="153"/>
  <c r="BJ8" i="153"/>
  <c r="BI8" i="153"/>
  <c r="BH8" i="153"/>
  <c r="BL6" i="153"/>
  <c r="BK6" i="153"/>
  <c r="BJ6" i="153"/>
  <c r="BI6" i="153"/>
  <c r="BH6" i="153"/>
  <c r="BL5" i="153"/>
  <c r="BK5" i="153"/>
  <c r="BJ5" i="153"/>
  <c r="BI5" i="153"/>
  <c r="BH5" i="153"/>
  <c r="BL3" i="153"/>
  <c r="BK3" i="153"/>
  <c r="BJ3" i="153"/>
  <c r="BI3" i="153"/>
  <c r="BH3" i="153"/>
  <c r="BL2" i="153"/>
  <c r="BK2" i="153"/>
  <c r="BJ2" i="153"/>
  <c r="BI2" i="153"/>
  <c r="BH2" i="153"/>
  <c r="BK3" i="178" l="1"/>
  <c r="BL3" i="178" s="1"/>
  <c r="D3" i="176" s="1"/>
  <c r="E3" i="176" s="1"/>
  <c r="BP3" i="178"/>
  <c r="BQ3" i="178" s="1"/>
  <c r="D9" i="176" s="1"/>
  <c r="E9" i="176" s="1"/>
  <c r="BU6" i="178"/>
  <c r="BU5" i="178"/>
  <c r="BU7" i="178"/>
  <c r="BU8" i="178"/>
  <c r="BU9" i="178"/>
  <c r="BU3" i="178"/>
  <c r="BU10" i="178"/>
  <c r="AO3" i="178"/>
  <c r="AP3" i="178"/>
  <c r="AT3" i="178" s="1"/>
  <c r="DQ3" i="178" s="1"/>
  <c r="TJ3" i="178"/>
  <c r="TM3" i="178" s="1"/>
  <c r="TO3" i="178" s="1"/>
  <c r="TM4" i="178" s="1"/>
  <c r="TO4" i="178" s="1"/>
  <c r="DZ19" i="178"/>
  <c r="DZ20" i="178" s="1"/>
  <c r="DY20" i="178" s="1"/>
  <c r="DX21" i="178" s="1"/>
  <c r="EB17" i="178"/>
  <c r="EA18" i="178"/>
  <c r="EB18" i="178" s="1"/>
  <c r="EC18" i="178" s="1"/>
  <c r="D29" i="176" s="1"/>
  <c r="EB10" i="178"/>
  <c r="D27" i="176"/>
  <c r="C27" i="176" s="1"/>
  <c r="C3" i="179"/>
  <c r="M2" i="149" s="1"/>
  <c r="D23" i="176"/>
  <c r="C23" i="176" s="1"/>
  <c r="DX12" i="178"/>
  <c r="DZ12" i="178" s="1"/>
  <c r="DZ13" i="178" s="1"/>
  <c r="DY13" i="178" s="1"/>
  <c r="DX14" i="178" s="1"/>
  <c r="DZ14" i="178" s="1"/>
  <c r="EA14" i="178" s="1"/>
  <c r="EB14" i="178" s="1"/>
  <c r="EC11" i="178"/>
  <c r="D25" i="176" s="1"/>
  <c r="C25" i="176" s="1"/>
  <c r="SE4" i="178"/>
  <c r="SF4" i="178" s="1"/>
  <c r="SG4" i="178" s="1"/>
  <c r="RJ6" i="178"/>
  <c r="RK6" i="178" s="1"/>
  <c r="RO6" i="178" s="1"/>
  <c r="RE7" i="178"/>
  <c r="RG7" i="178" s="1"/>
  <c r="RI7" i="178" s="1"/>
  <c r="RJ7" i="178" s="1"/>
  <c r="RK7" i="178" s="1"/>
  <c r="RO7" i="178" s="1"/>
  <c r="RW5" i="178"/>
  <c r="RY5" i="178" s="1"/>
  <c r="RZ5" i="178" s="1"/>
  <c r="SA5" i="178" s="1"/>
  <c r="SC5" i="178"/>
  <c r="SE5" i="178" s="1"/>
  <c r="SF5" i="178" s="1"/>
  <c r="RQ5" i="178"/>
  <c r="RS5" i="178" s="1"/>
  <c r="TA3" i="178"/>
  <c r="TC3" i="178" s="1"/>
  <c r="TA7" i="178" s="1"/>
  <c r="ST4" i="178"/>
  <c r="J2" i="149"/>
  <c r="C21" i="176"/>
  <c r="E21" i="176" s="1"/>
  <c r="C22" i="176"/>
  <c r="E22" i="176" s="1"/>
  <c r="SO5" i="178"/>
  <c r="SK6" i="178" s="1"/>
  <c r="AEZ4" i="178"/>
  <c r="AFA4" i="178" s="1"/>
  <c r="AEN4" i="178"/>
  <c r="AET4" i="178"/>
  <c r="AEK4" i="178"/>
  <c r="ADY5" i="178"/>
  <c r="ADQ3" i="178"/>
  <c r="ADG3" i="178"/>
  <c r="ACW3" i="178"/>
  <c r="ACG3" i="178"/>
  <c r="ACH3" i="178" s="1"/>
  <c r="ACI3" i="178"/>
  <c r="D97" i="176"/>
  <c r="C97" i="176" s="1"/>
  <c r="AAT7" i="178"/>
  <c r="AAU7" i="178" s="1"/>
  <c r="TJ14" i="178"/>
  <c r="LX3" i="178"/>
  <c r="TV4" i="178"/>
  <c r="UH4" i="178"/>
  <c r="TJ10" i="178"/>
  <c r="TM6" i="178" s="1"/>
  <c r="N4" i="186"/>
  <c r="N5" i="186"/>
  <c r="N9" i="186"/>
  <c r="N13" i="186"/>
  <c r="N11" i="186"/>
  <c r="N3" i="186"/>
  <c r="N12" i="186"/>
  <c r="N6" i="186"/>
  <c r="N10" i="186"/>
  <c r="N14" i="186"/>
  <c r="N7" i="186"/>
  <c r="N8" i="186"/>
  <c r="H5" i="188"/>
  <c r="D5" i="188"/>
  <c r="E5" i="188" s="1"/>
  <c r="B6" i="188"/>
  <c r="GJ3" i="178"/>
  <c r="GK3" i="178" s="1"/>
  <c r="GL3" i="178" s="1"/>
  <c r="GN3" i="178" s="1"/>
  <c r="GO3" i="178" s="1"/>
  <c r="GG3" i="178"/>
  <c r="GH3" i="178" s="1"/>
  <c r="HL6" i="178" s="1"/>
  <c r="U3" i="149" s="1"/>
  <c r="NI5" i="178"/>
  <c r="NJ3" i="178" s="1"/>
  <c r="NM3" i="178" s="1"/>
  <c r="KM4" i="178"/>
  <c r="KM5" i="178"/>
  <c r="LI3" i="178"/>
  <c r="LJ3" i="178" s="1"/>
  <c r="LK3" i="178" s="1"/>
  <c r="D85" i="176" s="1"/>
  <c r="C85" i="176" s="1"/>
  <c r="LT3" i="178"/>
  <c r="LU3" i="178" s="1"/>
  <c r="LW3" i="178" s="1"/>
  <c r="D87" i="176" s="1"/>
  <c r="C87" i="176" s="1"/>
  <c r="HL3" i="178"/>
  <c r="D89" i="176"/>
  <c r="AAW19" i="178"/>
  <c r="AAW23" i="178"/>
  <c r="AAW18" i="178"/>
  <c r="AAW16" i="178"/>
  <c r="AAW21" i="178"/>
  <c r="AAW17" i="178"/>
  <c r="AAW25" i="178"/>
  <c r="AAW20" i="178"/>
  <c r="AAW22" i="178"/>
  <c r="AAW15" i="178"/>
  <c r="AAW24" i="178"/>
  <c r="OF27" i="178"/>
  <c r="OH27" i="178" s="1"/>
  <c r="D84" i="176"/>
  <c r="C84" i="176" s="1"/>
  <c r="GJ6" i="178"/>
  <c r="D30" i="176"/>
  <c r="D5" i="179"/>
  <c r="N4" i="149" s="1"/>
  <c r="DX8" i="178"/>
  <c r="EA7" i="178"/>
  <c r="EB7" i="178" s="1"/>
  <c r="GG5" i="178"/>
  <c r="GH5" i="178" s="1"/>
  <c r="GF7" i="178"/>
  <c r="CS3" i="178"/>
  <c r="EC24" i="178"/>
  <c r="DX38" i="178"/>
  <c r="DY31" i="178"/>
  <c r="G44" i="177"/>
  <c r="H44" i="177" s="1"/>
  <c r="D35" i="176"/>
  <c r="EB31" i="178"/>
  <c r="DX26" i="178"/>
  <c r="EA25" i="178"/>
  <c r="EB25" i="178" s="1"/>
  <c r="EC25" i="178" s="1"/>
  <c r="BK21" i="153"/>
  <c r="BL20" i="153"/>
  <c r="BH20" i="153"/>
  <c r="BJ7" i="153"/>
  <c r="BJ16" i="153"/>
  <c r="BL21" i="153"/>
  <c r="BI10" i="153"/>
  <c r="BI21" i="153"/>
  <c r="BK20" i="153"/>
  <c r="BJ21" i="153"/>
  <c r="BJ20" i="153"/>
  <c r="J13" i="175"/>
  <c r="BL7" i="153"/>
  <c r="BI20" i="153"/>
  <c r="BL19" i="153"/>
  <c r="BM14" i="153"/>
  <c r="BK16" i="153"/>
  <c r="H13" i="175"/>
  <c r="J114" i="150"/>
  <c r="J112" i="150"/>
  <c r="J110" i="150"/>
  <c r="J104" i="150"/>
  <c r="J118" i="150"/>
  <c r="J106" i="150"/>
  <c r="J121" i="150"/>
  <c r="J116" i="150"/>
  <c r="J109" i="150"/>
  <c r="J103" i="150"/>
  <c r="J117" i="150"/>
  <c r="J119" i="150"/>
  <c r="J113" i="150"/>
  <c r="J107" i="150"/>
  <c r="J120" i="150"/>
  <c r="J115" i="150"/>
  <c r="J111" i="150"/>
  <c r="J108" i="150"/>
  <c r="J105" i="150"/>
  <c r="BL16" i="153"/>
  <c r="BK10" i="153"/>
  <c r="BK19" i="153"/>
  <c r="BL10" i="153"/>
  <c r="BK7" i="153"/>
  <c r="BJ10" i="153"/>
  <c r="BJ19" i="153"/>
  <c r="BI19" i="153"/>
  <c r="BM3" i="153"/>
  <c r="BM5" i="153"/>
  <c r="BI7" i="153"/>
  <c r="BM8" i="153"/>
  <c r="BI16" i="153"/>
  <c r="BM17" i="153"/>
  <c r="BM9" i="153"/>
  <c r="BM18" i="153"/>
  <c r="BH7" i="153"/>
  <c r="BH16" i="153"/>
  <c r="BH10" i="153"/>
  <c r="BH19" i="153"/>
  <c r="BH21" i="153"/>
  <c r="BH4" i="153"/>
  <c r="BL4" i="153"/>
  <c r="BM2" i="153"/>
  <c r="BI4" i="153"/>
  <c r="BM6" i="153"/>
  <c r="BM15" i="153"/>
  <c r="BJ4" i="153"/>
  <c r="BK4" i="153"/>
  <c r="B105" i="169"/>
  <c r="C105" i="169"/>
  <c r="B106" i="169"/>
  <c r="C106" i="169"/>
  <c r="B107" i="169"/>
  <c r="C107" i="169"/>
  <c r="B108" i="169"/>
  <c r="C108" i="169"/>
  <c r="B109" i="169"/>
  <c r="C109" i="169"/>
  <c r="B110" i="169"/>
  <c r="C110" i="169"/>
  <c r="B111" i="169"/>
  <c r="C111" i="169"/>
  <c r="B112" i="169"/>
  <c r="C112" i="169"/>
  <c r="B88" i="169"/>
  <c r="B89" i="169"/>
  <c r="B90" i="169"/>
  <c r="B91" i="169"/>
  <c r="C91" i="169"/>
  <c r="B92" i="169"/>
  <c r="C92" i="169"/>
  <c r="B93" i="169"/>
  <c r="C93" i="169"/>
  <c r="B94" i="169"/>
  <c r="C94" i="169"/>
  <c r="B95" i="169"/>
  <c r="C95" i="169"/>
  <c r="B96" i="169"/>
  <c r="C96" i="169"/>
  <c r="B97" i="169"/>
  <c r="C97" i="169"/>
  <c r="B98" i="169"/>
  <c r="C98" i="169"/>
  <c r="B99" i="169"/>
  <c r="C99" i="169"/>
  <c r="B100" i="169"/>
  <c r="C100" i="169"/>
  <c r="B101" i="169"/>
  <c r="C101" i="169"/>
  <c r="B102" i="169"/>
  <c r="C102" i="169"/>
  <c r="B103" i="169"/>
  <c r="C103" i="169"/>
  <c r="B104" i="169"/>
  <c r="C104" i="169"/>
  <c r="DQ4" i="178" l="1"/>
  <c r="TU3" i="178"/>
  <c r="TV3" i="178"/>
  <c r="DQ6" i="178"/>
  <c r="AW3" i="187" s="1"/>
  <c r="BV3" i="178"/>
  <c r="BY3" i="178" s="1"/>
  <c r="CA3" i="178" s="1"/>
  <c r="CB3" i="178" s="1"/>
  <c r="D7" i="176"/>
  <c r="A11" i="149" s="1"/>
  <c r="C5" i="179"/>
  <c r="M4" i="149" s="1"/>
  <c r="EB12" i="178"/>
  <c r="EC12" i="178" s="1"/>
  <c r="D4" i="179" s="1"/>
  <c r="N3" i="149" s="1"/>
  <c r="DX15" i="178"/>
  <c r="DZ15" i="178" s="1"/>
  <c r="EA15" i="178" s="1"/>
  <c r="SG5" i="178"/>
  <c r="C4" i="179"/>
  <c r="M3" i="149" s="1"/>
  <c r="SC7" i="178"/>
  <c r="SE7" i="178" s="1"/>
  <c r="SF7" i="178" s="1"/>
  <c r="RW7" i="178"/>
  <c r="RY7" i="178" s="1"/>
  <c r="RZ7" i="178" s="1"/>
  <c r="SA7" i="178" s="1"/>
  <c r="RQ7" i="178"/>
  <c r="RS7" i="178" s="1"/>
  <c r="RW6" i="178"/>
  <c r="RY6" i="178" s="1"/>
  <c r="RZ6" i="178" s="1"/>
  <c r="SA6" i="178" s="1"/>
  <c r="SC6" i="178"/>
  <c r="SE6" i="178" s="1"/>
  <c r="SF6" i="178" s="1"/>
  <c r="RQ6" i="178"/>
  <c r="RS6" i="178" s="1"/>
  <c r="TU9" i="178"/>
  <c r="TU5" i="178"/>
  <c r="TU7" i="178"/>
  <c r="TU10" i="178"/>
  <c r="TU12" i="178"/>
  <c r="TU8" i="178"/>
  <c r="TU11" i="178"/>
  <c r="TU6" i="178"/>
  <c r="C7" i="176"/>
  <c r="I2" i="190" s="1"/>
  <c r="TM5" i="178"/>
  <c r="TO6" i="178"/>
  <c r="C30" i="176"/>
  <c r="E30" i="176" s="1"/>
  <c r="C29" i="176"/>
  <c r="E29" i="176" s="1"/>
  <c r="B15" i="149"/>
  <c r="C89" i="176"/>
  <c r="C35" i="176"/>
  <c r="E35" i="176" s="1"/>
  <c r="SP5" i="178"/>
  <c r="SQ5" i="178" s="1"/>
  <c r="SU5" i="178" s="1"/>
  <c r="SM6" i="178"/>
  <c r="AEV4" i="178"/>
  <c r="AEW4" i="178" s="1"/>
  <c r="AEX4" i="178" s="1"/>
  <c r="AEP4" i="178"/>
  <c r="AEQ4" i="178" s="1"/>
  <c r="AER4" i="178" s="1"/>
  <c r="ADZ5" i="178"/>
  <c r="AEA5" i="178" s="1"/>
  <c r="ADU6" i="178"/>
  <c r="ADW6" i="178" s="1"/>
  <c r="ACJ3" i="178"/>
  <c r="ACK3" i="178" s="1"/>
  <c r="D93" i="176"/>
  <c r="C93" i="176" s="1"/>
  <c r="TP3" i="178"/>
  <c r="TQ3" i="178" s="1"/>
  <c r="UG16" i="178"/>
  <c r="UG10" i="178"/>
  <c r="UG12" i="178"/>
  <c r="UG6" i="178"/>
  <c r="UG15" i="178"/>
  <c r="UG5" i="178"/>
  <c r="UG3" i="178"/>
  <c r="UG11" i="178"/>
  <c r="UG14" i="178"/>
  <c r="O3" i="186"/>
  <c r="C6" i="188"/>
  <c r="I5" i="188"/>
  <c r="J5" i="188" s="1"/>
  <c r="G6" i="188"/>
  <c r="TP4" i="178"/>
  <c r="GP3" i="178"/>
  <c r="NO3" i="178"/>
  <c r="KO3" i="178"/>
  <c r="KP3" i="178" s="1"/>
  <c r="KQ3" i="178" s="1"/>
  <c r="D82" i="176" s="1"/>
  <c r="KN3" i="178"/>
  <c r="LX8" i="178"/>
  <c r="AB2" i="149" s="1"/>
  <c r="LX5" i="178"/>
  <c r="Y2" i="149" s="1"/>
  <c r="AA3" i="180"/>
  <c r="HM3" i="178"/>
  <c r="HN3" i="178" s="1"/>
  <c r="HO3" i="178" s="1"/>
  <c r="HP3" i="178" s="1"/>
  <c r="HR3" i="178" s="1"/>
  <c r="HS3" i="178" s="1"/>
  <c r="HT3" i="178" s="1"/>
  <c r="HL4" i="178"/>
  <c r="T3" i="149" s="1"/>
  <c r="D91" i="176"/>
  <c r="C91" i="176" s="1"/>
  <c r="AAX15" i="178"/>
  <c r="AAY15" i="178" s="1"/>
  <c r="ABA15" i="178" s="1"/>
  <c r="ABB4" i="178" s="1"/>
  <c r="AAW30" i="178"/>
  <c r="OJ27" i="178"/>
  <c r="D95" i="176"/>
  <c r="C95" i="176" s="1"/>
  <c r="HL8" i="178"/>
  <c r="U2" i="149" s="1"/>
  <c r="E8" i="176"/>
  <c r="TC7" i="178"/>
  <c r="KE3" i="178"/>
  <c r="KF3" i="178" s="1"/>
  <c r="KG3" i="178" s="1"/>
  <c r="A6" i="179"/>
  <c r="K5" i="149" s="1"/>
  <c r="TA10" i="178"/>
  <c r="TC10" i="178" s="1"/>
  <c r="TA14" i="178" s="1"/>
  <c r="TB3" i="178"/>
  <c r="TF4" i="178" s="1"/>
  <c r="GB9" i="178"/>
  <c r="GJ8" i="178"/>
  <c r="GJ7" i="178"/>
  <c r="DZ8" i="178"/>
  <c r="EA8" i="178" s="1"/>
  <c r="EB8" i="178" s="1"/>
  <c r="E25" i="176"/>
  <c r="D33" i="176"/>
  <c r="C33" i="176" s="1"/>
  <c r="C6" i="179"/>
  <c r="M5" i="149" s="1"/>
  <c r="DZ21" i="178"/>
  <c r="GK5" i="178"/>
  <c r="GL5" i="178" s="1"/>
  <c r="GN5" i="178" s="1"/>
  <c r="GG7" i="178"/>
  <c r="GH7" i="178" s="1"/>
  <c r="HL11" i="178" s="1"/>
  <c r="CT3" i="178"/>
  <c r="CU3" i="178" s="1"/>
  <c r="CV3" i="178"/>
  <c r="CX3" i="178" s="1"/>
  <c r="DA3" i="178" s="1"/>
  <c r="DZ38" i="178"/>
  <c r="DX45" i="178" s="1"/>
  <c r="D31" i="176"/>
  <c r="C31" i="176" s="1"/>
  <c r="DX32" i="178"/>
  <c r="DZ32" i="178" s="1"/>
  <c r="DX33" i="178" s="1"/>
  <c r="I44" i="177"/>
  <c r="EB26" i="178"/>
  <c r="EC26" i="178" s="1"/>
  <c r="D6" i="179" s="1"/>
  <c r="N5" i="149" s="1"/>
  <c r="DZ26" i="178"/>
  <c r="DZ27" i="178" s="1"/>
  <c r="DY27" i="178" s="1"/>
  <c r="BK22" i="153"/>
  <c r="BL22" i="153"/>
  <c r="BJ22" i="153"/>
  <c r="BM20" i="153"/>
  <c r="BM4" i="153"/>
  <c r="BI22" i="153"/>
  <c r="BM16" i="153"/>
  <c r="BM10" i="153"/>
  <c r="BM19" i="153"/>
  <c r="BM7" i="153"/>
  <c r="BH22" i="153"/>
  <c r="BM21" i="153"/>
  <c r="D103" i="169"/>
  <c r="E103" i="169" s="1"/>
  <c r="F103" i="169" s="1"/>
  <c r="D97" i="169"/>
  <c r="E97" i="169" s="1"/>
  <c r="F97" i="169" s="1"/>
  <c r="D95" i="169"/>
  <c r="E95" i="169" s="1"/>
  <c r="F95" i="169" s="1"/>
  <c r="D93" i="169"/>
  <c r="E93" i="169" s="1"/>
  <c r="F93" i="169" s="1"/>
  <c r="D91" i="169"/>
  <c r="E91" i="169" s="1"/>
  <c r="F91" i="169" s="1"/>
  <c r="D106" i="169"/>
  <c r="E106" i="169" s="1"/>
  <c r="F106" i="169" s="1"/>
  <c r="D105" i="169"/>
  <c r="E105" i="169" s="1"/>
  <c r="F105" i="169" s="1"/>
  <c r="D102" i="169"/>
  <c r="E102" i="169" s="1"/>
  <c r="F102" i="169" s="1"/>
  <c r="D104" i="169"/>
  <c r="E104" i="169" s="1"/>
  <c r="F104" i="169" s="1"/>
  <c r="D98" i="169"/>
  <c r="E98" i="169" s="1"/>
  <c r="F98" i="169" s="1"/>
  <c r="D96" i="169"/>
  <c r="E96" i="169" s="1"/>
  <c r="F96" i="169" s="1"/>
  <c r="D111" i="169"/>
  <c r="E111" i="169" s="1"/>
  <c r="F111" i="169" s="1"/>
  <c r="D109" i="169"/>
  <c r="E109" i="169" s="1"/>
  <c r="F109" i="169" s="1"/>
  <c r="D107" i="169"/>
  <c r="E107" i="169" s="1"/>
  <c r="F107" i="169" s="1"/>
  <c r="D100" i="169"/>
  <c r="E100" i="169" s="1"/>
  <c r="F100" i="169" s="1"/>
  <c r="D112" i="169"/>
  <c r="E112" i="169" s="1"/>
  <c r="F112" i="169" s="1"/>
  <c r="D110" i="169"/>
  <c r="E110" i="169" s="1"/>
  <c r="F110" i="169" s="1"/>
  <c r="D108" i="169"/>
  <c r="E108" i="169" s="1"/>
  <c r="F108" i="169" s="1"/>
  <c r="D94" i="169"/>
  <c r="E94" i="169" s="1"/>
  <c r="F94" i="169" s="1"/>
  <c r="D101" i="169"/>
  <c r="E101" i="169" s="1"/>
  <c r="F101" i="169" s="1"/>
  <c r="D99" i="169"/>
  <c r="E99" i="169" s="1"/>
  <c r="F99" i="169" s="1"/>
  <c r="D92" i="169"/>
  <c r="E92" i="169" s="1"/>
  <c r="F92" i="169" s="1"/>
  <c r="J2581" i="5"/>
  <c r="J2475" i="5"/>
  <c r="J2476" i="5"/>
  <c r="J2477" i="5"/>
  <c r="J2478" i="5"/>
  <c r="J2479" i="5"/>
  <c r="J2480" i="5"/>
  <c r="J2481" i="5"/>
  <c r="J2482" i="5"/>
  <c r="J2483" i="5"/>
  <c r="J2484" i="5"/>
  <c r="J2485" i="5"/>
  <c r="J2486" i="5"/>
  <c r="J2487" i="5"/>
  <c r="J2488" i="5"/>
  <c r="J2489" i="5"/>
  <c r="J2490" i="5"/>
  <c r="J2491" i="5"/>
  <c r="J2492" i="5"/>
  <c r="J2493" i="5"/>
  <c r="J2494" i="5"/>
  <c r="J2495" i="5"/>
  <c r="J2496" i="5"/>
  <c r="J2497" i="5"/>
  <c r="J2498" i="5"/>
  <c r="J2499" i="5"/>
  <c r="J2500" i="5"/>
  <c r="J2501" i="5"/>
  <c r="J2502" i="5"/>
  <c r="J2503" i="5"/>
  <c r="J2504" i="5"/>
  <c r="J2505" i="5"/>
  <c r="J2506" i="5"/>
  <c r="J2507" i="5"/>
  <c r="J2508" i="5"/>
  <c r="J2509" i="5"/>
  <c r="J2510" i="5"/>
  <c r="J2511" i="5"/>
  <c r="J2512" i="5"/>
  <c r="J2513" i="5"/>
  <c r="J2514" i="5"/>
  <c r="J2515" i="5"/>
  <c r="J2516" i="5"/>
  <c r="J2517" i="5"/>
  <c r="J2518" i="5"/>
  <c r="J2519" i="5"/>
  <c r="J2520" i="5"/>
  <c r="J2521" i="5"/>
  <c r="J2522" i="5"/>
  <c r="J2523" i="5"/>
  <c r="J2524" i="5"/>
  <c r="J2525" i="5"/>
  <c r="J2526" i="5"/>
  <c r="J2527" i="5"/>
  <c r="J2528" i="5"/>
  <c r="J2529" i="5"/>
  <c r="J2530" i="5"/>
  <c r="J2531" i="5"/>
  <c r="J2532" i="5"/>
  <c r="J2533" i="5"/>
  <c r="J2534" i="5"/>
  <c r="J2535" i="5"/>
  <c r="J2536" i="5"/>
  <c r="J2537" i="5"/>
  <c r="J2538" i="5"/>
  <c r="J2539" i="5"/>
  <c r="J2540" i="5"/>
  <c r="J2541" i="5"/>
  <c r="J2542" i="5"/>
  <c r="J2543" i="5"/>
  <c r="J2544" i="5"/>
  <c r="J2545" i="5"/>
  <c r="J2546" i="5"/>
  <c r="J2547" i="5"/>
  <c r="J2548" i="5"/>
  <c r="J2549" i="5"/>
  <c r="J2550" i="5"/>
  <c r="J2551" i="5"/>
  <c r="J2552" i="5"/>
  <c r="J2553" i="5"/>
  <c r="J2554" i="5"/>
  <c r="J2555" i="5"/>
  <c r="J2556" i="5"/>
  <c r="J2557" i="5"/>
  <c r="J2558" i="5"/>
  <c r="J2559" i="5"/>
  <c r="J2560" i="5"/>
  <c r="J2561" i="5"/>
  <c r="J2562" i="5"/>
  <c r="J2563" i="5"/>
  <c r="J2564" i="5"/>
  <c r="J2565" i="5"/>
  <c r="J2566" i="5"/>
  <c r="J2567" i="5"/>
  <c r="J2568" i="5"/>
  <c r="J2569" i="5"/>
  <c r="J2570" i="5"/>
  <c r="J2571" i="5"/>
  <c r="J2572" i="5"/>
  <c r="J2573" i="5"/>
  <c r="J2574" i="5"/>
  <c r="J2575" i="5"/>
  <c r="J2576" i="5"/>
  <c r="J2577" i="5"/>
  <c r="J2578" i="5"/>
  <c r="J2579" i="5"/>
  <c r="J2580" i="5"/>
  <c r="AA2475" i="5"/>
  <c r="AA2476" i="5"/>
  <c r="AA2477" i="5"/>
  <c r="AA2478" i="5"/>
  <c r="AA2479" i="5"/>
  <c r="AA2480" i="5"/>
  <c r="AA2481" i="5"/>
  <c r="AA2482" i="5"/>
  <c r="AA2483" i="5"/>
  <c r="AA2484" i="5"/>
  <c r="AA2485" i="5"/>
  <c r="AA2486" i="5"/>
  <c r="AA2487" i="5"/>
  <c r="AA2488" i="5"/>
  <c r="AA2489" i="5"/>
  <c r="AA2490" i="5"/>
  <c r="AA2491" i="5"/>
  <c r="AA2492" i="5"/>
  <c r="AA2493" i="5"/>
  <c r="AA2494" i="5"/>
  <c r="AA2495" i="5"/>
  <c r="AA2496" i="5"/>
  <c r="AA2497" i="5"/>
  <c r="AA2498" i="5"/>
  <c r="AA2499" i="5"/>
  <c r="AA2500" i="5"/>
  <c r="AA2501" i="5"/>
  <c r="AA2502" i="5"/>
  <c r="AA2503" i="5"/>
  <c r="AA2504" i="5"/>
  <c r="AA2505" i="5"/>
  <c r="AA2506" i="5"/>
  <c r="AA2507" i="5"/>
  <c r="AA2508" i="5"/>
  <c r="AA2509" i="5"/>
  <c r="AA2510" i="5"/>
  <c r="AA2511" i="5"/>
  <c r="AA2512" i="5"/>
  <c r="AA2513" i="5"/>
  <c r="AA2514" i="5"/>
  <c r="AA2515" i="5"/>
  <c r="AA2516" i="5"/>
  <c r="AA2517" i="5"/>
  <c r="AA2518" i="5"/>
  <c r="AA2519" i="5"/>
  <c r="AA2520" i="5"/>
  <c r="AA2521" i="5"/>
  <c r="AA2522" i="5"/>
  <c r="AA2523" i="5"/>
  <c r="AA2524" i="5"/>
  <c r="AA2525" i="5"/>
  <c r="AA2526" i="5"/>
  <c r="AA2527" i="5"/>
  <c r="AA2528" i="5"/>
  <c r="AA2529" i="5"/>
  <c r="AA2530" i="5"/>
  <c r="AA2531" i="5"/>
  <c r="AA2532" i="5"/>
  <c r="AA2533" i="5"/>
  <c r="AA2534" i="5"/>
  <c r="AA2535" i="5"/>
  <c r="AA2536" i="5"/>
  <c r="AA2537" i="5"/>
  <c r="AA2538" i="5"/>
  <c r="AA2539" i="5"/>
  <c r="AA2540" i="5"/>
  <c r="AA2541" i="5"/>
  <c r="AA2542" i="5"/>
  <c r="AA2543" i="5"/>
  <c r="AA2544" i="5"/>
  <c r="AA2545" i="5"/>
  <c r="AA2546" i="5"/>
  <c r="AA2547" i="5"/>
  <c r="AA2548" i="5"/>
  <c r="AA2549" i="5"/>
  <c r="AA2550" i="5"/>
  <c r="AA2551" i="5"/>
  <c r="AA2552" i="5"/>
  <c r="AA2553" i="5"/>
  <c r="AA2554" i="5"/>
  <c r="AA2555" i="5"/>
  <c r="AA2556" i="5"/>
  <c r="AA2557" i="5"/>
  <c r="AA2558" i="5"/>
  <c r="AA2559" i="5"/>
  <c r="AA2560" i="5"/>
  <c r="AA2561" i="5"/>
  <c r="AA2562" i="5"/>
  <c r="AA2563" i="5"/>
  <c r="AA2564" i="5"/>
  <c r="AA2565" i="5"/>
  <c r="AA2566" i="5"/>
  <c r="AA2567" i="5"/>
  <c r="AA2568" i="5"/>
  <c r="AA2569" i="5"/>
  <c r="AA2570" i="5"/>
  <c r="AA2571" i="5"/>
  <c r="AA2572" i="5"/>
  <c r="AA2573" i="5"/>
  <c r="AA2574" i="5"/>
  <c r="AA2575" i="5"/>
  <c r="AA2576" i="5"/>
  <c r="AA2577" i="5"/>
  <c r="AA2578" i="5"/>
  <c r="AA2579" i="5"/>
  <c r="AA2580" i="5"/>
  <c r="AA2581" i="5"/>
  <c r="C88" i="169" s="1"/>
  <c r="D88" i="169" s="1"/>
  <c r="E88" i="169" s="1"/>
  <c r="F88" i="169" s="1"/>
  <c r="R2475" i="5"/>
  <c r="R2476" i="5"/>
  <c r="R2477" i="5"/>
  <c r="R2478" i="5"/>
  <c r="R2479" i="5"/>
  <c r="R2480" i="5"/>
  <c r="R2481" i="5"/>
  <c r="R2482" i="5"/>
  <c r="R2483" i="5"/>
  <c r="R2484" i="5"/>
  <c r="R2485" i="5"/>
  <c r="R2486" i="5"/>
  <c r="R2487" i="5"/>
  <c r="R2488" i="5"/>
  <c r="R2489" i="5"/>
  <c r="R2490" i="5"/>
  <c r="R2491" i="5"/>
  <c r="R2492" i="5"/>
  <c r="R2493" i="5"/>
  <c r="R2494" i="5"/>
  <c r="R2495" i="5"/>
  <c r="R2496" i="5"/>
  <c r="R2497" i="5"/>
  <c r="R2498" i="5"/>
  <c r="R2499" i="5"/>
  <c r="R2500" i="5"/>
  <c r="R2501" i="5"/>
  <c r="R2502" i="5"/>
  <c r="R2503" i="5"/>
  <c r="R2504" i="5"/>
  <c r="R2505" i="5"/>
  <c r="R2506" i="5"/>
  <c r="R2507" i="5"/>
  <c r="R2508" i="5"/>
  <c r="R2509" i="5"/>
  <c r="R2510" i="5"/>
  <c r="R2511" i="5"/>
  <c r="R2512" i="5"/>
  <c r="R2513" i="5"/>
  <c r="R2514" i="5"/>
  <c r="R2515" i="5"/>
  <c r="R2516" i="5"/>
  <c r="R2517" i="5"/>
  <c r="R2518" i="5"/>
  <c r="R2519" i="5"/>
  <c r="R2520" i="5"/>
  <c r="R2521" i="5"/>
  <c r="R2522" i="5"/>
  <c r="R2523" i="5"/>
  <c r="R2524" i="5"/>
  <c r="R2525" i="5"/>
  <c r="R2526" i="5"/>
  <c r="R2527" i="5"/>
  <c r="R2528" i="5"/>
  <c r="R2529" i="5"/>
  <c r="R2530" i="5"/>
  <c r="R2531" i="5"/>
  <c r="R2532" i="5"/>
  <c r="R2533" i="5"/>
  <c r="R2534" i="5"/>
  <c r="R2535" i="5"/>
  <c r="R2536" i="5"/>
  <c r="R2537" i="5"/>
  <c r="R2538" i="5"/>
  <c r="R2539" i="5"/>
  <c r="R2540" i="5"/>
  <c r="R2541" i="5"/>
  <c r="R2542" i="5"/>
  <c r="R2543" i="5"/>
  <c r="R2544" i="5"/>
  <c r="R2545" i="5"/>
  <c r="R2546" i="5"/>
  <c r="R2547" i="5"/>
  <c r="R2548" i="5"/>
  <c r="R2549" i="5"/>
  <c r="R2550" i="5"/>
  <c r="R2551" i="5"/>
  <c r="R2552" i="5"/>
  <c r="R2553" i="5"/>
  <c r="R2554" i="5"/>
  <c r="R2555" i="5"/>
  <c r="R2556" i="5"/>
  <c r="R2557" i="5"/>
  <c r="R2558" i="5"/>
  <c r="R2559" i="5"/>
  <c r="R2560" i="5"/>
  <c r="R2561" i="5"/>
  <c r="R2562" i="5"/>
  <c r="R2563" i="5"/>
  <c r="R2564" i="5"/>
  <c r="R2565" i="5"/>
  <c r="R2566" i="5"/>
  <c r="R2567" i="5"/>
  <c r="R2568" i="5"/>
  <c r="R2569" i="5"/>
  <c r="R2570" i="5"/>
  <c r="R2571" i="5"/>
  <c r="R2572" i="5"/>
  <c r="R2573" i="5"/>
  <c r="R2574" i="5"/>
  <c r="R2575" i="5"/>
  <c r="R2576" i="5"/>
  <c r="R2577" i="5"/>
  <c r="R2578" i="5"/>
  <c r="R2579" i="5"/>
  <c r="R2580" i="5"/>
  <c r="R2581" i="5"/>
  <c r="D34" i="176" l="1"/>
  <c r="C34" i="176" s="1"/>
  <c r="E34" i="176" s="1"/>
  <c r="TY3" i="178"/>
  <c r="UA3" i="178" s="1"/>
  <c r="U5" i="187"/>
  <c r="D26" i="176"/>
  <c r="C26" i="176" s="1"/>
  <c r="E26" i="176" s="1"/>
  <c r="BW3" i="178"/>
  <c r="CC3" i="178" s="1"/>
  <c r="E3" i="149" s="1"/>
  <c r="BX3" i="178"/>
  <c r="F3" i="149" s="1"/>
  <c r="AI3" i="187"/>
  <c r="U3" i="187"/>
  <c r="A11" i="177"/>
  <c r="TO5" i="178"/>
  <c r="TN5" i="178" s="1"/>
  <c r="TR7" i="178" s="1"/>
  <c r="E7" i="176"/>
  <c r="EB15" i="178"/>
  <c r="ED4" i="178" s="1"/>
  <c r="E4" i="179" s="1"/>
  <c r="SG6" i="178"/>
  <c r="SG7" i="178"/>
  <c r="XN5" i="178"/>
  <c r="XN13" i="178"/>
  <c r="XN11" i="178"/>
  <c r="UH14" i="178"/>
  <c r="J5" i="149"/>
  <c r="TM7" i="178"/>
  <c r="TO7" i="178" s="1"/>
  <c r="TP7" i="178" s="1"/>
  <c r="TP6" i="178"/>
  <c r="C82" i="176"/>
  <c r="E82" i="176" s="1"/>
  <c r="LY18" i="178"/>
  <c r="LY11" i="178"/>
  <c r="SO6" i="178"/>
  <c r="SK7" i="178" s="1"/>
  <c r="AEZ5" i="178"/>
  <c r="AFA5" i="178" s="1"/>
  <c r="AET5" i="178"/>
  <c r="AEN5" i="178"/>
  <c r="AEP5" i="178" s="1"/>
  <c r="AEQ5" i="178" s="1"/>
  <c r="AER5" i="178" s="1"/>
  <c r="AEK5" i="178"/>
  <c r="ADY6" i="178"/>
  <c r="ACL3" i="178"/>
  <c r="ACM3" i="178" s="1"/>
  <c r="LY15" i="178"/>
  <c r="LY17" i="178"/>
  <c r="LY14" i="178"/>
  <c r="LY3" i="178"/>
  <c r="LY16" i="178"/>
  <c r="UH3" i="178"/>
  <c r="UK3" i="178" s="1"/>
  <c r="UH10" i="178"/>
  <c r="UK6" i="178" s="1"/>
  <c r="UM6" i="178" s="1"/>
  <c r="S7" i="186"/>
  <c r="S3" i="186"/>
  <c r="S14" i="186"/>
  <c r="S6" i="186"/>
  <c r="S4" i="186"/>
  <c r="S13" i="186"/>
  <c r="S9" i="186"/>
  <c r="Q3" i="186"/>
  <c r="S12" i="186"/>
  <c r="S8" i="186"/>
  <c r="S10" i="186"/>
  <c r="S11" i="186"/>
  <c r="S5" i="186"/>
  <c r="H6" i="188"/>
  <c r="D6" i="188"/>
  <c r="E6" i="188" s="1"/>
  <c r="B7" i="188"/>
  <c r="TQ4" i="178"/>
  <c r="TR3" i="178" s="1"/>
  <c r="HL7" i="178"/>
  <c r="V3" i="149" s="1"/>
  <c r="D94" i="176"/>
  <c r="C94" i="176" s="1"/>
  <c r="HV5" i="178"/>
  <c r="HV4" i="178"/>
  <c r="HV3" i="178"/>
  <c r="DQ12" i="178"/>
  <c r="OQ6" i="178" s="1"/>
  <c r="OR3" i="178" s="1"/>
  <c r="OT3" i="178" s="1"/>
  <c r="OV3" i="178" s="1"/>
  <c r="LY13" i="178"/>
  <c r="LY12" i="178"/>
  <c r="LX4" i="178"/>
  <c r="X2" i="149" s="1"/>
  <c r="NP3" i="178"/>
  <c r="NN3" i="178"/>
  <c r="NM10" i="178"/>
  <c r="NM7" i="178"/>
  <c r="NO7" i="178" s="1"/>
  <c r="AAW32" i="178"/>
  <c r="AAW35" i="178"/>
  <c r="AAW31" i="178"/>
  <c r="IP3" i="178"/>
  <c r="IQ3" i="178" s="1"/>
  <c r="IR3" i="178" s="1"/>
  <c r="IT3" i="178" s="1"/>
  <c r="IU3" i="178" s="1"/>
  <c r="IV3" i="178" s="1"/>
  <c r="D99" i="176" s="1"/>
  <c r="C99" i="176" s="1"/>
  <c r="IF3" i="178"/>
  <c r="IG3" i="178" s="1"/>
  <c r="IH3" i="178" s="1"/>
  <c r="IJ4" i="178" s="1"/>
  <c r="IA4" i="178"/>
  <c r="IA3" i="178"/>
  <c r="IX3" i="178"/>
  <c r="IY3" i="178" s="1"/>
  <c r="IZ3" i="178" s="1"/>
  <c r="JB3" i="178" s="1"/>
  <c r="D100" i="176" s="1"/>
  <c r="C100" i="176" s="1"/>
  <c r="JD3" i="178"/>
  <c r="JE3" i="178" s="1"/>
  <c r="JF3" i="178" s="1"/>
  <c r="JH3" i="178" s="1"/>
  <c r="AAW34" i="178"/>
  <c r="AAW36" i="178"/>
  <c r="AAW28" i="178"/>
  <c r="AAW38" i="178"/>
  <c r="AAW33" i="178"/>
  <c r="AAW27" i="178"/>
  <c r="AAW29" i="178"/>
  <c r="AAW37" i="178"/>
  <c r="OK27" i="178"/>
  <c r="OL27" i="178" s="1"/>
  <c r="ON5" i="178" s="1"/>
  <c r="OO5" i="178" s="1"/>
  <c r="OE49" i="178"/>
  <c r="OE40" i="178"/>
  <c r="OE42" i="178"/>
  <c r="OE44" i="178"/>
  <c r="OE41" i="178"/>
  <c r="OE45" i="178"/>
  <c r="OE50" i="178"/>
  <c r="OE46" i="178"/>
  <c r="OE43" i="178"/>
  <c r="OE48" i="178"/>
  <c r="OE39" i="178"/>
  <c r="OE47" i="178"/>
  <c r="TA4" i="178"/>
  <c r="TC4" i="178" s="1"/>
  <c r="LY5" i="178"/>
  <c r="LY4" i="178"/>
  <c r="EB9" i="178"/>
  <c r="EC9" i="178" s="1"/>
  <c r="ED3" i="178"/>
  <c r="E3" i="179" s="1"/>
  <c r="DX28" i="178"/>
  <c r="E33" i="176"/>
  <c r="EA21" i="178"/>
  <c r="EB21" i="178" s="1"/>
  <c r="DX22" i="178"/>
  <c r="GK7" i="178"/>
  <c r="GL7" i="178" s="1"/>
  <c r="TC14" i="178"/>
  <c r="TB10" i="178"/>
  <c r="TA11" i="178" s="1"/>
  <c r="TA17" i="178"/>
  <c r="GO5" i="178"/>
  <c r="GP5" i="178" s="1"/>
  <c r="LY9" i="178"/>
  <c r="LY10" i="178"/>
  <c r="LY8" i="178"/>
  <c r="LY7" i="178"/>
  <c r="LY6" i="178"/>
  <c r="GC9" i="178"/>
  <c r="GD9" i="178" s="1"/>
  <c r="GF9" i="178" s="1"/>
  <c r="D14" i="176"/>
  <c r="DC3" i="178"/>
  <c r="CY3" i="178"/>
  <c r="CZ3" i="178" s="1"/>
  <c r="CD3" i="178"/>
  <c r="CF3" i="178" s="1"/>
  <c r="EA38" i="178"/>
  <c r="EC38" i="178" s="1"/>
  <c r="DY38" i="178"/>
  <c r="EC40" i="178" s="1"/>
  <c r="EA32" i="178"/>
  <c r="EB32" i="178" s="1"/>
  <c r="EC32" i="178" s="1"/>
  <c r="D37" i="176" s="1"/>
  <c r="DZ45" i="178"/>
  <c r="EB33" i="178"/>
  <c r="EC33" i="178" s="1"/>
  <c r="DZ33" i="178"/>
  <c r="DZ34" i="178" s="1"/>
  <c r="DY34" i="178" s="1"/>
  <c r="E3" i="177"/>
  <c r="BM22" i="153"/>
  <c r="P4" i="175"/>
  <c r="P5" i="175"/>
  <c r="P6" i="175"/>
  <c r="P12" i="175"/>
  <c r="P3" i="175"/>
  <c r="TY7" i="178" l="1"/>
  <c r="TY10" i="178"/>
  <c r="UA10" i="178" s="1"/>
  <c r="TY14" i="178" s="1"/>
  <c r="MB3" i="178"/>
  <c r="MD3" i="178" s="1"/>
  <c r="TM10" i="178"/>
  <c r="TO10" i="178" s="1"/>
  <c r="TP10" i="178" s="1"/>
  <c r="TM9" i="178"/>
  <c r="TO9" i="178" s="1"/>
  <c r="TM14" i="178" s="1"/>
  <c r="TO14" i="178" s="1"/>
  <c r="TP5" i="178"/>
  <c r="TQ5" i="178" s="1"/>
  <c r="EB16" i="178"/>
  <c r="EC16" i="178" s="1"/>
  <c r="D24" i="176" s="1"/>
  <c r="C24" i="176" s="1"/>
  <c r="OW3" i="178"/>
  <c r="OX3" i="178" s="1"/>
  <c r="OR4" i="178"/>
  <c r="OT4" i="178" s="1"/>
  <c r="OV4" i="178" s="1"/>
  <c r="OY4" i="178"/>
  <c r="SU3" i="178"/>
  <c r="G3" i="180" s="1"/>
  <c r="C7" i="179"/>
  <c r="M6" i="149" s="1"/>
  <c r="D38" i="176"/>
  <c r="C38" i="176" s="1"/>
  <c r="E38" i="176" s="1"/>
  <c r="D7" i="179"/>
  <c r="N6" i="149" s="1"/>
  <c r="UK5" i="178"/>
  <c r="UM5" i="178" s="1"/>
  <c r="TR6" i="178"/>
  <c r="C37" i="176"/>
  <c r="E37" i="176" s="1"/>
  <c r="SP6" i="178"/>
  <c r="SQ6" i="178" s="1"/>
  <c r="SM7" i="178"/>
  <c r="AEV5" i="178"/>
  <c r="AEW5" i="178" s="1"/>
  <c r="AEX5" i="178" s="1"/>
  <c r="ADZ6" i="178"/>
  <c r="AEA6" i="178" s="1"/>
  <c r="ADU7" i="178"/>
  <c r="ADW7" i="178" s="1"/>
  <c r="UT4" i="178"/>
  <c r="VF4" i="178"/>
  <c r="VE14" i="178" s="1"/>
  <c r="UN6" i="178"/>
  <c r="UK7" i="178"/>
  <c r="UM7" i="178" s="1"/>
  <c r="UN7" i="178" s="1"/>
  <c r="UM3" i="178"/>
  <c r="T3" i="186"/>
  <c r="V3" i="186" s="1"/>
  <c r="W3" i="186" s="1"/>
  <c r="X3" i="186" s="1"/>
  <c r="C7" i="188"/>
  <c r="I6" i="188"/>
  <c r="J6" i="188" s="1"/>
  <c r="G7" i="188"/>
  <c r="GN7" i="178"/>
  <c r="GO7" i="178" s="1"/>
  <c r="GP7" i="178" s="1"/>
  <c r="HL12" i="178" s="1"/>
  <c r="UA7" i="178"/>
  <c r="TY8" i="178" s="1"/>
  <c r="UA8" i="178" s="1"/>
  <c r="UB8" i="178" s="1"/>
  <c r="TZ3" i="178"/>
  <c r="UD4" i="178" s="1"/>
  <c r="UB3" i="178"/>
  <c r="UC3" i="178" s="1"/>
  <c r="HW3" i="178"/>
  <c r="HX3" i="178" s="1"/>
  <c r="HY3" i="178" s="1"/>
  <c r="JO3" i="178" s="1"/>
  <c r="NP7" i="178"/>
  <c r="NM8" i="178"/>
  <c r="NO8" i="178" s="1"/>
  <c r="NP8" i="178" s="1"/>
  <c r="NO10" i="178"/>
  <c r="NR4" i="178"/>
  <c r="NM4" i="178"/>
  <c r="NR5" i="178"/>
  <c r="NQ3" i="178"/>
  <c r="NR3" i="178"/>
  <c r="DQ7" i="178"/>
  <c r="IB3" i="178"/>
  <c r="IC3" i="178" s="1"/>
  <c r="IJ3" i="178"/>
  <c r="IK3" i="178" s="1"/>
  <c r="IL3" i="178" s="1"/>
  <c r="IM3" i="178" s="1"/>
  <c r="IN3" i="178" s="1"/>
  <c r="JO4" i="178" s="1"/>
  <c r="X3" i="149" s="1"/>
  <c r="JJ3" i="178"/>
  <c r="JO5" i="178"/>
  <c r="Y3" i="149" s="1"/>
  <c r="JJ4" i="178"/>
  <c r="JO7" i="178"/>
  <c r="AA3" i="149" s="1"/>
  <c r="D101" i="176"/>
  <c r="C101" i="176" s="1"/>
  <c r="AAX27" i="178"/>
  <c r="AAY27" i="178" s="1"/>
  <c r="ABA27" i="178" s="1"/>
  <c r="ABB5" i="178" s="1"/>
  <c r="AAW39" i="178"/>
  <c r="AAW40" i="178"/>
  <c r="AAW44" i="178"/>
  <c r="AAW48" i="178"/>
  <c r="AAW43" i="178"/>
  <c r="AAW45" i="178"/>
  <c r="AAW50" i="178"/>
  <c r="AAW49" i="178"/>
  <c r="AAW41" i="178"/>
  <c r="AAW42" i="178"/>
  <c r="AAW46" i="178"/>
  <c r="AAW47" i="178"/>
  <c r="OF39" i="178"/>
  <c r="OH39" i="178" s="1"/>
  <c r="D96" i="176"/>
  <c r="C96" i="176" s="1"/>
  <c r="HL9" i="178"/>
  <c r="V2" i="149" s="1"/>
  <c r="M3" i="180"/>
  <c r="D15" i="176"/>
  <c r="E15" i="176" s="1"/>
  <c r="DQ13" i="178"/>
  <c r="SU4" i="178" s="1"/>
  <c r="J3" i="180" s="1"/>
  <c r="GJ9" i="178"/>
  <c r="GJ10" i="178"/>
  <c r="B3" i="179"/>
  <c r="L2" i="149" s="1"/>
  <c r="D20" i="176"/>
  <c r="C20" i="176" s="1"/>
  <c r="DX35" i="178"/>
  <c r="DZ35" i="178" s="1"/>
  <c r="DZ22" i="178"/>
  <c r="EA22" i="178" s="1"/>
  <c r="EB22" i="178" s="1"/>
  <c r="EB23" i="178" s="1"/>
  <c r="EC23" i="178" s="1"/>
  <c r="DZ28" i="178"/>
  <c r="D39" i="176"/>
  <c r="A8" i="179"/>
  <c r="K7" i="149" s="1"/>
  <c r="D42" i="176"/>
  <c r="C42" i="176" s="1"/>
  <c r="D8" i="179"/>
  <c r="N7" i="149" s="1"/>
  <c r="TC11" i="178"/>
  <c r="TC17" i="178"/>
  <c r="TA21" i="178" s="1"/>
  <c r="GB11" i="178"/>
  <c r="GC11" i="178" s="1"/>
  <c r="GD11" i="178" s="1"/>
  <c r="GG9" i="178"/>
  <c r="GH9" i="178" s="1"/>
  <c r="HL14" i="178" s="1"/>
  <c r="DF3" i="178"/>
  <c r="DH3" i="178" s="1"/>
  <c r="DK3" i="178" s="1"/>
  <c r="DD3" i="178"/>
  <c r="DE3" i="178" s="1"/>
  <c r="EC39" i="178"/>
  <c r="DX39" i="178"/>
  <c r="DZ39" i="178" s="1"/>
  <c r="EA39" i="178" s="1"/>
  <c r="EB39" i="178" s="1"/>
  <c r="EB38" i="178"/>
  <c r="DY45" i="178"/>
  <c r="EA45" i="178"/>
  <c r="EC45" i="178" s="1"/>
  <c r="DX52" i="178"/>
  <c r="D11" i="176"/>
  <c r="E11" i="176" s="1"/>
  <c r="CG3" i="178"/>
  <c r="CH3" i="178" s="1"/>
  <c r="A4" i="149" s="1"/>
  <c r="CI3" i="178"/>
  <c r="CK3" i="178" s="1"/>
  <c r="P13" i="175"/>
  <c r="BF18" i="153"/>
  <c r="BE18" i="153"/>
  <c r="BD18" i="153"/>
  <c r="BC18" i="153"/>
  <c r="BB18" i="153"/>
  <c r="BF17" i="153"/>
  <c r="BE17" i="153"/>
  <c r="BD17" i="153"/>
  <c r="BC17" i="153"/>
  <c r="BB17" i="153"/>
  <c r="BF15" i="153"/>
  <c r="BE15" i="153"/>
  <c r="BD15" i="153"/>
  <c r="BC15" i="153"/>
  <c r="BB15" i="153"/>
  <c r="BF14" i="153"/>
  <c r="BE14" i="153"/>
  <c r="BD14" i="153"/>
  <c r="BC14" i="153"/>
  <c r="BB14" i="153"/>
  <c r="BF9" i="153"/>
  <c r="BE9" i="153"/>
  <c r="BD9" i="153"/>
  <c r="BC9" i="153"/>
  <c r="BB9" i="153"/>
  <c r="BF8" i="153"/>
  <c r="BE8" i="153"/>
  <c r="BD8" i="153"/>
  <c r="BC8" i="153"/>
  <c r="BB8" i="153"/>
  <c r="BF6" i="153"/>
  <c r="BE6" i="153"/>
  <c r="BD6" i="153"/>
  <c r="BC6" i="153"/>
  <c r="BB6" i="153"/>
  <c r="BF5" i="153"/>
  <c r="BE5" i="153"/>
  <c r="BD5" i="153"/>
  <c r="BC5" i="153"/>
  <c r="BB5" i="153"/>
  <c r="BF3" i="153"/>
  <c r="BE3" i="153"/>
  <c r="BD3" i="153"/>
  <c r="BC3" i="153"/>
  <c r="BB3" i="153"/>
  <c r="BF2" i="153"/>
  <c r="BE2" i="153"/>
  <c r="BD2" i="153"/>
  <c r="BC2" i="153"/>
  <c r="BB2" i="153"/>
  <c r="TR5" i="178" l="1"/>
  <c r="TQ7" i="178" s="1"/>
  <c r="TM11" i="178"/>
  <c r="TO11" i="178" s="1"/>
  <c r="TP11" i="178" s="1"/>
  <c r="B4" i="179"/>
  <c r="L3" i="149" s="1"/>
  <c r="PL3" i="178"/>
  <c r="PN3" i="178" s="1"/>
  <c r="OZ3" i="178"/>
  <c r="PB3" i="178" s="1"/>
  <c r="PF3" i="178"/>
  <c r="OR5" i="178"/>
  <c r="OT5" i="178" s="1"/>
  <c r="OV5" i="178" s="1"/>
  <c r="OW4" i="178"/>
  <c r="OX4" i="178" s="1"/>
  <c r="PR3" i="178"/>
  <c r="TN9" i="178"/>
  <c r="TR10" i="178" s="1"/>
  <c r="US11" i="178"/>
  <c r="US7" i="178"/>
  <c r="US3" i="178"/>
  <c r="US12" i="178"/>
  <c r="US5" i="178"/>
  <c r="US10" i="178"/>
  <c r="US6" i="178"/>
  <c r="US9" i="178"/>
  <c r="US8" i="178"/>
  <c r="TM13" i="178"/>
  <c r="TO13" i="178" s="1"/>
  <c r="TP9" i="178"/>
  <c r="MF3" i="178"/>
  <c r="DM3" i="178"/>
  <c r="DN3" i="178" s="1"/>
  <c r="DO3" i="178" s="1"/>
  <c r="D18" i="176" s="1"/>
  <c r="E18" i="176" s="1"/>
  <c r="UL5" i="178"/>
  <c r="UP7" i="178" s="1"/>
  <c r="UK9" i="178"/>
  <c r="UM9" i="178" s="1"/>
  <c r="UK13" i="178" s="1"/>
  <c r="UK10" i="178"/>
  <c r="UM10" i="178" s="1"/>
  <c r="UN10" i="178" s="1"/>
  <c r="UN5" i="178"/>
  <c r="UP5" i="178" s="1"/>
  <c r="UO7" i="178" s="1"/>
  <c r="J7" i="149"/>
  <c r="C39" i="176"/>
  <c r="E39" i="176" s="1"/>
  <c r="A9" i="179"/>
  <c r="K8" i="149" s="1"/>
  <c r="J8" i="149" s="1"/>
  <c r="SO7" i="178"/>
  <c r="SP7" i="178" s="1"/>
  <c r="SQ7" i="178" s="1"/>
  <c r="SU7" i="178" s="1"/>
  <c r="UD5" i="178"/>
  <c r="AET6" i="178"/>
  <c r="AEV6" i="178" s="1"/>
  <c r="AEW6" i="178" s="1"/>
  <c r="AEZ6" i="178"/>
  <c r="AFA6" i="178" s="1"/>
  <c r="AEN6" i="178"/>
  <c r="AEK6" i="178"/>
  <c r="ADY7" i="178"/>
  <c r="ADZ7" i="178" s="1"/>
  <c r="AEA7" i="178" s="1"/>
  <c r="TY4" i="178"/>
  <c r="UA4" i="178" s="1"/>
  <c r="GR8" i="178"/>
  <c r="VE16" i="178"/>
  <c r="VE10" i="178"/>
  <c r="VE6" i="178"/>
  <c r="VE12" i="178"/>
  <c r="VE5" i="178"/>
  <c r="VE3" i="178"/>
  <c r="VE11" i="178"/>
  <c r="VE15" i="178"/>
  <c r="UN3" i="178"/>
  <c r="UO3" i="178" s="1"/>
  <c r="UK4" i="178"/>
  <c r="UM4" i="178" s="1"/>
  <c r="UN4" i="178" s="1"/>
  <c r="UO4" i="178" s="1"/>
  <c r="UB7" i="178"/>
  <c r="H7" i="188"/>
  <c r="D7" i="188"/>
  <c r="E7" i="188" s="1"/>
  <c r="B8" i="188"/>
  <c r="GR7" i="178"/>
  <c r="UD3" i="178"/>
  <c r="TP14" i="178"/>
  <c r="TM15" i="178"/>
  <c r="TO15" i="178" s="1"/>
  <c r="TP15" i="178" s="1"/>
  <c r="NP10" i="178"/>
  <c r="NN10" i="178"/>
  <c r="NM14" i="178"/>
  <c r="NO14" i="178" s="1"/>
  <c r="NM17" i="178"/>
  <c r="NO4" i="178"/>
  <c r="NQ8" i="178"/>
  <c r="NQ7" i="178"/>
  <c r="ID3" i="178"/>
  <c r="B16" i="149" s="1"/>
  <c r="H3" i="149" s="1"/>
  <c r="AEL5" i="178"/>
  <c r="AF3" i="180" s="1"/>
  <c r="JK3" i="178"/>
  <c r="JL3" i="178" s="1"/>
  <c r="JN3" i="178" s="1"/>
  <c r="D98" i="176"/>
  <c r="C98" i="176" s="1"/>
  <c r="AAX39" i="178"/>
  <c r="AAY39" i="178" s="1"/>
  <c r="ABA39" i="178" s="1"/>
  <c r="ABB6" i="178" s="1"/>
  <c r="OJ39" i="178"/>
  <c r="DQ8" i="178"/>
  <c r="D16" i="176"/>
  <c r="DQ15" i="178"/>
  <c r="SU6" i="178" s="1"/>
  <c r="B5" i="179"/>
  <c r="L4" i="149" s="1"/>
  <c r="D28" i="176"/>
  <c r="C28" i="176" s="1"/>
  <c r="E42" i="176"/>
  <c r="GK9" i="178"/>
  <c r="GL9" i="178" s="1"/>
  <c r="ED5" i="178"/>
  <c r="E5" i="179" s="1"/>
  <c r="D41" i="176"/>
  <c r="C8" i="179"/>
  <c r="M7" i="149" s="1"/>
  <c r="DX36" i="178"/>
  <c r="EA35" i="178"/>
  <c r="EB35" i="178" s="1"/>
  <c r="EA28" i="178"/>
  <c r="EB28" i="178" s="1"/>
  <c r="DX29" i="178"/>
  <c r="TB17" i="178"/>
  <c r="TD17" i="178"/>
  <c r="TC21" i="178"/>
  <c r="TA24" i="178"/>
  <c r="TZ10" i="178"/>
  <c r="UB10" i="178"/>
  <c r="UD10" i="178" s="1"/>
  <c r="TY17" i="178"/>
  <c r="UA14" i="178"/>
  <c r="GF11" i="178"/>
  <c r="FY3" i="178"/>
  <c r="DI3" i="178"/>
  <c r="DJ3" i="178" s="1"/>
  <c r="DX40" i="178"/>
  <c r="EB40" i="178" s="1"/>
  <c r="DZ52" i="178"/>
  <c r="EB45" i="178"/>
  <c r="D43" i="176"/>
  <c r="DX46" i="178"/>
  <c r="DZ46" i="178" s="1"/>
  <c r="CL3" i="178"/>
  <c r="CM3" i="178" s="1"/>
  <c r="D12" i="176"/>
  <c r="F3" i="177"/>
  <c r="BB20" i="153"/>
  <c r="BE21" i="153"/>
  <c r="BE20" i="153"/>
  <c r="BF20" i="153"/>
  <c r="BC20" i="153"/>
  <c r="BC7" i="153"/>
  <c r="BE10" i="153"/>
  <c r="BD20" i="153"/>
  <c r="BC21" i="153"/>
  <c r="BC10" i="153"/>
  <c r="BG14" i="153"/>
  <c r="BE16" i="153"/>
  <c r="BC19" i="153"/>
  <c r="BF4" i="153"/>
  <c r="BD7" i="153"/>
  <c r="BF10" i="153"/>
  <c r="BF19" i="153"/>
  <c r="BF7" i="153"/>
  <c r="BF16" i="153"/>
  <c r="BG5" i="153"/>
  <c r="BE7" i="153"/>
  <c r="BE19" i="153"/>
  <c r="BD10" i="153"/>
  <c r="BD19" i="153"/>
  <c r="BD4" i="153"/>
  <c r="BD16" i="153"/>
  <c r="BG3" i="153"/>
  <c r="BG8" i="153"/>
  <c r="BC16" i="153"/>
  <c r="BG17" i="153"/>
  <c r="BG9" i="153"/>
  <c r="BG18" i="153"/>
  <c r="BB7" i="153"/>
  <c r="BB16" i="153"/>
  <c r="BB10" i="153"/>
  <c r="BB19" i="153"/>
  <c r="BB21" i="153"/>
  <c r="BF21" i="153"/>
  <c r="BB4" i="153"/>
  <c r="BG2" i="153"/>
  <c r="BC4" i="153"/>
  <c r="BG6" i="153"/>
  <c r="BG15" i="153"/>
  <c r="BD21" i="153"/>
  <c r="BE4" i="153"/>
  <c r="N12" i="175"/>
  <c r="N6" i="175"/>
  <c r="N5" i="175"/>
  <c r="N4" i="175"/>
  <c r="L12" i="175"/>
  <c r="L6" i="175"/>
  <c r="L5" i="175"/>
  <c r="L4" i="175"/>
  <c r="L3" i="175"/>
  <c r="L13" i="175" l="1"/>
  <c r="TQ6" i="178"/>
  <c r="TQ8" i="178" s="1"/>
  <c r="TR8" i="178" s="1"/>
  <c r="PH3" i="178"/>
  <c r="PI3" i="178" s="1"/>
  <c r="PF4" i="178"/>
  <c r="PH4" i="178" s="1"/>
  <c r="PI4" i="178" s="1"/>
  <c r="PJ4" i="178" s="1"/>
  <c r="OZ4" i="178"/>
  <c r="PB4" i="178" s="1"/>
  <c r="PC4" i="178" s="1"/>
  <c r="PL4" i="178"/>
  <c r="PN4" i="178" s="1"/>
  <c r="PO3" i="178"/>
  <c r="OR6" i="178"/>
  <c r="OT6" i="178" s="1"/>
  <c r="OV6" i="178" s="1"/>
  <c r="OW5" i="178"/>
  <c r="OX5" i="178" s="1"/>
  <c r="PC3" i="178"/>
  <c r="PD3" i="178" s="1"/>
  <c r="TR11" i="178"/>
  <c r="UT3" i="178"/>
  <c r="UW3" i="178" s="1"/>
  <c r="UY3" i="178" s="1"/>
  <c r="UW7" i="178" s="1"/>
  <c r="TR9" i="178"/>
  <c r="TQ9" i="178"/>
  <c r="XO3" i="178"/>
  <c r="XQ3" i="178" s="1"/>
  <c r="XS3" i="178" s="1"/>
  <c r="XO4" i="178" s="1"/>
  <c r="MG3" i="178"/>
  <c r="MH3" i="178" s="1"/>
  <c r="UK11" i="178"/>
  <c r="UM11" i="178" s="1"/>
  <c r="UN11" i="178" s="1"/>
  <c r="UP6" i="178"/>
  <c r="UN9" i="178"/>
  <c r="UO9" i="178" s="1"/>
  <c r="UL9" i="178"/>
  <c r="UP11" i="178" s="1"/>
  <c r="UK14" i="178"/>
  <c r="UM14" i="178" s="1"/>
  <c r="UK15" i="178" s="1"/>
  <c r="UM15" i="178" s="1"/>
  <c r="UN15" i="178" s="1"/>
  <c r="UO5" i="178"/>
  <c r="UO6" i="178"/>
  <c r="UO8" i="178" s="1"/>
  <c r="UP8" i="178" s="1"/>
  <c r="K3" i="180"/>
  <c r="VF14" i="178"/>
  <c r="VI5" i="178" s="1"/>
  <c r="C41" i="176"/>
  <c r="E41" i="176" s="1"/>
  <c r="C43" i="176"/>
  <c r="E43" i="176" s="1"/>
  <c r="AEZ7" i="178"/>
  <c r="AFA7" i="178" s="1"/>
  <c r="AET7" i="178"/>
  <c r="AEX6" i="178"/>
  <c r="AEP6" i="178"/>
  <c r="AEQ6" i="178" s="1"/>
  <c r="AER6" i="178" s="1"/>
  <c r="AEK7" i="178"/>
  <c r="AEN7" i="178"/>
  <c r="GS7" i="178"/>
  <c r="GT7" i="178" s="1"/>
  <c r="GV7" i="178" s="1"/>
  <c r="GW7" i="178" s="1"/>
  <c r="GX7" i="178" s="1"/>
  <c r="HL13" i="178" s="1"/>
  <c r="UC8" i="178"/>
  <c r="UP3" i="178"/>
  <c r="UC7" i="178"/>
  <c r="VF3" i="178"/>
  <c r="VI3" i="178" s="1"/>
  <c r="VK3" i="178" s="1"/>
  <c r="VL3" i="178" s="1"/>
  <c r="VF10" i="178"/>
  <c r="UM13" i="178"/>
  <c r="UK17" i="178" s="1"/>
  <c r="I7" i="188"/>
  <c r="J7" i="188" s="1"/>
  <c r="G8" i="188"/>
  <c r="C8" i="188"/>
  <c r="TP13" i="178"/>
  <c r="TN13" i="178"/>
  <c r="TM18" i="178"/>
  <c r="TO18" i="178" s="1"/>
  <c r="TM17" i="178"/>
  <c r="GN9" i="178"/>
  <c r="GO9" i="178" s="1"/>
  <c r="GP9" i="178" s="1"/>
  <c r="HL15" i="178" s="1"/>
  <c r="NS3" i="178"/>
  <c r="NT3" i="178" s="1"/>
  <c r="NO17" i="178"/>
  <c r="NP14" i="178"/>
  <c r="NM15" i="178"/>
  <c r="NO15" i="178" s="1"/>
  <c r="NP15" i="178" s="1"/>
  <c r="NQ9" i="178"/>
  <c r="NP4" i="178"/>
  <c r="NQ4" i="178" s="1"/>
  <c r="NM5" i="178"/>
  <c r="NR11" i="178"/>
  <c r="NM11" i="178"/>
  <c r="NR12" i="178"/>
  <c r="NQ10" i="178"/>
  <c r="NR10" i="178"/>
  <c r="B3" i="180"/>
  <c r="JO8" i="178"/>
  <c r="AB3" i="149" s="1"/>
  <c r="D102" i="176"/>
  <c r="C102" i="176" s="1"/>
  <c r="AAW51" i="178"/>
  <c r="AAW55" i="178"/>
  <c r="AAW61" i="178"/>
  <c r="AAW58" i="178"/>
  <c r="AAW57" i="178"/>
  <c r="AAW54" i="178"/>
  <c r="AAW60" i="178"/>
  <c r="AAW62" i="178"/>
  <c r="AAW53" i="178"/>
  <c r="AAW59" i="178"/>
  <c r="AAW52" i="178"/>
  <c r="AAW56" i="178"/>
  <c r="OK39" i="178"/>
  <c r="OL39" i="178" s="1"/>
  <c r="ON6" i="178" s="1"/>
  <c r="OO6" i="178" s="1"/>
  <c r="OE60" i="178"/>
  <c r="OE62" i="178"/>
  <c r="OE55" i="178"/>
  <c r="OE58" i="178"/>
  <c r="OE59" i="178"/>
  <c r="OE53" i="178"/>
  <c r="OE54" i="178"/>
  <c r="OE56" i="178"/>
  <c r="OE51" i="178"/>
  <c r="OE57" i="178"/>
  <c r="OE52" i="178"/>
  <c r="OE61" i="178"/>
  <c r="D92" i="176"/>
  <c r="HL5" i="178"/>
  <c r="A5" i="149"/>
  <c r="DQ10" i="178"/>
  <c r="D17" i="176"/>
  <c r="DQ17" i="178"/>
  <c r="DQ18" i="178"/>
  <c r="GJ12" i="178"/>
  <c r="GJ11" i="178"/>
  <c r="DZ36" i="178"/>
  <c r="EA36" i="178" s="1"/>
  <c r="EB36" i="178" s="1"/>
  <c r="EB37" i="178" s="1"/>
  <c r="EC37" i="178" s="1"/>
  <c r="DZ29" i="178"/>
  <c r="EA29" i="178" s="1"/>
  <c r="EB29" i="178" s="1"/>
  <c r="EB30" i="178" s="1"/>
  <c r="EC30" i="178" s="1"/>
  <c r="UB14" i="178"/>
  <c r="TY15" i="178"/>
  <c r="UA15" i="178" s="1"/>
  <c r="UB15" i="178" s="1"/>
  <c r="UB4" i="178"/>
  <c r="UC4" i="178" s="1"/>
  <c r="TY5" i="178"/>
  <c r="TA18" i="178"/>
  <c r="TC18" i="178" s="1"/>
  <c r="TF18" i="178"/>
  <c r="TF19" i="178"/>
  <c r="UA17" i="178"/>
  <c r="TY21" i="178" s="1"/>
  <c r="TC24" i="178"/>
  <c r="TA28" i="178" s="1"/>
  <c r="UC10" i="178"/>
  <c r="TD21" i="178"/>
  <c r="TA22" i="178"/>
  <c r="TC22" i="178" s="1"/>
  <c r="TD22" i="178" s="1"/>
  <c r="TY11" i="178"/>
  <c r="UD12" i="178"/>
  <c r="UD11" i="178"/>
  <c r="TE17" i="178"/>
  <c r="TF17" i="178"/>
  <c r="GG11" i="178"/>
  <c r="GH11" i="178" s="1"/>
  <c r="HL17" i="178" s="1"/>
  <c r="DZ40" i="178"/>
  <c r="DZ41" i="178" s="1"/>
  <c r="DY41" i="178" s="1"/>
  <c r="DY52" i="178"/>
  <c r="EA52" i="178"/>
  <c r="EC52" i="178" s="1"/>
  <c r="DX59" i="178"/>
  <c r="EA46" i="178"/>
  <c r="EB46" i="178" s="1"/>
  <c r="EC46" i="178" s="1"/>
  <c r="D45" i="176" s="1"/>
  <c r="DX47" i="178"/>
  <c r="D13" i="176"/>
  <c r="BE22" i="153"/>
  <c r="BF22" i="153"/>
  <c r="BG7" i="153"/>
  <c r="BD22" i="153"/>
  <c r="BG20" i="153"/>
  <c r="BC22" i="153"/>
  <c r="BG16" i="153"/>
  <c r="BG19" i="153"/>
  <c r="BG10" i="153"/>
  <c r="BG4" i="153"/>
  <c r="BB22" i="153"/>
  <c r="BG21" i="153"/>
  <c r="N13" i="175"/>
  <c r="J2441" i="5"/>
  <c r="J2442" i="5"/>
  <c r="J2443" i="5"/>
  <c r="J2444" i="5"/>
  <c r="J2445" i="5"/>
  <c r="J2446" i="5"/>
  <c r="J2447" i="5"/>
  <c r="J2448" i="5"/>
  <c r="J2449" i="5"/>
  <c r="J2450" i="5"/>
  <c r="J2451" i="5"/>
  <c r="J2452" i="5"/>
  <c r="J2453" i="5"/>
  <c r="J2454" i="5"/>
  <c r="J2455" i="5"/>
  <c r="J2456" i="5"/>
  <c r="J2457" i="5"/>
  <c r="J2458" i="5"/>
  <c r="J2459" i="5"/>
  <c r="J2460" i="5"/>
  <c r="J2461" i="5"/>
  <c r="J2462" i="5"/>
  <c r="J2463" i="5"/>
  <c r="J2464" i="5"/>
  <c r="J2465" i="5"/>
  <c r="J2466" i="5"/>
  <c r="J2467" i="5"/>
  <c r="J2468" i="5"/>
  <c r="J2469" i="5"/>
  <c r="J2470" i="5"/>
  <c r="J2471" i="5"/>
  <c r="J2472" i="5"/>
  <c r="J2473" i="5"/>
  <c r="J2474" i="5"/>
  <c r="AA2441" i="5"/>
  <c r="AA2442" i="5"/>
  <c r="AA2443" i="5"/>
  <c r="AA2444" i="5"/>
  <c r="AA2445" i="5"/>
  <c r="AA2446" i="5"/>
  <c r="AA2447" i="5"/>
  <c r="AA2448" i="5"/>
  <c r="AA2449" i="5"/>
  <c r="AA2450" i="5"/>
  <c r="AA2451" i="5"/>
  <c r="AA2452" i="5"/>
  <c r="AA2453" i="5"/>
  <c r="AA2454" i="5"/>
  <c r="AA2455" i="5"/>
  <c r="AA2456" i="5"/>
  <c r="C90" i="169" s="1"/>
  <c r="D90" i="169" s="1"/>
  <c r="E90" i="169" s="1"/>
  <c r="F90" i="169" s="1"/>
  <c r="AA2457" i="5"/>
  <c r="AA2458" i="5"/>
  <c r="AA2459" i="5"/>
  <c r="AA2460" i="5"/>
  <c r="AA2461" i="5"/>
  <c r="AA2462" i="5"/>
  <c r="AA2463" i="5"/>
  <c r="AA2464" i="5"/>
  <c r="AA2465" i="5"/>
  <c r="AA2466" i="5"/>
  <c r="AA2467" i="5"/>
  <c r="AA2468" i="5"/>
  <c r="AA2469" i="5"/>
  <c r="AA2470" i="5"/>
  <c r="AA2471" i="5"/>
  <c r="AA2472" i="5"/>
  <c r="AA2473" i="5"/>
  <c r="AA2474" i="5"/>
  <c r="R2441" i="5"/>
  <c r="R2442" i="5"/>
  <c r="R2443" i="5"/>
  <c r="R2444" i="5"/>
  <c r="R2445" i="5"/>
  <c r="R2446" i="5"/>
  <c r="R2447" i="5"/>
  <c r="R2448" i="5"/>
  <c r="R2449" i="5"/>
  <c r="R2450" i="5"/>
  <c r="R2451" i="5"/>
  <c r="R2452" i="5"/>
  <c r="R2453" i="5"/>
  <c r="R2454" i="5"/>
  <c r="R2455" i="5"/>
  <c r="R2456" i="5"/>
  <c r="R2457" i="5"/>
  <c r="R2458" i="5"/>
  <c r="R2459" i="5"/>
  <c r="R2460" i="5"/>
  <c r="R2461" i="5"/>
  <c r="R2462" i="5"/>
  <c r="R2463" i="5"/>
  <c r="R2464" i="5"/>
  <c r="R2465" i="5"/>
  <c r="R2466" i="5"/>
  <c r="R2467" i="5"/>
  <c r="R2468" i="5"/>
  <c r="R2469" i="5"/>
  <c r="R2470" i="5"/>
  <c r="R2471" i="5"/>
  <c r="R2472" i="5"/>
  <c r="R2473" i="5"/>
  <c r="R2474" i="5"/>
  <c r="MJ3" i="178" l="1"/>
  <c r="MK3" i="178" s="1"/>
  <c r="MW3" i="178" s="1"/>
  <c r="D103" i="176" s="1"/>
  <c r="TS3" i="178"/>
  <c r="PD4" i="178"/>
  <c r="RB10" i="178" s="1"/>
  <c r="RB3" i="178"/>
  <c r="PF5" i="178"/>
  <c r="PH5" i="178" s="1"/>
  <c r="PL5" i="178"/>
  <c r="PN5" i="178" s="1"/>
  <c r="OZ5" i="178"/>
  <c r="PB5" i="178" s="1"/>
  <c r="PC5" i="178" s="1"/>
  <c r="PP3" i="178"/>
  <c r="RB5" i="178" s="1"/>
  <c r="PJ3" i="178"/>
  <c r="RB4" i="178" s="1"/>
  <c r="RB11" i="178"/>
  <c r="OW6" i="178"/>
  <c r="OX6" i="178" s="1"/>
  <c r="OR7" i="178"/>
  <c r="OT7" i="178" s="1"/>
  <c r="OV7" i="178" s="1"/>
  <c r="OW7" i="178" s="1"/>
  <c r="OX7" i="178" s="1"/>
  <c r="PO4" i="178"/>
  <c r="MU3" i="178"/>
  <c r="MV3" i="178" s="1"/>
  <c r="MW6" i="178" s="1"/>
  <c r="UQ3" i="178"/>
  <c r="UY7" i="178"/>
  <c r="UW8" i="178" s="1"/>
  <c r="UY8" i="178" s="1"/>
  <c r="UZ8" i="178" s="1"/>
  <c r="UW10" i="178"/>
  <c r="UY10" i="178" s="1"/>
  <c r="TQ10" i="178"/>
  <c r="TQ11" i="178"/>
  <c r="UZ3" i="178"/>
  <c r="VA3" i="178" s="1"/>
  <c r="UX3" i="178"/>
  <c r="VB5" i="178" s="1"/>
  <c r="XT3" i="178"/>
  <c r="XU3" i="178" s="1"/>
  <c r="XQ4" i="178"/>
  <c r="A10" i="179"/>
  <c r="K9" i="149" s="1"/>
  <c r="J9" i="149" s="1"/>
  <c r="UN14" i="178"/>
  <c r="C9" i="179"/>
  <c r="M8" i="149" s="1"/>
  <c r="UP10" i="178"/>
  <c r="UP9" i="178"/>
  <c r="K4" i="180" s="1"/>
  <c r="C45" i="176"/>
  <c r="E45" i="176" s="1"/>
  <c r="C92" i="176"/>
  <c r="E92" i="176" s="1"/>
  <c r="VK5" i="178"/>
  <c r="VI9" i="178" s="1"/>
  <c r="VI6" i="178"/>
  <c r="VK6" i="178" s="1"/>
  <c r="UE3" i="178"/>
  <c r="UC9" i="178"/>
  <c r="UD9" i="178" s="1"/>
  <c r="L3" i="180" s="1"/>
  <c r="AEV7" i="178"/>
  <c r="AEW7" i="178" s="1"/>
  <c r="AEX7" i="178" s="1"/>
  <c r="AEP7" i="178"/>
  <c r="AEQ7" i="178" s="1"/>
  <c r="AER7" i="178" s="1"/>
  <c r="GR10" i="178"/>
  <c r="MM4" i="178"/>
  <c r="MM3" i="178"/>
  <c r="GR9" i="178"/>
  <c r="MQ4" i="178"/>
  <c r="MQ3" i="178"/>
  <c r="VI4" i="178"/>
  <c r="VK4" i="178" s="1"/>
  <c r="VL4" i="178" s="1"/>
  <c r="VM4" i="178" s="1"/>
  <c r="VM3" i="178"/>
  <c r="VR4" i="178"/>
  <c r="WD4" i="178"/>
  <c r="WC5" i="178" s="1"/>
  <c r="UL13" i="178"/>
  <c r="UN13" i="178"/>
  <c r="UK18" i="178"/>
  <c r="UM18" i="178" s="1"/>
  <c r="H8" i="188"/>
  <c r="D8" i="188"/>
  <c r="E8" i="188" s="1"/>
  <c r="B9" i="188"/>
  <c r="TQ13" i="178"/>
  <c r="TR13" i="178"/>
  <c r="TO17" i="178"/>
  <c r="TR14" i="178"/>
  <c r="TR15" i="178"/>
  <c r="TP18" i="178"/>
  <c r="TM19" i="178"/>
  <c r="TO19" i="178" s="1"/>
  <c r="TP19" i="178" s="1"/>
  <c r="NO5" i="178"/>
  <c r="NO6" i="178" s="1"/>
  <c r="NN6" i="178" s="1"/>
  <c r="NR9" i="178" s="1"/>
  <c r="NQ5" i="178"/>
  <c r="NN17" i="178"/>
  <c r="NP17" i="178"/>
  <c r="NM24" i="178"/>
  <c r="NM21" i="178"/>
  <c r="NO21" i="178" s="1"/>
  <c r="NO11" i="178"/>
  <c r="NQ15" i="178"/>
  <c r="NQ14" i="178"/>
  <c r="B6" i="179"/>
  <c r="L5" i="149" s="1"/>
  <c r="D32" i="176"/>
  <c r="C32" i="176" s="1"/>
  <c r="AAX51" i="178"/>
  <c r="AAY51" i="178" s="1"/>
  <c r="ABA51" i="178" s="1"/>
  <c r="ABB7" i="178" s="1"/>
  <c r="OF51" i="178"/>
  <c r="OH51" i="178" s="1"/>
  <c r="P3" i="180"/>
  <c r="ED7" i="178"/>
  <c r="E7" i="179" s="1"/>
  <c r="B7" i="179"/>
  <c r="L6" i="149" s="1"/>
  <c r="D36" i="176"/>
  <c r="ED6" i="178"/>
  <c r="E6" i="179" s="1"/>
  <c r="DX42" i="178"/>
  <c r="TE21" i="178"/>
  <c r="TZ17" i="178"/>
  <c r="UB17" i="178"/>
  <c r="TY24" i="178"/>
  <c r="UA21" i="178"/>
  <c r="UA5" i="178"/>
  <c r="UA6" i="178" s="1"/>
  <c r="TZ6" i="178" s="1"/>
  <c r="UC5" i="178"/>
  <c r="TG5" i="178"/>
  <c r="TE22" i="178"/>
  <c r="UA11" i="178"/>
  <c r="UC15" i="178"/>
  <c r="UC14" i="178"/>
  <c r="TB24" i="178"/>
  <c r="TD24" i="178"/>
  <c r="TC28" i="178"/>
  <c r="TA31" i="178"/>
  <c r="TD18" i="178"/>
  <c r="TE18" i="178" s="1"/>
  <c r="TA19" i="178"/>
  <c r="GK11" i="178"/>
  <c r="GL11" i="178" s="1"/>
  <c r="D47" i="176"/>
  <c r="EB52" i="178"/>
  <c r="EC54" i="178"/>
  <c r="EC53" i="178"/>
  <c r="DX53" i="178"/>
  <c r="DZ53" i="178" s="1"/>
  <c r="EB47" i="178"/>
  <c r="EC47" i="178" s="1"/>
  <c r="DZ47" i="178"/>
  <c r="DZ48" i="178" s="1"/>
  <c r="DY48" i="178" s="1"/>
  <c r="DZ59" i="178"/>
  <c r="C89" i="169"/>
  <c r="D89" i="169" s="1"/>
  <c r="E89" i="169" s="1"/>
  <c r="F89" i="169" s="1"/>
  <c r="A5" i="177"/>
  <c r="A4" i="177"/>
  <c r="E12" i="176"/>
  <c r="E13" i="176"/>
  <c r="BG22" i="153"/>
  <c r="GJ12" i="175"/>
  <c r="GI12" i="175"/>
  <c r="GG12" i="175"/>
  <c r="GF12" i="175"/>
  <c r="GD12" i="175"/>
  <c r="GC12" i="175"/>
  <c r="GA12" i="175"/>
  <c r="FZ12" i="175"/>
  <c r="FX12" i="175"/>
  <c r="FW12" i="175"/>
  <c r="GJ6" i="175"/>
  <c r="GI6" i="175"/>
  <c r="GG6" i="175"/>
  <c r="GF6" i="175"/>
  <c r="GD6" i="175"/>
  <c r="GC6" i="175"/>
  <c r="GA6" i="175"/>
  <c r="FZ6" i="175"/>
  <c r="FX6" i="175"/>
  <c r="FW6" i="175"/>
  <c r="GJ5" i="175"/>
  <c r="GI5" i="175"/>
  <c r="GG5" i="175"/>
  <c r="GF5" i="175"/>
  <c r="GD5" i="175"/>
  <c r="GC5" i="175"/>
  <c r="GA5" i="175"/>
  <c r="FZ5" i="175"/>
  <c r="FX5" i="175"/>
  <c r="FW5" i="175"/>
  <c r="GJ4" i="175"/>
  <c r="GI4" i="175"/>
  <c r="GG4" i="175"/>
  <c r="GF4" i="175"/>
  <c r="GD4" i="175"/>
  <c r="GC4" i="175"/>
  <c r="GA4" i="175"/>
  <c r="FZ4" i="175"/>
  <c r="FX4" i="175"/>
  <c r="FW4" i="175"/>
  <c r="GJ3" i="175"/>
  <c r="GI3" i="175"/>
  <c r="GG3" i="175"/>
  <c r="GF3" i="175"/>
  <c r="GD3" i="175"/>
  <c r="GC3" i="175"/>
  <c r="GA3" i="175"/>
  <c r="FZ3" i="175"/>
  <c r="FX3" i="175"/>
  <c r="FW3" i="175"/>
  <c r="UE4" i="178" l="1"/>
  <c r="TS4" i="178"/>
  <c r="GL12" i="175"/>
  <c r="GL3" i="175"/>
  <c r="GL5" i="175"/>
  <c r="GL4" i="175"/>
  <c r="GL6" i="175"/>
  <c r="OZ6" i="178"/>
  <c r="PB6" i="178" s="1"/>
  <c r="PF6" i="178"/>
  <c r="PH6" i="178" s="1"/>
  <c r="PL6" i="178"/>
  <c r="PN6" i="178" s="1"/>
  <c r="PD5" i="178"/>
  <c r="RB17" i="178" s="1"/>
  <c r="PL7" i="178"/>
  <c r="PF7" i="178"/>
  <c r="PH7" i="178" s="1"/>
  <c r="OZ7" i="178"/>
  <c r="PB7" i="178" s="1"/>
  <c r="PC7" i="178" s="1"/>
  <c r="PD7" i="178" s="1"/>
  <c r="RB31" i="178" s="1"/>
  <c r="PP4" i="178"/>
  <c r="RB12" i="178" s="1"/>
  <c r="PO5" i="178"/>
  <c r="PP5" i="178" s="1"/>
  <c r="PI5" i="178"/>
  <c r="VB4" i="178"/>
  <c r="UW4" i="178"/>
  <c r="UY4" i="178" s="1"/>
  <c r="UZ7" i="178"/>
  <c r="VB3" i="178"/>
  <c r="TQ12" i="178"/>
  <c r="TR12" i="178" s="1"/>
  <c r="YE11" i="178"/>
  <c r="YE8" i="178"/>
  <c r="YE12" i="178"/>
  <c r="YE9" i="178"/>
  <c r="YE10" i="178"/>
  <c r="YE7" i="178"/>
  <c r="VQ10" i="178"/>
  <c r="VQ6" i="178"/>
  <c r="VQ12" i="178"/>
  <c r="VQ7" i="178"/>
  <c r="VQ3" i="178"/>
  <c r="VQ9" i="178"/>
  <c r="VQ5" i="178"/>
  <c r="VQ8" i="178"/>
  <c r="VQ11" i="178"/>
  <c r="XX3" i="178"/>
  <c r="XY3" i="178" s="1"/>
  <c r="F3" i="179" s="1"/>
  <c r="YE6" i="178"/>
  <c r="XS4" i="178"/>
  <c r="XO5" i="178" s="1"/>
  <c r="D46" i="176"/>
  <c r="C46" i="176" s="1"/>
  <c r="E46" i="176" s="1"/>
  <c r="D9" i="179"/>
  <c r="N8" i="149" s="1"/>
  <c r="UO10" i="178"/>
  <c r="UO11" i="178"/>
  <c r="NS4" i="178"/>
  <c r="NT4" i="178" s="1"/>
  <c r="C47" i="176"/>
  <c r="E47" i="176" s="1"/>
  <c r="C36" i="176"/>
  <c r="E36" i="176" s="1"/>
  <c r="VJ5" i="178"/>
  <c r="VN7" i="178" s="1"/>
  <c r="VI10" i="178"/>
  <c r="VK10" i="178" s="1"/>
  <c r="VL10" i="178" s="1"/>
  <c r="VK9" i="178"/>
  <c r="VI13" i="178" s="1"/>
  <c r="VL5" i="178"/>
  <c r="VN5" i="178" s="1"/>
  <c r="VL6" i="178"/>
  <c r="VI7" i="178"/>
  <c r="VK7" i="178" s="1"/>
  <c r="VL7" i="178" s="1"/>
  <c r="MR3" i="178"/>
  <c r="MS3" i="178" s="1"/>
  <c r="MW5" i="178" s="1"/>
  <c r="GS9" i="178"/>
  <c r="GT9" i="178" s="1"/>
  <c r="GV9" i="178" s="1"/>
  <c r="GW9" i="178" s="1"/>
  <c r="GX9" i="178" s="1"/>
  <c r="HL16" i="178" s="1"/>
  <c r="MN3" i="178"/>
  <c r="MO3" i="178" s="1"/>
  <c r="MW4" i="178" s="1"/>
  <c r="F11" i="149" s="1"/>
  <c r="YE5" i="178"/>
  <c r="NU3" i="178"/>
  <c r="NV3" i="178" s="1"/>
  <c r="VN3" i="178"/>
  <c r="WC12" i="178"/>
  <c r="WC11" i="178"/>
  <c r="WC3" i="178"/>
  <c r="WC16" i="178"/>
  <c r="WC10" i="178"/>
  <c r="WC14" i="178"/>
  <c r="WC6" i="178"/>
  <c r="WC15" i="178"/>
  <c r="UP14" i="178"/>
  <c r="UP15" i="178"/>
  <c r="UP13" i="178"/>
  <c r="UO13" i="178"/>
  <c r="UW17" i="178"/>
  <c r="UY17" i="178" s="1"/>
  <c r="UW21" i="178" s="1"/>
  <c r="UW14" i="178"/>
  <c r="UY14" i="178" s="1"/>
  <c r="UM17" i="178"/>
  <c r="UK21" i="178" s="1"/>
  <c r="UN18" i="178"/>
  <c r="UK19" i="178"/>
  <c r="UM19" i="178" s="1"/>
  <c r="UN19" i="178" s="1"/>
  <c r="C9" i="188"/>
  <c r="I8" i="188"/>
  <c r="J8" i="188" s="1"/>
  <c r="G9" i="188"/>
  <c r="TP17" i="178"/>
  <c r="TN17" i="178"/>
  <c r="TM22" i="178"/>
  <c r="TO22" i="178" s="1"/>
  <c r="TM21" i="178"/>
  <c r="TQ15" i="178"/>
  <c r="TQ14" i="178"/>
  <c r="TS5" i="178" s="1"/>
  <c r="H5" i="180"/>
  <c r="GN11" i="178"/>
  <c r="GO11" i="178" s="1"/>
  <c r="GP11" i="178" s="1"/>
  <c r="HL18" i="178" s="1"/>
  <c r="NQ17" i="178"/>
  <c r="NR17" i="178"/>
  <c r="NP11" i="178"/>
  <c r="NQ11" i="178" s="1"/>
  <c r="NM12" i="178"/>
  <c r="NR19" i="178"/>
  <c r="NM18" i="178"/>
  <c r="NR18" i="178"/>
  <c r="NQ16" i="178"/>
  <c r="NP21" i="178"/>
  <c r="NM22" i="178"/>
  <c r="NO22" i="178" s="1"/>
  <c r="NP22" i="178" s="1"/>
  <c r="NO24" i="178"/>
  <c r="AEL6" i="178"/>
  <c r="AK3" i="180" s="1"/>
  <c r="OJ51" i="178"/>
  <c r="OK51" i="178" s="1"/>
  <c r="OL51" i="178" s="1"/>
  <c r="ON7" i="178" s="1"/>
  <c r="OO7" i="178" s="1"/>
  <c r="TE23" i="178"/>
  <c r="TF23" i="178" s="1"/>
  <c r="D49" i="176"/>
  <c r="C10" i="179"/>
  <c r="M9" i="149" s="1"/>
  <c r="DX49" i="178"/>
  <c r="DZ49" i="178" s="1"/>
  <c r="D50" i="176"/>
  <c r="D10" i="179"/>
  <c r="N9" i="149" s="1"/>
  <c r="DZ42" i="178"/>
  <c r="TA25" i="178"/>
  <c r="TC25" i="178" s="1"/>
  <c r="UC17" i="178"/>
  <c r="UD17" i="178"/>
  <c r="UX10" i="178"/>
  <c r="UZ10" i="178"/>
  <c r="TC31" i="178"/>
  <c r="TA35" i="178" s="1"/>
  <c r="UB11" i="178"/>
  <c r="UC11" i="178" s="1"/>
  <c r="TY12" i="178"/>
  <c r="UD18" i="178"/>
  <c r="UD19" i="178"/>
  <c r="TY18" i="178"/>
  <c r="UA18" i="178" s="1"/>
  <c r="TD28" i="178"/>
  <c r="TA29" i="178"/>
  <c r="TC29" i="178" s="1"/>
  <c r="TD29" i="178" s="1"/>
  <c r="UC16" i="178"/>
  <c r="UD16" i="178" s="1"/>
  <c r="UB21" i="178"/>
  <c r="TY22" i="178"/>
  <c r="UA22" i="178" s="1"/>
  <c r="UB22" i="178" s="1"/>
  <c r="TC19" i="178"/>
  <c r="TC20" i="178" s="1"/>
  <c r="TB20" i="178" s="1"/>
  <c r="TE19" i="178"/>
  <c r="TE24" i="178"/>
  <c r="TF24" i="178"/>
  <c r="UA24" i="178"/>
  <c r="TY28" i="178" s="1"/>
  <c r="TD3" i="178"/>
  <c r="TF3" i="178" s="1"/>
  <c r="DY59" i="178"/>
  <c r="EA59" i="178"/>
  <c r="EC59" i="178" s="1"/>
  <c r="DX66" i="178"/>
  <c r="DX54" i="178"/>
  <c r="EA53" i="178"/>
  <c r="EB53" i="178" s="1"/>
  <c r="E14" i="176"/>
  <c r="GG13" i="175"/>
  <c r="GF13" i="175"/>
  <c r="GC13" i="175"/>
  <c r="GI13" i="175"/>
  <c r="GD13" i="175"/>
  <c r="GJ13" i="175"/>
  <c r="GE6" i="175"/>
  <c r="GK6" i="175"/>
  <c r="GB12" i="175"/>
  <c r="GB6" i="175"/>
  <c r="GH6" i="175"/>
  <c r="FY12" i="175"/>
  <c r="GE4" i="175"/>
  <c r="FY4" i="175"/>
  <c r="GK4" i="175"/>
  <c r="GB5" i="175"/>
  <c r="FY6" i="175"/>
  <c r="GH4" i="175"/>
  <c r="FY5" i="175"/>
  <c r="GE5" i="175"/>
  <c r="GK5" i="175"/>
  <c r="GK12" i="175"/>
  <c r="GH5" i="175"/>
  <c r="GH12" i="175"/>
  <c r="GE3" i="175"/>
  <c r="GE12" i="175"/>
  <c r="FZ13" i="175"/>
  <c r="GB4" i="175"/>
  <c r="GB3" i="175"/>
  <c r="FX13" i="175"/>
  <c r="GM6" i="175"/>
  <c r="GM12" i="175"/>
  <c r="GM5" i="175"/>
  <c r="FW13" i="175"/>
  <c r="FY13" i="175" s="1"/>
  <c r="GM4" i="175"/>
  <c r="FY3" i="175"/>
  <c r="GK3" i="175"/>
  <c r="GH3" i="175"/>
  <c r="GM3" i="175"/>
  <c r="GA13" i="175"/>
  <c r="FS12" i="175"/>
  <c r="FR12" i="175"/>
  <c r="FP12" i="175"/>
  <c r="FO12" i="175"/>
  <c r="FM12" i="175"/>
  <c r="FL12" i="175"/>
  <c r="FJ12" i="175"/>
  <c r="FI12" i="175"/>
  <c r="FG12" i="175"/>
  <c r="FF12" i="175"/>
  <c r="FS6" i="175"/>
  <c r="FR6" i="175"/>
  <c r="FP6" i="175"/>
  <c r="FO6" i="175"/>
  <c r="FM6" i="175"/>
  <c r="FL6" i="175"/>
  <c r="FJ6" i="175"/>
  <c r="FI6" i="175"/>
  <c r="FG6" i="175"/>
  <c r="FF6" i="175"/>
  <c r="FS5" i="175"/>
  <c r="FR5" i="175"/>
  <c r="FP5" i="175"/>
  <c r="FO5" i="175"/>
  <c r="FM5" i="175"/>
  <c r="FL5" i="175"/>
  <c r="FJ5" i="175"/>
  <c r="FI5" i="175"/>
  <c r="FG5" i="175"/>
  <c r="FF5" i="175"/>
  <c r="FS4" i="175"/>
  <c r="FR4" i="175"/>
  <c r="FP4" i="175"/>
  <c r="FO4" i="175"/>
  <c r="FM4" i="175"/>
  <c r="FL4" i="175"/>
  <c r="FJ4" i="175"/>
  <c r="FI4" i="175"/>
  <c r="FG4" i="175"/>
  <c r="FF4" i="175"/>
  <c r="FS3" i="175"/>
  <c r="FR3" i="175"/>
  <c r="FP3" i="175"/>
  <c r="FO3" i="175"/>
  <c r="FM3" i="175"/>
  <c r="FL3" i="175"/>
  <c r="FJ3" i="175"/>
  <c r="FI3" i="175"/>
  <c r="FG3" i="175"/>
  <c r="FF3" i="175"/>
  <c r="A11" i="179" l="1"/>
  <c r="K10" i="149" s="1"/>
  <c r="J10" i="149" s="1"/>
  <c r="GL13" i="175"/>
  <c r="VA8" i="178"/>
  <c r="UQ4" i="178"/>
  <c r="RB19" i="178"/>
  <c r="PN7" i="178"/>
  <c r="PO7" i="178" s="1"/>
  <c r="PP7" i="178" s="1"/>
  <c r="PJ5" i="178"/>
  <c r="RB18" i="178" s="1"/>
  <c r="PI7" i="178"/>
  <c r="PJ7" i="178" s="1"/>
  <c r="PI6" i="178"/>
  <c r="PJ6" i="178" s="1"/>
  <c r="PO6" i="178"/>
  <c r="PC6" i="178"/>
  <c r="PD6" i="178" s="1"/>
  <c r="RB24" i="178" s="1"/>
  <c r="VA7" i="178"/>
  <c r="N3" i="180"/>
  <c r="VR3" i="178"/>
  <c r="VU3" i="178" s="1"/>
  <c r="VW3" i="178" s="1"/>
  <c r="VU7" i="178" s="1"/>
  <c r="VW7" i="178" s="1"/>
  <c r="XT4" i="178"/>
  <c r="XU4" i="178" s="1"/>
  <c r="FM13" i="175"/>
  <c r="FU12" i="175"/>
  <c r="UO12" i="178"/>
  <c r="UP12" i="178" s="1"/>
  <c r="L4" i="180" s="1"/>
  <c r="C103" i="176"/>
  <c r="B17" i="149"/>
  <c r="C49" i="176"/>
  <c r="E49" i="176" s="1"/>
  <c r="C50" i="176"/>
  <c r="E50" i="176" s="1"/>
  <c r="VN6" i="178"/>
  <c r="VJ9" i="178"/>
  <c r="VL9" i="178"/>
  <c r="VM9" i="178" s="1"/>
  <c r="VI11" i="178"/>
  <c r="VK11" i="178" s="1"/>
  <c r="VL11" i="178" s="1"/>
  <c r="VK13" i="178"/>
  <c r="VI17" i="178" s="1"/>
  <c r="VI14" i="178"/>
  <c r="VK14" i="178" s="1"/>
  <c r="VL14" i="178" s="1"/>
  <c r="VM5" i="178"/>
  <c r="NX3" i="178"/>
  <c r="NZ3" i="178" s="1"/>
  <c r="OA3" i="178" s="1"/>
  <c r="D105" i="176"/>
  <c r="C105" i="176" s="1"/>
  <c r="YA3" i="178"/>
  <c r="YA4" i="178"/>
  <c r="YE3" i="178"/>
  <c r="YF3" i="178" s="1"/>
  <c r="WD14" i="178"/>
  <c r="K5" i="180"/>
  <c r="WD10" i="178"/>
  <c r="WG6" i="178" s="1"/>
  <c r="WP4" i="178"/>
  <c r="XB4" i="178"/>
  <c r="WD3" i="178"/>
  <c r="WG3" i="178" s="1"/>
  <c r="WI3" i="178" s="1"/>
  <c r="VM6" i="178"/>
  <c r="VM7" i="178"/>
  <c r="UN17" i="178"/>
  <c r="UL17" i="178"/>
  <c r="UK22" i="178"/>
  <c r="UM22" i="178" s="1"/>
  <c r="UO14" i="178"/>
  <c r="UO15" i="178"/>
  <c r="TQ16" i="178"/>
  <c r="TR16" i="178" s="1"/>
  <c r="I5" i="180" s="1"/>
  <c r="H9" i="188"/>
  <c r="D9" i="188"/>
  <c r="E9" i="188" s="1"/>
  <c r="B10" i="188"/>
  <c r="GR11" i="178"/>
  <c r="H3" i="180"/>
  <c r="TP22" i="178"/>
  <c r="TM23" i="178"/>
  <c r="TO23" i="178" s="1"/>
  <c r="TP23" i="178" s="1"/>
  <c r="TR19" i="178"/>
  <c r="TR18" i="178"/>
  <c r="TO21" i="178"/>
  <c r="GR12" i="178"/>
  <c r="TQ17" i="178"/>
  <c r="TR17" i="178"/>
  <c r="TS6" i="178" s="1"/>
  <c r="NO12" i="178"/>
  <c r="NO13" i="178" s="1"/>
  <c r="NN13" i="178" s="1"/>
  <c r="NR16" i="178" s="1"/>
  <c r="NQ12" i="178"/>
  <c r="NN24" i="178"/>
  <c r="NP24" i="178"/>
  <c r="NM28" i="178"/>
  <c r="NO28" i="178" s="1"/>
  <c r="NM31" i="178"/>
  <c r="NO18" i="178"/>
  <c r="NQ22" i="178"/>
  <c r="NQ21" i="178"/>
  <c r="UZ17" i="178"/>
  <c r="UX17" i="178"/>
  <c r="UY21" i="178"/>
  <c r="UW24" i="178"/>
  <c r="S3" i="180"/>
  <c r="UC21" i="178"/>
  <c r="EA49" i="178"/>
  <c r="EB49" i="178" s="1"/>
  <c r="DX50" i="178"/>
  <c r="EA42" i="178"/>
  <c r="EB42" i="178" s="1"/>
  <c r="DX43" i="178"/>
  <c r="TD25" i="178"/>
  <c r="TE25" i="178" s="1"/>
  <c r="TF25" i="178" s="1"/>
  <c r="TA26" i="178"/>
  <c r="TE3" i="178"/>
  <c r="TE29" i="178"/>
  <c r="TE28" i="178"/>
  <c r="UA12" i="178"/>
  <c r="UA13" i="178" s="1"/>
  <c r="TZ13" i="178" s="1"/>
  <c r="UC12" i="178"/>
  <c r="TB31" i="178"/>
  <c r="TD31" i="178"/>
  <c r="TA38" i="178"/>
  <c r="TC35" i="178"/>
  <c r="UZ14" i="178"/>
  <c r="UW15" i="178"/>
  <c r="UY15" i="178" s="1"/>
  <c r="UZ15" i="178" s="1"/>
  <c r="UB18" i="178"/>
  <c r="UC18" i="178" s="1"/>
  <c r="TY19" i="178"/>
  <c r="UC22" i="178"/>
  <c r="VB10" i="178"/>
  <c r="VA10" i="178"/>
  <c r="UZ4" i="178"/>
  <c r="VA4" i="178" s="1"/>
  <c r="UW5" i="178"/>
  <c r="TZ24" i="178"/>
  <c r="UB24" i="178"/>
  <c r="UA28" i="178"/>
  <c r="TY31" i="178"/>
  <c r="UW11" i="178"/>
  <c r="VB12" i="178"/>
  <c r="VB11" i="178"/>
  <c r="TA8" i="178"/>
  <c r="TF5" i="178"/>
  <c r="TA5" i="178"/>
  <c r="TE5" i="178" s="1"/>
  <c r="EB59" i="178"/>
  <c r="D51" i="176"/>
  <c r="EC60" i="178"/>
  <c r="EC61" i="178"/>
  <c r="DX60" i="178"/>
  <c r="DZ60" i="178" s="1"/>
  <c r="EB54" i="178"/>
  <c r="DZ54" i="178"/>
  <c r="DZ55" i="178" s="1"/>
  <c r="DY55" i="178" s="1"/>
  <c r="DZ66" i="178"/>
  <c r="FU4" i="175"/>
  <c r="FU5" i="175"/>
  <c r="FU6" i="175"/>
  <c r="FU3" i="175"/>
  <c r="FG13" i="175"/>
  <c r="FS13" i="175"/>
  <c r="GG14" i="175"/>
  <c r="GH13" i="175"/>
  <c r="GD14" i="175"/>
  <c r="GJ14" i="175"/>
  <c r="GE13" i="175"/>
  <c r="GA14" i="175"/>
  <c r="GK13" i="175"/>
  <c r="FX14" i="175"/>
  <c r="GM13" i="175"/>
  <c r="GB13" i="175"/>
  <c r="GM14" i="175"/>
  <c r="FR13" i="175"/>
  <c r="FT13" i="175" s="1"/>
  <c r="FP13" i="175"/>
  <c r="FO13" i="175"/>
  <c r="FT6" i="175"/>
  <c r="FN3" i="175"/>
  <c r="FH5" i="175"/>
  <c r="FN5" i="175"/>
  <c r="FT5" i="175"/>
  <c r="FH4" i="175"/>
  <c r="FH6" i="175"/>
  <c r="FN12" i="175"/>
  <c r="FT12" i="175"/>
  <c r="FT4" i="175"/>
  <c r="FQ5" i="175"/>
  <c r="FQ12" i="175"/>
  <c r="FN4" i="175"/>
  <c r="FK5" i="175"/>
  <c r="FK12" i="175"/>
  <c r="FJ13" i="175"/>
  <c r="FK6" i="175"/>
  <c r="FS14" i="175"/>
  <c r="FQ4" i="175"/>
  <c r="FQ6" i="175"/>
  <c r="FN6" i="175"/>
  <c r="FL13" i="175"/>
  <c r="FI13" i="175"/>
  <c r="FK4" i="175"/>
  <c r="FV12" i="175"/>
  <c r="FF13" i="175"/>
  <c r="FV4" i="175"/>
  <c r="FH12" i="175"/>
  <c r="FV5" i="175"/>
  <c r="FV6" i="175"/>
  <c r="FH3" i="175"/>
  <c r="FT3" i="175"/>
  <c r="FK3" i="175"/>
  <c r="FQ3" i="175"/>
  <c r="FV3" i="175"/>
  <c r="FB12" i="175"/>
  <c r="FA12" i="175"/>
  <c r="EY12" i="175"/>
  <c r="EX12" i="175"/>
  <c r="EV12" i="175"/>
  <c r="EU12" i="175"/>
  <c r="ES12" i="175"/>
  <c r="ER12" i="175"/>
  <c r="EP12" i="175"/>
  <c r="EO12" i="175"/>
  <c r="FB6" i="175"/>
  <c r="FA6" i="175"/>
  <c r="EY6" i="175"/>
  <c r="EX6" i="175"/>
  <c r="EV6" i="175"/>
  <c r="EU6" i="175"/>
  <c r="ES6" i="175"/>
  <c r="ER6" i="175"/>
  <c r="EP6" i="175"/>
  <c r="EO6" i="175"/>
  <c r="FB5" i="175"/>
  <c r="FA5" i="175"/>
  <c r="EY5" i="175"/>
  <c r="EX5" i="175"/>
  <c r="EV5" i="175"/>
  <c r="EU5" i="175"/>
  <c r="ES5" i="175"/>
  <c r="ER5" i="175"/>
  <c r="EP5" i="175"/>
  <c r="EO5" i="175"/>
  <c r="FB4" i="175"/>
  <c r="FA4" i="175"/>
  <c r="EY4" i="175"/>
  <c r="EX4" i="175"/>
  <c r="EV4" i="175"/>
  <c r="EU4" i="175"/>
  <c r="ES4" i="175"/>
  <c r="ER4" i="175"/>
  <c r="EP4" i="175"/>
  <c r="EO4" i="175"/>
  <c r="FB3" i="175"/>
  <c r="FA3" i="175"/>
  <c r="EY3" i="175"/>
  <c r="EX3" i="175"/>
  <c r="EV3" i="175"/>
  <c r="EU3" i="175"/>
  <c r="ES3" i="175"/>
  <c r="ER3" i="175"/>
  <c r="EP3" i="175"/>
  <c r="EO3" i="175"/>
  <c r="UE5" i="178" l="1"/>
  <c r="NS5" i="178"/>
  <c r="NT5" i="178" s="1"/>
  <c r="B18" i="149"/>
  <c r="TG6" i="178"/>
  <c r="VU10" i="178"/>
  <c r="VW10" i="178" s="1"/>
  <c r="VC3" i="178"/>
  <c r="VA9" i="178"/>
  <c r="VB9" i="178" s="1"/>
  <c r="RB25" i="178"/>
  <c r="RB33" i="178"/>
  <c r="RB32" i="178"/>
  <c r="PP6" i="178"/>
  <c r="RB26" i="178" s="1"/>
  <c r="VX3" i="178"/>
  <c r="VZ3" i="178" s="1"/>
  <c r="VV3" i="178"/>
  <c r="VU4" i="178" s="1"/>
  <c r="VW4" i="178" s="1"/>
  <c r="VU5" i="178" s="1"/>
  <c r="VY5" i="178" s="1"/>
  <c r="WO10" i="178"/>
  <c r="WO6" i="178"/>
  <c r="WO8" i="178"/>
  <c r="WO11" i="178"/>
  <c r="WO7" i="178"/>
  <c r="WO9" i="178"/>
  <c r="WO5" i="178"/>
  <c r="WO12" i="178"/>
  <c r="WO3" i="178"/>
  <c r="YQ10" i="178"/>
  <c r="YQ12" i="178"/>
  <c r="YQ7" i="178"/>
  <c r="YQ11" i="178"/>
  <c r="YQ8" i="178"/>
  <c r="YQ9" i="178"/>
  <c r="XX4" i="178"/>
  <c r="XY4" i="178" s="1"/>
  <c r="L3" i="179" s="1"/>
  <c r="FN13" i="175"/>
  <c r="YQ6" i="178"/>
  <c r="YQ5" i="178"/>
  <c r="YI3" i="178"/>
  <c r="YK3" i="178" s="1"/>
  <c r="XQ5" i="178"/>
  <c r="UQ5" i="178"/>
  <c r="FD4" i="175"/>
  <c r="WG5" i="178"/>
  <c r="WI6" i="178"/>
  <c r="H6" i="149"/>
  <c r="VI18" i="178"/>
  <c r="VK18" i="178" s="1"/>
  <c r="VL18" i="178" s="1"/>
  <c r="VN9" i="178"/>
  <c r="N4" i="180" s="1"/>
  <c r="VL13" i="178"/>
  <c r="VN13" i="178" s="1"/>
  <c r="C51" i="176"/>
  <c r="E51" i="176" s="1"/>
  <c r="VJ13" i="178"/>
  <c r="VN14" i="178" s="1"/>
  <c r="VI15" i="178"/>
  <c r="VK15" i="178" s="1"/>
  <c r="VL15" i="178" s="1"/>
  <c r="VN11" i="178"/>
  <c r="VN10" i="178"/>
  <c r="VO3" i="178"/>
  <c r="YB3" i="178"/>
  <c r="YC3" i="178" s="1"/>
  <c r="OB3" i="178"/>
  <c r="K23" i="149" s="1"/>
  <c r="GS11" i="178"/>
  <c r="GT11" i="178" s="1"/>
  <c r="GV11" i="178" s="1"/>
  <c r="GW11" i="178" s="1"/>
  <c r="GX11" i="178" s="1"/>
  <c r="HL19" i="178" s="1"/>
  <c r="XA15" i="178"/>
  <c r="XA11" i="178"/>
  <c r="XA14" i="178"/>
  <c r="XA16" i="178"/>
  <c r="XA12" i="178"/>
  <c r="XA5" i="178"/>
  <c r="XA10" i="178"/>
  <c r="XA3" i="178"/>
  <c r="XA6" i="178"/>
  <c r="WJ3" i="178"/>
  <c r="WK3" i="178" s="1"/>
  <c r="WG4" i="178"/>
  <c r="WI4" i="178" s="1"/>
  <c r="WJ4" i="178" s="1"/>
  <c r="WK4" i="178" s="1"/>
  <c r="UO16" i="178"/>
  <c r="UP16" i="178" s="1"/>
  <c r="VM8" i="178"/>
  <c r="VN8" i="178" s="1"/>
  <c r="VK17" i="178"/>
  <c r="VI21" i="178" s="1"/>
  <c r="UP19" i="178"/>
  <c r="UP18" i="178"/>
  <c r="UP17" i="178"/>
  <c r="UO17" i="178"/>
  <c r="VB16" i="178"/>
  <c r="VC4" i="178"/>
  <c r="UM21" i="178"/>
  <c r="UK25" i="178" s="1"/>
  <c r="UN22" i="178"/>
  <c r="UK23" i="178"/>
  <c r="UM23" i="178" s="1"/>
  <c r="UN23" i="178" s="1"/>
  <c r="C10" i="188"/>
  <c r="I9" i="188"/>
  <c r="J9" i="188" s="1"/>
  <c r="G10" i="188"/>
  <c r="H6" i="180"/>
  <c r="TQ19" i="178"/>
  <c r="TQ18" i="178"/>
  <c r="TP21" i="178"/>
  <c r="TN21" i="178"/>
  <c r="TM26" i="178"/>
  <c r="TO26" i="178" s="1"/>
  <c r="TM25" i="178"/>
  <c r="NQ24" i="178"/>
  <c r="NR24" i="178"/>
  <c r="NP18" i="178"/>
  <c r="NQ18" i="178" s="1"/>
  <c r="NM19" i="178"/>
  <c r="NR26" i="178"/>
  <c r="NR25" i="178"/>
  <c r="NM25" i="178"/>
  <c r="NQ23" i="178"/>
  <c r="NO31" i="178"/>
  <c r="NP28" i="178"/>
  <c r="NM29" i="178"/>
  <c r="NO29" i="178" s="1"/>
  <c r="NP29" i="178" s="1"/>
  <c r="AEL7" i="178"/>
  <c r="AP3" i="180" s="1"/>
  <c r="UY24" i="178"/>
  <c r="UW28" i="178" s="1"/>
  <c r="UZ21" i="178"/>
  <c r="UW22" i="178"/>
  <c r="UY22" i="178" s="1"/>
  <c r="UZ22" i="178" s="1"/>
  <c r="VB19" i="178"/>
  <c r="VB18" i="178"/>
  <c r="UW18" i="178"/>
  <c r="UY18" i="178" s="1"/>
  <c r="VA17" i="178"/>
  <c r="VB17" i="178"/>
  <c r="VX7" i="178"/>
  <c r="VU8" i="178"/>
  <c r="UC23" i="178"/>
  <c r="UD23" i="178" s="1"/>
  <c r="DX56" i="178"/>
  <c r="DZ56" i="178" s="1"/>
  <c r="DZ43" i="178"/>
  <c r="EA43" i="178" s="1"/>
  <c r="EB43" i="178" s="1"/>
  <c r="EB44" i="178" s="1"/>
  <c r="EC44" i="178" s="1"/>
  <c r="D53" i="176"/>
  <c r="C11" i="179"/>
  <c r="M10" i="149" s="1"/>
  <c r="DZ50" i="178"/>
  <c r="EA50" i="178" s="1"/>
  <c r="EB50" i="178" s="1"/>
  <c r="EB51" i="178" s="1"/>
  <c r="EC51" i="178" s="1"/>
  <c r="D54" i="176"/>
  <c r="D11" i="179"/>
  <c r="N10" i="149" s="1"/>
  <c r="UD24" i="178"/>
  <c r="UC24" i="178"/>
  <c r="TC38" i="178"/>
  <c r="TA42" i="178" s="1"/>
  <c r="UY11" i="178"/>
  <c r="UD26" i="178"/>
  <c r="UD25" i="178"/>
  <c r="TY25" i="178"/>
  <c r="UA25" i="178" s="1"/>
  <c r="VA14" i="178"/>
  <c r="VA15" i="178"/>
  <c r="TF31" i="178"/>
  <c r="TF37" i="178" s="1"/>
  <c r="TE31" i="178"/>
  <c r="TC8" i="178"/>
  <c r="TD8" i="178" s="1"/>
  <c r="TE8" i="178" s="1"/>
  <c r="UA31" i="178"/>
  <c r="TY35" i="178" s="1"/>
  <c r="UY5" i="178"/>
  <c r="UY6" i="178" s="1"/>
  <c r="VA5" i="178"/>
  <c r="TF33" i="178"/>
  <c r="TF32" i="178"/>
  <c r="TA32" i="178"/>
  <c r="TC32" i="178" s="1"/>
  <c r="TE30" i="178"/>
  <c r="TF30" i="178" s="1"/>
  <c r="TC26" i="178"/>
  <c r="TC27" i="178" s="1"/>
  <c r="TB27" i="178" s="1"/>
  <c r="TE26" i="178"/>
  <c r="TF26" i="178" s="1"/>
  <c r="UB28" i="178"/>
  <c r="TY29" i="178"/>
  <c r="UA29" i="178" s="1"/>
  <c r="UB29" i="178" s="1"/>
  <c r="UA19" i="178"/>
  <c r="UA20" i="178" s="1"/>
  <c r="TZ20" i="178" s="1"/>
  <c r="UC19" i="178"/>
  <c r="TD35" i="178"/>
  <c r="TA36" i="178"/>
  <c r="TC36" i="178" s="1"/>
  <c r="TD36" i="178" s="1"/>
  <c r="TD7" i="178"/>
  <c r="TE7" i="178" s="1"/>
  <c r="TD4" i="178"/>
  <c r="TE4" i="178" s="1"/>
  <c r="TD10" i="178"/>
  <c r="TA15" i="178"/>
  <c r="TC15" i="178" s="1"/>
  <c r="EA60" i="178"/>
  <c r="EB60" i="178" s="1"/>
  <c r="DX61" i="178"/>
  <c r="DY66" i="178"/>
  <c r="EA66" i="178"/>
  <c r="EC66" i="178" s="1"/>
  <c r="DX73" i="178"/>
  <c r="ED13" i="178" s="1"/>
  <c r="E13" i="179" s="1"/>
  <c r="FU13" i="175"/>
  <c r="FD5" i="175"/>
  <c r="FD12" i="175"/>
  <c r="FD6" i="175"/>
  <c r="FD3" i="175"/>
  <c r="FE3" i="175"/>
  <c r="FH13" i="175"/>
  <c r="FQ13" i="175"/>
  <c r="FP14" i="175"/>
  <c r="FG14" i="175"/>
  <c r="FK13" i="175"/>
  <c r="FM14" i="175"/>
  <c r="FV14" i="175"/>
  <c r="FV13" i="175"/>
  <c r="FJ14" i="175"/>
  <c r="EU13" i="175"/>
  <c r="FA13" i="175"/>
  <c r="EP13" i="175"/>
  <c r="EV13" i="175"/>
  <c r="FB13" i="175"/>
  <c r="EO13" i="175"/>
  <c r="EX13" i="175"/>
  <c r="EY13" i="175"/>
  <c r="ER13" i="175"/>
  <c r="EZ4" i="175"/>
  <c r="EQ5" i="175"/>
  <c r="EW5" i="175"/>
  <c r="EZ6" i="175"/>
  <c r="ET3" i="175"/>
  <c r="EQ4" i="175"/>
  <c r="EW4" i="175"/>
  <c r="FC4" i="175"/>
  <c r="EZ5" i="175"/>
  <c r="EQ6" i="175"/>
  <c r="EW6" i="175"/>
  <c r="FC6" i="175"/>
  <c r="EZ12" i="175"/>
  <c r="FC12" i="175"/>
  <c r="FC5" i="175"/>
  <c r="EW3" i="175"/>
  <c r="EW12" i="175"/>
  <c r="ET4" i="175"/>
  <c r="ET12" i="175"/>
  <c r="ET6" i="175"/>
  <c r="ET5" i="175"/>
  <c r="FE12" i="175"/>
  <c r="FE6" i="175"/>
  <c r="FE5" i="175"/>
  <c r="FE4" i="175"/>
  <c r="EQ12" i="175"/>
  <c r="EQ3" i="175"/>
  <c r="FC3" i="175"/>
  <c r="EZ3" i="175"/>
  <c r="ES13" i="175"/>
  <c r="F48" i="149" l="1"/>
  <c r="F15" i="149"/>
  <c r="F16" i="149"/>
  <c r="A12" i="179"/>
  <c r="K11" i="149" s="1"/>
  <c r="J11" i="149" s="1"/>
  <c r="L5" i="180"/>
  <c r="O3" i="180"/>
  <c r="VZ5" i="178"/>
  <c r="VZ4" i="178"/>
  <c r="VY3" i="178"/>
  <c r="WP3" i="178"/>
  <c r="WS3" i="178" s="1"/>
  <c r="WU3" i="178" s="1"/>
  <c r="WS7" i="178" s="1"/>
  <c r="YJ3" i="178"/>
  <c r="YL3" i="178"/>
  <c r="YN3" i="178" s="1"/>
  <c r="G3" i="179" s="1"/>
  <c r="YI10" i="178"/>
  <c r="YK10" i="178" s="1"/>
  <c r="YJ10" i="178" s="1"/>
  <c r="YI11" i="178" s="1"/>
  <c r="YK11" i="178" s="1"/>
  <c r="XS5" i="178"/>
  <c r="WJ6" i="178"/>
  <c r="WG7" i="178"/>
  <c r="WI7" i="178" s="1"/>
  <c r="WJ7" i="178" s="1"/>
  <c r="WI5" i="178"/>
  <c r="WG9" i="178" s="1"/>
  <c r="VI19" i="178"/>
  <c r="VK19" i="178" s="1"/>
  <c r="VL19" i="178" s="1"/>
  <c r="H5" i="149"/>
  <c r="VM13" i="178"/>
  <c r="VM11" i="178"/>
  <c r="C53" i="176"/>
  <c r="E53" i="176" s="1"/>
  <c r="C54" i="176"/>
  <c r="E54" i="176" s="1"/>
  <c r="N5" i="180"/>
  <c r="VM10" i="178"/>
  <c r="VN15" i="178"/>
  <c r="B9" i="179"/>
  <c r="L8" i="149" s="1"/>
  <c r="D44" i="176"/>
  <c r="ED9" i="178"/>
  <c r="E9" i="179" s="1"/>
  <c r="K6" i="180"/>
  <c r="XB3" i="178"/>
  <c r="XE3" i="178" s="1"/>
  <c r="XG3" i="178" s="1"/>
  <c r="XH3" i="178" s="1"/>
  <c r="XI3" i="178" s="1"/>
  <c r="XB10" i="178"/>
  <c r="XE6" i="178" s="1"/>
  <c r="XG6" i="178" s="1"/>
  <c r="XB14" i="178"/>
  <c r="XE5" i="178" s="1"/>
  <c r="XG5" i="178" s="1"/>
  <c r="XE10" i="178" s="1"/>
  <c r="XG10" i="178" s="1"/>
  <c r="WL3" i="178"/>
  <c r="VO5" i="178"/>
  <c r="VM14" i="178"/>
  <c r="VM15" i="178"/>
  <c r="VL17" i="178"/>
  <c r="VJ17" i="178"/>
  <c r="VI22" i="178"/>
  <c r="VK22" i="178" s="1"/>
  <c r="UX6" i="178"/>
  <c r="UO19" i="178"/>
  <c r="UO18" i="178"/>
  <c r="UQ6" i="178"/>
  <c r="UL21" i="178"/>
  <c r="UN21" i="178"/>
  <c r="UK26" i="178"/>
  <c r="UM26" i="178" s="1"/>
  <c r="VU17" i="178"/>
  <c r="VW17" i="178" s="1"/>
  <c r="VU21" i="178" s="1"/>
  <c r="VU14" i="178"/>
  <c r="VW14" i="178" s="1"/>
  <c r="VX14" i="178" s="1"/>
  <c r="H10" i="188"/>
  <c r="D10" i="188"/>
  <c r="E10" i="188" s="1"/>
  <c r="B11" i="188"/>
  <c r="TP26" i="178"/>
  <c r="TM27" i="178"/>
  <c r="TO27" i="178" s="1"/>
  <c r="TP27" i="178" s="1"/>
  <c r="TR22" i="178"/>
  <c r="TR23" i="178"/>
  <c r="TR21" i="178"/>
  <c r="TS7" i="178" s="1"/>
  <c r="TQ21" i="178"/>
  <c r="TO25" i="178"/>
  <c r="TQ20" i="178"/>
  <c r="TR20" i="178" s="1"/>
  <c r="I6" i="180" s="1"/>
  <c r="NO19" i="178"/>
  <c r="NO20" i="178" s="1"/>
  <c r="NN20" i="178" s="1"/>
  <c r="NR23" i="178" s="1"/>
  <c r="NQ19" i="178"/>
  <c r="NO25" i="178"/>
  <c r="NP31" i="178"/>
  <c r="NN31" i="178"/>
  <c r="NM38" i="178"/>
  <c r="NM35" i="178"/>
  <c r="NO35" i="178" s="1"/>
  <c r="NQ29" i="178"/>
  <c r="NS6" i="178"/>
  <c r="NT6" i="178" s="1"/>
  <c r="NQ28" i="178"/>
  <c r="UZ18" i="178"/>
  <c r="VA18" i="178" s="1"/>
  <c r="UW19" i="178"/>
  <c r="VA21" i="178"/>
  <c r="VA22" i="178"/>
  <c r="UZ24" i="178"/>
  <c r="UX24" i="178"/>
  <c r="UW31" i="178"/>
  <c r="UY28" i="178"/>
  <c r="VW8" i="178"/>
  <c r="VX8" i="178" s="1"/>
  <c r="VY8" i="178" s="1"/>
  <c r="Q3" i="180"/>
  <c r="VY7" i="178"/>
  <c r="TG7" i="178"/>
  <c r="VV10" i="178"/>
  <c r="VX10" i="178"/>
  <c r="VX4" i="178"/>
  <c r="VY4" i="178" s="1"/>
  <c r="D40" i="176"/>
  <c r="B8" i="179"/>
  <c r="L7" i="149" s="1"/>
  <c r="ED8" i="178"/>
  <c r="E8" i="179" s="1"/>
  <c r="VW5" i="178"/>
  <c r="DX57" i="178"/>
  <c r="EA56" i="178"/>
  <c r="EB56" i="178" s="1"/>
  <c r="TE35" i="178"/>
  <c r="UC28" i="178"/>
  <c r="TG3" i="178"/>
  <c r="TE36" i="178"/>
  <c r="UA35" i="178"/>
  <c r="TZ31" i="178"/>
  <c r="UB31" i="178"/>
  <c r="TY38" i="178"/>
  <c r="VA16" i="178"/>
  <c r="TF10" i="178"/>
  <c r="TE10" i="178"/>
  <c r="UB25" i="178"/>
  <c r="UC25" i="178" s="1"/>
  <c r="TY26" i="178"/>
  <c r="UZ11" i="178"/>
  <c r="VA11" i="178" s="1"/>
  <c r="UW12" i="178"/>
  <c r="TD38" i="178"/>
  <c r="TB38" i="178"/>
  <c r="TA45" i="178"/>
  <c r="TC42" i="178"/>
  <c r="TD32" i="178"/>
  <c r="TE32" i="178" s="1"/>
  <c r="TA33" i="178"/>
  <c r="UC29" i="178"/>
  <c r="TE9" i="178"/>
  <c r="TF9" i="178" s="1"/>
  <c r="TF12" i="178"/>
  <c r="TF11" i="178"/>
  <c r="TA12" i="178"/>
  <c r="TE12" i="178" s="1"/>
  <c r="TC5" i="178"/>
  <c r="TC6" i="178" s="1"/>
  <c r="TD14" i="178"/>
  <c r="TD15" i="178"/>
  <c r="EC67" i="178"/>
  <c r="EC68" i="178"/>
  <c r="DX67" i="178"/>
  <c r="DZ67" i="178" s="1"/>
  <c r="DZ61" i="178"/>
  <c r="DZ62" i="178" s="1"/>
  <c r="DY62" i="178" s="1"/>
  <c r="EB61" i="178"/>
  <c r="D55" i="176"/>
  <c r="EB66" i="178"/>
  <c r="DZ73" i="178"/>
  <c r="FD13" i="175"/>
  <c r="FE13" i="175"/>
  <c r="E16" i="176"/>
  <c r="FB14" i="175"/>
  <c r="EP14" i="175"/>
  <c r="EV14" i="175"/>
  <c r="FC13" i="175"/>
  <c r="EQ13" i="175"/>
  <c r="EW13" i="175"/>
  <c r="EY14" i="175"/>
  <c r="EZ13" i="175"/>
  <c r="ES14" i="175"/>
  <c r="FE14" i="175"/>
  <c r="ET13" i="175"/>
  <c r="UE6" i="178" l="1"/>
  <c r="WA3" i="178"/>
  <c r="XO6" i="178"/>
  <c r="XQ6" i="178" s="1"/>
  <c r="XS6" i="178" s="1"/>
  <c r="XO7" i="178" s="1"/>
  <c r="YM3" i="178"/>
  <c r="YL10" i="178"/>
  <c r="YN10" i="178" s="1"/>
  <c r="G4" i="179" s="1"/>
  <c r="YI17" i="178"/>
  <c r="YK17" i="178" s="1"/>
  <c r="YJ17" i="178" s="1"/>
  <c r="YI4" i="178"/>
  <c r="YK4" i="178" s="1"/>
  <c r="XT5" i="178"/>
  <c r="XU5" i="178" s="1"/>
  <c r="VO4" i="178"/>
  <c r="WJ5" i="178"/>
  <c r="WI9" i="178"/>
  <c r="WG13" i="178" s="1"/>
  <c r="WG10" i="178"/>
  <c r="WI10" i="178" s="1"/>
  <c r="WH5" i="178"/>
  <c r="VM12" i="178"/>
  <c r="VN12" i="178" s="1"/>
  <c r="O4" i="180" s="1"/>
  <c r="C55" i="176"/>
  <c r="E55" i="176" s="1"/>
  <c r="C40" i="176"/>
  <c r="E40" i="176" s="1"/>
  <c r="C44" i="176"/>
  <c r="E44" i="176" s="1"/>
  <c r="XE4" i="178"/>
  <c r="XG4" i="178" s="1"/>
  <c r="XH4" i="178" s="1"/>
  <c r="XI4" i="178" s="1"/>
  <c r="XJ3" i="178" s="1"/>
  <c r="XH6" i="178"/>
  <c r="XE7" i="178"/>
  <c r="XG7" i="178" s="1"/>
  <c r="XH7" i="178" s="1"/>
  <c r="XE9" i="178"/>
  <c r="XG9" i="178" s="1"/>
  <c r="XH5" i="178"/>
  <c r="XJ5" i="178" s="1"/>
  <c r="XF5" i="178"/>
  <c r="XJ6" i="178" s="1"/>
  <c r="XH10" i="178"/>
  <c r="XE11" i="178"/>
  <c r="XG11" i="178" s="1"/>
  <c r="XH11" i="178" s="1"/>
  <c r="VL22" i="178"/>
  <c r="VI23" i="178"/>
  <c r="VK23" i="178" s="1"/>
  <c r="VL23" i="178" s="1"/>
  <c r="VK21" i="178"/>
  <c r="VI25" i="178" s="1"/>
  <c r="VM16" i="178"/>
  <c r="VN16" i="178" s="1"/>
  <c r="VN19" i="178"/>
  <c r="VN18" i="178"/>
  <c r="VM17" i="178"/>
  <c r="VN17" i="178"/>
  <c r="UO20" i="178"/>
  <c r="UP20" i="178" s="1"/>
  <c r="H4" i="180"/>
  <c r="TF16" i="178"/>
  <c r="UM25" i="178"/>
  <c r="UK29" i="178" s="1"/>
  <c r="UN26" i="178"/>
  <c r="UK27" i="178"/>
  <c r="UM27" i="178" s="1"/>
  <c r="UN27" i="178" s="1"/>
  <c r="UP21" i="178"/>
  <c r="UO21" i="178"/>
  <c r="UP23" i="178"/>
  <c r="UP22" i="178"/>
  <c r="C11" i="188"/>
  <c r="G11" i="188"/>
  <c r="I10" i="188"/>
  <c r="J10" i="188" s="1"/>
  <c r="TP25" i="178"/>
  <c r="TN25" i="178"/>
  <c r="TM30" i="178"/>
  <c r="TO30" i="178" s="1"/>
  <c r="TM29" i="178"/>
  <c r="TQ23" i="178"/>
  <c r="TQ22" i="178"/>
  <c r="H7" i="180"/>
  <c r="NQ30" i="178"/>
  <c r="NP35" i="178"/>
  <c r="NM36" i="178"/>
  <c r="NO36" i="178" s="1"/>
  <c r="NP36" i="178" s="1"/>
  <c r="NP25" i="178"/>
  <c r="NQ25" i="178" s="1"/>
  <c r="NM26" i="178"/>
  <c r="NO38" i="178"/>
  <c r="NR33" i="178"/>
  <c r="NR32" i="178"/>
  <c r="NM32" i="178"/>
  <c r="NR31" i="178"/>
  <c r="NQ31" i="178"/>
  <c r="UC30" i="178"/>
  <c r="UD30" i="178" s="1"/>
  <c r="VA23" i="178"/>
  <c r="VB23" i="178" s="1"/>
  <c r="VA24" i="178"/>
  <c r="VB24" i="178"/>
  <c r="UZ28" i="178"/>
  <c r="UW29" i="178"/>
  <c r="UY29" i="178" s="1"/>
  <c r="UZ29" i="178" s="1"/>
  <c r="UY31" i="178"/>
  <c r="UW35" i="178" s="1"/>
  <c r="UW25" i="178"/>
  <c r="UY25" i="178" s="1"/>
  <c r="VB26" i="178"/>
  <c r="VB25" i="178"/>
  <c r="UY19" i="178"/>
  <c r="UY20" i="178" s="1"/>
  <c r="UX20" i="178" s="1"/>
  <c r="VA19" i="178"/>
  <c r="VV17" i="178"/>
  <c r="VX17" i="178"/>
  <c r="VW21" i="178"/>
  <c r="VU24" i="178"/>
  <c r="VU15" i="178"/>
  <c r="VW15" i="178" s="1"/>
  <c r="VX15" i="178" s="1"/>
  <c r="VU11" i="178"/>
  <c r="VZ12" i="178"/>
  <c r="VZ11" i="178"/>
  <c r="WT3" i="178"/>
  <c r="WV3" i="178"/>
  <c r="WS10" i="178"/>
  <c r="WU7" i="178"/>
  <c r="VW6" i="178"/>
  <c r="VV6" i="178" s="1"/>
  <c r="VY10" i="178"/>
  <c r="VZ10" i="178"/>
  <c r="VZ16" i="178" s="1"/>
  <c r="VY9" i="178"/>
  <c r="VZ9" i="178" s="1"/>
  <c r="D57" i="176"/>
  <c r="C12" i="179"/>
  <c r="M11" i="149" s="1"/>
  <c r="TE37" i="178"/>
  <c r="DX63" i="178"/>
  <c r="DZ63" i="178" s="1"/>
  <c r="D58" i="176"/>
  <c r="D12" i="179"/>
  <c r="N11" i="149" s="1"/>
  <c r="DZ57" i="178"/>
  <c r="EA57" i="178" s="1"/>
  <c r="EB57" i="178" s="1"/>
  <c r="EB58" i="178" s="1"/>
  <c r="EC58" i="178" s="1"/>
  <c r="TC45" i="178"/>
  <c r="TA49" i="178" s="1"/>
  <c r="TE15" i="178"/>
  <c r="TG4" i="178"/>
  <c r="TE14" i="178"/>
  <c r="TY32" i="178"/>
  <c r="UA32" i="178" s="1"/>
  <c r="UD33" i="178"/>
  <c r="UD32" i="178"/>
  <c r="TF39" i="178"/>
  <c r="TF40" i="178"/>
  <c r="TA39" i="178"/>
  <c r="TC39" i="178" s="1"/>
  <c r="UA26" i="178"/>
  <c r="UA27" i="178" s="1"/>
  <c r="TZ27" i="178" s="1"/>
  <c r="UC26" i="178"/>
  <c r="UB35" i="178"/>
  <c r="TY36" i="178"/>
  <c r="UA36" i="178" s="1"/>
  <c r="UB36" i="178" s="1"/>
  <c r="TE38" i="178"/>
  <c r="TF38" i="178"/>
  <c r="TF44" i="178" s="1"/>
  <c r="UA38" i="178"/>
  <c r="TY42" i="178" s="1"/>
  <c r="VC5" i="178"/>
  <c r="TC33" i="178"/>
  <c r="TC34" i="178" s="1"/>
  <c r="TB34" i="178" s="1"/>
  <c r="TE33" i="178"/>
  <c r="TD42" i="178"/>
  <c r="TA43" i="178"/>
  <c r="TC43" i="178" s="1"/>
  <c r="TD43" i="178" s="1"/>
  <c r="UY12" i="178"/>
  <c r="UY13" i="178" s="1"/>
  <c r="UX13" i="178" s="1"/>
  <c r="VA12" i="178"/>
  <c r="UD31" i="178"/>
  <c r="UC31" i="178"/>
  <c r="TB6" i="178"/>
  <c r="I3" i="180" s="1"/>
  <c r="TD11" i="178"/>
  <c r="TE11" i="178" s="1"/>
  <c r="EA67" i="178"/>
  <c r="EB67" i="178" s="1"/>
  <c r="DX68" i="178"/>
  <c r="DY73" i="178"/>
  <c r="EA73" i="178"/>
  <c r="EC73" i="178" s="1"/>
  <c r="A13" i="179" s="1"/>
  <c r="K12" i="149" s="1"/>
  <c r="J12" i="149" s="1"/>
  <c r="DX80" i="178"/>
  <c r="ED14" i="178" s="1"/>
  <c r="E14" i="179" s="1"/>
  <c r="E17" i="176"/>
  <c r="R2351" i="5"/>
  <c r="R2352" i="5"/>
  <c r="R2353" i="5"/>
  <c r="R2354" i="5"/>
  <c r="R2355" i="5"/>
  <c r="R2356" i="5"/>
  <c r="R2357" i="5"/>
  <c r="R2358" i="5"/>
  <c r="R2359" i="5"/>
  <c r="R2360" i="5"/>
  <c r="R2361" i="5"/>
  <c r="R2362" i="5"/>
  <c r="R2363" i="5"/>
  <c r="R2364" i="5"/>
  <c r="R2365" i="5"/>
  <c r="R2366" i="5"/>
  <c r="R2367" i="5"/>
  <c r="R2368" i="5"/>
  <c r="R2369" i="5"/>
  <c r="R2370" i="5"/>
  <c r="R2371" i="5"/>
  <c r="R2372" i="5"/>
  <c r="R2373" i="5"/>
  <c r="R2374" i="5"/>
  <c r="R2375" i="5"/>
  <c r="R2376" i="5"/>
  <c r="R2377" i="5"/>
  <c r="R2378" i="5"/>
  <c r="R2379" i="5"/>
  <c r="R2380" i="5"/>
  <c r="R2381" i="5"/>
  <c r="R2382" i="5"/>
  <c r="R2383" i="5"/>
  <c r="R2384" i="5"/>
  <c r="R2385" i="5"/>
  <c r="R2386" i="5"/>
  <c r="R2387" i="5"/>
  <c r="R2388" i="5"/>
  <c r="R2389" i="5"/>
  <c r="R2390" i="5"/>
  <c r="R2391" i="5"/>
  <c r="R2392" i="5"/>
  <c r="R2393" i="5"/>
  <c r="R2394" i="5"/>
  <c r="R2395" i="5"/>
  <c r="R2396" i="5"/>
  <c r="R2397" i="5"/>
  <c r="R2398" i="5"/>
  <c r="R2399" i="5"/>
  <c r="R2400" i="5"/>
  <c r="R2401" i="5"/>
  <c r="R2402" i="5"/>
  <c r="R2403" i="5"/>
  <c r="R2404" i="5"/>
  <c r="R2405" i="5"/>
  <c r="R2406" i="5"/>
  <c r="R2407" i="5"/>
  <c r="R2408" i="5"/>
  <c r="R2409" i="5"/>
  <c r="R2410" i="5"/>
  <c r="R2411" i="5"/>
  <c r="R2412" i="5"/>
  <c r="R2413" i="5"/>
  <c r="R2414" i="5"/>
  <c r="R2415" i="5"/>
  <c r="R2416" i="5"/>
  <c r="R2417" i="5"/>
  <c r="R2418" i="5"/>
  <c r="R2419" i="5"/>
  <c r="R2420" i="5"/>
  <c r="R2421" i="5"/>
  <c r="R2422" i="5"/>
  <c r="R2423" i="5"/>
  <c r="R2424" i="5"/>
  <c r="R2425" i="5"/>
  <c r="R2426" i="5"/>
  <c r="R2427" i="5"/>
  <c r="R2428" i="5"/>
  <c r="R2429" i="5"/>
  <c r="R2430" i="5"/>
  <c r="R2431" i="5"/>
  <c r="R2432" i="5"/>
  <c r="R2433" i="5"/>
  <c r="R2434" i="5"/>
  <c r="R2435" i="5"/>
  <c r="R2436" i="5"/>
  <c r="R2437" i="5"/>
  <c r="R2438" i="5"/>
  <c r="R2439" i="5"/>
  <c r="R2440" i="5"/>
  <c r="J2350" i="5"/>
  <c r="J2351" i="5"/>
  <c r="J2352" i="5"/>
  <c r="J2353" i="5"/>
  <c r="J2354" i="5"/>
  <c r="J2355" i="5"/>
  <c r="J2356" i="5"/>
  <c r="J2357" i="5"/>
  <c r="J2358" i="5"/>
  <c r="J2359" i="5"/>
  <c r="J2360" i="5"/>
  <c r="J2361" i="5"/>
  <c r="J2362" i="5"/>
  <c r="J2363" i="5"/>
  <c r="J2364" i="5"/>
  <c r="J2365" i="5"/>
  <c r="J2366" i="5"/>
  <c r="J2367" i="5"/>
  <c r="J2368" i="5"/>
  <c r="J2369" i="5"/>
  <c r="J2370" i="5"/>
  <c r="J2371" i="5"/>
  <c r="J2372" i="5"/>
  <c r="J2373" i="5"/>
  <c r="J2374" i="5"/>
  <c r="J2375" i="5"/>
  <c r="J2376" i="5"/>
  <c r="J2377" i="5"/>
  <c r="J2378" i="5"/>
  <c r="J2379" i="5"/>
  <c r="J2380" i="5"/>
  <c r="J2381" i="5"/>
  <c r="J2382" i="5"/>
  <c r="J2383" i="5"/>
  <c r="J2384" i="5"/>
  <c r="J2385" i="5"/>
  <c r="J2386" i="5"/>
  <c r="J2387" i="5"/>
  <c r="J2388" i="5"/>
  <c r="J2389" i="5"/>
  <c r="J2390" i="5"/>
  <c r="J2391" i="5"/>
  <c r="J2392" i="5"/>
  <c r="J2393" i="5"/>
  <c r="J2394" i="5"/>
  <c r="J2395" i="5"/>
  <c r="J2396" i="5"/>
  <c r="J2397" i="5"/>
  <c r="J2398" i="5"/>
  <c r="J2399" i="5"/>
  <c r="J2400" i="5"/>
  <c r="J2401" i="5"/>
  <c r="J2402" i="5"/>
  <c r="J2403" i="5"/>
  <c r="J2404" i="5"/>
  <c r="J2405" i="5"/>
  <c r="J2406" i="5"/>
  <c r="J2407" i="5"/>
  <c r="J2408" i="5"/>
  <c r="J2409" i="5"/>
  <c r="J2410" i="5"/>
  <c r="J2411" i="5"/>
  <c r="J2412" i="5"/>
  <c r="J2413" i="5"/>
  <c r="J2414" i="5"/>
  <c r="J2415" i="5"/>
  <c r="J2416" i="5"/>
  <c r="J2417" i="5"/>
  <c r="J2418" i="5"/>
  <c r="J2419" i="5"/>
  <c r="J2420" i="5"/>
  <c r="J2421" i="5"/>
  <c r="J2422" i="5"/>
  <c r="J2423" i="5"/>
  <c r="J2424" i="5"/>
  <c r="J2425" i="5"/>
  <c r="J2426" i="5"/>
  <c r="J2427" i="5"/>
  <c r="J2428" i="5"/>
  <c r="J2429" i="5"/>
  <c r="J2430" i="5"/>
  <c r="J2431" i="5"/>
  <c r="J2432" i="5"/>
  <c r="J2433" i="5"/>
  <c r="J2434" i="5"/>
  <c r="J2435" i="5"/>
  <c r="J2436" i="5"/>
  <c r="J2437" i="5"/>
  <c r="J2438" i="5"/>
  <c r="J2439" i="5"/>
  <c r="J2440" i="5"/>
  <c r="AA2351" i="5"/>
  <c r="AA2352" i="5"/>
  <c r="AA2353" i="5"/>
  <c r="AA2354" i="5"/>
  <c r="AA2355" i="5"/>
  <c r="AA2356" i="5"/>
  <c r="AA2357" i="5"/>
  <c r="AA2358" i="5"/>
  <c r="AA2359" i="5"/>
  <c r="AA2360" i="5"/>
  <c r="AA2361" i="5"/>
  <c r="AA2362" i="5"/>
  <c r="AA2363" i="5"/>
  <c r="AA2364" i="5"/>
  <c r="AA2365" i="5"/>
  <c r="AA2366" i="5"/>
  <c r="AA2367" i="5"/>
  <c r="AA2368" i="5"/>
  <c r="AA2369" i="5"/>
  <c r="AA2370" i="5"/>
  <c r="AA2371" i="5"/>
  <c r="AA2372" i="5"/>
  <c r="AA2373" i="5"/>
  <c r="AA2374" i="5"/>
  <c r="AA2375" i="5"/>
  <c r="AA2376" i="5"/>
  <c r="AA2377" i="5"/>
  <c r="AA2378" i="5"/>
  <c r="AA2379" i="5"/>
  <c r="AA2380" i="5"/>
  <c r="AA2381" i="5"/>
  <c r="AA2382" i="5"/>
  <c r="AA2383" i="5"/>
  <c r="AA2384" i="5"/>
  <c r="AA2385" i="5"/>
  <c r="AA2386" i="5"/>
  <c r="AA2387" i="5"/>
  <c r="AA2388" i="5"/>
  <c r="AA2389" i="5"/>
  <c r="AA2390" i="5"/>
  <c r="AA2391" i="5"/>
  <c r="AA2392" i="5"/>
  <c r="AA2393" i="5"/>
  <c r="AA2394" i="5"/>
  <c r="AA2395" i="5"/>
  <c r="AA2396" i="5"/>
  <c r="AA2397" i="5"/>
  <c r="AA2398" i="5"/>
  <c r="AA2399" i="5"/>
  <c r="AA2400" i="5"/>
  <c r="AA2401" i="5"/>
  <c r="AA2402" i="5"/>
  <c r="AA2403" i="5"/>
  <c r="AA2404" i="5"/>
  <c r="AA2405" i="5"/>
  <c r="AA2406" i="5"/>
  <c r="AA2407" i="5"/>
  <c r="AA2408" i="5"/>
  <c r="AA2409" i="5"/>
  <c r="AA2410" i="5"/>
  <c r="AA2411" i="5"/>
  <c r="AA2412" i="5"/>
  <c r="AA2413" i="5"/>
  <c r="AA2414" i="5"/>
  <c r="AA2415" i="5"/>
  <c r="AA2416" i="5"/>
  <c r="AA2417" i="5"/>
  <c r="AA2418" i="5"/>
  <c r="AA2419" i="5"/>
  <c r="AA2420" i="5"/>
  <c r="AA2421" i="5"/>
  <c r="AA2422" i="5"/>
  <c r="AA2423" i="5"/>
  <c r="AA2424" i="5"/>
  <c r="AA2425" i="5"/>
  <c r="AA2426" i="5"/>
  <c r="AA2427" i="5"/>
  <c r="AA2428" i="5"/>
  <c r="AA2429" i="5"/>
  <c r="AA2430" i="5"/>
  <c r="AA2431" i="5"/>
  <c r="AA2432" i="5"/>
  <c r="AA2433" i="5"/>
  <c r="AA2434" i="5"/>
  <c r="AA2435" i="5"/>
  <c r="AA2436" i="5"/>
  <c r="AA2437" i="5"/>
  <c r="AA2438" i="5"/>
  <c r="AA2439" i="5"/>
  <c r="AA2440" i="5"/>
  <c r="AA2347" i="5"/>
  <c r="AA2348" i="5"/>
  <c r="AA2349" i="5"/>
  <c r="AA2350" i="5"/>
  <c r="R2350" i="5"/>
  <c r="J2347" i="5"/>
  <c r="J2348" i="5"/>
  <c r="J2349" i="5"/>
  <c r="R2347" i="5"/>
  <c r="R2348" i="5"/>
  <c r="R2349" i="5"/>
  <c r="O5" i="180" l="1"/>
  <c r="L6" i="180"/>
  <c r="ZC9" i="178"/>
  <c r="ZC6" i="178"/>
  <c r="ZC10" i="178"/>
  <c r="ZC12" i="178"/>
  <c r="XY5" i="178"/>
  <c r="R3" i="179" s="1"/>
  <c r="ZC7" i="178"/>
  <c r="ZC11" i="178"/>
  <c r="ZC8" i="178"/>
  <c r="YM10" i="178"/>
  <c r="YI24" i="178"/>
  <c r="YK24" i="178" s="1"/>
  <c r="YL17" i="178"/>
  <c r="YM17" i="178" s="1"/>
  <c r="YI5" i="178"/>
  <c r="YL4" i="178"/>
  <c r="YM4" i="178" s="1"/>
  <c r="YN4" i="178" s="1"/>
  <c r="I3" i="179" s="1"/>
  <c r="B10" i="179"/>
  <c r="L9" i="149" s="1"/>
  <c r="D48" i="176"/>
  <c r="C48" i="176" s="1"/>
  <c r="E48" i="176" s="1"/>
  <c r="ED10" i="178"/>
  <c r="E10" i="179" s="1"/>
  <c r="R3" i="180"/>
  <c r="WJ10" i="178"/>
  <c r="WG11" i="178"/>
  <c r="WI11" i="178" s="1"/>
  <c r="WJ11" i="178" s="1"/>
  <c r="WG14" i="178"/>
  <c r="WI14" i="178" s="1"/>
  <c r="WI13" i="178"/>
  <c r="WJ9" i="178"/>
  <c r="WH9" i="178"/>
  <c r="WL7" i="178"/>
  <c r="WL6" i="178"/>
  <c r="WL5" i="178"/>
  <c r="WK5" i="178"/>
  <c r="C58" i="176"/>
  <c r="E58" i="176" s="1"/>
  <c r="VB30" i="178"/>
  <c r="N6" i="180"/>
  <c r="C57" i="176"/>
  <c r="E57" i="176" s="1"/>
  <c r="XI5" i="178"/>
  <c r="XJ7" i="178"/>
  <c r="K7" i="180"/>
  <c r="XI7" i="178"/>
  <c r="XK3" i="178" s="1"/>
  <c r="XI6" i="178"/>
  <c r="XF9" i="178"/>
  <c r="XH9" i="178"/>
  <c r="XE13" i="178"/>
  <c r="XE14" i="178"/>
  <c r="XG14" i="178" s="1"/>
  <c r="VJ21" i="178"/>
  <c r="VL21" i="178"/>
  <c r="VI26" i="178"/>
  <c r="VK26" i="178" s="1"/>
  <c r="VM19" i="178"/>
  <c r="VM18" i="178"/>
  <c r="VO6" i="178"/>
  <c r="UO22" i="178"/>
  <c r="UQ7" i="178"/>
  <c r="UO23" i="178"/>
  <c r="UN25" i="178"/>
  <c r="UL25" i="178"/>
  <c r="UK30" i="178"/>
  <c r="UM30" i="178" s="1"/>
  <c r="H11" i="188"/>
  <c r="B12" i="188"/>
  <c r="D11" i="188"/>
  <c r="E11" i="188" s="1"/>
  <c r="TP30" i="178"/>
  <c r="TM31" i="178"/>
  <c r="TO31" i="178" s="1"/>
  <c r="TP31" i="178" s="1"/>
  <c r="TO29" i="178"/>
  <c r="TQ24" i="178"/>
  <c r="TR24" i="178" s="1"/>
  <c r="I7" i="180" s="1"/>
  <c r="TR27" i="178"/>
  <c r="TR26" i="178"/>
  <c r="TR25" i="178"/>
  <c r="TS8" i="178" s="1"/>
  <c r="TQ25" i="178"/>
  <c r="NO26" i="178"/>
  <c r="NO27" i="178" s="1"/>
  <c r="NN27" i="178" s="1"/>
  <c r="NR30" i="178" s="1"/>
  <c r="NQ26" i="178"/>
  <c r="NQ36" i="178"/>
  <c r="NS7" i="178"/>
  <c r="NT7" i="178" s="1"/>
  <c r="NQ35" i="178"/>
  <c r="NO32" i="178"/>
  <c r="NP38" i="178"/>
  <c r="NN38" i="178"/>
  <c r="NM45" i="178"/>
  <c r="NM42" i="178"/>
  <c r="NO42" i="178" s="1"/>
  <c r="VW24" i="178"/>
  <c r="VU28" i="178" s="1"/>
  <c r="UZ25" i="178"/>
  <c r="VA25" i="178" s="1"/>
  <c r="UW26" i="178"/>
  <c r="VX21" i="178"/>
  <c r="VU22" i="178"/>
  <c r="VW22" i="178" s="1"/>
  <c r="VX22" i="178" s="1"/>
  <c r="VZ17" i="178"/>
  <c r="VZ23" i="178" s="1"/>
  <c r="VY17" i="178"/>
  <c r="VA29" i="178"/>
  <c r="VA28" i="178"/>
  <c r="VU18" i="178"/>
  <c r="VW18" i="178" s="1"/>
  <c r="VZ18" i="178"/>
  <c r="VZ19" i="178"/>
  <c r="UX31" i="178"/>
  <c r="UZ31" i="178"/>
  <c r="UY35" i="178"/>
  <c r="WU10" i="178"/>
  <c r="WS14" i="178" s="1"/>
  <c r="WW3" i="178"/>
  <c r="WX3" i="178"/>
  <c r="WS4" i="178"/>
  <c r="WX4" i="178"/>
  <c r="WX5" i="178"/>
  <c r="VY15" i="178"/>
  <c r="Q4" i="180"/>
  <c r="VY14" i="178"/>
  <c r="WA4" i="178"/>
  <c r="WV7" i="178"/>
  <c r="WS8" i="178"/>
  <c r="WU8" i="178" s="1"/>
  <c r="WV8" i="178" s="1"/>
  <c r="VW11" i="178"/>
  <c r="DX64" i="178"/>
  <c r="EA63" i="178"/>
  <c r="EB63" i="178" s="1"/>
  <c r="TE42" i="178"/>
  <c r="UC35" i="178"/>
  <c r="UE7" i="178" s="1"/>
  <c r="UC36" i="178"/>
  <c r="TD39" i="178"/>
  <c r="TE39" i="178" s="1"/>
  <c r="TA40" i="178"/>
  <c r="UB32" i="178"/>
  <c r="UC32" i="178" s="1"/>
  <c r="TY33" i="178"/>
  <c r="UB38" i="178"/>
  <c r="TZ38" i="178"/>
  <c r="UA42" i="178"/>
  <c r="TY45" i="178"/>
  <c r="TG8" i="178"/>
  <c r="TE43" i="178"/>
  <c r="TC49" i="178"/>
  <c r="TD45" i="178"/>
  <c r="TB45" i="178"/>
  <c r="TA52" i="178"/>
  <c r="TE16" i="178"/>
  <c r="TC12" i="178"/>
  <c r="YI18" i="178"/>
  <c r="YK18" i="178" s="1"/>
  <c r="YI12" i="178"/>
  <c r="YM12" i="178" s="1"/>
  <c r="YN12" i="178" s="1"/>
  <c r="J4" i="179" s="1"/>
  <c r="EC75" i="178"/>
  <c r="EC74" i="178"/>
  <c r="DX74" i="178"/>
  <c r="DZ74" i="178" s="1"/>
  <c r="DZ68" i="178"/>
  <c r="DZ69" i="178" s="1"/>
  <c r="DY69" i="178" s="1"/>
  <c r="EB68" i="178"/>
  <c r="D59" i="176"/>
  <c r="EB73" i="178"/>
  <c r="DZ80" i="178"/>
  <c r="R2261" i="5"/>
  <c r="J2261" i="5"/>
  <c r="AA2259" i="5"/>
  <c r="J2259" i="5"/>
  <c r="YN17" i="178" l="1"/>
  <c r="G5" i="179" s="1"/>
  <c r="YM5" i="178"/>
  <c r="YN5" i="178" s="1"/>
  <c r="J3" i="179" s="1"/>
  <c r="YK5" i="178"/>
  <c r="YK6" i="178" s="1"/>
  <c r="YJ6" i="178" s="1"/>
  <c r="YI7" i="178" s="1"/>
  <c r="YK7" i="178" s="1"/>
  <c r="WG17" i="178"/>
  <c r="WI17" i="178" s="1"/>
  <c r="WH17" i="178" s="1"/>
  <c r="WH13" i="178"/>
  <c r="WG18" i="178"/>
  <c r="WI18" i="178" s="1"/>
  <c r="WJ13" i="178"/>
  <c r="WL13" i="178" s="1"/>
  <c r="WG15" i="178"/>
  <c r="WI15" i="178" s="1"/>
  <c r="WJ15" i="178" s="1"/>
  <c r="WJ14" i="178"/>
  <c r="WL10" i="178"/>
  <c r="WL11" i="178"/>
  <c r="WK6" i="178"/>
  <c r="WK7" i="178"/>
  <c r="WK9" i="178"/>
  <c r="WL9" i="178"/>
  <c r="C59" i="176"/>
  <c r="E59" i="176" s="1"/>
  <c r="XI8" i="178"/>
  <c r="XJ8" i="178" s="1"/>
  <c r="XH14" i="178"/>
  <c r="XE15" i="178"/>
  <c r="XG15" i="178" s="1"/>
  <c r="XH15" i="178" s="1"/>
  <c r="XG13" i="178"/>
  <c r="VM20" i="178"/>
  <c r="VN20" i="178" s="1"/>
  <c r="O6" i="180" s="1"/>
  <c r="XJ9" i="178"/>
  <c r="XI9" i="178"/>
  <c r="XJ10" i="178"/>
  <c r="XJ11" i="178"/>
  <c r="VL26" i="178"/>
  <c r="VI27" i="178"/>
  <c r="VK27" i="178" s="1"/>
  <c r="VL27" i="178" s="1"/>
  <c r="VK25" i="178"/>
  <c r="VI29" i="178" s="1"/>
  <c r="VN21" i="178"/>
  <c r="VM21" i="178"/>
  <c r="VN23" i="178"/>
  <c r="VN22" i="178"/>
  <c r="UO24" i="178"/>
  <c r="UP24" i="178" s="1"/>
  <c r="UM29" i="178"/>
  <c r="UK33" i="178" s="1"/>
  <c r="UN30" i="178"/>
  <c r="UK31" i="178"/>
  <c r="UM31" i="178" s="1"/>
  <c r="UN31" i="178" s="1"/>
  <c r="UP27" i="178"/>
  <c r="UP26" i="178"/>
  <c r="UO25" i="178"/>
  <c r="UP25" i="178"/>
  <c r="C12" i="188"/>
  <c r="G12" i="188"/>
  <c r="I11" i="188"/>
  <c r="J11" i="188" s="1"/>
  <c r="TN29" i="178"/>
  <c r="TP29" i="178"/>
  <c r="TM34" i="178"/>
  <c r="TO34" i="178" s="1"/>
  <c r="TM33" i="178"/>
  <c r="TQ27" i="178"/>
  <c r="TQ26" i="178"/>
  <c r="H8" i="180"/>
  <c r="NP42" i="178"/>
  <c r="NM43" i="178"/>
  <c r="NO43" i="178" s="1"/>
  <c r="NP43" i="178" s="1"/>
  <c r="NO45" i="178"/>
  <c r="NP32" i="178"/>
  <c r="NQ32" i="178" s="1"/>
  <c r="NM33" i="178"/>
  <c r="NR39" i="178"/>
  <c r="NR40" i="178"/>
  <c r="NM39" i="178"/>
  <c r="NQ37" i="178"/>
  <c r="NR38" i="178"/>
  <c r="NQ38" i="178"/>
  <c r="TE44" i="178"/>
  <c r="VA30" i="178"/>
  <c r="VA31" i="178"/>
  <c r="VB31" i="178"/>
  <c r="VX18" i="178"/>
  <c r="VY18" i="178" s="1"/>
  <c r="VU19" i="178"/>
  <c r="VY22" i="178"/>
  <c r="VY21" i="178"/>
  <c r="UW32" i="178"/>
  <c r="UY32" i="178" s="1"/>
  <c r="VB33" i="178"/>
  <c r="VB32" i="178"/>
  <c r="UZ35" i="178"/>
  <c r="UW36" i="178"/>
  <c r="UY36" i="178" s="1"/>
  <c r="UZ36" i="178" s="1"/>
  <c r="UY26" i="178"/>
  <c r="UY27" i="178" s="1"/>
  <c r="UX27" i="178" s="1"/>
  <c r="VA26" i="178"/>
  <c r="VV24" i="178"/>
  <c r="VX24" i="178"/>
  <c r="VU31" i="178"/>
  <c r="VW28" i="178"/>
  <c r="VY16" i="178"/>
  <c r="VU12" i="178"/>
  <c r="VX11" i="178"/>
  <c r="VY11" i="178" s="1"/>
  <c r="WU4" i="178"/>
  <c r="WT10" i="178"/>
  <c r="WS17" i="178"/>
  <c r="WU14" i="178"/>
  <c r="WV10" i="178"/>
  <c r="WW8" i="178"/>
  <c r="T3" i="180"/>
  <c r="WW7" i="178"/>
  <c r="D61" i="176"/>
  <c r="C13" i="179"/>
  <c r="M12" i="149" s="1"/>
  <c r="DX70" i="178"/>
  <c r="DZ70" i="178" s="1"/>
  <c r="D62" i="176"/>
  <c r="D13" i="179"/>
  <c r="N12" i="149" s="1"/>
  <c r="DZ64" i="178"/>
  <c r="EA64" i="178" s="1"/>
  <c r="EB64" i="178" s="1"/>
  <c r="EB65" i="178" s="1"/>
  <c r="EC65" i="178" s="1"/>
  <c r="UC37" i="178"/>
  <c r="UD37" i="178" s="1"/>
  <c r="TF46" i="178"/>
  <c r="TA46" i="178"/>
  <c r="TC46" i="178" s="1"/>
  <c r="TF47" i="178"/>
  <c r="UD38" i="178"/>
  <c r="UC38" i="178"/>
  <c r="TC13" i="178"/>
  <c r="TB13" i="178" s="1"/>
  <c r="I4" i="180" s="1"/>
  <c r="TF45" i="178"/>
  <c r="TF51" i="178" s="1"/>
  <c r="TE45" i="178"/>
  <c r="VC6" i="178"/>
  <c r="UA45" i="178"/>
  <c r="TY49" i="178" s="1"/>
  <c r="UA33" i="178"/>
  <c r="UA34" i="178" s="1"/>
  <c r="TZ34" i="178" s="1"/>
  <c r="UC33" i="178"/>
  <c r="TD49" i="178"/>
  <c r="TA50" i="178"/>
  <c r="TC50" i="178" s="1"/>
  <c r="TD50" i="178" s="1"/>
  <c r="UB42" i="178"/>
  <c r="TY43" i="178"/>
  <c r="UA43" i="178" s="1"/>
  <c r="UB43" i="178" s="1"/>
  <c r="TC40" i="178"/>
  <c r="TC41" i="178" s="1"/>
  <c r="TB41" i="178" s="1"/>
  <c r="TE40" i="178"/>
  <c r="UW38" i="178"/>
  <c r="TC52" i="178"/>
  <c r="TA56" i="178" s="1"/>
  <c r="UD39" i="178"/>
  <c r="UD40" i="178"/>
  <c r="TY39" i="178"/>
  <c r="UA39" i="178" s="1"/>
  <c r="YI19" i="178"/>
  <c r="YL18" i="178"/>
  <c r="YM18" i="178" s="1"/>
  <c r="YN18" i="178" s="1"/>
  <c r="I5" i="179" s="1"/>
  <c r="YJ24" i="178"/>
  <c r="YL24" i="178"/>
  <c r="YI31" i="178"/>
  <c r="YL11" i="178"/>
  <c r="YM11" i="178" s="1"/>
  <c r="YN11" i="178" s="1"/>
  <c r="I4" i="179" s="1"/>
  <c r="DX75" i="178"/>
  <c r="EA74" i="178"/>
  <c r="EB74" i="178" s="1"/>
  <c r="DY80" i="178"/>
  <c r="EA80" i="178"/>
  <c r="EC80" i="178" s="1"/>
  <c r="A14" i="179" s="1"/>
  <c r="K13" i="149" s="1"/>
  <c r="J13" i="149" s="1"/>
  <c r="DX87" i="178"/>
  <c r="ED15" i="178" s="1"/>
  <c r="E15" i="179" s="1"/>
  <c r="AC2" i="5"/>
  <c r="B11" i="179" l="1"/>
  <c r="L10" i="149" s="1"/>
  <c r="D52" i="176"/>
  <c r="C52" i="176" s="1"/>
  <c r="E52" i="176" s="1"/>
  <c r="ED11" i="178"/>
  <c r="E11" i="179" s="1"/>
  <c r="L7" i="180"/>
  <c r="YI8" i="178"/>
  <c r="YK8" i="178" s="1"/>
  <c r="YL8" i="178" s="1"/>
  <c r="YM8" i="178" s="1"/>
  <c r="YL7" i="178"/>
  <c r="YM7" i="178" s="1"/>
  <c r="WG21" i="178"/>
  <c r="WI21" i="178" s="1"/>
  <c r="WJ17" i="178"/>
  <c r="WK17" i="178" s="1"/>
  <c r="WK14" i="178"/>
  <c r="WK15" i="178"/>
  <c r="WG22" i="178"/>
  <c r="WI22" i="178" s="1"/>
  <c r="WG23" i="178" s="1"/>
  <c r="WI23" i="178" s="1"/>
  <c r="WJ23" i="178" s="1"/>
  <c r="WM3" i="178"/>
  <c r="WJ18" i="178"/>
  <c r="WG19" i="178"/>
  <c r="WI19" i="178" s="1"/>
  <c r="WJ19" i="178" s="1"/>
  <c r="WM5" i="178"/>
  <c r="WK11" i="178"/>
  <c r="WK10" i="178"/>
  <c r="WL14" i="178"/>
  <c r="WL15" i="178"/>
  <c r="WK8" i="178"/>
  <c r="WL8" i="178" s="1"/>
  <c r="WK13" i="178"/>
  <c r="WY3" i="178"/>
  <c r="VB37" i="178"/>
  <c r="N7" i="180"/>
  <c r="C62" i="176"/>
  <c r="E62" i="176" s="1"/>
  <c r="C61" i="176"/>
  <c r="E61" i="176" s="1"/>
  <c r="K8" i="180"/>
  <c r="XI10" i="178"/>
  <c r="XI11" i="178"/>
  <c r="XK4" i="178"/>
  <c r="XH13" i="178"/>
  <c r="XF13" i="178"/>
  <c r="XE17" i="178"/>
  <c r="XE18" i="178"/>
  <c r="XG18" i="178" s="1"/>
  <c r="WL19" i="178"/>
  <c r="WL18" i="178"/>
  <c r="VL25" i="178"/>
  <c r="VJ25" i="178"/>
  <c r="VI30" i="178"/>
  <c r="VK30" i="178" s="1"/>
  <c r="VM22" i="178"/>
  <c r="VO7" i="178"/>
  <c r="VM23" i="178"/>
  <c r="UD44" i="178"/>
  <c r="UL29" i="178"/>
  <c r="UN29" i="178"/>
  <c r="UK34" i="178"/>
  <c r="UM34" i="178" s="1"/>
  <c r="UO27" i="178"/>
  <c r="UQ8" i="178"/>
  <c r="UO26" i="178"/>
  <c r="H12" i="188"/>
  <c r="D12" i="188"/>
  <c r="E12" i="188" s="1"/>
  <c r="B13" i="188"/>
  <c r="TP34" i="178"/>
  <c r="TM35" i="178"/>
  <c r="TO35" i="178" s="1"/>
  <c r="TP35" i="178" s="1"/>
  <c r="TQ28" i="178"/>
  <c r="TR28" i="178" s="1"/>
  <c r="I8" i="180" s="1"/>
  <c r="TQ29" i="178"/>
  <c r="TR29" i="178"/>
  <c r="H9" i="180" s="1"/>
  <c r="TO33" i="178"/>
  <c r="TR31" i="178"/>
  <c r="TR30" i="178"/>
  <c r="NQ43" i="178"/>
  <c r="NQ42" i="178"/>
  <c r="NS8" i="178"/>
  <c r="NT8" i="178" s="1"/>
  <c r="NO33" i="178"/>
  <c r="NO34" i="178" s="1"/>
  <c r="NN34" i="178" s="1"/>
  <c r="NR37" i="178" s="1"/>
  <c r="NQ33" i="178"/>
  <c r="NO39" i="178"/>
  <c r="NN45" i="178"/>
  <c r="NP45" i="178"/>
  <c r="NM49" i="178"/>
  <c r="NO49" i="178" s="1"/>
  <c r="NM52" i="178"/>
  <c r="VY23" i="178"/>
  <c r="VW31" i="178"/>
  <c r="VU35" i="178" s="1"/>
  <c r="VW19" i="178"/>
  <c r="VW20" i="178" s="1"/>
  <c r="VV20" i="178" s="1"/>
  <c r="VY19" i="178"/>
  <c r="VZ24" i="178"/>
  <c r="VZ30" i="178" s="1"/>
  <c r="VY24" i="178"/>
  <c r="UZ32" i="178"/>
  <c r="VA32" i="178" s="1"/>
  <c r="UW33" i="178"/>
  <c r="VU25" i="178"/>
  <c r="VW25" i="178" s="1"/>
  <c r="VZ25" i="178"/>
  <c r="VZ26" i="178"/>
  <c r="VA36" i="178"/>
  <c r="VA35" i="178"/>
  <c r="VX28" i="178"/>
  <c r="VU29" i="178"/>
  <c r="VW29" i="178" s="1"/>
  <c r="VX29" i="178" s="1"/>
  <c r="WW10" i="178"/>
  <c r="WX10" i="178"/>
  <c r="WX16" i="178" s="1"/>
  <c r="Q5" i="180"/>
  <c r="WA5" i="178"/>
  <c r="WS11" i="178"/>
  <c r="WX12" i="178"/>
  <c r="WX11" i="178"/>
  <c r="WW9" i="178"/>
  <c r="WX9" i="178" s="1"/>
  <c r="WS15" i="178"/>
  <c r="WU15" i="178" s="1"/>
  <c r="WV15" i="178" s="1"/>
  <c r="WV14" i="178"/>
  <c r="WU17" i="178"/>
  <c r="WS21" i="178" s="1"/>
  <c r="WS5" i="178"/>
  <c r="WV4" i="178"/>
  <c r="WW4" i="178" s="1"/>
  <c r="VY12" i="178"/>
  <c r="VW12" i="178"/>
  <c r="VW13" i="178" s="1"/>
  <c r="VV13" i="178" s="1"/>
  <c r="R4" i="180" s="1"/>
  <c r="EA70" i="178"/>
  <c r="EB70" i="178" s="1"/>
  <c r="DX71" i="178"/>
  <c r="UB39" i="178"/>
  <c r="UC39" i="178" s="1"/>
  <c r="TY40" i="178"/>
  <c r="UC42" i="178"/>
  <c r="UC43" i="178"/>
  <c r="UE8" i="178"/>
  <c r="TD52" i="178"/>
  <c r="TB52" i="178"/>
  <c r="TC56" i="178"/>
  <c r="TA59" i="178"/>
  <c r="UB45" i="178"/>
  <c r="TZ45" i="178"/>
  <c r="TY52" i="178"/>
  <c r="UA49" i="178"/>
  <c r="UY38" i="178"/>
  <c r="UW42" i="178" s="1"/>
  <c r="TG9" i="178"/>
  <c r="TE49" i="178"/>
  <c r="TE50" i="178"/>
  <c r="TD46" i="178"/>
  <c r="TE46" i="178" s="1"/>
  <c r="TA47" i="178"/>
  <c r="YK31" i="178"/>
  <c r="YN24" i="178"/>
  <c r="G6" i="179" s="1"/>
  <c r="YM24" i="178"/>
  <c r="YI25" i="178"/>
  <c r="YK25" i="178" s="1"/>
  <c r="YK19" i="178"/>
  <c r="YK20" i="178" s="1"/>
  <c r="YJ20" i="178" s="1"/>
  <c r="YM19" i="178"/>
  <c r="YN19" i="178" s="1"/>
  <c r="J5" i="179" s="1"/>
  <c r="YK12" i="178"/>
  <c r="YK13" i="178" s="1"/>
  <c r="EB80" i="178"/>
  <c r="D63" i="176"/>
  <c r="DZ87" i="178"/>
  <c r="EC82" i="178"/>
  <c r="EC81" i="178"/>
  <c r="DX81" i="178"/>
  <c r="DZ81" i="178" s="1"/>
  <c r="EB75" i="178"/>
  <c r="DZ75" i="178"/>
  <c r="DZ76" i="178" s="1"/>
  <c r="DY76" i="178" s="1"/>
  <c r="B3" i="177"/>
  <c r="J2" i="177"/>
  <c r="EK12" i="175"/>
  <c r="EJ12" i="175"/>
  <c r="EH12" i="175"/>
  <c r="EG12" i="175"/>
  <c r="EE12" i="175"/>
  <c r="ED12" i="175"/>
  <c r="EB12" i="175"/>
  <c r="EA12" i="175"/>
  <c r="DY12" i="175"/>
  <c r="DX12" i="175"/>
  <c r="EK6" i="175"/>
  <c r="EJ6" i="175"/>
  <c r="EH6" i="175"/>
  <c r="EG6" i="175"/>
  <c r="EE6" i="175"/>
  <c r="ED6" i="175"/>
  <c r="EB6" i="175"/>
  <c r="EA6" i="175"/>
  <c r="DY6" i="175"/>
  <c r="DX6" i="175"/>
  <c r="EK5" i="175"/>
  <c r="EJ5" i="175"/>
  <c r="EH5" i="175"/>
  <c r="EG5" i="175"/>
  <c r="EE5" i="175"/>
  <c r="ED5" i="175"/>
  <c r="EB5" i="175"/>
  <c r="EA5" i="175"/>
  <c r="DY5" i="175"/>
  <c r="DX5" i="175"/>
  <c r="EK4" i="175"/>
  <c r="EJ4" i="175"/>
  <c r="EH4" i="175"/>
  <c r="EG4" i="175"/>
  <c r="EE4" i="175"/>
  <c r="ED4" i="175"/>
  <c r="EB4" i="175"/>
  <c r="EA4" i="175"/>
  <c r="DY4" i="175"/>
  <c r="DX4" i="175"/>
  <c r="EK3" i="175"/>
  <c r="EJ3" i="175"/>
  <c r="EH3" i="175"/>
  <c r="EG3" i="175"/>
  <c r="EE3" i="175"/>
  <c r="ED3" i="175"/>
  <c r="EB3" i="175"/>
  <c r="EA3" i="175"/>
  <c r="DY3" i="175"/>
  <c r="DX3" i="175"/>
  <c r="B91" i="150"/>
  <c r="C91" i="150"/>
  <c r="D91" i="150"/>
  <c r="E91" i="150"/>
  <c r="F91" i="150"/>
  <c r="G91" i="150"/>
  <c r="H91" i="150"/>
  <c r="I91" i="150"/>
  <c r="B92" i="150"/>
  <c r="C92" i="150"/>
  <c r="D92" i="150"/>
  <c r="E92" i="150"/>
  <c r="F92" i="150"/>
  <c r="G92" i="150"/>
  <c r="H92" i="150"/>
  <c r="I92" i="150"/>
  <c r="B93" i="150"/>
  <c r="C93" i="150"/>
  <c r="D93" i="150"/>
  <c r="E93" i="150"/>
  <c r="F93" i="150"/>
  <c r="G93" i="150"/>
  <c r="H93" i="150"/>
  <c r="I93" i="150"/>
  <c r="B94" i="150"/>
  <c r="C94" i="150"/>
  <c r="D94" i="150"/>
  <c r="E94" i="150"/>
  <c r="F94" i="150"/>
  <c r="G94" i="150"/>
  <c r="H94" i="150"/>
  <c r="I94" i="150"/>
  <c r="B95" i="150"/>
  <c r="C95" i="150"/>
  <c r="D95" i="150"/>
  <c r="E95" i="150"/>
  <c r="F95" i="150"/>
  <c r="G95" i="150"/>
  <c r="H95" i="150"/>
  <c r="I95" i="150"/>
  <c r="B96" i="150"/>
  <c r="C96" i="150"/>
  <c r="D96" i="150"/>
  <c r="E96" i="150"/>
  <c r="F96" i="150"/>
  <c r="G96" i="150"/>
  <c r="H96" i="150"/>
  <c r="I96" i="150"/>
  <c r="B97" i="150"/>
  <c r="C97" i="150"/>
  <c r="D97" i="150"/>
  <c r="E97" i="150"/>
  <c r="F97" i="150"/>
  <c r="G97" i="150"/>
  <c r="H97" i="150"/>
  <c r="I97" i="150"/>
  <c r="B98" i="150"/>
  <c r="C98" i="150"/>
  <c r="D98" i="150"/>
  <c r="E98" i="150"/>
  <c r="F98" i="150"/>
  <c r="G98" i="150"/>
  <c r="H98" i="150"/>
  <c r="I98" i="150"/>
  <c r="B99" i="150"/>
  <c r="C99" i="150"/>
  <c r="D99" i="150"/>
  <c r="E99" i="150"/>
  <c r="F99" i="150"/>
  <c r="G99" i="150"/>
  <c r="H99" i="150"/>
  <c r="I99" i="150"/>
  <c r="B100" i="150"/>
  <c r="C100" i="150"/>
  <c r="D100" i="150"/>
  <c r="E100" i="150"/>
  <c r="F100" i="150"/>
  <c r="G100" i="150"/>
  <c r="H100" i="150"/>
  <c r="I100" i="150"/>
  <c r="B101" i="150"/>
  <c r="C101" i="150"/>
  <c r="D101" i="150"/>
  <c r="E101" i="150"/>
  <c r="F101" i="150"/>
  <c r="G101" i="150"/>
  <c r="H101" i="150"/>
  <c r="I101" i="150"/>
  <c r="B102" i="150"/>
  <c r="C102" i="150"/>
  <c r="D102" i="150"/>
  <c r="E102" i="150"/>
  <c r="F102" i="150"/>
  <c r="G102" i="150"/>
  <c r="H102" i="150"/>
  <c r="I102" i="150"/>
  <c r="EM5" i="175" l="1"/>
  <c r="EM12" i="175"/>
  <c r="EM3" i="175"/>
  <c r="EM4" i="175"/>
  <c r="EM6" i="175"/>
  <c r="YO3" i="178"/>
  <c r="K3" i="179" s="1"/>
  <c r="YM9" i="178"/>
  <c r="YN9" i="178" s="1"/>
  <c r="H3" i="179" s="1"/>
  <c r="WK16" i="178"/>
  <c r="WL16" i="178" s="1"/>
  <c r="WL17" i="178"/>
  <c r="WM6" i="178" s="1"/>
  <c r="WJ22" i="178"/>
  <c r="WM4" i="178"/>
  <c r="WK12" i="178"/>
  <c r="WL12" i="178" s="1"/>
  <c r="C63" i="176"/>
  <c r="E63" i="176" s="1"/>
  <c r="XH18" i="178"/>
  <c r="XE19" i="178"/>
  <c r="XG19" i="178" s="1"/>
  <c r="XH19" i="178" s="1"/>
  <c r="XG17" i="178"/>
  <c r="XJ15" i="178"/>
  <c r="XJ14" i="178"/>
  <c r="XJ13" i="178"/>
  <c r="XI13" i="178"/>
  <c r="XI12" i="178"/>
  <c r="XJ12" i="178" s="1"/>
  <c r="WH21" i="178"/>
  <c r="WJ21" i="178"/>
  <c r="WG25" i="178"/>
  <c r="WG26" i="178"/>
  <c r="WI26" i="178" s="1"/>
  <c r="VM24" i="178"/>
  <c r="VN24" i="178" s="1"/>
  <c r="O7" i="180" s="1"/>
  <c r="VK29" i="178"/>
  <c r="VI33" i="178" s="1"/>
  <c r="VL30" i="178"/>
  <c r="VI31" i="178"/>
  <c r="VK31" i="178" s="1"/>
  <c r="VL31" i="178" s="1"/>
  <c r="VN27" i="178"/>
  <c r="VN26" i="178"/>
  <c r="VN25" i="178"/>
  <c r="VM25" i="178"/>
  <c r="UO28" i="178"/>
  <c r="UP28" i="178" s="1"/>
  <c r="L8" i="180" s="1"/>
  <c r="UO29" i="178"/>
  <c r="UP29" i="178"/>
  <c r="UP31" i="178"/>
  <c r="UP30" i="178"/>
  <c r="UM33" i="178"/>
  <c r="UK37" i="178" s="1"/>
  <c r="UN34" i="178"/>
  <c r="UK35" i="178"/>
  <c r="UM35" i="178" s="1"/>
  <c r="UN35" i="178" s="1"/>
  <c r="TS9" i="178"/>
  <c r="C13" i="188"/>
  <c r="G13" i="188"/>
  <c r="I12" i="188"/>
  <c r="J12" i="188" s="1"/>
  <c r="TQ31" i="178"/>
  <c r="TQ30" i="178"/>
  <c r="TP33" i="178"/>
  <c r="TN33" i="178"/>
  <c r="TM38" i="178"/>
  <c r="TO38" i="178" s="1"/>
  <c r="TM37" i="178"/>
  <c r="NQ44" i="178"/>
  <c r="NO52" i="178"/>
  <c r="NP39" i="178"/>
  <c r="NQ39" i="178" s="1"/>
  <c r="NM40" i="178"/>
  <c r="NP49" i="178"/>
  <c r="NM50" i="178"/>
  <c r="NO50" i="178" s="1"/>
  <c r="NP50" i="178" s="1"/>
  <c r="NQ45" i="178"/>
  <c r="NR45" i="178"/>
  <c r="NR46" i="178"/>
  <c r="NR47" i="178"/>
  <c r="NM46" i="178"/>
  <c r="VA37" i="178"/>
  <c r="VX25" i="178"/>
  <c r="VY25" i="178" s="1"/>
  <c r="VU26" i="178"/>
  <c r="VY28" i="178"/>
  <c r="VY29" i="178"/>
  <c r="VV31" i="178"/>
  <c r="VX31" i="178"/>
  <c r="VW35" i="178"/>
  <c r="UY33" i="178"/>
  <c r="UY34" i="178" s="1"/>
  <c r="UX34" i="178" s="1"/>
  <c r="VA33" i="178"/>
  <c r="WT17" i="178"/>
  <c r="WV17" i="178"/>
  <c r="WU21" i="178"/>
  <c r="WS24" i="178"/>
  <c r="WW5" i="178"/>
  <c r="WU5" i="178"/>
  <c r="WU6" i="178" s="1"/>
  <c r="WT6" i="178" s="1"/>
  <c r="U3" i="180" s="1"/>
  <c r="R5" i="180"/>
  <c r="WU11" i="178"/>
  <c r="WW15" i="178"/>
  <c r="T4" i="180"/>
  <c r="WW14" i="178"/>
  <c r="WY4" i="178"/>
  <c r="D66" i="176"/>
  <c r="D14" i="179"/>
  <c r="N13" i="149" s="1"/>
  <c r="YI21" i="178"/>
  <c r="D65" i="176"/>
  <c r="C14" i="179"/>
  <c r="M13" i="149" s="1"/>
  <c r="EC79" i="178"/>
  <c r="B13" i="179" s="1"/>
  <c r="L12" i="149" s="1"/>
  <c r="DX77" i="178"/>
  <c r="DZ77" i="178" s="1"/>
  <c r="DZ71" i="178"/>
  <c r="EA71" i="178" s="1"/>
  <c r="EB71" i="178" s="1"/>
  <c r="EB72" i="178" s="1"/>
  <c r="EC72" i="178" s="1"/>
  <c r="UC44" i="178"/>
  <c r="UD46" i="178"/>
  <c r="TY46" i="178"/>
  <c r="UA46" i="178" s="1"/>
  <c r="UD47" i="178"/>
  <c r="TE52" i="178"/>
  <c r="TF52" i="178"/>
  <c r="TF58" i="178" s="1"/>
  <c r="UA40" i="178"/>
  <c r="UA41" i="178" s="1"/>
  <c r="TZ41" i="178" s="1"/>
  <c r="UC40" i="178"/>
  <c r="TE51" i="178"/>
  <c r="UZ38" i="178"/>
  <c r="UX38" i="178"/>
  <c r="UW45" i="178"/>
  <c r="UY42" i="178"/>
  <c r="UD45" i="178"/>
  <c r="UC45" i="178"/>
  <c r="TC59" i="178"/>
  <c r="TA63" i="178" s="1"/>
  <c r="TC47" i="178"/>
  <c r="TC48" i="178" s="1"/>
  <c r="TB48" i="178" s="1"/>
  <c r="TE47" i="178"/>
  <c r="UB49" i="178"/>
  <c r="TY50" i="178"/>
  <c r="UA50" i="178" s="1"/>
  <c r="UB50" i="178" s="1"/>
  <c r="TD56" i="178"/>
  <c r="TA57" i="178"/>
  <c r="TC57" i="178" s="1"/>
  <c r="TD57" i="178" s="1"/>
  <c r="VC7" i="178"/>
  <c r="UA52" i="178"/>
  <c r="TY56" i="178" s="1"/>
  <c r="TF53" i="178"/>
  <c r="TA53" i="178"/>
  <c r="TC53" i="178" s="1"/>
  <c r="TF54" i="178"/>
  <c r="YL25" i="178"/>
  <c r="YM25" i="178" s="1"/>
  <c r="YN25" i="178" s="1"/>
  <c r="I6" i="179" s="1"/>
  <c r="YI26" i="178"/>
  <c r="YJ31" i="178"/>
  <c r="YI38" i="178"/>
  <c r="YL31" i="178"/>
  <c r="YJ13" i="178"/>
  <c r="DX82" i="178"/>
  <c r="EA81" i="178"/>
  <c r="EB81" i="178" s="1"/>
  <c r="DY87" i="178"/>
  <c r="EA87" i="178"/>
  <c r="EC87" i="178" s="1"/>
  <c r="A15" i="179" s="1"/>
  <c r="K14" i="149" s="1"/>
  <c r="J14" i="149" s="1"/>
  <c r="DX94" i="178"/>
  <c r="ED16" i="178" s="1"/>
  <c r="E16" i="179" s="1"/>
  <c r="E19" i="176"/>
  <c r="EE13" i="175"/>
  <c r="EK13" i="175"/>
  <c r="EH13" i="175"/>
  <c r="EG13" i="175"/>
  <c r="J96" i="150"/>
  <c r="J95" i="150"/>
  <c r="ED13" i="175"/>
  <c r="EJ13" i="175"/>
  <c r="J94" i="150"/>
  <c r="J91" i="150"/>
  <c r="DZ5" i="175"/>
  <c r="EF5" i="175"/>
  <c r="EL5" i="175"/>
  <c r="EC6" i="175"/>
  <c r="EL12" i="175"/>
  <c r="J102" i="150"/>
  <c r="J101" i="150"/>
  <c r="J100" i="150"/>
  <c r="J97" i="150"/>
  <c r="J93" i="150"/>
  <c r="J92" i="150"/>
  <c r="DZ4" i="175"/>
  <c r="EF4" i="175"/>
  <c r="EL4" i="175"/>
  <c r="EC5" i="175"/>
  <c r="EI5" i="175"/>
  <c r="EF6" i="175"/>
  <c r="EL6" i="175"/>
  <c r="EI12" i="175"/>
  <c r="J99" i="150"/>
  <c r="J98" i="150"/>
  <c r="EI4" i="175"/>
  <c r="EI6" i="175"/>
  <c r="EF3" i="175"/>
  <c r="EF12" i="175"/>
  <c r="EC12" i="175"/>
  <c r="EC4" i="175"/>
  <c r="EA13" i="175"/>
  <c r="EB13" i="175"/>
  <c r="EN6" i="175"/>
  <c r="EN12" i="175"/>
  <c r="EN5" i="175"/>
  <c r="EN4" i="175"/>
  <c r="DX13" i="175"/>
  <c r="DY13" i="175"/>
  <c r="DZ6" i="175"/>
  <c r="DZ12" i="175"/>
  <c r="EC3" i="175"/>
  <c r="DZ3" i="175"/>
  <c r="EL3" i="175"/>
  <c r="EI3" i="175"/>
  <c r="EN3" i="175"/>
  <c r="B93" i="151"/>
  <c r="C93" i="151"/>
  <c r="D93" i="151"/>
  <c r="E93" i="151"/>
  <c r="F93" i="151"/>
  <c r="G93" i="151"/>
  <c r="H93" i="151"/>
  <c r="I93" i="151"/>
  <c r="B94" i="151"/>
  <c r="C94" i="151"/>
  <c r="D94" i="151"/>
  <c r="E94" i="151"/>
  <c r="F94" i="151"/>
  <c r="G94" i="151"/>
  <c r="H94" i="151"/>
  <c r="I94" i="151"/>
  <c r="B95" i="151"/>
  <c r="C95" i="151"/>
  <c r="D95" i="151"/>
  <c r="E95" i="151"/>
  <c r="F95" i="151"/>
  <c r="G95" i="151"/>
  <c r="H95" i="151"/>
  <c r="I95" i="151"/>
  <c r="B96" i="151"/>
  <c r="C96" i="151"/>
  <c r="D96" i="151"/>
  <c r="E96" i="151"/>
  <c r="F96" i="151"/>
  <c r="G96" i="151"/>
  <c r="H96" i="151"/>
  <c r="I96" i="151"/>
  <c r="B97" i="151"/>
  <c r="C97" i="151"/>
  <c r="D97" i="151"/>
  <c r="E97" i="151"/>
  <c r="F97" i="151"/>
  <c r="G97" i="151"/>
  <c r="H97" i="151"/>
  <c r="I97" i="151"/>
  <c r="B98" i="151"/>
  <c r="C98" i="151"/>
  <c r="D98" i="151"/>
  <c r="E98" i="151"/>
  <c r="F98" i="151"/>
  <c r="G98" i="151"/>
  <c r="H98" i="151"/>
  <c r="I98" i="151"/>
  <c r="B99" i="151"/>
  <c r="C99" i="151"/>
  <c r="D99" i="151"/>
  <c r="E99" i="151"/>
  <c r="F99" i="151"/>
  <c r="G99" i="151"/>
  <c r="H99" i="151"/>
  <c r="I99" i="151"/>
  <c r="B100" i="151"/>
  <c r="C100" i="151"/>
  <c r="D100" i="151"/>
  <c r="E100" i="151"/>
  <c r="F100" i="151"/>
  <c r="G100" i="151"/>
  <c r="H100" i="151"/>
  <c r="I100" i="151"/>
  <c r="B101" i="151"/>
  <c r="C101" i="151"/>
  <c r="D101" i="151"/>
  <c r="E101" i="151"/>
  <c r="F101" i="151"/>
  <c r="G101" i="151"/>
  <c r="H101" i="151"/>
  <c r="I101" i="151"/>
  <c r="B102" i="151"/>
  <c r="C102" i="151"/>
  <c r="D102" i="151"/>
  <c r="E102" i="151"/>
  <c r="F102" i="151"/>
  <c r="G102" i="151"/>
  <c r="H102" i="151"/>
  <c r="I102" i="151"/>
  <c r="B103" i="151"/>
  <c r="C103" i="151"/>
  <c r="D103" i="151"/>
  <c r="E103" i="151"/>
  <c r="F103" i="151"/>
  <c r="G103" i="151"/>
  <c r="H103" i="151"/>
  <c r="I103" i="151"/>
  <c r="B104" i="151"/>
  <c r="C104" i="151"/>
  <c r="D104" i="151"/>
  <c r="E104" i="151"/>
  <c r="F104" i="151"/>
  <c r="G104" i="151"/>
  <c r="H104" i="151"/>
  <c r="I104" i="151"/>
  <c r="B105" i="151"/>
  <c r="C105" i="151"/>
  <c r="D105" i="151"/>
  <c r="E105" i="151"/>
  <c r="F105" i="151"/>
  <c r="G105" i="151"/>
  <c r="H105" i="151"/>
  <c r="I105" i="151"/>
  <c r="B106" i="151"/>
  <c r="C106" i="151"/>
  <c r="D106" i="151"/>
  <c r="E106" i="151"/>
  <c r="F106" i="151"/>
  <c r="G106" i="151"/>
  <c r="H106" i="151"/>
  <c r="I106" i="151"/>
  <c r="B107" i="151"/>
  <c r="C107" i="151"/>
  <c r="D107" i="151"/>
  <c r="E107" i="151"/>
  <c r="F107" i="151"/>
  <c r="G107" i="151"/>
  <c r="H107" i="151"/>
  <c r="I107" i="151"/>
  <c r="B108" i="151"/>
  <c r="C108" i="151"/>
  <c r="D108" i="151"/>
  <c r="E108" i="151"/>
  <c r="F108" i="151"/>
  <c r="G108" i="151"/>
  <c r="H108" i="151"/>
  <c r="I108" i="151"/>
  <c r="B109" i="151"/>
  <c r="C109" i="151"/>
  <c r="D109" i="151"/>
  <c r="E109" i="151"/>
  <c r="F109" i="151"/>
  <c r="G109" i="151"/>
  <c r="H109" i="151"/>
  <c r="I109" i="151"/>
  <c r="B110" i="151"/>
  <c r="C110" i="151"/>
  <c r="D110" i="151"/>
  <c r="E110" i="151"/>
  <c r="F110" i="151"/>
  <c r="G110" i="151"/>
  <c r="H110" i="151"/>
  <c r="I110" i="151"/>
  <c r="B111" i="151"/>
  <c r="C111" i="151"/>
  <c r="D111" i="151"/>
  <c r="E111" i="151"/>
  <c r="F111" i="151"/>
  <c r="G111" i="151"/>
  <c r="H111" i="151"/>
  <c r="I111" i="151"/>
  <c r="B112" i="151"/>
  <c r="C112" i="151"/>
  <c r="D112" i="151"/>
  <c r="E112" i="151"/>
  <c r="F112" i="151"/>
  <c r="G112" i="151"/>
  <c r="H112" i="151"/>
  <c r="I112" i="151"/>
  <c r="B113" i="151"/>
  <c r="C113" i="151"/>
  <c r="D113" i="151"/>
  <c r="E113" i="151"/>
  <c r="F113" i="151"/>
  <c r="G113" i="151"/>
  <c r="H113" i="151"/>
  <c r="I113" i="151"/>
  <c r="B114" i="151"/>
  <c r="C114" i="151"/>
  <c r="D114" i="151"/>
  <c r="E114" i="151"/>
  <c r="F114" i="151"/>
  <c r="G114" i="151"/>
  <c r="H114" i="151"/>
  <c r="I114" i="151"/>
  <c r="B115" i="151"/>
  <c r="C115" i="151"/>
  <c r="D115" i="151"/>
  <c r="E115" i="151"/>
  <c r="F115" i="151"/>
  <c r="G115" i="151"/>
  <c r="H115" i="151"/>
  <c r="I115" i="151"/>
  <c r="B116" i="151"/>
  <c r="C116" i="151"/>
  <c r="D116" i="151"/>
  <c r="E116" i="151"/>
  <c r="F116" i="151"/>
  <c r="G116" i="151"/>
  <c r="H116" i="151"/>
  <c r="I116" i="151"/>
  <c r="B117" i="151"/>
  <c r="C117" i="151"/>
  <c r="D117" i="151"/>
  <c r="E117" i="151"/>
  <c r="F117" i="151"/>
  <c r="G117" i="151"/>
  <c r="H117" i="151"/>
  <c r="I117" i="151"/>
  <c r="B118" i="151"/>
  <c r="C118" i="151"/>
  <c r="D118" i="151"/>
  <c r="E118" i="151"/>
  <c r="F118" i="151"/>
  <c r="G118" i="151"/>
  <c r="H118" i="151"/>
  <c r="I118" i="151"/>
  <c r="B119" i="151"/>
  <c r="C119" i="151"/>
  <c r="D119" i="151"/>
  <c r="E119" i="151"/>
  <c r="F119" i="151"/>
  <c r="G119" i="151"/>
  <c r="H119" i="151"/>
  <c r="I119" i="151"/>
  <c r="B120" i="151"/>
  <c r="C120" i="151"/>
  <c r="D120" i="151"/>
  <c r="E120" i="151"/>
  <c r="F120" i="151"/>
  <c r="G120" i="151"/>
  <c r="H120" i="151"/>
  <c r="I120" i="151"/>
  <c r="B121" i="151"/>
  <c r="C121" i="151"/>
  <c r="D121" i="151"/>
  <c r="E121" i="151"/>
  <c r="F121" i="151"/>
  <c r="G121" i="151"/>
  <c r="H121" i="151"/>
  <c r="I121" i="151"/>
  <c r="B122" i="151"/>
  <c r="C122" i="151"/>
  <c r="D122" i="151"/>
  <c r="E122" i="151"/>
  <c r="F122" i="151"/>
  <c r="G122" i="151"/>
  <c r="H122" i="151"/>
  <c r="I122" i="151"/>
  <c r="B123" i="151"/>
  <c r="C123" i="151"/>
  <c r="D123" i="151"/>
  <c r="E123" i="151"/>
  <c r="F123" i="151"/>
  <c r="G123" i="151"/>
  <c r="H123" i="151"/>
  <c r="I123" i="151"/>
  <c r="B124" i="151"/>
  <c r="C124" i="151"/>
  <c r="D124" i="151"/>
  <c r="E124" i="151"/>
  <c r="F124" i="151"/>
  <c r="G124" i="151"/>
  <c r="H124" i="151"/>
  <c r="I124" i="151"/>
  <c r="B125" i="151"/>
  <c r="C125" i="151"/>
  <c r="D125" i="151"/>
  <c r="E125" i="151"/>
  <c r="F125" i="151"/>
  <c r="G125" i="151"/>
  <c r="H125" i="151"/>
  <c r="I125" i="151"/>
  <c r="B126" i="151"/>
  <c r="C126" i="151"/>
  <c r="D126" i="151"/>
  <c r="E126" i="151"/>
  <c r="F126" i="151"/>
  <c r="G126" i="151"/>
  <c r="H126" i="151"/>
  <c r="I126" i="151"/>
  <c r="B127" i="151"/>
  <c r="C127" i="151"/>
  <c r="D127" i="151"/>
  <c r="E127" i="151"/>
  <c r="F127" i="151"/>
  <c r="G127" i="151"/>
  <c r="H127" i="151"/>
  <c r="I127" i="151"/>
  <c r="B128" i="151"/>
  <c r="C128" i="151"/>
  <c r="D128" i="151"/>
  <c r="E128" i="151"/>
  <c r="F128" i="151"/>
  <c r="G128" i="151"/>
  <c r="H128" i="151"/>
  <c r="I128" i="151"/>
  <c r="B129" i="151"/>
  <c r="C129" i="151"/>
  <c r="D129" i="151"/>
  <c r="E129" i="151"/>
  <c r="F129" i="151"/>
  <c r="G129" i="151"/>
  <c r="H129" i="151"/>
  <c r="I129" i="151"/>
  <c r="B130" i="151"/>
  <c r="C130" i="151"/>
  <c r="D130" i="151"/>
  <c r="E130" i="151"/>
  <c r="F130" i="151"/>
  <c r="G130" i="151"/>
  <c r="H130" i="151"/>
  <c r="I130" i="151"/>
  <c r="B131" i="151"/>
  <c r="C131" i="151"/>
  <c r="D131" i="151"/>
  <c r="E131" i="151"/>
  <c r="F131" i="151"/>
  <c r="G131" i="151"/>
  <c r="H131" i="151"/>
  <c r="I131" i="151"/>
  <c r="B132" i="151"/>
  <c r="C132" i="151"/>
  <c r="D132" i="151"/>
  <c r="E132" i="151"/>
  <c r="F132" i="151"/>
  <c r="G132" i="151"/>
  <c r="H132" i="151"/>
  <c r="I132" i="151"/>
  <c r="B133" i="151"/>
  <c r="C133" i="151"/>
  <c r="D133" i="151"/>
  <c r="E133" i="151"/>
  <c r="F133" i="151"/>
  <c r="G133" i="151"/>
  <c r="H133" i="151"/>
  <c r="I133" i="151"/>
  <c r="B134" i="151"/>
  <c r="C134" i="151"/>
  <c r="D134" i="151"/>
  <c r="E134" i="151"/>
  <c r="F134" i="151"/>
  <c r="G134" i="151"/>
  <c r="H134" i="151"/>
  <c r="I134" i="151"/>
  <c r="B135" i="151"/>
  <c r="C135" i="151"/>
  <c r="D135" i="151"/>
  <c r="E135" i="151"/>
  <c r="F135" i="151"/>
  <c r="G135" i="151"/>
  <c r="H135" i="151"/>
  <c r="I135" i="151"/>
  <c r="B136" i="151"/>
  <c r="C136" i="151"/>
  <c r="D136" i="151"/>
  <c r="E136" i="151"/>
  <c r="F136" i="151"/>
  <c r="G136" i="151"/>
  <c r="H136" i="151"/>
  <c r="I136" i="151"/>
  <c r="B137" i="151"/>
  <c r="C137" i="151"/>
  <c r="D137" i="151"/>
  <c r="E137" i="151"/>
  <c r="F137" i="151"/>
  <c r="G137" i="151"/>
  <c r="H137" i="151"/>
  <c r="I137" i="151"/>
  <c r="B138" i="151"/>
  <c r="C138" i="151"/>
  <c r="D138" i="151"/>
  <c r="E138" i="151"/>
  <c r="F138" i="151"/>
  <c r="G138" i="151"/>
  <c r="H138" i="151"/>
  <c r="I138" i="151"/>
  <c r="B139" i="151"/>
  <c r="C139" i="151"/>
  <c r="D139" i="151"/>
  <c r="E139" i="151"/>
  <c r="F139" i="151"/>
  <c r="G139" i="151"/>
  <c r="H139" i="151"/>
  <c r="I139" i="151"/>
  <c r="B140" i="151"/>
  <c r="C140" i="151"/>
  <c r="D140" i="151"/>
  <c r="E140" i="151"/>
  <c r="F140" i="151"/>
  <c r="G140" i="151"/>
  <c r="H140" i="151"/>
  <c r="I140" i="151"/>
  <c r="B141" i="151"/>
  <c r="C141" i="151"/>
  <c r="D141" i="151"/>
  <c r="E141" i="151"/>
  <c r="F141" i="151"/>
  <c r="G141" i="151"/>
  <c r="H141" i="151"/>
  <c r="I141" i="151"/>
  <c r="B142" i="151"/>
  <c r="C142" i="151"/>
  <c r="D142" i="151"/>
  <c r="E142" i="151"/>
  <c r="F142" i="151"/>
  <c r="G142" i="151"/>
  <c r="H142" i="151"/>
  <c r="I142" i="151"/>
  <c r="B143" i="151"/>
  <c r="C143" i="151"/>
  <c r="D143" i="151"/>
  <c r="E143" i="151"/>
  <c r="F143" i="151"/>
  <c r="G143" i="151"/>
  <c r="H143" i="151"/>
  <c r="I143" i="151"/>
  <c r="B144" i="151"/>
  <c r="C144" i="151"/>
  <c r="D144" i="151"/>
  <c r="E144" i="151"/>
  <c r="F144" i="151"/>
  <c r="G144" i="151"/>
  <c r="H144" i="151"/>
  <c r="I144" i="151"/>
  <c r="B145" i="151"/>
  <c r="C145" i="151"/>
  <c r="D145" i="151"/>
  <c r="E145" i="151"/>
  <c r="F145" i="151"/>
  <c r="G145" i="151"/>
  <c r="H145" i="151"/>
  <c r="I145" i="151"/>
  <c r="B146" i="151"/>
  <c r="C146" i="151"/>
  <c r="D146" i="151"/>
  <c r="E146" i="151"/>
  <c r="F146" i="151"/>
  <c r="G146" i="151"/>
  <c r="H146" i="151"/>
  <c r="I146" i="151"/>
  <c r="B147" i="151"/>
  <c r="C147" i="151"/>
  <c r="D147" i="151"/>
  <c r="E147" i="151"/>
  <c r="F147" i="151"/>
  <c r="G147" i="151"/>
  <c r="H147" i="151"/>
  <c r="I147" i="151"/>
  <c r="B148" i="151"/>
  <c r="C148" i="151"/>
  <c r="D148" i="151"/>
  <c r="E148" i="151"/>
  <c r="F148" i="151"/>
  <c r="G148" i="151"/>
  <c r="H148" i="151"/>
  <c r="I148" i="151"/>
  <c r="B149" i="151"/>
  <c r="C149" i="151"/>
  <c r="D149" i="151"/>
  <c r="E149" i="151"/>
  <c r="F149" i="151"/>
  <c r="G149" i="151"/>
  <c r="H149" i="151"/>
  <c r="I149" i="151"/>
  <c r="B150" i="151"/>
  <c r="C150" i="151"/>
  <c r="D150" i="151"/>
  <c r="E150" i="151"/>
  <c r="F150" i="151"/>
  <c r="G150" i="151"/>
  <c r="H150" i="151"/>
  <c r="I150" i="151"/>
  <c r="B151" i="151"/>
  <c r="C151" i="151"/>
  <c r="D151" i="151"/>
  <c r="E151" i="151"/>
  <c r="F151" i="151"/>
  <c r="G151" i="151"/>
  <c r="H151" i="151"/>
  <c r="I151" i="151"/>
  <c r="B152" i="151"/>
  <c r="C152" i="151"/>
  <c r="D152" i="151"/>
  <c r="E152" i="151"/>
  <c r="F152" i="151"/>
  <c r="G152" i="151"/>
  <c r="H152" i="151"/>
  <c r="I152" i="151"/>
  <c r="B153" i="151"/>
  <c r="C153" i="151"/>
  <c r="D153" i="151"/>
  <c r="E153" i="151"/>
  <c r="F153" i="151"/>
  <c r="G153" i="151"/>
  <c r="H153" i="151"/>
  <c r="I153" i="151"/>
  <c r="B154" i="151"/>
  <c r="C154" i="151"/>
  <c r="D154" i="151"/>
  <c r="E154" i="151"/>
  <c r="F154" i="151"/>
  <c r="G154" i="151"/>
  <c r="H154" i="151"/>
  <c r="I154" i="151"/>
  <c r="B155" i="151"/>
  <c r="C155" i="151"/>
  <c r="D155" i="151"/>
  <c r="E155" i="151"/>
  <c r="F155" i="151"/>
  <c r="G155" i="151"/>
  <c r="H155" i="151"/>
  <c r="I155" i="151"/>
  <c r="B156" i="151"/>
  <c r="C156" i="151"/>
  <c r="D156" i="151"/>
  <c r="E156" i="151"/>
  <c r="F156" i="151"/>
  <c r="G156" i="151"/>
  <c r="H156" i="151"/>
  <c r="I156" i="151"/>
  <c r="B157" i="151"/>
  <c r="C157" i="151"/>
  <c r="D157" i="151"/>
  <c r="E157" i="151"/>
  <c r="F157" i="151"/>
  <c r="G157" i="151"/>
  <c r="H157" i="151"/>
  <c r="I157" i="151"/>
  <c r="B158" i="151"/>
  <c r="C158" i="151"/>
  <c r="D158" i="151"/>
  <c r="E158" i="151"/>
  <c r="F158" i="151"/>
  <c r="G158" i="151"/>
  <c r="H158" i="151"/>
  <c r="I158" i="151"/>
  <c r="B159" i="151"/>
  <c r="C159" i="151"/>
  <c r="D159" i="151"/>
  <c r="E159" i="151"/>
  <c r="F159" i="151"/>
  <c r="G159" i="151"/>
  <c r="H159" i="151"/>
  <c r="I159" i="151"/>
  <c r="B160" i="151"/>
  <c r="C160" i="151"/>
  <c r="D160" i="151"/>
  <c r="E160" i="151"/>
  <c r="F160" i="151"/>
  <c r="G160" i="151"/>
  <c r="H160" i="151"/>
  <c r="I160" i="151"/>
  <c r="B161" i="151"/>
  <c r="C161" i="151"/>
  <c r="D161" i="151"/>
  <c r="E161" i="151"/>
  <c r="F161" i="151"/>
  <c r="G161" i="151"/>
  <c r="H161" i="151"/>
  <c r="I161" i="151"/>
  <c r="B162" i="151"/>
  <c r="C162" i="151"/>
  <c r="D162" i="151"/>
  <c r="E162" i="151"/>
  <c r="F162" i="151"/>
  <c r="G162" i="151"/>
  <c r="H162" i="151"/>
  <c r="I162" i="151"/>
  <c r="B163" i="151"/>
  <c r="C163" i="151"/>
  <c r="D163" i="151"/>
  <c r="E163" i="151"/>
  <c r="F163" i="151"/>
  <c r="G163" i="151"/>
  <c r="H163" i="151"/>
  <c r="I163" i="151"/>
  <c r="B164" i="151"/>
  <c r="C164" i="151"/>
  <c r="D164" i="151"/>
  <c r="E164" i="151"/>
  <c r="F164" i="151"/>
  <c r="G164" i="151"/>
  <c r="H164" i="151"/>
  <c r="I164" i="151"/>
  <c r="B165" i="151"/>
  <c r="C165" i="151"/>
  <c r="D165" i="151"/>
  <c r="E165" i="151"/>
  <c r="F165" i="151"/>
  <c r="G165" i="151"/>
  <c r="H165" i="151"/>
  <c r="I165" i="151"/>
  <c r="B166" i="151"/>
  <c r="C166" i="151"/>
  <c r="D166" i="151"/>
  <c r="E166" i="151"/>
  <c r="F166" i="151"/>
  <c r="G166" i="151"/>
  <c r="H166" i="151"/>
  <c r="I166" i="151"/>
  <c r="B167" i="151"/>
  <c r="C167" i="151"/>
  <c r="D167" i="151"/>
  <c r="E167" i="151"/>
  <c r="F167" i="151"/>
  <c r="G167" i="151"/>
  <c r="H167" i="151"/>
  <c r="I167" i="151"/>
  <c r="B168" i="151"/>
  <c r="C168" i="151"/>
  <c r="D168" i="151"/>
  <c r="E168" i="151"/>
  <c r="F168" i="151"/>
  <c r="G168" i="151"/>
  <c r="H168" i="151"/>
  <c r="I168" i="151"/>
  <c r="B169" i="151"/>
  <c r="C169" i="151"/>
  <c r="D169" i="151"/>
  <c r="E169" i="151"/>
  <c r="F169" i="151"/>
  <c r="G169" i="151"/>
  <c r="H169" i="151"/>
  <c r="I169" i="151"/>
  <c r="B170" i="151"/>
  <c r="C170" i="151"/>
  <c r="D170" i="151"/>
  <c r="E170" i="151"/>
  <c r="F170" i="151"/>
  <c r="G170" i="151"/>
  <c r="H170" i="151"/>
  <c r="I170" i="151"/>
  <c r="B171" i="151"/>
  <c r="C171" i="151"/>
  <c r="D171" i="151"/>
  <c r="E171" i="151"/>
  <c r="F171" i="151"/>
  <c r="G171" i="151"/>
  <c r="H171" i="151"/>
  <c r="I171" i="151"/>
  <c r="B12" i="179" l="1"/>
  <c r="L11" i="149" s="1"/>
  <c r="D56" i="176"/>
  <c r="C56" i="176" s="1"/>
  <c r="E56" i="176" s="1"/>
  <c r="ED12" i="178"/>
  <c r="E12" i="179" s="1"/>
  <c r="WK19" i="178"/>
  <c r="WK18" i="178"/>
  <c r="C65" i="176"/>
  <c r="E65" i="176" s="1"/>
  <c r="C66" i="176"/>
  <c r="E66" i="176" s="1"/>
  <c r="K9" i="180"/>
  <c r="XI14" i="178"/>
  <c r="XI15" i="178"/>
  <c r="XK5" i="178"/>
  <c r="XF17" i="178"/>
  <c r="XH17" i="178"/>
  <c r="XE22" i="178"/>
  <c r="XG22" i="178" s="1"/>
  <c r="XE21" i="178"/>
  <c r="WJ26" i="178"/>
  <c r="WG27" i="178"/>
  <c r="WI27" i="178" s="1"/>
  <c r="WJ27" i="178" s="1"/>
  <c r="WI25" i="178"/>
  <c r="WL21" i="178"/>
  <c r="WK21" i="178"/>
  <c r="WL22" i="178"/>
  <c r="WL23" i="178"/>
  <c r="VM27" i="178"/>
  <c r="VO8" i="178"/>
  <c r="VM26" i="178"/>
  <c r="VJ29" i="178"/>
  <c r="VL29" i="178"/>
  <c r="VI34" i="178"/>
  <c r="VK34" i="178" s="1"/>
  <c r="UD51" i="178"/>
  <c r="UN33" i="178"/>
  <c r="UL33" i="178"/>
  <c r="UK38" i="178"/>
  <c r="UM38" i="178" s="1"/>
  <c r="UO30" i="178"/>
  <c r="UO31" i="178"/>
  <c r="UQ9" i="178"/>
  <c r="H13" i="188"/>
  <c r="B14" i="188"/>
  <c r="D13" i="188"/>
  <c r="E13" i="188" s="1"/>
  <c r="TQ32" i="178"/>
  <c r="TR32" i="178" s="1"/>
  <c r="I9" i="180" s="1"/>
  <c r="TO37" i="178"/>
  <c r="TP38" i="178"/>
  <c r="TM39" i="178"/>
  <c r="TO39" i="178" s="1"/>
  <c r="TP39" i="178" s="1"/>
  <c r="TR33" i="178"/>
  <c r="TQ33" i="178"/>
  <c r="TR35" i="178"/>
  <c r="TR34" i="178"/>
  <c r="TS10" i="178" s="1"/>
  <c r="NO46" i="178"/>
  <c r="NQ50" i="178"/>
  <c r="NQ49" i="178"/>
  <c r="NS9" i="178"/>
  <c r="NT9" i="178" s="1"/>
  <c r="NO40" i="178"/>
  <c r="NO41" i="178" s="1"/>
  <c r="NN41" i="178" s="1"/>
  <c r="NR44" i="178" s="1"/>
  <c r="NQ40" i="178"/>
  <c r="NN52" i="178"/>
  <c r="NP52" i="178"/>
  <c r="NM56" i="178"/>
  <c r="NO56" i="178" s="1"/>
  <c r="NM59" i="178"/>
  <c r="VY30" i="178"/>
  <c r="VX35" i="178"/>
  <c r="VU36" i="178"/>
  <c r="VW36" i="178" s="1"/>
  <c r="VX36" i="178" s="1"/>
  <c r="VZ31" i="178"/>
  <c r="VZ37" i="178" s="1"/>
  <c r="VY31" i="178"/>
  <c r="VW26" i="178"/>
  <c r="VW27" i="178" s="1"/>
  <c r="VV27" i="178" s="1"/>
  <c r="VY26" i="178"/>
  <c r="VZ32" i="178"/>
  <c r="VZ33" i="178"/>
  <c r="VU32" i="178"/>
  <c r="VW32" i="178" s="1"/>
  <c r="Q6" i="180"/>
  <c r="WA6" i="178"/>
  <c r="WS12" i="178"/>
  <c r="WV11" i="178"/>
  <c r="WW11" i="178" s="1"/>
  <c r="VU38" i="178"/>
  <c r="WX19" i="178"/>
  <c r="WS18" i="178"/>
  <c r="WU18" i="178" s="1"/>
  <c r="WX18" i="178"/>
  <c r="WW16" i="178"/>
  <c r="WU24" i="178"/>
  <c r="WS28" i="178" s="1"/>
  <c r="WX17" i="178"/>
  <c r="WX23" i="178" s="1"/>
  <c r="WW17" i="178"/>
  <c r="WV21" i="178"/>
  <c r="WS22" i="178"/>
  <c r="WU22" i="178" s="1"/>
  <c r="WV22" i="178" s="1"/>
  <c r="D60" i="176"/>
  <c r="DX78" i="178"/>
  <c r="EA77" i="178"/>
  <c r="EB77" i="178" s="1"/>
  <c r="YK21" i="178"/>
  <c r="YI14" i="178"/>
  <c r="TG10" i="178"/>
  <c r="TE56" i="178"/>
  <c r="TE57" i="178"/>
  <c r="TD53" i="178"/>
  <c r="TE53" i="178" s="1"/>
  <c r="TA54" i="178"/>
  <c r="TB59" i="178"/>
  <c r="TD59" i="178"/>
  <c r="TA66" i="178"/>
  <c r="TC63" i="178"/>
  <c r="UY45" i="178"/>
  <c r="UW49" i="178" s="1"/>
  <c r="UW39" i="178"/>
  <c r="UY39" i="178" s="1"/>
  <c r="VB40" i="178"/>
  <c r="VB39" i="178"/>
  <c r="TZ52" i="178"/>
  <c r="UB52" i="178"/>
  <c r="TY59" i="178"/>
  <c r="UA56" i="178"/>
  <c r="UC49" i="178"/>
  <c r="UC50" i="178"/>
  <c r="UE9" i="178"/>
  <c r="VA38" i="178"/>
  <c r="VB38" i="178"/>
  <c r="N8" i="180" s="1"/>
  <c r="UB46" i="178"/>
  <c r="UC46" i="178" s="1"/>
  <c r="TY47" i="178"/>
  <c r="UZ42" i="178"/>
  <c r="UW43" i="178"/>
  <c r="UY43" i="178" s="1"/>
  <c r="UZ43" i="178" s="1"/>
  <c r="YK38" i="178"/>
  <c r="YK26" i="178"/>
  <c r="YK27" i="178" s="1"/>
  <c r="YJ27" i="178" s="1"/>
  <c r="YM26" i="178"/>
  <c r="YN26" i="178" s="1"/>
  <c r="J6" i="179" s="1"/>
  <c r="YN33" i="178"/>
  <c r="J7" i="179" s="1"/>
  <c r="YI32" i="178"/>
  <c r="YK32" i="178" s="1"/>
  <c r="YN32" i="178"/>
  <c r="I7" i="179" s="1"/>
  <c r="YN31" i="178"/>
  <c r="G7" i="179" s="1"/>
  <c r="YM31" i="178"/>
  <c r="EB87" i="178"/>
  <c r="D67" i="176"/>
  <c r="EC88" i="178"/>
  <c r="EC89" i="178"/>
  <c r="DX88" i="178"/>
  <c r="DZ88" i="178" s="1"/>
  <c r="DZ94" i="178"/>
  <c r="EB82" i="178"/>
  <c r="DZ82" i="178"/>
  <c r="DZ83" i="178" s="1"/>
  <c r="DY83" i="178" s="1"/>
  <c r="EM13" i="175"/>
  <c r="EK14" i="175"/>
  <c r="EF13" i="175"/>
  <c r="EH14" i="175"/>
  <c r="EL13" i="175"/>
  <c r="EI13" i="175"/>
  <c r="EN14" i="175"/>
  <c r="EB14" i="175"/>
  <c r="EE14" i="175"/>
  <c r="DY14" i="175"/>
  <c r="DZ13" i="175"/>
  <c r="EC13" i="175"/>
  <c r="EN13" i="175"/>
  <c r="J108" i="151"/>
  <c r="J96" i="151"/>
  <c r="J116" i="151"/>
  <c r="J120" i="151"/>
  <c r="J100" i="151"/>
  <c r="J104" i="151"/>
  <c r="J112" i="151"/>
  <c r="J140" i="151"/>
  <c r="J119" i="151"/>
  <c r="J114" i="151"/>
  <c r="J109" i="151"/>
  <c r="J103" i="151"/>
  <c r="J98" i="151"/>
  <c r="J93" i="151"/>
  <c r="J148" i="151"/>
  <c r="J121" i="151"/>
  <c r="J115" i="151"/>
  <c r="J110" i="151"/>
  <c r="J105" i="151"/>
  <c r="J99" i="151"/>
  <c r="J94" i="151"/>
  <c r="J152" i="151"/>
  <c r="J144" i="151"/>
  <c r="J132" i="151"/>
  <c r="J122" i="151"/>
  <c r="J117" i="151"/>
  <c r="J111" i="151"/>
  <c r="J106" i="151"/>
  <c r="J101" i="151"/>
  <c r="J95" i="151"/>
  <c r="J136" i="151"/>
  <c r="J128" i="151"/>
  <c r="J124" i="151"/>
  <c r="J118" i="151"/>
  <c r="J113" i="151"/>
  <c r="J107" i="151"/>
  <c r="J102" i="151"/>
  <c r="J97" i="151"/>
  <c r="J160" i="151"/>
  <c r="J164" i="151"/>
  <c r="J168" i="151"/>
  <c r="J156" i="151"/>
  <c r="J167" i="151"/>
  <c r="J162" i="151"/>
  <c r="J157" i="151"/>
  <c r="J151" i="151"/>
  <c r="J146" i="151"/>
  <c r="J141" i="151"/>
  <c r="J135" i="151"/>
  <c r="J130" i="151"/>
  <c r="J125" i="151"/>
  <c r="J169" i="151"/>
  <c r="J163" i="151"/>
  <c r="J158" i="151"/>
  <c r="J153" i="151"/>
  <c r="J147" i="151"/>
  <c r="J142" i="151"/>
  <c r="J137" i="151"/>
  <c r="J131" i="151"/>
  <c r="J126" i="151"/>
  <c r="J171" i="151"/>
  <c r="J170" i="151"/>
  <c r="J165" i="151"/>
  <c r="J159" i="151"/>
  <c r="J154" i="151"/>
  <c r="J149" i="151"/>
  <c r="J143" i="151"/>
  <c r="J138" i="151"/>
  <c r="J133" i="151"/>
  <c r="J127" i="151"/>
  <c r="J166" i="151"/>
  <c r="J161" i="151"/>
  <c r="J155" i="151"/>
  <c r="J150" i="151"/>
  <c r="J145" i="151"/>
  <c r="J139" i="151"/>
  <c r="J134" i="151"/>
  <c r="J129" i="151"/>
  <c r="J123" i="151"/>
  <c r="B86" i="150"/>
  <c r="C86" i="150"/>
  <c r="D86" i="150"/>
  <c r="E86" i="150"/>
  <c r="F86" i="150"/>
  <c r="G86" i="150"/>
  <c r="H86" i="150"/>
  <c r="I86" i="150"/>
  <c r="B87" i="150"/>
  <c r="C87" i="150"/>
  <c r="D87" i="150"/>
  <c r="E87" i="150"/>
  <c r="F87" i="150"/>
  <c r="G87" i="150"/>
  <c r="H87" i="150"/>
  <c r="I87" i="150"/>
  <c r="B88" i="150"/>
  <c r="C88" i="150"/>
  <c r="D88" i="150"/>
  <c r="E88" i="150"/>
  <c r="F88" i="150"/>
  <c r="G88" i="150"/>
  <c r="H88" i="150"/>
  <c r="I88" i="150"/>
  <c r="B89" i="150"/>
  <c r="C89" i="150"/>
  <c r="D89" i="150"/>
  <c r="E89" i="150"/>
  <c r="F89" i="150"/>
  <c r="G89" i="150"/>
  <c r="H89" i="150"/>
  <c r="I89" i="150"/>
  <c r="B90" i="150"/>
  <c r="C90" i="150"/>
  <c r="D90" i="150"/>
  <c r="E90" i="150"/>
  <c r="F90" i="150"/>
  <c r="G90" i="150"/>
  <c r="H90" i="150"/>
  <c r="I90" i="150"/>
  <c r="B56" i="169"/>
  <c r="C56" i="169"/>
  <c r="B57" i="169"/>
  <c r="C57" i="169"/>
  <c r="B58" i="169"/>
  <c r="B59" i="169"/>
  <c r="B60" i="169"/>
  <c r="B61" i="169"/>
  <c r="B62" i="169"/>
  <c r="B63" i="169"/>
  <c r="C63" i="169"/>
  <c r="B64" i="169"/>
  <c r="C64" i="169"/>
  <c r="B65" i="169"/>
  <c r="B66" i="169"/>
  <c r="B67" i="169"/>
  <c r="B68" i="169"/>
  <c r="C68" i="169"/>
  <c r="B69" i="169"/>
  <c r="C69" i="169"/>
  <c r="B70" i="169"/>
  <c r="C70" i="169"/>
  <c r="B71" i="169"/>
  <c r="C71" i="169"/>
  <c r="B72" i="169"/>
  <c r="C72" i="169"/>
  <c r="B73" i="169"/>
  <c r="C73" i="169"/>
  <c r="B74" i="169"/>
  <c r="C74" i="169"/>
  <c r="B75" i="169"/>
  <c r="C75" i="169"/>
  <c r="B76" i="169"/>
  <c r="C76" i="169"/>
  <c r="B77" i="169"/>
  <c r="C77" i="169"/>
  <c r="B78" i="169"/>
  <c r="C78" i="169"/>
  <c r="B79" i="169"/>
  <c r="C79" i="169"/>
  <c r="B80" i="169"/>
  <c r="C80" i="169"/>
  <c r="B81" i="169"/>
  <c r="B82" i="169"/>
  <c r="C82" i="169"/>
  <c r="B83" i="169"/>
  <c r="B84" i="169"/>
  <c r="C84" i="169"/>
  <c r="B85" i="169"/>
  <c r="C85" i="169"/>
  <c r="B86" i="169"/>
  <c r="C86" i="169"/>
  <c r="B87" i="169"/>
  <c r="C87" i="169"/>
  <c r="WK20" i="178" l="1"/>
  <c r="WL20" i="178" s="1"/>
  <c r="C67" i="176"/>
  <c r="E67" i="176" s="1"/>
  <c r="C60" i="176"/>
  <c r="E60" i="176" s="1"/>
  <c r="VM28" i="178"/>
  <c r="VN28" i="178" s="1"/>
  <c r="XH22" i="178"/>
  <c r="XE23" i="178"/>
  <c r="XG23" i="178" s="1"/>
  <c r="XH23" i="178" s="1"/>
  <c r="XI17" i="178"/>
  <c r="XJ17" i="178"/>
  <c r="XJ19" i="178"/>
  <c r="XJ18" i="178"/>
  <c r="XI16" i="178"/>
  <c r="XJ16" i="178" s="1"/>
  <c r="XG21" i="178"/>
  <c r="WJ25" i="178"/>
  <c r="WH25" i="178"/>
  <c r="WG30" i="178"/>
  <c r="WI30" i="178" s="1"/>
  <c r="WG29" i="178"/>
  <c r="WK22" i="178"/>
  <c r="WM7" i="178"/>
  <c r="WK23" i="178"/>
  <c r="VL34" i="178"/>
  <c r="VI35" i="178"/>
  <c r="VK35" i="178" s="1"/>
  <c r="VL35" i="178" s="1"/>
  <c r="VK33" i="178"/>
  <c r="VI37" i="178" s="1"/>
  <c r="VN29" i="178"/>
  <c r="VM29" i="178"/>
  <c r="VN31" i="178"/>
  <c r="VN30" i="178"/>
  <c r="VB44" i="178"/>
  <c r="UO32" i="178"/>
  <c r="UP32" i="178" s="1"/>
  <c r="L9" i="180" s="1"/>
  <c r="UP35" i="178"/>
  <c r="UP34" i="178"/>
  <c r="UQ10" i="178" s="1"/>
  <c r="UO33" i="178"/>
  <c r="UP33" i="178"/>
  <c r="UM37" i="178"/>
  <c r="UK41" i="178" s="1"/>
  <c r="UN38" i="178"/>
  <c r="UK39" i="178"/>
  <c r="UM39" i="178" s="1"/>
  <c r="UN39" i="178" s="1"/>
  <c r="C14" i="188"/>
  <c r="G14" i="188"/>
  <c r="I13" i="188"/>
  <c r="J13" i="188" s="1"/>
  <c r="TQ35" i="178"/>
  <c r="TQ34" i="178"/>
  <c r="TP37" i="178"/>
  <c r="TN37" i="178"/>
  <c r="TM42" i="178"/>
  <c r="TO42" i="178" s="1"/>
  <c r="TM41" i="178"/>
  <c r="H10" i="180"/>
  <c r="NQ51" i="178"/>
  <c r="NO59" i="178"/>
  <c r="NP56" i="178"/>
  <c r="NM57" i="178"/>
  <c r="NO57" i="178" s="1"/>
  <c r="NP57" i="178" s="1"/>
  <c r="NR52" i="178"/>
  <c r="NQ52" i="178"/>
  <c r="NP46" i="178"/>
  <c r="NQ46" i="178" s="1"/>
  <c r="NM47" i="178"/>
  <c r="NR54" i="178"/>
  <c r="NR53" i="178"/>
  <c r="NM53" i="178"/>
  <c r="VY35" i="178"/>
  <c r="VY36" i="178"/>
  <c r="VX32" i="178"/>
  <c r="VY32" i="178" s="1"/>
  <c r="VU33" i="178"/>
  <c r="WV18" i="178"/>
  <c r="WW18" i="178" s="1"/>
  <c r="WS19" i="178"/>
  <c r="R6" i="180"/>
  <c r="WT24" i="178"/>
  <c r="WV24" i="178"/>
  <c r="WS31" i="178"/>
  <c r="WU28" i="178"/>
  <c r="T5" i="180"/>
  <c r="WW21" i="178"/>
  <c r="WW22" i="178"/>
  <c r="WY5" i="178"/>
  <c r="VW38" i="178"/>
  <c r="VU42" i="178" s="1"/>
  <c r="WW12" i="178"/>
  <c r="WU12" i="178"/>
  <c r="WU13" i="178" s="1"/>
  <c r="WT13" i="178" s="1"/>
  <c r="U4" i="180" s="1"/>
  <c r="D70" i="176"/>
  <c r="D15" i="179"/>
  <c r="N14" i="149" s="1"/>
  <c r="YL21" i="178"/>
  <c r="YM21" i="178" s="1"/>
  <c r="YI22" i="178"/>
  <c r="D69" i="176"/>
  <c r="C69" i="176" s="1"/>
  <c r="C15" i="179"/>
  <c r="M14" i="149" s="1"/>
  <c r="YK14" i="178"/>
  <c r="EC86" i="178"/>
  <c r="B14" i="179" s="1"/>
  <c r="L13" i="149" s="1"/>
  <c r="DX84" i="178"/>
  <c r="DZ84" i="178" s="1"/>
  <c r="YI28" i="178"/>
  <c r="DZ78" i="178"/>
  <c r="EA78" i="178" s="1"/>
  <c r="EB78" i="178" s="1"/>
  <c r="EB79" i="178" s="1"/>
  <c r="TE58" i="178"/>
  <c r="UA47" i="178"/>
  <c r="UA48" i="178" s="1"/>
  <c r="TZ48" i="178" s="1"/>
  <c r="UC47" i="178"/>
  <c r="UC52" i="178"/>
  <c r="UD52" i="178"/>
  <c r="VA42" i="178"/>
  <c r="VA43" i="178"/>
  <c r="VC8" i="178"/>
  <c r="UC51" i="178"/>
  <c r="TY53" i="178"/>
  <c r="UA53" i="178" s="1"/>
  <c r="UD54" i="178"/>
  <c r="UD53" i="178"/>
  <c r="TD63" i="178"/>
  <c r="TA64" i="178"/>
  <c r="TC64" i="178" s="1"/>
  <c r="TD64" i="178" s="1"/>
  <c r="UB56" i="178"/>
  <c r="TY57" i="178"/>
  <c r="UA57" i="178" s="1"/>
  <c r="UB57" i="178" s="1"/>
  <c r="UZ39" i="178"/>
  <c r="VA39" i="178" s="1"/>
  <c r="UW40" i="178"/>
  <c r="TC66" i="178"/>
  <c r="TA70" i="178" s="1"/>
  <c r="TC54" i="178"/>
  <c r="TC55" i="178" s="1"/>
  <c r="TB55" i="178" s="1"/>
  <c r="TE54" i="178"/>
  <c r="UA59" i="178"/>
  <c r="TY63" i="178" s="1"/>
  <c r="TE59" i="178"/>
  <c r="TF59" i="178"/>
  <c r="TF65" i="178" s="1"/>
  <c r="UX45" i="178"/>
  <c r="UZ45" i="178"/>
  <c r="UY49" i="178"/>
  <c r="UW52" i="178"/>
  <c r="TA60" i="178"/>
  <c r="TC60" i="178" s="1"/>
  <c r="TF61" i="178"/>
  <c r="TF60" i="178"/>
  <c r="YJ38" i="178"/>
  <c r="YL38" i="178"/>
  <c r="YI45" i="178"/>
  <c r="YL32" i="178"/>
  <c r="YM32" i="178" s="1"/>
  <c r="YI33" i="178"/>
  <c r="EA94" i="178"/>
  <c r="EC94" i="178" s="1"/>
  <c r="A16" i="179" s="1"/>
  <c r="K15" i="149" s="1"/>
  <c r="J15" i="149" s="1"/>
  <c r="DY94" i="178"/>
  <c r="DX101" i="178"/>
  <c r="ED17" i="178" s="1"/>
  <c r="E17" i="179" s="1"/>
  <c r="DX89" i="178"/>
  <c r="EA88" i="178"/>
  <c r="EB88" i="178" s="1"/>
  <c r="E23" i="176"/>
  <c r="J3" i="177"/>
  <c r="J90" i="150"/>
  <c r="J86" i="150"/>
  <c r="D57" i="169"/>
  <c r="E57" i="169" s="1"/>
  <c r="F57" i="169" s="1"/>
  <c r="J87" i="150"/>
  <c r="J88" i="150"/>
  <c r="J89" i="150"/>
  <c r="D69" i="169"/>
  <c r="E69" i="169" s="1"/>
  <c r="F69" i="169" s="1"/>
  <c r="D87" i="169"/>
  <c r="E87" i="169" s="1"/>
  <c r="F87" i="169" s="1"/>
  <c r="D85" i="169"/>
  <c r="E85" i="169" s="1"/>
  <c r="F85" i="169" s="1"/>
  <c r="D80" i="169"/>
  <c r="E80" i="169" s="1"/>
  <c r="F80" i="169" s="1"/>
  <c r="D78" i="169"/>
  <c r="E78" i="169" s="1"/>
  <c r="F78" i="169" s="1"/>
  <c r="D76" i="169"/>
  <c r="E76" i="169" s="1"/>
  <c r="F76" i="169" s="1"/>
  <c r="D74" i="169"/>
  <c r="E74" i="169" s="1"/>
  <c r="F74" i="169" s="1"/>
  <c r="D77" i="169"/>
  <c r="E77" i="169" s="1"/>
  <c r="F77" i="169" s="1"/>
  <c r="D73" i="169"/>
  <c r="E73" i="169" s="1"/>
  <c r="F73" i="169" s="1"/>
  <c r="D71" i="169"/>
  <c r="E71" i="169" s="1"/>
  <c r="F71" i="169" s="1"/>
  <c r="D64" i="169"/>
  <c r="E64" i="169" s="1"/>
  <c r="F64" i="169" s="1"/>
  <c r="D86" i="169"/>
  <c r="E86" i="169" s="1"/>
  <c r="F86" i="169" s="1"/>
  <c r="D79" i="169"/>
  <c r="E79" i="169" s="1"/>
  <c r="F79" i="169" s="1"/>
  <c r="D72" i="169"/>
  <c r="E72" i="169" s="1"/>
  <c r="F72" i="169" s="1"/>
  <c r="D70" i="169"/>
  <c r="E70" i="169" s="1"/>
  <c r="F70" i="169" s="1"/>
  <c r="D63" i="169"/>
  <c r="E63" i="169" s="1"/>
  <c r="F63" i="169" s="1"/>
  <c r="D56" i="169"/>
  <c r="E56" i="169" s="1"/>
  <c r="F56" i="169" s="1"/>
  <c r="D84" i="169"/>
  <c r="E84" i="169" s="1"/>
  <c r="F84" i="169" s="1"/>
  <c r="D82" i="169"/>
  <c r="E82" i="169" s="1"/>
  <c r="F82" i="169" s="1"/>
  <c r="D75" i="169"/>
  <c r="E75" i="169" s="1"/>
  <c r="F75" i="169" s="1"/>
  <c r="D68" i="169"/>
  <c r="E68" i="169" s="1"/>
  <c r="F68" i="169" s="1"/>
  <c r="AF13" i="3"/>
  <c r="AA13" i="3"/>
  <c r="AD13" i="3" s="1"/>
  <c r="AD12" i="3"/>
  <c r="AD11" i="3"/>
  <c r="AD10" i="3"/>
  <c r="AD9" i="3"/>
  <c r="AD8" i="3"/>
  <c r="AD7" i="3"/>
  <c r="AD6" i="3"/>
  <c r="AD5" i="3"/>
  <c r="AD4" i="3"/>
  <c r="AD3" i="3"/>
  <c r="O8" i="180" l="1"/>
  <c r="E69" i="176"/>
  <c r="C70" i="176"/>
  <c r="E70" i="176" s="1"/>
  <c r="K10" i="180"/>
  <c r="XH21" i="178"/>
  <c r="XF21" i="178"/>
  <c r="XE26" i="178"/>
  <c r="XG26" i="178" s="1"/>
  <c r="XE25" i="178"/>
  <c r="XI18" i="178"/>
  <c r="XK6" i="178"/>
  <c r="XI19" i="178"/>
  <c r="WK24" i="178"/>
  <c r="WL24" i="178" s="1"/>
  <c r="WI29" i="178"/>
  <c r="WJ30" i="178"/>
  <c r="WG31" i="178"/>
  <c r="WI31" i="178" s="1"/>
  <c r="WJ31" i="178" s="1"/>
  <c r="WL27" i="178"/>
  <c r="WL26" i="178"/>
  <c r="WK25" i="178"/>
  <c r="WL25" i="178"/>
  <c r="VM30" i="178"/>
  <c r="VO9" i="178"/>
  <c r="VM31" i="178"/>
  <c r="VL33" i="178"/>
  <c r="VJ33" i="178"/>
  <c r="VI38" i="178"/>
  <c r="VK38" i="178" s="1"/>
  <c r="UD58" i="178"/>
  <c r="UO35" i="178"/>
  <c r="UO34" i="178"/>
  <c r="UL37" i="178"/>
  <c r="UN37" i="178"/>
  <c r="UK42" i="178"/>
  <c r="UM42" i="178" s="1"/>
  <c r="TQ36" i="178"/>
  <c r="TR36" i="178" s="1"/>
  <c r="I10" i="180" s="1"/>
  <c r="H14" i="188"/>
  <c r="D14" i="188"/>
  <c r="E14" i="188" s="1"/>
  <c r="B15" i="188"/>
  <c r="TQ37" i="178"/>
  <c r="TR37" i="178"/>
  <c r="H11" i="180" s="1"/>
  <c r="TO41" i="178"/>
  <c r="TP42" i="178"/>
  <c r="TM43" i="178"/>
  <c r="TO43" i="178" s="1"/>
  <c r="TP43" i="178" s="1"/>
  <c r="TR39" i="178"/>
  <c r="TR38" i="178"/>
  <c r="NO53" i="178"/>
  <c r="NQ56" i="178"/>
  <c r="NS10" i="178"/>
  <c r="NT10" i="178" s="1"/>
  <c r="NQ57" i="178"/>
  <c r="NO47" i="178"/>
  <c r="NO48" i="178" s="1"/>
  <c r="NN48" i="178" s="1"/>
  <c r="NR51" i="178" s="1"/>
  <c r="NQ47" i="178"/>
  <c r="NP59" i="178"/>
  <c r="NN59" i="178"/>
  <c r="NM63" i="178"/>
  <c r="NO63" i="178" s="1"/>
  <c r="NM66" i="178"/>
  <c r="VY37" i="178"/>
  <c r="VW33" i="178"/>
  <c r="VW34" i="178" s="1"/>
  <c r="VV34" i="178" s="1"/>
  <c r="VY33" i="178"/>
  <c r="WW23" i="178"/>
  <c r="VV38" i="178"/>
  <c r="VX38" i="178"/>
  <c r="VW42" i="178"/>
  <c r="VU45" i="178"/>
  <c r="WX25" i="178"/>
  <c r="WX26" i="178"/>
  <c r="WS25" i="178"/>
  <c r="WU25" i="178" s="1"/>
  <c r="WV28" i="178"/>
  <c r="WS29" i="178"/>
  <c r="WU29" i="178" s="1"/>
  <c r="WV29" i="178" s="1"/>
  <c r="WU31" i="178"/>
  <c r="WS35" i="178" s="1"/>
  <c r="WU19" i="178"/>
  <c r="WU20" i="178" s="1"/>
  <c r="WT20" i="178" s="1"/>
  <c r="U5" i="180" s="1"/>
  <c r="WW19" i="178"/>
  <c r="Q7" i="180"/>
  <c r="WA7" i="178"/>
  <c r="WX24" i="178"/>
  <c r="WX30" i="178" s="1"/>
  <c r="WW24" i="178"/>
  <c r="D64" i="176"/>
  <c r="UC56" i="178"/>
  <c r="DX85" i="178"/>
  <c r="EA84" i="178"/>
  <c r="EB84" i="178" s="1"/>
  <c r="YK22" i="178"/>
  <c r="YL22" i="178" s="1"/>
  <c r="YM22" i="178" s="1"/>
  <c r="YM23" i="178" s="1"/>
  <c r="YN23" i="178" s="1"/>
  <c r="H5" i="179" s="1"/>
  <c r="YK28" i="178"/>
  <c r="YI15" i="178"/>
  <c r="YL14" i="178"/>
  <c r="YM14" i="178" s="1"/>
  <c r="UY52" i="178"/>
  <c r="UW56" i="178" s="1"/>
  <c r="UY40" i="178"/>
  <c r="UY41" i="178" s="1"/>
  <c r="UX41" i="178" s="1"/>
  <c r="VA40" i="178"/>
  <c r="UB53" i="178"/>
  <c r="UC53" i="178" s="1"/>
  <c r="TY54" i="178"/>
  <c r="UZ49" i="178"/>
  <c r="UW50" i="178"/>
  <c r="UY50" i="178" s="1"/>
  <c r="UZ50" i="178" s="1"/>
  <c r="TZ59" i="178"/>
  <c r="UB59" i="178"/>
  <c r="UA63" i="178"/>
  <c r="TY66" i="178"/>
  <c r="TE63" i="178"/>
  <c r="UC57" i="178"/>
  <c r="UE10" i="178"/>
  <c r="VB45" i="178"/>
  <c r="N9" i="180" s="1"/>
  <c r="VA45" i="178"/>
  <c r="TD60" i="178"/>
  <c r="TE60" i="178" s="1"/>
  <c r="TA61" i="178"/>
  <c r="VB47" i="178"/>
  <c r="VB46" i="178"/>
  <c r="UW46" i="178"/>
  <c r="UY46" i="178" s="1"/>
  <c r="TG11" i="178"/>
  <c r="TE64" i="178"/>
  <c r="TB66" i="178"/>
  <c r="TD66" i="178"/>
  <c r="TA73" i="178"/>
  <c r="TC70" i="178"/>
  <c r="VA44" i="178"/>
  <c r="YM33" i="178"/>
  <c r="YK33" i="178"/>
  <c r="YK34" i="178" s="1"/>
  <c r="YJ34" i="178" s="1"/>
  <c r="YK45" i="178"/>
  <c r="YM38" i="178"/>
  <c r="YN38" i="178"/>
  <c r="G8" i="179" s="1"/>
  <c r="YN40" i="178"/>
  <c r="J8" i="179" s="1"/>
  <c r="YI39" i="178"/>
  <c r="YK39" i="178" s="1"/>
  <c r="YN39" i="178"/>
  <c r="I8" i="179" s="1"/>
  <c r="DZ101" i="178"/>
  <c r="EC95" i="178"/>
  <c r="EC96" i="178"/>
  <c r="DX95" i="178"/>
  <c r="DZ95" i="178" s="1"/>
  <c r="EB89" i="178"/>
  <c r="DZ89" i="178"/>
  <c r="DZ90" i="178" s="1"/>
  <c r="DY90" i="178" s="1"/>
  <c r="D71" i="176"/>
  <c r="EB94" i="178"/>
  <c r="E20" i="176"/>
  <c r="J4" i="177"/>
  <c r="J1940" i="5"/>
  <c r="R1940" i="5"/>
  <c r="AA1940" i="5"/>
  <c r="C64" i="176" l="1"/>
  <c r="E64" i="176" s="1"/>
  <c r="C71" i="176"/>
  <c r="E71" i="176" s="1"/>
  <c r="YO5" i="178"/>
  <c r="K5" i="179" s="1"/>
  <c r="XI20" i="178"/>
  <c r="XJ20" i="178" s="1"/>
  <c r="XG25" i="178"/>
  <c r="XH26" i="178"/>
  <c r="XE27" i="178"/>
  <c r="XG27" i="178" s="1"/>
  <c r="XH27" i="178" s="1"/>
  <c r="XJ23" i="178"/>
  <c r="XJ22" i="178"/>
  <c r="XJ21" i="178"/>
  <c r="XI21" i="178"/>
  <c r="WK27" i="178"/>
  <c r="WM8" i="178"/>
  <c r="WK26" i="178"/>
  <c r="WH29" i="178"/>
  <c r="WJ29" i="178"/>
  <c r="WG34" i="178"/>
  <c r="WI34" i="178" s="1"/>
  <c r="WG33" i="178"/>
  <c r="UO36" i="178"/>
  <c r="UP36" i="178" s="1"/>
  <c r="L10" i="180" s="1"/>
  <c r="VK37" i="178"/>
  <c r="VI41" i="178" s="1"/>
  <c r="VL38" i="178"/>
  <c r="VI39" i="178"/>
  <c r="VK39" i="178" s="1"/>
  <c r="VL39" i="178" s="1"/>
  <c r="VN35" i="178"/>
  <c r="VN34" i="178"/>
  <c r="VO10" i="178" s="1"/>
  <c r="VM32" i="178"/>
  <c r="VN32" i="178" s="1"/>
  <c r="VN33" i="178"/>
  <c r="VM33" i="178"/>
  <c r="UN42" i="178"/>
  <c r="UK43" i="178"/>
  <c r="UM43" i="178" s="1"/>
  <c r="UN43" i="178" s="1"/>
  <c r="UO37" i="178"/>
  <c r="UP37" i="178"/>
  <c r="UP39" i="178"/>
  <c r="UP38" i="178"/>
  <c r="VB51" i="178"/>
  <c r="UM41" i="178"/>
  <c r="UK45" i="178" s="1"/>
  <c r="C15" i="188"/>
  <c r="G15" i="188"/>
  <c r="I14" i="188"/>
  <c r="J14" i="188" s="1"/>
  <c r="TS11" i="178"/>
  <c r="TN41" i="178"/>
  <c r="TP41" i="178"/>
  <c r="TM46" i="178"/>
  <c r="TO46" i="178" s="1"/>
  <c r="TM45" i="178"/>
  <c r="TQ38" i="178"/>
  <c r="TQ39" i="178"/>
  <c r="NQ58" i="178"/>
  <c r="NO66" i="178"/>
  <c r="NP63" i="178"/>
  <c r="NM64" i="178"/>
  <c r="NO64" i="178" s="1"/>
  <c r="NP64" i="178" s="1"/>
  <c r="NR61" i="178"/>
  <c r="NR60" i="178"/>
  <c r="NM60" i="178"/>
  <c r="NR59" i="178"/>
  <c r="NQ59" i="178"/>
  <c r="NP53" i="178"/>
  <c r="NQ53" i="178" s="1"/>
  <c r="NM54" i="178"/>
  <c r="WW28" i="178"/>
  <c r="WU35" i="178"/>
  <c r="WV31" i="178"/>
  <c r="WT31" i="178"/>
  <c r="WS38" i="178"/>
  <c r="WV25" i="178"/>
  <c r="WW25" i="178" s="1"/>
  <c r="WS26" i="178"/>
  <c r="VX42" i="178"/>
  <c r="VU43" i="178"/>
  <c r="VW43" i="178" s="1"/>
  <c r="VX43" i="178" s="1"/>
  <c r="VY38" i="178"/>
  <c r="VZ38" i="178"/>
  <c r="VZ44" i="178" s="1"/>
  <c r="R7" i="180"/>
  <c r="VW45" i="178"/>
  <c r="VU49" i="178" s="1"/>
  <c r="T6" i="180"/>
  <c r="WW29" i="178"/>
  <c r="WY6" i="178"/>
  <c r="VZ39" i="178"/>
  <c r="VU39" i="178"/>
  <c r="VW39" i="178" s="1"/>
  <c r="VZ40" i="178"/>
  <c r="UC58" i="178"/>
  <c r="YL28" i="178"/>
  <c r="YM28" i="178" s="1"/>
  <c r="YI29" i="178"/>
  <c r="EC93" i="178"/>
  <c r="B15" i="179" s="1"/>
  <c r="L14" i="149" s="1"/>
  <c r="DX91" i="178"/>
  <c r="DZ91" i="178" s="1"/>
  <c r="YI35" i="178"/>
  <c r="D73" i="176"/>
  <c r="C16" i="179"/>
  <c r="M15" i="149" s="1"/>
  <c r="D74" i="176"/>
  <c r="C74" i="176" s="1"/>
  <c r="D16" i="179"/>
  <c r="N15" i="149" s="1"/>
  <c r="YK15" i="178"/>
  <c r="YL15" i="178" s="1"/>
  <c r="YM15" i="178" s="1"/>
  <c r="YM16" i="178" s="1"/>
  <c r="YN16" i="178" s="1"/>
  <c r="H4" i="179" s="1"/>
  <c r="DZ85" i="178"/>
  <c r="EA85" i="178" s="1"/>
  <c r="EB85" i="178" s="1"/>
  <c r="EB86" i="178" s="1"/>
  <c r="UA54" i="178"/>
  <c r="UA55" i="178" s="1"/>
  <c r="TZ55" i="178" s="1"/>
  <c r="UC54" i="178"/>
  <c r="UX52" i="178"/>
  <c r="UZ52" i="178"/>
  <c r="UW59" i="178"/>
  <c r="UY56" i="178"/>
  <c r="TF66" i="178"/>
  <c r="TF72" i="178" s="1"/>
  <c r="TE66" i="178"/>
  <c r="TE65" i="178"/>
  <c r="UD59" i="178"/>
  <c r="UC59" i="178"/>
  <c r="TF67" i="178"/>
  <c r="TA67" i="178"/>
  <c r="TC67" i="178" s="1"/>
  <c r="TF68" i="178"/>
  <c r="TC61" i="178"/>
  <c r="TC62" i="178" s="1"/>
  <c r="TB62" i="178" s="1"/>
  <c r="TE61" i="178"/>
  <c r="UD61" i="178"/>
  <c r="TY60" i="178"/>
  <c r="UA60" i="178" s="1"/>
  <c r="UD60" i="178"/>
  <c r="TD70" i="178"/>
  <c r="TA71" i="178"/>
  <c r="TC71" i="178" s="1"/>
  <c r="TD71" i="178" s="1"/>
  <c r="UZ46" i="178"/>
  <c r="VA46" i="178" s="1"/>
  <c r="UW47" i="178"/>
  <c r="VA50" i="178"/>
  <c r="VC9" i="178"/>
  <c r="UA66" i="178"/>
  <c r="TY70" i="178" s="1"/>
  <c r="VA49" i="178"/>
  <c r="TC73" i="178"/>
  <c r="TA77" i="178" s="1"/>
  <c r="UB63" i="178"/>
  <c r="TY64" i="178"/>
  <c r="UA64" i="178" s="1"/>
  <c r="UB64" i="178" s="1"/>
  <c r="YI40" i="178"/>
  <c r="YL39" i="178"/>
  <c r="YM39" i="178" s="1"/>
  <c r="YL45" i="178"/>
  <c r="YI52" i="178"/>
  <c r="YJ45" i="178"/>
  <c r="DY101" i="178"/>
  <c r="EA101" i="178"/>
  <c r="EC101" i="178" s="1"/>
  <c r="A17" i="179" s="1"/>
  <c r="K16" i="149" s="1"/>
  <c r="C56" i="149" s="1"/>
  <c r="DX96" i="178"/>
  <c r="EA95" i="178"/>
  <c r="EB95" i="178" s="1"/>
  <c r="E27" i="176"/>
  <c r="E28" i="176"/>
  <c r="AZ18" i="153"/>
  <c r="AY18" i="153"/>
  <c r="AX18" i="153"/>
  <c r="AW18" i="153"/>
  <c r="AV18" i="153"/>
  <c r="AZ17" i="153"/>
  <c r="AY17" i="153"/>
  <c r="AX17" i="153"/>
  <c r="AW17" i="153"/>
  <c r="AV17" i="153"/>
  <c r="AZ15" i="153"/>
  <c r="AY15" i="153"/>
  <c r="AX15" i="153"/>
  <c r="AW15" i="153"/>
  <c r="AV15" i="153"/>
  <c r="AZ14" i="153"/>
  <c r="AY14" i="153"/>
  <c r="AX14" i="153"/>
  <c r="AW14" i="153"/>
  <c r="AV14" i="153"/>
  <c r="AZ9" i="153"/>
  <c r="AY9" i="153"/>
  <c r="AX9" i="153"/>
  <c r="AW9" i="153"/>
  <c r="AV9" i="153"/>
  <c r="AZ8" i="153"/>
  <c r="AY8" i="153"/>
  <c r="AX8" i="153"/>
  <c r="AW8" i="153"/>
  <c r="AV8" i="153"/>
  <c r="AZ6" i="153"/>
  <c r="AY6" i="153"/>
  <c r="AX6" i="153"/>
  <c r="AW6" i="153"/>
  <c r="AV6" i="153"/>
  <c r="AZ5" i="153"/>
  <c r="AY5" i="153"/>
  <c r="AX5" i="153"/>
  <c r="AW5" i="153"/>
  <c r="AV5" i="153"/>
  <c r="AZ3" i="153"/>
  <c r="AY3" i="153"/>
  <c r="AX3" i="153"/>
  <c r="AW3" i="153"/>
  <c r="AV3" i="153"/>
  <c r="AZ2" i="153"/>
  <c r="AY2" i="153"/>
  <c r="AX2" i="153"/>
  <c r="AW2" i="153"/>
  <c r="AV2" i="153"/>
  <c r="AT18" i="153"/>
  <c r="AS18" i="153"/>
  <c r="AR18" i="153"/>
  <c r="AQ18" i="153"/>
  <c r="AP18" i="153"/>
  <c r="AT17" i="153"/>
  <c r="AS17" i="153"/>
  <c r="AR17" i="153"/>
  <c r="AQ17" i="153"/>
  <c r="AP17" i="153"/>
  <c r="AT15" i="153"/>
  <c r="AS15" i="153"/>
  <c r="AR15" i="153"/>
  <c r="AQ15" i="153"/>
  <c r="AP15" i="153"/>
  <c r="AT14" i="153"/>
  <c r="AS14" i="153"/>
  <c r="AR14" i="153"/>
  <c r="AQ14" i="153"/>
  <c r="AP14" i="153"/>
  <c r="AT9" i="153"/>
  <c r="AS9" i="153"/>
  <c r="AR9" i="153"/>
  <c r="AQ9" i="153"/>
  <c r="AP9" i="153"/>
  <c r="AT8" i="153"/>
  <c r="AS8" i="153"/>
  <c r="AR8" i="153"/>
  <c r="AQ8" i="153"/>
  <c r="AP8" i="153"/>
  <c r="AT6" i="153"/>
  <c r="AS6" i="153"/>
  <c r="AR6" i="153"/>
  <c r="AQ6" i="153"/>
  <c r="AP6" i="153"/>
  <c r="AT5" i="153"/>
  <c r="AS5" i="153"/>
  <c r="AR5" i="153"/>
  <c r="AQ5" i="153"/>
  <c r="AP5" i="153"/>
  <c r="AT3" i="153"/>
  <c r="AS3" i="153"/>
  <c r="AR3" i="153"/>
  <c r="AQ3" i="153"/>
  <c r="AP3" i="153"/>
  <c r="AT2" i="153"/>
  <c r="AS2" i="153"/>
  <c r="AR2" i="153"/>
  <c r="AQ2" i="153"/>
  <c r="AP2" i="153"/>
  <c r="C58" i="149" l="1"/>
  <c r="J16" i="149"/>
  <c r="E74" i="176"/>
  <c r="C73" i="176"/>
  <c r="E73" i="176" s="1"/>
  <c r="O9" i="180"/>
  <c r="UD65" i="178"/>
  <c r="K11" i="180"/>
  <c r="WK28" i="178"/>
  <c r="WL28" i="178" s="1"/>
  <c r="XI23" i="178"/>
  <c r="XK7" i="178"/>
  <c r="XI22" i="178"/>
  <c r="XF25" i="178"/>
  <c r="XH25" i="178"/>
  <c r="XE29" i="178"/>
  <c r="XE30" i="178"/>
  <c r="XG30" i="178" s="1"/>
  <c r="WI33" i="178"/>
  <c r="WJ34" i="178"/>
  <c r="WG35" i="178"/>
  <c r="WI35" i="178" s="1"/>
  <c r="WJ35" i="178" s="1"/>
  <c r="WK29" i="178"/>
  <c r="WL29" i="178"/>
  <c r="WL30" i="178"/>
  <c r="WL31" i="178"/>
  <c r="VJ37" i="178"/>
  <c r="VL37" i="178"/>
  <c r="VI42" i="178"/>
  <c r="VK42" i="178" s="1"/>
  <c r="VM35" i="178"/>
  <c r="VM34" i="178"/>
  <c r="UO38" i="178"/>
  <c r="UQ11" i="178"/>
  <c r="UO39" i="178"/>
  <c r="UN41" i="178"/>
  <c r="UL41" i="178"/>
  <c r="UK46" i="178"/>
  <c r="UM46" i="178" s="1"/>
  <c r="H15" i="188"/>
  <c r="B16" i="188"/>
  <c r="D15" i="188"/>
  <c r="E15" i="188" s="1"/>
  <c r="TP46" i="178"/>
  <c r="TM47" i="178"/>
  <c r="TO47" i="178" s="1"/>
  <c r="TP47" i="178" s="1"/>
  <c r="TQ40" i="178"/>
  <c r="TR40" i="178" s="1"/>
  <c r="I11" i="180" s="1"/>
  <c r="TR41" i="178"/>
  <c r="H12" i="180" s="1"/>
  <c r="TQ41" i="178"/>
  <c r="TO45" i="178"/>
  <c r="TR43" i="178"/>
  <c r="TR42" i="178"/>
  <c r="NO54" i="178"/>
  <c r="NO55" i="178" s="1"/>
  <c r="NN55" i="178" s="1"/>
  <c r="NR58" i="178" s="1"/>
  <c r="NQ54" i="178"/>
  <c r="NO60" i="178"/>
  <c r="NP66" i="178"/>
  <c r="NN66" i="178"/>
  <c r="NM73" i="178"/>
  <c r="NM70" i="178"/>
  <c r="NO70" i="178" s="1"/>
  <c r="NQ63" i="178"/>
  <c r="NQ64" i="178"/>
  <c r="NS11" i="178"/>
  <c r="NT11" i="178" s="1"/>
  <c r="C60" i="149"/>
  <c r="C57" i="149"/>
  <c r="C59" i="149"/>
  <c r="WW30" i="178"/>
  <c r="VX39" i="178"/>
  <c r="VY39" i="178" s="1"/>
  <c r="VU40" i="178"/>
  <c r="WU38" i="178"/>
  <c r="WS42" i="178" s="1"/>
  <c r="UE11" i="178"/>
  <c r="VY42" i="178"/>
  <c r="WX32" i="178"/>
  <c r="WS32" i="178"/>
  <c r="WU32" i="178" s="1"/>
  <c r="WX33" i="178"/>
  <c r="Q8" i="180"/>
  <c r="VY43" i="178"/>
  <c r="WA8" i="178"/>
  <c r="WU26" i="178"/>
  <c r="WU27" i="178" s="1"/>
  <c r="WT27" i="178" s="1"/>
  <c r="U6" i="180" s="1"/>
  <c r="WW26" i="178"/>
  <c r="WX31" i="178"/>
  <c r="WX37" i="178" s="1"/>
  <c r="WW31" i="178"/>
  <c r="VV45" i="178"/>
  <c r="VX45" i="178"/>
  <c r="VW49" i="178"/>
  <c r="VU52" i="178"/>
  <c r="WV35" i="178"/>
  <c r="WS36" i="178"/>
  <c r="WU36" i="178" s="1"/>
  <c r="WV36" i="178" s="1"/>
  <c r="UC64" i="178"/>
  <c r="D68" i="176"/>
  <c r="TE70" i="178"/>
  <c r="UC63" i="178"/>
  <c r="YO4" i="178"/>
  <c r="K4" i="179" s="1"/>
  <c r="YK35" i="178"/>
  <c r="VA51" i="178"/>
  <c r="EA91" i="178"/>
  <c r="EB91" i="178" s="1"/>
  <c r="DX92" i="178"/>
  <c r="YK29" i="178"/>
  <c r="YL29" i="178" s="1"/>
  <c r="YM29" i="178" s="1"/>
  <c r="YM30" i="178" s="1"/>
  <c r="YN30" i="178" s="1"/>
  <c r="H6" i="179" s="1"/>
  <c r="TB73" i="178"/>
  <c r="TD73" i="178"/>
  <c r="TA80" i="178"/>
  <c r="TC77" i="178"/>
  <c r="TD67" i="178"/>
  <c r="TE67" i="178" s="1"/>
  <c r="TA68" i="178"/>
  <c r="TG12" i="178"/>
  <c r="TE71" i="178"/>
  <c r="VB53" i="178"/>
  <c r="VB54" i="178"/>
  <c r="UW53" i="178"/>
  <c r="UY53" i="178" s="1"/>
  <c r="UZ56" i="178"/>
  <c r="UW57" i="178"/>
  <c r="UY57" i="178" s="1"/>
  <c r="UZ57" i="178" s="1"/>
  <c r="UY47" i="178"/>
  <c r="UY48" i="178" s="1"/>
  <c r="UX48" i="178" s="1"/>
  <c r="VA47" i="178"/>
  <c r="UY59" i="178"/>
  <c r="UW63" i="178" s="1"/>
  <c r="UB66" i="178"/>
  <c r="TZ66" i="178"/>
  <c r="TY73" i="178"/>
  <c r="UA70" i="178"/>
  <c r="UB60" i="178"/>
  <c r="UC60" i="178" s="1"/>
  <c r="TY61" i="178"/>
  <c r="VB52" i="178"/>
  <c r="N10" i="180" s="1"/>
  <c r="VA52" i="178"/>
  <c r="YM45" i="178"/>
  <c r="YN45" i="178"/>
  <c r="G9" i="179" s="1"/>
  <c r="YN47" i="178"/>
  <c r="J9" i="179" s="1"/>
  <c r="YI46" i="178"/>
  <c r="YK46" i="178" s="1"/>
  <c r="YN46" i="178"/>
  <c r="I9" i="179" s="1"/>
  <c r="YK40" i="178"/>
  <c r="YK41" i="178" s="1"/>
  <c r="YJ41" i="178" s="1"/>
  <c r="YM40" i="178"/>
  <c r="YK52" i="178"/>
  <c r="EB96" i="178"/>
  <c r="DZ96" i="178"/>
  <c r="DZ97" i="178" s="1"/>
  <c r="DY97" i="178" s="1"/>
  <c r="EB101" i="178"/>
  <c r="D75" i="176"/>
  <c r="EC102" i="178"/>
  <c r="EC103" i="178"/>
  <c r="DX102" i="178"/>
  <c r="DZ102" i="178" s="1"/>
  <c r="E31" i="176"/>
  <c r="AQ21" i="153"/>
  <c r="AR21" i="153"/>
  <c r="AW21" i="153"/>
  <c r="AT21" i="153"/>
  <c r="AY21" i="153"/>
  <c r="AZ21" i="153"/>
  <c r="AX21" i="153"/>
  <c r="AV20" i="153"/>
  <c r="AZ20" i="153"/>
  <c r="AY20" i="153"/>
  <c r="AS21" i="153"/>
  <c r="AX20" i="153"/>
  <c r="AR4" i="153"/>
  <c r="AW20" i="153"/>
  <c r="AP20" i="153"/>
  <c r="AS19" i="153"/>
  <c r="BA14" i="153"/>
  <c r="AY16" i="153"/>
  <c r="AW19" i="153"/>
  <c r="AS7" i="153"/>
  <c r="AQ10" i="153"/>
  <c r="AS16" i="153"/>
  <c r="AQ19" i="153"/>
  <c r="AW7" i="153"/>
  <c r="AW16" i="153"/>
  <c r="AZ10" i="153"/>
  <c r="AZ19" i="153"/>
  <c r="AZ7" i="153"/>
  <c r="AZ16" i="153"/>
  <c r="AY10" i="153"/>
  <c r="AY19" i="153"/>
  <c r="AY7" i="153"/>
  <c r="BA5" i="153"/>
  <c r="AX10" i="153"/>
  <c r="AX19" i="153"/>
  <c r="AX7" i="153"/>
  <c r="AX16" i="153"/>
  <c r="BA8" i="153"/>
  <c r="BA17" i="153"/>
  <c r="BA3" i="153"/>
  <c r="AW10" i="153"/>
  <c r="BA9" i="153"/>
  <c r="BA18" i="153"/>
  <c r="AV7" i="153"/>
  <c r="AV16" i="153"/>
  <c r="AU14" i="153"/>
  <c r="AV4" i="153"/>
  <c r="AZ4" i="153"/>
  <c r="AV10" i="153"/>
  <c r="AV19" i="153"/>
  <c r="AV21" i="153"/>
  <c r="AS4" i="153"/>
  <c r="AQ7" i="153"/>
  <c r="BA2" i="153"/>
  <c r="AW4" i="153"/>
  <c r="BA6" i="153"/>
  <c r="BA15" i="153"/>
  <c r="AT20" i="153"/>
  <c r="AX4" i="153"/>
  <c r="AQ20" i="153"/>
  <c r="AT10" i="153"/>
  <c r="AT19" i="153"/>
  <c r="AY4" i="153"/>
  <c r="AT7" i="153"/>
  <c r="AT16" i="153"/>
  <c r="AS10" i="153"/>
  <c r="AR10" i="153"/>
  <c r="AR19" i="153"/>
  <c r="AR7" i="153"/>
  <c r="AR16" i="153"/>
  <c r="AU5" i="153"/>
  <c r="AU8" i="153"/>
  <c r="AQ16" i="153"/>
  <c r="AU17" i="153"/>
  <c r="AU3" i="153"/>
  <c r="AU9" i="153"/>
  <c r="AU18" i="153"/>
  <c r="AP7" i="153"/>
  <c r="AP16" i="153"/>
  <c r="AP4" i="153"/>
  <c r="AT4" i="153"/>
  <c r="AP10" i="153"/>
  <c r="AP19" i="153"/>
  <c r="AR20" i="153"/>
  <c r="AP21" i="153"/>
  <c r="AU2" i="153"/>
  <c r="AQ4" i="153"/>
  <c r="AU6" i="153"/>
  <c r="AU15" i="153"/>
  <c r="AS20" i="153"/>
  <c r="B43" i="169"/>
  <c r="C43" i="169"/>
  <c r="B44" i="169"/>
  <c r="B45" i="169"/>
  <c r="B46" i="169"/>
  <c r="B47" i="169"/>
  <c r="B48" i="169"/>
  <c r="B49" i="169"/>
  <c r="C49" i="169"/>
  <c r="B50" i="169"/>
  <c r="C50" i="169"/>
  <c r="B51" i="169"/>
  <c r="B52" i="169"/>
  <c r="B53" i="169"/>
  <c r="B54" i="169"/>
  <c r="B55" i="169"/>
  <c r="D4" i="175"/>
  <c r="F4" i="175"/>
  <c r="D6" i="175"/>
  <c r="D12" i="175"/>
  <c r="F12" i="175"/>
  <c r="F3" i="175"/>
  <c r="D3" i="175"/>
  <c r="B39" i="169"/>
  <c r="B40" i="169"/>
  <c r="B41" i="169"/>
  <c r="B42" i="169"/>
  <c r="C42" i="169"/>
  <c r="E247" i="3"/>
  <c r="E246" i="3"/>
  <c r="E245" i="3"/>
  <c r="E244" i="3"/>
  <c r="E243" i="3"/>
  <c r="E240" i="3"/>
  <c r="B220" i="3"/>
  <c r="B201" i="3"/>
  <c r="B174" i="3"/>
  <c r="B148" i="3"/>
  <c r="B122" i="3"/>
  <c r="B96" i="3"/>
  <c r="B70" i="3"/>
  <c r="B44" i="3"/>
  <c r="C75" i="176" l="1"/>
  <c r="E75" i="176" s="1"/>
  <c r="C68" i="176"/>
  <c r="E68" i="176" s="1"/>
  <c r="XI24" i="178"/>
  <c r="XJ24" i="178" s="1"/>
  <c r="XG29" i="178"/>
  <c r="XJ25" i="178"/>
  <c r="XI25" i="178"/>
  <c r="XJ26" i="178"/>
  <c r="XJ27" i="178"/>
  <c r="XH30" i="178"/>
  <c r="XE31" i="178"/>
  <c r="XG31" i="178" s="1"/>
  <c r="XH31" i="178" s="1"/>
  <c r="VM36" i="178"/>
  <c r="VN36" i="178" s="1"/>
  <c r="WK30" i="178"/>
  <c r="WK31" i="178"/>
  <c r="WM9" i="178"/>
  <c r="WJ33" i="178"/>
  <c r="WH33" i="178"/>
  <c r="WG38" i="178"/>
  <c r="WI38" i="178" s="1"/>
  <c r="WG37" i="178"/>
  <c r="VL42" i="178"/>
  <c r="VI43" i="178"/>
  <c r="VK43" i="178" s="1"/>
  <c r="VL43" i="178" s="1"/>
  <c r="VK41" i="178"/>
  <c r="VI45" i="178" s="1"/>
  <c r="VN37" i="178"/>
  <c r="VM37" i="178"/>
  <c r="VN39" i="178"/>
  <c r="VN38" i="178"/>
  <c r="UM45" i="178"/>
  <c r="UK49" i="178" s="1"/>
  <c r="UN46" i="178"/>
  <c r="UK47" i="178"/>
  <c r="UM47" i="178" s="1"/>
  <c r="UN47" i="178" s="1"/>
  <c r="VB58" i="178"/>
  <c r="UP43" i="178"/>
  <c r="UP42" i="178"/>
  <c r="UO40" i="178"/>
  <c r="UP40" i="178" s="1"/>
  <c r="L11" i="180" s="1"/>
  <c r="UP41" i="178"/>
  <c r="UO41" i="178"/>
  <c r="C16" i="188"/>
  <c r="G16" i="188"/>
  <c r="I15" i="188"/>
  <c r="J15" i="188" s="1"/>
  <c r="TS12" i="178"/>
  <c r="TP45" i="178"/>
  <c r="TN45" i="178"/>
  <c r="TM50" i="178"/>
  <c r="TO50" i="178" s="1"/>
  <c r="TM49" i="178"/>
  <c r="TQ42" i="178"/>
  <c r="TQ43" i="178"/>
  <c r="NQ65" i="178"/>
  <c r="NP70" i="178"/>
  <c r="NM71" i="178"/>
  <c r="NO71" i="178" s="1"/>
  <c r="NP71" i="178" s="1"/>
  <c r="NO73" i="178"/>
  <c r="NP60" i="178"/>
  <c r="NQ60" i="178" s="1"/>
  <c r="NM61" i="178"/>
  <c r="NR68" i="178"/>
  <c r="NM67" i="178"/>
  <c r="NR67" i="178"/>
  <c r="NR66" i="178"/>
  <c r="NQ66" i="178"/>
  <c r="VY44" i="178"/>
  <c r="VU46" i="178"/>
  <c r="VW46" i="178" s="1"/>
  <c r="VZ46" i="178"/>
  <c r="VZ47" i="178"/>
  <c r="WV38" i="178"/>
  <c r="WT38" i="178"/>
  <c r="WS45" i="178"/>
  <c r="WU42" i="178"/>
  <c r="VW52" i="178"/>
  <c r="VU56" i="178" s="1"/>
  <c r="WV32" i="178"/>
  <c r="WW32" i="178" s="1"/>
  <c r="WS33" i="178"/>
  <c r="VW40" i="178"/>
  <c r="VW41" i="178" s="1"/>
  <c r="VV41" i="178" s="1"/>
  <c r="R8" i="180" s="1"/>
  <c r="VY40" i="178"/>
  <c r="VY45" i="178"/>
  <c r="VZ45" i="178"/>
  <c r="VZ51" i="178" s="1"/>
  <c r="VX49" i="178"/>
  <c r="VU50" i="178"/>
  <c r="VW50" i="178" s="1"/>
  <c r="VX50" i="178" s="1"/>
  <c r="T7" i="180"/>
  <c r="WW36" i="178"/>
  <c r="WW35" i="178"/>
  <c r="WY7" i="178"/>
  <c r="YO6" i="178"/>
  <c r="K6" i="179" s="1"/>
  <c r="UC65" i="178"/>
  <c r="TE72" i="178"/>
  <c r="D78" i="176"/>
  <c r="D17" i="179"/>
  <c r="N16" i="149" s="1"/>
  <c r="DZ92" i="178"/>
  <c r="EA92" i="178" s="1"/>
  <c r="EB92" i="178" s="1"/>
  <c r="EB93" i="178" s="1"/>
  <c r="YI42" i="178"/>
  <c r="D77" i="176"/>
  <c r="C17" i="179"/>
  <c r="M16" i="149" s="1"/>
  <c r="EC100" i="178"/>
  <c r="B16" i="179" s="1"/>
  <c r="L15" i="149" s="1"/>
  <c r="DX98" i="178"/>
  <c r="DZ98" i="178" s="1"/>
  <c r="YL35" i="178"/>
  <c r="YM35" i="178" s="1"/>
  <c r="YI36" i="178"/>
  <c r="UD66" i="178"/>
  <c r="UC66" i="178"/>
  <c r="TD77" i="178"/>
  <c r="TA78" i="178"/>
  <c r="TC78" i="178" s="1"/>
  <c r="TD78" i="178" s="1"/>
  <c r="UB70" i="178"/>
  <c r="TY71" i="178"/>
  <c r="UA71" i="178" s="1"/>
  <c r="UB71" i="178" s="1"/>
  <c r="TC80" i="178"/>
  <c r="TA84" i="178" s="1"/>
  <c r="VA57" i="178"/>
  <c r="VC10" i="178"/>
  <c r="UA73" i="178"/>
  <c r="TY77" i="178" s="1"/>
  <c r="UZ59" i="178"/>
  <c r="UX59" i="178"/>
  <c r="UW66" i="178"/>
  <c r="UY63" i="178"/>
  <c r="VA56" i="178"/>
  <c r="TC68" i="178"/>
  <c r="TC69" i="178" s="1"/>
  <c r="TB69" i="178" s="1"/>
  <c r="TE68" i="178"/>
  <c r="TF73" i="178"/>
  <c r="TF79" i="178" s="1"/>
  <c r="TE73" i="178"/>
  <c r="UA61" i="178"/>
  <c r="UA62" i="178" s="1"/>
  <c r="TZ62" i="178" s="1"/>
  <c r="UC61" i="178"/>
  <c r="UD67" i="178"/>
  <c r="UD68" i="178"/>
  <c r="TY67" i="178"/>
  <c r="UA67" i="178" s="1"/>
  <c r="UZ53" i="178"/>
  <c r="VA53" i="178" s="1"/>
  <c r="UW54" i="178"/>
  <c r="TA74" i="178"/>
  <c r="TC74" i="178" s="1"/>
  <c r="TF75" i="178"/>
  <c r="TF74" i="178"/>
  <c r="YL52" i="178"/>
  <c r="YI59" i="178"/>
  <c r="YJ52" i="178"/>
  <c r="YI47" i="178"/>
  <c r="YL46" i="178"/>
  <c r="YM46" i="178" s="1"/>
  <c r="EA102" i="178"/>
  <c r="EB102" i="178" s="1"/>
  <c r="DX103" i="178"/>
  <c r="J5" i="177"/>
  <c r="L13" i="3"/>
  <c r="AQ22" i="153"/>
  <c r="AR22" i="153"/>
  <c r="AW22" i="153"/>
  <c r="BA19" i="153"/>
  <c r="AT22" i="153"/>
  <c r="AY22" i="153"/>
  <c r="AZ22" i="153"/>
  <c r="AX22" i="153"/>
  <c r="AU10" i="153"/>
  <c r="AS22" i="153"/>
  <c r="BA10" i="153"/>
  <c r="BA20" i="153"/>
  <c r="BA4" i="153"/>
  <c r="BA16" i="153"/>
  <c r="BA7" i="153"/>
  <c r="AU16" i="153"/>
  <c r="AV22" i="153"/>
  <c r="BA21" i="153"/>
  <c r="AU19" i="153"/>
  <c r="AU7" i="153"/>
  <c r="AU4" i="153"/>
  <c r="AU20" i="153"/>
  <c r="AP22" i="153"/>
  <c r="AU21" i="153"/>
  <c r="D43" i="169"/>
  <c r="E43" i="169" s="1"/>
  <c r="F43" i="169" s="1"/>
  <c r="D49" i="169"/>
  <c r="E49" i="169" s="1"/>
  <c r="F49" i="169" s="1"/>
  <c r="D50" i="169"/>
  <c r="E50" i="169" s="1"/>
  <c r="F50" i="169" s="1"/>
  <c r="D13" i="175"/>
  <c r="F13" i="175"/>
  <c r="D42" i="169"/>
  <c r="E42" i="169" s="1"/>
  <c r="F42" i="169" s="1"/>
  <c r="AN18" i="153"/>
  <c r="AM18" i="153"/>
  <c r="AL18" i="153"/>
  <c r="AK18" i="153"/>
  <c r="AJ18" i="153"/>
  <c r="AN17" i="153"/>
  <c r="AM17" i="153"/>
  <c r="AL17" i="153"/>
  <c r="AK17" i="153"/>
  <c r="AJ17" i="153"/>
  <c r="AN15" i="153"/>
  <c r="AM15" i="153"/>
  <c r="AL15" i="153"/>
  <c r="AK15" i="153"/>
  <c r="AJ15" i="153"/>
  <c r="AN14" i="153"/>
  <c r="AM14" i="153"/>
  <c r="AL14" i="153"/>
  <c r="AK14" i="153"/>
  <c r="AJ14" i="153"/>
  <c r="AN9" i="153"/>
  <c r="AM9" i="153"/>
  <c r="AL9" i="153"/>
  <c r="AK9" i="153"/>
  <c r="AJ9" i="153"/>
  <c r="AN8" i="153"/>
  <c r="AM8" i="153"/>
  <c r="AL8" i="153"/>
  <c r="AK8" i="153"/>
  <c r="AJ8" i="153"/>
  <c r="AN6" i="153"/>
  <c r="AM6" i="153"/>
  <c r="AL6" i="153"/>
  <c r="AK6" i="153"/>
  <c r="AJ6" i="153"/>
  <c r="AN5" i="153"/>
  <c r="AM5" i="153"/>
  <c r="AL5" i="153"/>
  <c r="AK5" i="153"/>
  <c r="AJ5" i="153"/>
  <c r="AN3" i="153"/>
  <c r="AM3" i="153"/>
  <c r="AL3" i="153"/>
  <c r="AK3" i="153"/>
  <c r="AJ3" i="153"/>
  <c r="AN2" i="153"/>
  <c r="AM2" i="153"/>
  <c r="AL2" i="153"/>
  <c r="AK2" i="153"/>
  <c r="AJ2" i="153"/>
  <c r="O10" i="180" l="1"/>
  <c r="C77" i="176"/>
  <c r="E77" i="176" s="1"/>
  <c r="C78" i="176"/>
  <c r="E78" i="176" s="1"/>
  <c r="K12" i="180"/>
  <c r="XI26" i="178"/>
  <c r="XK8" i="178"/>
  <c r="XI27" i="178"/>
  <c r="XH29" i="178"/>
  <c r="XF29" i="178"/>
  <c r="XE33" i="178"/>
  <c r="XE34" i="178"/>
  <c r="XG34" i="178" s="1"/>
  <c r="WK32" i="178"/>
  <c r="WL32" i="178" s="1"/>
  <c r="WJ38" i="178"/>
  <c r="WG39" i="178"/>
  <c r="WI39" i="178" s="1"/>
  <c r="WJ39" i="178" s="1"/>
  <c r="WL35" i="178"/>
  <c r="WL34" i="178"/>
  <c r="WM10" i="178" s="1"/>
  <c r="WK33" i="178"/>
  <c r="WL33" i="178"/>
  <c r="WI37" i="178"/>
  <c r="VM38" i="178"/>
  <c r="VO11" i="178"/>
  <c r="VM39" i="178"/>
  <c r="VL41" i="178"/>
  <c r="VJ41" i="178"/>
  <c r="VI46" i="178"/>
  <c r="VK46" i="178" s="1"/>
  <c r="UO43" i="178"/>
  <c r="UO42" i="178"/>
  <c r="UQ12" i="178"/>
  <c r="UL45" i="178"/>
  <c r="UN45" i="178"/>
  <c r="UK50" i="178"/>
  <c r="UM50" i="178" s="1"/>
  <c r="UD72" i="178"/>
  <c r="H16" i="188"/>
  <c r="D16" i="188"/>
  <c r="E16" i="188" s="1"/>
  <c r="B17" i="188"/>
  <c r="TP50" i="178"/>
  <c r="TM51" i="178"/>
  <c r="TO51" i="178" s="1"/>
  <c r="TP51" i="178" s="1"/>
  <c r="TQ44" i="178"/>
  <c r="TR44" i="178" s="1"/>
  <c r="I12" i="180" s="1"/>
  <c r="TR47" i="178"/>
  <c r="TR46" i="178"/>
  <c r="TR45" i="178"/>
  <c r="TS13" i="178" s="1"/>
  <c r="TQ45" i="178"/>
  <c r="TO49" i="178"/>
  <c r="NQ71" i="178"/>
  <c r="NQ70" i="178"/>
  <c r="NS12" i="178"/>
  <c r="NT12" i="178" s="1"/>
  <c r="NO61" i="178"/>
  <c r="NO62" i="178" s="1"/>
  <c r="NN62" i="178" s="1"/>
  <c r="NR65" i="178" s="1"/>
  <c r="NQ61" i="178"/>
  <c r="NO67" i="178"/>
  <c r="NN73" i="178"/>
  <c r="NP73" i="178"/>
  <c r="NM77" i="178"/>
  <c r="NO77" i="178" s="1"/>
  <c r="NM80" i="178"/>
  <c r="Q9" i="180"/>
  <c r="VY50" i="178"/>
  <c r="WA9" i="178"/>
  <c r="WU33" i="178"/>
  <c r="WU34" i="178" s="1"/>
  <c r="WT34" i="178" s="1"/>
  <c r="U7" i="180" s="1"/>
  <c r="WW33" i="178"/>
  <c r="VV52" i="178"/>
  <c r="VX52" i="178"/>
  <c r="VU59" i="178"/>
  <c r="VW56" i="178"/>
  <c r="WX38" i="178"/>
  <c r="WX44" i="178" s="1"/>
  <c r="WW38" i="178"/>
  <c r="WV42" i="178"/>
  <c r="WS43" i="178"/>
  <c r="WU43" i="178" s="1"/>
  <c r="WV43" i="178" s="1"/>
  <c r="WU45" i="178"/>
  <c r="WS49" i="178" s="1"/>
  <c r="WW37" i="178"/>
  <c r="VY49" i="178"/>
  <c r="WX40" i="178"/>
  <c r="WS39" i="178"/>
  <c r="WU39" i="178" s="1"/>
  <c r="WX39" i="178"/>
  <c r="VX46" i="178"/>
  <c r="VY46" i="178" s="1"/>
  <c r="VU47" i="178"/>
  <c r="UC70" i="178"/>
  <c r="D72" i="176"/>
  <c r="YK36" i="178"/>
  <c r="YL36" i="178" s="1"/>
  <c r="YM36" i="178" s="1"/>
  <c r="YM37" i="178" s="1"/>
  <c r="YN37" i="178" s="1"/>
  <c r="H7" i="179" s="1"/>
  <c r="EA98" i="178"/>
  <c r="EB98" i="178" s="1"/>
  <c r="DX99" i="178"/>
  <c r="YK42" i="178"/>
  <c r="TD74" i="178"/>
  <c r="TE74" i="178" s="1"/>
  <c r="TA75" i="178"/>
  <c r="VB59" i="178"/>
  <c r="N11" i="180" s="1"/>
  <c r="VA59" i="178"/>
  <c r="UC71" i="178"/>
  <c r="UE12" i="178"/>
  <c r="UY54" i="178"/>
  <c r="UY55" i="178" s="1"/>
  <c r="UX55" i="178" s="1"/>
  <c r="VA54" i="178"/>
  <c r="UB67" i="178"/>
  <c r="UC67" i="178" s="1"/>
  <c r="TY68" i="178"/>
  <c r="TG13" i="178"/>
  <c r="TE77" i="178"/>
  <c r="TE78" i="178"/>
  <c r="UZ63" i="178"/>
  <c r="UW64" i="178"/>
  <c r="UY64" i="178" s="1"/>
  <c r="UZ64" i="178" s="1"/>
  <c r="VA58" i="178"/>
  <c r="UY66" i="178"/>
  <c r="UW70" i="178" s="1"/>
  <c r="UW60" i="178"/>
  <c r="UY60" i="178" s="1"/>
  <c r="VB61" i="178"/>
  <c r="VB60" i="178"/>
  <c r="UB73" i="178"/>
  <c r="TZ73" i="178"/>
  <c r="TY80" i="178"/>
  <c r="UA77" i="178"/>
  <c r="TB80" i="178"/>
  <c r="TD80" i="178"/>
  <c r="TC84" i="178"/>
  <c r="TA87" i="178"/>
  <c r="YK59" i="178"/>
  <c r="YK47" i="178"/>
  <c r="YK48" i="178" s="1"/>
  <c r="YJ48" i="178" s="1"/>
  <c r="YM47" i="178"/>
  <c r="YN52" i="178"/>
  <c r="G10" i="179" s="1"/>
  <c r="YM52" i="178"/>
  <c r="YI53" i="178"/>
  <c r="YK53" i="178" s="1"/>
  <c r="YN54" i="178"/>
  <c r="J10" i="179" s="1"/>
  <c r="YN53" i="178"/>
  <c r="I10" i="179" s="1"/>
  <c r="DZ103" i="178"/>
  <c r="DZ104" i="178" s="1"/>
  <c r="DY104" i="178" s="1"/>
  <c r="EB103" i="178"/>
  <c r="E32" i="176"/>
  <c r="BA22" i="153"/>
  <c r="AU22" i="153"/>
  <c r="AM21" i="153"/>
  <c r="AK21" i="153"/>
  <c r="AL21" i="153"/>
  <c r="AJ20" i="153"/>
  <c r="AN20" i="153"/>
  <c r="AK20" i="153"/>
  <c r="AL20" i="153"/>
  <c r="AM20" i="153"/>
  <c r="AK16" i="153"/>
  <c r="AN4" i="153"/>
  <c r="AM7" i="153"/>
  <c r="AK10" i="153"/>
  <c r="AO14" i="153"/>
  <c r="AM16" i="153"/>
  <c r="AK19" i="153"/>
  <c r="AJ7" i="153"/>
  <c r="AL10" i="153"/>
  <c r="AJ16" i="153"/>
  <c r="AN7" i="153"/>
  <c r="AN16" i="153"/>
  <c r="AN19" i="153"/>
  <c r="AN10" i="153"/>
  <c r="AM10" i="153"/>
  <c r="AM19" i="153"/>
  <c r="AL19" i="153"/>
  <c r="AL7" i="153"/>
  <c r="AL16" i="153"/>
  <c r="AO5" i="153"/>
  <c r="AK7" i="153"/>
  <c r="AO8" i="153"/>
  <c r="AO17" i="153"/>
  <c r="AO3" i="153"/>
  <c r="AO9" i="153"/>
  <c r="AO18" i="153"/>
  <c r="AJ10" i="153"/>
  <c r="AJ19" i="153"/>
  <c r="AJ21" i="153"/>
  <c r="AN21" i="153"/>
  <c r="AJ4" i="153"/>
  <c r="AO2" i="153"/>
  <c r="AK4" i="153"/>
  <c r="AO6" i="153"/>
  <c r="AO15" i="153"/>
  <c r="AL4" i="153"/>
  <c r="AM4" i="153"/>
  <c r="J1952" i="5"/>
  <c r="R1952" i="5"/>
  <c r="AA1952" i="5"/>
  <c r="J1953" i="5"/>
  <c r="R1953" i="5"/>
  <c r="AA1953" i="5"/>
  <c r="J1954" i="5"/>
  <c r="R1954" i="5"/>
  <c r="AA1954" i="5"/>
  <c r="J1955" i="5"/>
  <c r="R1955" i="5"/>
  <c r="AA1955" i="5"/>
  <c r="J1956" i="5"/>
  <c r="R1956" i="5"/>
  <c r="AA1956" i="5"/>
  <c r="J1957" i="5"/>
  <c r="R1957" i="5"/>
  <c r="AA1957" i="5"/>
  <c r="J1958" i="5"/>
  <c r="R1958" i="5"/>
  <c r="AA1958" i="5"/>
  <c r="J1959" i="5"/>
  <c r="R1959" i="5"/>
  <c r="AA1959" i="5"/>
  <c r="J1960" i="5"/>
  <c r="R1960" i="5"/>
  <c r="AA1960" i="5"/>
  <c r="J1961" i="5"/>
  <c r="R1961" i="5"/>
  <c r="AA1961" i="5"/>
  <c r="J1962" i="5"/>
  <c r="R1962" i="5"/>
  <c r="AA1962" i="5"/>
  <c r="J1963" i="5"/>
  <c r="R1963" i="5"/>
  <c r="AA1963" i="5"/>
  <c r="J1964" i="5"/>
  <c r="R1964" i="5"/>
  <c r="AA1964" i="5"/>
  <c r="J1965" i="5"/>
  <c r="R1965" i="5"/>
  <c r="AA1965" i="5"/>
  <c r="J1966" i="5"/>
  <c r="R1966" i="5"/>
  <c r="AA1966" i="5"/>
  <c r="J1967" i="5"/>
  <c r="R1967" i="5"/>
  <c r="AA1967" i="5"/>
  <c r="J1968" i="5"/>
  <c r="R1968" i="5"/>
  <c r="AA1968" i="5"/>
  <c r="J1969" i="5"/>
  <c r="R1969" i="5"/>
  <c r="AA1969" i="5"/>
  <c r="J1970" i="5"/>
  <c r="R1970" i="5"/>
  <c r="AA1970" i="5"/>
  <c r="J1971" i="5"/>
  <c r="R1971" i="5"/>
  <c r="AA1971" i="5"/>
  <c r="J1972" i="5"/>
  <c r="R1972" i="5"/>
  <c r="AA1972" i="5"/>
  <c r="J1973" i="5"/>
  <c r="R1973" i="5"/>
  <c r="AA1973" i="5"/>
  <c r="J1974" i="5"/>
  <c r="R1974" i="5"/>
  <c r="AA1974" i="5"/>
  <c r="J1975" i="5"/>
  <c r="R1975" i="5"/>
  <c r="AA1975" i="5"/>
  <c r="J1976" i="5"/>
  <c r="R1976" i="5"/>
  <c r="AA1976" i="5"/>
  <c r="J1977" i="5"/>
  <c r="R1977" i="5"/>
  <c r="AA1977" i="5"/>
  <c r="J1978" i="5"/>
  <c r="R1978" i="5"/>
  <c r="AA1978" i="5"/>
  <c r="J1979" i="5"/>
  <c r="R1979" i="5"/>
  <c r="AA1979" i="5"/>
  <c r="J1980" i="5"/>
  <c r="R1980" i="5"/>
  <c r="AA1980" i="5"/>
  <c r="J1981" i="5"/>
  <c r="R1981" i="5"/>
  <c r="AA1981" i="5"/>
  <c r="J1982" i="5"/>
  <c r="R1982" i="5"/>
  <c r="AA1982" i="5"/>
  <c r="J1983" i="5"/>
  <c r="R1983" i="5"/>
  <c r="AA1983" i="5"/>
  <c r="J1984" i="5"/>
  <c r="R1984" i="5"/>
  <c r="AA1984" i="5"/>
  <c r="J1985" i="5"/>
  <c r="R1985" i="5"/>
  <c r="AA1985" i="5"/>
  <c r="J1986" i="5"/>
  <c r="R1986" i="5"/>
  <c r="AA1986" i="5"/>
  <c r="J1987" i="5"/>
  <c r="R1987" i="5"/>
  <c r="AA1987" i="5"/>
  <c r="J1988" i="5"/>
  <c r="R1988" i="5"/>
  <c r="AA1988" i="5"/>
  <c r="J1989" i="5"/>
  <c r="R1989" i="5"/>
  <c r="AA1989" i="5"/>
  <c r="J1990" i="5"/>
  <c r="R1990" i="5"/>
  <c r="AA1990" i="5"/>
  <c r="J1991" i="5"/>
  <c r="R1991" i="5"/>
  <c r="AA1991" i="5"/>
  <c r="J1992" i="5"/>
  <c r="R1992" i="5"/>
  <c r="AA1992" i="5"/>
  <c r="J1993" i="5"/>
  <c r="R1993" i="5"/>
  <c r="AA1993" i="5"/>
  <c r="J1994" i="5"/>
  <c r="R1994" i="5"/>
  <c r="AA1994" i="5"/>
  <c r="J1995" i="5"/>
  <c r="R1995" i="5"/>
  <c r="AA1995" i="5"/>
  <c r="J1996" i="5"/>
  <c r="R1996" i="5"/>
  <c r="AA1996" i="5"/>
  <c r="J1997" i="5"/>
  <c r="R1997" i="5"/>
  <c r="AA1997" i="5"/>
  <c r="J1998" i="5"/>
  <c r="R1998" i="5"/>
  <c r="AA1998" i="5"/>
  <c r="J1999" i="5"/>
  <c r="R1999" i="5"/>
  <c r="AA1999" i="5"/>
  <c r="J2000" i="5"/>
  <c r="R2000" i="5"/>
  <c r="AA2000" i="5"/>
  <c r="J2001" i="5"/>
  <c r="R2001" i="5"/>
  <c r="AA2001" i="5"/>
  <c r="J2002" i="5"/>
  <c r="R2002" i="5"/>
  <c r="AA2002" i="5"/>
  <c r="J2003" i="5"/>
  <c r="R2003" i="5"/>
  <c r="AA2003" i="5"/>
  <c r="J2004" i="5"/>
  <c r="R2004" i="5"/>
  <c r="AA2004" i="5"/>
  <c r="J2005" i="5"/>
  <c r="R2005" i="5"/>
  <c r="AA2005" i="5"/>
  <c r="J2006" i="5"/>
  <c r="R2006" i="5"/>
  <c r="AA2006" i="5"/>
  <c r="J2007" i="5"/>
  <c r="R2007" i="5"/>
  <c r="AA2007" i="5"/>
  <c r="J2008" i="5"/>
  <c r="R2008" i="5"/>
  <c r="AA2008" i="5"/>
  <c r="J2009" i="5"/>
  <c r="R2009" i="5"/>
  <c r="AA2009" i="5"/>
  <c r="J2010" i="5"/>
  <c r="R2010" i="5"/>
  <c r="AA2010" i="5"/>
  <c r="J2011" i="5"/>
  <c r="R2011" i="5"/>
  <c r="AA2011" i="5"/>
  <c r="J2012" i="5"/>
  <c r="R2012" i="5"/>
  <c r="AA2012" i="5"/>
  <c r="J2013" i="5"/>
  <c r="R2013" i="5"/>
  <c r="AA2013" i="5"/>
  <c r="J2014" i="5"/>
  <c r="R2014" i="5"/>
  <c r="AA2014" i="5"/>
  <c r="J2015" i="5"/>
  <c r="R2015" i="5"/>
  <c r="AA2015" i="5"/>
  <c r="J2016" i="5"/>
  <c r="R2016" i="5"/>
  <c r="AA2016" i="5"/>
  <c r="J2017" i="5"/>
  <c r="R2017" i="5"/>
  <c r="AA2017" i="5"/>
  <c r="J2018" i="5"/>
  <c r="R2018" i="5"/>
  <c r="AA2018" i="5"/>
  <c r="J2019" i="5"/>
  <c r="R2019" i="5"/>
  <c r="AA2019" i="5"/>
  <c r="J2020" i="5"/>
  <c r="R2020" i="5"/>
  <c r="AA2020" i="5"/>
  <c r="J2021" i="5"/>
  <c r="R2021" i="5"/>
  <c r="AA2021" i="5"/>
  <c r="J2022" i="5"/>
  <c r="R2022" i="5"/>
  <c r="AA2022" i="5"/>
  <c r="J2023" i="5"/>
  <c r="R2023" i="5"/>
  <c r="AA2023" i="5"/>
  <c r="J2024" i="5"/>
  <c r="R2024" i="5"/>
  <c r="AA2024" i="5"/>
  <c r="J2025" i="5"/>
  <c r="R2025" i="5"/>
  <c r="AA2025" i="5"/>
  <c r="J2026" i="5"/>
  <c r="R2026" i="5"/>
  <c r="AA2026" i="5"/>
  <c r="J2027" i="5"/>
  <c r="R2027" i="5"/>
  <c r="AA2027" i="5"/>
  <c r="J2028" i="5"/>
  <c r="R2028" i="5"/>
  <c r="AA2028" i="5"/>
  <c r="J2029" i="5"/>
  <c r="R2029" i="5"/>
  <c r="AA2029" i="5"/>
  <c r="J2030" i="5"/>
  <c r="R2030" i="5"/>
  <c r="AA2030" i="5"/>
  <c r="J2031" i="5"/>
  <c r="R2031" i="5"/>
  <c r="AA2031" i="5"/>
  <c r="J2032" i="5"/>
  <c r="R2032" i="5"/>
  <c r="AA2032" i="5"/>
  <c r="J2033" i="5"/>
  <c r="R2033" i="5"/>
  <c r="AA2033" i="5"/>
  <c r="J2034" i="5"/>
  <c r="R2034" i="5"/>
  <c r="AA2034" i="5"/>
  <c r="J2035" i="5"/>
  <c r="R2035" i="5"/>
  <c r="AA2035" i="5"/>
  <c r="J2036" i="5"/>
  <c r="R2036" i="5"/>
  <c r="AA2036" i="5"/>
  <c r="J2037" i="5"/>
  <c r="R2037" i="5"/>
  <c r="AA2037" i="5"/>
  <c r="J2038" i="5"/>
  <c r="R2038" i="5"/>
  <c r="AA2038" i="5"/>
  <c r="J2039" i="5"/>
  <c r="R2039" i="5"/>
  <c r="AA2039" i="5"/>
  <c r="J2040" i="5"/>
  <c r="R2040" i="5"/>
  <c r="AA2040" i="5"/>
  <c r="J2041" i="5"/>
  <c r="R2041" i="5"/>
  <c r="AA2041" i="5"/>
  <c r="J2042" i="5"/>
  <c r="R2042" i="5"/>
  <c r="AA2042" i="5"/>
  <c r="J2043" i="5"/>
  <c r="R2043" i="5"/>
  <c r="AA2043" i="5"/>
  <c r="J2044" i="5"/>
  <c r="R2044" i="5"/>
  <c r="AA2044" i="5"/>
  <c r="J2045" i="5"/>
  <c r="R2045" i="5"/>
  <c r="AA2045" i="5"/>
  <c r="J2046" i="5"/>
  <c r="R2046" i="5"/>
  <c r="AA2046" i="5"/>
  <c r="J2047" i="5"/>
  <c r="R2047" i="5"/>
  <c r="AA2047" i="5"/>
  <c r="J2048" i="5"/>
  <c r="R2048" i="5"/>
  <c r="AA2048" i="5"/>
  <c r="J2049" i="5"/>
  <c r="R2049" i="5"/>
  <c r="AA2049" i="5"/>
  <c r="J2050" i="5"/>
  <c r="R2050" i="5"/>
  <c r="AA2050" i="5"/>
  <c r="J2051" i="5"/>
  <c r="R2051" i="5"/>
  <c r="AA2051" i="5"/>
  <c r="J2052" i="5"/>
  <c r="R2052" i="5"/>
  <c r="AA2052" i="5"/>
  <c r="J2053" i="5"/>
  <c r="R2053" i="5"/>
  <c r="AA2053" i="5"/>
  <c r="J2054" i="5"/>
  <c r="R2054" i="5"/>
  <c r="AA2054" i="5"/>
  <c r="J2055" i="5"/>
  <c r="R2055" i="5"/>
  <c r="AA2055" i="5"/>
  <c r="J2056" i="5"/>
  <c r="R2056" i="5"/>
  <c r="AA2056" i="5"/>
  <c r="J2057" i="5"/>
  <c r="R2057" i="5"/>
  <c r="AA2057" i="5"/>
  <c r="J2058" i="5"/>
  <c r="R2058" i="5"/>
  <c r="AA2058" i="5"/>
  <c r="J2059" i="5"/>
  <c r="R2059" i="5"/>
  <c r="AA2059" i="5"/>
  <c r="J2060" i="5"/>
  <c r="R2060" i="5"/>
  <c r="AA2060" i="5"/>
  <c r="J2061" i="5"/>
  <c r="R2061" i="5"/>
  <c r="AA2061" i="5"/>
  <c r="J2062" i="5"/>
  <c r="R2062" i="5"/>
  <c r="AA2062" i="5"/>
  <c r="J2063" i="5"/>
  <c r="R2063" i="5"/>
  <c r="AA2063" i="5"/>
  <c r="J2064" i="5"/>
  <c r="R2064" i="5"/>
  <c r="AA2064" i="5"/>
  <c r="J2065" i="5"/>
  <c r="R2065" i="5"/>
  <c r="AA2065" i="5"/>
  <c r="J2066" i="5"/>
  <c r="R2066" i="5"/>
  <c r="AA2066" i="5"/>
  <c r="J2067" i="5"/>
  <c r="R2067" i="5"/>
  <c r="AA2067" i="5"/>
  <c r="J2068" i="5"/>
  <c r="R2068" i="5"/>
  <c r="AA2068" i="5"/>
  <c r="J2069" i="5"/>
  <c r="R2069" i="5"/>
  <c r="AA2069" i="5"/>
  <c r="J2070" i="5"/>
  <c r="R2070" i="5"/>
  <c r="AA2070" i="5"/>
  <c r="J2071" i="5"/>
  <c r="R2071" i="5"/>
  <c r="AA2071" i="5"/>
  <c r="J2072" i="5"/>
  <c r="R2072" i="5"/>
  <c r="AA2072" i="5"/>
  <c r="J2073" i="5"/>
  <c r="R2073" i="5"/>
  <c r="AA2073" i="5"/>
  <c r="J2074" i="5"/>
  <c r="R2074" i="5"/>
  <c r="AA2074" i="5"/>
  <c r="J2075" i="5"/>
  <c r="R2075" i="5"/>
  <c r="AA2075" i="5"/>
  <c r="J2076" i="5"/>
  <c r="R2076" i="5"/>
  <c r="AA2076" i="5"/>
  <c r="J2077" i="5"/>
  <c r="R2077" i="5"/>
  <c r="AA2077" i="5"/>
  <c r="J2078" i="5"/>
  <c r="R2078" i="5"/>
  <c r="AA2078" i="5"/>
  <c r="J2079" i="5"/>
  <c r="R2079" i="5"/>
  <c r="AA2079" i="5"/>
  <c r="J2080" i="5"/>
  <c r="R2080" i="5"/>
  <c r="AA2080" i="5"/>
  <c r="J2081" i="5"/>
  <c r="R2081" i="5"/>
  <c r="AA2081" i="5"/>
  <c r="J2082" i="5"/>
  <c r="R2082" i="5"/>
  <c r="AA2082" i="5"/>
  <c r="J2083" i="5"/>
  <c r="R2083" i="5"/>
  <c r="AA2083" i="5"/>
  <c r="J2084" i="5"/>
  <c r="R2084" i="5"/>
  <c r="AA2084" i="5"/>
  <c r="J2085" i="5"/>
  <c r="R2085" i="5"/>
  <c r="AA2085" i="5"/>
  <c r="J2086" i="5"/>
  <c r="R2086" i="5"/>
  <c r="AA2086" i="5"/>
  <c r="J2087" i="5"/>
  <c r="R2087" i="5"/>
  <c r="AA2087" i="5"/>
  <c r="J2088" i="5"/>
  <c r="R2088" i="5"/>
  <c r="AA2088" i="5"/>
  <c r="J2089" i="5"/>
  <c r="R2089" i="5"/>
  <c r="AA2089" i="5"/>
  <c r="J2090" i="5"/>
  <c r="R2090" i="5"/>
  <c r="AA2090" i="5"/>
  <c r="J2091" i="5"/>
  <c r="R2091" i="5"/>
  <c r="AA2091" i="5"/>
  <c r="J2092" i="5"/>
  <c r="R2092" i="5"/>
  <c r="AA2092" i="5"/>
  <c r="J2093" i="5"/>
  <c r="R2093" i="5"/>
  <c r="AA2093" i="5"/>
  <c r="J2094" i="5"/>
  <c r="R2094" i="5"/>
  <c r="AA2094" i="5"/>
  <c r="J2095" i="5"/>
  <c r="R2095" i="5"/>
  <c r="AA2095" i="5"/>
  <c r="J2096" i="5"/>
  <c r="R2096" i="5"/>
  <c r="AA2096" i="5"/>
  <c r="J2097" i="5"/>
  <c r="R2097" i="5"/>
  <c r="AA2097" i="5"/>
  <c r="J2098" i="5"/>
  <c r="R2098" i="5"/>
  <c r="AA2098" i="5"/>
  <c r="J2099" i="5"/>
  <c r="R2099" i="5"/>
  <c r="AA2099" i="5"/>
  <c r="J2100" i="5"/>
  <c r="R2100" i="5"/>
  <c r="AA2100" i="5"/>
  <c r="J2101" i="5"/>
  <c r="R2101" i="5"/>
  <c r="AA2101" i="5"/>
  <c r="J2102" i="5"/>
  <c r="R2102" i="5"/>
  <c r="AA2102" i="5"/>
  <c r="J2103" i="5"/>
  <c r="R2103" i="5"/>
  <c r="AA2103" i="5"/>
  <c r="J2104" i="5"/>
  <c r="R2104" i="5"/>
  <c r="AA2104" i="5"/>
  <c r="J2105" i="5"/>
  <c r="R2105" i="5"/>
  <c r="AA2105" i="5"/>
  <c r="J2106" i="5"/>
  <c r="R2106" i="5"/>
  <c r="AA2106" i="5"/>
  <c r="J2107" i="5"/>
  <c r="R2107" i="5"/>
  <c r="AA2107" i="5"/>
  <c r="J2108" i="5"/>
  <c r="R2108" i="5"/>
  <c r="AA2108" i="5"/>
  <c r="J2109" i="5"/>
  <c r="R2109" i="5"/>
  <c r="AA2109" i="5"/>
  <c r="J2110" i="5"/>
  <c r="R2110" i="5"/>
  <c r="AA2110" i="5"/>
  <c r="J2111" i="5"/>
  <c r="R2111" i="5"/>
  <c r="AA2111" i="5"/>
  <c r="J2112" i="5"/>
  <c r="R2112" i="5"/>
  <c r="AA2112" i="5"/>
  <c r="J2113" i="5"/>
  <c r="R2113" i="5"/>
  <c r="AA2113" i="5"/>
  <c r="J2114" i="5"/>
  <c r="R2114" i="5"/>
  <c r="AA2114" i="5"/>
  <c r="J2115" i="5"/>
  <c r="R2115" i="5"/>
  <c r="AA2115" i="5"/>
  <c r="J2116" i="5"/>
  <c r="R2116" i="5"/>
  <c r="AA2116" i="5"/>
  <c r="J2117" i="5"/>
  <c r="R2117" i="5"/>
  <c r="AA2117" i="5"/>
  <c r="J2118" i="5"/>
  <c r="R2118" i="5"/>
  <c r="AA2118" i="5"/>
  <c r="J2119" i="5"/>
  <c r="R2119" i="5"/>
  <c r="AA2119" i="5"/>
  <c r="J2120" i="5"/>
  <c r="R2120" i="5"/>
  <c r="AA2120" i="5"/>
  <c r="J2121" i="5"/>
  <c r="R2121" i="5"/>
  <c r="AA2121" i="5"/>
  <c r="J2122" i="5"/>
  <c r="R2122" i="5"/>
  <c r="AA2122" i="5"/>
  <c r="J2123" i="5"/>
  <c r="R2123" i="5"/>
  <c r="AA2123" i="5"/>
  <c r="J2124" i="5"/>
  <c r="R2124" i="5"/>
  <c r="AA2124" i="5"/>
  <c r="J2125" i="5"/>
  <c r="R2125" i="5"/>
  <c r="AA2125" i="5"/>
  <c r="J2126" i="5"/>
  <c r="R2126" i="5"/>
  <c r="AA2126" i="5"/>
  <c r="J2127" i="5"/>
  <c r="R2127" i="5"/>
  <c r="AA2127" i="5"/>
  <c r="J2128" i="5"/>
  <c r="R2128" i="5"/>
  <c r="AA2128" i="5"/>
  <c r="J2129" i="5"/>
  <c r="R2129" i="5"/>
  <c r="AA2129" i="5"/>
  <c r="J2130" i="5"/>
  <c r="R2130" i="5"/>
  <c r="AA2130" i="5"/>
  <c r="J2131" i="5"/>
  <c r="R2131" i="5"/>
  <c r="AA2131" i="5"/>
  <c r="J2132" i="5"/>
  <c r="R2132" i="5"/>
  <c r="AA2132" i="5"/>
  <c r="J2133" i="5"/>
  <c r="R2133" i="5"/>
  <c r="AA2133" i="5"/>
  <c r="J2134" i="5"/>
  <c r="R2134" i="5"/>
  <c r="AA2134" i="5"/>
  <c r="J2135" i="5"/>
  <c r="R2135" i="5"/>
  <c r="AA2135" i="5"/>
  <c r="J2136" i="5"/>
  <c r="R2136" i="5"/>
  <c r="AA2136" i="5"/>
  <c r="J2137" i="5"/>
  <c r="R2137" i="5"/>
  <c r="AA2137" i="5"/>
  <c r="J2138" i="5"/>
  <c r="R2138" i="5"/>
  <c r="AA2138" i="5"/>
  <c r="J2139" i="5"/>
  <c r="R2139" i="5"/>
  <c r="AA2139" i="5"/>
  <c r="J2140" i="5"/>
  <c r="R2140" i="5"/>
  <c r="AA2140" i="5"/>
  <c r="J2141" i="5"/>
  <c r="R2141" i="5"/>
  <c r="AA2141" i="5"/>
  <c r="J2142" i="5"/>
  <c r="R2142" i="5"/>
  <c r="AA2142" i="5"/>
  <c r="J2143" i="5"/>
  <c r="R2143" i="5"/>
  <c r="AA2143" i="5"/>
  <c r="J2144" i="5"/>
  <c r="R2144" i="5"/>
  <c r="AA2144" i="5"/>
  <c r="J2145" i="5"/>
  <c r="R2145" i="5"/>
  <c r="AA2145" i="5"/>
  <c r="J2146" i="5"/>
  <c r="R2146" i="5"/>
  <c r="AA2146" i="5"/>
  <c r="J2147" i="5"/>
  <c r="R2147" i="5"/>
  <c r="AA2147" i="5"/>
  <c r="J2148" i="5"/>
  <c r="R2148" i="5"/>
  <c r="AA2148" i="5"/>
  <c r="J2149" i="5"/>
  <c r="R2149" i="5"/>
  <c r="AA2149" i="5"/>
  <c r="J2150" i="5"/>
  <c r="R2150" i="5"/>
  <c r="AA2150" i="5"/>
  <c r="J2151" i="5"/>
  <c r="R2151" i="5"/>
  <c r="AA2151" i="5"/>
  <c r="J2152" i="5"/>
  <c r="R2152" i="5"/>
  <c r="AA2152" i="5"/>
  <c r="J2153" i="5"/>
  <c r="R2153" i="5"/>
  <c r="AA2153" i="5"/>
  <c r="J2154" i="5"/>
  <c r="R2154" i="5"/>
  <c r="AA2154" i="5"/>
  <c r="J2155" i="5"/>
  <c r="R2155" i="5"/>
  <c r="AA2155" i="5"/>
  <c r="J2156" i="5"/>
  <c r="R2156" i="5"/>
  <c r="AA2156" i="5"/>
  <c r="J2157" i="5"/>
  <c r="R2157" i="5"/>
  <c r="AA2157" i="5"/>
  <c r="J2158" i="5"/>
  <c r="R2158" i="5"/>
  <c r="AA2158" i="5"/>
  <c r="J2159" i="5"/>
  <c r="R2159" i="5"/>
  <c r="AA2159" i="5"/>
  <c r="J2160" i="5"/>
  <c r="R2160" i="5"/>
  <c r="AA2160" i="5"/>
  <c r="J2161" i="5"/>
  <c r="R2161" i="5"/>
  <c r="AA2161" i="5"/>
  <c r="J2162" i="5"/>
  <c r="R2162" i="5"/>
  <c r="AA2162" i="5"/>
  <c r="J2163" i="5"/>
  <c r="R2163" i="5"/>
  <c r="AA2163" i="5"/>
  <c r="J2164" i="5"/>
  <c r="R2164" i="5"/>
  <c r="AA2164" i="5"/>
  <c r="J2165" i="5"/>
  <c r="R2165" i="5"/>
  <c r="AA2165" i="5"/>
  <c r="J2166" i="5"/>
  <c r="R2166" i="5"/>
  <c r="AA2166" i="5"/>
  <c r="J2167" i="5"/>
  <c r="R2167" i="5"/>
  <c r="AA2167" i="5"/>
  <c r="J2168" i="5"/>
  <c r="R2168" i="5"/>
  <c r="AA2168" i="5"/>
  <c r="J2169" i="5"/>
  <c r="R2169" i="5"/>
  <c r="AA2169" i="5"/>
  <c r="J2170" i="5"/>
  <c r="R2170" i="5"/>
  <c r="AA2170" i="5"/>
  <c r="J2171" i="5"/>
  <c r="R2171" i="5"/>
  <c r="AA2171" i="5"/>
  <c r="J2172" i="5"/>
  <c r="R2172" i="5"/>
  <c r="AA2172" i="5"/>
  <c r="J2173" i="5"/>
  <c r="R2173" i="5"/>
  <c r="AA2173" i="5"/>
  <c r="J2174" i="5"/>
  <c r="R2174" i="5"/>
  <c r="AA2174" i="5"/>
  <c r="J2175" i="5"/>
  <c r="R2175" i="5"/>
  <c r="AA2175" i="5"/>
  <c r="J2176" i="5"/>
  <c r="R2176" i="5"/>
  <c r="AA2176" i="5"/>
  <c r="J2177" i="5"/>
  <c r="R2177" i="5"/>
  <c r="AA2177" i="5"/>
  <c r="J2178" i="5"/>
  <c r="R2178" i="5"/>
  <c r="AA2178" i="5"/>
  <c r="J2179" i="5"/>
  <c r="R2179" i="5"/>
  <c r="AA2179" i="5"/>
  <c r="J2180" i="5"/>
  <c r="R2180" i="5"/>
  <c r="AA2180" i="5"/>
  <c r="J2181" i="5"/>
  <c r="R2181" i="5"/>
  <c r="AA2181" i="5"/>
  <c r="J2182" i="5"/>
  <c r="R2182" i="5"/>
  <c r="AA2182" i="5"/>
  <c r="J2183" i="5"/>
  <c r="R2183" i="5"/>
  <c r="AA2183" i="5"/>
  <c r="J2184" i="5"/>
  <c r="R2184" i="5"/>
  <c r="AA2184" i="5"/>
  <c r="J2185" i="5"/>
  <c r="R2185" i="5"/>
  <c r="AA2185" i="5"/>
  <c r="J2186" i="5"/>
  <c r="R2186" i="5"/>
  <c r="AA2186" i="5"/>
  <c r="J2187" i="5"/>
  <c r="R2187" i="5"/>
  <c r="AA2187" i="5"/>
  <c r="J2188" i="5"/>
  <c r="R2188" i="5"/>
  <c r="AA2188" i="5"/>
  <c r="J2189" i="5"/>
  <c r="R2189" i="5"/>
  <c r="AA2189" i="5"/>
  <c r="J2190" i="5"/>
  <c r="R2190" i="5"/>
  <c r="AA2190" i="5"/>
  <c r="J2191" i="5"/>
  <c r="R2191" i="5"/>
  <c r="AA2191" i="5"/>
  <c r="J2192" i="5"/>
  <c r="R2192" i="5"/>
  <c r="AA2192" i="5"/>
  <c r="J2193" i="5"/>
  <c r="R2193" i="5"/>
  <c r="AA2193" i="5"/>
  <c r="J2194" i="5"/>
  <c r="R2194" i="5"/>
  <c r="AA2194" i="5"/>
  <c r="J2195" i="5"/>
  <c r="R2195" i="5"/>
  <c r="AA2195" i="5"/>
  <c r="J2196" i="5"/>
  <c r="R2196" i="5"/>
  <c r="AA2196" i="5"/>
  <c r="J2197" i="5"/>
  <c r="R2197" i="5"/>
  <c r="AA2197" i="5"/>
  <c r="J2198" i="5"/>
  <c r="R2198" i="5"/>
  <c r="AA2198" i="5"/>
  <c r="J2199" i="5"/>
  <c r="R2199" i="5"/>
  <c r="AA2199" i="5"/>
  <c r="J2200" i="5"/>
  <c r="R2200" i="5"/>
  <c r="AA2200" i="5"/>
  <c r="J2201" i="5"/>
  <c r="R2201" i="5"/>
  <c r="AA2201" i="5"/>
  <c r="J2202" i="5"/>
  <c r="R2202" i="5"/>
  <c r="AA2202" i="5"/>
  <c r="J2203" i="5"/>
  <c r="R2203" i="5"/>
  <c r="AA2203" i="5"/>
  <c r="J2204" i="5"/>
  <c r="R2204" i="5"/>
  <c r="AA2204" i="5"/>
  <c r="J2205" i="5"/>
  <c r="R2205" i="5"/>
  <c r="AA2205" i="5"/>
  <c r="J2206" i="5"/>
  <c r="R2206" i="5"/>
  <c r="AA2206" i="5"/>
  <c r="J2207" i="5"/>
  <c r="R2207" i="5"/>
  <c r="AA2207" i="5"/>
  <c r="J2208" i="5"/>
  <c r="R2208" i="5"/>
  <c r="AA2208" i="5"/>
  <c r="J2209" i="5"/>
  <c r="R2209" i="5"/>
  <c r="AA2209" i="5"/>
  <c r="J2210" i="5"/>
  <c r="R2210" i="5"/>
  <c r="AA2210" i="5"/>
  <c r="J2211" i="5"/>
  <c r="R2211" i="5"/>
  <c r="AA2211" i="5"/>
  <c r="J2212" i="5"/>
  <c r="R2212" i="5"/>
  <c r="AA2212" i="5"/>
  <c r="J2213" i="5"/>
  <c r="R2213" i="5"/>
  <c r="AA2213" i="5"/>
  <c r="J2214" i="5"/>
  <c r="R2214" i="5"/>
  <c r="AA2214" i="5"/>
  <c r="J2215" i="5"/>
  <c r="R2215" i="5"/>
  <c r="AA2215" i="5"/>
  <c r="J2216" i="5"/>
  <c r="R2216" i="5"/>
  <c r="AA2216" i="5"/>
  <c r="J2217" i="5"/>
  <c r="R2217" i="5"/>
  <c r="AA2217" i="5"/>
  <c r="J2218" i="5"/>
  <c r="R2218" i="5"/>
  <c r="AA2218" i="5"/>
  <c r="J2219" i="5"/>
  <c r="R2219" i="5"/>
  <c r="AA2219" i="5"/>
  <c r="J2220" i="5"/>
  <c r="R2220" i="5"/>
  <c r="AA2220" i="5"/>
  <c r="J2221" i="5"/>
  <c r="R2221" i="5"/>
  <c r="AA2221" i="5"/>
  <c r="J2222" i="5"/>
  <c r="R2222" i="5"/>
  <c r="AA2222" i="5"/>
  <c r="J2223" i="5"/>
  <c r="R2223" i="5"/>
  <c r="AA2223" i="5"/>
  <c r="J2224" i="5"/>
  <c r="R2224" i="5"/>
  <c r="AA2224" i="5"/>
  <c r="J2225" i="5"/>
  <c r="R2225" i="5"/>
  <c r="AA2225" i="5"/>
  <c r="J2226" i="5"/>
  <c r="R2226" i="5"/>
  <c r="AA2226" i="5"/>
  <c r="J2227" i="5"/>
  <c r="R2227" i="5"/>
  <c r="AA2227" i="5"/>
  <c r="J2228" i="5"/>
  <c r="R2228" i="5"/>
  <c r="AA2228" i="5"/>
  <c r="J2229" i="5"/>
  <c r="R2229" i="5"/>
  <c r="AA2229" i="5"/>
  <c r="J2230" i="5"/>
  <c r="R2230" i="5"/>
  <c r="AA2230" i="5"/>
  <c r="J2231" i="5"/>
  <c r="R2231" i="5"/>
  <c r="AA2231" i="5"/>
  <c r="J2232" i="5"/>
  <c r="R2232" i="5"/>
  <c r="AA2232" i="5"/>
  <c r="J2233" i="5"/>
  <c r="R2233" i="5"/>
  <c r="AA2233" i="5"/>
  <c r="J2234" i="5"/>
  <c r="R2234" i="5"/>
  <c r="AA2234" i="5"/>
  <c r="J2235" i="5"/>
  <c r="R2235" i="5"/>
  <c r="AA2235" i="5"/>
  <c r="J2236" i="5"/>
  <c r="R2236" i="5"/>
  <c r="AA2236" i="5"/>
  <c r="J2237" i="5"/>
  <c r="R2237" i="5"/>
  <c r="AA2237" i="5"/>
  <c r="J2238" i="5"/>
  <c r="R2238" i="5"/>
  <c r="AA2238" i="5"/>
  <c r="J2239" i="5"/>
  <c r="R2239" i="5"/>
  <c r="AA2239" i="5"/>
  <c r="J2240" i="5"/>
  <c r="R2240" i="5"/>
  <c r="AA2240" i="5"/>
  <c r="J2241" i="5"/>
  <c r="R2241" i="5"/>
  <c r="AA2241" i="5"/>
  <c r="J2242" i="5"/>
  <c r="R2242" i="5"/>
  <c r="AA2242" i="5"/>
  <c r="J2243" i="5"/>
  <c r="R2243" i="5"/>
  <c r="AA2243" i="5"/>
  <c r="J2244" i="5"/>
  <c r="R2244" i="5"/>
  <c r="AA2244" i="5"/>
  <c r="J2245" i="5"/>
  <c r="R2245" i="5"/>
  <c r="AA2245" i="5"/>
  <c r="J2246" i="5"/>
  <c r="R2246" i="5"/>
  <c r="AA2246" i="5"/>
  <c r="J2247" i="5"/>
  <c r="R2247" i="5"/>
  <c r="AA2247" i="5"/>
  <c r="J2248" i="5"/>
  <c r="R2248" i="5"/>
  <c r="AA2248" i="5"/>
  <c r="J2249" i="5"/>
  <c r="R2249" i="5"/>
  <c r="AA2249" i="5"/>
  <c r="J2250" i="5"/>
  <c r="R2250" i="5"/>
  <c r="AA2250" i="5"/>
  <c r="J2251" i="5"/>
  <c r="R2251" i="5"/>
  <c r="AA2251" i="5"/>
  <c r="J2252" i="5"/>
  <c r="R2252" i="5"/>
  <c r="AA2252" i="5"/>
  <c r="J2253" i="5"/>
  <c r="R2253" i="5"/>
  <c r="AA2253" i="5"/>
  <c r="J2254" i="5"/>
  <c r="R2254" i="5"/>
  <c r="AA2254" i="5"/>
  <c r="J2255" i="5"/>
  <c r="R2255" i="5"/>
  <c r="AA2255" i="5"/>
  <c r="J2256" i="5"/>
  <c r="R2256" i="5"/>
  <c r="AA2256" i="5"/>
  <c r="J2257" i="5"/>
  <c r="R2257" i="5"/>
  <c r="AA2257" i="5"/>
  <c r="J2258" i="5"/>
  <c r="R2258" i="5"/>
  <c r="AA2258" i="5"/>
  <c r="R2259" i="5"/>
  <c r="J2260" i="5"/>
  <c r="R2260" i="5"/>
  <c r="AA2260" i="5"/>
  <c r="AA2261" i="5"/>
  <c r="J2262" i="5"/>
  <c r="R2262" i="5"/>
  <c r="AA2262" i="5"/>
  <c r="J2263" i="5"/>
  <c r="R2263" i="5"/>
  <c r="AA2263" i="5"/>
  <c r="J2264" i="5"/>
  <c r="R2264" i="5"/>
  <c r="AA2264" i="5"/>
  <c r="J2265" i="5"/>
  <c r="R2265" i="5"/>
  <c r="AA2265" i="5"/>
  <c r="J2266" i="5"/>
  <c r="R2266" i="5"/>
  <c r="AA2266" i="5"/>
  <c r="J2267" i="5"/>
  <c r="R2267" i="5"/>
  <c r="AA2267" i="5"/>
  <c r="J2268" i="5"/>
  <c r="R2268" i="5"/>
  <c r="AA2268" i="5"/>
  <c r="J2269" i="5"/>
  <c r="R2269" i="5"/>
  <c r="AA2269" i="5"/>
  <c r="J2270" i="5"/>
  <c r="R2270" i="5"/>
  <c r="AA2270" i="5"/>
  <c r="J2271" i="5"/>
  <c r="R2271" i="5"/>
  <c r="AA2271" i="5"/>
  <c r="J2272" i="5"/>
  <c r="R2272" i="5"/>
  <c r="AA2272" i="5"/>
  <c r="J2273" i="5"/>
  <c r="R2273" i="5"/>
  <c r="AA2273" i="5"/>
  <c r="J2274" i="5"/>
  <c r="R2274" i="5"/>
  <c r="AA2274" i="5"/>
  <c r="J2275" i="5"/>
  <c r="R2275" i="5"/>
  <c r="AA2275" i="5"/>
  <c r="J2276" i="5"/>
  <c r="R2276" i="5"/>
  <c r="AA2276" i="5"/>
  <c r="J2277" i="5"/>
  <c r="R2277" i="5"/>
  <c r="AA2277" i="5"/>
  <c r="J2278" i="5"/>
  <c r="R2278" i="5"/>
  <c r="AA2278" i="5"/>
  <c r="J2279" i="5"/>
  <c r="R2279" i="5"/>
  <c r="AA2279" i="5"/>
  <c r="J2280" i="5"/>
  <c r="R2280" i="5"/>
  <c r="AA2280" i="5"/>
  <c r="J2281" i="5"/>
  <c r="R2281" i="5"/>
  <c r="AA2281" i="5"/>
  <c r="J2282" i="5"/>
  <c r="R2282" i="5"/>
  <c r="AA2282" i="5"/>
  <c r="J2283" i="5"/>
  <c r="R2283" i="5"/>
  <c r="AA2283" i="5"/>
  <c r="J2284" i="5"/>
  <c r="R2284" i="5"/>
  <c r="AA2284" i="5"/>
  <c r="J2285" i="5"/>
  <c r="R2285" i="5"/>
  <c r="AA2285" i="5"/>
  <c r="J2286" i="5"/>
  <c r="R2286" i="5"/>
  <c r="AA2286" i="5"/>
  <c r="J2287" i="5"/>
  <c r="R2287" i="5"/>
  <c r="AA2287" i="5"/>
  <c r="J2288" i="5"/>
  <c r="R2288" i="5"/>
  <c r="AA2288" i="5"/>
  <c r="J2289" i="5"/>
  <c r="R2289" i="5"/>
  <c r="AA2289" i="5"/>
  <c r="J2290" i="5"/>
  <c r="R2290" i="5"/>
  <c r="AA2290" i="5"/>
  <c r="J2291" i="5"/>
  <c r="R2291" i="5"/>
  <c r="AA2291" i="5"/>
  <c r="J2292" i="5"/>
  <c r="R2292" i="5"/>
  <c r="AA2292" i="5"/>
  <c r="J2293" i="5"/>
  <c r="R2293" i="5"/>
  <c r="AA2293" i="5"/>
  <c r="J2294" i="5"/>
  <c r="R2294" i="5"/>
  <c r="AA2294" i="5"/>
  <c r="J2295" i="5"/>
  <c r="R2295" i="5"/>
  <c r="AA2295" i="5"/>
  <c r="J2296" i="5"/>
  <c r="R2296" i="5"/>
  <c r="AA2296" i="5"/>
  <c r="J2297" i="5"/>
  <c r="R2297" i="5"/>
  <c r="AA2297" i="5"/>
  <c r="J2298" i="5"/>
  <c r="R2298" i="5"/>
  <c r="AA2298" i="5"/>
  <c r="J2299" i="5"/>
  <c r="R2299" i="5"/>
  <c r="AA2299" i="5"/>
  <c r="J2300" i="5"/>
  <c r="R2300" i="5"/>
  <c r="AA2300" i="5"/>
  <c r="J2301" i="5"/>
  <c r="R2301" i="5"/>
  <c r="AA2301" i="5"/>
  <c r="J2302" i="5"/>
  <c r="R2302" i="5"/>
  <c r="AA2302" i="5"/>
  <c r="J2303" i="5"/>
  <c r="R2303" i="5"/>
  <c r="AA2303" i="5"/>
  <c r="J2304" i="5"/>
  <c r="R2304" i="5"/>
  <c r="AA2304" i="5"/>
  <c r="J2305" i="5"/>
  <c r="R2305" i="5"/>
  <c r="AA2305" i="5"/>
  <c r="J2306" i="5"/>
  <c r="R2306" i="5"/>
  <c r="AA2306" i="5"/>
  <c r="J2307" i="5"/>
  <c r="R2307" i="5"/>
  <c r="AA2307" i="5"/>
  <c r="J2308" i="5"/>
  <c r="R2308" i="5"/>
  <c r="AA2308" i="5"/>
  <c r="J2309" i="5"/>
  <c r="R2309" i="5"/>
  <c r="AA2309" i="5"/>
  <c r="J2310" i="5"/>
  <c r="R2310" i="5"/>
  <c r="AA2310" i="5"/>
  <c r="J2311" i="5"/>
  <c r="R2311" i="5"/>
  <c r="AA2311" i="5"/>
  <c r="J2312" i="5"/>
  <c r="R2312" i="5"/>
  <c r="AA2312" i="5"/>
  <c r="J2313" i="5"/>
  <c r="R2313" i="5"/>
  <c r="AA2313" i="5"/>
  <c r="J2314" i="5"/>
  <c r="R2314" i="5"/>
  <c r="AA2314" i="5"/>
  <c r="J2315" i="5"/>
  <c r="R2315" i="5"/>
  <c r="AA2315" i="5"/>
  <c r="J2316" i="5"/>
  <c r="R2316" i="5"/>
  <c r="AA2316" i="5"/>
  <c r="J2317" i="5"/>
  <c r="R2317" i="5"/>
  <c r="AA2317" i="5"/>
  <c r="J2318" i="5"/>
  <c r="R2318" i="5"/>
  <c r="AA2318" i="5"/>
  <c r="J2319" i="5"/>
  <c r="R2319" i="5"/>
  <c r="AA2319" i="5"/>
  <c r="J2320" i="5"/>
  <c r="R2320" i="5"/>
  <c r="AA2320" i="5"/>
  <c r="J2321" i="5"/>
  <c r="R2321" i="5"/>
  <c r="AA2321" i="5"/>
  <c r="J2322" i="5"/>
  <c r="R2322" i="5"/>
  <c r="AA2322" i="5"/>
  <c r="J2323" i="5"/>
  <c r="R2323" i="5"/>
  <c r="AA2323" i="5"/>
  <c r="J2324" i="5"/>
  <c r="R2324" i="5"/>
  <c r="AA2324" i="5"/>
  <c r="J2325" i="5"/>
  <c r="R2325" i="5"/>
  <c r="AA2325" i="5"/>
  <c r="J2326" i="5"/>
  <c r="R2326" i="5"/>
  <c r="AA2326" i="5"/>
  <c r="J2327" i="5"/>
  <c r="R2327" i="5"/>
  <c r="AA2327" i="5"/>
  <c r="J2328" i="5"/>
  <c r="R2328" i="5"/>
  <c r="AA2328" i="5"/>
  <c r="J2329" i="5"/>
  <c r="R2329" i="5"/>
  <c r="AA2329" i="5"/>
  <c r="J2330" i="5"/>
  <c r="R2330" i="5"/>
  <c r="AA2330" i="5"/>
  <c r="J2331" i="5"/>
  <c r="R2331" i="5"/>
  <c r="AA2331" i="5"/>
  <c r="J2332" i="5"/>
  <c r="R2332" i="5"/>
  <c r="AA2332" i="5"/>
  <c r="J2333" i="5"/>
  <c r="R2333" i="5"/>
  <c r="AA2333" i="5"/>
  <c r="J2334" i="5"/>
  <c r="R2334" i="5"/>
  <c r="AA2334" i="5"/>
  <c r="J2335" i="5"/>
  <c r="R2335" i="5"/>
  <c r="AA2335" i="5"/>
  <c r="J2336" i="5"/>
  <c r="R2336" i="5"/>
  <c r="AA2336" i="5"/>
  <c r="J2337" i="5"/>
  <c r="R2337" i="5"/>
  <c r="AA2337" i="5"/>
  <c r="C83" i="169" s="1"/>
  <c r="D83" i="169" s="1"/>
  <c r="E83" i="169" s="1"/>
  <c r="F83" i="169" s="1"/>
  <c r="J2338" i="5"/>
  <c r="R2338" i="5"/>
  <c r="AA2338" i="5"/>
  <c r="J2339" i="5"/>
  <c r="R2339" i="5"/>
  <c r="AA2339" i="5"/>
  <c r="J2340" i="5"/>
  <c r="R2340" i="5"/>
  <c r="AA2340" i="5"/>
  <c r="J2341" i="5"/>
  <c r="R2341" i="5"/>
  <c r="AA2341" i="5"/>
  <c r="J2342" i="5"/>
  <c r="R2342" i="5"/>
  <c r="AA2342" i="5"/>
  <c r="J2343" i="5"/>
  <c r="R2343" i="5"/>
  <c r="AA2343" i="5"/>
  <c r="J2344" i="5"/>
  <c r="R2344" i="5"/>
  <c r="AA2344" i="5"/>
  <c r="J2345" i="5"/>
  <c r="R2345" i="5"/>
  <c r="AA2345" i="5"/>
  <c r="J2346" i="5"/>
  <c r="R2346" i="5"/>
  <c r="AA2346" i="5"/>
  <c r="C72" i="176" l="1"/>
  <c r="E72" i="176" s="1"/>
  <c r="YO7" i="178"/>
  <c r="K7" i="179" s="1"/>
  <c r="XH34" i="178"/>
  <c r="XE35" i="178"/>
  <c r="XG35" i="178" s="1"/>
  <c r="XH35" i="178" s="1"/>
  <c r="XG33" i="178"/>
  <c r="XJ31" i="178"/>
  <c r="XJ30" i="178"/>
  <c r="XI28" i="178"/>
  <c r="XJ28" i="178" s="1"/>
  <c r="UO44" i="178"/>
  <c r="UP44" i="178" s="1"/>
  <c r="L12" i="180" s="1"/>
  <c r="XJ29" i="178"/>
  <c r="XI29" i="178"/>
  <c r="WK35" i="178"/>
  <c r="WK34" i="178"/>
  <c r="WH37" i="178"/>
  <c r="WJ37" i="178"/>
  <c r="WG41" i="178"/>
  <c r="WG42" i="178"/>
  <c r="WI42" i="178" s="1"/>
  <c r="VK45" i="178"/>
  <c r="VI49" i="178" s="1"/>
  <c r="VL46" i="178"/>
  <c r="VI47" i="178"/>
  <c r="VK47" i="178" s="1"/>
  <c r="VL47" i="178" s="1"/>
  <c r="VN43" i="178"/>
  <c r="VN42" i="178"/>
  <c r="VM40" i="178"/>
  <c r="VN40" i="178" s="1"/>
  <c r="VN41" i="178"/>
  <c r="VM41" i="178"/>
  <c r="UM49" i="178"/>
  <c r="UK53" i="178" s="1"/>
  <c r="UN50" i="178"/>
  <c r="UK51" i="178"/>
  <c r="UM51" i="178" s="1"/>
  <c r="UN51" i="178" s="1"/>
  <c r="UO45" i="178"/>
  <c r="UP45" i="178"/>
  <c r="VB65" i="178"/>
  <c r="UP47" i="178"/>
  <c r="UP46" i="178"/>
  <c r="C17" i="188"/>
  <c r="G17" i="188"/>
  <c r="I16" i="188"/>
  <c r="J16" i="188" s="1"/>
  <c r="TP49" i="178"/>
  <c r="TN49" i="178"/>
  <c r="TM54" i="178"/>
  <c r="TO54" i="178" s="1"/>
  <c r="TM53" i="178"/>
  <c r="TQ47" i="178"/>
  <c r="TQ46" i="178"/>
  <c r="H13" i="180"/>
  <c r="NQ72" i="178"/>
  <c r="NO80" i="178"/>
  <c r="NP77" i="178"/>
  <c r="NM78" i="178"/>
  <c r="NO78" i="178" s="1"/>
  <c r="NP78" i="178" s="1"/>
  <c r="NP67" i="178"/>
  <c r="NQ67" i="178" s="1"/>
  <c r="NM68" i="178"/>
  <c r="NR73" i="178"/>
  <c r="NQ73" i="178"/>
  <c r="NR75" i="178"/>
  <c r="NR74" i="178"/>
  <c r="NM74" i="178"/>
  <c r="WW42" i="178"/>
  <c r="VW47" i="178"/>
  <c r="VW48" i="178" s="1"/>
  <c r="VV48" i="178" s="1"/>
  <c r="R9" i="180" s="1"/>
  <c r="VY47" i="178"/>
  <c r="VZ52" i="178"/>
  <c r="VZ58" i="178" s="1"/>
  <c r="VY52" i="178"/>
  <c r="WV45" i="178"/>
  <c r="WT45" i="178"/>
  <c r="WS52" i="178"/>
  <c r="WU49" i="178"/>
  <c r="T8" i="180"/>
  <c r="WW43" i="178"/>
  <c r="WY8" i="178"/>
  <c r="VZ53" i="178"/>
  <c r="VZ54" i="178"/>
  <c r="VU53" i="178"/>
  <c r="VW53" i="178" s="1"/>
  <c r="VY51" i="178"/>
  <c r="WV39" i="178"/>
  <c r="WW39" i="178" s="1"/>
  <c r="WS40" i="178"/>
  <c r="VW59" i="178"/>
  <c r="VU63" i="178" s="1"/>
  <c r="VX56" i="178"/>
  <c r="VU57" i="178"/>
  <c r="VW57" i="178" s="1"/>
  <c r="VX57" i="178" s="1"/>
  <c r="UC72" i="178"/>
  <c r="VA63" i="178"/>
  <c r="TE79" i="178"/>
  <c r="YI49" i="178"/>
  <c r="DZ99" i="178"/>
  <c r="EA99" i="178" s="1"/>
  <c r="EB99" i="178" s="1"/>
  <c r="EB100" i="178" s="1"/>
  <c r="YI43" i="178"/>
  <c r="YL42" i="178"/>
  <c r="YM42" i="178" s="1"/>
  <c r="EC107" i="178"/>
  <c r="B17" i="179" s="1"/>
  <c r="L16" i="149" s="1"/>
  <c r="L17" i="149" s="1"/>
  <c r="DX105" i="178"/>
  <c r="DZ105" i="178" s="1"/>
  <c r="TF80" i="178"/>
  <c r="TF86" i="178" s="1"/>
  <c r="TE80" i="178"/>
  <c r="TY74" i="178"/>
  <c r="UA74" i="178" s="1"/>
  <c r="UD75" i="178"/>
  <c r="UD74" i="178"/>
  <c r="UZ60" i="178"/>
  <c r="VA60" i="178" s="1"/>
  <c r="UW61" i="178"/>
  <c r="TF81" i="178"/>
  <c r="TF82" i="178"/>
  <c r="TA81" i="178"/>
  <c r="TC81" i="178" s="1"/>
  <c r="UD73" i="178"/>
  <c r="UC73" i="178"/>
  <c r="VA64" i="178"/>
  <c r="VC11" i="178"/>
  <c r="TC87" i="178"/>
  <c r="TA91" i="178" s="1"/>
  <c r="UB77" i="178"/>
  <c r="TY78" i="178"/>
  <c r="UA78" i="178" s="1"/>
  <c r="UB78" i="178" s="1"/>
  <c r="UA68" i="178"/>
  <c r="UA69" i="178" s="1"/>
  <c r="TZ69" i="178" s="1"/>
  <c r="UC68" i="178"/>
  <c r="TC75" i="178"/>
  <c r="TC76" i="178" s="1"/>
  <c r="TB76" i="178" s="1"/>
  <c r="TE75" i="178"/>
  <c r="TD84" i="178"/>
  <c r="TA85" i="178"/>
  <c r="TC85" i="178" s="1"/>
  <c r="TD85" i="178" s="1"/>
  <c r="UA80" i="178"/>
  <c r="TY84" i="178" s="1"/>
  <c r="UX66" i="178"/>
  <c r="UZ66" i="178"/>
  <c r="UW73" i="178"/>
  <c r="UY70" i="178"/>
  <c r="YL53" i="178"/>
  <c r="YM53" i="178" s="1"/>
  <c r="YI54" i="178"/>
  <c r="YJ59" i="178"/>
  <c r="YL59" i="178"/>
  <c r="YI66" i="178"/>
  <c r="C67" i="169"/>
  <c r="D67" i="169" s="1"/>
  <c r="E67" i="169" s="1"/>
  <c r="F67" i="169" s="1"/>
  <c r="C66" i="169"/>
  <c r="D66" i="169" s="1"/>
  <c r="E66" i="169" s="1"/>
  <c r="F66" i="169" s="1"/>
  <c r="C65" i="169"/>
  <c r="C62" i="169"/>
  <c r="D62" i="169" s="1"/>
  <c r="E62" i="169" s="1"/>
  <c r="F62" i="169" s="1"/>
  <c r="C61" i="169"/>
  <c r="D61" i="169" s="1"/>
  <c r="E61" i="169" s="1"/>
  <c r="F61" i="169" s="1"/>
  <c r="C59" i="169"/>
  <c r="C55" i="169"/>
  <c r="D55" i="169" s="1"/>
  <c r="E55" i="169" s="1"/>
  <c r="F55" i="169" s="1"/>
  <c r="C54" i="169"/>
  <c r="C53" i="169"/>
  <c r="C52" i="169"/>
  <c r="C48" i="169"/>
  <c r="D48" i="169" s="1"/>
  <c r="E48" i="169" s="1"/>
  <c r="F48" i="169" s="1"/>
  <c r="C47" i="169"/>
  <c r="D47" i="169" s="1"/>
  <c r="E47" i="169" s="1"/>
  <c r="F47" i="169" s="1"/>
  <c r="C46" i="169"/>
  <c r="D46" i="169" s="1"/>
  <c r="E46" i="169" s="1"/>
  <c r="F46" i="169" s="1"/>
  <c r="AK22" i="153"/>
  <c r="AL22" i="153"/>
  <c r="AN22" i="153"/>
  <c r="AO20" i="153"/>
  <c r="AO16" i="153"/>
  <c r="AM22" i="153"/>
  <c r="AO10" i="153"/>
  <c r="AO4" i="153"/>
  <c r="AO19" i="153"/>
  <c r="AO7" i="153"/>
  <c r="AJ22" i="153"/>
  <c r="AO21" i="153"/>
  <c r="AA1951" i="5"/>
  <c r="AA1950" i="5"/>
  <c r="R1951" i="5"/>
  <c r="R1950" i="5"/>
  <c r="J1951" i="5"/>
  <c r="J1950" i="5"/>
  <c r="O11" i="180" l="1"/>
  <c r="K13" i="180"/>
  <c r="WK36" i="178"/>
  <c r="WL36" i="178" s="1"/>
  <c r="XK9" i="178"/>
  <c r="XI31" i="178"/>
  <c r="XI30" i="178"/>
  <c r="XF33" i="178"/>
  <c r="XH33" i="178"/>
  <c r="XE38" i="178"/>
  <c r="XG38" i="178" s="1"/>
  <c r="XE37" i="178"/>
  <c r="WL38" i="178"/>
  <c r="WL39" i="178"/>
  <c r="WJ42" i="178"/>
  <c r="WG43" i="178"/>
  <c r="WI43" i="178" s="1"/>
  <c r="WJ43" i="178" s="1"/>
  <c r="WI41" i="178"/>
  <c r="WL37" i="178"/>
  <c r="WK37" i="178"/>
  <c r="VM43" i="178"/>
  <c r="VM42" i="178"/>
  <c r="VO12" i="178"/>
  <c r="VJ45" i="178"/>
  <c r="VL45" i="178"/>
  <c r="VI50" i="178"/>
  <c r="VK50" i="178" s="1"/>
  <c r="UO46" i="178"/>
  <c r="UQ13" i="178"/>
  <c r="UO47" i="178"/>
  <c r="UN49" i="178"/>
  <c r="UL49" i="178"/>
  <c r="UK54" i="178"/>
  <c r="UM54" i="178" s="1"/>
  <c r="UD79" i="178"/>
  <c r="H17" i="188"/>
  <c r="B18" i="188"/>
  <c r="D17" i="188"/>
  <c r="E17" i="188" s="1"/>
  <c r="TP54" i="178"/>
  <c r="TM55" i="178"/>
  <c r="TO55" i="178" s="1"/>
  <c r="TP55" i="178" s="1"/>
  <c r="TO53" i="178"/>
  <c r="TQ48" i="178"/>
  <c r="TR48" i="178" s="1"/>
  <c r="I13" i="180" s="1"/>
  <c r="TR51" i="178"/>
  <c r="TR50" i="178"/>
  <c r="TR49" i="178"/>
  <c r="TQ49" i="178"/>
  <c r="NO74" i="178"/>
  <c r="NQ78" i="178"/>
  <c r="NQ77" i="178"/>
  <c r="NS13" i="178"/>
  <c r="NT13" i="178" s="1"/>
  <c r="NO68" i="178"/>
  <c r="NO69" i="178" s="1"/>
  <c r="NN69" i="178" s="1"/>
  <c r="NR72" i="178" s="1"/>
  <c r="NQ68" i="178"/>
  <c r="NP80" i="178"/>
  <c r="NN80" i="178"/>
  <c r="NM87" i="178"/>
  <c r="NM84" i="178"/>
  <c r="NO84" i="178" s="1"/>
  <c r="VY56" i="178"/>
  <c r="WW44" i="178"/>
  <c r="WV49" i="178"/>
  <c r="WS50" i="178"/>
  <c r="WU50" i="178" s="1"/>
  <c r="WV50" i="178" s="1"/>
  <c r="WU52" i="178"/>
  <c r="WS56" i="178" s="1"/>
  <c r="Q10" i="180"/>
  <c r="VY57" i="178"/>
  <c r="WA10" i="178"/>
  <c r="VW63" i="178"/>
  <c r="VX59" i="178"/>
  <c r="VV59" i="178"/>
  <c r="VU66" i="178"/>
  <c r="VX53" i="178"/>
  <c r="VY53" i="178" s="1"/>
  <c r="VU54" i="178"/>
  <c r="WS46" i="178"/>
  <c r="WU46" i="178" s="1"/>
  <c r="WX47" i="178"/>
  <c r="WX46" i="178"/>
  <c r="WU40" i="178"/>
  <c r="WU41" i="178" s="1"/>
  <c r="WT41" i="178" s="1"/>
  <c r="U8" i="180" s="1"/>
  <c r="WW40" i="178"/>
  <c r="WW45" i="178"/>
  <c r="WX45" i="178"/>
  <c r="WX51" i="178" s="1"/>
  <c r="D76" i="176"/>
  <c r="VA65" i="178"/>
  <c r="YK43" i="178"/>
  <c r="YL43" i="178" s="1"/>
  <c r="YM43" i="178" s="1"/>
  <c r="YM44" i="178" s="1"/>
  <c r="YN44" i="178" s="1"/>
  <c r="H8" i="179" s="1"/>
  <c r="UC77" i="178"/>
  <c r="EA105" i="178"/>
  <c r="EB105" i="178" s="1"/>
  <c r="DX106" i="178"/>
  <c r="YK49" i="178"/>
  <c r="UY73" i="178"/>
  <c r="UW77" i="178" s="1"/>
  <c r="UA84" i="178"/>
  <c r="TZ80" i="178"/>
  <c r="UB80" i="178"/>
  <c r="TY87" i="178"/>
  <c r="UC78" i="178"/>
  <c r="UE13" i="178"/>
  <c r="VA66" i="178"/>
  <c r="VB66" i="178"/>
  <c r="N12" i="180" s="1"/>
  <c r="TD81" i="178"/>
  <c r="TE81" i="178" s="1"/>
  <c r="TA82" i="178"/>
  <c r="UY61" i="178"/>
  <c r="UY62" i="178" s="1"/>
  <c r="UX62" i="178" s="1"/>
  <c r="VA61" i="178"/>
  <c r="UB74" i="178"/>
  <c r="UC74" i="178" s="1"/>
  <c r="TY75" i="178"/>
  <c r="VB68" i="178"/>
  <c r="UW67" i="178"/>
  <c r="UY67" i="178" s="1"/>
  <c r="VB67" i="178"/>
  <c r="TD87" i="178"/>
  <c r="TB87" i="178"/>
  <c r="TA94" i="178"/>
  <c r="TC91" i="178"/>
  <c r="UZ70" i="178"/>
  <c r="UW71" i="178"/>
  <c r="UY71" i="178" s="1"/>
  <c r="UZ71" i="178" s="1"/>
  <c r="TG14" i="178"/>
  <c r="TE84" i="178"/>
  <c r="TE85" i="178"/>
  <c r="YK54" i="178"/>
  <c r="YK55" i="178" s="1"/>
  <c r="YJ55" i="178" s="1"/>
  <c r="YM54" i="178"/>
  <c r="YK66" i="178"/>
  <c r="YM59" i="178"/>
  <c r="YN59" i="178"/>
  <c r="G11" i="179" s="1"/>
  <c r="YI60" i="178"/>
  <c r="YK60" i="178" s="1"/>
  <c r="YN60" i="178"/>
  <c r="I11" i="179" s="1"/>
  <c r="YN61" i="178"/>
  <c r="J11" i="179" s="1"/>
  <c r="J6" i="177"/>
  <c r="D65" i="169"/>
  <c r="E65" i="169" s="1"/>
  <c r="F65" i="169" s="1"/>
  <c r="D59" i="169"/>
  <c r="E59" i="169" s="1"/>
  <c r="F59" i="169" s="1"/>
  <c r="D54" i="169"/>
  <c r="E54" i="169" s="1"/>
  <c r="F54" i="169" s="1"/>
  <c r="D53" i="169"/>
  <c r="E53" i="169" s="1"/>
  <c r="F53" i="169" s="1"/>
  <c r="D52" i="169"/>
  <c r="E52" i="169" s="1"/>
  <c r="F52" i="169" s="1"/>
  <c r="AO22" i="153"/>
  <c r="DT12" i="175"/>
  <c r="DS12" i="175"/>
  <c r="DQ12" i="175"/>
  <c r="DP12" i="175"/>
  <c r="DN12" i="175"/>
  <c r="DM12" i="175"/>
  <c r="DK12" i="175"/>
  <c r="DJ12" i="175"/>
  <c r="DH12" i="175"/>
  <c r="DG12" i="175"/>
  <c r="DT6" i="175"/>
  <c r="DS6" i="175"/>
  <c r="DQ6" i="175"/>
  <c r="DP6" i="175"/>
  <c r="DN6" i="175"/>
  <c r="DM6" i="175"/>
  <c r="DK6" i="175"/>
  <c r="DJ6" i="175"/>
  <c r="DH6" i="175"/>
  <c r="DG6" i="175"/>
  <c r="DT5" i="175"/>
  <c r="DS5" i="175"/>
  <c r="DQ5" i="175"/>
  <c r="DP5" i="175"/>
  <c r="DN5" i="175"/>
  <c r="DM5" i="175"/>
  <c r="DK5" i="175"/>
  <c r="DJ5" i="175"/>
  <c r="DH5" i="175"/>
  <c r="DG5" i="175"/>
  <c r="DT4" i="175"/>
  <c r="DS4" i="175"/>
  <c r="DQ4" i="175"/>
  <c r="DP4" i="175"/>
  <c r="DN4" i="175"/>
  <c r="DM4" i="175"/>
  <c r="DK4" i="175"/>
  <c r="DJ4" i="175"/>
  <c r="DH4" i="175"/>
  <c r="DG4" i="175"/>
  <c r="DT3" i="175"/>
  <c r="DS3" i="175"/>
  <c r="DQ3" i="175"/>
  <c r="DP3" i="175"/>
  <c r="DN3" i="175"/>
  <c r="DM3" i="175"/>
  <c r="DK3" i="175"/>
  <c r="DJ3" i="175"/>
  <c r="DH3" i="175"/>
  <c r="DG3" i="175"/>
  <c r="R6" i="175"/>
  <c r="K6" i="175" s="1"/>
  <c r="R12" i="175"/>
  <c r="Q6" i="175"/>
  <c r="Q12" i="175"/>
  <c r="R4" i="175"/>
  <c r="R5" i="175"/>
  <c r="Q5" i="175"/>
  <c r="Q4" i="175"/>
  <c r="Q3" i="175"/>
  <c r="R3" i="175"/>
  <c r="AA1916" i="5"/>
  <c r="AA1917" i="5"/>
  <c r="AA1918" i="5"/>
  <c r="AA1919" i="5"/>
  <c r="AA1920" i="5"/>
  <c r="AA1921" i="5"/>
  <c r="AA1922" i="5"/>
  <c r="AA1923" i="5"/>
  <c r="AA1924" i="5"/>
  <c r="AA1925" i="5"/>
  <c r="AA1926" i="5"/>
  <c r="C60" i="169" s="1"/>
  <c r="D60" i="169" s="1"/>
  <c r="E60" i="169" s="1"/>
  <c r="F60" i="169" s="1"/>
  <c r="AA1927" i="5"/>
  <c r="AA1928" i="5"/>
  <c r="AA1929" i="5"/>
  <c r="AA1930" i="5"/>
  <c r="AA1931" i="5"/>
  <c r="AA1932" i="5"/>
  <c r="C81" i="169" s="1"/>
  <c r="D81" i="169" s="1"/>
  <c r="E81" i="169" s="1"/>
  <c r="F81" i="169" s="1"/>
  <c r="AA1933" i="5"/>
  <c r="AA1934" i="5"/>
  <c r="AA1935" i="5"/>
  <c r="AA1936" i="5"/>
  <c r="AA1937" i="5"/>
  <c r="AA1938" i="5"/>
  <c r="AA1939" i="5"/>
  <c r="AA1941" i="5"/>
  <c r="AA1942" i="5"/>
  <c r="C51" i="169" s="1"/>
  <c r="AA1943" i="5"/>
  <c r="AA1944" i="5"/>
  <c r="AA1945" i="5"/>
  <c r="AA1946" i="5"/>
  <c r="AA1947" i="5"/>
  <c r="AA1948" i="5"/>
  <c r="AA1949" i="5"/>
  <c r="R1916" i="5"/>
  <c r="R1917" i="5"/>
  <c r="R1918" i="5"/>
  <c r="R1919" i="5"/>
  <c r="R1920" i="5"/>
  <c r="R1921" i="5"/>
  <c r="R1922" i="5"/>
  <c r="R1923" i="5"/>
  <c r="R1924" i="5"/>
  <c r="R1925" i="5"/>
  <c r="R1926" i="5"/>
  <c r="R1927" i="5"/>
  <c r="R1928" i="5"/>
  <c r="R1929" i="5"/>
  <c r="R1930" i="5"/>
  <c r="R1931" i="5"/>
  <c r="R1932" i="5"/>
  <c r="R1933" i="5"/>
  <c r="R1934" i="5"/>
  <c r="R1935" i="5"/>
  <c r="R1936" i="5"/>
  <c r="R1937" i="5"/>
  <c r="R1938" i="5"/>
  <c r="R1939" i="5"/>
  <c r="R1941" i="5"/>
  <c r="R1942" i="5"/>
  <c r="R1943" i="5"/>
  <c r="R1944" i="5"/>
  <c r="R1945" i="5"/>
  <c r="R1946" i="5"/>
  <c r="R1947" i="5"/>
  <c r="R1948" i="5"/>
  <c r="R1949" i="5"/>
  <c r="J1916" i="5"/>
  <c r="J1917" i="5"/>
  <c r="J1918" i="5"/>
  <c r="J1919" i="5"/>
  <c r="J1920" i="5"/>
  <c r="J1921" i="5"/>
  <c r="J1922" i="5"/>
  <c r="J1923" i="5"/>
  <c r="J1924" i="5"/>
  <c r="J1925" i="5"/>
  <c r="J1926" i="5"/>
  <c r="J1927" i="5"/>
  <c r="J1928" i="5"/>
  <c r="J1929" i="5"/>
  <c r="J1930" i="5"/>
  <c r="J1931" i="5"/>
  <c r="J1932" i="5"/>
  <c r="J1933" i="5"/>
  <c r="J1934" i="5"/>
  <c r="J1935" i="5"/>
  <c r="J1936" i="5"/>
  <c r="J1937" i="5"/>
  <c r="J1938" i="5"/>
  <c r="J1939" i="5"/>
  <c r="J1941" i="5"/>
  <c r="J1942" i="5"/>
  <c r="J1943" i="5"/>
  <c r="J1944" i="5"/>
  <c r="J1945" i="5"/>
  <c r="J1946" i="5"/>
  <c r="J1947" i="5"/>
  <c r="J1948" i="5"/>
  <c r="J1949" i="5"/>
  <c r="S3" i="175" l="1"/>
  <c r="U3" i="175" s="1"/>
  <c r="DV12" i="175"/>
  <c r="DV3" i="175"/>
  <c r="DV5" i="175"/>
  <c r="DV4" i="175"/>
  <c r="DV6" i="175"/>
  <c r="C76" i="176"/>
  <c r="E76" i="176" s="1"/>
  <c r="YO8" i="178"/>
  <c r="K8" i="179" s="1"/>
  <c r="XI32" i="178"/>
  <c r="XJ32" i="178" s="1"/>
  <c r="XG37" i="178"/>
  <c r="XH38" i="178"/>
  <c r="XE39" i="178"/>
  <c r="XG39" i="178" s="1"/>
  <c r="XH39" i="178" s="1"/>
  <c r="XJ33" i="178"/>
  <c r="XI33" i="178"/>
  <c r="VM44" i="178"/>
  <c r="VN44" i="178" s="1"/>
  <c r="XJ35" i="178"/>
  <c r="XJ34" i="178"/>
  <c r="XK10" i="178" s="1"/>
  <c r="WK38" i="178"/>
  <c r="WK39" i="178"/>
  <c r="WM11" i="178"/>
  <c r="WJ41" i="178"/>
  <c r="WH41" i="178"/>
  <c r="WG46" i="178"/>
  <c r="WI46" i="178" s="1"/>
  <c r="WG45" i="178"/>
  <c r="VL50" i="178"/>
  <c r="VI51" i="178"/>
  <c r="VK51" i="178" s="1"/>
  <c r="VL51" i="178" s="1"/>
  <c r="VK49" i="178"/>
  <c r="VI53" i="178" s="1"/>
  <c r="VM45" i="178"/>
  <c r="VN45" i="178"/>
  <c r="VN47" i="178"/>
  <c r="VN46" i="178"/>
  <c r="UO48" i="178"/>
  <c r="UP48" i="178" s="1"/>
  <c r="L13" i="180" s="1"/>
  <c r="VB72" i="178"/>
  <c r="UM53" i="178"/>
  <c r="UK57" i="178" s="1"/>
  <c r="UN54" i="178"/>
  <c r="UK55" i="178"/>
  <c r="UM55" i="178" s="1"/>
  <c r="UN55" i="178" s="1"/>
  <c r="UP51" i="178"/>
  <c r="UP50" i="178"/>
  <c r="UP49" i="178"/>
  <c r="UO49" i="178"/>
  <c r="C18" i="188"/>
  <c r="VY58" i="178"/>
  <c r="G18" i="188"/>
  <c r="I17" i="188"/>
  <c r="J17" i="188" s="1"/>
  <c r="TQ51" i="178"/>
  <c r="TQ50" i="178"/>
  <c r="TN53" i="178"/>
  <c r="TP53" i="178"/>
  <c r="TM58" i="178"/>
  <c r="TO58" i="178" s="1"/>
  <c r="TM57" i="178"/>
  <c r="H14" i="180"/>
  <c r="TS14" i="178"/>
  <c r="NQ79" i="178"/>
  <c r="NP84" i="178"/>
  <c r="NM85" i="178"/>
  <c r="NO85" i="178" s="1"/>
  <c r="NP85" i="178" s="1"/>
  <c r="NO87" i="178"/>
  <c r="NR82" i="178"/>
  <c r="NR81" i="178"/>
  <c r="NM81" i="178"/>
  <c r="NR80" i="178"/>
  <c r="NQ80" i="178"/>
  <c r="NP74" i="178"/>
  <c r="NQ74" i="178" s="1"/>
  <c r="NM75" i="178"/>
  <c r="VW66" i="178"/>
  <c r="VU70" i="178" s="1"/>
  <c r="WV46" i="178"/>
  <c r="WW46" i="178" s="1"/>
  <c r="WS47" i="178"/>
  <c r="VU60" i="178"/>
  <c r="VW60" i="178" s="1"/>
  <c r="VZ60" i="178"/>
  <c r="VZ61" i="178"/>
  <c r="WV52" i="178"/>
  <c r="WT52" i="178"/>
  <c r="WS59" i="178"/>
  <c r="WU56" i="178"/>
  <c r="VW54" i="178"/>
  <c r="VW55" i="178" s="1"/>
  <c r="VV55" i="178" s="1"/>
  <c r="R10" i="180" s="1"/>
  <c r="VY54" i="178"/>
  <c r="VZ59" i="178"/>
  <c r="VZ65" i="178" s="1"/>
  <c r="VY59" i="178"/>
  <c r="T9" i="180"/>
  <c r="WW49" i="178"/>
  <c r="WW50" i="178"/>
  <c r="WY9" i="178"/>
  <c r="VX63" i="178"/>
  <c r="VU64" i="178"/>
  <c r="VW64" i="178" s="1"/>
  <c r="VX64" i="178" s="1"/>
  <c r="UC79" i="178"/>
  <c r="VA70" i="178"/>
  <c r="YI56" i="178"/>
  <c r="YL49" i="178"/>
  <c r="YM49" i="178" s="1"/>
  <c r="YI50" i="178"/>
  <c r="DZ106" i="178"/>
  <c r="EA106" i="178" s="1"/>
  <c r="EB106" i="178" s="1"/>
  <c r="EB107" i="178" s="1"/>
  <c r="TA88" i="178"/>
  <c r="TC88" i="178" s="1"/>
  <c r="TF89" i="178"/>
  <c r="TF88" i="178"/>
  <c r="UB84" i="178"/>
  <c r="TY85" i="178"/>
  <c r="UA85" i="178" s="1"/>
  <c r="UB85" i="178" s="1"/>
  <c r="TE86" i="178"/>
  <c r="TF87" i="178"/>
  <c r="TF93" i="178" s="1"/>
  <c r="TE87" i="178"/>
  <c r="UA75" i="178"/>
  <c r="UA76" i="178" s="1"/>
  <c r="TZ76" i="178" s="1"/>
  <c r="UC75" i="178"/>
  <c r="UA87" i="178"/>
  <c r="TY91" i="178" s="1"/>
  <c r="TD91" i="178"/>
  <c r="TA92" i="178"/>
  <c r="TC92" i="178" s="1"/>
  <c r="TD92" i="178" s="1"/>
  <c r="UD80" i="178"/>
  <c r="UC80" i="178"/>
  <c r="TC94" i="178"/>
  <c r="TA98" i="178" s="1"/>
  <c r="UZ67" i="178"/>
  <c r="VA67" i="178" s="1"/>
  <c r="UW68" i="178"/>
  <c r="TC82" i="178"/>
  <c r="TC83" i="178" s="1"/>
  <c r="TB83" i="178" s="1"/>
  <c r="TE82" i="178"/>
  <c r="VA71" i="178"/>
  <c r="VC12" i="178"/>
  <c r="TY81" i="178"/>
  <c r="UA81" i="178" s="1"/>
  <c r="UD81" i="178"/>
  <c r="UD82" i="178"/>
  <c r="UX73" i="178"/>
  <c r="UZ73" i="178"/>
  <c r="UY77" i="178"/>
  <c r="UW80" i="178"/>
  <c r="YL66" i="178"/>
  <c r="YJ66" i="178"/>
  <c r="YI73" i="178"/>
  <c r="YL60" i="178"/>
  <c r="YM60" i="178" s="1"/>
  <c r="YI61" i="178"/>
  <c r="I3" i="175"/>
  <c r="K3" i="175"/>
  <c r="I5" i="175"/>
  <c r="K5" i="175"/>
  <c r="I4" i="175"/>
  <c r="K4" i="175"/>
  <c r="I12" i="175"/>
  <c r="K12" i="175"/>
  <c r="O6" i="175"/>
  <c r="I6" i="175"/>
  <c r="M3" i="175"/>
  <c r="O3" i="175"/>
  <c r="M5" i="175"/>
  <c r="O5" i="175"/>
  <c r="M4" i="175"/>
  <c r="O4" i="175"/>
  <c r="M12" i="175"/>
  <c r="O12" i="175"/>
  <c r="G6" i="175"/>
  <c r="M6" i="175"/>
  <c r="D51" i="169"/>
  <c r="E51" i="169" s="1"/>
  <c r="F51" i="169" s="1"/>
  <c r="G4" i="175"/>
  <c r="E4" i="175"/>
  <c r="E6" i="175"/>
  <c r="E3" i="175"/>
  <c r="G3" i="175"/>
  <c r="G5" i="175"/>
  <c r="E5" i="175"/>
  <c r="E12" i="175"/>
  <c r="G12" i="175"/>
  <c r="DH13" i="175"/>
  <c r="DT13" i="175"/>
  <c r="DQ13" i="175"/>
  <c r="T5" i="175"/>
  <c r="T4" i="175"/>
  <c r="DG13" i="175"/>
  <c r="DS13" i="175"/>
  <c r="T12" i="175"/>
  <c r="T6" i="175"/>
  <c r="R13" i="175"/>
  <c r="M13" i="175" s="1"/>
  <c r="DU6" i="175"/>
  <c r="DI4" i="175"/>
  <c r="DO4" i="175"/>
  <c r="DU4" i="175"/>
  <c r="DR5" i="175"/>
  <c r="DI6" i="175"/>
  <c r="T3" i="175"/>
  <c r="DR6" i="175"/>
  <c r="S5" i="175"/>
  <c r="U5" i="175" s="1"/>
  <c r="DO12" i="175"/>
  <c r="DJ13" i="175"/>
  <c r="DP13" i="175"/>
  <c r="S4" i="175"/>
  <c r="U4" i="175" s="1"/>
  <c r="DR12" i="175"/>
  <c r="Q13" i="175"/>
  <c r="DO3" i="175"/>
  <c r="DR4" i="175"/>
  <c r="DI5" i="175"/>
  <c r="DO5" i="175"/>
  <c r="DL6" i="175"/>
  <c r="DU5" i="175"/>
  <c r="DU12" i="175"/>
  <c r="DN13" i="175"/>
  <c r="DO6" i="175"/>
  <c r="DM13" i="175"/>
  <c r="DL5" i="175"/>
  <c r="DL12" i="175"/>
  <c r="DL4" i="175"/>
  <c r="DK13" i="175"/>
  <c r="DW12" i="175"/>
  <c r="DW6" i="175"/>
  <c r="DW5" i="175"/>
  <c r="DI12" i="175"/>
  <c r="DW4" i="175"/>
  <c r="DU3" i="175"/>
  <c r="DL3" i="175"/>
  <c r="DI3" i="175"/>
  <c r="DR3" i="175"/>
  <c r="DW3" i="175"/>
  <c r="S12" i="175"/>
  <c r="U12" i="175" s="1"/>
  <c r="S6" i="175"/>
  <c r="U6" i="175" s="1"/>
  <c r="DC12" i="175"/>
  <c r="DB12" i="175"/>
  <c r="CZ12" i="175"/>
  <c r="CY12" i="175"/>
  <c r="CW12" i="175"/>
  <c r="CV12" i="175"/>
  <c r="CT12" i="175"/>
  <c r="CS12" i="175"/>
  <c r="CQ12" i="175"/>
  <c r="CP12" i="175"/>
  <c r="DC6" i="175"/>
  <c r="DB6" i="175"/>
  <c r="CZ6" i="175"/>
  <c r="CY6" i="175"/>
  <c r="CW6" i="175"/>
  <c r="CV6" i="175"/>
  <c r="CT6" i="175"/>
  <c r="CS6" i="175"/>
  <c r="CQ6" i="175"/>
  <c r="CP6" i="175"/>
  <c r="DC5" i="175"/>
  <c r="DB5" i="175"/>
  <c r="CZ5" i="175"/>
  <c r="CY5" i="175"/>
  <c r="CW5" i="175"/>
  <c r="CV5" i="175"/>
  <c r="CT5" i="175"/>
  <c r="CS5" i="175"/>
  <c r="CQ5" i="175"/>
  <c r="CP5" i="175"/>
  <c r="DC4" i="175"/>
  <c r="DB4" i="175"/>
  <c r="CZ4" i="175"/>
  <c r="CY4" i="175"/>
  <c r="CW4" i="175"/>
  <c r="CV4" i="175"/>
  <c r="CT4" i="175"/>
  <c r="CS4" i="175"/>
  <c r="CQ4" i="175"/>
  <c r="CP4" i="175"/>
  <c r="DC3" i="175"/>
  <c r="DB3" i="175"/>
  <c r="CZ3" i="175"/>
  <c r="CY3" i="175"/>
  <c r="CW3" i="175"/>
  <c r="CV3" i="175"/>
  <c r="CT3" i="175"/>
  <c r="CS3" i="175"/>
  <c r="CQ3" i="175"/>
  <c r="CP3" i="175"/>
  <c r="C26" i="169"/>
  <c r="C27" i="169"/>
  <c r="C35" i="169"/>
  <c r="C36" i="169"/>
  <c r="B27" i="169"/>
  <c r="B28" i="169"/>
  <c r="B29" i="169"/>
  <c r="B30" i="169"/>
  <c r="B31" i="169"/>
  <c r="B32" i="169"/>
  <c r="B33" i="169"/>
  <c r="B34" i="169"/>
  <c r="B35" i="169"/>
  <c r="B36" i="169"/>
  <c r="B37" i="169"/>
  <c r="B38" i="169"/>
  <c r="CL12" i="175"/>
  <c r="CK12" i="175"/>
  <c r="CI12" i="175"/>
  <c r="CH12" i="175"/>
  <c r="CF12" i="175"/>
  <c r="CE12" i="175"/>
  <c r="CC12" i="175"/>
  <c r="CB12" i="175"/>
  <c r="BZ12" i="175"/>
  <c r="BY12" i="175"/>
  <c r="CL6" i="175"/>
  <c r="CK6" i="175"/>
  <c r="CI6" i="175"/>
  <c r="CH6" i="175"/>
  <c r="CF6" i="175"/>
  <c r="CE6" i="175"/>
  <c r="CC6" i="175"/>
  <c r="CB6" i="175"/>
  <c r="BZ6" i="175"/>
  <c r="BY6" i="175"/>
  <c r="CL5" i="175"/>
  <c r="CK5" i="175"/>
  <c r="CI5" i="175"/>
  <c r="CH5" i="175"/>
  <c r="CF5" i="175"/>
  <c r="CE5" i="175"/>
  <c r="CC5" i="175"/>
  <c r="CB5" i="175"/>
  <c r="BZ5" i="175"/>
  <c r="BY5" i="175"/>
  <c r="CL4" i="175"/>
  <c r="CK4" i="175"/>
  <c r="CI4" i="175"/>
  <c r="CH4" i="175"/>
  <c r="CF4" i="175"/>
  <c r="CE4" i="175"/>
  <c r="CC4" i="175"/>
  <c r="CB4" i="175"/>
  <c r="BZ4" i="175"/>
  <c r="BY4" i="175"/>
  <c r="CL3" i="175"/>
  <c r="CK3" i="175"/>
  <c r="CI3" i="175"/>
  <c r="CH3" i="175"/>
  <c r="CF3" i="175"/>
  <c r="CE3" i="175"/>
  <c r="CC3" i="175"/>
  <c r="CB3" i="175"/>
  <c r="BZ3" i="175"/>
  <c r="BY3" i="175"/>
  <c r="DE5" i="175" l="1"/>
  <c r="CN4" i="175"/>
  <c r="DV13" i="175"/>
  <c r="CN6" i="175"/>
  <c r="DE3" i="175"/>
  <c r="DE12" i="175"/>
  <c r="DE4" i="175"/>
  <c r="CN3" i="175"/>
  <c r="CN5" i="175"/>
  <c r="CN12" i="175"/>
  <c r="DE6" i="175"/>
  <c r="O12" i="180"/>
  <c r="K14" i="180"/>
  <c r="XI34" i="178"/>
  <c r="XI35" i="178"/>
  <c r="XH37" i="178"/>
  <c r="XF37" i="178"/>
  <c r="XE42" i="178"/>
  <c r="XG42" i="178" s="1"/>
  <c r="XE41" i="178"/>
  <c r="WI45" i="178"/>
  <c r="WJ46" i="178"/>
  <c r="WG47" i="178"/>
  <c r="WI47" i="178" s="1"/>
  <c r="WJ47" i="178" s="1"/>
  <c r="WL43" i="178"/>
  <c r="WL42" i="178"/>
  <c r="WK40" i="178"/>
  <c r="WL40" i="178" s="1"/>
  <c r="WL41" i="178"/>
  <c r="WK41" i="178"/>
  <c r="VM46" i="178"/>
  <c r="VO13" i="178"/>
  <c r="VM47" i="178"/>
  <c r="VL49" i="178"/>
  <c r="VJ49" i="178"/>
  <c r="VI54" i="178"/>
  <c r="VK54" i="178" s="1"/>
  <c r="UD86" i="178"/>
  <c r="UQ14" i="178"/>
  <c r="UO51" i="178"/>
  <c r="UO50" i="178"/>
  <c r="UL53" i="178"/>
  <c r="UN53" i="178"/>
  <c r="UK58" i="178"/>
  <c r="UM58" i="178" s="1"/>
  <c r="H18" i="188"/>
  <c r="D18" i="188"/>
  <c r="E18" i="188" s="1"/>
  <c r="B19" i="188"/>
  <c r="TR55" i="178"/>
  <c r="TR54" i="178"/>
  <c r="TO57" i="178"/>
  <c r="TP58" i="178"/>
  <c r="TM59" i="178"/>
  <c r="TO59" i="178" s="1"/>
  <c r="TP59" i="178" s="1"/>
  <c r="TQ52" i="178"/>
  <c r="TR52" i="178" s="1"/>
  <c r="I14" i="180" s="1"/>
  <c r="TR53" i="178"/>
  <c r="TQ53" i="178"/>
  <c r="NP87" i="178"/>
  <c r="NN87" i="178"/>
  <c r="NM94" i="178"/>
  <c r="NM91" i="178"/>
  <c r="NO91" i="178" s="1"/>
  <c r="NO81" i="178"/>
  <c r="NO75" i="178"/>
  <c r="NO76" i="178" s="1"/>
  <c r="NN76" i="178" s="1"/>
  <c r="NR79" i="178" s="1"/>
  <c r="NQ75" i="178"/>
  <c r="NQ85" i="178"/>
  <c r="NQ84" i="178"/>
  <c r="NS14" i="178"/>
  <c r="NT14" i="178" s="1"/>
  <c r="WW52" i="178"/>
  <c r="WX52" i="178"/>
  <c r="WX58" i="178" s="1"/>
  <c r="WU47" i="178"/>
  <c r="WU48" i="178" s="1"/>
  <c r="WT48" i="178" s="1"/>
  <c r="U9" i="180" s="1"/>
  <c r="WW47" i="178"/>
  <c r="WV56" i="178"/>
  <c r="WS57" i="178"/>
  <c r="WU57" i="178" s="1"/>
  <c r="WV57" i="178" s="1"/>
  <c r="Q11" i="180"/>
  <c r="VY64" i="178"/>
  <c r="VY63" i="178"/>
  <c r="WA11" i="178"/>
  <c r="WU59" i="178"/>
  <c r="WS63" i="178" s="1"/>
  <c r="WW51" i="178"/>
  <c r="WX54" i="178"/>
  <c r="WX53" i="178"/>
  <c r="WS53" i="178"/>
  <c r="WU53" i="178" s="1"/>
  <c r="VX60" i="178"/>
  <c r="VY60" i="178" s="1"/>
  <c r="VU61" i="178"/>
  <c r="VX66" i="178"/>
  <c r="VV66" i="178"/>
  <c r="VU73" i="178"/>
  <c r="VW70" i="178"/>
  <c r="VA72" i="178"/>
  <c r="TE91" i="178"/>
  <c r="YK50" i="178"/>
  <c r="YL50" i="178" s="1"/>
  <c r="YM50" i="178" s="1"/>
  <c r="YM51" i="178" s="1"/>
  <c r="YN51" i="178" s="1"/>
  <c r="H9" i="179" s="1"/>
  <c r="YK56" i="178"/>
  <c r="UZ77" i="178"/>
  <c r="UW78" i="178"/>
  <c r="UY78" i="178" s="1"/>
  <c r="UZ78" i="178" s="1"/>
  <c r="TG15" i="178"/>
  <c r="TE92" i="178"/>
  <c r="VB73" i="178"/>
  <c r="N13" i="180" s="1"/>
  <c r="VA73" i="178"/>
  <c r="UB81" i="178"/>
  <c r="UC81" i="178" s="1"/>
  <c r="TY82" i="178"/>
  <c r="UY68" i="178"/>
  <c r="UY69" i="178" s="1"/>
  <c r="UX69" i="178" s="1"/>
  <c r="VA68" i="178"/>
  <c r="TD94" i="178"/>
  <c r="TB94" i="178"/>
  <c r="TC98" i="178"/>
  <c r="TA101" i="178"/>
  <c r="UW74" i="178"/>
  <c r="UY74" i="178" s="1"/>
  <c r="VB75" i="178"/>
  <c r="VB74" i="178"/>
  <c r="UB87" i="178"/>
  <c r="TZ87" i="178"/>
  <c r="TY94" i="178"/>
  <c r="UA91" i="178"/>
  <c r="TD88" i="178"/>
  <c r="TE88" i="178" s="1"/>
  <c r="TA89" i="178"/>
  <c r="UY80" i="178"/>
  <c r="UW84" i="178" s="1"/>
  <c r="UC85" i="178"/>
  <c r="UC84" i="178"/>
  <c r="UE14" i="178"/>
  <c r="YI67" i="178"/>
  <c r="YK67" i="178" s="1"/>
  <c r="YN68" i="178"/>
  <c r="J12" i="179" s="1"/>
  <c r="YN67" i="178"/>
  <c r="I12" i="179" s="1"/>
  <c r="YN66" i="178"/>
  <c r="G12" i="179" s="1"/>
  <c r="YM66" i="178"/>
  <c r="YK61" i="178"/>
  <c r="YK62" i="178" s="1"/>
  <c r="YJ62" i="178" s="1"/>
  <c r="YM61" i="178"/>
  <c r="YK73" i="178"/>
  <c r="I13" i="175"/>
  <c r="K13" i="175"/>
  <c r="O13" i="175"/>
  <c r="CQ13" i="175"/>
  <c r="DC13" i="175"/>
  <c r="DT14" i="175"/>
  <c r="E13" i="175"/>
  <c r="G13" i="175"/>
  <c r="DH14" i="175"/>
  <c r="DR13" i="175"/>
  <c r="DB13" i="175"/>
  <c r="DK14" i="175"/>
  <c r="DU13" i="175"/>
  <c r="T13" i="175"/>
  <c r="DQ14" i="175"/>
  <c r="DI13" i="175"/>
  <c r="BZ13" i="175"/>
  <c r="CF13" i="175"/>
  <c r="CL13" i="175"/>
  <c r="DO13" i="175"/>
  <c r="CY13" i="175"/>
  <c r="DN14" i="175"/>
  <c r="S13" i="175"/>
  <c r="U13" i="175" s="1"/>
  <c r="DW14" i="175"/>
  <c r="DL13" i="175"/>
  <c r="DW13" i="175"/>
  <c r="CB13" i="175"/>
  <c r="CH13" i="175"/>
  <c r="CZ13" i="175"/>
  <c r="DA4" i="175"/>
  <c r="CR5" i="175"/>
  <c r="CX5" i="175"/>
  <c r="DD5" i="175"/>
  <c r="DA6" i="175"/>
  <c r="CX6" i="175"/>
  <c r="DA12" i="175"/>
  <c r="CR4" i="175"/>
  <c r="CX4" i="175"/>
  <c r="DA5" i="175"/>
  <c r="CR6" i="175"/>
  <c r="CU12" i="175"/>
  <c r="CR12" i="175"/>
  <c r="CX12" i="175"/>
  <c r="DD12" i="175"/>
  <c r="CI13" i="175"/>
  <c r="CU5" i="175"/>
  <c r="CU6" i="175"/>
  <c r="DD4" i="175"/>
  <c r="DD6" i="175"/>
  <c r="CW13" i="175"/>
  <c r="CV13" i="175"/>
  <c r="CX3" i="175"/>
  <c r="CU4" i="175"/>
  <c r="CS13" i="175"/>
  <c r="CT13" i="175"/>
  <c r="DF12" i="175"/>
  <c r="DF6" i="175"/>
  <c r="DF5" i="175"/>
  <c r="CP13" i="175"/>
  <c r="DF4" i="175"/>
  <c r="CU3" i="175"/>
  <c r="CR3" i="175"/>
  <c r="DD3" i="175"/>
  <c r="DA3" i="175"/>
  <c r="DF3" i="175"/>
  <c r="CG3" i="175"/>
  <c r="CM12" i="175"/>
  <c r="D36" i="169"/>
  <c r="E36" i="169" s="1"/>
  <c r="F36" i="169" s="1"/>
  <c r="D35" i="169"/>
  <c r="E35" i="169" s="1"/>
  <c r="F35" i="169" s="1"/>
  <c r="D27" i="169"/>
  <c r="E27" i="169" s="1"/>
  <c r="F27" i="169" s="1"/>
  <c r="CA4" i="175"/>
  <c r="CG4" i="175"/>
  <c r="CM4" i="175"/>
  <c r="CJ5" i="175"/>
  <c r="CA6" i="175"/>
  <c r="CM6" i="175"/>
  <c r="CJ12" i="175"/>
  <c r="CK13" i="175"/>
  <c r="CD6" i="175"/>
  <c r="CD5" i="175"/>
  <c r="CJ4" i="175"/>
  <c r="CG5" i="175"/>
  <c r="CM5" i="175"/>
  <c r="CJ6" i="175"/>
  <c r="CA12" i="175"/>
  <c r="CG12" i="175"/>
  <c r="CE13" i="175"/>
  <c r="CG6" i="175"/>
  <c r="CD4" i="175"/>
  <c r="CD12" i="175"/>
  <c r="CD3" i="175"/>
  <c r="CO5" i="175"/>
  <c r="CO4" i="175"/>
  <c r="CO12" i="175"/>
  <c r="BY13" i="175"/>
  <c r="CA5" i="175"/>
  <c r="CO6" i="175"/>
  <c r="CA3" i="175"/>
  <c r="CM3" i="175"/>
  <c r="CJ3" i="175"/>
  <c r="CO3" i="175"/>
  <c r="CC13" i="175"/>
  <c r="H4" i="4"/>
  <c r="I4" i="4" s="1"/>
  <c r="H5" i="4"/>
  <c r="I5" i="4" s="1"/>
  <c r="H6" i="4"/>
  <c r="I6" i="4" s="1"/>
  <c r="H7" i="4"/>
  <c r="I7" i="4" s="1"/>
  <c r="H8" i="4"/>
  <c r="I8" i="4" s="1"/>
  <c r="H9" i="4"/>
  <c r="I9" i="4" s="1"/>
  <c r="H10" i="4"/>
  <c r="I10" i="4" s="1"/>
  <c r="H11" i="4"/>
  <c r="I11" i="4" s="1"/>
  <c r="H12" i="4"/>
  <c r="I12" i="4" s="1"/>
  <c r="H13" i="4"/>
  <c r="I13" i="4" s="1"/>
  <c r="H14" i="4"/>
  <c r="I14" i="4" s="1"/>
  <c r="H15" i="4"/>
  <c r="I15" i="4" s="1"/>
  <c r="H16" i="4"/>
  <c r="I16" i="4" s="1"/>
  <c r="H17" i="4"/>
  <c r="I17" i="4" s="1"/>
  <c r="H18" i="4"/>
  <c r="I18" i="4" s="1"/>
  <c r="H19" i="4"/>
  <c r="I19" i="4" s="1"/>
  <c r="H20" i="4"/>
  <c r="I20" i="4" s="1"/>
  <c r="H21" i="4"/>
  <c r="I21" i="4" s="1"/>
  <c r="H22" i="4"/>
  <c r="I22" i="4" s="1"/>
  <c r="H23" i="4"/>
  <c r="I23" i="4" s="1"/>
  <c r="H24" i="4"/>
  <c r="I24" i="4" s="1"/>
  <c r="H25" i="4"/>
  <c r="I25" i="4" s="1"/>
  <c r="H26" i="4"/>
  <c r="I26" i="4" s="1"/>
  <c r="H27" i="4"/>
  <c r="I27" i="4" s="1"/>
  <c r="H28" i="4"/>
  <c r="I28" i="4" s="1"/>
  <c r="H29" i="4"/>
  <c r="I29" i="4" s="1"/>
  <c r="H30" i="4"/>
  <c r="I30" i="4" s="1"/>
  <c r="H31" i="4"/>
  <c r="I31" i="4" s="1"/>
  <c r="H32" i="4"/>
  <c r="I32" i="4" s="1"/>
  <c r="H33" i="4"/>
  <c r="I33" i="4" s="1"/>
  <c r="H34" i="4"/>
  <c r="I34" i="4" s="1"/>
  <c r="H35" i="4"/>
  <c r="I35" i="4" s="1"/>
  <c r="H36" i="4"/>
  <c r="I36" i="4" s="1"/>
  <c r="H37" i="4"/>
  <c r="I37" i="4" s="1"/>
  <c r="H38" i="4"/>
  <c r="I38" i="4" s="1"/>
  <c r="H39" i="4"/>
  <c r="I39" i="4" s="1"/>
  <c r="H40" i="4"/>
  <c r="I40" i="4" s="1"/>
  <c r="H41" i="4"/>
  <c r="I41" i="4" s="1"/>
  <c r="H42" i="4"/>
  <c r="I42" i="4" s="1"/>
  <c r="H43" i="4"/>
  <c r="I43" i="4" s="1"/>
  <c r="H44" i="4"/>
  <c r="I44" i="4" s="1"/>
  <c r="H45" i="4"/>
  <c r="I45" i="4" s="1"/>
  <c r="H46" i="4"/>
  <c r="I46" i="4" s="1"/>
  <c r="H47" i="4"/>
  <c r="I47" i="4" s="1"/>
  <c r="H48" i="4"/>
  <c r="I48" i="4" s="1"/>
  <c r="H49" i="4"/>
  <c r="I49" i="4" s="1"/>
  <c r="H3" i="4"/>
  <c r="I3" i="4" s="1"/>
  <c r="P1" i="4"/>
  <c r="F13" i="4"/>
  <c r="G13" i="4" s="1"/>
  <c r="F14" i="4"/>
  <c r="G14" i="4" s="1"/>
  <c r="F15" i="4"/>
  <c r="G15" i="4" s="1"/>
  <c r="F16" i="4"/>
  <c r="G16" i="4" s="1"/>
  <c r="F17" i="4"/>
  <c r="G17" i="4" s="1"/>
  <c r="F18" i="4"/>
  <c r="G18" i="4" s="1"/>
  <c r="F19" i="4"/>
  <c r="G19" i="4" s="1"/>
  <c r="F20" i="4"/>
  <c r="G20" i="4" s="1"/>
  <c r="F21" i="4"/>
  <c r="G21" i="4" s="1"/>
  <c r="F22" i="4"/>
  <c r="G22" i="4" s="1"/>
  <c r="F23" i="4"/>
  <c r="G23" i="4" s="1"/>
  <c r="F24" i="4"/>
  <c r="G24" i="4" s="1"/>
  <c r="F25" i="4"/>
  <c r="G25" i="4" s="1"/>
  <c r="F26" i="4"/>
  <c r="G26" i="4" s="1"/>
  <c r="F27" i="4"/>
  <c r="G27" i="4" s="1"/>
  <c r="F28" i="4"/>
  <c r="G28" i="4" s="1"/>
  <c r="F29" i="4"/>
  <c r="G29" i="4" s="1"/>
  <c r="F30" i="4"/>
  <c r="G30" i="4" s="1"/>
  <c r="F31" i="4"/>
  <c r="G31" i="4" s="1"/>
  <c r="F32" i="4"/>
  <c r="G32" i="4" s="1"/>
  <c r="F33" i="4"/>
  <c r="G33" i="4" s="1"/>
  <c r="F34" i="4"/>
  <c r="G34" i="4" s="1"/>
  <c r="F35" i="4"/>
  <c r="G35" i="4" s="1"/>
  <c r="F36" i="4"/>
  <c r="G36" i="4" s="1"/>
  <c r="F37" i="4"/>
  <c r="G37" i="4" s="1"/>
  <c r="F38" i="4"/>
  <c r="G38" i="4" s="1"/>
  <c r="F39" i="4"/>
  <c r="G39" i="4" s="1"/>
  <c r="F40" i="4"/>
  <c r="G40" i="4" s="1"/>
  <c r="F41" i="4"/>
  <c r="G41" i="4" s="1"/>
  <c r="F42" i="4"/>
  <c r="G42" i="4" s="1"/>
  <c r="F43" i="4"/>
  <c r="G43" i="4" s="1"/>
  <c r="F44" i="4"/>
  <c r="G44" i="4" s="1"/>
  <c r="F45" i="4"/>
  <c r="G45" i="4" s="1"/>
  <c r="F46" i="4"/>
  <c r="G46" i="4" s="1"/>
  <c r="F47" i="4"/>
  <c r="G47" i="4" s="1"/>
  <c r="F48" i="4"/>
  <c r="G48" i="4" s="1"/>
  <c r="F49" i="4"/>
  <c r="G49" i="4" s="1"/>
  <c r="F5" i="4"/>
  <c r="G5" i="4" s="1"/>
  <c r="F6" i="4"/>
  <c r="G6" i="4" s="1"/>
  <c r="F7" i="4"/>
  <c r="G7" i="4" s="1"/>
  <c r="F8" i="4"/>
  <c r="G8" i="4" s="1"/>
  <c r="F9" i="4"/>
  <c r="G9" i="4" s="1"/>
  <c r="F10" i="4"/>
  <c r="G10" i="4" s="1"/>
  <c r="F11" i="4"/>
  <c r="G11" i="4" s="1"/>
  <c r="F12" i="4"/>
  <c r="G12" i="4" s="1"/>
  <c r="F4" i="4"/>
  <c r="G4" i="4" s="1"/>
  <c r="C21" i="169"/>
  <c r="C22" i="169"/>
  <c r="C23" i="169"/>
  <c r="C24" i="169"/>
  <c r="C25" i="169"/>
  <c r="DE13" i="175" l="1"/>
  <c r="CN13" i="175"/>
  <c r="YO9" i="178"/>
  <c r="K9" i="179" s="1"/>
  <c r="XI36" i="178"/>
  <c r="XJ36" i="178" s="1"/>
  <c r="XJ37" i="178"/>
  <c r="XI37" i="178"/>
  <c r="XG41" i="178"/>
  <c r="XH42" i="178"/>
  <c r="XE43" i="178"/>
  <c r="XG43" i="178" s="1"/>
  <c r="XH43" i="178" s="1"/>
  <c r="XJ39" i="178"/>
  <c r="XJ38" i="178"/>
  <c r="WH45" i="178"/>
  <c r="WJ45" i="178"/>
  <c r="WG50" i="178"/>
  <c r="WI50" i="178" s="1"/>
  <c r="WG49" i="178"/>
  <c r="WK43" i="178"/>
  <c r="WM12" i="178"/>
  <c r="WK42" i="178"/>
  <c r="VK53" i="178"/>
  <c r="VI57" i="178" s="1"/>
  <c r="VN51" i="178"/>
  <c r="VN50" i="178"/>
  <c r="VM48" i="178"/>
  <c r="VN48" i="178" s="1"/>
  <c r="VL54" i="178"/>
  <c r="VI55" i="178"/>
  <c r="VK55" i="178" s="1"/>
  <c r="VL55" i="178" s="1"/>
  <c r="VM49" i="178"/>
  <c r="VN49" i="178"/>
  <c r="UO52" i="178"/>
  <c r="UP52" i="178" s="1"/>
  <c r="L14" i="180" s="1"/>
  <c r="UO53" i="178"/>
  <c r="UP53" i="178"/>
  <c r="UP55" i="178"/>
  <c r="UP54" i="178"/>
  <c r="UM57" i="178"/>
  <c r="UK61" i="178" s="1"/>
  <c r="VB79" i="178"/>
  <c r="UN58" i="178"/>
  <c r="UK59" i="178"/>
  <c r="UM59" i="178" s="1"/>
  <c r="UN59" i="178" s="1"/>
  <c r="C19" i="188"/>
  <c r="G19" i="188"/>
  <c r="I18" i="188"/>
  <c r="J18" i="188" s="1"/>
  <c r="TQ54" i="178"/>
  <c r="TQ55" i="178"/>
  <c r="TP57" i="178"/>
  <c r="TN57" i="178"/>
  <c r="TM62" i="178"/>
  <c r="TO62" i="178" s="1"/>
  <c r="TM61" i="178"/>
  <c r="H15" i="180"/>
  <c r="TS15" i="178"/>
  <c r="NQ86" i="178"/>
  <c r="NO94" i="178"/>
  <c r="NR89" i="178"/>
  <c r="NR88" i="178"/>
  <c r="NM88" i="178"/>
  <c r="NP91" i="178"/>
  <c r="NM92" i="178"/>
  <c r="NO92" i="178" s="1"/>
  <c r="NP92" i="178" s="1"/>
  <c r="NP81" i="178"/>
  <c r="NQ81" i="178" s="1"/>
  <c r="NM82" i="178"/>
  <c r="NR87" i="178"/>
  <c r="NQ87" i="178"/>
  <c r="VX70" i="178"/>
  <c r="VU71" i="178"/>
  <c r="VW71" i="178" s="1"/>
  <c r="VX71" i="178" s="1"/>
  <c r="VW61" i="178"/>
  <c r="VW62" i="178" s="1"/>
  <c r="VV62" i="178" s="1"/>
  <c r="R11" i="180" s="1"/>
  <c r="VY61" i="178"/>
  <c r="WV59" i="178"/>
  <c r="WT59" i="178"/>
  <c r="WS66" i="178"/>
  <c r="WU63" i="178"/>
  <c r="VW73" i="178"/>
  <c r="VU77" i="178" s="1"/>
  <c r="T10" i="180"/>
  <c r="WW57" i="178"/>
  <c r="WY10" i="178"/>
  <c r="VY66" i="178"/>
  <c r="VZ66" i="178"/>
  <c r="VZ72" i="178" s="1"/>
  <c r="VZ67" i="178"/>
  <c r="VZ68" i="178"/>
  <c r="VU67" i="178"/>
  <c r="VW67" i="178" s="1"/>
  <c r="WV53" i="178"/>
  <c r="WW53" i="178" s="1"/>
  <c r="WS54" i="178"/>
  <c r="VY65" i="178"/>
  <c r="WW56" i="178"/>
  <c r="TE93" i="178"/>
  <c r="YI63" i="178"/>
  <c r="YL56" i="178"/>
  <c r="YM56" i="178" s="1"/>
  <c r="YI57" i="178"/>
  <c r="UC86" i="178"/>
  <c r="UB91" i="178"/>
  <c r="TY92" i="178"/>
  <c r="UA92" i="178" s="1"/>
  <c r="UB92" i="178" s="1"/>
  <c r="UZ74" i="178"/>
  <c r="VA74" i="178" s="1"/>
  <c r="UW75" i="178"/>
  <c r="TC101" i="178"/>
  <c r="TA105" i="178" s="1"/>
  <c r="UZ80" i="178"/>
  <c r="UX80" i="178"/>
  <c r="UW87" i="178"/>
  <c r="UY84" i="178"/>
  <c r="UA94" i="178"/>
  <c r="TY98" i="178" s="1"/>
  <c r="TD98" i="178"/>
  <c r="TA99" i="178"/>
  <c r="TC99" i="178" s="1"/>
  <c r="TD99" i="178" s="1"/>
  <c r="VA77" i="178"/>
  <c r="VA78" i="178"/>
  <c r="VC13" i="178"/>
  <c r="TC89" i="178"/>
  <c r="TC90" i="178" s="1"/>
  <c r="TB90" i="178" s="1"/>
  <c r="TE89" i="178"/>
  <c r="TY88" i="178"/>
  <c r="UA88" i="178" s="1"/>
  <c r="UD88" i="178"/>
  <c r="UD89" i="178"/>
  <c r="TF96" i="178"/>
  <c r="TF95" i="178"/>
  <c r="TA95" i="178"/>
  <c r="TC95" i="178" s="1"/>
  <c r="UA82" i="178"/>
  <c r="UA83" i="178" s="1"/>
  <c r="TZ83" i="178" s="1"/>
  <c r="UC82" i="178"/>
  <c r="UC87" i="178"/>
  <c r="UD87" i="178"/>
  <c r="TE94" i="178"/>
  <c r="TF94" i="178"/>
  <c r="TF100" i="178" s="1"/>
  <c r="YJ73" i="178"/>
  <c r="YL73" i="178"/>
  <c r="YI80" i="178"/>
  <c r="YL67" i="178"/>
  <c r="YM67" i="178" s="1"/>
  <c r="YI68" i="178"/>
  <c r="J7" i="177"/>
  <c r="DD13" i="175"/>
  <c r="CR13" i="175"/>
  <c r="DC14" i="175"/>
  <c r="BZ14" i="175"/>
  <c r="CL14" i="175"/>
  <c r="CZ14" i="175"/>
  <c r="CG13" i="175"/>
  <c r="CI14" i="175"/>
  <c r="CC14" i="175"/>
  <c r="CJ13" i="175"/>
  <c r="DA13" i="175"/>
  <c r="DF14" i="175"/>
  <c r="CU13" i="175"/>
  <c r="CW14" i="175"/>
  <c r="CT14" i="175"/>
  <c r="CX13" i="175"/>
  <c r="CQ14" i="175"/>
  <c r="DF13" i="175"/>
  <c r="CM13" i="175"/>
  <c r="CA13" i="175"/>
  <c r="CF14" i="175"/>
  <c r="CO13" i="175"/>
  <c r="CD13" i="175"/>
  <c r="CO14" i="175"/>
  <c r="P2" i="4"/>
  <c r="G3" i="4"/>
  <c r="AH18" i="153"/>
  <c r="AG18" i="153"/>
  <c r="AF18" i="153"/>
  <c r="AE18" i="153"/>
  <c r="AD18" i="153"/>
  <c r="AH17" i="153"/>
  <c r="AG17" i="153"/>
  <c r="AF17" i="153"/>
  <c r="AE17" i="153"/>
  <c r="AD17" i="153"/>
  <c r="AH15" i="153"/>
  <c r="AG15" i="153"/>
  <c r="AF15" i="153"/>
  <c r="AE15" i="153"/>
  <c r="AD15" i="153"/>
  <c r="AH14" i="153"/>
  <c r="AG14" i="153"/>
  <c r="AF14" i="153"/>
  <c r="AE14" i="153"/>
  <c r="AD14" i="153"/>
  <c r="AH9" i="153"/>
  <c r="AG9" i="153"/>
  <c r="AF9" i="153"/>
  <c r="AE9" i="153"/>
  <c r="AD9" i="153"/>
  <c r="AH8" i="153"/>
  <c r="AG8" i="153"/>
  <c r="AF8" i="153"/>
  <c r="AE8" i="153"/>
  <c r="AD8" i="153"/>
  <c r="AH6" i="153"/>
  <c r="AG6" i="153"/>
  <c r="AF6" i="153"/>
  <c r="AE6" i="153"/>
  <c r="AD6" i="153"/>
  <c r="AH5" i="153"/>
  <c r="AG5" i="153"/>
  <c r="AF5" i="153"/>
  <c r="AE5" i="153"/>
  <c r="AD5" i="153"/>
  <c r="AH3" i="153"/>
  <c r="AG3" i="153"/>
  <c r="AF3" i="153"/>
  <c r="AE3" i="153"/>
  <c r="AD3" i="153"/>
  <c r="AH2" i="153"/>
  <c r="AG2" i="153"/>
  <c r="AF2" i="153"/>
  <c r="AE2" i="153"/>
  <c r="AD2" i="153"/>
  <c r="O13" i="180" l="1"/>
  <c r="K15" i="180"/>
  <c r="XF41" i="178"/>
  <c r="XH41" i="178"/>
  <c r="XE45" i="178"/>
  <c r="XE46" i="178"/>
  <c r="XG46" i="178" s="1"/>
  <c r="XI39" i="178"/>
  <c r="XK11" i="178"/>
  <c r="XI38" i="178"/>
  <c r="WK44" i="178"/>
  <c r="WL44" i="178" s="1"/>
  <c r="WI49" i="178"/>
  <c r="WJ50" i="178"/>
  <c r="WG51" i="178"/>
  <c r="WI51" i="178" s="1"/>
  <c r="WJ51" i="178" s="1"/>
  <c r="WL45" i="178"/>
  <c r="WK45" i="178"/>
  <c r="WL46" i="178"/>
  <c r="WL47" i="178"/>
  <c r="VO14" i="178"/>
  <c r="VM51" i="178"/>
  <c r="VM50" i="178"/>
  <c r="VJ53" i="178"/>
  <c r="VL53" i="178"/>
  <c r="VI58" i="178"/>
  <c r="VK58" i="178" s="1"/>
  <c r="UN57" i="178"/>
  <c r="UL57" i="178"/>
  <c r="UK62" i="178"/>
  <c r="UM62" i="178" s="1"/>
  <c r="UO54" i="178"/>
  <c r="UQ15" i="178"/>
  <c r="UO55" i="178"/>
  <c r="UD93" i="178"/>
  <c r="H19" i="188"/>
  <c r="B20" i="188"/>
  <c r="D19" i="188"/>
  <c r="E19" i="188" s="1"/>
  <c r="TQ57" i="178"/>
  <c r="TR57" i="178"/>
  <c r="H16" i="180" s="1"/>
  <c r="TO61" i="178"/>
  <c r="TP62" i="178"/>
  <c r="TM63" i="178"/>
  <c r="TO63" i="178" s="1"/>
  <c r="TP63" i="178" s="1"/>
  <c r="TQ56" i="178"/>
  <c r="TR56" i="178" s="1"/>
  <c r="I15" i="180" s="1"/>
  <c r="TR59" i="178"/>
  <c r="TR58" i="178"/>
  <c r="NQ92" i="178"/>
  <c r="NQ91" i="178"/>
  <c r="NS15" i="178"/>
  <c r="NT15" i="178" s="1"/>
  <c r="NN94" i="178"/>
  <c r="NP94" i="178"/>
  <c r="NM98" i="178"/>
  <c r="NO98" i="178" s="1"/>
  <c r="NM101" i="178"/>
  <c r="NO82" i="178"/>
  <c r="NO83" i="178" s="1"/>
  <c r="NN83" i="178" s="1"/>
  <c r="NR86" i="178" s="1"/>
  <c r="NQ82" i="178"/>
  <c r="NO88" i="178"/>
  <c r="WW58" i="178"/>
  <c r="WU54" i="178"/>
  <c r="WU55" i="178" s="1"/>
  <c r="WT55" i="178" s="1"/>
  <c r="U10" i="180" s="1"/>
  <c r="WW54" i="178"/>
  <c r="Q12" i="180"/>
  <c r="VY70" i="178"/>
  <c r="VY71" i="178"/>
  <c r="WA12" i="178"/>
  <c r="WU66" i="178"/>
  <c r="WS70" i="178" s="1"/>
  <c r="WV63" i="178"/>
  <c r="WS64" i="178"/>
  <c r="WU64" i="178" s="1"/>
  <c r="WV64" i="178" s="1"/>
  <c r="VX67" i="178"/>
  <c r="VY67" i="178" s="1"/>
  <c r="VU68" i="178"/>
  <c r="WX60" i="178"/>
  <c r="WS60" i="178"/>
  <c r="WU60" i="178" s="1"/>
  <c r="WX61" i="178"/>
  <c r="VV73" i="178"/>
  <c r="VX73" i="178"/>
  <c r="VW77" i="178"/>
  <c r="VU80" i="178"/>
  <c r="WX59" i="178"/>
  <c r="WX65" i="178" s="1"/>
  <c r="WW59" i="178"/>
  <c r="YK63" i="178"/>
  <c r="YK57" i="178"/>
  <c r="YL57" i="178" s="1"/>
  <c r="YM57" i="178" s="1"/>
  <c r="YM58" i="178" s="1"/>
  <c r="YN58" i="178" s="1"/>
  <c r="H10" i="179" s="1"/>
  <c r="VA79" i="178"/>
  <c r="TG16" i="178"/>
  <c r="TE99" i="178"/>
  <c r="TE98" i="178"/>
  <c r="UC92" i="178"/>
  <c r="UE15" i="178"/>
  <c r="TD95" i="178"/>
  <c r="TE95" i="178" s="1"/>
  <c r="TA96" i="178"/>
  <c r="TZ94" i="178"/>
  <c r="UB94" i="178"/>
  <c r="UA98" i="178"/>
  <c r="TY101" i="178"/>
  <c r="VB80" i="178"/>
  <c r="N14" i="180" s="1"/>
  <c r="VA80" i="178"/>
  <c r="UY75" i="178"/>
  <c r="UY76" i="178" s="1"/>
  <c r="UX76" i="178" s="1"/>
  <c r="VA75" i="178"/>
  <c r="UB88" i="178"/>
  <c r="UC88" i="178" s="1"/>
  <c r="TY89" i="178"/>
  <c r="UZ84" i="178"/>
  <c r="UW85" i="178"/>
  <c r="UY85" i="178" s="1"/>
  <c r="UZ85" i="178" s="1"/>
  <c r="UY87" i="178"/>
  <c r="UW91" i="178" s="1"/>
  <c r="VB81" i="178"/>
  <c r="VB82" i="178"/>
  <c r="UW81" i="178"/>
  <c r="UY81" i="178" s="1"/>
  <c r="TD101" i="178"/>
  <c r="TB101" i="178"/>
  <c r="TC105" i="178"/>
  <c r="UC91" i="178"/>
  <c r="YM73" i="178"/>
  <c r="YN73" i="178"/>
  <c r="G13" i="179" s="1"/>
  <c r="YK68" i="178"/>
  <c r="YK69" i="178" s="1"/>
  <c r="YJ69" i="178" s="1"/>
  <c r="YM68" i="178"/>
  <c r="YN75" i="178"/>
  <c r="J13" i="179" s="1"/>
  <c r="YI74" i="178"/>
  <c r="YK74" i="178" s="1"/>
  <c r="YN74" i="178"/>
  <c r="I13" i="179" s="1"/>
  <c r="YK80" i="178"/>
  <c r="AE20" i="153"/>
  <c r="AE21" i="153"/>
  <c r="AH20" i="153"/>
  <c r="AF21" i="153"/>
  <c r="AG20" i="153"/>
  <c r="AI3" i="153"/>
  <c r="AF20" i="153"/>
  <c r="AH4" i="153"/>
  <c r="AF7" i="153"/>
  <c r="AD10" i="153"/>
  <c r="AI2" i="153"/>
  <c r="AG4" i="153"/>
  <c r="AE7" i="153"/>
  <c r="AI8" i="153"/>
  <c r="AG10" i="153"/>
  <c r="AE16" i="153"/>
  <c r="AI17" i="153"/>
  <c r="AG19" i="153"/>
  <c r="AH10" i="153"/>
  <c r="AF16" i="153"/>
  <c r="AD19" i="153"/>
  <c r="AH19" i="153"/>
  <c r="AE4" i="153"/>
  <c r="AI5" i="153"/>
  <c r="AG7" i="153"/>
  <c r="AE10" i="153"/>
  <c r="AI14" i="153"/>
  <c r="AG16" i="153"/>
  <c r="AE19" i="153"/>
  <c r="AD20" i="153"/>
  <c r="AG21" i="153"/>
  <c r="AF4" i="153"/>
  <c r="AD7" i="153"/>
  <c r="AH7" i="153"/>
  <c r="AF10" i="153"/>
  <c r="AD16" i="153"/>
  <c r="AH16" i="153"/>
  <c r="AF19" i="153"/>
  <c r="AD21" i="153"/>
  <c r="AH21" i="153"/>
  <c r="AI18" i="153"/>
  <c r="AI15" i="153"/>
  <c r="AI9" i="153"/>
  <c r="AI6" i="153"/>
  <c r="AD4" i="153"/>
  <c r="X2" i="153"/>
  <c r="B4" i="3"/>
  <c r="B3" i="3"/>
  <c r="E4" i="3" s="1"/>
  <c r="YO10" i="178" l="1"/>
  <c r="K10" i="179" s="1"/>
  <c r="XI40" i="178"/>
  <c r="XJ40" i="178" s="1"/>
  <c r="VM52" i="178"/>
  <c r="VN52" i="178" s="1"/>
  <c r="XH46" i="178"/>
  <c r="XE47" i="178"/>
  <c r="XG47" i="178" s="1"/>
  <c r="XH47" i="178" s="1"/>
  <c r="XG45" i="178"/>
  <c r="XI41" i="178"/>
  <c r="XJ41" i="178"/>
  <c r="XJ43" i="178"/>
  <c r="XJ42" i="178"/>
  <c r="WK46" i="178"/>
  <c r="WM13" i="178"/>
  <c r="WK47" i="178"/>
  <c r="WJ49" i="178"/>
  <c r="WH49" i="178"/>
  <c r="WG53" i="178"/>
  <c r="WG54" i="178"/>
  <c r="WI54" i="178" s="1"/>
  <c r="VK57" i="178"/>
  <c r="VI61" i="178" s="1"/>
  <c r="VL58" i="178"/>
  <c r="VI59" i="178"/>
  <c r="VK59" i="178" s="1"/>
  <c r="VL59" i="178" s="1"/>
  <c r="VM53" i="178"/>
  <c r="VN53" i="178"/>
  <c r="VN55" i="178"/>
  <c r="VN54" i="178"/>
  <c r="VB86" i="178"/>
  <c r="UM61" i="178"/>
  <c r="UN62" i="178"/>
  <c r="UK63" i="178"/>
  <c r="UM63" i="178" s="1"/>
  <c r="UN63" i="178" s="1"/>
  <c r="UO56" i="178"/>
  <c r="UP56" i="178" s="1"/>
  <c r="L15" i="180" s="1"/>
  <c r="UP59" i="178"/>
  <c r="UP58" i="178"/>
  <c r="UP57" i="178"/>
  <c r="UO57" i="178"/>
  <c r="TS16" i="178"/>
  <c r="C20" i="188"/>
  <c r="G20" i="188"/>
  <c r="I19" i="188"/>
  <c r="J19" i="188" s="1"/>
  <c r="TP61" i="178"/>
  <c r="TN61" i="178"/>
  <c r="TQ58" i="178"/>
  <c r="TQ59" i="178"/>
  <c r="NQ93" i="178"/>
  <c r="NO101" i="178"/>
  <c r="NP88" i="178"/>
  <c r="NQ88" i="178" s="1"/>
  <c r="NM89" i="178"/>
  <c r="NP98" i="178"/>
  <c r="NM99" i="178"/>
  <c r="NO99" i="178" s="1"/>
  <c r="NP99" i="178" s="1"/>
  <c r="NQ94" i="178"/>
  <c r="NR94" i="178"/>
  <c r="NR95" i="178"/>
  <c r="NR96" i="178"/>
  <c r="NM95" i="178"/>
  <c r="VY72" i="178"/>
  <c r="VX77" i="178"/>
  <c r="VU78" i="178"/>
  <c r="VW78" i="178" s="1"/>
  <c r="VX78" i="178" s="1"/>
  <c r="WV60" i="178"/>
  <c r="WW60" i="178" s="1"/>
  <c r="WS61" i="178"/>
  <c r="WT66" i="178"/>
  <c r="WV66" i="178"/>
  <c r="WU70" i="178"/>
  <c r="WS73" i="178"/>
  <c r="VZ73" i="178"/>
  <c r="VZ79" i="178" s="1"/>
  <c r="VY73" i="178"/>
  <c r="VW80" i="178"/>
  <c r="VU84" i="178" s="1"/>
  <c r="T11" i="180"/>
  <c r="WW63" i="178"/>
  <c r="WW64" i="178"/>
  <c r="WY11" i="178"/>
  <c r="VZ75" i="178"/>
  <c r="VU74" i="178"/>
  <c r="VW74" i="178" s="1"/>
  <c r="VZ74" i="178"/>
  <c r="VW68" i="178"/>
  <c r="VW69" i="178" s="1"/>
  <c r="VV69" i="178" s="1"/>
  <c r="R12" i="180" s="1"/>
  <c r="VY68" i="178"/>
  <c r="YI64" i="178"/>
  <c r="YL63" i="178"/>
  <c r="YM63" i="178" s="1"/>
  <c r="YI70" i="178"/>
  <c r="UC93" i="178"/>
  <c r="VA84" i="178"/>
  <c r="TE100" i="178"/>
  <c r="TF103" i="178"/>
  <c r="TA102" i="178"/>
  <c r="TC102" i="178" s="1"/>
  <c r="TF102" i="178"/>
  <c r="UZ87" i="178"/>
  <c r="UX87" i="178"/>
  <c r="UY91" i="178"/>
  <c r="UW94" i="178"/>
  <c r="VA85" i="178"/>
  <c r="VC14" i="178"/>
  <c r="UD96" i="178"/>
  <c r="TY95" i="178"/>
  <c r="UA95" i="178" s="1"/>
  <c r="UD95" i="178"/>
  <c r="TE101" i="178"/>
  <c r="TF101" i="178"/>
  <c r="TF107" i="178" s="1"/>
  <c r="UA101" i="178"/>
  <c r="TY105" i="178" s="1"/>
  <c r="TC96" i="178"/>
  <c r="TC97" i="178" s="1"/>
  <c r="TB97" i="178" s="1"/>
  <c r="TE96" i="178"/>
  <c r="UZ81" i="178"/>
  <c r="VA81" i="178" s="1"/>
  <c r="UW82" i="178"/>
  <c r="UB98" i="178"/>
  <c r="TY99" i="178"/>
  <c r="UA99" i="178" s="1"/>
  <c r="UB99" i="178" s="1"/>
  <c r="TD105" i="178"/>
  <c r="TA106" i="178"/>
  <c r="TC106" i="178" s="1"/>
  <c r="TD106" i="178" s="1"/>
  <c r="UA89" i="178"/>
  <c r="UA90" i="178" s="1"/>
  <c r="TZ90" i="178" s="1"/>
  <c r="UC89" i="178"/>
  <c r="UC94" i="178"/>
  <c r="UD94" i="178"/>
  <c r="YL74" i="178"/>
  <c r="YM74" i="178" s="1"/>
  <c r="YI75" i="178"/>
  <c r="YI87" i="178"/>
  <c r="YJ80" i="178"/>
  <c r="YL80" i="178"/>
  <c r="J8" i="177"/>
  <c r="AE22" i="153"/>
  <c r="AH22" i="153"/>
  <c r="AG22" i="153"/>
  <c r="AF22" i="153"/>
  <c r="AI4" i="153"/>
  <c r="AI10" i="153"/>
  <c r="AI20" i="153"/>
  <c r="AI16" i="153"/>
  <c r="AD22" i="153"/>
  <c r="AI21" i="153"/>
  <c r="AI19" i="153"/>
  <c r="AI7" i="153"/>
  <c r="B86" i="151"/>
  <c r="C86" i="151"/>
  <c r="D86" i="151"/>
  <c r="E86" i="151"/>
  <c r="F86" i="151"/>
  <c r="G86" i="151"/>
  <c r="H86" i="151"/>
  <c r="I86" i="151"/>
  <c r="B87" i="151"/>
  <c r="C87" i="151"/>
  <c r="D87" i="151"/>
  <c r="E87" i="151"/>
  <c r="F87" i="151"/>
  <c r="G87" i="151"/>
  <c r="H87" i="151"/>
  <c r="I87" i="151"/>
  <c r="B88" i="151"/>
  <c r="C88" i="151"/>
  <c r="D88" i="151"/>
  <c r="E88" i="151"/>
  <c r="F88" i="151"/>
  <c r="G88" i="151"/>
  <c r="H88" i="151"/>
  <c r="I88" i="151"/>
  <c r="B89" i="151"/>
  <c r="C89" i="151"/>
  <c r="D89" i="151"/>
  <c r="E89" i="151"/>
  <c r="F89" i="151"/>
  <c r="G89" i="151"/>
  <c r="H89" i="151"/>
  <c r="I89" i="151"/>
  <c r="B90" i="151"/>
  <c r="C90" i="151"/>
  <c r="D90" i="151"/>
  <c r="E90" i="151"/>
  <c r="F90" i="151"/>
  <c r="G90" i="151"/>
  <c r="H90" i="151"/>
  <c r="I90" i="151"/>
  <c r="B91" i="151"/>
  <c r="C91" i="151"/>
  <c r="D91" i="151"/>
  <c r="E91" i="151"/>
  <c r="F91" i="151"/>
  <c r="G91" i="151"/>
  <c r="H91" i="151"/>
  <c r="I91" i="151"/>
  <c r="B92" i="151"/>
  <c r="C92" i="151"/>
  <c r="D92" i="151"/>
  <c r="E92" i="151"/>
  <c r="F92" i="151"/>
  <c r="G92" i="151"/>
  <c r="H92" i="151"/>
  <c r="I92" i="151"/>
  <c r="O14" i="180" l="1"/>
  <c r="K16" i="180"/>
  <c r="XI42" i="178"/>
  <c r="XK12" i="178"/>
  <c r="XI43" i="178"/>
  <c r="XH45" i="178"/>
  <c r="XF45" i="178"/>
  <c r="XE49" i="178"/>
  <c r="XE50" i="178"/>
  <c r="XG50" i="178" s="1"/>
  <c r="WJ54" i="178"/>
  <c r="WG55" i="178"/>
  <c r="WI55" i="178" s="1"/>
  <c r="WJ55" i="178" s="1"/>
  <c r="WI53" i="178"/>
  <c r="WL51" i="178"/>
  <c r="WL50" i="178"/>
  <c r="WK48" i="178"/>
  <c r="WL48" i="178" s="1"/>
  <c r="WK49" i="178"/>
  <c r="WL49" i="178"/>
  <c r="VM54" i="178"/>
  <c r="VO15" i="178"/>
  <c r="VM55" i="178"/>
  <c r="VL57" i="178"/>
  <c r="VJ57" i="178"/>
  <c r="VI62" i="178"/>
  <c r="VK62" i="178" s="1"/>
  <c r="UL61" i="178"/>
  <c r="UN61" i="178"/>
  <c r="UO59" i="178"/>
  <c r="UQ16" i="178"/>
  <c r="UO58" i="178"/>
  <c r="UD100" i="178"/>
  <c r="H20" i="188"/>
  <c r="D20" i="188"/>
  <c r="E20" i="188" s="1"/>
  <c r="B21" i="188"/>
  <c r="TR63" i="178"/>
  <c r="TR62" i="178"/>
  <c r="TQ60" i="178"/>
  <c r="TR60" i="178" s="1"/>
  <c r="I16" i="180" s="1"/>
  <c r="TR61" i="178"/>
  <c r="TS17" i="178" s="1"/>
  <c r="TQ61" i="178"/>
  <c r="NO95" i="178"/>
  <c r="NQ99" i="178"/>
  <c r="NQ98" i="178"/>
  <c r="NS16" i="178"/>
  <c r="NT16" i="178" s="1"/>
  <c r="NO89" i="178"/>
  <c r="NO90" i="178" s="1"/>
  <c r="NN90" i="178" s="1"/>
  <c r="NR93" i="178" s="1"/>
  <c r="NQ89" i="178"/>
  <c r="NN101" i="178"/>
  <c r="NP101" i="178"/>
  <c r="NM105" i="178"/>
  <c r="NO105" i="178" s="1"/>
  <c r="WW65" i="178"/>
  <c r="WU73" i="178"/>
  <c r="WS77" i="178" s="1"/>
  <c r="WU61" i="178"/>
  <c r="WU62" i="178" s="1"/>
  <c r="WT62" i="178" s="1"/>
  <c r="U11" i="180" s="1"/>
  <c r="WW61" i="178"/>
  <c r="VX74" i="178"/>
  <c r="VY74" i="178" s="1"/>
  <c r="VU75" i="178"/>
  <c r="VV80" i="178"/>
  <c r="VX80" i="178"/>
  <c r="VU87" i="178"/>
  <c r="VW84" i="178"/>
  <c r="WV70" i="178"/>
  <c r="WS71" i="178"/>
  <c r="WU71" i="178" s="1"/>
  <c r="WV71" i="178" s="1"/>
  <c r="WX66" i="178"/>
  <c r="WX72" i="178" s="1"/>
  <c r="WW66" i="178"/>
  <c r="Q13" i="180"/>
  <c r="VY77" i="178"/>
  <c r="VY78" i="178"/>
  <c r="WA13" i="178"/>
  <c r="WX67" i="178"/>
  <c r="WS67" i="178"/>
  <c r="WU67" i="178" s="1"/>
  <c r="WX68" i="178"/>
  <c r="VA86" i="178"/>
  <c r="YK70" i="178"/>
  <c r="YK64" i="178"/>
  <c r="YL64" i="178" s="1"/>
  <c r="YM64" i="178" s="1"/>
  <c r="YM65" i="178" s="1"/>
  <c r="YN65" i="178" s="1"/>
  <c r="H11" i="179" s="1"/>
  <c r="UC98" i="178"/>
  <c r="UC99" i="178"/>
  <c r="UE16" i="178"/>
  <c r="UY82" i="178"/>
  <c r="UY83" i="178" s="1"/>
  <c r="UX83" i="178" s="1"/>
  <c r="VA82" i="178"/>
  <c r="TG17" i="178"/>
  <c r="TE106" i="178"/>
  <c r="TE105" i="178"/>
  <c r="VB87" i="178"/>
  <c r="N15" i="180" s="1"/>
  <c r="VA87" i="178"/>
  <c r="UB95" i="178"/>
  <c r="UC95" i="178" s="1"/>
  <c r="TY96" i="178"/>
  <c r="UY94" i="178"/>
  <c r="UW98" i="178" s="1"/>
  <c r="TZ101" i="178"/>
  <c r="UB101" i="178"/>
  <c r="UA105" i="178"/>
  <c r="UZ91" i="178"/>
  <c r="UW92" i="178"/>
  <c r="UY92" i="178" s="1"/>
  <c r="UZ92" i="178" s="1"/>
  <c r="TD102" i="178"/>
  <c r="TE102" i="178" s="1"/>
  <c r="TA103" i="178"/>
  <c r="VB89" i="178"/>
  <c r="UW88" i="178"/>
  <c r="UY88" i="178" s="1"/>
  <c r="VB88" i="178"/>
  <c r="YN80" i="178"/>
  <c r="G14" i="179" s="1"/>
  <c r="YM80" i="178"/>
  <c r="YN81" i="178"/>
  <c r="I14" i="179" s="1"/>
  <c r="YI81" i="178"/>
  <c r="YK81" i="178" s="1"/>
  <c r="YN82" i="178"/>
  <c r="J14" i="179" s="1"/>
  <c r="YK75" i="178"/>
  <c r="YK76" i="178" s="1"/>
  <c r="YJ76" i="178" s="1"/>
  <c r="YM75" i="178"/>
  <c r="YK87" i="178"/>
  <c r="J9" i="177"/>
  <c r="AI22" i="153"/>
  <c r="J89" i="151"/>
  <c r="J91" i="151"/>
  <c r="J86" i="151"/>
  <c r="J92" i="151"/>
  <c r="J87" i="151"/>
  <c r="J88" i="151"/>
  <c r="J90" i="151"/>
  <c r="BV12" i="175"/>
  <c r="BU12" i="175"/>
  <c r="BS12" i="175"/>
  <c r="BR12" i="175"/>
  <c r="BP12" i="175"/>
  <c r="BO12" i="175"/>
  <c r="BM12" i="175"/>
  <c r="BL12" i="175"/>
  <c r="BJ12" i="175"/>
  <c r="BI12" i="175"/>
  <c r="BV6" i="175"/>
  <c r="BU6" i="175"/>
  <c r="BS6" i="175"/>
  <c r="BR6" i="175"/>
  <c r="BP6" i="175"/>
  <c r="BO6" i="175"/>
  <c r="BM6" i="175"/>
  <c r="BL6" i="175"/>
  <c r="BJ6" i="175"/>
  <c r="BI6" i="175"/>
  <c r="BV5" i="175"/>
  <c r="BU5" i="175"/>
  <c r="BS5" i="175"/>
  <c r="BR5" i="175"/>
  <c r="BP5" i="175"/>
  <c r="BO5" i="175"/>
  <c r="BM5" i="175"/>
  <c r="BL5" i="175"/>
  <c r="BJ5" i="175"/>
  <c r="BI5" i="175"/>
  <c r="BV4" i="175"/>
  <c r="BU4" i="175"/>
  <c r="BS4" i="175"/>
  <c r="BR4" i="175"/>
  <c r="BP4" i="175"/>
  <c r="BO4" i="175"/>
  <c r="BM4" i="175"/>
  <c r="BL4" i="175"/>
  <c r="BJ4" i="175"/>
  <c r="BI4" i="175"/>
  <c r="BV3" i="175"/>
  <c r="BU3" i="175"/>
  <c r="BS3" i="175"/>
  <c r="BR3" i="175"/>
  <c r="BP3" i="175"/>
  <c r="BO3" i="175"/>
  <c r="BM3" i="175"/>
  <c r="BL3" i="175"/>
  <c r="BJ3" i="175"/>
  <c r="BI3" i="175"/>
  <c r="YO11" i="178" l="1"/>
  <c r="K11" i="179" s="1"/>
  <c r="XH50" i="178"/>
  <c r="XE51" i="178"/>
  <c r="XG51" i="178" s="1"/>
  <c r="XH51" i="178" s="1"/>
  <c r="XG49" i="178"/>
  <c r="XJ47" i="178"/>
  <c r="XJ46" i="178"/>
  <c r="XI44" i="178"/>
  <c r="XJ44" i="178" s="1"/>
  <c r="XI45" i="178"/>
  <c r="XJ45" i="178"/>
  <c r="WH53" i="178"/>
  <c r="WJ53" i="178"/>
  <c r="WG58" i="178"/>
  <c r="WI58" i="178" s="1"/>
  <c r="WG57" i="178"/>
  <c r="WM14" i="178"/>
  <c r="WK51" i="178"/>
  <c r="WK50" i="178"/>
  <c r="VK61" i="178"/>
  <c r="VL62" i="178"/>
  <c r="VI63" i="178"/>
  <c r="VK63" i="178" s="1"/>
  <c r="VL63" i="178" s="1"/>
  <c r="VN59" i="178"/>
  <c r="VN58" i="178"/>
  <c r="VM56" i="178"/>
  <c r="VN56" i="178" s="1"/>
  <c r="UO60" i="178"/>
  <c r="UP60" i="178" s="1"/>
  <c r="L16" i="180" s="1"/>
  <c r="VM57" i="178"/>
  <c r="VN57" i="178"/>
  <c r="VB93" i="178"/>
  <c r="UP61" i="178"/>
  <c r="UO61" i="178"/>
  <c r="UP63" i="178"/>
  <c r="UP62" i="178"/>
  <c r="C21" i="188"/>
  <c r="G21" i="188"/>
  <c r="I20" i="188"/>
  <c r="J20" i="188" s="1"/>
  <c r="TQ63" i="178"/>
  <c r="TQ62" i="178"/>
  <c r="H17" i="180"/>
  <c r="NQ100" i="178"/>
  <c r="NP105" i="178"/>
  <c r="NM106" i="178"/>
  <c r="NO106" i="178" s="1"/>
  <c r="NP106" i="178" s="1"/>
  <c r="NQ101" i="178"/>
  <c r="NR101" i="178"/>
  <c r="NR103" i="178"/>
  <c r="NR102" i="178"/>
  <c r="NM102" i="178"/>
  <c r="NP95" i="178"/>
  <c r="NQ95" i="178" s="1"/>
  <c r="NM96" i="178"/>
  <c r="WV67" i="178"/>
  <c r="WW67" i="178" s="1"/>
  <c r="WS68" i="178"/>
  <c r="VZ80" i="178"/>
  <c r="VZ86" i="178" s="1"/>
  <c r="VY80" i="178"/>
  <c r="VU81" i="178"/>
  <c r="VW81" i="178" s="1"/>
  <c r="VZ82" i="178"/>
  <c r="VZ81" i="178"/>
  <c r="VX84" i="178"/>
  <c r="VU85" i="178"/>
  <c r="VW85" i="178" s="1"/>
  <c r="VX85" i="178" s="1"/>
  <c r="VW75" i="178"/>
  <c r="VW76" i="178" s="1"/>
  <c r="VV76" i="178" s="1"/>
  <c r="R13" i="180" s="1"/>
  <c r="VY75" i="178"/>
  <c r="VY79" i="178"/>
  <c r="T12" i="180"/>
  <c r="WW70" i="178"/>
  <c r="WW71" i="178"/>
  <c r="WY12" i="178"/>
  <c r="VW87" i="178"/>
  <c r="VU91" i="178" s="1"/>
  <c r="WU77" i="178"/>
  <c r="WT73" i="178"/>
  <c r="WV73" i="178"/>
  <c r="WS80" i="178"/>
  <c r="VA91" i="178"/>
  <c r="UC100" i="178"/>
  <c r="YI77" i="178"/>
  <c r="YL70" i="178"/>
  <c r="YM70" i="178" s="1"/>
  <c r="YI71" i="178"/>
  <c r="TE107" i="178"/>
  <c r="UB105" i="178"/>
  <c r="TY106" i="178"/>
  <c r="UA106" i="178" s="1"/>
  <c r="UB106" i="178" s="1"/>
  <c r="TC103" i="178"/>
  <c r="TC104" i="178" s="1"/>
  <c r="TB104" i="178" s="1"/>
  <c r="TE103" i="178"/>
  <c r="UD101" i="178"/>
  <c r="UC101" i="178"/>
  <c r="UZ94" i="178"/>
  <c r="UX94" i="178"/>
  <c r="UW101" i="178"/>
  <c r="UY98" i="178"/>
  <c r="UZ88" i="178"/>
  <c r="VA88" i="178" s="1"/>
  <c r="UW89" i="178"/>
  <c r="UD102" i="178"/>
  <c r="UD103" i="178"/>
  <c r="TY102" i="178"/>
  <c r="UA102" i="178" s="1"/>
  <c r="UA96" i="178"/>
  <c r="UA97" i="178" s="1"/>
  <c r="TZ97" i="178" s="1"/>
  <c r="UC96" i="178"/>
  <c r="VA92" i="178"/>
  <c r="VC15" i="178"/>
  <c r="YI94" i="178"/>
  <c r="YJ87" i="178"/>
  <c r="YL87" i="178"/>
  <c r="YL81" i="178"/>
  <c r="YM81" i="178" s="1"/>
  <c r="YI82" i="178"/>
  <c r="L10" i="177"/>
  <c r="BJ13" i="175"/>
  <c r="BP13" i="175"/>
  <c r="BV13" i="175"/>
  <c r="BU13" i="175"/>
  <c r="BS13" i="175"/>
  <c r="BO13" i="175"/>
  <c r="BL13" i="175"/>
  <c r="BR13" i="175"/>
  <c r="BI13" i="175"/>
  <c r="BT12" i="175"/>
  <c r="BQ6" i="175"/>
  <c r="BW6" i="175"/>
  <c r="BT5" i="175"/>
  <c r="BK6" i="175"/>
  <c r="BN12" i="175"/>
  <c r="BQ5" i="175"/>
  <c r="BW5" i="175"/>
  <c r="BT6" i="175"/>
  <c r="BK12" i="175"/>
  <c r="BW12" i="175"/>
  <c r="BQ4" i="175"/>
  <c r="BW4" i="175"/>
  <c r="BK5" i="175"/>
  <c r="BT4" i="175"/>
  <c r="BQ3" i="175"/>
  <c r="BQ12" i="175"/>
  <c r="BN4" i="175"/>
  <c r="BN3" i="175"/>
  <c r="BX4" i="175"/>
  <c r="BN6" i="175"/>
  <c r="BN5" i="175"/>
  <c r="BX6" i="175"/>
  <c r="BK4" i="175"/>
  <c r="BX5" i="175"/>
  <c r="BX12" i="175"/>
  <c r="BW3" i="175"/>
  <c r="BK3" i="175"/>
  <c r="BT3" i="175"/>
  <c r="BX3" i="175"/>
  <c r="BM13" i="175"/>
  <c r="VA93" i="178" l="1"/>
  <c r="O15" i="180"/>
  <c r="UD107" i="178"/>
  <c r="K17" i="180"/>
  <c r="XF49" i="178"/>
  <c r="XH49" i="178"/>
  <c r="XE53" i="178"/>
  <c r="XE54" i="178"/>
  <c r="XG54" i="178" s="1"/>
  <c r="XI47" i="178"/>
  <c r="XI46" i="178"/>
  <c r="XK13" i="178"/>
  <c r="WK52" i="178"/>
  <c r="WL52" i="178" s="1"/>
  <c r="WI57" i="178"/>
  <c r="WJ58" i="178"/>
  <c r="WG59" i="178"/>
  <c r="WI59" i="178" s="1"/>
  <c r="WJ59" i="178" s="1"/>
  <c r="WK53" i="178"/>
  <c r="WL53" i="178"/>
  <c r="WL55" i="178"/>
  <c r="WL54" i="178"/>
  <c r="VM59" i="178"/>
  <c r="VO16" i="178"/>
  <c r="VM58" i="178"/>
  <c r="VJ61" i="178"/>
  <c r="VL61" i="178"/>
  <c r="UO62" i="178"/>
  <c r="UQ17" i="178"/>
  <c r="UO63" i="178"/>
  <c r="H21" i="188"/>
  <c r="B22" i="188"/>
  <c r="D21" i="188"/>
  <c r="E21" i="188" s="1"/>
  <c r="TQ64" i="178"/>
  <c r="TR64" i="178" s="1"/>
  <c r="I17" i="180" s="1"/>
  <c r="NO102" i="178"/>
  <c r="NQ106" i="178"/>
  <c r="NQ105" i="178"/>
  <c r="NS17" i="178"/>
  <c r="NT17" i="178" s="1"/>
  <c r="NO96" i="178"/>
  <c r="NO97" i="178" s="1"/>
  <c r="NN97" i="178" s="1"/>
  <c r="NR100" i="178" s="1"/>
  <c r="NQ96" i="178"/>
  <c r="UE17" i="178"/>
  <c r="VY84" i="178"/>
  <c r="WW72" i="178"/>
  <c r="WV77" i="178"/>
  <c r="WS78" i="178"/>
  <c r="WU78" i="178" s="1"/>
  <c r="WV78" i="178" s="1"/>
  <c r="WU80" i="178"/>
  <c r="WS84" i="178" s="1"/>
  <c r="Q14" i="180"/>
  <c r="VY85" i="178"/>
  <c r="WA14" i="178"/>
  <c r="WX73" i="178"/>
  <c r="WX79" i="178" s="1"/>
  <c r="WW73" i="178"/>
  <c r="WU68" i="178"/>
  <c r="WU69" i="178" s="1"/>
  <c r="WT69" i="178" s="1"/>
  <c r="U12" i="180" s="1"/>
  <c r="WW68" i="178"/>
  <c r="WS74" i="178"/>
  <c r="WU74" i="178" s="1"/>
  <c r="WX74" i="178"/>
  <c r="WX75" i="178"/>
  <c r="VX87" i="178"/>
  <c r="VV87" i="178"/>
  <c r="VU94" i="178"/>
  <c r="VW91" i="178"/>
  <c r="VX81" i="178"/>
  <c r="VY81" i="178" s="1"/>
  <c r="VU82" i="178"/>
  <c r="YK71" i="178"/>
  <c r="YL71" i="178" s="1"/>
  <c r="YM71" i="178" s="1"/>
  <c r="YM72" i="178" s="1"/>
  <c r="YN72" i="178" s="1"/>
  <c r="H12" i="179" s="1"/>
  <c r="YK77" i="178"/>
  <c r="UY101" i="178"/>
  <c r="UW105" i="178" s="1"/>
  <c r="UC106" i="178"/>
  <c r="UY89" i="178"/>
  <c r="UY90" i="178" s="1"/>
  <c r="UX90" i="178" s="1"/>
  <c r="VA89" i="178"/>
  <c r="UW95" i="178"/>
  <c r="UY95" i="178" s="1"/>
  <c r="VB95" i="178"/>
  <c r="VB96" i="178"/>
  <c r="UC105" i="178"/>
  <c r="UB102" i="178"/>
  <c r="UC102" i="178" s="1"/>
  <c r="TY103" i="178"/>
  <c r="VA94" i="178"/>
  <c r="VB94" i="178"/>
  <c r="N16" i="180" s="1"/>
  <c r="UZ98" i="178"/>
  <c r="UW99" i="178"/>
  <c r="UY99" i="178" s="1"/>
  <c r="UZ99" i="178" s="1"/>
  <c r="YK82" i="178"/>
  <c r="YK83" i="178" s="1"/>
  <c r="YJ83" i="178" s="1"/>
  <c r="YM82" i="178"/>
  <c r="YK94" i="178"/>
  <c r="YM87" i="178"/>
  <c r="YN87" i="178"/>
  <c r="G15" i="179" s="1"/>
  <c r="YI88" i="178"/>
  <c r="YK88" i="178" s="1"/>
  <c r="YN89" i="178"/>
  <c r="J15" i="179" s="1"/>
  <c r="YN88" i="178"/>
  <c r="I15" i="179" s="1"/>
  <c r="YO14" i="178"/>
  <c r="K14" i="179" s="1"/>
  <c r="J11" i="177"/>
  <c r="BP14" i="175"/>
  <c r="BK13" i="175"/>
  <c r="BV14" i="175"/>
  <c r="BW13" i="175"/>
  <c r="BT13" i="175"/>
  <c r="BJ14" i="175"/>
  <c r="BQ13" i="175"/>
  <c r="BM14" i="175"/>
  <c r="BS14" i="175"/>
  <c r="BX14" i="175"/>
  <c r="BX13" i="175"/>
  <c r="BN13" i="175"/>
  <c r="YO12" i="178" l="1"/>
  <c r="K12" i="179" s="1"/>
  <c r="VM60" i="178"/>
  <c r="VN60" i="178" s="1"/>
  <c r="XI48" i="178"/>
  <c r="XJ48" i="178" s="1"/>
  <c r="XH54" i="178"/>
  <c r="XE55" i="178"/>
  <c r="XG55" i="178" s="1"/>
  <c r="XH55" i="178" s="1"/>
  <c r="XG53" i="178"/>
  <c r="XJ49" i="178"/>
  <c r="XI49" i="178"/>
  <c r="XJ51" i="178"/>
  <c r="XJ50" i="178"/>
  <c r="WK54" i="178"/>
  <c r="WM15" i="178"/>
  <c r="WK55" i="178"/>
  <c r="WJ57" i="178"/>
  <c r="WH57" i="178"/>
  <c r="WG62" i="178"/>
  <c r="WI62" i="178" s="1"/>
  <c r="WG61" i="178"/>
  <c r="VN61" i="178"/>
  <c r="VM61" i="178"/>
  <c r="VN62" i="178"/>
  <c r="VN63" i="178"/>
  <c r="VB100" i="178"/>
  <c r="UO64" i="178"/>
  <c r="UP64" i="178" s="1"/>
  <c r="L17" i="180" s="1"/>
  <c r="C22" i="188"/>
  <c r="G22" i="188"/>
  <c r="I21" i="188"/>
  <c r="J21" i="188" s="1"/>
  <c r="NQ107" i="178"/>
  <c r="NP102" i="178"/>
  <c r="NQ102" i="178" s="1"/>
  <c r="NM103" i="178"/>
  <c r="VY86" i="178"/>
  <c r="VX91" i="178"/>
  <c r="VU92" i="178"/>
  <c r="VW92" i="178" s="1"/>
  <c r="VX92" i="178" s="1"/>
  <c r="WT80" i="178"/>
  <c r="WV80" i="178"/>
  <c r="WS87" i="178"/>
  <c r="WU84" i="178"/>
  <c r="VY87" i="178"/>
  <c r="VZ87" i="178"/>
  <c r="VZ93" i="178" s="1"/>
  <c r="VW94" i="178"/>
  <c r="VU98" i="178" s="1"/>
  <c r="VW82" i="178"/>
  <c r="VW83" i="178" s="1"/>
  <c r="VV83" i="178" s="1"/>
  <c r="R14" i="180" s="1"/>
  <c r="VY82" i="178"/>
  <c r="VZ89" i="178"/>
  <c r="VZ88" i="178"/>
  <c r="VU88" i="178"/>
  <c r="VW88" i="178" s="1"/>
  <c r="WV74" i="178"/>
  <c r="WW74" i="178" s="1"/>
  <c r="WS75" i="178"/>
  <c r="T13" i="180"/>
  <c r="WW78" i="178"/>
  <c r="WW77" i="178"/>
  <c r="WY13" i="178"/>
  <c r="YL77" i="178"/>
  <c r="YM77" i="178" s="1"/>
  <c r="YI78" i="178"/>
  <c r="YN86" i="178"/>
  <c r="H14" i="179" s="1"/>
  <c r="YI84" i="178"/>
  <c r="UA103" i="178"/>
  <c r="UA104" i="178" s="1"/>
  <c r="TZ104" i="178" s="1"/>
  <c r="UC103" i="178"/>
  <c r="UZ101" i="178"/>
  <c r="UX101" i="178"/>
  <c r="UY105" i="178"/>
  <c r="UC107" i="178"/>
  <c r="VA98" i="178"/>
  <c r="VA99" i="178"/>
  <c r="VC16" i="178"/>
  <c r="UZ95" i="178"/>
  <c r="VA95" i="178" s="1"/>
  <c r="UW96" i="178"/>
  <c r="YI101" i="178"/>
  <c r="YL94" i="178"/>
  <c r="YJ94" i="178"/>
  <c r="YL88" i="178"/>
  <c r="YM88" i="178" s="1"/>
  <c r="YI89" i="178"/>
  <c r="J10" i="177"/>
  <c r="BF3" i="175"/>
  <c r="BF12" i="175"/>
  <c r="BE12" i="175"/>
  <c r="BF6" i="175"/>
  <c r="BE6" i="175"/>
  <c r="BF5" i="175"/>
  <c r="BE5" i="175"/>
  <c r="BF4" i="175"/>
  <c r="BE4" i="175"/>
  <c r="BE3" i="175"/>
  <c r="BC12" i="175"/>
  <c r="BB12" i="175"/>
  <c r="BC6" i="175"/>
  <c r="BB6" i="175"/>
  <c r="BC5" i="175"/>
  <c r="BB5" i="175"/>
  <c r="BC4" i="175"/>
  <c r="BB4" i="175"/>
  <c r="BC3" i="175"/>
  <c r="BB3" i="175"/>
  <c r="AZ12" i="175"/>
  <c r="AY12" i="175"/>
  <c r="AZ6" i="175"/>
  <c r="AY6" i="175"/>
  <c r="AZ5" i="175"/>
  <c r="AY5" i="175"/>
  <c r="AZ4" i="175"/>
  <c r="AY4" i="175"/>
  <c r="AZ3" i="175"/>
  <c r="AY3" i="175"/>
  <c r="AW12" i="175"/>
  <c r="AV12" i="175"/>
  <c r="AW6" i="175"/>
  <c r="AV6" i="175"/>
  <c r="AW5" i="175"/>
  <c r="AV5" i="175"/>
  <c r="AW4" i="175"/>
  <c r="AV4" i="175"/>
  <c r="AW3" i="175"/>
  <c r="AV3" i="175"/>
  <c r="AT12" i="175"/>
  <c r="AS12" i="175"/>
  <c r="AT6" i="175"/>
  <c r="AS6" i="175"/>
  <c r="AT5" i="175"/>
  <c r="AS5" i="175"/>
  <c r="AT4" i="175"/>
  <c r="AS4" i="175"/>
  <c r="AT3" i="175"/>
  <c r="AS3" i="175"/>
  <c r="Y8" i="153"/>
  <c r="X3" i="153"/>
  <c r="AB18" i="153"/>
  <c r="AA18" i="153"/>
  <c r="Z18" i="153"/>
  <c r="Y18" i="153"/>
  <c r="X18" i="153"/>
  <c r="AB17" i="153"/>
  <c r="AA17" i="153"/>
  <c r="Z17" i="153"/>
  <c r="Y17" i="153"/>
  <c r="X17" i="153"/>
  <c r="AB15" i="153"/>
  <c r="AA15" i="153"/>
  <c r="Z15" i="153"/>
  <c r="Y15" i="153"/>
  <c r="X15" i="153"/>
  <c r="AB14" i="153"/>
  <c r="AA14" i="153"/>
  <c r="Z14" i="153"/>
  <c r="Y14" i="153"/>
  <c r="X14" i="153"/>
  <c r="AB9" i="153"/>
  <c r="AA9" i="153"/>
  <c r="Z9" i="153"/>
  <c r="Y9" i="153"/>
  <c r="X9" i="153"/>
  <c r="AB8" i="153"/>
  <c r="AA8" i="153"/>
  <c r="Z8" i="153"/>
  <c r="X8" i="153"/>
  <c r="AB6" i="153"/>
  <c r="AA6" i="153"/>
  <c r="Z6" i="153"/>
  <c r="Y6" i="153"/>
  <c r="X6" i="153"/>
  <c r="AB5" i="153"/>
  <c r="AA5" i="153"/>
  <c r="Z5" i="153"/>
  <c r="Y5" i="153"/>
  <c r="X5" i="153"/>
  <c r="AB3" i="153"/>
  <c r="AB2" i="153"/>
  <c r="AA3" i="153"/>
  <c r="Z3" i="153"/>
  <c r="Y3" i="153"/>
  <c r="AA2" i="153"/>
  <c r="Z2" i="153"/>
  <c r="Y2" i="153"/>
  <c r="B76" i="151"/>
  <c r="C76" i="151"/>
  <c r="D76" i="151"/>
  <c r="E76" i="151"/>
  <c r="F76" i="151"/>
  <c r="G76" i="151"/>
  <c r="H76" i="151"/>
  <c r="I76" i="151"/>
  <c r="B77" i="151"/>
  <c r="C77" i="151"/>
  <c r="D77" i="151"/>
  <c r="E77" i="151"/>
  <c r="F77" i="151"/>
  <c r="G77" i="151"/>
  <c r="H77" i="151"/>
  <c r="I77" i="151"/>
  <c r="B78" i="151"/>
  <c r="C78" i="151"/>
  <c r="D78" i="151"/>
  <c r="E78" i="151"/>
  <c r="F78" i="151"/>
  <c r="G78" i="151"/>
  <c r="H78" i="151"/>
  <c r="I78" i="151"/>
  <c r="B79" i="151"/>
  <c r="C79" i="151"/>
  <c r="D79" i="151"/>
  <c r="E79" i="151"/>
  <c r="F79" i="151"/>
  <c r="G79" i="151"/>
  <c r="H79" i="151"/>
  <c r="I79" i="151"/>
  <c r="B80" i="151"/>
  <c r="C80" i="151"/>
  <c r="D80" i="151"/>
  <c r="E80" i="151"/>
  <c r="F80" i="151"/>
  <c r="G80" i="151"/>
  <c r="H80" i="151"/>
  <c r="I80" i="151"/>
  <c r="B81" i="151"/>
  <c r="C81" i="151"/>
  <c r="D81" i="151"/>
  <c r="E81" i="151"/>
  <c r="F81" i="151"/>
  <c r="G81" i="151"/>
  <c r="H81" i="151"/>
  <c r="I81" i="151"/>
  <c r="B82" i="151"/>
  <c r="C82" i="151"/>
  <c r="D82" i="151"/>
  <c r="E82" i="151"/>
  <c r="F82" i="151"/>
  <c r="G82" i="151"/>
  <c r="H82" i="151"/>
  <c r="I82" i="151"/>
  <c r="B83" i="151"/>
  <c r="C83" i="151"/>
  <c r="D83" i="151"/>
  <c r="E83" i="151"/>
  <c r="F83" i="151"/>
  <c r="G83" i="151"/>
  <c r="H83" i="151"/>
  <c r="I83" i="151"/>
  <c r="B84" i="151"/>
  <c r="C84" i="151"/>
  <c r="D84" i="151"/>
  <c r="E84" i="151"/>
  <c r="F84" i="151"/>
  <c r="G84" i="151"/>
  <c r="H84" i="151"/>
  <c r="I84" i="151"/>
  <c r="B85" i="151"/>
  <c r="C85" i="151"/>
  <c r="D85" i="151"/>
  <c r="E85" i="151"/>
  <c r="F85" i="151"/>
  <c r="G85" i="151"/>
  <c r="H85" i="151"/>
  <c r="I85" i="151"/>
  <c r="B74" i="151"/>
  <c r="C74" i="151"/>
  <c r="D74" i="151"/>
  <c r="E74" i="151"/>
  <c r="F74" i="151"/>
  <c r="G74" i="151"/>
  <c r="H74" i="151"/>
  <c r="I74" i="151"/>
  <c r="B75" i="151"/>
  <c r="C75" i="151"/>
  <c r="D75" i="151"/>
  <c r="E75" i="151"/>
  <c r="F75" i="151"/>
  <c r="G75" i="151"/>
  <c r="H75" i="151"/>
  <c r="I75" i="151"/>
  <c r="AP12" i="175"/>
  <c r="AO12" i="175"/>
  <c r="AP6" i="175"/>
  <c r="AO6" i="175"/>
  <c r="AP5" i="175"/>
  <c r="AO5" i="175"/>
  <c r="AP4" i="175"/>
  <c r="AO4" i="175"/>
  <c r="AP3" i="175"/>
  <c r="AO3" i="175"/>
  <c r="AM12" i="175"/>
  <c r="AL12" i="175"/>
  <c r="AM6" i="175"/>
  <c r="AL6" i="175"/>
  <c r="AM5" i="175"/>
  <c r="AL5" i="175"/>
  <c r="AM4" i="175"/>
  <c r="AL4" i="175"/>
  <c r="AM3" i="175"/>
  <c r="AL3" i="175"/>
  <c r="AJ12" i="175"/>
  <c r="AI12" i="175"/>
  <c r="AJ6" i="175"/>
  <c r="AI6" i="175"/>
  <c r="AJ5" i="175"/>
  <c r="AI5" i="175"/>
  <c r="AJ4" i="175"/>
  <c r="AI4" i="175"/>
  <c r="AJ3" i="175"/>
  <c r="AI3" i="175"/>
  <c r="AG12" i="175"/>
  <c r="AF12" i="175"/>
  <c r="AG6" i="175"/>
  <c r="AF6" i="175"/>
  <c r="AG5" i="175"/>
  <c r="AF5" i="175"/>
  <c r="AG4" i="175"/>
  <c r="AF4" i="175"/>
  <c r="AG3" i="175"/>
  <c r="AF3" i="175"/>
  <c r="AC12" i="175"/>
  <c r="AB12" i="175"/>
  <c r="AC6" i="175"/>
  <c r="AB6" i="175"/>
  <c r="AC5" i="175"/>
  <c r="AB5" i="175"/>
  <c r="AC4" i="175"/>
  <c r="AB4" i="175"/>
  <c r="AC3" i="175"/>
  <c r="AB3" i="175"/>
  <c r="Z12" i="175"/>
  <c r="Y12" i="175"/>
  <c r="Z6" i="175"/>
  <c r="Y6" i="175"/>
  <c r="Z5" i="175"/>
  <c r="Y5" i="175"/>
  <c r="Z4" i="175"/>
  <c r="Y4" i="175"/>
  <c r="Z3" i="175"/>
  <c r="Y3" i="175"/>
  <c r="V4" i="175"/>
  <c r="V5" i="175"/>
  <c r="V6" i="175"/>
  <c r="V12" i="175"/>
  <c r="V3" i="175"/>
  <c r="W3" i="175"/>
  <c r="W4" i="175"/>
  <c r="W5" i="175"/>
  <c r="W6" i="175"/>
  <c r="W12" i="175"/>
  <c r="O16" i="180" l="1"/>
  <c r="XH53" i="178"/>
  <c r="XF53" i="178"/>
  <c r="XE57" i="178"/>
  <c r="XE58" i="178"/>
  <c r="XG58" i="178" s="1"/>
  <c r="XI50" i="178"/>
  <c r="XK14" i="178"/>
  <c r="XI51" i="178"/>
  <c r="WI61" i="178"/>
  <c r="WJ62" i="178"/>
  <c r="WG63" i="178"/>
  <c r="WI63" i="178" s="1"/>
  <c r="WJ63" i="178" s="1"/>
  <c r="WL59" i="178"/>
  <c r="WL58" i="178"/>
  <c r="WK56" i="178"/>
  <c r="WL56" i="178" s="1"/>
  <c r="WL57" i="178"/>
  <c r="WK57" i="178"/>
  <c r="VM62" i="178"/>
  <c r="VO17" i="178"/>
  <c r="VM63" i="178"/>
  <c r="H22" i="188"/>
  <c r="D22" i="188"/>
  <c r="E22" i="188" s="1"/>
  <c r="B23" i="188"/>
  <c r="NO103" i="178"/>
  <c r="NO104" i="178" s="1"/>
  <c r="NN104" i="178" s="1"/>
  <c r="NR107" i="178" s="1"/>
  <c r="NQ103" i="178"/>
  <c r="WW79" i="178"/>
  <c r="VX88" i="178"/>
  <c r="VY88" i="178" s="1"/>
  <c r="VU89" i="178"/>
  <c r="WX82" i="178"/>
  <c r="WX81" i="178"/>
  <c r="WS81" i="178"/>
  <c r="WU81" i="178" s="1"/>
  <c r="WX80" i="178"/>
  <c r="WX86" i="178" s="1"/>
  <c r="WW80" i="178"/>
  <c r="VX94" i="178"/>
  <c r="VV94" i="178"/>
  <c r="VU101" i="178"/>
  <c r="VW98" i="178"/>
  <c r="WV84" i="178"/>
  <c r="WS85" i="178"/>
  <c r="WU85" i="178" s="1"/>
  <c r="WV85" i="178" s="1"/>
  <c r="Q15" i="180"/>
  <c r="VY92" i="178"/>
  <c r="WA15" i="178"/>
  <c r="WU75" i="178"/>
  <c r="WU76" i="178" s="1"/>
  <c r="WT76" i="178" s="1"/>
  <c r="U13" i="180" s="1"/>
  <c r="WW75" i="178"/>
  <c r="WU87" i="178"/>
  <c r="WS91" i="178" s="1"/>
  <c r="VY91" i="178"/>
  <c r="YK84" i="178"/>
  <c r="YK78" i="178"/>
  <c r="YL78" i="178" s="1"/>
  <c r="YM78" i="178" s="1"/>
  <c r="YM79" i="178" s="1"/>
  <c r="YN79" i="178" s="1"/>
  <c r="H13" i="179" s="1"/>
  <c r="VA100" i="178"/>
  <c r="UY96" i="178"/>
  <c r="UY97" i="178" s="1"/>
  <c r="UX97" i="178" s="1"/>
  <c r="VA96" i="178"/>
  <c r="VB103" i="178"/>
  <c r="UW102" i="178"/>
  <c r="UY102" i="178" s="1"/>
  <c r="VB102" i="178"/>
  <c r="VB101" i="178"/>
  <c r="VA101" i="178"/>
  <c r="UZ105" i="178"/>
  <c r="UW106" i="178"/>
  <c r="UY106" i="178" s="1"/>
  <c r="UZ106" i="178" s="1"/>
  <c r="YK101" i="178"/>
  <c r="YK89" i="178"/>
  <c r="YK90" i="178" s="1"/>
  <c r="YJ90" i="178" s="1"/>
  <c r="YM89" i="178"/>
  <c r="YI95" i="178"/>
  <c r="YK95" i="178" s="1"/>
  <c r="YN95" i="178"/>
  <c r="I16" i="179" s="1"/>
  <c r="YN96" i="178"/>
  <c r="J16" i="179" s="1"/>
  <c r="YN94" i="178"/>
  <c r="G16" i="179" s="1"/>
  <c r="YM94" i="178"/>
  <c r="YO15" i="178"/>
  <c r="K15" i="179" s="1"/>
  <c r="AE6" i="175"/>
  <c r="AE4" i="175"/>
  <c r="AE12" i="175"/>
  <c r="AE3" i="175"/>
  <c r="AE5" i="175"/>
  <c r="AC15" i="153"/>
  <c r="AC18" i="153"/>
  <c r="Z21" i="153"/>
  <c r="AB21" i="153"/>
  <c r="Z20" i="153"/>
  <c r="AA21" i="153"/>
  <c r="Y21" i="153"/>
  <c r="AR3" i="175"/>
  <c r="AR5" i="175"/>
  <c r="AR12" i="175"/>
  <c r="AR4" i="175"/>
  <c r="AR6" i="175"/>
  <c r="BH3" i="175"/>
  <c r="BH5" i="175"/>
  <c r="BH12" i="175"/>
  <c r="BH4" i="175"/>
  <c r="BH6" i="175"/>
  <c r="AA20" i="153"/>
  <c r="AB20" i="153"/>
  <c r="AN6" i="175"/>
  <c r="AQ3" i="175"/>
  <c r="AQ5" i="175"/>
  <c r="BG6" i="175"/>
  <c r="AQ12" i="175"/>
  <c r="AK3" i="175"/>
  <c r="AK5" i="175"/>
  <c r="AK12" i="175"/>
  <c r="AN4" i="175"/>
  <c r="BB13" i="175"/>
  <c r="AV13" i="175"/>
  <c r="AW13" i="175"/>
  <c r="BC13" i="175"/>
  <c r="BG5" i="175"/>
  <c r="BG12" i="175"/>
  <c r="AX6" i="175"/>
  <c r="BA5" i="175"/>
  <c r="BA12" i="175"/>
  <c r="BD4" i="175"/>
  <c r="BD6" i="175"/>
  <c r="AK4" i="175"/>
  <c r="AK6" i="175"/>
  <c r="AN3" i="175"/>
  <c r="AN5" i="175"/>
  <c r="AN12" i="175"/>
  <c r="AQ4" i="175"/>
  <c r="AQ6" i="175"/>
  <c r="AU4" i="175"/>
  <c r="AU6" i="175"/>
  <c r="AX5" i="175"/>
  <c r="AX12" i="175"/>
  <c r="BA4" i="175"/>
  <c r="BA6" i="175"/>
  <c r="BD5" i="175"/>
  <c r="BD12" i="175"/>
  <c r="BG4" i="175"/>
  <c r="AU5" i="175"/>
  <c r="AU12" i="175"/>
  <c r="AX4" i="175"/>
  <c r="BE13" i="175"/>
  <c r="Z7" i="153"/>
  <c r="AC14" i="153"/>
  <c r="AA16" i="153"/>
  <c r="Y19" i="153"/>
  <c r="AC5" i="153"/>
  <c r="AA7" i="153"/>
  <c r="Z10" i="153"/>
  <c r="X16" i="153"/>
  <c r="AB16" i="153"/>
  <c r="Z19" i="153"/>
  <c r="Y20" i="153"/>
  <c r="X7" i="153"/>
  <c r="AB7" i="153"/>
  <c r="AA10" i="153"/>
  <c r="Y16" i="153"/>
  <c r="AC17" i="153"/>
  <c r="AA19" i="153"/>
  <c r="AS13" i="175"/>
  <c r="AY13" i="175"/>
  <c r="BA3" i="175"/>
  <c r="Y7" i="153"/>
  <c r="X10" i="153"/>
  <c r="AB10" i="153"/>
  <c r="Z16" i="153"/>
  <c r="X19" i="153"/>
  <c r="AB19" i="153"/>
  <c r="X20" i="153"/>
  <c r="AT13" i="175"/>
  <c r="AZ13" i="175"/>
  <c r="AU3" i="175"/>
  <c r="X21" i="153"/>
  <c r="AX3" i="175"/>
  <c r="BG3" i="175"/>
  <c r="BF13" i="175"/>
  <c r="BD3" i="175"/>
  <c r="Y10" i="153"/>
  <c r="AC8" i="153"/>
  <c r="AC9" i="153"/>
  <c r="AC6" i="153"/>
  <c r="AB4" i="153"/>
  <c r="AC2" i="153"/>
  <c r="AC3" i="153"/>
  <c r="X4" i="153"/>
  <c r="Y4" i="153"/>
  <c r="Z4" i="153"/>
  <c r="AA4" i="153"/>
  <c r="J83" i="151"/>
  <c r="J79" i="151"/>
  <c r="J85" i="151"/>
  <c r="J76" i="151"/>
  <c r="J74" i="151"/>
  <c r="J82" i="151"/>
  <c r="J81" i="151"/>
  <c r="J77" i="151"/>
  <c r="J75" i="151"/>
  <c r="J84" i="151"/>
  <c r="J78" i="151"/>
  <c r="J80" i="151"/>
  <c r="AP13" i="175"/>
  <c r="AO13" i="175"/>
  <c r="Y13" i="175"/>
  <c r="AF13" i="175"/>
  <c r="AL13" i="175"/>
  <c r="V13" i="175"/>
  <c r="AC13" i="175"/>
  <c r="AJ13" i="175"/>
  <c r="Z13" i="175"/>
  <c r="AG13" i="175"/>
  <c r="AM13" i="175"/>
  <c r="W13" i="175"/>
  <c r="AB13" i="175"/>
  <c r="AI13" i="175"/>
  <c r="AA3" i="175"/>
  <c r="AA5" i="175"/>
  <c r="AA12" i="175"/>
  <c r="AD4" i="175"/>
  <c r="AD6" i="175"/>
  <c r="AH3" i="175"/>
  <c r="AH5" i="175"/>
  <c r="AH12" i="175"/>
  <c r="AA4" i="175"/>
  <c r="AA6" i="175"/>
  <c r="AD3" i="175"/>
  <c r="AD5" i="175"/>
  <c r="AH4" i="175"/>
  <c r="AH6" i="175"/>
  <c r="X12" i="175"/>
  <c r="X6" i="175"/>
  <c r="X5" i="175"/>
  <c r="X3" i="175"/>
  <c r="X4" i="175"/>
  <c r="AD12" i="175"/>
  <c r="YO13" i="178" l="1"/>
  <c r="K13" i="179" s="1"/>
  <c r="VB107" i="178"/>
  <c r="N17" i="180"/>
  <c r="XH58" i="178"/>
  <c r="XE59" i="178"/>
  <c r="XG59" i="178" s="1"/>
  <c r="XH59" i="178" s="1"/>
  <c r="XG57" i="178"/>
  <c r="XI52" i="178"/>
  <c r="XJ52" i="178" s="1"/>
  <c r="XJ55" i="178"/>
  <c r="XJ54" i="178"/>
  <c r="XJ53" i="178"/>
  <c r="XI53" i="178"/>
  <c r="WK58" i="178"/>
  <c r="WK59" i="178"/>
  <c r="WM16" i="178"/>
  <c r="WH61" i="178"/>
  <c r="WJ61" i="178"/>
  <c r="VM64" i="178"/>
  <c r="VN64" i="178" s="1"/>
  <c r="C23" i="188"/>
  <c r="G23" i="188"/>
  <c r="I22" i="188"/>
  <c r="J22" i="188" s="1"/>
  <c r="VC17" i="178"/>
  <c r="WW84" i="178"/>
  <c r="VZ94" i="178"/>
  <c r="VZ100" i="178" s="1"/>
  <c r="VY94" i="178"/>
  <c r="WV87" i="178"/>
  <c r="WT87" i="178"/>
  <c r="WS94" i="178"/>
  <c r="WU91" i="178"/>
  <c r="VY93" i="178"/>
  <c r="VX98" i="178"/>
  <c r="VU99" i="178"/>
  <c r="VW99" i="178" s="1"/>
  <c r="VX99" i="178" s="1"/>
  <c r="VW101" i="178"/>
  <c r="VU105" i="178" s="1"/>
  <c r="T14" i="180"/>
  <c r="WW85" i="178"/>
  <c r="WY14" i="178"/>
  <c r="VW89" i="178"/>
  <c r="VW90" i="178" s="1"/>
  <c r="VV90" i="178" s="1"/>
  <c r="R15" i="180" s="1"/>
  <c r="VY89" i="178"/>
  <c r="VZ96" i="178"/>
  <c r="VU95" i="178"/>
  <c r="VW95" i="178" s="1"/>
  <c r="VZ95" i="178"/>
  <c r="WV81" i="178"/>
  <c r="WW81" i="178" s="1"/>
  <c r="WS82" i="178"/>
  <c r="YL84" i="178"/>
  <c r="YM84" i="178" s="1"/>
  <c r="YI85" i="178"/>
  <c r="YN93" i="178"/>
  <c r="H15" i="179" s="1"/>
  <c r="YI91" i="178"/>
  <c r="UZ102" i="178"/>
  <c r="VA102" i="178" s="1"/>
  <c r="UW103" i="178"/>
  <c r="VA105" i="178"/>
  <c r="VA106" i="178"/>
  <c r="YL101" i="178"/>
  <c r="YJ101" i="178"/>
  <c r="YL95" i="178"/>
  <c r="YM95" i="178" s="1"/>
  <c r="YI96" i="178"/>
  <c r="AE13" i="175"/>
  <c r="AC21" i="153"/>
  <c r="AC20" i="153"/>
  <c r="BH14" i="175"/>
  <c r="Z22" i="153"/>
  <c r="AB22" i="153"/>
  <c r="AC19" i="153"/>
  <c r="BF14" i="175"/>
  <c r="AA22" i="153"/>
  <c r="BC14" i="175"/>
  <c r="X22" i="153"/>
  <c r="AR13" i="175"/>
  <c r="AT14" i="175"/>
  <c r="AZ14" i="175"/>
  <c r="BH13" i="175"/>
  <c r="AW14" i="175"/>
  <c r="AG14" i="175"/>
  <c r="AP14" i="175"/>
  <c r="AM14" i="175"/>
  <c r="AJ14" i="175"/>
  <c r="AX13" i="175"/>
  <c r="AK13" i="175"/>
  <c r="AC7" i="153"/>
  <c r="BA13" i="175"/>
  <c r="BG13" i="175"/>
  <c r="BD13" i="175"/>
  <c r="AC16" i="153"/>
  <c r="AQ13" i="175"/>
  <c r="Y22" i="153"/>
  <c r="AN13" i="175"/>
  <c r="AU13" i="175"/>
  <c r="AC10" i="153"/>
  <c r="AC4" i="153"/>
  <c r="AH13" i="175"/>
  <c r="AA13" i="175"/>
  <c r="X13" i="175"/>
  <c r="AD13" i="175"/>
  <c r="AA1680" i="5"/>
  <c r="AA1681" i="5"/>
  <c r="AA1682" i="5"/>
  <c r="AA1683" i="5"/>
  <c r="AA1684" i="5"/>
  <c r="AA1685" i="5"/>
  <c r="AA1686" i="5"/>
  <c r="AA1687" i="5"/>
  <c r="AA1688" i="5"/>
  <c r="AA1689" i="5"/>
  <c r="AA1690" i="5"/>
  <c r="AA1691" i="5"/>
  <c r="AA1692" i="5"/>
  <c r="AA1693" i="5"/>
  <c r="AA1694" i="5"/>
  <c r="AA1695" i="5"/>
  <c r="AA1696" i="5"/>
  <c r="AA1697" i="5"/>
  <c r="AA1698" i="5"/>
  <c r="AA1699" i="5"/>
  <c r="AA1700" i="5"/>
  <c r="AA1701" i="5"/>
  <c r="AA1702" i="5"/>
  <c r="AA1703" i="5"/>
  <c r="AA1704" i="5"/>
  <c r="AA1705" i="5"/>
  <c r="AA1706" i="5"/>
  <c r="AA1707" i="5"/>
  <c r="AA1708" i="5"/>
  <c r="AA1709" i="5"/>
  <c r="AA1710" i="5"/>
  <c r="AA1711" i="5"/>
  <c r="AA1712" i="5"/>
  <c r="AA1713" i="5"/>
  <c r="AA1714" i="5"/>
  <c r="AA1715" i="5"/>
  <c r="AA1716" i="5"/>
  <c r="AA1717" i="5"/>
  <c r="AA1718" i="5"/>
  <c r="AA1719" i="5"/>
  <c r="AA1720" i="5"/>
  <c r="AA1721" i="5"/>
  <c r="AA1722" i="5"/>
  <c r="AA1723" i="5"/>
  <c r="AA1724" i="5"/>
  <c r="AA1725" i="5"/>
  <c r="AA1726" i="5"/>
  <c r="AA1727" i="5"/>
  <c r="AA1728" i="5"/>
  <c r="AA1729" i="5"/>
  <c r="AA1730" i="5"/>
  <c r="AA1731" i="5"/>
  <c r="AA1732" i="5"/>
  <c r="AA1733" i="5"/>
  <c r="AA1734" i="5"/>
  <c r="AA1735" i="5"/>
  <c r="AA1736" i="5"/>
  <c r="AA1737" i="5"/>
  <c r="AA1738" i="5"/>
  <c r="AA1739" i="5"/>
  <c r="AA1740" i="5"/>
  <c r="AA1741" i="5"/>
  <c r="AA1742" i="5"/>
  <c r="AA1743" i="5"/>
  <c r="AA1744" i="5"/>
  <c r="AA1745" i="5"/>
  <c r="AA1746" i="5"/>
  <c r="AA1747" i="5"/>
  <c r="AA1748" i="5"/>
  <c r="AA1749" i="5"/>
  <c r="AA1750" i="5"/>
  <c r="AA1751" i="5"/>
  <c r="AA1752" i="5"/>
  <c r="AA1753" i="5"/>
  <c r="AA1754" i="5"/>
  <c r="AA1755" i="5"/>
  <c r="AA1756" i="5"/>
  <c r="AA1757" i="5"/>
  <c r="AA1758" i="5"/>
  <c r="AA1759" i="5"/>
  <c r="AA1760" i="5"/>
  <c r="AA1761" i="5"/>
  <c r="AA1762" i="5"/>
  <c r="AA1763" i="5"/>
  <c r="AA1764" i="5"/>
  <c r="AA1765" i="5"/>
  <c r="AA1766" i="5"/>
  <c r="AA1767" i="5"/>
  <c r="AA1768" i="5"/>
  <c r="AA1769" i="5"/>
  <c r="AA1770" i="5"/>
  <c r="AA1771" i="5"/>
  <c r="AA1772" i="5"/>
  <c r="AA1773" i="5"/>
  <c r="AA1774" i="5"/>
  <c r="AA1775" i="5"/>
  <c r="AA1776" i="5"/>
  <c r="AA1777" i="5"/>
  <c r="AA1778" i="5"/>
  <c r="AA1779" i="5"/>
  <c r="AA1780" i="5"/>
  <c r="AA1781" i="5"/>
  <c r="AA1782" i="5"/>
  <c r="AA1783" i="5"/>
  <c r="AA1784" i="5"/>
  <c r="AA1785" i="5"/>
  <c r="AA1786" i="5"/>
  <c r="AA1787" i="5"/>
  <c r="AA1788" i="5"/>
  <c r="AA1789" i="5"/>
  <c r="AA1790" i="5"/>
  <c r="AA1791" i="5"/>
  <c r="AA1792" i="5"/>
  <c r="AA1793" i="5"/>
  <c r="AA1794" i="5"/>
  <c r="AA1795" i="5"/>
  <c r="C41" i="169" s="1"/>
  <c r="D41" i="169" s="1"/>
  <c r="E41" i="169" s="1"/>
  <c r="F41" i="169" s="1"/>
  <c r="AA1796" i="5"/>
  <c r="AA1797" i="5"/>
  <c r="AA1798" i="5"/>
  <c r="AA1799" i="5"/>
  <c r="AA1800" i="5"/>
  <c r="AA1801" i="5"/>
  <c r="AA1802" i="5"/>
  <c r="AA1803" i="5"/>
  <c r="AA1804" i="5"/>
  <c r="AA1805" i="5"/>
  <c r="AA1806" i="5"/>
  <c r="AA1807" i="5"/>
  <c r="AA1808" i="5"/>
  <c r="AA1809" i="5"/>
  <c r="AA1810" i="5"/>
  <c r="AA1811" i="5"/>
  <c r="AA1812" i="5"/>
  <c r="AA1813" i="5"/>
  <c r="AA1814" i="5"/>
  <c r="AA1815" i="5"/>
  <c r="AA1816" i="5"/>
  <c r="AA1817" i="5"/>
  <c r="AA1818" i="5"/>
  <c r="AA1819" i="5"/>
  <c r="AA1820" i="5"/>
  <c r="AA1821" i="5"/>
  <c r="AA1822" i="5"/>
  <c r="AA1823" i="5"/>
  <c r="AA1824" i="5"/>
  <c r="AA1825" i="5"/>
  <c r="AA1826" i="5"/>
  <c r="AA1827" i="5"/>
  <c r="AA1828" i="5"/>
  <c r="AA1829" i="5"/>
  <c r="AA1830" i="5"/>
  <c r="AA1831" i="5"/>
  <c r="AA1832" i="5"/>
  <c r="AA1833" i="5"/>
  <c r="AA1834" i="5"/>
  <c r="AA1835" i="5"/>
  <c r="AA1836" i="5"/>
  <c r="AA1837" i="5"/>
  <c r="AA1838" i="5"/>
  <c r="AA1839" i="5"/>
  <c r="AA1840" i="5"/>
  <c r="AA1841" i="5"/>
  <c r="AA1842" i="5"/>
  <c r="AA1843" i="5"/>
  <c r="AA1844" i="5"/>
  <c r="AA1845" i="5"/>
  <c r="AA1846" i="5"/>
  <c r="AA1847" i="5"/>
  <c r="AA1848" i="5"/>
  <c r="AA1849" i="5"/>
  <c r="AA1850" i="5"/>
  <c r="AA1851" i="5"/>
  <c r="AA1852" i="5"/>
  <c r="AA1853" i="5"/>
  <c r="AA1854" i="5"/>
  <c r="AA1855" i="5"/>
  <c r="AA1856" i="5"/>
  <c r="AA1857" i="5"/>
  <c r="AA1858" i="5"/>
  <c r="AA1859" i="5"/>
  <c r="AA1860" i="5"/>
  <c r="AA1861" i="5"/>
  <c r="AA1862" i="5"/>
  <c r="AA1863" i="5"/>
  <c r="AA1864" i="5"/>
  <c r="AA1865" i="5"/>
  <c r="AA1866" i="5"/>
  <c r="AA1867" i="5"/>
  <c r="AA1868" i="5"/>
  <c r="AA1869" i="5"/>
  <c r="AA1870" i="5"/>
  <c r="AA1871" i="5"/>
  <c r="AA1872" i="5"/>
  <c r="AA1873" i="5"/>
  <c r="AA1874" i="5"/>
  <c r="AA1875" i="5"/>
  <c r="AA1876" i="5"/>
  <c r="AA1877" i="5"/>
  <c r="AA1878" i="5"/>
  <c r="AA1879" i="5"/>
  <c r="AA1880" i="5"/>
  <c r="AA1881" i="5"/>
  <c r="AA1882" i="5"/>
  <c r="AA1883" i="5"/>
  <c r="AA1884" i="5"/>
  <c r="AA1885" i="5"/>
  <c r="AA1886" i="5"/>
  <c r="AA1887" i="5"/>
  <c r="AA1888" i="5"/>
  <c r="AA1889" i="5"/>
  <c r="AA1890" i="5"/>
  <c r="AA1891" i="5"/>
  <c r="AA1892" i="5"/>
  <c r="AA1893" i="5"/>
  <c r="AA1894" i="5"/>
  <c r="AA1895" i="5"/>
  <c r="AA1896" i="5"/>
  <c r="C58" i="169" s="1"/>
  <c r="AA1897" i="5"/>
  <c r="AA1898" i="5"/>
  <c r="AA1899" i="5"/>
  <c r="AA1900" i="5"/>
  <c r="AA1901" i="5"/>
  <c r="AA1902" i="5"/>
  <c r="AA1903" i="5"/>
  <c r="AA1904" i="5"/>
  <c r="AA1905" i="5"/>
  <c r="AA1906" i="5"/>
  <c r="AA1907" i="5"/>
  <c r="C40" i="169" s="1"/>
  <c r="AA1908" i="5"/>
  <c r="AA1909" i="5"/>
  <c r="AA1910" i="5"/>
  <c r="AA1911" i="5"/>
  <c r="C37" i="169" s="1"/>
  <c r="D37" i="169" s="1"/>
  <c r="E37" i="169" s="1"/>
  <c r="F37" i="169" s="1"/>
  <c r="AA1912" i="5"/>
  <c r="C39" i="169" s="1"/>
  <c r="D39" i="169" s="1"/>
  <c r="E39" i="169" s="1"/>
  <c r="F39" i="169" s="1"/>
  <c r="AA1913" i="5"/>
  <c r="AA1914" i="5"/>
  <c r="AA1915" i="5"/>
  <c r="J1680" i="5"/>
  <c r="R1680" i="5"/>
  <c r="J1681" i="5"/>
  <c r="R1681" i="5"/>
  <c r="J1682" i="5"/>
  <c r="R1682" i="5"/>
  <c r="J1683" i="5"/>
  <c r="R1683" i="5"/>
  <c r="J1684" i="5"/>
  <c r="R1684" i="5"/>
  <c r="J1685" i="5"/>
  <c r="R1685" i="5"/>
  <c r="J1686" i="5"/>
  <c r="R1686" i="5"/>
  <c r="J1687" i="5"/>
  <c r="R1687" i="5"/>
  <c r="J1688" i="5"/>
  <c r="R1688" i="5"/>
  <c r="J1689" i="5"/>
  <c r="R1689" i="5"/>
  <c r="J1690" i="5"/>
  <c r="R1690" i="5"/>
  <c r="J1691" i="5"/>
  <c r="R1691" i="5"/>
  <c r="J1692" i="5"/>
  <c r="R1692" i="5"/>
  <c r="J1693" i="5"/>
  <c r="R1693" i="5"/>
  <c r="J1694" i="5"/>
  <c r="R1694" i="5"/>
  <c r="J1695" i="5"/>
  <c r="R1695" i="5"/>
  <c r="J1696" i="5"/>
  <c r="R1696" i="5"/>
  <c r="J1697" i="5"/>
  <c r="R1697" i="5"/>
  <c r="J1698" i="5"/>
  <c r="R1698" i="5"/>
  <c r="J1699" i="5"/>
  <c r="R1699" i="5"/>
  <c r="J1700" i="5"/>
  <c r="R1700" i="5"/>
  <c r="J1701" i="5"/>
  <c r="R1701" i="5"/>
  <c r="J1702" i="5"/>
  <c r="R1702" i="5"/>
  <c r="J1703" i="5"/>
  <c r="R1703" i="5"/>
  <c r="J1704" i="5"/>
  <c r="R1704" i="5"/>
  <c r="J1705" i="5"/>
  <c r="R1705" i="5"/>
  <c r="J1706" i="5"/>
  <c r="R1706" i="5"/>
  <c r="J1707" i="5"/>
  <c r="R1707" i="5"/>
  <c r="J1708" i="5"/>
  <c r="R1708" i="5"/>
  <c r="J1709" i="5"/>
  <c r="R1709" i="5"/>
  <c r="J1710" i="5"/>
  <c r="R1710" i="5"/>
  <c r="J1711" i="5"/>
  <c r="R1711" i="5"/>
  <c r="J1712" i="5"/>
  <c r="R1712" i="5"/>
  <c r="J1713" i="5"/>
  <c r="R1713" i="5"/>
  <c r="J1714" i="5"/>
  <c r="R1714" i="5"/>
  <c r="J1715" i="5"/>
  <c r="R1715" i="5"/>
  <c r="J1716" i="5"/>
  <c r="R1716" i="5"/>
  <c r="J1717" i="5"/>
  <c r="R1717" i="5"/>
  <c r="J1718" i="5"/>
  <c r="R1718" i="5"/>
  <c r="J1719" i="5"/>
  <c r="R1719" i="5"/>
  <c r="J1720" i="5"/>
  <c r="R1720" i="5"/>
  <c r="J1721" i="5"/>
  <c r="R1721" i="5"/>
  <c r="J1722" i="5"/>
  <c r="R1722" i="5"/>
  <c r="J1723" i="5"/>
  <c r="R1723" i="5"/>
  <c r="J1724" i="5"/>
  <c r="R1724" i="5"/>
  <c r="J1725" i="5"/>
  <c r="R1725" i="5"/>
  <c r="J1726" i="5"/>
  <c r="R1726" i="5"/>
  <c r="J1727" i="5"/>
  <c r="R1727" i="5"/>
  <c r="J1728" i="5"/>
  <c r="R1728" i="5"/>
  <c r="J1729" i="5"/>
  <c r="R1729" i="5"/>
  <c r="J1730" i="5"/>
  <c r="R1730" i="5"/>
  <c r="J1731" i="5"/>
  <c r="R1731" i="5"/>
  <c r="J1732" i="5"/>
  <c r="R1732" i="5"/>
  <c r="J1733" i="5"/>
  <c r="R1733" i="5"/>
  <c r="J1734" i="5"/>
  <c r="R1734" i="5"/>
  <c r="J1735" i="5"/>
  <c r="R1735" i="5"/>
  <c r="J1736" i="5"/>
  <c r="R1736" i="5"/>
  <c r="J1737" i="5"/>
  <c r="R1737" i="5"/>
  <c r="J1738" i="5"/>
  <c r="R1738" i="5"/>
  <c r="J1739" i="5"/>
  <c r="R1739" i="5"/>
  <c r="J1740" i="5"/>
  <c r="R1740" i="5"/>
  <c r="J1741" i="5"/>
  <c r="R1741" i="5"/>
  <c r="J1742" i="5"/>
  <c r="R1742" i="5"/>
  <c r="J1743" i="5"/>
  <c r="R1743" i="5"/>
  <c r="J1744" i="5"/>
  <c r="R1744" i="5"/>
  <c r="J1745" i="5"/>
  <c r="R1745" i="5"/>
  <c r="J1746" i="5"/>
  <c r="R1746" i="5"/>
  <c r="J1747" i="5"/>
  <c r="R1747" i="5"/>
  <c r="J1748" i="5"/>
  <c r="R1748" i="5"/>
  <c r="J1749" i="5"/>
  <c r="R1749" i="5"/>
  <c r="J1750" i="5"/>
  <c r="R1750" i="5"/>
  <c r="J1751" i="5"/>
  <c r="R1751" i="5"/>
  <c r="J1752" i="5"/>
  <c r="R1752" i="5"/>
  <c r="J1753" i="5"/>
  <c r="R1753" i="5"/>
  <c r="J1754" i="5"/>
  <c r="R1754" i="5"/>
  <c r="J1755" i="5"/>
  <c r="R1755" i="5"/>
  <c r="J1756" i="5"/>
  <c r="R1756" i="5"/>
  <c r="J1757" i="5"/>
  <c r="R1757" i="5"/>
  <c r="J1758" i="5"/>
  <c r="R1758" i="5"/>
  <c r="J1759" i="5"/>
  <c r="R1759" i="5"/>
  <c r="J1760" i="5"/>
  <c r="R1760" i="5"/>
  <c r="J1761" i="5"/>
  <c r="R1761" i="5"/>
  <c r="J1762" i="5"/>
  <c r="R1762" i="5"/>
  <c r="J1763" i="5"/>
  <c r="R1763" i="5"/>
  <c r="J1764" i="5"/>
  <c r="R1764" i="5"/>
  <c r="J1765" i="5"/>
  <c r="R1765" i="5"/>
  <c r="J1766" i="5"/>
  <c r="R1766" i="5"/>
  <c r="J1767" i="5"/>
  <c r="R1767" i="5"/>
  <c r="J1768" i="5"/>
  <c r="R1768" i="5"/>
  <c r="J1769" i="5"/>
  <c r="R1769" i="5"/>
  <c r="J1770" i="5"/>
  <c r="R1770" i="5"/>
  <c r="J1771" i="5"/>
  <c r="R1771" i="5"/>
  <c r="J1772" i="5"/>
  <c r="R1772" i="5"/>
  <c r="J1773" i="5"/>
  <c r="R1773" i="5"/>
  <c r="J1774" i="5"/>
  <c r="R1774" i="5"/>
  <c r="J1775" i="5"/>
  <c r="R1775" i="5"/>
  <c r="J1776" i="5"/>
  <c r="R1776" i="5"/>
  <c r="J1777" i="5"/>
  <c r="R1777" i="5"/>
  <c r="J1778" i="5"/>
  <c r="R1778" i="5"/>
  <c r="J1779" i="5"/>
  <c r="R1779" i="5"/>
  <c r="J1780" i="5"/>
  <c r="R1780" i="5"/>
  <c r="J1781" i="5"/>
  <c r="R1781" i="5"/>
  <c r="J1782" i="5"/>
  <c r="R1782" i="5"/>
  <c r="J1783" i="5"/>
  <c r="R1783" i="5"/>
  <c r="J1784" i="5"/>
  <c r="R1784" i="5"/>
  <c r="J1785" i="5"/>
  <c r="R1785" i="5"/>
  <c r="J1786" i="5"/>
  <c r="R1786" i="5"/>
  <c r="J1787" i="5"/>
  <c r="R1787" i="5"/>
  <c r="J1788" i="5"/>
  <c r="R1788" i="5"/>
  <c r="J1789" i="5"/>
  <c r="R1789" i="5"/>
  <c r="J1790" i="5"/>
  <c r="R1790" i="5"/>
  <c r="J1791" i="5"/>
  <c r="R1791" i="5"/>
  <c r="J1792" i="5"/>
  <c r="R1792" i="5"/>
  <c r="J1793" i="5"/>
  <c r="R1793" i="5"/>
  <c r="J1794" i="5"/>
  <c r="R1794" i="5"/>
  <c r="J1795" i="5"/>
  <c r="R1795" i="5"/>
  <c r="J1796" i="5"/>
  <c r="R1796" i="5"/>
  <c r="J1797" i="5"/>
  <c r="R1797" i="5"/>
  <c r="J1798" i="5"/>
  <c r="R1798" i="5"/>
  <c r="J1799" i="5"/>
  <c r="R1799" i="5"/>
  <c r="J1800" i="5"/>
  <c r="R1800" i="5"/>
  <c r="J1801" i="5"/>
  <c r="R1801" i="5"/>
  <c r="J1802" i="5"/>
  <c r="R1802" i="5"/>
  <c r="J1803" i="5"/>
  <c r="R1803" i="5"/>
  <c r="J1804" i="5"/>
  <c r="R1804" i="5"/>
  <c r="J1805" i="5"/>
  <c r="R1805" i="5"/>
  <c r="J1806" i="5"/>
  <c r="R1806" i="5"/>
  <c r="J1807" i="5"/>
  <c r="R1807" i="5"/>
  <c r="J1808" i="5"/>
  <c r="R1808" i="5"/>
  <c r="J1809" i="5"/>
  <c r="R1809" i="5"/>
  <c r="J1810" i="5"/>
  <c r="R1810" i="5"/>
  <c r="J1811" i="5"/>
  <c r="R1811" i="5"/>
  <c r="J1812" i="5"/>
  <c r="R1812" i="5"/>
  <c r="J1813" i="5"/>
  <c r="R1813" i="5"/>
  <c r="J1814" i="5"/>
  <c r="R1814" i="5"/>
  <c r="J1815" i="5"/>
  <c r="R1815" i="5"/>
  <c r="J1816" i="5"/>
  <c r="R1816" i="5"/>
  <c r="J1817" i="5"/>
  <c r="R1817" i="5"/>
  <c r="J1818" i="5"/>
  <c r="R1818" i="5"/>
  <c r="J1819" i="5"/>
  <c r="R1819" i="5"/>
  <c r="J1820" i="5"/>
  <c r="R1820" i="5"/>
  <c r="J1821" i="5"/>
  <c r="R1821" i="5"/>
  <c r="J1822" i="5"/>
  <c r="R1822" i="5"/>
  <c r="J1823" i="5"/>
  <c r="R1823" i="5"/>
  <c r="J1824" i="5"/>
  <c r="R1824" i="5"/>
  <c r="J1825" i="5"/>
  <c r="R1825" i="5"/>
  <c r="J1826" i="5"/>
  <c r="R1826" i="5"/>
  <c r="J1827" i="5"/>
  <c r="R1827" i="5"/>
  <c r="J1828" i="5"/>
  <c r="R1828" i="5"/>
  <c r="J1829" i="5"/>
  <c r="R1829" i="5"/>
  <c r="J1830" i="5"/>
  <c r="R1830" i="5"/>
  <c r="J1831" i="5"/>
  <c r="R1831" i="5"/>
  <c r="J1832" i="5"/>
  <c r="R1832" i="5"/>
  <c r="J1833" i="5"/>
  <c r="R1833" i="5"/>
  <c r="J1834" i="5"/>
  <c r="R1834" i="5"/>
  <c r="J1835" i="5"/>
  <c r="R1835" i="5"/>
  <c r="J1836" i="5"/>
  <c r="R1836" i="5"/>
  <c r="J1837" i="5"/>
  <c r="R1837" i="5"/>
  <c r="J1838" i="5"/>
  <c r="R1838" i="5"/>
  <c r="J1839" i="5"/>
  <c r="R1839" i="5"/>
  <c r="J1840" i="5"/>
  <c r="R1840" i="5"/>
  <c r="J1841" i="5"/>
  <c r="R1841" i="5"/>
  <c r="J1842" i="5"/>
  <c r="R1842" i="5"/>
  <c r="J1843" i="5"/>
  <c r="R1843" i="5"/>
  <c r="J1844" i="5"/>
  <c r="R1844" i="5"/>
  <c r="J1845" i="5"/>
  <c r="R1845" i="5"/>
  <c r="J1846" i="5"/>
  <c r="R1846" i="5"/>
  <c r="J1847" i="5"/>
  <c r="R1847" i="5"/>
  <c r="J1848" i="5"/>
  <c r="R1848" i="5"/>
  <c r="J1849" i="5"/>
  <c r="R1849" i="5"/>
  <c r="J1850" i="5"/>
  <c r="R1850" i="5"/>
  <c r="J1851" i="5"/>
  <c r="R1851" i="5"/>
  <c r="J1852" i="5"/>
  <c r="R1852" i="5"/>
  <c r="J1853" i="5"/>
  <c r="R1853" i="5"/>
  <c r="J1854" i="5"/>
  <c r="R1854" i="5"/>
  <c r="J1855" i="5"/>
  <c r="R1855" i="5"/>
  <c r="J1856" i="5"/>
  <c r="R1856" i="5"/>
  <c r="J1857" i="5"/>
  <c r="R1857" i="5"/>
  <c r="J1858" i="5"/>
  <c r="R1858" i="5"/>
  <c r="J1859" i="5"/>
  <c r="R1859" i="5"/>
  <c r="J1860" i="5"/>
  <c r="R1860" i="5"/>
  <c r="J1861" i="5"/>
  <c r="R1861" i="5"/>
  <c r="J1862" i="5"/>
  <c r="R1862" i="5"/>
  <c r="J1863" i="5"/>
  <c r="R1863" i="5"/>
  <c r="J1864" i="5"/>
  <c r="R1864" i="5"/>
  <c r="J1865" i="5"/>
  <c r="R1865" i="5"/>
  <c r="J1866" i="5"/>
  <c r="R1866" i="5"/>
  <c r="J1867" i="5"/>
  <c r="R1867" i="5"/>
  <c r="J1868" i="5"/>
  <c r="R1868" i="5"/>
  <c r="J1869" i="5"/>
  <c r="R1869" i="5"/>
  <c r="J1870" i="5"/>
  <c r="R1870" i="5"/>
  <c r="J1871" i="5"/>
  <c r="R1871" i="5"/>
  <c r="J1872" i="5"/>
  <c r="R1872" i="5"/>
  <c r="J1873" i="5"/>
  <c r="R1873" i="5"/>
  <c r="J1874" i="5"/>
  <c r="R1874" i="5"/>
  <c r="J1875" i="5"/>
  <c r="R1875" i="5"/>
  <c r="J1876" i="5"/>
  <c r="R1876" i="5"/>
  <c r="J1877" i="5"/>
  <c r="R1877" i="5"/>
  <c r="J1878" i="5"/>
  <c r="R1878" i="5"/>
  <c r="J1879" i="5"/>
  <c r="R1879" i="5"/>
  <c r="J1880" i="5"/>
  <c r="R1880" i="5"/>
  <c r="J1881" i="5"/>
  <c r="R1881" i="5"/>
  <c r="J1882" i="5"/>
  <c r="R1882" i="5"/>
  <c r="J1883" i="5"/>
  <c r="R1883" i="5"/>
  <c r="J1884" i="5"/>
  <c r="R1884" i="5"/>
  <c r="J1885" i="5"/>
  <c r="R1885" i="5"/>
  <c r="J1886" i="5"/>
  <c r="R1886" i="5"/>
  <c r="J1887" i="5"/>
  <c r="R1887" i="5"/>
  <c r="J1888" i="5"/>
  <c r="R1888" i="5"/>
  <c r="J1889" i="5"/>
  <c r="R1889" i="5"/>
  <c r="J1890" i="5"/>
  <c r="R1890" i="5"/>
  <c r="J1891" i="5"/>
  <c r="R1891" i="5"/>
  <c r="J1892" i="5"/>
  <c r="R1892" i="5"/>
  <c r="J1893" i="5"/>
  <c r="R1893" i="5"/>
  <c r="J1894" i="5"/>
  <c r="R1894" i="5"/>
  <c r="J1895" i="5"/>
  <c r="R1895" i="5"/>
  <c r="J1896" i="5"/>
  <c r="R1896" i="5"/>
  <c r="J1897" i="5"/>
  <c r="R1897" i="5"/>
  <c r="J1898" i="5"/>
  <c r="R1898" i="5"/>
  <c r="J1899" i="5"/>
  <c r="R1899" i="5"/>
  <c r="J1900" i="5"/>
  <c r="R1900" i="5"/>
  <c r="J1901" i="5"/>
  <c r="R1901" i="5"/>
  <c r="J1902" i="5"/>
  <c r="R1902" i="5"/>
  <c r="J1903" i="5"/>
  <c r="R1903" i="5"/>
  <c r="J1904" i="5"/>
  <c r="R1904" i="5"/>
  <c r="J1905" i="5"/>
  <c r="R1905" i="5"/>
  <c r="J1906" i="5"/>
  <c r="R1906" i="5"/>
  <c r="J1907" i="5"/>
  <c r="R1907" i="5"/>
  <c r="J1908" i="5"/>
  <c r="R1908" i="5"/>
  <c r="J1909" i="5"/>
  <c r="R1909" i="5"/>
  <c r="J1910" i="5"/>
  <c r="R1910" i="5"/>
  <c r="J1911" i="5"/>
  <c r="R1911" i="5"/>
  <c r="J1912" i="5"/>
  <c r="R1912" i="5"/>
  <c r="J1913" i="5"/>
  <c r="R1913" i="5"/>
  <c r="J1914" i="5"/>
  <c r="R1914" i="5"/>
  <c r="J1915" i="5"/>
  <c r="R1915" i="5"/>
  <c r="WW86" i="178" l="1"/>
  <c r="O17" i="180"/>
  <c r="XF57" i="178"/>
  <c r="XH57" i="178"/>
  <c r="XE61" i="178"/>
  <c r="XE62" i="178"/>
  <c r="XG62" i="178" s="1"/>
  <c r="XI55" i="178"/>
  <c r="XI54" i="178"/>
  <c r="XK15" i="178"/>
  <c r="WK61" i="178"/>
  <c r="WL61" i="178"/>
  <c r="WK60" i="178"/>
  <c r="WL60" i="178" s="1"/>
  <c r="WL63" i="178"/>
  <c r="WL62" i="178"/>
  <c r="H23" i="188"/>
  <c r="B24" i="188"/>
  <c r="D23" i="188"/>
  <c r="E23" i="188" s="1"/>
  <c r="VY98" i="178"/>
  <c r="WS88" i="178"/>
  <c r="WU88" i="178" s="1"/>
  <c r="WX89" i="178"/>
  <c r="WX88" i="178"/>
  <c r="WW87" i="178"/>
  <c r="WX87" i="178"/>
  <c r="WX93" i="178" s="1"/>
  <c r="VX95" i="178"/>
  <c r="VY95" i="178" s="1"/>
  <c r="VU96" i="178"/>
  <c r="VX101" i="178"/>
  <c r="VV101" i="178"/>
  <c r="VW105" i="178"/>
  <c r="WV91" i="178"/>
  <c r="WS92" i="178"/>
  <c r="WU92" i="178" s="1"/>
  <c r="WV92" i="178" s="1"/>
  <c r="WU82" i="178"/>
  <c r="WU83" i="178" s="1"/>
  <c r="WT83" i="178" s="1"/>
  <c r="U14" i="180" s="1"/>
  <c r="WW82" i="178"/>
  <c r="WU94" i="178"/>
  <c r="WS98" i="178" s="1"/>
  <c r="Q16" i="180"/>
  <c r="VY99" i="178"/>
  <c r="WA16" i="178"/>
  <c r="YK85" i="178"/>
  <c r="YL85" i="178" s="1"/>
  <c r="YM85" i="178" s="1"/>
  <c r="YM86" i="178" s="1"/>
  <c r="YK91" i="178"/>
  <c r="VA107" i="178"/>
  <c r="UY103" i="178"/>
  <c r="UY104" i="178" s="1"/>
  <c r="UX104" i="178" s="1"/>
  <c r="VA103" i="178"/>
  <c r="YN103" i="178"/>
  <c r="J17" i="179" s="1"/>
  <c r="YN102" i="178"/>
  <c r="I17" i="179" s="1"/>
  <c r="YI102" i="178"/>
  <c r="YK102" i="178" s="1"/>
  <c r="YN101" i="178"/>
  <c r="G17" i="179" s="1"/>
  <c r="YM101" i="178"/>
  <c r="YK96" i="178"/>
  <c r="YK97" i="178" s="1"/>
  <c r="YJ97" i="178" s="1"/>
  <c r="YM96" i="178"/>
  <c r="L11" i="177"/>
  <c r="D58" i="169"/>
  <c r="E58" i="169" s="1"/>
  <c r="F58" i="169" s="1"/>
  <c r="C44" i="169"/>
  <c r="D44" i="169" s="1"/>
  <c r="E44" i="169" s="1"/>
  <c r="F44" i="169" s="1"/>
  <c r="C45" i="169"/>
  <c r="D45" i="169" s="1"/>
  <c r="E45" i="169" s="1"/>
  <c r="F45" i="169" s="1"/>
  <c r="C33" i="169"/>
  <c r="D33" i="169" s="1"/>
  <c r="E33" i="169" s="1"/>
  <c r="F33" i="169" s="1"/>
  <c r="D40" i="169"/>
  <c r="E40" i="169" s="1"/>
  <c r="F40" i="169" s="1"/>
  <c r="C29" i="169"/>
  <c r="D29" i="169" s="1"/>
  <c r="E29" i="169" s="1"/>
  <c r="F29" i="169" s="1"/>
  <c r="C31" i="169"/>
  <c r="D31" i="169" s="1"/>
  <c r="E31" i="169" s="1"/>
  <c r="F31" i="169" s="1"/>
  <c r="C38" i="169"/>
  <c r="D38" i="169" s="1"/>
  <c r="E38" i="169" s="1"/>
  <c r="F38" i="169" s="1"/>
  <c r="C28" i="169"/>
  <c r="D28" i="169" s="1"/>
  <c r="E28" i="169" s="1"/>
  <c r="F28" i="169" s="1"/>
  <c r="C30" i="169"/>
  <c r="D30" i="169" s="1"/>
  <c r="E30" i="169" s="1"/>
  <c r="F30" i="169" s="1"/>
  <c r="C20" i="169"/>
  <c r="AC22" i="153"/>
  <c r="XI56" i="178" l="1"/>
  <c r="XJ56" i="178" s="1"/>
  <c r="XH62" i="178"/>
  <c r="XE63" i="178"/>
  <c r="XG63" i="178" s="1"/>
  <c r="XH63" i="178" s="1"/>
  <c r="XG61" i="178"/>
  <c r="XI57" i="178"/>
  <c r="XJ57" i="178"/>
  <c r="XJ58" i="178"/>
  <c r="XJ59" i="178"/>
  <c r="WK62" i="178"/>
  <c r="WK63" i="178"/>
  <c r="WM17" i="178"/>
  <c r="C24" i="188"/>
  <c r="G24" i="188"/>
  <c r="I23" i="188"/>
  <c r="J23" i="188" s="1"/>
  <c r="VY100" i="178"/>
  <c r="WT94" i="178"/>
  <c r="WV94" i="178"/>
  <c r="WU98" i="178"/>
  <c r="WS101" i="178"/>
  <c r="WW91" i="178"/>
  <c r="VW96" i="178"/>
  <c r="VW97" i="178" s="1"/>
  <c r="VV97" i="178" s="1"/>
  <c r="R16" i="180" s="1"/>
  <c r="VY96" i="178"/>
  <c r="VZ101" i="178"/>
  <c r="VY101" i="178"/>
  <c r="VX105" i="178"/>
  <c r="VU106" i="178"/>
  <c r="VW106" i="178" s="1"/>
  <c r="VX106" i="178" s="1"/>
  <c r="VU102" i="178"/>
  <c r="VW102" i="178" s="1"/>
  <c r="VZ103" i="178"/>
  <c r="VZ102" i="178"/>
  <c r="T15" i="180"/>
  <c r="WW92" i="178"/>
  <c r="WY15" i="178"/>
  <c r="WV88" i="178"/>
  <c r="WW88" i="178" s="1"/>
  <c r="WS89" i="178"/>
  <c r="YL91" i="178"/>
  <c r="YM91" i="178" s="1"/>
  <c r="YI92" i="178"/>
  <c r="YN100" i="178"/>
  <c r="H16" i="179" s="1"/>
  <c r="YI98" i="178"/>
  <c r="YL102" i="178"/>
  <c r="YM102" i="178" s="1"/>
  <c r="YI103" i="178"/>
  <c r="YO16" i="178"/>
  <c r="K16" i="179" s="1"/>
  <c r="U18" i="153"/>
  <c r="U17" i="153"/>
  <c r="T18" i="153"/>
  <c r="T17" i="153"/>
  <c r="U15" i="153"/>
  <c r="U14" i="153"/>
  <c r="T15" i="153"/>
  <c r="T14" i="153"/>
  <c r="U9" i="153"/>
  <c r="U8" i="153"/>
  <c r="T9" i="153"/>
  <c r="T8" i="153"/>
  <c r="U6" i="153"/>
  <c r="U5" i="153"/>
  <c r="T6" i="153"/>
  <c r="T5" i="153"/>
  <c r="U3" i="153"/>
  <c r="U2" i="153"/>
  <c r="T3" i="153"/>
  <c r="T2" i="153"/>
  <c r="B74" i="150"/>
  <c r="C74" i="150"/>
  <c r="D74" i="150"/>
  <c r="E74" i="150"/>
  <c r="F74" i="150"/>
  <c r="G74" i="150"/>
  <c r="H74" i="150"/>
  <c r="I74" i="150"/>
  <c r="B75" i="150"/>
  <c r="C75" i="150"/>
  <c r="D75" i="150"/>
  <c r="E75" i="150"/>
  <c r="F75" i="150"/>
  <c r="G75" i="150"/>
  <c r="H75" i="150"/>
  <c r="I75" i="150"/>
  <c r="B76" i="150"/>
  <c r="C76" i="150"/>
  <c r="D76" i="150"/>
  <c r="E76" i="150"/>
  <c r="F76" i="150"/>
  <c r="G76" i="150"/>
  <c r="H76" i="150"/>
  <c r="I76" i="150"/>
  <c r="B77" i="150"/>
  <c r="C77" i="150"/>
  <c r="D77" i="150"/>
  <c r="E77" i="150"/>
  <c r="F77" i="150"/>
  <c r="G77" i="150"/>
  <c r="H77" i="150"/>
  <c r="I77" i="150"/>
  <c r="B78" i="150"/>
  <c r="C78" i="150"/>
  <c r="D78" i="150"/>
  <c r="E78" i="150"/>
  <c r="F78" i="150"/>
  <c r="G78" i="150"/>
  <c r="H78" i="150"/>
  <c r="I78" i="150"/>
  <c r="B79" i="150"/>
  <c r="C79" i="150"/>
  <c r="D79" i="150"/>
  <c r="E79" i="150"/>
  <c r="F79" i="150"/>
  <c r="G79" i="150"/>
  <c r="H79" i="150"/>
  <c r="I79" i="150"/>
  <c r="B80" i="150"/>
  <c r="C80" i="150"/>
  <c r="D80" i="150"/>
  <c r="E80" i="150"/>
  <c r="F80" i="150"/>
  <c r="G80" i="150"/>
  <c r="H80" i="150"/>
  <c r="I80" i="150"/>
  <c r="B81" i="150"/>
  <c r="C81" i="150"/>
  <c r="D81" i="150"/>
  <c r="E81" i="150"/>
  <c r="F81" i="150"/>
  <c r="G81" i="150"/>
  <c r="H81" i="150"/>
  <c r="I81" i="150"/>
  <c r="B82" i="150"/>
  <c r="C82" i="150"/>
  <c r="D82" i="150"/>
  <c r="E82" i="150"/>
  <c r="F82" i="150"/>
  <c r="G82" i="150"/>
  <c r="H82" i="150"/>
  <c r="I82" i="150"/>
  <c r="B83" i="150"/>
  <c r="C83" i="150"/>
  <c r="D83" i="150"/>
  <c r="E83" i="150"/>
  <c r="F83" i="150"/>
  <c r="G83" i="150"/>
  <c r="H83" i="150"/>
  <c r="I83" i="150"/>
  <c r="B84" i="150"/>
  <c r="C84" i="150"/>
  <c r="D84" i="150"/>
  <c r="E84" i="150"/>
  <c r="F84" i="150"/>
  <c r="G84" i="150"/>
  <c r="H84" i="150"/>
  <c r="I84" i="150"/>
  <c r="B85" i="150"/>
  <c r="C85" i="150"/>
  <c r="D85" i="150"/>
  <c r="E85" i="150"/>
  <c r="F85" i="150"/>
  <c r="G85" i="150"/>
  <c r="H85" i="150"/>
  <c r="I85" i="150"/>
  <c r="C8" i="169"/>
  <c r="C9" i="169"/>
  <c r="C10" i="169"/>
  <c r="C11" i="169"/>
  <c r="C12" i="169"/>
  <c r="C13" i="169"/>
  <c r="C14" i="169"/>
  <c r="C15" i="169"/>
  <c r="C16" i="169"/>
  <c r="C17" i="169"/>
  <c r="C18" i="169"/>
  <c r="AA3" i="5"/>
  <c r="AA4" i="5"/>
  <c r="AA5" i="5"/>
  <c r="AA6" i="5"/>
  <c r="AA7" i="5"/>
  <c r="AA8" i="5"/>
  <c r="AA9" i="5"/>
  <c r="AA10" i="5"/>
  <c r="AA11" i="5"/>
  <c r="AA12" i="5"/>
  <c r="AA13" i="5"/>
  <c r="AA14" i="5"/>
  <c r="AA15" i="5"/>
  <c r="AA16" i="5"/>
  <c r="AA17" i="5"/>
  <c r="AA18" i="5"/>
  <c r="AA19" i="5"/>
  <c r="AA20" i="5"/>
  <c r="AA21" i="5"/>
  <c r="AA22" i="5"/>
  <c r="AA23" i="5"/>
  <c r="AA24" i="5"/>
  <c r="AA25" i="5"/>
  <c r="AA26" i="5"/>
  <c r="AA27" i="5"/>
  <c r="AA28" i="5"/>
  <c r="AA29" i="5"/>
  <c r="AA30" i="5"/>
  <c r="AA31" i="5"/>
  <c r="AA32" i="5"/>
  <c r="AA33" i="5"/>
  <c r="AA34" i="5"/>
  <c r="AA35" i="5"/>
  <c r="AA36" i="5"/>
  <c r="AA37" i="5"/>
  <c r="AA38" i="5"/>
  <c r="AA39" i="5"/>
  <c r="AA40" i="5"/>
  <c r="AA41" i="5"/>
  <c r="AA42" i="5"/>
  <c r="AA43" i="5"/>
  <c r="AA44" i="5"/>
  <c r="AA45" i="5"/>
  <c r="AA46" i="5"/>
  <c r="AA47" i="5"/>
  <c r="AA48" i="5"/>
  <c r="AA49" i="5"/>
  <c r="AA50" i="5"/>
  <c r="AA51" i="5"/>
  <c r="AA52" i="5"/>
  <c r="AA53" i="5"/>
  <c r="AA54" i="5"/>
  <c r="AA55" i="5"/>
  <c r="AA56" i="5"/>
  <c r="AA57" i="5"/>
  <c r="AA58" i="5"/>
  <c r="AA59" i="5"/>
  <c r="AA60" i="5"/>
  <c r="AA61" i="5"/>
  <c r="AA62" i="5"/>
  <c r="AA63" i="5"/>
  <c r="AA64" i="5"/>
  <c r="AA65" i="5"/>
  <c r="AA66" i="5"/>
  <c r="AA67" i="5"/>
  <c r="AA68" i="5"/>
  <c r="AA69" i="5"/>
  <c r="AA70" i="5"/>
  <c r="AA71" i="5"/>
  <c r="AA72" i="5"/>
  <c r="AA73" i="5"/>
  <c r="AA74" i="5"/>
  <c r="AA75" i="5"/>
  <c r="AA76" i="5"/>
  <c r="AA77" i="5"/>
  <c r="AA78" i="5"/>
  <c r="AA79" i="5"/>
  <c r="AA80" i="5"/>
  <c r="AA81" i="5"/>
  <c r="AA82" i="5"/>
  <c r="AA83" i="5"/>
  <c r="AA84" i="5"/>
  <c r="AA85" i="5"/>
  <c r="AA86" i="5"/>
  <c r="AA87" i="5"/>
  <c r="AA88" i="5"/>
  <c r="AA89" i="5"/>
  <c r="AA90" i="5"/>
  <c r="AA91" i="5"/>
  <c r="AA92" i="5"/>
  <c r="AA93" i="5"/>
  <c r="AA94" i="5"/>
  <c r="AA95" i="5"/>
  <c r="AA96" i="5"/>
  <c r="AA97" i="5"/>
  <c r="AA98" i="5"/>
  <c r="AA99" i="5"/>
  <c r="AA100" i="5"/>
  <c r="AA101" i="5"/>
  <c r="AA102" i="5"/>
  <c r="AA103" i="5"/>
  <c r="AA104" i="5"/>
  <c r="AA105" i="5"/>
  <c r="AA106" i="5"/>
  <c r="AA107" i="5"/>
  <c r="AA108" i="5"/>
  <c r="AA109" i="5"/>
  <c r="AA110" i="5"/>
  <c r="AA111" i="5"/>
  <c r="AA112" i="5"/>
  <c r="AA113" i="5"/>
  <c r="AA114" i="5"/>
  <c r="AA115" i="5"/>
  <c r="AA116" i="5"/>
  <c r="AA117" i="5"/>
  <c r="AA118" i="5"/>
  <c r="AA119" i="5"/>
  <c r="AA120" i="5"/>
  <c r="AA121" i="5"/>
  <c r="AA122" i="5"/>
  <c r="AA123" i="5"/>
  <c r="AA124" i="5"/>
  <c r="AA125" i="5"/>
  <c r="AA126" i="5"/>
  <c r="AA127" i="5"/>
  <c r="AA128" i="5"/>
  <c r="AA129" i="5"/>
  <c r="AA130" i="5"/>
  <c r="AA131" i="5"/>
  <c r="AA132" i="5"/>
  <c r="AA133" i="5"/>
  <c r="AA134" i="5"/>
  <c r="AA135" i="5"/>
  <c r="AA136" i="5"/>
  <c r="AA137" i="5"/>
  <c r="AA138" i="5"/>
  <c r="AA139" i="5"/>
  <c r="AA140" i="5"/>
  <c r="AA141" i="5"/>
  <c r="AA142" i="5"/>
  <c r="AA143" i="5"/>
  <c r="AA144" i="5"/>
  <c r="AA145" i="5"/>
  <c r="AA146" i="5"/>
  <c r="AA147" i="5"/>
  <c r="AA148" i="5"/>
  <c r="AA149" i="5"/>
  <c r="AA150" i="5"/>
  <c r="AA151" i="5"/>
  <c r="AA152" i="5"/>
  <c r="AA153" i="5"/>
  <c r="AA154" i="5"/>
  <c r="AA155" i="5"/>
  <c r="AA156" i="5"/>
  <c r="AA157" i="5"/>
  <c r="AA158" i="5"/>
  <c r="AA159" i="5"/>
  <c r="AA160" i="5"/>
  <c r="AA161" i="5"/>
  <c r="AA162" i="5"/>
  <c r="AA163" i="5"/>
  <c r="AA164" i="5"/>
  <c r="AA165" i="5"/>
  <c r="AA166" i="5"/>
  <c r="AA167" i="5"/>
  <c r="AA168" i="5"/>
  <c r="AA169" i="5"/>
  <c r="AA170" i="5"/>
  <c r="AA171" i="5"/>
  <c r="AA172" i="5"/>
  <c r="AA173" i="5"/>
  <c r="AA174" i="5"/>
  <c r="AA175" i="5"/>
  <c r="AA176" i="5"/>
  <c r="AA177" i="5"/>
  <c r="AA178" i="5"/>
  <c r="AA179" i="5"/>
  <c r="AA180" i="5"/>
  <c r="AA181" i="5"/>
  <c r="AA182" i="5"/>
  <c r="AA183" i="5"/>
  <c r="AA184" i="5"/>
  <c r="AA185" i="5"/>
  <c r="AA186" i="5"/>
  <c r="AA187" i="5"/>
  <c r="AA188" i="5"/>
  <c r="AA189" i="5"/>
  <c r="AA190" i="5"/>
  <c r="AA191" i="5"/>
  <c r="AA192" i="5"/>
  <c r="AA193" i="5"/>
  <c r="AA194" i="5"/>
  <c r="AA195" i="5"/>
  <c r="AA196" i="5"/>
  <c r="AA197" i="5"/>
  <c r="AA198" i="5"/>
  <c r="AA199" i="5"/>
  <c r="AA200" i="5"/>
  <c r="AA201" i="5"/>
  <c r="AA202" i="5"/>
  <c r="AA203" i="5"/>
  <c r="AA204" i="5"/>
  <c r="AA205" i="5"/>
  <c r="AA206" i="5"/>
  <c r="AA207" i="5"/>
  <c r="AA208" i="5"/>
  <c r="AA209" i="5"/>
  <c r="AA210" i="5"/>
  <c r="AA211" i="5"/>
  <c r="AA212" i="5"/>
  <c r="AA213" i="5"/>
  <c r="AA214" i="5"/>
  <c r="AA215" i="5"/>
  <c r="AA216" i="5"/>
  <c r="AA217" i="5"/>
  <c r="AA218" i="5"/>
  <c r="AA219" i="5"/>
  <c r="AA220" i="5"/>
  <c r="AA221" i="5"/>
  <c r="AA222" i="5"/>
  <c r="AA223" i="5"/>
  <c r="AA224" i="5"/>
  <c r="AA225" i="5"/>
  <c r="AA226" i="5"/>
  <c r="AA227" i="5"/>
  <c r="AA228" i="5"/>
  <c r="AA229" i="5"/>
  <c r="AA230" i="5"/>
  <c r="AA231" i="5"/>
  <c r="AA232" i="5"/>
  <c r="AA233" i="5"/>
  <c r="AA234" i="5"/>
  <c r="AA235" i="5"/>
  <c r="AA236" i="5"/>
  <c r="AA237" i="5"/>
  <c r="AA238" i="5"/>
  <c r="AA239" i="5"/>
  <c r="AA240" i="5"/>
  <c r="AA241" i="5"/>
  <c r="AA242" i="5"/>
  <c r="AA243" i="5"/>
  <c r="AA244" i="5"/>
  <c r="AA245" i="5"/>
  <c r="AA246" i="5"/>
  <c r="AA247" i="5"/>
  <c r="AA248" i="5"/>
  <c r="AA249" i="5"/>
  <c r="AA250" i="5"/>
  <c r="AA251" i="5"/>
  <c r="AA252" i="5"/>
  <c r="AA253" i="5"/>
  <c r="AA254" i="5"/>
  <c r="AA255" i="5"/>
  <c r="AA256" i="5"/>
  <c r="AA257" i="5"/>
  <c r="AA258" i="5"/>
  <c r="AA259" i="5"/>
  <c r="AA260" i="5"/>
  <c r="AA261" i="5"/>
  <c r="AA262" i="5"/>
  <c r="AA263" i="5"/>
  <c r="AA264" i="5"/>
  <c r="AA265" i="5"/>
  <c r="AA266" i="5"/>
  <c r="AA267" i="5"/>
  <c r="AA268" i="5"/>
  <c r="AA269" i="5"/>
  <c r="AA270" i="5"/>
  <c r="AA271" i="5"/>
  <c r="AA272" i="5"/>
  <c r="AA273" i="5"/>
  <c r="AA274" i="5"/>
  <c r="AA275" i="5"/>
  <c r="AA276" i="5"/>
  <c r="AA277" i="5"/>
  <c r="AA278" i="5"/>
  <c r="AA279" i="5"/>
  <c r="AA280" i="5"/>
  <c r="AA281" i="5"/>
  <c r="AA282" i="5"/>
  <c r="AA283" i="5"/>
  <c r="AA284" i="5"/>
  <c r="AA285" i="5"/>
  <c r="AA286" i="5"/>
  <c r="AA287" i="5"/>
  <c r="AA288" i="5"/>
  <c r="AA289" i="5"/>
  <c r="AA290" i="5"/>
  <c r="AA291" i="5"/>
  <c r="AA292" i="5"/>
  <c r="AA293" i="5"/>
  <c r="AA294" i="5"/>
  <c r="AA295" i="5"/>
  <c r="AA296" i="5"/>
  <c r="AA297" i="5"/>
  <c r="AA298" i="5"/>
  <c r="AA299" i="5"/>
  <c r="AA300" i="5"/>
  <c r="AA301" i="5"/>
  <c r="AA302" i="5"/>
  <c r="AA303" i="5"/>
  <c r="AA304" i="5"/>
  <c r="AA305" i="5"/>
  <c r="AA306" i="5"/>
  <c r="AA307" i="5"/>
  <c r="AA308" i="5"/>
  <c r="AA309" i="5"/>
  <c r="AA310" i="5"/>
  <c r="AA311" i="5"/>
  <c r="AA312" i="5"/>
  <c r="AA313" i="5"/>
  <c r="AA314" i="5"/>
  <c r="AA315" i="5"/>
  <c r="AA316" i="5"/>
  <c r="AA317" i="5"/>
  <c r="AA318" i="5"/>
  <c r="AA319" i="5"/>
  <c r="AA320" i="5"/>
  <c r="AA321" i="5"/>
  <c r="AA322" i="5"/>
  <c r="AA323" i="5"/>
  <c r="AA324" i="5"/>
  <c r="AA325" i="5"/>
  <c r="AA326" i="5"/>
  <c r="AA327" i="5"/>
  <c r="AA328" i="5"/>
  <c r="AA329" i="5"/>
  <c r="AA330" i="5"/>
  <c r="AA331" i="5"/>
  <c r="AA332" i="5"/>
  <c r="AA333" i="5"/>
  <c r="AA334" i="5"/>
  <c r="AA335" i="5"/>
  <c r="AA336" i="5"/>
  <c r="AA337" i="5"/>
  <c r="AA338" i="5"/>
  <c r="AA339" i="5"/>
  <c r="AA340" i="5"/>
  <c r="AA341" i="5"/>
  <c r="AA342" i="5"/>
  <c r="AA343" i="5"/>
  <c r="AA344" i="5"/>
  <c r="AA345" i="5"/>
  <c r="AA346" i="5"/>
  <c r="AA347" i="5"/>
  <c r="AA348" i="5"/>
  <c r="AA349" i="5"/>
  <c r="AA350" i="5"/>
  <c r="AA351" i="5"/>
  <c r="AA352" i="5"/>
  <c r="AA353" i="5"/>
  <c r="AA354" i="5"/>
  <c r="AA355" i="5"/>
  <c r="AA356" i="5"/>
  <c r="AA357" i="5"/>
  <c r="AA358" i="5"/>
  <c r="AA359" i="5"/>
  <c r="AA360" i="5"/>
  <c r="AA361" i="5"/>
  <c r="AA362" i="5"/>
  <c r="AA363" i="5"/>
  <c r="AA364" i="5"/>
  <c r="AA365" i="5"/>
  <c r="AA366" i="5"/>
  <c r="AA367" i="5"/>
  <c r="AA368" i="5"/>
  <c r="AA369" i="5"/>
  <c r="AA370" i="5"/>
  <c r="AA371" i="5"/>
  <c r="AA372" i="5"/>
  <c r="AA373" i="5"/>
  <c r="AA374" i="5"/>
  <c r="AA375" i="5"/>
  <c r="AA376" i="5"/>
  <c r="AA377" i="5"/>
  <c r="AA378" i="5"/>
  <c r="AA379" i="5"/>
  <c r="AA380" i="5"/>
  <c r="AA381" i="5"/>
  <c r="AA382" i="5"/>
  <c r="AA383" i="5"/>
  <c r="AA384" i="5"/>
  <c r="AA385" i="5"/>
  <c r="AA386" i="5"/>
  <c r="AA387" i="5"/>
  <c r="AA388" i="5"/>
  <c r="AA389" i="5"/>
  <c r="AA390" i="5"/>
  <c r="AA391" i="5"/>
  <c r="AA392" i="5"/>
  <c r="AA393" i="5"/>
  <c r="AA394" i="5"/>
  <c r="AA395" i="5"/>
  <c r="AA396" i="5"/>
  <c r="AA397" i="5"/>
  <c r="AA398" i="5"/>
  <c r="AA399" i="5"/>
  <c r="AA400" i="5"/>
  <c r="AA401" i="5"/>
  <c r="AA402" i="5"/>
  <c r="AA403" i="5"/>
  <c r="AA404" i="5"/>
  <c r="AA405" i="5"/>
  <c r="AA406" i="5"/>
  <c r="AA407" i="5"/>
  <c r="AA408" i="5"/>
  <c r="AA409" i="5"/>
  <c r="AA410" i="5"/>
  <c r="AA411" i="5"/>
  <c r="AA412" i="5"/>
  <c r="AA413" i="5"/>
  <c r="AA414" i="5"/>
  <c r="AA415" i="5"/>
  <c r="AA416" i="5"/>
  <c r="AA417" i="5"/>
  <c r="AA418" i="5"/>
  <c r="AA419" i="5"/>
  <c r="AA420" i="5"/>
  <c r="AA421" i="5"/>
  <c r="AA422" i="5"/>
  <c r="AA423" i="5"/>
  <c r="AA424" i="5"/>
  <c r="AA425" i="5"/>
  <c r="AA426" i="5"/>
  <c r="AA427" i="5"/>
  <c r="AA428" i="5"/>
  <c r="AA429" i="5"/>
  <c r="AA430" i="5"/>
  <c r="AA431" i="5"/>
  <c r="AA432" i="5"/>
  <c r="AA433" i="5"/>
  <c r="AA434" i="5"/>
  <c r="AA435" i="5"/>
  <c r="AA436" i="5"/>
  <c r="AA437" i="5"/>
  <c r="AA438" i="5"/>
  <c r="AA439" i="5"/>
  <c r="AA440" i="5"/>
  <c r="AA441" i="5"/>
  <c r="AA442" i="5"/>
  <c r="AA443" i="5"/>
  <c r="AA444" i="5"/>
  <c r="AA445" i="5"/>
  <c r="AA446" i="5"/>
  <c r="AA447" i="5"/>
  <c r="AA448" i="5"/>
  <c r="AA449" i="5"/>
  <c r="AA450" i="5"/>
  <c r="AA451" i="5"/>
  <c r="AA452" i="5"/>
  <c r="AA453" i="5"/>
  <c r="AA454" i="5"/>
  <c r="AA455" i="5"/>
  <c r="AA456" i="5"/>
  <c r="AA457" i="5"/>
  <c r="AA458" i="5"/>
  <c r="AA459" i="5"/>
  <c r="AA460" i="5"/>
  <c r="AA461" i="5"/>
  <c r="AA462" i="5"/>
  <c r="AA463" i="5"/>
  <c r="AA464" i="5"/>
  <c r="AA465" i="5"/>
  <c r="AA466" i="5"/>
  <c r="AA467" i="5"/>
  <c r="AA468" i="5"/>
  <c r="AA469" i="5"/>
  <c r="AA470" i="5"/>
  <c r="AA471" i="5"/>
  <c r="AA472" i="5"/>
  <c r="AA473" i="5"/>
  <c r="AA474" i="5"/>
  <c r="AA475" i="5"/>
  <c r="AA476" i="5"/>
  <c r="AA477" i="5"/>
  <c r="AA478" i="5"/>
  <c r="AA479" i="5"/>
  <c r="AA480" i="5"/>
  <c r="AA481" i="5"/>
  <c r="AA482" i="5"/>
  <c r="AA483" i="5"/>
  <c r="AA484" i="5"/>
  <c r="AA485" i="5"/>
  <c r="AA486" i="5"/>
  <c r="AA487" i="5"/>
  <c r="AA488" i="5"/>
  <c r="AA489" i="5"/>
  <c r="AA490" i="5"/>
  <c r="AA491" i="5"/>
  <c r="AA492" i="5"/>
  <c r="AA493" i="5"/>
  <c r="AA494" i="5"/>
  <c r="AA495" i="5"/>
  <c r="AA496" i="5"/>
  <c r="AA497" i="5"/>
  <c r="AA498" i="5"/>
  <c r="AA499" i="5"/>
  <c r="AA500" i="5"/>
  <c r="AA501" i="5"/>
  <c r="AA502" i="5"/>
  <c r="AA503" i="5"/>
  <c r="AA504" i="5"/>
  <c r="AA505" i="5"/>
  <c r="AA506" i="5"/>
  <c r="AA507" i="5"/>
  <c r="AA508" i="5"/>
  <c r="AA509" i="5"/>
  <c r="AA510" i="5"/>
  <c r="AA511" i="5"/>
  <c r="AA512" i="5"/>
  <c r="AA513" i="5"/>
  <c r="AA514" i="5"/>
  <c r="AA515" i="5"/>
  <c r="AA516" i="5"/>
  <c r="AA517" i="5"/>
  <c r="AA518" i="5"/>
  <c r="AA519" i="5"/>
  <c r="AA520" i="5"/>
  <c r="AA521" i="5"/>
  <c r="AA522" i="5"/>
  <c r="AA523" i="5"/>
  <c r="AA524" i="5"/>
  <c r="AA525" i="5"/>
  <c r="AA526" i="5"/>
  <c r="AA527" i="5"/>
  <c r="AA528" i="5"/>
  <c r="AA529" i="5"/>
  <c r="AA530" i="5"/>
  <c r="AA531" i="5"/>
  <c r="AA532" i="5"/>
  <c r="AA533" i="5"/>
  <c r="AA534" i="5"/>
  <c r="AA535" i="5"/>
  <c r="AA536" i="5"/>
  <c r="AA537" i="5"/>
  <c r="AA538" i="5"/>
  <c r="AA539" i="5"/>
  <c r="AA540" i="5"/>
  <c r="AA541" i="5"/>
  <c r="AA542" i="5"/>
  <c r="AA543" i="5"/>
  <c r="AA544" i="5"/>
  <c r="AA545" i="5"/>
  <c r="AA546" i="5"/>
  <c r="AA547" i="5"/>
  <c r="AA548" i="5"/>
  <c r="AA549" i="5"/>
  <c r="AA550" i="5"/>
  <c r="AA551" i="5"/>
  <c r="AA552" i="5"/>
  <c r="AA553" i="5"/>
  <c r="AA554" i="5"/>
  <c r="AA555" i="5"/>
  <c r="AA556" i="5"/>
  <c r="AA557" i="5"/>
  <c r="AA558" i="5"/>
  <c r="AA559" i="5"/>
  <c r="AA560" i="5"/>
  <c r="AA561" i="5"/>
  <c r="AA562" i="5"/>
  <c r="AA563" i="5"/>
  <c r="AA564" i="5"/>
  <c r="AA565" i="5"/>
  <c r="AA566" i="5"/>
  <c r="AA567" i="5"/>
  <c r="AA568" i="5"/>
  <c r="AA569" i="5"/>
  <c r="AA570" i="5"/>
  <c r="AA571" i="5"/>
  <c r="AA572" i="5"/>
  <c r="AA573" i="5"/>
  <c r="AA574" i="5"/>
  <c r="AA575" i="5"/>
  <c r="AA576" i="5"/>
  <c r="AA577" i="5"/>
  <c r="AA578" i="5"/>
  <c r="AA579" i="5"/>
  <c r="AA580" i="5"/>
  <c r="AA581" i="5"/>
  <c r="AA582" i="5"/>
  <c r="AA583" i="5"/>
  <c r="AA584" i="5"/>
  <c r="AA585" i="5"/>
  <c r="AA586" i="5"/>
  <c r="AA587" i="5"/>
  <c r="AA588" i="5"/>
  <c r="AA589" i="5"/>
  <c r="AA590" i="5"/>
  <c r="AA591" i="5"/>
  <c r="AA592" i="5"/>
  <c r="AA593" i="5"/>
  <c r="AA594" i="5"/>
  <c r="AA595" i="5"/>
  <c r="AA596" i="5"/>
  <c r="AA597" i="5"/>
  <c r="AA598" i="5"/>
  <c r="AA599" i="5"/>
  <c r="AA600" i="5"/>
  <c r="AA601" i="5"/>
  <c r="AA602" i="5"/>
  <c r="AA603" i="5"/>
  <c r="AA604" i="5"/>
  <c r="AA605" i="5"/>
  <c r="AA606" i="5"/>
  <c r="AA607" i="5"/>
  <c r="AA608" i="5"/>
  <c r="AA609" i="5"/>
  <c r="AA610" i="5"/>
  <c r="AA611" i="5"/>
  <c r="AA612" i="5"/>
  <c r="AA613" i="5"/>
  <c r="AA614" i="5"/>
  <c r="AA615" i="5"/>
  <c r="AA616" i="5"/>
  <c r="AA617" i="5"/>
  <c r="AA618" i="5"/>
  <c r="AA619" i="5"/>
  <c r="AA620" i="5"/>
  <c r="AA621" i="5"/>
  <c r="AA622" i="5"/>
  <c r="AA623" i="5"/>
  <c r="AA624" i="5"/>
  <c r="AA625" i="5"/>
  <c r="AA626" i="5"/>
  <c r="AA627" i="5"/>
  <c r="AA628" i="5"/>
  <c r="AA629" i="5"/>
  <c r="AA630" i="5"/>
  <c r="AA631" i="5"/>
  <c r="AA632" i="5"/>
  <c r="AA633" i="5"/>
  <c r="AA634" i="5"/>
  <c r="AA635" i="5"/>
  <c r="AA636" i="5"/>
  <c r="AA637" i="5"/>
  <c r="AA638" i="5"/>
  <c r="AA639" i="5"/>
  <c r="AA640" i="5"/>
  <c r="AA641" i="5"/>
  <c r="AA642" i="5"/>
  <c r="AA643" i="5"/>
  <c r="AA644" i="5"/>
  <c r="AA645" i="5"/>
  <c r="AA646" i="5"/>
  <c r="AA647" i="5"/>
  <c r="AA648" i="5"/>
  <c r="AA649" i="5"/>
  <c r="AA650" i="5"/>
  <c r="AA651" i="5"/>
  <c r="AA652" i="5"/>
  <c r="AA653" i="5"/>
  <c r="AA654" i="5"/>
  <c r="AA655" i="5"/>
  <c r="AA656" i="5"/>
  <c r="AA657" i="5"/>
  <c r="AA658" i="5"/>
  <c r="AA659" i="5"/>
  <c r="AA660" i="5"/>
  <c r="AA661" i="5"/>
  <c r="AA662" i="5"/>
  <c r="AA663" i="5"/>
  <c r="AA664" i="5"/>
  <c r="AA665" i="5"/>
  <c r="AA666" i="5"/>
  <c r="AA667" i="5"/>
  <c r="AA668" i="5"/>
  <c r="AA669" i="5"/>
  <c r="AA670" i="5"/>
  <c r="AA671" i="5"/>
  <c r="AA672" i="5"/>
  <c r="AA673" i="5"/>
  <c r="AA674" i="5"/>
  <c r="AA675" i="5"/>
  <c r="AA676" i="5"/>
  <c r="AA677" i="5"/>
  <c r="AA678" i="5"/>
  <c r="AA679" i="5"/>
  <c r="AA680" i="5"/>
  <c r="AA681" i="5"/>
  <c r="AA682" i="5"/>
  <c r="AA683" i="5"/>
  <c r="AA684" i="5"/>
  <c r="AA685" i="5"/>
  <c r="AA686" i="5"/>
  <c r="AA687" i="5"/>
  <c r="AA688" i="5"/>
  <c r="AA689" i="5"/>
  <c r="AA690" i="5"/>
  <c r="AA691" i="5"/>
  <c r="AA692" i="5"/>
  <c r="AA693" i="5"/>
  <c r="AA694" i="5"/>
  <c r="AA695" i="5"/>
  <c r="AA696" i="5"/>
  <c r="AA697" i="5"/>
  <c r="AA698" i="5"/>
  <c r="AA699" i="5"/>
  <c r="AA700" i="5"/>
  <c r="AA701" i="5"/>
  <c r="AA702" i="5"/>
  <c r="AA703" i="5"/>
  <c r="AA704" i="5"/>
  <c r="AA705" i="5"/>
  <c r="AA706" i="5"/>
  <c r="AA707" i="5"/>
  <c r="AA708" i="5"/>
  <c r="AA709" i="5"/>
  <c r="AA710" i="5"/>
  <c r="AA711" i="5"/>
  <c r="AA712" i="5"/>
  <c r="AA713" i="5"/>
  <c r="AA714" i="5"/>
  <c r="AA715" i="5"/>
  <c r="AA716" i="5"/>
  <c r="AA717" i="5"/>
  <c r="AA718" i="5"/>
  <c r="AA719" i="5"/>
  <c r="AA720" i="5"/>
  <c r="AA721" i="5"/>
  <c r="AA722" i="5"/>
  <c r="AA723" i="5"/>
  <c r="AA724" i="5"/>
  <c r="AA725" i="5"/>
  <c r="AA726" i="5"/>
  <c r="AA727" i="5"/>
  <c r="AA728" i="5"/>
  <c r="AA729" i="5"/>
  <c r="AA730" i="5"/>
  <c r="AA731" i="5"/>
  <c r="AA732" i="5"/>
  <c r="AA733" i="5"/>
  <c r="AA734" i="5"/>
  <c r="AA735" i="5"/>
  <c r="AA736" i="5"/>
  <c r="AA737" i="5"/>
  <c r="AA738" i="5"/>
  <c r="AA739" i="5"/>
  <c r="AA740" i="5"/>
  <c r="AA741" i="5"/>
  <c r="AA742" i="5"/>
  <c r="AA743" i="5"/>
  <c r="AA744" i="5"/>
  <c r="AA745" i="5"/>
  <c r="AA746" i="5"/>
  <c r="AA747" i="5"/>
  <c r="AA748" i="5"/>
  <c r="AA749" i="5"/>
  <c r="AA750" i="5"/>
  <c r="AA751" i="5"/>
  <c r="AA752" i="5"/>
  <c r="AA753" i="5"/>
  <c r="AA754" i="5"/>
  <c r="AA755" i="5"/>
  <c r="AA756" i="5"/>
  <c r="AA757" i="5"/>
  <c r="AA758" i="5"/>
  <c r="AA759" i="5"/>
  <c r="AA760" i="5"/>
  <c r="AA761" i="5"/>
  <c r="AA762" i="5"/>
  <c r="AA763" i="5"/>
  <c r="AA764" i="5"/>
  <c r="AA765" i="5"/>
  <c r="AA766" i="5"/>
  <c r="AA767" i="5"/>
  <c r="AA768" i="5"/>
  <c r="AA769" i="5"/>
  <c r="AA770" i="5"/>
  <c r="AA771" i="5"/>
  <c r="AA772" i="5"/>
  <c r="AA773" i="5"/>
  <c r="AA774" i="5"/>
  <c r="AA775" i="5"/>
  <c r="AA776" i="5"/>
  <c r="AA777" i="5"/>
  <c r="AA778" i="5"/>
  <c r="AA779" i="5"/>
  <c r="AA780" i="5"/>
  <c r="AA781" i="5"/>
  <c r="AA782" i="5"/>
  <c r="AA783" i="5"/>
  <c r="AA784" i="5"/>
  <c r="AA785" i="5"/>
  <c r="AA786" i="5"/>
  <c r="AA787" i="5"/>
  <c r="AA788" i="5"/>
  <c r="AA789" i="5"/>
  <c r="AA790" i="5"/>
  <c r="AA791" i="5"/>
  <c r="AA792" i="5"/>
  <c r="AA793" i="5"/>
  <c r="AA794" i="5"/>
  <c r="AA795" i="5"/>
  <c r="AA796" i="5"/>
  <c r="AA797" i="5"/>
  <c r="AA798" i="5"/>
  <c r="AA799" i="5"/>
  <c r="AA800" i="5"/>
  <c r="AA801" i="5"/>
  <c r="AA802" i="5"/>
  <c r="AA803" i="5"/>
  <c r="AA804" i="5"/>
  <c r="AA805" i="5"/>
  <c r="AA806" i="5"/>
  <c r="AA807" i="5"/>
  <c r="AA808" i="5"/>
  <c r="AA809" i="5"/>
  <c r="AA810" i="5"/>
  <c r="AA811" i="5"/>
  <c r="AA812" i="5"/>
  <c r="AA813" i="5"/>
  <c r="AA814" i="5"/>
  <c r="AA815" i="5"/>
  <c r="AA816" i="5"/>
  <c r="AA817" i="5"/>
  <c r="AA818" i="5"/>
  <c r="AA819" i="5"/>
  <c r="AA820" i="5"/>
  <c r="AA821" i="5"/>
  <c r="AA822" i="5"/>
  <c r="AA823" i="5"/>
  <c r="AA824" i="5"/>
  <c r="AA825" i="5"/>
  <c r="AA826" i="5"/>
  <c r="AA827" i="5"/>
  <c r="AA828" i="5"/>
  <c r="AA829" i="5"/>
  <c r="AA830" i="5"/>
  <c r="AA831" i="5"/>
  <c r="AA832" i="5"/>
  <c r="AA833" i="5"/>
  <c r="AA834" i="5"/>
  <c r="AA835" i="5"/>
  <c r="AA836" i="5"/>
  <c r="AA837" i="5"/>
  <c r="AA838" i="5"/>
  <c r="AA839" i="5"/>
  <c r="AA840" i="5"/>
  <c r="AA841" i="5"/>
  <c r="AA842" i="5"/>
  <c r="AA843" i="5"/>
  <c r="AA844" i="5"/>
  <c r="AA845" i="5"/>
  <c r="AA846" i="5"/>
  <c r="AA847" i="5"/>
  <c r="AA848" i="5"/>
  <c r="AA849" i="5"/>
  <c r="AA850" i="5"/>
  <c r="AA851" i="5"/>
  <c r="AA852" i="5"/>
  <c r="AA853" i="5"/>
  <c r="AA854" i="5"/>
  <c r="AA855" i="5"/>
  <c r="AA856" i="5"/>
  <c r="AA857" i="5"/>
  <c r="AA858" i="5"/>
  <c r="AA859" i="5"/>
  <c r="AA860" i="5"/>
  <c r="AA861" i="5"/>
  <c r="AA862" i="5"/>
  <c r="AA863" i="5"/>
  <c r="AA864" i="5"/>
  <c r="AA865" i="5"/>
  <c r="AA866" i="5"/>
  <c r="AA867" i="5"/>
  <c r="AA868" i="5"/>
  <c r="AA869" i="5"/>
  <c r="AA870" i="5"/>
  <c r="AA871" i="5"/>
  <c r="AA872" i="5"/>
  <c r="AA873" i="5"/>
  <c r="AA874" i="5"/>
  <c r="AA875" i="5"/>
  <c r="AA876" i="5"/>
  <c r="AA877" i="5"/>
  <c r="AA878" i="5"/>
  <c r="AA879" i="5"/>
  <c r="AA880" i="5"/>
  <c r="AA881" i="5"/>
  <c r="AA882" i="5"/>
  <c r="AA883" i="5"/>
  <c r="AA884" i="5"/>
  <c r="AA885" i="5"/>
  <c r="AA886" i="5"/>
  <c r="AA887" i="5"/>
  <c r="AA888" i="5"/>
  <c r="AA889" i="5"/>
  <c r="AA890" i="5"/>
  <c r="AA891" i="5"/>
  <c r="AA892" i="5"/>
  <c r="AA893" i="5"/>
  <c r="AA894" i="5"/>
  <c r="AA895" i="5"/>
  <c r="AA896" i="5"/>
  <c r="AA897" i="5"/>
  <c r="AA898" i="5"/>
  <c r="AA899" i="5"/>
  <c r="AA900" i="5"/>
  <c r="AA901" i="5"/>
  <c r="AA902" i="5"/>
  <c r="AA903" i="5"/>
  <c r="AA904" i="5"/>
  <c r="AA905" i="5"/>
  <c r="AA906" i="5"/>
  <c r="AA907" i="5"/>
  <c r="AA908" i="5"/>
  <c r="AA909" i="5"/>
  <c r="AA910" i="5"/>
  <c r="AA911" i="5"/>
  <c r="AA912" i="5"/>
  <c r="AA913" i="5"/>
  <c r="AA914" i="5"/>
  <c r="AA915" i="5"/>
  <c r="AA916" i="5"/>
  <c r="AA917" i="5"/>
  <c r="AA918" i="5"/>
  <c r="AA919" i="5"/>
  <c r="AA920" i="5"/>
  <c r="AA921" i="5"/>
  <c r="AA922" i="5"/>
  <c r="AA923" i="5"/>
  <c r="AA924" i="5"/>
  <c r="AA925" i="5"/>
  <c r="AA926" i="5"/>
  <c r="AA927" i="5"/>
  <c r="AA928" i="5"/>
  <c r="AA929" i="5"/>
  <c r="AA930" i="5"/>
  <c r="AA931" i="5"/>
  <c r="AA932" i="5"/>
  <c r="AA933" i="5"/>
  <c r="AA934" i="5"/>
  <c r="AA935" i="5"/>
  <c r="AA936" i="5"/>
  <c r="AA937" i="5"/>
  <c r="AA938" i="5"/>
  <c r="AA939" i="5"/>
  <c r="AA940" i="5"/>
  <c r="AA941" i="5"/>
  <c r="AA942" i="5"/>
  <c r="AA943" i="5"/>
  <c r="AA944" i="5"/>
  <c r="AA945" i="5"/>
  <c r="AA946" i="5"/>
  <c r="AA947" i="5"/>
  <c r="AA948" i="5"/>
  <c r="AA949" i="5"/>
  <c r="AA950" i="5"/>
  <c r="AA951" i="5"/>
  <c r="AA952" i="5"/>
  <c r="AA953" i="5"/>
  <c r="AA954" i="5"/>
  <c r="AA955" i="5"/>
  <c r="AA956" i="5"/>
  <c r="AA957" i="5"/>
  <c r="AA958" i="5"/>
  <c r="AA959" i="5"/>
  <c r="AA960" i="5"/>
  <c r="AA961" i="5"/>
  <c r="AA962" i="5"/>
  <c r="AA963" i="5"/>
  <c r="AA964" i="5"/>
  <c r="AA965" i="5"/>
  <c r="AA966" i="5"/>
  <c r="AA967" i="5"/>
  <c r="AA968" i="5"/>
  <c r="AA969" i="5"/>
  <c r="AA970" i="5"/>
  <c r="AA971" i="5"/>
  <c r="AA972" i="5"/>
  <c r="AA973" i="5"/>
  <c r="AA974" i="5"/>
  <c r="AA975" i="5"/>
  <c r="AA976" i="5"/>
  <c r="AA977" i="5"/>
  <c r="AA978" i="5"/>
  <c r="AA979" i="5"/>
  <c r="AA980" i="5"/>
  <c r="AA981" i="5"/>
  <c r="AA982" i="5"/>
  <c r="AA983" i="5"/>
  <c r="AA984" i="5"/>
  <c r="AA985" i="5"/>
  <c r="AA986" i="5"/>
  <c r="AA987" i="5"/>
  <c r="AA988" i="5"/>
  <c r="AA989" i="5"/>
  <c r="AA990" i="5"/>
  <c r="AA991" i="5"/>
  <c r="AA992" i="5"/>
  <c r="AA993" i="5"/>
  <c r="AA994" i="5"/>
  <c r="AA995" i="5"/>
  <c r="AA996" i="5"/>
  <c r="AA997" i="5"/>
  <c r="AA998" i="5"/>
  <c r="AA999" i="5"/>
  <c r="AA1000" i="5"/>
  <c r="AA1001" i="5"/>
  <c r="AA1002" i="5"/>
  <c r="AA1003" i="5"/>
  <c r="AA1004" i="5"/>
  <c r="AA1005" i="5"/>
  <c r="AA1006" i="5"/>
  <c r="AA1007" i="5"/>
  <c r="AA1008" i="5"/>
  <c r="AA1009" i="5"/>
  <c r="AA1010" i="5"/>
  <c r="AA1011" i="5"/>
  <c r="AA1012" i="5"/>
  <c r="AA1013" i="5"/>
  <c r="AA1014" i="5"/>
  <c r="AA1015" i="5"/>
  <c r="AA1016" i="5"/>
  <c r="AA1017" i="5"/>
  <c r="AA1018" i="5"/>
  <c r="AA1019" i="5"/>
  <c r="AA1020" i="5"/>
  <c r="AA1021" i="5"/>
  <c r="AA1022" i="5"/>
  <c r="AA1023" i="5"/>
  <c r="AA1024" i="5"/>
  <c r="AA1025" i="5"/>
  <c r="AA1026" i="5"/>
  <c r="AA1027" i="5"/>
  <c r="AA1028" i="5"/>
  <c r="AA1029" i="5"/>
  <c r="AA1030" i="5"/>
  <c r="AA1031" i="5"/>
  <c r="AA1032" i="5"/>
  <c r="AA1033" i="5"/>
  <c r="AA1034" i="5"/>
  <c r="AA1035" i="5"/>
  <c r="AA1036" i="5"/>
  <c r="AA1037" i="5"/>
  <c r="AA1038" i="5"/>
  <c r="AA1039" i="5"/>
  <c r="AA1040" i="5"/>
  <c r="AA1041" i="5"/>
  <c r="AA1042" i="5"/>
  <c r="AA1043" i="5"/>
  <c r="AA1044" i="5"/>
  <c r="AA1045" i="5"/>
  <c r="AA1046" i="5"/>
  <c r="AA1047" i="5"/>
  <c r="AA1048" i="5"/>
  <c r="AA1049" i="5"/>
  <c r="AA1050" i="5"/>
  <c r="AA1051" i="5"/>
  <c r="AA1052" i="5"/>
  <c r="AA1053" i="5"/>
  <c r="AA1054" i="5"/>
  <c r="AA1055" i="5"/>
  <c r="AA1056" i="5"/>
  <c r="AA1057" i="5"/>
  <c r="AA1058" i="5"/>
  <c r="AA1059" i="5"/>
  <c r="AA1060" i="5"/>
  <c r="AA1061" i="5"/>
  <c r="AA1062" i="5"/>
  <c r="AA1063" i="5"/>
  <c r="AA1064" i="5"/>
  <c r="AA1065" i="5"/>
  <c r="AA1066" i="5"/>
  <c r="AA1067" i="5"/>
  <c r="AA1068" i="5"/>
  <c r="AA1069" i="5"/>
  <c r="AA1070" i="5"/>
  <c r="AA1071" i="5"/>
  <c r="AA1072" i="5"/>
  <c r="AA1073" i="5"/>
  <c r="AA1074" i="5"/>
  <c r="AA1075" i="5"/>
  <c r="AA1076" i="5"/>
  <c r="AA1077" i="5"/>
  <c r="AA1078" i="5"/>
  <c r="AA1079" i="5"/>
  <c r="AA1080" i="5"/>
  <c r="AA1081" i="5"/>
  <c r="AA1082" i="5"/>
  <c r="AA1083" i="5"/>
  <c r="AA1084" i="5"/>
  <c r="AA1085" i="5"/>
  <c r="AA1086" i="5"/>
  <c r="AA1087" i="5"/>
  <c r="AA1088" i="5"/>
  <c r="AA1089" i="5"/>
  <c r="AA1090" i="5"/>
  <c r="AA1091" i="5"/>
  <c r="AA1092" i="5"/>
  <c r="AA1093" i="5"/>
  <c r="AA1094" i="5"/>
  <c r="AA1095" i="5"/>
  <c r="AA1096" i="5"/>
  <c r="AA1097" i="5"/>
  <c r="AA1098" i="5"/>
  <c r="AA1099" i="5"/>
  <c r="AA1100" i="5"/>
  <c r="AA1101" i="5"/>
  <c r="AA1102" i="5"/>
  <c r="AA1103" i="5"/>
  <c r="AA1104" i="5"/>
  <c r="AA1105" i="5"/>
  <c r="AA1106" i="5"/>
  <c r="AA1107" i="5"/>
  <c r="AA1108" i="5"/>
  <c r="AA1109" i="5"/>
  <c r="AA1110" i="5"/>
  <c r="AA1111" i="5"/>
  <c r="AA1112" i="5"/>
  <c r="AA1113" i="5"/>
  <c r="AA1114" i="5"/>
  <c r="AA1115" i="5"/>
  <c r="AA1116" i="5"/>
  <c r="AA1117" i="5"/>
  <c r="AA1118" i="5"/>
  <c r="AA1119" i="5"/>
  <c r="AA1120" i="5"/>
  <c r="AA1121" i="5"/>
  <c r="AA1122" i="5"/>
  <c r="AA1123" i="5"/>
  <c r="AA1124" i="5"/>
  <c r="AA1125" i="5"/>
  <c r="AA1126" i="5"/>
  <c r="AA1127" i="5"/>
  <c r="AA1128" i="5"/>
  <c r="AA1129" i="5"/>
  <c r="AA1130" i="5"/>
  <c r="AA1131" i="5"/>
  <c r="AA1132" i="5"/>
  <c r="AA1133" i="5"/>
  <c r="AA1134" i="5"/>
  <c r="AA1135" i="5"/>
  <c r="AA1136" i="5"/>
  <c r="AA1137" i="5"/>
  <c r="AA1138" i="5"/>
  <c r="AA1139" i="5"/>
  <c r="AA1140" i="5"/>
  <c r="AA1141" i="5"/>
  <c r="AA1142" i="5"/>
  <c r="AA1143" i="5"/>
  <c r="AA1144" i="5"/>
  <c r="AA1145" i="5"/>
  <c r="AA1146" i="5"/>
  <c r="AA1147" i="5"/>
  <c r="AA1148" i="5"/>
  <c r="AA1149" i="5"/>
  <c r="AA1150" i="5"/>
  <c r="AA1151" i="5"/>
  <c r="AA1152" i="5"/>
  <c r="AA1153" i="5"/>
  <c r="AA1154" i="5"/>
  <c r="AA1155" i="5"/>
  <c r="AA1156" i="5"/>
  <c r="AA1157" i="5"/>
  <c r="AA1158" i="5"/>
  <c r="AA1159" i="5"/>
  <c r="AA1160" i="5"/>
  <c r="AA1161" i="5"/>
  <c r="AA1162" i="5"/>
  <c r="AA1163" i="5"/>
  <c r="AA1164" i="5"/>
  <c r="AA1165" i="5"/>
  <c r="AA1166" i="5"/>
  <c r="AA1167" i="5"/>
  <c r="AA1168" i="5"/>
  <c r="AA1169" i="5"/>
  <c r="AA1170" i="5"/>
  <c r="AA1171" i="5"/>
  <c r="AA1172" i="5"/>
  <c r="AA1173" i="5"/>
  <c r="AA1174" i="5"/>
  <c r="AA1175" i="5"/>
  <c r="AA1176" i="5"/>
  <c r="AA1177" i="5"/>
  <c r="AA1178" i="5"/>
  <c r="AA1179" i="5"/>
  <c r="AA1180" i="5"/>
  <c r="AA1181" i="5"/>
  <c r="AA1182" i="5"/>
  <c r="AA1183" i="5"/>
  <c r="AA1184" i="5"/>
  <c r="AA1185" i="5"/>
  <c r="AA1186" i="5"/>
  <c r="AA1187" i="5"/>
  <c r="AA1188" i="5"/>
  <c r="AA1189" i="5"/>
  <c r="AA1190" i="5"/>
  <c r="AA1191" i="5"/>
  <c r="AA1192" i="5"/>
  <c r="AA1193" i="5"/>
  <c r="AA1194" i="5"/>
  <c r="AA1195" i="5"/>
  <c r="AA1196" i="5"/>
  <c r="AA1197" i="5"/>
  <c r="AA1198" i="5"/>
  <c r="AA1199" i="5"/>
  <c r="AA1200" i="5"/>
  <c r="AA1201" i="5"/>
  <c r="AA1202" i="5"/>
  <c r="AA1203" i="5"/>
  <c r="AA1204" i="5"/>
  <c r="AA1205" i="5"/>
  <c r="AA1206" i="5"/>
  <c r="AA1207" i="5"/>
  <c r="AA1208" i="5"/>
  <c r="AA1209" i="5"/>
  <c r="AA1210" i="5"/>
  <c r="AA1211" i="5"/>
  <c r="AA1212" i="5"/>
  <c r="AA1213" i="5"/>
  <c r="AA1214" i="5"/>
  <c r="AA1215" i="5"/>
  <c r="AA1216" i="5"/>
  <c r="AA1217" i="5"/>
  <c r="AA1218" i="5"/>
  <c r="AA1219" i="5"/>
  <c r="AA1220" i="5"/>
  <c r="AA1221" i="5"/>
  <c r="AA1222" i="5"/>
  <c r="AA1223" i="5"/>
  <c r="AA1224" i="5"/>
  <c r="AA1225" i="5"/>
  <c r="AA1226" i="5"/>
  <c r="AA1227" i="5"/>
  <c r="AA1228" i="5"/>
  <c r="AA1229" i="5"/>
  <c r="AA1230" i="5"/>
  <c r="AA1231" i="5"/>
  <c r="AA1232" i="5"/>
  <c r="AA1233" i="5"/>
  <c r="AA1234" i="5"/>
  <c r="AA1235" i="5"/>
  <c r="AA1236" i="5"/>
  <c r="AA1237" i="5"/>
  <c r="AA1238" i="5"/>
  <c r="AA1239" i="5"/>
  <c r="AA1240" i="5"/>
  <c r="AA1241" i="5"/>
  <c r="AA1242" i="5"/>
  <c r="AA1243" i="5"/>
  <c r="AA1244" i="5"/>
  <c r="AA1245" i="5"/>
  <c r="AA1246" i="5"/>
  <c r="AA1247" i="5"/>
  <c r="AA1248" i="5"/>
  <c r="AA1249" i="5"/>
  <c r="AA1250" i="5"/>
  <c r="AA1251" i="5"/>
  <c r="AA1252" i="5"/>
  <c r="AA1253" i="5"/>
  <c r="AA1254" i="5"/>
  <c r="AA1255" i="5"/>
  <c r="AA1256" i="5"/>
  <c r="AA1257" i="5"/>
  <c r="AA1258" i="5"/>
  <c r="AA1259" i="5"/>
  <c r="AA1260" i="5"/>
  <c r="AA1261" i="5"/>
  <c r="AA1262" i="5"/>
  <c r="AA1263" i="5"/>
  <c r="AA1264" i="5"/>
  <c r="AA1265" i="5"/>
  <c r="AA1266" i="5"/>
  <c r="AA1267" i="5"/>
  <c r="AA1268" i="5"/>
  <c r="AA1269" i="5"/>
  <c r="AA1270" i="5"/>
  <c r="AA1271" i="5"/>
  <c r="AA1272" i="5"/>
  <c r="AA1273" i="5"/>
  <c r="AA1274" i="5"/>
  <c r="AA1275" i="5"/>
  <c r="AA1276" i="5"/>
  <c r="AA1277" i="5"/>
  <c r="AA1278" i="5"/>
  <c r="AA1279" i="5"/>
  <c r="AA1280" i="5"/>
  <c r="AA1281" i="5"/>
  <c r="AA1282" i="5"/>
  <c r="AA1283" i="5"/>
  <c r="AA1284" i="5"/>
  <c r="AA1285" i="5"/>
  <c r="AA1286" i="5"/>
  <c r="AA1287" i="5"/>
  <c r="AA1288" i="5"/>
  <c r="AA1289" i="5"/>
  <c r="AA1290" i="5"/>
  <c r="AA1291" i="5"/>
  <c r="AA1292" i="5"/>
  <c r="AA1293" i="5"/>
  <c r="AA1294" i="5"/>
  <c r="AA1295" i="5"/>
  <c r="AA1296" i="5"/>
  <c r="AA1297" i="5"/>
  <c r="AA1298" i="5"/>
  <c r="AA1299" i="5"/>
  <c r="AA1300" i="5"/>
  <c r="AA1301" i="5"/>
  <c r="AA1302" i="5"/>
  <c r="AA1303" i="5"/>
  <c r="AA1304" i="5"/>
  <c r="AA1305" i="5"/>
  <c r="AA1306" i="5"/>
  <c r="AA1307" i="5"/>
  <c r="AA1308" i="5"/>
  <c r="AA1309" i="5"/>
  <c r="AA1310" i="5"/>
  <c r="AA1311" i="5"/>
  <c r="AA1312" i="5"/>
  <c r="AA1313" i="5"/>
  <c r="AA1314" i="5"/>
  <c r="AA1315" i="5"/>
  <c r="AA1316" i="5"/>
  <c r="AA1317" i="5"/>
  <c r="AA1318" i="5"/>
  <c r="AA1319" i="5"/>
  <c r="AA1320" i="5"/>
  <c r="AA1321" i="5"/>
  <c r="AA1322" i="5"/>
  <c r="AA1323" i="5"/>
  <c r="AA1324" i="5"/>
  <c r="AA1325" i="5"/>
  <c r="AA1326" i="5"/>
  <c r="AA1327" i="5"/>
  <c r="AA1328" i="5"/>
  <c r="AA1329" i="5"/>
  <c r="AA1330" i="5"/>
  <c r="AA1331" i="5"/>
  <c r="AA1332" i="5"/>
  <c r="AA1333" i="5"/>
  <c r="AA1334" i="5"/>
  <c r="AA1335" i="5"/>
  <c r="AA1336" i="5"/>
  <c r="AA1337" i="5"/>
  <c r="AA1338" i="5"/>
  <c r="AA1339" i="5"/>
  <c r="AA1340" i="5"/>
  <c r="AA1341" i="5"/>
  <c r="AA1342" i="5"/>
  <c r="AA1343" i="5"/>
  <c r="AA1344" i="5"/>
  <c r="AA1345" i="5"/>
  <c r="AA1346" i="5"/>
  <c r="AA1347" i="5"/>
  <c r="AA1348" i="5"/>
  <c r="AA1349" i="5"/>
  <c r="AA1350" i="5"/>
  <c r="AA1351" i="5"/>
  <c r="AA1352" i="5"/>
  <c r="AA1353" i="5"/>
  <c r="AA1354" i="5"/>
  <c r="AA1355" i="5"/>
  <c r="AA1356" i="5"/>
  <c r="AA1357" i="5"/>
  <c r="AA1358" i="5"/>
  <c r="AA1359" i="5"/>
  <c r="AA1360" i="5"/>
  <c r="AA1361" i="5"/>
  <c r="AA1362" i="5"/>
  <c r="AA1363" i="5"/>
  <c r="AA1364" i="5"/>
  <c r="AA1365" i="5"/>
  <c r="AA1366" i="5"/>
  <c r="AA1367" i="5"/>
  <c r="AA1368" i="5"/>
  <c r="AA1369" i="5"/>
  <c r="AA1370" i="5"/>
  <c r="AA1371" i="5"/>
  <c r="AA1372" i="5"/>
  <c r="AA1373" i="5"/>
  <c r="AA1374" i="5"/>
  <c r="AA1375" i="5"/>
  <c r="AA1376" i="5"/>
  <c r="AA1377" i="5"/>
  <c r="AA1378" i="5"/>
  <c r="AA1379" i="5"/>
  <c r="AA1380" i="5"/>
  <c r="AA1381" i="5"/>
  <c r="AA1382" i="5"/>
  <c r="AA1383" i="5"/>
  <c r="AA1384" i="5"/>
  <c r="AA1385" i="5"/>
  <c r="AA1386" i="5"/>
  <c r="AA1387" i="5"/>
  <c r="AA1388" i="5"/>
  <c r="AA1389" i="5"/>
  <c r="AA1390" i="5"/>
  <c r="AA1391" i="5"/>
  <c r="AA1392" i="5"/>
  <c r="AA1393" i="5"/>
  <c r="AA1394" i="5"/>
  <c r="AA1395" i="5"/>
  <c r="AA1396" i="5"/>
  <c r="AA1397" i="5"/>
  <c r="AA1398" i="5"/>
  <c r="AA1399" i="5"/>
  <c r="AA1400" i="5"/>
  <c r="AA1401" i="5"/>
  <c r="AA1402" i="5"/>
  <c r="AA1403" i="5"/>
  <c r="AA1404" i="5"/>
  <c r="AA1405" i="5"/>
  <c r="AA1406" i="5"/>
  <c r="AA1407" i="5"/>
  <c r="AA1408" i="5"/>
  <c r="AA1409" i="5"/>
  <c r="AA1410" i="5"/>
  <c r="AA1411" i="5"/>
  <c r="AA1412" i="5"/>
  <c r="AA1413" i="5"/>
  <c r="AA1414" i="5"/>
  <c r="AA1415" i="5"/>
  <c r="AA1416" i="5"/>
  <c r="AA1417" i="5"/>
  <c r="AA1418" i="5"/>
  <c r="AA1419" i="5"/>
  <c r="AA1420" i="5"/>
  <c r="AA1421" i="5"/>
  <c r="AA1422" i="5"/>
  <c r="AA1423" i="5"/>
  <c r="AA1424" i="5"/>
  <c r="AA1425" i="5"/>
  <c r="AA1426" i="5"/>
  <c r="AA1427" i="5"/>
  <c r="AA1428" i="5"/>
  <c r="AA1429" i="5"/>
  <c r="AA1430" i="5"/>
  <c r="AA1431" i="5"/>
  <c r="AA1432" i="5"/>
  <c r="AA1433" i="5"/>
  <c r="AA1434" i="5"/>
  <c r="AA1435" i="5"/>
  <c r="AA1436" i="5"/>
  <c r="AA1437" i="5"/>
  <c r="AA1438" i="5"/>
  <c r="AA1439" i="5"/>
  <c r="AA1440" i="5"/>
  <c r="AA1441" i="5"/>
  <c r="AA1442" i="5"/>
  <c r="AA1443" i="5"/>
  <c r="AA1444" i="5"/>
  <c r="AA1445" i="5"/>
  <c r="AA1446" i="5"/>
  <c r="AA1447" i="5"/>
  <c r="AA1448" i="5"/>
  <c r="AA1449" i="5"/>
  <c r="AA1450" i="5"/>
  <c r="AA1451" i="5"/>
  <c r="AA1452" i="5"/>
  <c r="AA1453" i="5"/>
  <c r="AA1454" i="5"/>
  <c r="AA1455" i="5"/>
  <c r="AA1456" i="5"/>
  <c r="AA1457" i="5"/>
  <c r="AA1458" i="5"/>
  <c r="AA1459" i="5"/>
  <c r="AA1460" i="5"/>
  <c r="AA1461" i="5"/>
  <c r="AA1462" i="5"/>
  <c r="AA1463" i="5"/>
  <c r="AA1464" i="5"/>
  <c r="AA1465" i="5"/>
  <c r="AA1466" i="5"/>
  <c r="AA1467" i="5"/>
  <c r="AA1468" i="5"/>
  <c r="AA1469" i="5"/>
  <c r="AA1470" i="5"/>
  <c r="AA1471" i="5"/>
  <c r="AA1472" i="5"/>
  <c r="AA1473" i="5"/>
  <c r="AA1474" i="5"/>
  <c r="AA1475" i="5"/>
  <c r="AA1476" i="5"/>
  <c r="AA1477" i="5"/>
  <c r="AA1478" i="5"/>
  <c r="AA1479" i="5"/>
  <c r="AA1480" i="5"/>
  <c r="AA1481" i="5"/>
  <c r="AA1482" i="5"/>
  <c r="AA1483" i="5"/>
  <c r="AA1484" i="5"/>
  <c r="AA1485" i="5"/>
  <c r="AA1486" i="5"/>
  <c r="AA1487" i="5"/>
  <c r="AA1488" i="5"/>
  <c r="AA1489" i="5"/>
  <c r="AA1490" i="5"/>
  <c r="AA1491" i="5"/>
  <c r="AA1492" i="5"/>
  <c r="AA1493" i="5"/>
  <c r="AA1494" i="5"/>
  <c r="AA1495" i="5"/>
  <c r="AA1496" i="5"/>
  <c r="AA1497" i="5"/>
  <c r="AA1498" i="5"/>
  <c r="AA1499" i="5"/>
  <c r="AA1500" i="5"/>
  <c r="AA1501" i="5"/>
  <c r="AA1502" i="5"/>
  <c r="AA1503" i="5"/>
  <c r="AA1504" i="5"/>
  <c r="AA1505" i="5"/>
  <c r="AA1506" i="5"/>
  <c r="AA1507" i="5"/>
  <c r="AA1508" i="5"/>
  <c r="AA1509" i="5"/>
  <c r="AA1510" i="5"/>
  <c r="AA1511" i="5"/>
  <c r="AA1512" i="5"/>
  <c r="AA1513" i="5"/>
  <c r="AA1514" i="5"/>
  <c r="AA1515" i="5"/>
  <c r="AA1516" i="5"/>
  <c r="AA1517" i="5"/>
  <c r="AA1518" i="5"/>
  <c r="AA1519" i="5"/>
  <c r="AA1520" i="5"/>
  <c r="AA1521" i="5"/>
  <c r="AA1522" i="5"/>
  <c r="AA1523" i="5"/>
  <c r="AA1524" i="5"/>
  <c r="AA1525" i="5"/>
  <c r="AA1526" i="5"/>
  <c r="AA1527" i="5"/>
  <c r="AA1528" i="5"/>
  <c r="AA1529" i="5"/>
  <c r="AA1530" i="5"/>
  <c r="AA1531" i="5"/>
  <c r="AA1532" i="5"/>
  <c r="AA1533" i="5"/>
  <c r="AA1534" i="5"/>
  <c r="AA1535" i="5"/>
  <c r="AA1536" i="5"/>
  <c r="AA1537" i="5"/>
  <c r="AA1538" i="5"/>
  <c r="AA1539" i="5"/>
  <c r="AA1540" i="5"/>
  <c r="AA1541" i="5"/>
  <c r="AA1542" i="5"/>
  <c r="AA1543" i="5"/>
  <c r="AA1544" i="5"/>
  <c r="AA1545" i="5"/>
  <c r="AA1546" i="5"/>
  <c r="AA1547" i="5"/>
  <c r="AA1548" i="5"/>
  <c r="AA1549" i="5"/>
  <c r="AA1550" i="5"/>
  <c r="AA1551" i="5"/>
  <c r="AA1552" i="5"/>
  <c r="AA1553" i="5"/>
  <c r="AA1554" i="5"/>
  <c r="AA1555" i="5"/>
  <c r="AA1556" i="5"/>
  <c r="AA1557" i="5"/>
  <c r="AA1558" i="5"/>
  <c r="AA1559" i="5"/>
  <c r="AA1560" i="5"/>
  <c r="AA1561" i="5"/>
  <c r="AA1562" i="5"/>
  <c r="AA1563" i="5"/>
  <c r="AA1564" i="5"/>
  <c r="AA1565" i="5"/>
  <c r="AA1566" i="5"/>
  <c r="AA1567" i="5"/>
  <c r="AA1568" i="5"/>
  <c r="AA1569" i="5"/>
  <c r="AA1570" i="5"/>
  <c r="AA1571" i="5"/>
  <c r="AA1572" i="5"/>
  <c r="AA1573" i="5"/>
  <c r="AA1574" i="5"/>
  <c r="AA1575" i="5"/>
  <c r="AA1576" i="5"/>
  <c r="AA1577" i="5"/>
  <c r="AA1578" i="5"/>
  <c r="AA1579" i="5"/>
  <c r="AA1580" i="5"/>
  <c r="AA1581" i="5"/>
  <c r="AA1582" i="5"/>
  <c r="AA1583" i="5"/>
  <c r="AA1584" i="5"/>
  <c r="AA1585" i="5"/>
  <c r="AA1586" i="5"/>
  <c r="AA1587" i="5"/>
  <c r="AA1588" i="5"/>
  <c r="AA1589" i="5"/>
  <c r="AA1590" i="5"/>
  <c r="AA1591" i="5"/>
  <c r="AA1592" i="5"/>
  <c r="AA1593" i="5"/>
  <c r="AA1594" i="5"/>
  <c r="AA1595" i="5"/>
  <c r="AA1596" i="5"/>
  <c r="AA1597" i="5"/>
  <c r="AA1598" i="5"/>
  <c r="AA1599" i="5"/>
  <c r="AA1600" i="5"/>
  <c r="AA1601" i="5"/>
  <c r="AA1602" i="5"/>
  <c r="AA1603" i="5"/>
  <c r="AA1604" i="5"/>
  <c r="AA1605" i="5"/>
  <c r="AA1606" i="5"/>
  <c r="AA1607" i="5"/>
  <c r="AA1608" i="5"/>
  <c r="AA1609" i="5"/>
  <c r="AA1610" i="5"/>
  <c r="AA1611" i="5"/>
  <c r="AA1612" i="5"/>
  <c r="AA1613" i="5"/>
  <c r="AA1614" i="5"/>
  <c r="AA1615" i="5"/>
  <c r="AA1616" i="5"/>
  <c r="AA1617" i="5"/>
  <c r="AA1618" i="5"/>
  <c r="AA1619" i="5"/>
  <c r="AA1620" i="5"/>
  <c r="AA1621" i="5"/>
  <c r="AA1622" i="5"/>
  <c r="AA1623" i="5"/>
  <c r="AA1624" i="5"/>
  <c r="AA1625" i="5"/>
  <c r="AA1626" i="5"/>
  <c r="AA1627" i="5"/>
  <c r="AA1628" i="5"/>
  <c r="AA1629" i="5"/>
  <c r="AA1630" i="5"/>
  <c r="AA1631" i="5"/>
  <c r="AA1632" i="5"/>
  <c r="AA1633" i="5"/>
  <c r="AA1634" i="5"/>
  <c r="AA1635" i="5"/>
  <c r="AA1636" i="5"/>
  <c r="AA1637" i="5"/>
  <c r="AA1638" i="5"/>
  <c r="AA1639" i="5"/>
  <c r="AA1640" i="5"/>
  <c r="AA1641" i="5"/>
  <c r="C19" i="169" s="1"/>
  <c r="AA1642" i="5"/>
  <c r="AA1643" i="5"/>
  <c r="AA1644" i="5"/>
  <c r="AA1645" i="5"/>
  <c r="AA1646" i="5"/>
  <c r="AA1647" i="5"/>
  <c r="AA1648" i="5"/>
  <c r="AA1649" i="5"/>
  <c r="AA1650" i="5"/>
  <c r="AA1651" i="5"/>
  <c r="AA1652" i="5"/>
  <c r="AA1653" i="5"/>
  <c r="AA1654" i="5"/>
  <c r="AA1655" i="5"/>
  <c r="AA1656" i="5"/>
  <c r="AA1657" i="5"/>
  <c r="AA1658" i="5"/>
  <c r="AA1659" i="5"/>
  <c r="AA1660" i="5"/>
  <c r="AA1661" i="5"/>
  <c r="AA1662" i="5"/>
  <c r="AA1663" i="5"/>
  <c r="AA1664" i="5"/>
  <c r="AA1665" i="5"/>
  <c r="AA1666" i="5"/>
  <c r="AA1667" i="5"/>
  <c r="AA1668" i="5"/>
  <c r="AA1669" i="5"/>
  <c r="AA1672" i="5"/>
  <c r="AA1673" i="5"/>
  <c r="AA1674" i="5"/>
  <c r="AA1675" i="5"/>
  <c r="AA1676" i="5"/>
  <c r="AA1677" i="5"/>
  <c r="AA1678" i="5"/>
  <c r="AA1679" i="5"/>
  <c r="AA1670" i="5"/>
  <c r="AA1671" i="5"/>
  <c r="B3" i="169"/>
  <c r="B4" i="169"/>
  <c r="B5" i="169"/>
  <c r="B6" i="169"/>
  <c r="B7" i="169"/>
  <c r="B8" i="169"/>
  <c r="B9" i="169"/>
  <c r="B10" i="169"/>
  <c r="B11" i="169"/>
  <c r="B12" i="169"/>
  <c r="B13" i="169"/>
  <c r="B14" i="169"/>
  <c r="B15" i="169"/>
  <c r="B16" i="169"/>
  <c r="B17" i="169"/>
  <c r="B18" i="169"/>
  <c r="B19" i="169"/>
  <c r="B20" i="169"/>
  <c r="D20" i="169" s="1"/>
  <c r="E20" i="169" s="1"/>
  <c r="F20" i="169" s="1"/>
  <c r="B21" i="169"/>
  <c r="D21" i="169" s="1"/>
  <c r="E21" i="169" s="1"/>
  <c r="F21" i="169" s="1"/>
  <c r="B22" i="169"/>
  <c r="D22" i="169" s="1"/>
  <c r="E22" i="169" s="1"/>
  <c r="F22" i="169" s="1"/>
  <c r="B23" i="169"/>
  <c r="D23" i="169" s="1"/>
  <c r="E23" i="169" s="1"/>
  <c r="F23" i="169" s="1"/>
  <c r="B24" i="169"/>
  <c r="D24" i="169" s="1"/>
  <c r="E24" i="169" s="1"/>
  <c r="F24" i="169" s="1"/>
  <c r="B25" i="169"/>
  <c r="D25" i="169" s="1"/>
  <c r="E25" i="169" s="1"/>
  <c r="F25" i="169" s="1"/>
  <c r="B26" i="169"/>
  <c r="D26" i="169" s="1"/>
  <c r="E26" i="169" s="1"/>
  <c r="F26" i="169" s="1"/>
  <c r="B2" i="169"/>
  <c r="R1679" i="5"/>
  <c r="R1678" i="5"/>
  <c r="R1677" i="5"/>
  <c r="R1676" i="5"/>
  <c r="R1675" i="5"/>
  <c r="R1674" i="5"/>
  <c r="R1673" i="5"/>
  <c r="R1672" i="5"/>
  <c r="R1671" i="5"/>
  <c r="J1679" i="5"/>
  <c r="J1678" i="5"/>
  <c r="J1677" i="5"/>
  <c r="J1676" i="5"/>
  <c r="J1675" i="5"/>
  <c r="J1674" i="5"/>
  <c r="J1673" i="5"/>
  <c r="J1672" i="5"/>
  <c r="J1671" i="5"/>
  <c r="B3" i="175" l="1"/>
  <c r="B12" i="175"/>
  <c r="C12" i="175" s="1"/>
  <c r="B6" i="175"/>
  <c r="C6" i="175" s="1"/>
  <c r="B7" i="175"/>
  <c r="C7" i="175" s="1"/>
  <c r="B4" i="175"/>
  <c r="C4" i="175" s="1"/>
  <c r="B5" i="175"/>
  <c r="C5" i="175" s="1"/>
  <c r="XI58" i="178"/>
  <c r="XK16" i="178"/>
  <c r="XI59" i="178"/>
  <c r="XH61" i="178"/>
  <c r="XF61" i="178"/>
  <c r="WK64" i="178"/>
  <c r="WL64" i="178" s="1"/>
  <c r="WA17" i="178"/>
  <c r="VZ107" i="178"/>
  <c r="H24" i="188"/>
  <c r="D24" i="188"/>
  <c r="E24" i="188" s="1"/>
  <c r="B25" i="188"/>
  <c r="WW93" i="178"/>
  <c r="WU101" i="178"/>
  <c r="WS105" i="178" s="1"/>
  <c r="WU89" i="178"/>
  <c r="WU90" i="178" s="1"/>
  <c r="WT90" i="178" s="1"/>
  <c r="U15" i="180" s="1"/>
  <c r="WW89" i="178"/>
  <c r="WV98" i="178"/>
  <c r="WS99" i="178"/>
  <c r="WU99" i="178" s="1"/>
  <c r="WV99" i="178" s="1"/>
  <c r="VX102" i="178"/>
  <c r="VY102" i="178" s="1"/>
  <c r="VU103" i="178"/>
  <c r="VY105" i="178"/>
  <c r="WW94" i="178"/>
  <c r="WX94" i="178"/>
  <c r="WX100" i="178" s="1"/>
  <c r="Q17" i="180"/>
  <c r="VY106" i="178"/>
  <c r="WX95" i="178"/>
  <c r="WS95" i="178"/>
  <c r="WU95" i="178" s="1"/>
  <c r="WX96" i="178"/>
  <c r="YK98" i="178"/>
  <c r="YK92" i="178"/>
  <c r="YL92" i="178" s="1"/>
  <c r="YM92" i="178" s="1"/>
  <c r="YM93" i="178" s="1"/>
  <c r="YK103" i="178"/>
  <c r="YK104" i="178" s="1"/>
  <c r="YJ104" i="178" s="1"/>
  <c r="YM103" i="178"/>
  <c r="C34" i="169"/>
  <c r="D34" i="169" s="1"/>
  <c r="E34" i="169" s="1"/>
  <c r="F34" i="169" s="1"/>
  <c r="C32" i="169"/>
  <c r="D19" i="169"/>
  <c r="E19" i="169" s="1"/>
  <c r="F19" i="169" s="1"/>
  <c r="D12" i="169"/>
  <c r="E12" i="169" s="1"/>
  <c r="F12" i="169" s="1"/>
  <c r="D16" i="169"/>
  <c r="E16" i="169" s="1"/>
  <c r="F16" i="169" s="1"/>
  <c r="D15" i="169"/>
  <c r="E15" i="169" s="1"/>
  <c r="F15" i="169" s="1"/>
  <c r="D11" i="169"/>
  <c r="E11" i="169" s="1"/>
  <c r="F11" i="169" s="1"/>
  <c r="D18" i="169"/>
  <c r="E18" i="169" s="1"/>
  <c r="F18" i="169" s="1"/>
  <c r="D14" i="169"/>
  <c r="E14" i="169" s="1"/>
  <c r="F14" i="169" s="1"/>
  <c r="D10" i="169"/>
  <c r="E10" i="169" s="1"/>
  <c r="F10" i="169" s="1"/>
  <c r="D17" i="169"/>
  <c r="E17" i="169" s="1"/>
  <c r="F17" i="169" s="1"/>
  <c r="D13" i="169"/>
  <c r="E13" i="169" s="1"/>
  <c r="F13" i="169" s="1"/>
  <c r="D9" i="169"/>
  <c r="E9" i="169" s="1"/>
  <c r="F9" i="169" s="1"/>
  <c r="D8" i="169"/>
  <c r="E8" i="169" s="1"/>
  <c r="F8" i="169" s="1"/>
  <c r="C7" i="169"/>
  <c r="C6" i="169"/>
  <c r="T20" i="153"/>
  <c r="U20" i="153"/>
  <c r="C5" i="169"/>
  <c r="C4" i="169"/>
  <c r="C3" i="169"/>
  <c r="J85" i="150"/>
  <c r="J81" i="150"/>
  <c r="J77" i="150"/>
  <c r="J80" i="150"/>
  <c r="J75" i="150"/>
  <c r="J82" i="150"/>
  <c r="J76" i="150"/>
  <c r="J83" i="150"/>
  <c r="J78" i="150"/>
  <c r="J84" i="150"/>
  <c r="J79" i="150"/>
  <c r="J74" i="150"/>
  <c r="U19" i="153"/>
  <c r="U10" i="153"/>
  <c r="U4" i="153"/>
  <c r="U16" i="153"/>
  <c r="U21" i="153"/>
  <c r="U7" i="153"/>
  <c r="T10" i="153"/>
  <c r="T4" i="153"/>
  <c r="T16" i="153"/>
  <c r="T7" i="153"/>
  <c r="T19" i="153"/>
  <c r="T21" i="153"/>
  <c r="C2" i="169"/>
  <c r="B46" i="149"/>
  <c r="F19" i="149" s="1"/>
  <c r="B13" i="175" l="1"/>
  <c r="C3" i="175"/>
  <c r="C13" i="175" s="1"/>
  <c r="I1" i="169"/>
  <c r="F34" i="149"/>
  <c r="G15" i="149"/>
  <c r="H15" i="149" s="1"/>
  <c r="F23" i="149"/>
  <c r="G23" i="149" s="1"/>
  <c r="H23" i="149" s="1"/>
  <c r="F21" i="149"/>
  <c r="G21" i="149" s="1"/>
  <c r="H21" i="149" s="1"/>
  <c r="F29" i="149"/>
  <c r="F28" i="149"/>
  <c r="F26" i="149"/>
  <c r="G26" i="149" s="1"/>
  <c r="H26" i="149" s="1"/>
  <c r="F24" i="149"/>
  <c r="G24" i="149" s="1"/>
  <c r="H24" i="149" s="1"/>
  <c r="F25" i="149"/>
  <c r="G25" i="149" s="1"/>
  <c r="H25" i="149" s="1"/>
  <c r="F20" i="149"/>
  <c r="F17" i="149"/>
  <c r="F27" i="149"/>
  <c r="G27" i="149" s="1"/>
  <c r="H27" i="149" s="1"/>
  <c r="F22" i="149"/>
  <c r="G22" i="149" s="1"/>
  <c r="H22" i="149" s="1"/>
  <c r="F18" i="149"/>
  <c r="F32" i="149"/>
  <c r="G32" i="149" s="1"/>
  <c r="H32" i="149" s="1"/>
  <c r="F30" i="149"/>
  <c r="G30" i="149" s="1"/>
  <c r="H30" i="149" s="1"/>
  <c r="G34" i="149"/>
  <c r="H34" i="149" s="1"/>
  <c r="F36" i="149"/>
  <c r="G36" i="149" s="1"/>
  <c r="XJ63" i="178"/>
  <c r="XJ62" i="178"/>
  <c r="XI60" i="178"/>
  <c r="XJ60" i="178" s="1"/>
  <c r="XI61" i="178"/>
  <c r="XJ61" i="178"/>
  <c r="C25" i="188"/>
  <c r="G25" i="188"/>
  <c r="I24" i="188"/>
  <c r="J24" i="188" s="1"/>
  <c r="VY107" i="178"/>
  <c r="WW98" i="178"/>
  <c r="T16" i="180"/>
  <c r="WW99" i="178"/>
  <c r="WY16" i="178"/>
  <c r="WV95" i="178"/>
  <c r="WW95" i="178" s="1"/>
  <c r="WS96" i="178"/>
  <c r="VW103" i="178"/>
  <c r="VW104" i="178" s="1"/>
  <c r="VV104" i="178" s="1"/>
  <c r="R17" i="180" s="1"/>
  <c r="VY103" i="178"/>
  <c r="WV101" i="178"/>
  <c r="WT101" i="178"/>
  <c r="WU105" i="178"/>
  <c r="YN107" i="178"/>
  <c r="H17" i="179" s="1"/>
  <c r="YI105" i="178"/>
  <c r="YL98" i="178"/>
  <c r="YM98" i="178" s="1"/>
  <c r="YI99" i="178"/>
  <c r="YO17" i="178"/>
  <c r="K17" i="179" s="1"/>
  <c r="D32" i="169"/>
  <c r="E32" i="169" s="1"/>
  <c r="F32" i="169" s="1"/>
  <c r="U22" i="153"/>
  <c r="D2" i="169"/>
  <c r="E2" i="169" s="1"/>
  <c r="F2" i="169" s="1"/>
  <c r="D3" i="169"/>
  <c r="E3" i="169" s="1"/>
  <c r="F3" i="169" s="1"/>
  <c r="D4" i="169"/>
  <c r="E4" i="169" s="1"/>
  <c r="F4" i="169" s="1"/>
  <c r="D5" i="169"/>
  <c r="E5" i="169" s="1"/>
  <c r="F5" i="169" s="1"/>
  <c r="D6" i="169"/>
  <c r="D7" i="169"/>
  <c r="T22" i="153"/>
  <c r="XK17" i="178" l="1"/>
  <c r="XI63" i="178"/>
  <c r="XI62" i="178"/>
  <c r="H25" i="188"/>
  <c r="B26" i="188"/>
  <c r="D25" i="188"/>
  <c r="E25" i="188" s="1"/>
  <c r="WW100" i="178"/>
  <c r="WX103" i="178"/>
  <c r="WX102" i="178"/>
  <c r="WS102" i="178"/>
  <c r="WU102" i="178" s="1"/>
  <c r="WU96" i="178"/>
  <c r="WU97" i="178" s="1"/>
  <c r="WT97" i="178" s="1"/>
  <c r="U16" i="180" s="1"/>
  <c r="WW96" i="178"/>
  <c r="WV105" i="178"/>
  <c r="WS106" i="178"/>
  <c r="WU106" i="178" s="1"/>
  <c r="WV106" i="178" s="1"/>
  <c r="WW101" i="178"/>
  <c r="WX101" i="178"/>
  <c r="WX107" i="178" s="1"/>
  <c r="YK99" i="178"/>
  <c r="YL99" i="178" s="1"/>
  <c r="YM99" i="178" s="1"/>
  <c r="YM100" i="178" s="1"/>
  <c r="YK105" i="178"/>
  <c r="E6" i="169"/>
  <c r="F6" i="169" s="1"/>
  <c r="E7" i="169"/>
  <c r="F7" i="169" s="1"/>
  <c r="F63" i="149"/>
  <c r="XI64" i="178" l="1"/>
  <c r="XJ64" i="178" s="1"/>
  <c r="C26" i="188"/>
  <c r="G26" i="188"/>
  <c r="I25" i="188"/>
  <c r="J25" i="188" s="1"/>
  <c r="WW105" i="178"/>
  <c r="WV102" i="178"/>
  <c r="WW102" i="178" s="1"/>
  <c r="WS103" i="178"/>
  <c r="T17" i="180"/>
  <c r="WW106" i="178"/>
  <c r="WY17" i="178"/>
  <c r="YI106" i="178"/>
  <c r="YL105" i="178"/>
  <c r="YM105" i="178" s="1"/>
  <c r="W3" i="3"/>
  <c r="H26" i="188" l="1"/>
  <c r="D26" i="188"/>
  <c r="E26" i="188" s="1"/>
  <c r="B27" i="188"/>
  <c r="WW107" i="178"/>
  <c r="WU103" i="178"/>
  <c r="WU104" i="178" s="1"/>
  <c r="WT104" i="178" s="1"/>
  <c r="U17" i="180" s="1"/>
  <c r="WW103" i="178"/>
  <c r="YK106" i="178"/>
  <c r="YL106" i="178" s="1"/>
  <c r="YM106" i="178" s="1"/>
  <c r="YM107" i="178" s="1"/>
  <c r="V3" i="3"/>
  <c r="R1519" i="5"/>
  <c r="F51" i="149"/>
  <c r="F46" i="149"/>
  <c r="E58" i="149" s="1"/>
  <c r="D24" i="3"/>
  <c r="C27" i="188" l="1"/>
  <c r="G27" i="188"/>
  <c r="I26" i="188"/>
  <c r="J26" i="188" s="1"/>
  <c r="E60" i="149"/>
  <c r="B26" i="149"/>
  <c r="H27" i="188" l="1"/>
  <c r="B28" i="188"/>
  <c r="D27" i="188"/>
  <c r="E27" i="188" s="1"/>
  <c r="G50" i="149"/>
  <c r="H50" i="149" s="1"/>
  <c r="G49" i="149"/>
  <c r="H49" i="149" s="1"/>
  <c r="K40" i="3"/>
  <c r="E56" i="149"/>
  <c r="D57" i="149"/>
  <c r="C28" i="188" l="1"/>
  <c r="G28" i="188"/>
  <c r="I27" i="188"/>
  <c r="J27" i="188" s="1"/>
  <c r="H46" i="149"/>
  <c r="G46" i="149"/>
  <c r="I180" i="3"/>
  <c r="I181" i="3" s="1"/>
  <c r="I182" i="3" s="1"/>
  <c r="H28" i="188" l="1"/>
  <c r="D28" i="188"/>
  <c r="E28" i="188" s="1"/>
  <c r="B29" i="188"/>
  <c r="H41" i="149"/>
  <c r="E57" i="149"/>
  <c r="C29" i="188" l="1"/>
  <c r="G29" i="188"/>
  <c r="I28" i="188"/>
  <c r="J28" i="188" s="1"/>
  <c r="G57" i="149"/>
  <c r="E7" i="3"/>
  <c r="H7" i="3" s="1"/>
  <c r="A7" i="3"/>
  <c r="H29" i="188" l="1"/>
  <c r="B30" i="188"/>
  <c r="D29" i="188"/>
  <c r="E29" i="188" s="1"/>
  <c r="H37" i="149"/>
  <c r="H57" i="149"/>
  <c r="I57" i="149"/>
  <c r="I7" i="3"/>
  <c r="F7" i="3"/>
  <c r="G7" i="3"/>
  <c r="D6" i="152"/>
  <c r="C6" i="152"/>
  <c r="B6" i="152"/>
  <c r="V18" i="153"/>
  <c r="S18" i="153"/>
  <c r="M18" i="153"/>
  <c r="L18" i="153"/>
  <c r="K18" i="153"/>
  <c r="J18" i="153"/>
  <c r="I18" i="153"/>
  <c r="G18" i="153"/>
  <c r="F18" i="153"/>
  <c r="E18" i="153"/>
  <c r="D18" i="153"/>
  <c r="C18" i="153"/>
  <c r="V17" i="153"/>
  <c r="S17" i="153"/>
  <c r="M17" i="153"/>
  <c r="L17" i="153"/>
  <c r="K17" i="153"/>
  <c r="J17" i="153"/>
  <c r="I17" i="153"/>
  <c r="G17" i="153"/>
  <c r="F17" i="153"/>
  <c r="E17" i="153"/>
  <c r="D17" i="153"/>
  <c r="C17" i="153"/>
  <c r="B73" i="151"/>
  <c r="C73" i="151"/>
  <c r="D73" i="151"/>
  <c r="E73" i="151"/>
  <c r="F73" i="151"/>
  <c r="G73" i="151"/>
  <c r="H73" i="151"/>
  <c r="I73" i="151"/>
  <c r="C30" i="188" l="1"/>
  <c r="G30" i="188"/>
  <c r="I29" i="188"/>
  <c r="J29" i="188" s="1"/>
  <c r="W17" i="153"/>
  <c r="W18" i="153"/>
  <c r="H17" i="153"/>
  <c r="F19" i="153"/>
  <c r="K19" i="153"/>
  <c r="C19" i="153"/>
  <c r="G19" i="153"/>
  <c r="L19" i="153"/>
  <c r="D19" i="153"/>
  <c r="N18" i="153"/>
  <c r="M19" i="153"/>
  <c r="S19" i="153"/>
  <c r="N17" i="153"/>
  <c r="E19" i="153"/>
  <c r="J19" i="153"/>
  <c r="V19" i="153"/>
  <c r="I19" i="153"/>
  <c r="H18" i="153"/>
  <c r="B18" i="153" s="1"/>
  <c r="J73" i="151"/>
  <c r="J1510" i="5"/>
  <c r="R1510" i="5"/>
  <c r="J1511" i="5"/>
  <c r="R1511" i="5"/>
  <c r="J1512" i="5"/>
  <c r="R1512" i="5"/>
  <c r="J1513" i="5"/>
  <c r="R1513" i="5"/>
  <c r="J1514" i="5"/>
  <c r="R1514" i="5"/>
  <c r="J1515" i="5"/>
  <c r="R1515" i="5"/>
  <c r="J1516" i="5"/>
  <c r="R1516" i="5"/>
  <c r="J1517" i="5"/>
  <c r="R1517" i="5"/>
  <c r="J1518" i="5"/>
  <c r="R1518" i="5"/>
  <c r="J1519" i="5"/>
  <c r="J1520" i="5"/>
  <c r="R1520" i="5"/>
  <c r="J1521" i="5"/>
  <c r="R1521" i="5"/>
  <c r="J1522" i="5"/>
  <c r="R1522" i="5"/>
  <c r="J1523" i="5"/>
  <c r="R1523" i="5"/>
  <c r="J1524" i="5"/>
  <c r="R1524" i="5"/>
  <c r="J1525" i="5"/>
  <c r="R1525" i="5"/>
  <c r="J1526" i="5"/>
  <c r="R1526" i="5"/>
  <c r="J1527" i="5"/>
  <c r="R1527" i="5"/>
  <c r="J1528" i="5"/>
  <c r="R1528" i="5"/>
  <c r="J1529" i="5"/>
  <c r="R1529" i="5"/>
  <c r="J1530" i="5"/>
  <c r="R1530" i="5"/>
  <c r="J1531" i="5"/>
  <c r="R1531" i="5"/>
  <c r="J1532" i="5"/>
  <c r="R1532" i="5"/>
  <c r="J1533" i="5"/>
  <c r="R1533" i="5"/>
  <c r="J1534" i="5"/>
  <c r="R1534" i="5"/>
  <c r="J1535" i="5"/>
  <c r="R1535" i="5"/>
  <c r="J1536" i="5"/>
  <c r="R1536" i="5"/>
  <c r="J1537" i="5"/>
  <c r="R1537" i="5"/>
  <c r="J1538" i="5"/>
  <c r="R1538" i="5"/>
  <c r="J1539" i="5"/>
  <c r="R1539" i="5"/>
  <c r="J1540" i="5"/>
  <c r="R1540" i="5"/>
  <c r="J1541" i="5"/>
  <c r="R1541" i="5"/>
  <c r="J1542" i="5"/>
  <c r="R1542" i="5"/>
  <c r="J1543" i="5"/>
  <c r="R1543" i="5"/>
  <c r="J1544" i="5"/>
  <c r="R1544" i="5"/>
  <c r="J1545" i="5"/>
  <c r="R1545" i="5"/>
  <c r="J1546" i="5"/>
  <c r="R1546" i="5"/>
  <c r="J1547" i="5"/>
  <c r="R1547" i="5"/>
  <c r="J1548" i="5"/>
  <c r="R1548" i="5"/>
  <c r="J1549" i="5"/>
  <c r="R1549" i="5"/>
  <c r="J1550" i="5"/>
  <c r="R1550" i="5"/>
  <c r="J1551" i="5"/>
  <c r="R1551" i="5"/>
  <c r="J1552" i="5"/>
  <c r="R1552" i="5"/>
  <c r="J1553" i="5"/>
  <c r="R1553" i="5"/>
  <c r="J1554" i="5"/>
  <c r="R1554" i="5"/>
  <c r="J1555" i="5"/>
  <c r="R1555" i="5"/>
  <c r="J1556" i="5"/>
  <c r="R1556" i="5"/>
  <c r="J1557" i="5"/>
  <c r="R1557" i="5"/>
  <c r="J1558" i="5"/>
  <c r="R1558" i="5"/>
  <c r="J1559" i="5"/>
  <c r="R1559" i="5"/>
  <c r="J1560" i="5"/>
  <c r="R1560" i="5"/>
  <c r="J1561" i="5"/>
  <c r="R1561" i="5"/>
  <c r="J1562" i="5"/>
  <c r="R1562" i="5"/>
  <c r="J1563" i="5"/>
  <c r="R1563" i="5"/>
  <c r="J1564" i="5"/>
  <c r="R1564" i="5"/>
  <c r="J1565" i="5"/>
  <c r="R1565" i="5"/>
  <c r="J1566" i="5"/>
  <c r="R1566" i="5"/>
  <c r="J1567" i="5"/>
  <c r="R1567" i="5"/>
  <c r="J1568" i="5"/>
  <c r="R1568" i="5"/>
  <c r="J1569" i="5"/>
  <c r="R1569" i="5"/>
  <c r="J1570" i="5"/>
  <c r="R1570" i="5"/>
  <c r="J1571" i="5"/>
  <c r="R1571" i="5"/>
  <c r="J1572" i="5"/>
  <c r="R1572" i="5"/>
  <c r="J1573" i="5"/>
  <c r="R1573" i="5"/>
  <c r="J1574" i="5"/>
  <c r="R1574" i="5"/>
  <c r="J1575" i="5"/>
  <c r="R1575" i="5"/>
  <c r="J1576" i="5"/>
  <c r="R1576" i="5"/>
  <c r="J1577" i="5"/>
  <c r="R1577" i="5"/>
  <c r="J1578" i="5"/>
  <c r="R1578" i="5"/>
  <c r="J1579" i="5"/>
  <c r="R1579" i="5"/>
  <c r="J1580" i="5"/>
  <c r="R1580" i="5"/>
  <c r="J1581" i="5"/>
  <c r="R1581" i="5"/>
  <c r="J1582" i="5"/>
  <c r="R1582" i="5"/>
  <c r="J1583" i="5"/>
  <c r="R1583" i="5"/>
  <c r="J1584" i="5"/>
  <c r="R1584" i="5"/>
  <c r="J1585" i="5"/>
  <c r="R1585" i="5"/>
  <c r="J1586" i="5"/>
  <c r="R1586" i="5"/>
  <c r="J1587" i="5"/>
  <c r="R1587" i="5"/>
  <c r="J1588" i="5"/>
  <c r="R1588" i="5"/>
  <c r="J1589" i="5"/>
  <c r="R1589" i="5"/>
  <c r="J1590" i="5"/>
  <c r="R1590" i="5"/>
  <c r="J1591" i="5"/>
  <c r="R1591" i="5"/>
  <c r="J1592" i="5"/>
  <c r="R1592" i="5"/>
  <c r="J1593" i="5"/>
  <c r="R1593" i="5"/>
  <c r="J1594" i="5"/>
  <c r="R1594" i="5"/>
  <c r="J1595" i="5"/>
  <c r="R1595" i="5"/>
  <c r="J1596" i="5"/>
  <c r="R1596" i="5"/>
  <c r="J1597" i="5"/>
  <c r="R1597" i="5"/>
  <c r="J1598" i="5"/>
  <c r="R1598" i="5"/>
  <c r="J1599" i="5"/>
  <c r="R1599" i="5"/>
  <c r="J1600" i="5"/>
  <c r="R1600" i="5"/>
  <c r="J1601" i="5"/>
  <c r="R1601" i="5"/>
  <c r="J1602" i="5"/>
  <c r="R1602" i="5"/>
  <c r="J1603" i="5"/>
  <c r="R1603" i="5"/>
  <c r="J1604" i="5"/>
  <c r="R1604" i="5"/>
  <c r="J1605" i="5"/>
  <c r="R1605" i="5"/>
  <c r="J1606" i="5"/>
  <c r="R1606" i="5"/>
  <c r="J1607" i="5"/>
  <c r="R1607" i="5"/>
  <c r="J1608" i="5"/>
  <c r="R1608" i="5"/>
  <c r="J1609" i="5"/>
  <c r="R1609" i="5"/>
  <c r="J1610" i="5"/>
  <c r="R1610" i="5"/>
  <c r="J1611" i="5"/>
  <c r="R1611" i="5"/>
  <c r="J1612" i="5"/>
  <c r="R1612" i="5"/>
  <c r="J1613" i="5"/>
  <c r="R1613" i="5"/>
  <c r="J1614" i="5"/>
  <c r="R1614" i="5"/>
  <c r="J1615" i="5"/>
  <c r="R1615" i="5"/>
  <c r="J1616" i="5"/>
  <c r="R1616" i="5"/>
  <c r="J1617" i="5"/>
  <c r="R1617" i="5"/>
  <c r="J1618" i="5"/>
  <c r="R1618" i="5"/>
  <c r="J1619" i="5"/>
  <c r="R1619" i="5"/>
  <c r="J1620" i="5"/>
  <c r="R1620" i="5"/>
  <c r="J1621" i="5"/>
  <c r="R1621" i="5"/>
  <c r="J1622" i="5"/>
  <c r="R1622" i="5"/>
  <c r="J1623" i="5"/>
  <c r="R1623" i="5"/>
  <c r="J1624" i="5"/>
  <c r="R1624" i="5"/>
  <c r="J1625" i="5"/>
  <c r="R1625" i="5"/>
  <c r="J1626" i="5"/>
  <c r="R1626" i="5"/>
  <c r="J1627" i="5"/>
  <c r="R1627" i="5"/>
  <c r="J1628" i="5"/>
  <c r="R1628" i="5"/>
  <c r="J1629" i="5"/>
  <c r="R1629" i="5"/>
  <c r="J1630" i="5"/>
  <c r="R1630" i="5"/>
  <c r="J1631" i="5"/>
  <c r="R1631" i="5"/>
  <c r="J1632" i="5"/>
  <c r="R1632" i="5"/>
  <c r="J1633" i="5"/>
  <c r="R1633" i="5"/>
  <c r="J1634" i="5"/>
  <c r="R1634" i="5"/>
  <c r="J1635" i="5"/>
  <c r="R1635" i="5"/>
  <c r="J1636" i="5"/>
  <c r="R1636" i="5"/>
  <c r="J1637" i="5"/>
  <c r="R1637" i="5"/>
  <c r="J1638" i="5"/>
  <c r="R1638" i="5"/>
  <c r="J1639" i="5"/>
  <c r="R1639" i="5"/>
  <c r="J1640" i="5"/>
  <c r="R1640" i="5"/>
  <c r="J1641" i="5"/>
  <c r="R1641" i="5"/>
  <c r="J1642" i="5"/>
  <c r="R1642" i="5"/>
  <c r="J1643" i="5"/>
  <c r="R1643" i="5"/>
  <c r="J1644" i="5"/>
  <c r="R1644" i="5"/>
  <c r="J1645" i="5"/>
  <c r="R1645" i="5"/>
  <c r="J1646" i="5"/>
  <c r="R1646" i="5"/>
  <c r="J1647" i="5"/>
  <c r="R1647" i="5"/>
  <c r="J1648" i="5"/>
  <c r="R1648" i="5"/>
  <c r="J1649" i="5"/>
  <c r="R1649" i="5"/>
  <c r="J1650" i="5"/>
  <c r="R1650" i="5"/>
  <c r="J1651" i="5"/>
  <c r="R1651" i="5"/>
  <c r="J1652" i="5"/>
  <c r="R1652" i="5"/>
  <c r="J1653" i="5"/>
  <c r="R1653" i="5"/>
  <c r="J1654" i="5"/>
  <c r="R1654" i="5"/>
  <c r="J1655" i="5"/>
  <c r="R1655" i="5"/>
  <c r="J1656" i="5"/>
  <c r="R1656" i="5"/>
  <c r="J1657" i="5"/>
  <c r="R1657" i="5"/>
  <c r="J1658" i="5"/>
  <c r="R1658" i="5"/>
  <c r="J1659" i="5"/>
  <c r="R1659" i="5"/>
  <c r="J1660" i="5"/>
  <c r="R1660" i="5"/>
  <c r="J1661" i="5"/>
  <c r="R1661" i="5"/>
  <c r="J1662" i="5"/>
  <c r="R1662" i="5"/>
  <c r="J1663" i="5"/>
  <c r="R1663" i="5"/>
  <c r="J1664" i="5"/>
  <c r="R1664" i="5"/>
  <c r="J1665" i="5"/>
  <c r="R1665" i="5"/>
  <c r="J1666" i="5"/>
  <c r="R1666" i="5"/>
  <c r="J1667" i="5"/>
  <c r="R1667" i="5"/>
  <c r="J1668" i="5"/>
  <c r="R1668" i="5"/>
  <c r="J1669" i="5"/>
  <c r="R1669" i="5"/>
  <c r="J1670" i="5"/>
  <c r="R1670" i="5"/>
  <c r="B17" i="153" l="1"/>
  <c r="H30" i="188"/>
  <c r="D30" i="188"/>
  <c r="E30" i="188" s="1"/>
  <c r="B31" i="188"/>
  <c r="N19" i="153"/>
  <c r="W19" i="153"/>
  <c r="H19" i="153"/>
  <c r="V2" i="153"/>
  <c r="V3" i="153"/>
  <c r="V5" i="153"/>
  <c r="V6" i="153"/>
  <c r="V8" i="153"/>
  <c r="V9" i="153"/>
  <c r="V14" i="153"/>
  <c r="V15" i="153"/>
  <c r="S2" i="153"/>
  <c r="S3" i="153"/>
  <c r="S5" i="153"/>
  <c r="S6" i="153"/>
  <c r="S8" i="153"/>
  <c r="S9" i="153"/>
  <c r="S14" i="153"/>
  <c r="S15" i="153"/>
  <c r="C31" i="188" l="1"/>
  <c r="G31" i="188"/>
  <c r="I30" i="188"/>
  <c r="J30" i="188" s="1"/>
  <c r="W6" i="153"/>
  <c r="W5" i="153"/>
  <c r="W14" i="153"/>
  <c r="B19" i="153"/>
  <c r="V21" i="153"/>
  <c r="V20" i="153"/>
  <c r="W9" i="153"/>
  <c r="W8" i="153"/>
  <c r="W15" i="153"/>
  <c r="S4" i="153"/>
  <c r="S21" i="153"/>
  <c r="W3" i="153"/>
  <c r="W2" i="153"/>
  <c r="S20" i="153"/>
  <c r="W20" i="153" s="1"/>
  <c r="V16" i="153"/>
  <c r="V7" i="153"/>
  <c r="V10" i="153"/>
  <c r="V4" i="153"/>
  <c r="S16" i="153"/>
  <c r="S7" i="153"/>
  <c r="S10" i="153"/>
  <c r="M14" i="153"/>
  <c r="L14" i="153"/>
  <c r="K14" i="153"/>
  <c r="J14" i="153"/>
  <c r="I14" i="153"/>
  <c r="G14" i="153"/>
  <c r="F14" i="153"/>
  <c r="E14" i="153"/>
  <c r="D14" i="153"/>
  <c r="C14" i="153"/>
  <c r="M8" i="153"/>
  <c r="L8" i="153"/>
  <c r="K8" i="153"/>
  <c r="J8" i="153"/>
  <c r="I8" i="153"/>
  <c r="G8" i="153"/>
  <c r="F8" i="153"/>
  <c r="E8" i="153"/>
  <c r="D8" i="153"/>
  <c r="C8" i="153"/>
  <c r="M5" i="153"/>
  <c r="L5" i="153"/>
  <c r="K5" i="153"/>
  <c r="J5" i="153"/>
  <c r="I5" i="153"/>
  <c r="G5" i="153"/>
  <c r="F5" i="153"/>
  <c r="E5" i="153"/>
  <c r="D5" i="153"/>
  <c r="C5" i="153"/>
  <c r="D2" i="153"/>
  <c r="E2" i="153"/>
  <c r="F2" i="153"/>
  <c r="G2" i="153"/>
  <c r="I2" i="153"/>
  <c r="J2" i="153"/>
  <c r="K2" i="153"/>
  <c r="L2" i="153"/>
  <c r="M2" i="153"/>
  <c r="C2" i="153"/>
  <c r="C3" i="153"/>
  <c r="D15" i="153"/>
  <c r="D16" i="153" s="1"/>
  <c r="E15" i="153"/>
  <c r="E16" i="153" s="1"/>
  <c r="F15" i="153"/>
  <c r="F16" i="153" s="1"/>
  <c r="G15" i="153"/>
  <c r="I15" i="153"/>
  <c r="J15" i="153"/>
  <c r="J16" i="153" s="1"/>
  <c r="K15" i="153"/>
  <c r="K16" i="153" s="1"/>
  <c r="L15" i="153"/>
  <c r="L16" i="153" s="1"/>
  <c r="M15" i="153"/>
  <c r="M16" i="153" s="1"/>
  <c r="C15" i="153"/>
  <c r="D9" i="153"/>
  <c r="E9" i="153"/>
  <c r="F9" i="153"/>
  <c r="G9" i="153"/>
  <c r="I9" i="153"/>
  <c r="J9" i="153"/>
  <c r="K9" i="153"/>
  <c r="L9" i="153"/>
  <c r="M9" i="153"/>
  <c r="M10" i="153" s="1"/>
  <c r="C9" i="153"/>
  <c r="D6" i="153"/>
  <c r="E6" i="153"/>
  <c r="F6" i="153"/>
  <c r="G6" i="153"/>
  <c r="I6" i="153"/>
  <c r="J6" i="153"/>
  <c r="K6" i="153"/>
  <c r="L6" i="153"/>
  <c r="M6" i="153"/>
  <c r="C6" i="153"/>
  <c r="D3" i="153"/>
  <c r="E3" i="153"/>
  <c r="F3" i="153"/>
  <c r="G3" i="153"/>
  <c r="I3" i="153"/>
  <c r="J3" i="153"/>
  <c r="K3" i="153"/>
  <c r="L3" i="153"/>
  <c r="M3" i="153"/>
  <c r="K10" i="153" l="1"/>
  <c r="J10" i="153"/>
  <c r="G16" i="153"/>
  <c r="L10" i="153"/>
  <c r="E10" i="153"/>
  <c r="J7" i="153"/>
  <c r="G10" i="153"/>
  <c r="F10" i="153"/>
  <c r="L7" i="153"/>
  <c r="J20" i="153"/>
  <c r="K7" i="153"/>
  <c r="D10" i="153"/>
  <c r="H31" i="188"/>
  <c r="B32" i="188"/>
  <c r="D31" i="188"/>
  <c r="E31" i="188" s="1"/>
  <c r="E7" i="153"/>
  <c r="G7" i="153"/>
  <c r="L20" i="153"/>
  <c r="G20" i="153"/>
  <c r="M7" i="153"/>
  <c r="E20" i="153"/>
  <c r="F7" i="153"/>
  <c r="K20" i="153"/>
  <c r="C20" i="153"/>
  <c r="D7" i="153"/>
  <c r="M20" i="153"/>
  <c r="K21" i="153"/>
  <c r="F21" i="153"/>
  <c r="F20" i="153"/>
  <c r="I20" i="153"/>
  <c r="L21" i="153"/>
  <c r="G21" i="153"/>
  <c r="W21" i="153"/>
  <c r="W22" i="153" s="1"/>
  <c r="M21" i="153"/>
  <c r="I21" i="153"/>
  <c r="D21" i="153"/>
  <c r="W4" i="153"/>
  <c r="J21" i="153"/>
  <c r="D20" i="153"/>
  <c r="E4" i="153"/>
  <c r="E21" i="153"/>
  <c r="C21" i="153"/>
  <c r="N8" i="153"/>
  <c r="H14" i="153"/>
  <c r="V22" i="153"/>
  <c r="N5" i="153"/>
  <c r="S22" i="153"/>
  <c r="I4" i="153"/>
  <c r="N3" i="153"/>
  <c r="D4" i="153"/>
  <c r="H3" i="153"/>
  <c r="C7" i="153"/>
  <c r="H6" i="153"/>
  <c r="I7" i="153"/>
  <c r="N6" i="153"/>
  <c r="H2" i="153"/>
  <c r="N2" i="153"/>
  <c r="N14" i="153"/>
  <c r="C10" i="153"/>
  <c r="H9" i="153"/>
  <c r="I10" i="153"/>
  <c r="N9" i="153"/>
  <c r="H5" i="153"/>
  <c r="C16" i="153"/>
  <c r="H15" i="153"/>
  <c r="I16" i="153"/>
  <c r="N15" i="153"/>
  <c r="H8" i="153"/>
  <c r="J4" i="153"/>
  <c r="M4" i="153"/>
  <c r="C4" i="153"/>
  <c r="L4" i="153"/>
  <c r="G4" i="153"/>
  <c r="K4" i="153"/>
  <c r="F4" i="153"/>
  <c r="Q45" i="3"/>
  <c r="P45" i="3"/>
  <c r="O45" i="3"/>
  <c r="O44" i="3"/>
  <c r="P44" i="3" s="1"/>
  <c r="K170" i="3"/>
  <c r="K144" i="3"/>
  <c r="K118" i="3"/>
  <c r="K92" i="3"/>
  <c r="K66" i="3"/>
  <c r="B3" i="152"/>
  <c r="C3" i="152"/>
  <c r="D3" i="152"/>
  <c r="B4" i="152"/>
  <c r="C4" i="152"/>
  <c r="D4" i="152"/>
  <c r="B5" i="152"/>
  <c r="C5" i="152"/>
  <c r="D5" i="152"/>
  <c r="C2" i="152"/>
  <c r="D2" i="152"/>
  <c r="B2" i="152"/>
  <c r="B3" i="153" l="1"/>
  <c r="B8" i="153"/>
  <c r="B2" i="153"/>
  <c r="B9" i="153"/>
  <c r="B5" i="153"/>
  <c r="B14" i="153"/>
  <c r="B15" i="153"/>
  <c r="B6" i="153"/>
  <c r="J22" i="153"/>
  <c r="G32" i="188"/>
  <c r="I31" i="188"/>
  <c r="J31" i="188" s="1"/>
  <c r="C32" i="188"/>
  <c r="L22" i="153"/>
  <c r="E22" i="153"/>
  <c r="G22" i="153"/>
  <c r="H20" i="153"/>
  <c r="M22" i="153"/>
  <c r="C7" i="152"/>
  <c r="B7" i="152"/>
  <c r="D7" i="152"/>
  <c r="W7" i="153"/>
  <c r="N20" i="153"/>
  <c r="K22" i="153"/>
  <c r="F22" i="153"/>
  <c r="H16" i="153"/>
  <c r="W10" i="153"/>
  <c r="W16" i="153"/>
  <c r="I22" i="153"/>
  <c r="N21" i="153"/>
  <c r="N16" i="153"/>
  <c r="H7" i="153"/>
  <c r="N10" i="153"/>
  <c r="H4" i="153"/>
  <c r="N4" i="153"/>
  <c r="C22" i="153"/>
  <c r="N7" i="153"/>
  <c r="H21" i="153"/>
  <c r="H10" i="153"/>
  <c r="D22" i="153"/>
  <c r="E242" i="3"/>
  <c r="E241" i="3"/>
  <c r="B20" i="153" l="1"/>
  <c r="B21" i="153"/>
  <c r="B4" i="153"/>
  <c r="B16" i="153"/>
  <c r="D32" i="188"/>
  <c r="E32" i="188" s="1"/>
  <c r="B33" i="188"/>
  <c r="H32" i="188"/>
  <c r="B7" i="153"/>
  <c r="H22" i="153"/>
  <c r="B10" i="153"/>
  <c r="N22" i="153"/>
  <c r="E7" i="152"/>
  <c r="E8" i="152" s="1"/>
  <c r="Y20" i="3"/>
  <c r="G33" i="188" l="1"/>
  <c r="I32" i="188"/>
  <c r="J32" i="188" s="1"/>
  <c r="C33" i="188"/>
  <c r="B22" i="153"/>
  <c r="D8" i="152"/>
  <c r="B8" i="152"/>
  <c r="C8" i="152"/>
  <c r="G242" i="3"/>
  <c r="G241" i="3"/>
  <c r="G240" i="3"/>
  <c r="L18" i="3"/>
  <c r="L17" i="3" s="1"/>
  <c r="B34" i="188" l="1"/>
  <c r="D33" i="188"/>
  <c r="E33" i="188" s="1"/>
  <c r="H33" i="188"/>
  <c r="A3" i="3"/>
  <c r="G34" i="188" l="1"/>
  <c r="I33" i="188"/>
  <c r="J33" i="188" s="1"/>
  <c r="C34" i="188"/>
  <c r="J1476" i="5"/>
  <c r="F2" i="3"/>
  <c r="D34" i="188" l="1"/>
  <c r="E34" i="188" s="1"/>
  <c r="B35" i="188"/>
  <c r="H34" i="188"/>
  <c r="H3" i="150"/>
  <c r="H4" i="150"/>
  <c r="H5" i="150"/>
  <c r="H6" i="150"/>
  <c r="H7" i="150"/>
  <c r="H8" i="150"/>
  <c r="H9" i="150"/>
  <c r="H10" i="150"/>
  <c r="H11" i="150"/>
  <c r="H12" i="150"/>
  <c r="H13" i="150"/>
  <c r="H14" i="150"/>
  <c r="H15" i="150"/>
  <c r="H16" i="150"/>
  <c r="H17" i="150"/>
  <c r="H18" i="150"/>
  <c r="H19" i="150"/>
  <c r="H20" i="150"/>
  <c r="H21" i="150"/>
  <c r="H22" i="150"/>
  <c r="H23" i="150"/>
  <c r="H24" i="150"/>
  <c r="H25" i="150"/>
  <c r="H26" i="150"/>
  <c r="H27" i="150"/>
  <c r="H28" i="150"/>
  <c r="H29" i="150"/>
  <c r="H30" i="150"/>
  <c r="H31" i="150"/>
  <c r="H32" i="150"/>
  <c r="H33" i="150"/>
  <c r="H34" i="150"/>
  <c r="H35" i="150"/>
  <c r="H36" i="150"/>
  <c r="H37" i="150"/>
  <c r="H38" i="150"/>
  <c r="H39" i="150"/>
  <c r="H40" i="150"/>
  <c r="H41" i="150"/>
  <c r="H42" i="150"/>
  <c r="H43" i="150"/>
  <c r="H44" i="150"/>
  <c r="H45" i="150"/>
  <c r="H46" i="150"/>
  <c r="H47" i="150"/>
  <c r="H48" i="150"/>
  <c r="H49" i="150"/>
  <c r="H50" i="150"/>
  <c r="H51" i="150"/>
  <c r="H52" i="150"/>
  <c r="H53" i="150"/>
  <c r="H54" i="150"/>
  <c r="H55" i="150"/>
  <c r="H56" i="150"/>
  <c r="H57" i="150"/>
  <c r="H58" i="150"/>
  <c r="H59" i="150"/>
  <c r="H60" i="150"/>
  <c r="H61" i="150"/>
  <c r="H62" i="150"/>
  <c r="H63" i="150"/>
  <c r="H64" i="150"/>
  <c r="H65" i="150"/>
  <c r="H66" i="150"/>
  <c r="H67" i="150"/>
  <c r="H68" i="150"/>
  <c r="H69" i="150"/>
  <c r="H70" i="150"/>
  <c r="H71" i="150"/>
  <c r="H72" i="150"/>
  <c r="H73" i="150"/>
  <c r="H2" i="150"/>
  <c r="H4" i="151"/>
  <c r="H5" i="151"/>
  <c r="H6" i="151"/>
  <c r="H7" i="151"/>
  <c r="H8" i="151"/>
  <c r="H9" i="151"/>
  <c r="H10" i="151"/>
  <c r="H11" i="151"/>
  <c r="H12" i="151"/>
  <c r="H13" i="151"/>
  <c r="H14" i="151"/>
  <c r="H15" i="151"/>
  <c r="H16" i="151"/>
  <c r="H17" i="151"/>
  <c r="H18" i="151"/>
  <c r="H19" i="151"/>
  <c r="H20" i="151"/>
  <c r="H21" i="151"/>
  <c r="H22" i="151"/>
  <c r="H23" i="151"/>
  <c r="H24" i="151"/>
  <c r="H25" i="151"/>
  <c r="H26" i="151"/>
  <c r="H27" i="151"/>
  <c r="H28" i="151"/>
  <c r="H29" i="151"/>
  <c r="H30" i="151"/>
  <c r="H31" i="151"/>
  <c r="H32" i="151"/>
  <c r="H33" i="151"/>
  <c r="H34" i="151"/>
  <c r="H35" i="151"/>
  <c r="H36" i="151"/>
  <c r="H37" i="151"/>
  <c r="H38" i="151"/>
  <c r="H39" i="151"/>
  <c r="H40" i="151"/>
  <c r="H41" i="151"/>
  <c r="H42" i="151"/>
  <c r="H43" i="151"/>
  <c r="H44" i="151"/>
  <c r="H45" i="151"/>
  <c r="H46" i="151"/>
  <c r="H47" i="151"/>
  <c r="H48" i="151"/>
  <c r="H49" i="151"/>
  <c r="H50" i="151"/>
  <c r="H51" i="151"/>
  <c r="H52" i="151"/>
  <c r="H53" i="151"/>
  <c r="H54" i="151"/>
  <c r="H55" i="151"/>
  <c r="H56" i="151"/>
  <c r="H57" i="151"/>
  <c r="H58" i="151"/>
  <c r="H59" i="151"/>
  <c r="H60" i="151"/>
  <c r="H61" i="151"/>
  <c r="H62" i="151"/>
  <c r="H63" i="151"/>
  <c r="H64" i="151"/>
  <c r="H65" i="151"/>
  <c r="H66" i="151"/>
  <c r="H67" i="151"/>
  <c r="H68" i="151"/>
  <c r="H69" i="151"/>
  <c r="H70" i="151"/>
  <c r="H71" i="151"/>
  <c r="H72" i="151"/>
  <c r="H3" i="151"/>
  <c r="H2" i="151"/>
  <c r="R1509" i="5"/>
  <c r="J1509" i="5"/>
  <c r="G35" i="188" l="1"/>
  <c r="I34" i="188"/>
  <c r="J34" i="188" s="1"/>
  <c r="C35" i="188"/>
  <c r="C68" i="149"/>
  <c r="C4" i="3"/>
  <c r="B36" i="188" l="1"/>
  <c r="D35" i="188"/>
  <c r="E35" i="188" s="1"/>
  <c r="H35" i="188"/>
  <c r="D4" i="3"/>
  <c r="AE3" i="1"/>
  <c r="G36" i="188" l="1"/>
  <c r="I35" i="188"/>
  <c r="J35" i="188" s="1"/>
  <c r="C36" i="188"/>
  <c r="P189" i="3"/>
  <c r="Q189" i="3" s="1"/>
  <c r="D36" i="188" l="1"/>
  <c r="E36" i="188" s="1"/>
  <c r="B37" i="188"/>
  <c r="H36" i="188"/>
  <c r="AE2" i="1"/>
  <c r="G37" i="188" l="1"/>
  <c r="I36" i="188"/>
  <c r="J36" i="188" s="1"/>
  <c r="C37" i="188"/>
  <c r="B48" i="151"/>
  <c r="C48" i="151"/>
  <c r="D48" i="151"/>
  <c r="E48" i="151"/>
  <c r="F48" i="151"/>
  <c r="G48" i="151"/>
  <c r="I48" i="151"/>
  <c r="B49" i="151"/>
  <c r="C49" i="151"/>
  <c r="D49" i="151"/>
  <c r="E49" i="151"/>
  <c r="F49" i="151"/>
  <c r="G49" i="151"/>
  <c r="I49" i="151"/>
  <c r="B50" i="151"/>
  <c r="C50" i="151"/>
  <c r="D50" i="151"/>
  <c r="E50" i="151"/>
  <c r="F50" i="151"/>
  <c r="G50" i="151"/>
  <c r="I50" i="151"/>
  <c r="B51" i="151"/>
  <c r="C51" i="151"/>
  <c r="D51" i="151"/>
  <c r="E51" i="151"/>
  <c r="F51" i="151"/>
  <c r="G51" i="151"/>
  <c r="I51" i="151"/>
  <c r="B52" i="151"/>
  <c r="C52" i="151"/>
  <c r="D52" i="151"/>
  <c r="E52" i="151"/>
  <c r="F52" i="151"/>
  <c r="G52" i="151"/>
  <c r="I52" i="151"/>
  <c r="B53" i="151"/>
  <c r="C53" i="151"/>
  <c r="D53" i="151"/>
  <c r="E53" i="151"/>
  <c r="F53" i="151"/>
  <c r="G53" i="151"/>
  <c r="I53" i="151"/>
  <c r="B54" i="151"/>
  <c r="C54" i="151"/>
  <c r="D54" i="151"/>
  <c r="E54" i="151"/>
  <c r="F54" i="151"/>
  <c r="G54" i="151"/>
  <c r="I54" i="151"/>
  <c r="B55" i="151"/>
  <c r="C55" i="151"/>
  <c r="D55" i="151"/>
  <c r="E55" i="151"/>
  <c r="F55" i="151"/>
  <c r="G55" i="151"/>
  <c r="I55" i="151"/>
  <c r="B56" i="151"/>
  <c r="C56" i="151"/>
  <c r="D56" i="151"/>
  <c r="E56" i="151"/>
  <c r="F56" i="151"/>
  <c r="G56" i="151"/>
  <c r="I56" i="151"/>
  <c r="B57" i="151"/>
  <c r="C57" i="151"/>
  <c r="D57" i="151"/>
  <c r="E57" i="151"/>
  <c r="F57" i="151"/>
  <c r="G57" i="151"/>
  <c r="I57" i="151"/>
  <c r="B58" i="151"/>
  <c r="C58" i="151"/>
  <c r="D58" i="151"/>
  <c r="E58" i="151"/>
  <c r="F58" i="151"/>
  <c r="G58" i="151"/>
  <c r="I58" i="151"/>
  <c r="B59" i="151"/>
  <c r="C59" i="151"/>
  <c r="D59" i="151"/>
  <c r="E59" i="151"/>
  <c r="F59" i="151"/>
  <c r="G59" i="151"/>
  <c r="I59" i="151"/>
  <c r="B60" i="151"/>
  <c r="C60" i="151"/>
  <c r="D60" i="151"/>
  <c r="E60" i="151"/>
  <c r="F60" i="151"/>
  <c r="G60" i="151"/>
  <c r="I60" i="151"/>
  <c r="B61" i="151"/>
  <c r="C61" i="151"/>
  <c r="D61" i="151"/>
  <c r="E61" i="151"/>
  <c r="F61" i="151"/>
  <c r="G61" i="151"/>
  <c r="I61" i="151"/>
  <c r="B62" i="151"/>
  <c r="C62" i="151"/>
  <c r="D62" i="151"/>
  <c r="E62" i="151"/>
  <c r="F62" i="151"/>
  <c r="G62" i="151"/>
  <c r="I62" i="151"/>
  <c r="B63" i="151"/>
  <c r="C63" i="151"/>
  <c r="D63" i="151"/>
  <c r="E63" i="151"/>
  <c r="F63" i="151"/>
  <c r="G63" i="151"/>
  <c r="I63" i="151"/>
  <c r="B64" i="151"/>
  <c r="C64" i="151"/>
  <c r="D64" i="151"/>
  <c r="E64" i="151"/>
  <c r="F64" i="151"/>
  <c r="G64" i="151"/>
  <c r="I64" i="151"/>
  <c r="B65" i="151"/>
  <c r="C65" i="151"/>
  <c r="D65" i="151"/>
  <c r="E65" i="151"/>
  <c r="F65" i="151"/>
  <c r="G65" i="151"/>
  <c r="I65" i="151"/>
  <c r="B66" i="151"/>
  <c r="C66" i="151"/>
  <c r="D66" i="151"/>
  <c r="E66" i="151"/>
  <c r="F66" i="151"/>
  <c r="G66" i="151"/>
  <c r="I66" i="151"/>
  <c r="B67" i="151"/>
  <c r="C67" i="151"/>
  <c r="D67" i="151"/>
  <c r="E67" i="151"/>
  <c r="F67" i="151"/>
  <c r="G67" i="151"/>
  <c r="I67" i="151"/>
  <c r="B68" i="151"/>
  <c r="C68" i="151"/>
  <c r="D68" i="151"/>
  <c r="E68" i="151"/>
  <c r="F68" i="151"/>
  <c r="G68" i="151"/>
  <c r="I68" i="151"/>
  <c r="B69" i="151"/>
  <c r="C69" i="151"/>
  <c r="D69" i="151"/>
  <c r="E69" i="151"/>
  <c r="F69" i="151"/>
  <c r="G69" i="151"/>
  <c r="I69" i="151"/>
  <c r="B70" i="151"/>
  <c r="C70" i="151"/>
  <c r="D70" i="151"/>
  <c r="E70" i="151"/>
  <c r="F70" i="151"/>
  <c r="G70" i="151"/>
  <c r="I70" i="151"/>
  <c r="B71" i="151"/>
  <c r="C71" i="151"/>
  <c r="D71" i="151"/>
  <c r="E71" i="151"/>
  <c r="F71" i="151"/>
  <c r="G71" i="151"/>
  <c r="I71" i="151"/>
  <c r="B72" i="151"/>
  <c r="C72" i="151"/>
  <c r="D72" i="151"/>
  <c r="E72" i="151"/>
  <c r="F72" i="151"/>
  <c r="G72" i="151"/>
  <c r="I72" i="151"/>
  <c r="B38" i="188" l="1"/>
  <c r="D37" i="188"/>
  <c r="E37" i="188" s="1"/>
  <c r="H37" i="188"/>
  <c r="J49" i="151"/>
  <c r="J48" i="151"/>
  <c r="J70" i="151"/>
  <c r="J66" i="151"/>
  <c r="J62" i="151"/>
  <c r="J58" i="151"/>
  <c r="J55" i="151"/>
  <c r="J51" i="151"/>
  <c r="J67" i="151"/>
  <c r="J63" i="151"/>
  <c r="J59" i="151"/>
  <c r="J56" i="151"/>
  <c r="J52" i="151"/>
  <c r="J71" i="151"/>
  <c r="J68" i="151"/>
  <c r="J64" i="151"/>
  <c r="J60" i="151"/>
  <c r="J53" i="151"/>
  <c r="J72" i="151"/>
  <c r="J69" i="151"/>
  <c r="J65" i="151"/>
  <c r="J61" i="151"/>
  <c r="J57" i="151"/>
  <c r="J54" i="151"/>
  <c r="J50" i="151"/>
  <c r="B56" i="150"/>
  <c r="C56" i="150"/>
  <c r="D56" i="150"/>
  <c r="E56" i="150"/>
  <c r="F56" i="150"/>
  <c r="G56" i="150"/>
  <c r="I56" i="150"/>
  <c r="B57" i="150"/>
  <c r="C57" i="150"/>
  <c r="D57" i="150"/>
  <c r="E57" i="150"/>
  <c r="F57" i="150"/>
  <c r="G57" i="150"/>
  <c r="I57" i="150"/>
  <c r="B58" i="150"/>
  <c r="C58" i="150"/>
  <c r="D58" i="150"/>
  <c r="E58" i="150"/>
  <c r="F58" i="150"/>
  <c r="G58" i="150"/>
  <c r="I58" i="150"/>
  <c r="B59" i="150"/>
  <c r="C59" i="150"/>
  <c r="D59" i="150"/>
  <c r="E59" i="150"/>
  <c r="F59" i="150"/>
  <c r="G59" i="150"/>
  <c r="I59" i="150"/>
  <c r="B60" i="150"/>
  <c r="C60" i="150"/>
  <c r="D60" i="150"/>
  <c r="E60" i="150"/>
  <c r="F60" i="150"/>
  <c r="G60" i="150"/>
  <c r="I60" i="150"/>
  <c r="B61" i="150"/>
  <c r="C61" i="150"/>
  <c r="D61" i="150"/>
  <c r="E61" i="150"/>
  <c r="F61" i="150"/>
  <c r="G61" i="150"/>
  <c r="I61" i="150"/>
  <c r="B62" i="150"/>
  <c r="C62" i="150"/>
  <c r="D62" i="150"/>
  <c r="E62" i="150"/>
  <c r="F62" i="150"/>
  <c r="G62" i="150"/>
  <c r="I62" i="150"/>
  <c r="B63" i="150"/>
  <c r="C63" i="150"/>
  <c r="D63" i="150"/>
  <c r="E63" i="150"/>
  <c r="F63" i="150"/>
  <c r="G63" i="150"/>
  <c r="I63" i="150"/>
  <c r="B64" i="150"/>
  <c r="C64" i="150"/>
  <c r="D64" i="150"/>
  <c r="E64" i="150"/>
  <c r="F64" i="150"/>
  <c r="G64" i="150"/>
  <c r="I64" i="150"/>
  <c r="B65" i="150"/>
  <c r="C65" i="150"/>
  <c r="D65" i="150"/>
  <c r="E65" i="150"/>
  <c r="F65" i="150"/>
  <c r="G65" i="150"/>
  <c r="I65" i="150"/>
  <c r="B66" i="150"/>
  <c r="C66" i="150"/>
  <c r="D66" i="150"/>
  <c r="E66" i="150"/>
  <c r="F66" i="150"/>
  <c r="G66" i="150"/>
  <c r="I66" i="150"/>
  <c r="B67" i="150"/>
  <c r="C67" i="150"/>
  <c r="D67" i="150"/>
  <c r="E67" i="150"/>
  <c r="F67" i="150"/>
  <c r="G67" i="150"/>
  <c r="I67" i="150"/>
  <c r="B68" i="150"/>
  <c r="C68" i="150"/>
  <c r="D68" i="150"/>
  <c r="E68" i="150"/>
  <c r="F68" i="150"/>
  <c r="G68" i="150"/>
  <c r="I68" i="150"/>
  <c r="B69" i="150"/>
  <c r="C69" i="150"/>
  <c r="D69" i="150"/>
  <c r="E69" i="150"/>
  <c r="F69" i="150"/>
  <c r="G69" i="150"/>
  <c r="I69" i="150"/>
  <c r="B70" i="150"/>
  <c r="C70" i="150"/>
  <c r="D70" i="150"/>
  <c r="E70" i="150"/>
  <c r="F70" i="150"/>
  <c r="G70" i="150"/>
  <c r="I70" i="150"/>
  <c r="B71" i="150"/>
  <c r="C71" i="150"/>
  <c r="D71" i="150"/>
  <c r="E71" i="150"/>
  <c r="F71" i="150"/>
  <c r="G71" i="150"/>
  <c r="I71" i="150"/>
  <c r="B72" i="150"/>
  <c r="C72" i="150"/>
  <c r="D72" i="150"/>
  <c r="E72" i="150"/>
  <c r="F72" i="150"/>
  <c r="G72" i="150"/>
  <c r="I72" i="150"/>
  <c r="B73" i="150"/>
  <c r="C73" i="150"/>
  <c r="D73" i="150"/>
  <c r="E73" i="150"/>
  <c r="F73" i="150"/>
  <c r="G73" i="150"/>
  <c r="I73" i="150"/>
  <c r="G38" i="188" l="1"/>
  <c r="I37" i="188"/>
  <c r="J37" i="188" s="1"/>
  <c r="C38" i="188"/>
  <c r="J71" i="150"/>
  <c r="J68" i="150"/>
  <c r="J64" i="150"/>
  <c r="J60" i="150"/>
  <c r="J72" i="150"/>
  <c r="J69" i="150"/>
  <c r="J65" i="150"/>
  <c r="J61" i="150"/>
  <c r="J57" i="150"/>
  <c r="J73" i="150"/>
  <c r="J70" i="150"/>
  <c r="J66" i="150"/>
  <c r="J62" i="150"/>
  <c r="J58" i="150"/>
  <c r="J56" i="150"/>
  <c r="J67" i="150"/>
  <c r="J63" i="150"/>
  <c r="J59" i="150"/>
  <c r="J1049" i="5"/>
  <c r="J1050" i="5"/>
  <c r="J1051" i="5"/>
  <c r="J1052" i="5"/>
  <c r="J1053" i="5"/>
  <c r="J1054" i="5"/>
  <c r="J1055" i="5"/>
  <c r="J1056" i="5"/>
  <c r="J1057" i="5"/>
  <c r="J1058" i="5"/>
  <c r="J1059" i="5"/>
  <c r="J1060" i="5"/>
  <c r="J1061" i="5"/>
  <c r="J1062" i="5"/>
  <c r="J1063" i="5"/>
  <c r="J1064" i="5"/>
  <c r="J1065" i="5"/>
  <c r="J1066" i="5"/>
  <c r="J1067" i="5"/>
  <c r="J1068" i="5"/>
  <c r="J1069" i="5"/>
  <c r="J1070" i="5"/>
  <c r="J1071" i="5"/>
  <c r="J1072" i="5"/>
  <c r="J1073" i="5"/>
  <c r="J1074" i="5"/>
  <c r="J1075" i="5"/>
  <c r="J1076" i="5"/>
  <c r="J1077" i="5"/>
  <c r="J1078" i="5"/>
  <c r="J1079" i="5"/>
  <c r="J1080" i="5"/>
  <c r="J1081" i="5"/>
  <c r="J1082" i="5"/>
  <c r="J1083" i="5"/>
  <c r="J1084" i="5"/>
  <c r="J1085" i="5"/>
  <c r="J1086" i="5"/>
  <c r="J1087" i="5"/>
  <c r="J1088" i="5"/>
  <c r="J1089" i="5"/>
  <c r="J1090" i="5"/>
  <c r="J1091" i="5"/>
  <c r="J1092" i="5"/>
  <c r="J1093" i="5"/>
  <c r="J1094" i="5"/>
  <c r="J1095" i="5"/>
  <c r="J1096" i="5"/>
  <c r="J1097" i="5"/>
  <c r="J1098" i="5"/>
  <c r="J1099" i="5"/>
  <c r="J1100" i="5"/>
  <c r="J1101" i="5"/>
  <c r="J1102" i="5"/>
  <c r="J1103" i="5"/>
  <c r="J1104" i="5"/>
  <c r="J1105" i="5"/>
  <c r="J1106" i="5"/>
  <c r="J1107" i="5"/>
  <c r="J1108" i="5"/>
  <c r="J1109" i="5"/>
  <c r="J1110" i="5"/>
  <c r="J1111" i="5"/>
  <c r="J1112" i="5"/>
  <c r="J1113" i="5"/>
  <c r="J1114" i="5"/>
  <c r="J1115" i="5"/>
  <c r="J1116" i="5"/>
  <c r="J1117" i="5"/>
  <c r="J1118" i="5"/>
  <c r="J1119" i="5"/>
  <c r="J1120" i="5"/>
  <c r="J1121" i="5"/>
  <c r="J1122" i="5"/>
  <c r="J1123" i="5"/>
  <c r="J1124" i="5"/>
  <c r="J1125" i="5"/>
  <c r="J1126" i="5"/>
  <c r="J1127" i="5"/>
  <c r="J1128" i="5"/>
  <c r="J1129" i="5"/>
  <c r="J1130" i="5"/>
  <c r="J1131" i="5"/>
  <c r="J1132" i="5"/>
  <c r="J1133" i="5"/>
  <c r="J1134" i="5"/>
  <c r="J1135" i="5"/>
  <c r="J1136" i="5"/>
  <c r="J1137" i="5"/>
  <c r="J1138" i="5"/>
  <c r="J1139" i="5"/>
  <c r="J1140" i="5"/>
  <c r="J1141" i="5"/>
  <c r="J1142" i="5"/>
  <c r="J1143" i="5"/>
  <c r="J1144" i="5"/>
  <c r="J1145" i="5"/>
  <c r="J1146" i="5"/>
  <c r="J1147" i="5"/>
  <c r="J1148" i="5"/>
  <c r="J1149" i="5"/>
  <c r="J1150" i="5"/>
  <c r="J1151" i="5"/>
  <c r="J1152" i="5"/>
  <c r="J1153" i="5"/>
  <c r="J1154" i="5"/>
  <c r="J1155" i="5"/>
  <c r="J1156" i="5"/>
  <c r="J1157" i="5"/>
  <c r="J1158" i="5"/>
  <c r="J1159" i="5"/>
  <c r="J1160" i="5"/>
  <c r="J1161" i="5"/>
  <c r="J1162" i="5"/>
  <c r="J1163" i="5"/>
  <c r="J1164" i="5"/>
  <c r="J1165" i="5"/>
  <c r="J1166" i="5"/>
  <c r="J1167" i="5"/>
  <c r="J1168" i="5"/>
  <c r="J1169" i="5"/>
  <c r="J1170" i="5"/>
  <c r="J1171" i="5"/>
  <c r="J1172" i="5"/>
  <c r="J1173" i="5"/>
  <c r="J1174" i="5"/>
  <c r="J1175" i="5"/>
  <c r="J1176" i="5"/>
  <c r="J1177" i="5"/>
  <c r="J1178" i="5"/>
  <c r="J1179" i="5"/>
  <c r="J1180" i="5"/>
  <c r="J1181" i="5"/>
  <c r="J1182" i="5"/>
  <c r="J1183" i="5"/>
  <c r="J1184" i="5"/>
  <c r="J1185" i="5"/>
  <c r="J1186" i="5"/>
  <c r="J1187" i="5"/>
  <c r="J1188" i="5"/>
  <c r="J1189" i="5"/>
  <c r="J1190" i="5"/>
  <c r="J1191" i="5"/>
  <c r="J1192" i="5"/>
  <c r="J1193" i="5"/>
  <c r="J1194" i="5"/>
  <c r="J1195" i="5"/>
  <c r="J1196" i="5"/>
  <c r="J1197" i="5"/>
  <c r="J1198" i="5"/>
  <c r="J1199" i="5"/>
  <c r="J1200" i="5"/>
  <c r="J1201" i="5"/>
  <c r="J1202" i="5"/>
  <c r="J1203" i="5"/>
  <c r="J1204" i="5"/>
  <c r="J1205" i="5"/>
  <c r="J1206" i="5"/>
  <c r="J1207" i="5"/>
  <c r="J1208" i="5"/>
  <c r="J1209" i="5"/>
  <c r="J1210" i="5"/>
  <c r="J1211" i="5"/>
  <c r="J1212" i="5"/>
  <c r="J1213" i="5"/>
  <c r="J1214" i="5"/>
  <c r="J1215" i="5"/>
  <c r="J1216" i="5"/>
  <c r="J1217" i="5"/>
  <c r="J1218" i="5"/>
  <c r="J1219" i="5"/>
  <c r="J1220" i="5"/>
  <c r="J1221" i="5"/>
  <c r="J1222" i="5"/>
  <c r="J1223" i="5"/>
  <c r="J1224" i="5"/>
  <c r="J1225" i="5"/>
  <c r="J1226" i="5"/>
  <c r="J1227" i="5"/>
  <c r="J1228" i="5"/>
  <c r="J1229" i="5"/>
  <c r="J1230" i="5"/>
  <c r="J1231" i="5"/>
  <c r="J1232" i="5"/>
  <c r="J1233" i="5"/>
  <c r="J1234" i="5"/>
  <c r="J1235" i="5"/>
  <c r="J1236" i="5"/>
  <c r="J1237" i="5"/>
  <c r="J1238" i="5"/>
  <c r="J1239" i="5"/>
  <c r="J1240" i="5"/>
  <c r="J1241" i="5"/>
  <c r="J1242" i="5"/>
  <c r="J1243" i="5"/>
  <c r="J1244" i="5"/>
  <c r="J1245" i="5"/>
  <c r="J1246" i="5"/>
  <c r="J1247" i="5"/>
  <c r="J1248" i="5"/>
  <c r="J1249" i="5"/>
  <c r="J1250" i="5"/>
  <c r="J1251" i="5"/>
  <c r="J1252" i="5"/>
  <c r="J1253" i="5"/>
  <c r="J1254" i="5"/>
  <c r="J1255" i="5"/>
  <c r="J1256" i="5"/>
  <c r="J1257" i="5"/>
  <c r="J1258" i="5"/>
  <c r="J1259" i="5"/>
  <c r="J1260" i="5"/>
  <c r="J1261" i="5"/>
  <c r="J1262" i="5"/>
  <c r="J1263" i="5"/>
  <c r="J1264" i="5"/>
  <c r="J1265" i="5"/>
  <c r="J1266" i="5"/>
  <c r="J1267" i="5"/>
  <c r="J1268" i="5"/>
  <c r="J1269" i="5"/>
  <c r="J1270" i="5"/>
  <c r="J1271" i="5"/>
  <c r="J1272" i="5"/>
  <c r="J1273" i="5"/>
  <c r="J1274" i="5"/>
  <c r="J1275" i="5"/>
  <c r="J1276" i="5"/>
  <c r="J1277" i="5"/>
  <c r="J1278" i="5"/>
  <c r="J1279" i="5"/>
  <c r="J1280" i="5"/>
  <c r="J1281" i="5"/>
  <c r="J1282" i="5"/>
  <c r="J1283" i="5"/>
  <c r="J1284" i="5"/>
  <c r="J1285" i="5"/>
  <c r="J1286" i="5"/>
  <c r="J1287" i="5"/>
  <c r="J1288" i="5"/>
  <c r="J1289" i="5"/>
  <c r="J1290" i="5"/>
  <c r="J1291" i="5"/>
  <c r="J1292" i="5"/>
  <c r="J1293" i="5"/>
  <c r="J1294" i="5"/>
  <c r="J1295" i="5"/>
  <c r="J1296" i="5"/>
  <c r="J1297" i="5"/>
  <c r="J1298" i="5"/>
  <c r="J1299" i="5"/>
  <c r="J1300" i="5"/>
  <c r="J1301" i="5"/>
  <c r="J1302" i="5"/>
  <c r="J1303" i="5"/>
  <c r="J1304" i="5"/>
  <c r="J1305" i="5"/>
  <c r="J1306" i="5"/>
  <c r="J1307" i="5"/>
  <c r="J1308" i="5"/>
  <c r="J1309" i="5"/>
  <c r="J1310" i="5"/>
  <c r="J1311" i="5"/>
  <c r="J1312" i="5"/>
  <c r="J1313" i="5"/>
  <c r="J1314" i="5"/>
  <c r="J1315" i="5"/>
  <c r="J1316" i="5"/>
  <c r="J1317" i="5"/>
  <c r="J1318" i="5"/>
  <c r="J1319" i="5"/>
  <c r="J1320" i="5"/>
  <c r="J1321" i="5"/>
  <c r="J1322" i="5"/>
  <c r="J1323" i="5"/>
  <c r="J1324" i="5"/>
  <c r="J1325" i="5"/>
  <c r="J1326" i="5"/>
  <c r="J1327" i="5"/>
  <c r="J1328" i="5"/>
  <c r="J1329" i="5"/>
  <c r="J1330" i="5"/>
  <c r="J1331" i="5"/>
  <c r="J1332" i="5"/>
  <c r="J1333" i="5"/>
  <c r="J1334" i="5"/>
  <c r="J1335" i="5"/>
  <c r="J1336" i="5"/>
  <c r="J1337" i="5"/>
  <c r="J1338" i="5"/>
  <c r="J1339" i="5"/>
  <c r="J1340" i="5"/>
  <c r="J1341" i="5"/>
  <c r="J1342" i="5"/>
  <c r="J1343" i="5"/>
  <c r="J1344" i="5"/>
  <c r="J1345" i="5"/>
  <c r="J1346" i="5"/>
  <c r="J1347" i="5"/>
  <c r="J1348" i="5"/>
  <c r="J1349" i="5"/>
  <c r="J1350" i="5"/>
  <c r="J1351" i="5"/>
  <c r="J1352" i="5"/>
  <c r="J1353" i="5"/>
  <c r="J1354" i="5"/>
  <c r="J1355" i="5"/>
  <c r="J1356" i="5"/>
  <c r="J1357" i="5"/>
  <c r="J1358" i="5"/>
  <c r="J1359" i="5"/>
  <c r="J1360" i="5"/>
  <c r="J1361" i="5"/>
  <c r="J1362" i="5"/>
  <c r="J1363" i="5"/>
  <c r="J1364" i="5"/>
  <c r="J1365" i="5"/>
  <c r="J1366" i="5"/>
  <c r="J1367" i="5"/>
  <c r="J1368" i="5"/>
  <c r="J1369" i="5"/>
  <c r="J1370" i="5"/>
  <c r="J1371" i="5"/>
  <c r="J1372" i="5"/>
  <c r="J1373" i="5"/>
  <c r="J1374" i="5"/>
  <c r="J1375" i="5"/>
  <c r="J1376" i="5"/>
  <c r="J1377" i="5"/>
  <c r="J1378" i="5"/>
  <c r="J1379" i="5"/>
  <c r="J1380" i="5"/>
  <c r="J1381" i="5"/>
  <c r="J1382" i="5"/>
  <c r="J1383" i="5"/>
  <c r="J1384" i="5"/>
  <c r="J1385" i="5"/>
  <c r="J1386" i="5"/>
  <c r="J1387" i="5"/>
  <c r="J1388" i="5"/>
  <c r="J1389" i="5"/>
  <c r="J1390" i="5"/>
  <c r="J1391" i="5"/>
  <c r="J1392" i="5"/>
  <c r="J1393" i="5"/>
  <c r="J1394" i="5"/>
  <c r="J1395" i="5"/>
  <c r="J1396" i="5"/>
  <c r="J1397" i="5"/>
  <c r="J1398" i="5"/>
  <c r="J1399" i="5"/>
  <c r="J1400" i="5"/>
  <c r="J1401" i="5"/>
  <c r="J1402" i="5"/>
  <c r="J1403" i="5"/>
  <c r="J1404" i="5"/>
  <c r="J1405" i="5"/>
  <c r="J1406" i="5"/>
  <c r="J1407" i="5"/>
  <c r="J1408" i="5"/>
  <c r="J1409" i="5"/>
  <c r="J1410" i="5"/>
  <c r="J1411" i="5"/>
  <c r="J1412" i="5"/>
  <c r="J1413" i="5"/>
  <c r="J1414" i="5"/>
  <c r="J1415" i="5"/>
  <c r="J1416" i="5"/>
  <c r="J1417" i="5"/>
  <c r="J1418" i="5"/>
  <c r="J1419" i="5"/>
  <c r="J1420" i="5"/>
  <c r="J1421" i="5"/>
  <c r="J1422" i="5"/>
  <c r="J1423" i="5"/>
  <c r="J1424" i="5"/>
  <c r="J1425" i="5"/>
  <c r="J1426" i="5"/>
  <c r="J1427" i="5"/>
  <c r="J1428" i="5"/>
  <c r="J1429" i="5"/>
  <c r="J1430" i="5"/>
  <c r="J1431" i="5"/>
  <c r="J1432" i="5"/>
  <c r="J1433" i="5"/>
  <c r="J1434" i="5"/>
  <c r="J1435" i="5"/>
  <c r="J1436" i="5"/>
  <c r="J1437" i="5"/>
  <c r="J1438" i="5"/>
  <c r="J1439" i="5"/>
  <c r="J1440" i="5"/>
  <c r="J1441" i="5"/>
  <c r="J1442" i="5"/>
  <c r="J1443" i="5"/>
  <c r="J1444" i="5"/>
  <c r="J1445" i="5"/>
  <c r="J1446" i="5"/>
  <c r="J1447" i="5"/>
  <c r="J1448" i="5"/>
  <c r="J1449" i="5"/>
  <c r="J1450" i="5"/>
  <c r="J1451" i="5"/>
  <c r="J1452" i="5"/>
  <c r="J1453" i="5"/>
  <c r="J1454" i="5"/>
  <c r="J1455" i="5"/>
  <c r="J1456" i="5"/>
  <c r="J1457" i="5"/>
  <c r="J1458" i="5"/>
  <c r="J1459" i="5"/>
  <c r="J1460" i="5"/>
  <c r="J1461" i="5"/>
  <c r="J1462" i="5"/>
  <c r="J1463" i="5"/>
  <c r="J1464" i="5"/>
  <c r="J1465" i="5"/>
  <c r="J1466" i="5"/>
  <c r="J1467" i="5"/>
  <c r="J1468" i="5"/>
  <c r="J1469" i="5"/>
  <c r="J1470" i="5"/>
  <c r="J1471" i="5"/>
  <c r="J1472" i="5"/>
  <c r="J1473" i="5"/>
  <c r="J1474" i="5"/>
  <c r="J1475" i="5"/>
  <c r="J1477" i="5"/>
  <c r="J1478" i="5"/>
  <c r="J1479" i="5"/>
  <c r="J1480" i="5"/>
  <c r="J1481" i="5"/>
  <c r="J1482" i="5"/>
  <c r="J1483" i="5"/>
  <c r="J1484" i="5"/>
  <c r="J1485" i="5"/>
  <c r="J1486" i="5"/>
  <c r="J1487" i="5"/>
  <c r="J1488" i="5"/>
  <c r="J1489" i="5"/>
  <c r="J1490" i="5"/>
  <c r="J1491" i="5"/>
  <c r="J1492" i="5"/>
  <c r="J1493" i="5"/>
  <c r="J1494" i="5"/>
  <c r="J1495" i="5"/>
  <c r="J1496" i="5"/>
  <c r="J1497" i="5"/>
  <c r="J1498" i="5"/>
  <c r="J1499" i="5"/>
  <c r="J1500" i="5"/>
  <c r="J1501" i="5"/>
  <c r="J1502" i="5"/>
  <c r="J1503" i="5"/>
  <c r="J1504" i="5"/>
  <c r="J1505" i="5"/>
  <c r="J1506" i="5"/>
  <c r="J1507" i="5"/>
  <c r="J1508" i="5"/>
  <c r="R1049" i="5"/>
  <c r="R1050" i="5"/>
  <c r="R1051" i="5"/>
  <c r="R1052" i="5"/>
  <c r="R1053" i="5"/>
  <c r="R1054" i="5"/>
  <c r="R1055" i="5"/>
  <c r="R1056" i="5"/>
  <c r="R1057" i="5"/>
  <c r="R1058" i="5"/>
  <c r="R1059" i="5"/>
  <c r="R1060" i="5"/>
  <c r="R1061" i="5"/>
  <c r="R1062" i="5"/>
  <c r="R1063" i="5"/>
  <c r="R1064" i="5"/>
  <c r="R1065" i="5"/>
  <c r="R1066" i="5"/>
  <c r="R1067" i="5"/>
  <c r="R1068" i="5"/>
  <c r="R1069" i="5"/>
  <c r="R1070" i="5"/>
  <c r="R1071" i="5"/>
  <c r="R1072" i="5"/>
  <c r="R1073" i="5"/>
  <c r="R1074" i="5"/>
  <c r="R1075" i="5"/>
  <c r="R1076" i="5"/>
  <c r="R1077" i="5"/>
  <c r="R1078" i="5"/>
  <c r="R1079" i="5"/>
  <c r="R1080" i="5"/>
  <c r="R1081" i="5"/>
  <c r="R1082" i="5"/>
  <c r="R1083" i="5"/>
  <c r="R1084" i="5"/>
  <c r="R1085" i="5"/>
  <c r="R1086" i="5"/>
  <c r="R1087" i="5"/>
  <c r="R1088" i="5"/>
  <c r="R1089" i="5"/>
  <c r="R1090" i="5"/>
  <c r="R1091" i="5"/>
  <c r="R1092" i="5"/>
  <c r="R1093" i="5"/>
  <c r="R1094" i="5"/>
  <c r="R1095" i="5"/>
  <c r="R1096" i="5"/>
  <c r="R1097" i="5"/>
  <c r="R1098" i="5"/>
  <c r="R1099" i="5"/>
  <c r="R1100" i="5"/>
  <c r="R1101" i="5"/>
  <c r="R1102" i="5"/>
  <c r="R1103" i="5"/>
  <c r="R1104" i="5"/>
  <c r="R1105" i="5"/>
  <c r="R1106" i="5"/>
  <c r="R1107" i="5"/>
  <c r="R1108" i="5"/>
  <c r="R1109" i="5"/>
  <c r="R1110" i="5"/>
  <c r="R1111" i="5"/>
  <c r="R1112" i="5"/>
  <c r="R1113" i="5"/>
  <c r="R1114" i="5"/>
  <c r="R1115" i="5"/>
  <c r="R1116" i="5"/>
  <c r="R1117" i="5"/>
  <c r="R1118" i="5"/>
  <c r="R1119" i="5"/>
  <c r="R1120" i="5"/>
  <c r="R1121" i="5"/>
  <c r="R1122" i="5"/>
  <c r="R1123" i="5"/>
  <c r="R1124" i="5"/>
  <c r="R1125" i="5"/>
  <c r="R1126" i="5"/>
  <c r="R1127" i="5"/>
  <c r="R1128" i="5"/>
  <c r="R1129" i="5"/>
  <c r="R1130" i="5"/>
  <c r="R1131" i="5"/>
  <c r="R1132" i="5"/>
  <c r="R1133" i="5"/>
  <c r="R1134" i="5"/>
  <c r="R1135" i="5"/>
  <c r="R1136" i="5"/>
  <c r="R1137" i="5"/>
  <c r="R1138" i="5"/>
  <c r="R1139" i="5"/>
  <c r="R1140" i="5"/>
  <c r="R1141" i="5"/>
  <c r="R1142" i="5"/>
  <c r="R1143" i="5"/>
  <c r="R1144" i="5"/>
  <c r="R1145" i="5"/>
  <c r="R1146" i="5"/>
  <c r="R1147" i="5"/>
  <c r="R1148" i="5"/>
  <c r="R1149" i="5"/>
  <c r="R1150" i="5"/>
  <c r="R1151" i="5"/>
  <c r="R1152" i="5"/>
  <c r="R1153" i="5"/>
  <c r="R1154" i="5"/>
  <c r="R1155" i="5"/>
  <c r="R1156" i="5"/>
  <c r="R1157" i="5"/>
  <c r="R1158" i="5"/>
  <c r="R1159" i="5"/>
  <c r="R1160" i="5"/>
  <c r="R1161" i="5"/>
  <c r="R1162" i="5"/>
  <c r="R1163" i="5"/>
  <c r="R1164" i="5"/>
  <c r="R1165" i="5"/>
  <c r="R1166" i="5"/>
  <c r="R1167" i="5"/>
  <c r="R1168" i="5"/>
  <c r="R1169" i="5"/>
  <c r="R1170" i="5"/>
  <c r="R1171" i="5"/>
  <c r="R1172" i="5"/>
  <c r="R1173" i="5"/>
  <c r="R1174" i="5"/>
  <c r="R1175" i="5"/>
  <c r="R1176" i="5"/>
  <c r="R1177" i="5"/>
  <c r="R1178" i="5"/>
  <c r="R1179" i="5"/>
  <c r="R1180" i="5"/>
  <c r="R1181" i="5"/>
  <c r="R1182" i="5"/>
  <c r="R1183" i="5"/>
  <c r="R1184" i="5"/>
  <c r="R1185" i="5"/>
  <c r="R1186" i="5"/>
  <c r="R1187" i="5"/>
  <c r="R1188" i="5"/>
  <c r="R1189" i="5"/>
  <c r="R1190" i="5"/>
  <c r="R1191" i="5"/>
  <c r="R1192" i="5"/>
  <c r="R1193" i="5"/>
  <c r="R1194" i="5"/>
  <c r="R1195" i="5"/>
  <c r="R1196" i="5"/>
  <c r="R1197" i="5"/>
  <c r="R1198" i="5"/>
  <c r="R1199" i="5"/>
  <c r="R1200" i="5"/>
  <c r="R1201" i="5"/>
  <c r="R1202" i="5"/>
  <c r="R1203" i="5"/>
  <c r="R1204" i="5"/>
  <c r="R1205" i="5"/>
  <c r="R1206" i="5"/>
  <c r="R1207" i="5"/>
  <c r="R1208" i="5"/>
  <c r="R1209" i="5"/>
  <c r="R1210" i="5"/>
  <c r="R1211" i="5"/>
  <c r="R1212" i="5"/>
  <c r="R1213" i="5"/>
  <c r="R1214" i="5"/>
  <c r="R1215" i="5"/>
  <c r="R1216" i="5"/>
  <c r="R1217" i="5"/>
  <c r="R1218" i="5"/>
  <c r="R1219" i="5"/>
  <c r="R1220" i="5"/>
  <c r="R1221" i="5"/>
  <c r="R1222" i="5"/>
  <c r="R1223" i="5"/>
  <c r="R1224" i="5"/>
  <c r="R1225" i="5"/>
  <c r="R1226" i="5"/>
  <c r="R1227" i="5"/>
  <c r="R1228" i="5"/>
  <c r="R1229" i="5"/>
  <c r="R1230" i="5"/>
  <c r="R1231" i="5"/>
  <c r="R1232" i="5"/>
  <c r="R1233" i="5"/>
  <c r="R1234" i="5"/>
  <c r="R1235" i="5"/>
  <c r="R1236" i="5"/>
  <c r="R1237" i="5"/>
  <c r="R1238" i="5"/>
  <c r="R1239" i="5"/>
  <c r="R1240" i="5"/>
  <c r="R1241" i="5"/>
  <c r="R1242" i="5"/>
  <c r="R1243" i="5"/>
  <c r="R1244" i="5"/>
  <c r="R1245" i="5"/>
  <c r="R1246" i="5"/>
  <c r="R1247" i="5"/>
  <c r="R1248" i="5"/>
  <c r="R1249" i="5"/>
  <c r="R1250" i="5"/>
  <c r="R1251" i="5"/>
  <c r="R1252" i="5"/>
  <c r="R1253" i="5"/>
  <c r="R1254" i="5"/>
  <c r="R1255" i="5"/>
  <c r="R1256" i="5"/>
  <c r="R1257" i="5"/>
  <c r="R1258" i="5"/>
  <c r="R1259" i="5"/>
  <c r="R1260" i="5"/>
  <c r="R1261" i="5"/>
  <c r="R1262" i="5"/>
  <c r="R1263" i="5"/>
  <c r="R1264" i="5"/>
  <c r="R1265" i="5"/>
  <c r="R1266" i="5"/>
  <c r="R1267" i="5"/>
  <c r="R1268" i="5"/>
  <c r="R1269" i="5"/>
  <c r="R1270" i="5"/>
  <c r="R1271" i="5"/>
  <c r="R1272" i="5"/>
  <c r="R1273" i="5"/>
  <c r="R1274" i="5"/>
  <c r="R1275" i="5"/>
  <c r="R1276" i="5"/>
  <c r="R1277" i="5"/>
  <c r="R1278" i="5"/>
  <c r="R1279" i="5"/>
  <c r="R1280" i="5"/>
  <c r="R1281" i="5"/>
  <c r="R1282" i="5"/>
  <c r="R1283" i="5"/>
  <c r="R1284" i="5"/>
  <c r="R1285" i="5"/>
  <c r="R1286" i="5"/>
  <c r="R1287" i="5"/>
  <c r="R1288" i="5"/>
  <c r="R1289" i="5"/>
  <c r="R1290" i="5"/>
  <c r="R1291" i="5"/>
  <c r="R1292" i="5"/>
  <c r="R1293" i="5"/>
  <c r="R1294" i="5"/>
  <c r="R1295" i="5"/>
  <c r="R1296" i="5"/>
  <c r="R1297" i="5"/>
  <c r="R1298" i="5"/>
  <c r="R1299" i="5"/>
  <c r="R1300" i="5"/>
  <c r="R1301" i="5"/>
  <c r="R1302" i="5"/>
  <c r="R1303" i="5"/>
  <c r="R1304" i="5"/>
  <c r="R1305" i="5"/>
  <c r="R1306" i="5"/>
  <c r="R1307" i="5"/>
  <c r="R1308" i="5"/>
  <c r="R1309" i="5"/>
  <c r="R1310" i="5"/>
  <c r="R1311" i="5"/>
  <c r="R1312" i="5"/>
  <c r="R1313" i="5"/>
  <c r="R1314" i="5"/>
  <c r="R1315" i="5"/>
  <c r="R1316" i="5"/>
  <c r="R1317" i="5"/>
  <c r="R1318" i="5"/>
  <c r="R1319" i="5"/>
  <c r="R1320" i="5"/>
  <c r="R1321" i="5"/>
  <c r="R1322" i="5"/>
  <c r="R1323" i="5"/>
  <c r="R1324" i="5"/>
  <c r="R1325" i="5"/>
  <c r="R1326" i="5"/>
  <c r="R1327" i="5"/>
  <c r="R1328" i="5"/>
  <c r="R1329" i="5"/>
  <c r="R1330" i="5"/>
  <c r="R1331" i="5"/>
  <c r="R1332" i="5"/>
  <c r="R1333" i="5"/>
  <c r="R1334" i="5"/>
  <c r="R1335" i="5"/>
  <c r="R1336" i="5"/>
  <c r="R1337" i="5"/>
  <c r="R1338" i="5"/>
  <c r="R1339" i="5"/>
  <c r="R1340" i="5"/>
  <c r="R1341" i="5"/>
  <c r="R1342" i="5"/>
  <c r="R1343" i="5"/>
  <c r="R1344" i="5"/>
  <c r="R1345" i="5"/>
  <c r="R1346" i="5"/>
  <c r="R1347" i="5"/>
  <c r="R1348" i="5"/>
  <c r="R1349" i="5"/>
  <c r="R1350" i="5"/>
  <c r="R1351" i="5"/>
  <c r="R1352" i="5"/>
  <c r="R1353" i="5"/>
  <c r="R1354" i="5"/>
  <c r="R1355" i="5"/>
  <c r="R1356" i="5"/>
  <c r="R1357" i="5"/>
  <c r="R1358" i="5"/>
  <c r="R1359" i="5"/>
  <c r="R1360" i="5"/>
  <c r="R1361" i="5"/>
  <c r="R1362" i="5"/>
  <c r="R1363" i="5"/>
  <c r="R1364" i="5"/>
  <c r="R1365" i="5"/>
  <c r="R1366" i="5"/>
  <c r="R1367" i="5"/>
  <c r="R1368" i="5"/>
  <c r="R1369" i="5"/>
  <c r="R1370" i="5"/>
  <c r="R1371" i="5"/>
  <c r="R1372" i="5"/>
  <c r="R1373" i="5"/>
  <c r="R1374" i="5"/>
  <c r="R1375" i="5"/>
  <c r="R1376" i="5"/>
  <c r="R1377" i="5"/>
  <c r="R1378" i="5"/>
  <c r="R1379" i="5"/>
  <c r="R1380" i="5"/>
  <c r="R1381" i="5"/>
  <c r="R1382" i="5"/>
  <c r="R1383" i="5"/>
  <c r="R1384" i="5"/>
  <c r="R1385" i="5"/>
  <c r="R1386" i="5"/>
  <c r="R1387" i="5"/>
  <c r="R1388" i="5"/>
  <c r="R1389" i="5"/>
  <c r="R1390" i="5"/>
  <c r="R1391" i="5"/>
  <c r="R1392" i="5"/>
  <c r="R1393" i="5"/>
  <c r="R1394" i="5"/>
  <c r="R1395" i="5"/>
  <c r="R1396" i="5"/>
  <c r="R1397" i="5"/>
  <c r="R1398" i="5"/>
  <c r="R1399" i="5"/>
  <c r="R1400" i="5"/>
  <c r="R1401" i="5"/>
  <c r="R1402" i="5"/>
  <c r="R1403" i="5"/>
  <c r="R1404" i="5"/>
  <c r="R1405" i="5"/>
  <c r="R1406" i="5"/>
  <c r="R1407" i="5"/>
  <c r="R1408" i="5"/>
  <c r="R1409" i="5"/>
  <c r="R1410" i="5"/>
  <c r="R1411" i="5"/>
  <c r="R1412" i="5"/>
  <c r="R1413" i="5"/>
  <c r="R1414" i="5"/>
  <c r="R1415" i="5"/>
  <c r="R1416" i="5"/>
  <c r="R1417" i="5"/>
  <c r="R1418" i="5"/>
  <c r="R1419" i="5"/>
  <c r="R1420" i="5"/>
  <c r="R1421" i="5"/>
  <c r="R1422" i="5"/>
  <c r="R1423" i="5"/>
  <c r="R1424" i="5"/>
  <c r="R1425" i="5"/>
  <c r="R1426" i="5"/>
  <c r="R1427" i="5"/>
  <c r="R1428" i="5"/>
  <c r="R1429" i="5"/>
  <c r="R1430" i="5"/>
  <c r="R1431" i="5"/>
  <c r="R1432" i="5"/>
  <c r="R1433" i="5"/>
  <c r="R1434" i="5"/>
  <c r="R1435" i="5"/>
  <c r="R1436" i="5"/>
  <c r="R1437" i="5"/>
  <c r="R1438" i="5"/>
  <c r="R1439" i="5"/>
  <c r="R1440" i="5"/>
  <c r="R1441" i="5"/>
  <c r="R1442" i="5"/>
  <c r="R1443" i="5"/>
  <c r="R1444" i="5"/>
  <c r="R1445" i="5"/>
  <c r="R1446" i="5"/>
  <c r="R1447" i="5"/>
  <c r="R1448" i="5"/>
  <c r="R1449" i="5"/>
  <c r="R1450" i="5"/>
  <c r="R1451" i="5"/>
  <c r="R1452" i="5"/>
  <c r="R1453" i="5"/>
  <c r="R1454" i="5"/>
  <c r="R1455" i="5"/>
  <c r="R1456" i="5"/>
  <c r="R1457" i="5"/>
  <c r="R1458" i="5"/>
  <c r="R1459" i="5"/>
  <c r="R1460" i="5"/>
  <c r="R1461" i="5"/>
  <c r="R1462" i="5"/>
  <c r="R1463" i="5"/>
  <c r="R1464" i="5"/>
  <c r="R1465" i="5"/>
  <c r="R1466" i="5"/>
  <c r="R1467" i="5"/>
  <c r="R1468" i="5"/>
  <c r="R1469" i="5"/>
  <c r="R1470" i="5"/>
  <c r="R1471" i="5"/>
  <c r="R1472" i="5"/>
  <c r="R1473" i="5"/>
  <c r="R1474" i="5"/>
  <c r="R1475" i="5"/>
  <c r="R1476" i="5"/>
  <c r="R1477" i="5"/>
  <c r="R1478" i="5"/>
  <c r="R1479" i="5"/>
  <c r="R1480" i="5"/>
  <c r="R1481" i="5"/>
  <c r="R1482" i="5"/>
  <c r="R1483" i="5"/>
  <c r="R1484" i="5"/>
  <c r="R1485" i="5"/>
  <c r="R1486" i="5"/>
  <c r="R1487" i="5"/>
  <c r="R1488" i="5"/>
  <c r="R1489" i="5"/>
  <c r="R1490" i="5"/>
  <c r="R1491" i="5"/>
  <c r="R1492" i="5"/>
  <c r="R1493" i="5"/>
  <c r="R1494" i="5"/>
  <c r="R1495" i="5"/>
  <c r="R1496" i="5"/>
  <c r="R1497" i="5"/>
  <c r="R1498" i="5"/>
  <c r="R1499" i="5"/>
  <c r="R1500" i="5"/>
  <c r="R1501" i="5"/>
  <c r="R1502" i="5"/>
  <c r="R1503" i="5"/>
  <c r="R1504" i="5"/>
  <c r="R1505" i="5"/>
  <c r="R1506" i="5"/>
  <c r="R1507" i="5"/>
  <c r="R1508" i="5"/>
  <c r="R1038" i="5"/>
  <c r="R1039" i="5"/>
  <c r="R1040" i="5"/>
  <c r="R1041" i="5"/>
  <c r="R1042" i="5"/>
  <c r="R1043" i="5"/>
  <c r="R1044" i="5"/>
  <c r="R1045" i="5"/>
  <c r="R1046" i="5"/>
  <c r="R1047" i="5"/>
  <c r="R1048" i="5"/>
  <c r="J1038" i="5"/>
  <c r="J1039" i="5"/>
  <c r="J1040" i="5"/>
  <c r="J1041" i="5"/>
  <c r="J1042" i="5"/>
  <c r="J1043" i="5"/>
  <c r="J1044" i="5"/>
  <c r="J1045" i="5"/>
  <c r="J1046" i="5"/>
  <c r="J1047" i="5"/>
  <c r="J1048" i="5"/>
  <c r="D38" i="188" l="1"/>
  <c r="E38" i="188" s="1"/>
  <c r="B39" i="188"/>
  <c r="H38" i="188"/>
  <c r="I47" i="151"/>
  <c r="I46" i="151"/>
  <c r="I45" i="151"/>
  <c r="I44" i="151"/>
  <c r="I43" i="151"/>
  <c r="I42" i="151"/>
  <c r="I41" i="151"/>
  <c r="I40" i="151"/>
  <c r="I39" i="151"/>
  <c r="I38" i="151"/>
  <c r="I37" i="151"/>
  <c r="I36" i="151"/>
  <c r="I35" i="151"/>
  <c r="I34" i="151"/>
  <c r="I33" i="151"/>
  <c r="I32" i="151"/>
  <c r="I31" i="151"/>
  <c r="I30" i="151"/>
  <c r="I29" i="151"/>
  <c r="I28" i="151"/>
  <c r="I27" i="151"/>
  <c r="I26" i="151"/>
  <c r="I25" i="151"/>
  <c r="I24" i="151"/>
  <c r="I23" i="151"/>
  <c r="I22" i="151"/>
  <c r="I21" i="151"/>
  <c r="I20" i="151"/>
  <c r="I19" i="151"/>
  <c r="I18" i="151"/>
  <c r="I17" i="151"/>
  <c r="I16" i="151"/>
  <c r="I15" i="151"/>
  <c r="I14" i="151"/>
  <c r="I13" i="151"/>
  <c r="I12" i="151"/>
  <c r="I11" i="151"/>
  <c r="I10" i="151"/>
  <c r="I9" i="151"/>
  <c r="I8" i="151"/>
  <c r="I7" i="151"/>
  <c r="I6" i="151"/>
  <c r="I5" i="151"/>
  <c r="I4" i="151"/>
  <c r="I3" i="151"/>
  <c r="I2" i="151"/>
  <c r="I55" i="150"/>
  <c r="I54" i="150"/>
  <c r="I53" i="150"/>
  <c r="I52" i="150"/>
  <c r="I51" i="150"/>
  <c r="I50" i="150"/>
  <c r="I49" i="150"/>
  <c r="I48" i="150"/>
  <c r="I47" i="150"/>
  <c r="I46" i="150"/>
  <c r="I45" i="150"/>
  <c r="I44" i="150"/>
  <c r="I43" i="150"/>
  <c r="I42" i="150"/>
  <c r="I41" i="150"/>
  <c r="I40" i="150"/>
  <c r="I39" i="150"/>
  <c r="I38" i="150"/>
  <c r="I37" i="150"/>
  <c r="I36" i="150"/>
  <c r="I35" i="150"/>
  <c r="I34" i="150"/>
  <c r="I33" i="150"/>
  <c r="I32" i="150"/>
  <c r="I31" i="150"/>
  <c r="I30" i="150"/>
  <c r="I29" i="150"/>
  <c r="I28" i="150"/>
  <c r="I27" i="150"/>
  <c r="I26" i="150"/>
  <c r="I25" i="150"/>
  <c r="I24" i="150"/>
  <c r="I23" i="150"/>
  <c r="I22" i="150"/>
  <c r="I21" i="150"/>
  <c r="I20" i="150"/>
  <c r="I19" i="150"/>
  <c r="I18" i="150"/>
  <c r="I17" i="150"/>
  <c r="I16" i="150"/>
  <c r="I15" i="150"/>
  <c r="I14" i="150"/>
  <c r="I13" i="150"/>
  <c r="I12" i="150"/>
  <c r="I11" i="150"/>
  <c r="I10" i="150"/>
  <c r="I9" i="150"/>
  <c r="I8" i="150"/>
  <c r="I7" i="150"/>
  <c r="I6" i="150"/>
  <c r="I5" i="150"/>
  <c r="I4" i="150"/>
  <c r="I3" i="150"/>
  <c r="I2" i="150"/>
  <c r="G39" i="188" l="1"/>
  <c r="I38" i="188"/>
  <c r="J38" i="188" s="1"/>
  <c r="C39" i="188"/>
  <c r="Q2" i="150"/>
  <c r="Q1" i="150"/>
  <c r="B36" i="150"/>
  <c r="C36" i="150"/>
  <c r="D36" i="150"/>
  <c r="E36" i="150"/>
  <c r="F36" i="150"/>
  <c r="G36" i="150"/>
  <c r="B37" i="150"/>
  <c r="C37" i="150"/>
  <c r="D37" i="150"/>
  <c r="E37" i="150"/>
  <c r="F37" i="150"/>
  <c r="G37" i="150"/>
  <c r="B38" i="150"/>
  <c r="C38" i="150"/>
  <c r="D38" i="150"/>
  <c r="E38" i="150"/>
  <c r="F38" i="150"/>
  <c r="G38" i="150"/>
  <c r="B39" i="150"/>
  <c r="C39" i="150"/>
  <c r="D39" i="150"/>
  <c r="E39" i="150"/>
  <c r="F39" i="150"/>
  <c r="G39" i="150"/>
  <c r="B40" i="150"/>
  <c r="C40" i="150"/>
  <c r="D40" i="150"/>
  <c r="E40" i="150"/>
  <c r="F40" i="150"/>
  <c r="G40" i="150"/>
  <c r="B41" i="150"/>
  <c r="C41" i="150"/>
  <c r="D41" i="150"/>
  <c r="E41" i="150"/>
  <c r="F41" i="150"/>
  <c r="G41" i="150"/>
  <c r="B42" i="150"/>
  <c r="C42" i="150"/>
  <c r="D42" i="150"/>
  <c r="E42" i="150"/>
  <c r="F42" i="150"/>
  <c r="G42" i="150"/>
  <c r="B43" i="150"/>
  <c r="C43" i="150"/>
  <c r="D43" i="150"/>
  <c r="E43" i="150"/>
  <c r="F43" i="150"/>
  <c r="G43" i="150"/>
  <c r="B44" i="150"/>
  <c r="C44" i="150"/>
  <c r="D44" i="150"/>
  <c r="E44" i="150"/>
  <c r="F44" i="150"/>
  <c r="G44" i="150"/>
  <c r="B45" i="150"/>
  <c r="C45" i="150"/>
  <c r="D45" i="150"/>
  <c r="E45" i="150"/>
  <c r="F45" i="150"/>
  <c r="G45" i="150"/>
  <c r="B46" i="150"/>
  <c r="C46" i="150"/>
  <c r="D46" i="150"/>
  <c r="E46" i="150"/>
  <c r="F46" i="150"/>
  <c r="G46" i="150"/>
  <c r="B47" i="150"/>
  <c r="C47" i="150"/>
  <c r="D47" i="150"/>
  <c r="E47" i="150"/>
  <c r="F47" i="150"/>
  <c r="G47" i="150"/>
  <c r="B48" i="150"/>
  <c r="C48" i="150"/>
  <c r="D48" i="150"/>
  <c r="E48" i="150"/>
  <c r="F48" i="150"/>
  <c r="G48" i="150"/>
  <c r="B49" i="150"/>
  <c r="C49" i="150"/>
  <c r="D49" i="150"/>
  <c r="E49" i="150"/>
  <c r="F49" i="150"/>
  <c r="G49" i="150"/>
  <c r="B50" i="150"/>
  <c r="C50" i="150"/>
  <c r="D50" i="150"/>
  <c r="E50" i="150"/>
  <c r="F50" i="150"/>
  <c r="G50" i="150"/>
  <c r="B51" i="150"/>
  <c r="C51" i="150"/>
  <c r="D51" i="150"/>
  <c r="E51" i="150"/>
  <c r="F51" i="150"/>
  <c r="G51" i="150"/>
  <c r="B52" i="150"/>
  <c r="C52" i="150"/>
  <c r="D52" i="150"/>
  <c r="E52" i="150"/>
  <c r="F52" i="150"/>
  <c r="G52" i="150"/>
  <c r="B53" i="150"/>
  <c r="C53" i="150"/>
  <c r="D53" i="150"/>
  <c r="E53" i="150"/>
  <c r="F53" i="150"/>
  <c r="G53" i="150"/>
  <c r="B54" i="150"/>
  <c r="C54" i="150"/>
  <c r="D54" i="150"/>
  <c r="E54" i="150"/>
  <c r="F54" i="150"/>
  <c r="G54" i="150"/>
  <c r="B55" i="150"/>
  <c r="C55" i="150"/>
  <c r="D55" i="150"/>
  <c r="E55" i="150"/>
  <c r="F55" i="150"/>
  <c r="G55" i="150"/>
  <c r="B40" i="188" l="1"/>
  <c r="D39" i="188"/>
  <c r="E39" i="188" s="1"/>
  <c r="H39" i="188"/>
  <c r="J55" i="150"/>
  <c r="J53" i="150"/>
  <c r="J51" i="150"/>
  <c r="J49" i="150"/>
  <c r="J46" i="150"/>
  <c r="J44" i="150"/>
  <c r="J43" i="150"/>
  <c r="J41" i="150"/>
  <c r="J39" i="150"/>
  <c r="J37" i="150"/>
  <c r="J54" i="150"/>
  <c r="J52" i="150"/>
  <c r="J50" i="150"/>
  <c r="J48" i="150"/>
  <c r="J47" i="150"/>
  <c r="J45" i="150"/>
  <c r="J42" i="150"/>
  <c r="J40" i="150"/>
  <c r="J38" i="150"/>
  <c r="J36" i="150"/>
  <c r="F2" i="150"/>
  <c r="F3" i="150"/>
  <c r="F4" i="150"/>
  <c r="F5" i="150"/>
  <c r="F6" i="150"/>
  <c r="F7" i="150"/>
  <c r="F8" i="150"/>
  <c r="F9" i="150"/>
  <c r="F10" i="150"/>
  <c r="F11" i="150"/>
  <c r="F12" i="150"/>
  <c r="F13" i="150"/>
  <c r="F14" i="150"/>
  <c r="F15" i="150"/>
  <c r="F16" i="150"/>
  <c r="F17" i="150"/>
  <c r="F18" i="150"/>
  <c r="F19" i="150"/>
  <c r="F20" i="150"/>
  <c r="F21" i="150"/>
  <c r="F22" i="150"/>
  <c r="F23" i="150"/>
  <c r="F24" i="150"/>
  <c r="F25" i="150"/>
  <c r="F26" i="150"/>
  <c r="F27" i="150"/>
  <c r="F28" i="150"/>
  <c r="F29" i="150"/>
  <c r="F30" i="150"/>
  <c r="F31" i="150"/>
  <c r="F32" i="150"/>
  <c r="F33" i="150"/>
  <c r="F34" i="150"/>
  <c r="F35" i="150"/>
  <c r="G40" i="188" l="1"/>
  <c r="I39" i="188"/>
  <c r="J39" i="188" s="1"/>
  <c r="C40" i="188"/>
  <c r="O2" i="150"/>
  <c r="O1" i="150"/>
  <c r="D38" i="151"/>
  <c r="D40" i="188" l="1"/>
  <c r="E40" i="188" s="1"/>
  <c r="B41" i="188"/>
  <c r="H40" i="188"/>
  <c r="P20" i="3"/>
  <c r="F5" i="151"/>
  <c r="B42" i="151"/>
  <c r="C42" i="151"/>
  <c r="D42" i="151"/>
  <c r="E42" i="151"/>
  <c r="F42" i="151"/>
  <c r="G42" i="151"/>
  <c r="B43" i="151"/>
  <c r="C43" i="151"/>
  <c r="D43" i="151"/>
  <c r="E43" i="151"/>
  <c r="F43" i="151"/>
  <c r="G43" i="151"/>
  <c r="B44" i="151"/>
  <c r="C44" i="151"/>
  <c r="D44" i="151"/>
  <c r="E44" i="151"/>
  <c r="F44" i="151"/>
  <c r="G44" i="151"/>
  <c r="B45" i="151"/>
  <c r="C45" i="151"/>
  <c r="D45" i="151"/>
  <c r="E45" i="151"/>
  <c r="F45" i="151"/>
  <c r="G45" i="151"/>
  <c r="B46" i="151"/>
  <c r="C46" i="151"/>
  <c r="D46" i="151"/>
  <c r="E46" i="151"/>
  <c r="F46" i="151"/>
  <c r="G46" i="151"/>
  <c r="B47" i="151"/>
  <c r="C47" i="151"/>
  <c r="D47" i="151"/>
  <c r="E47" i="151"/>
  <c r="F47" i="151"/>
  <c r="G47" i="151"/>
  <c r="B35" i="151"/>
  <c r="C35" i="151"/>
  <c r="D35" i="151"/>
  <c r="E35" i="151"/>
  <c r="F35" i="151"/>
  <c r="G35" i="151"/>
  <c r="B36" i="151"/>
  <c r="C36" i="151"/>
  <c r="D36" i="151"/>
  <c r="E36" i="151"/>
  <c r="F36" i="151"/>
  <c r="G36" i="151"/>
  <c r="B37" i="151"/>
  <c r="C37" i="151"/>
  <c r="D37" i="151"/>
  <c r="E37" i="151"/>
  <c r="F37" i="151"/>
  <c r="G37" i="151"/>
  <c r="B38" i="151"/>
  <c r="C38" i="151"/>
  <c r="E38" i="151"/>
  <c r="F38" i="151"/>
  <c r="G38" i="151"/>
  <c r="B39" i="151"/>
  <c r="C39" i="151"/>
  <c r="D39" i="151"/>
  <c r="E39" i="151"/>
  <c r="F39" i="151"/>
  <c r="G39" i="151"/>
  <c r="B40" i="151"/>
  <c r="C40" i="151"/>
  <c r="D40" i="151"/>
  <c r="E40" i="151"/>
  <c r="F40" i="151"/>
  <c r="G40" i="151"/>
  <c r="B41" i="151"/>
  <c r="C41" i="151"/>
  <c r="D41" i="151"/>
  <c r="E41" i="151"/>
  <c r="F41" i="151"/>
  <c r="G41" i="151"/>
  <c r="R1034" i="5"/>
  <c r="R1035" i="5"/>
  <c r="R1036" i="5"/>
  <c r="R1037" i="5"/>
  <c r="J1034" i="5"/>
  <c r="J1035" i="5"/>
  <c r="J1036" i="5"/>
  <c r="J1037" i="5"/>
  <c r="R693" i="5"/>
  <c r="R694" i="5"/>
  <c r="R695" i="5"/>
  <c r="R696" i="5"/>
  <c r="R697" i="5"/>
  <c r="R698" i="5"/>
  <c r="R699" i="5"/>
  <c r="R700" i="5"/>
  <c r="R701" i="5"/>
  <c r="R702" i="5"/>
  <c r="R703" i="5"/>
  <c r="R704" i="5"/>
  <c r="R705" i="5"/>
  <c r="R706" i="5"/>
  <c r="R707" i="5"/>
  <c r="R708" i="5"/>
  <c r="R709" i="5"/>
  <c r="R710" i="5"/>
  <c r="R711" i="5"/>
  <c r="R712" i="5"/>
  <c r="R713" i="5"/>
  <c r="R714" i="5"/>
  <c r="R715" i="5"/>
  <c r="R716" i="5"/>
  <c r="R717" i="5"/>
  <c r="R718" i="5"/>
  <c r="R719" i="5"/>
  <c r="R720" i="5"/>
  <c r="R721" i="5"/>
  <c r="R722" i="5"/>
  <c r="R723" i="5"/>
  <c r="R724" i="5"/>
  <c r="R725" i="5"/>
  <c r="R726" i="5"/>
  <c r="R727" i="5"/>
  <c r="R728" i="5"/>
  <c r="R729" i="5"/>
  <c r="R730" i="5"/>
  <c r="R731" i="5"/>
  <c r="R732" i="5"/>
  <c r="R733" i="5"/>
  <c r="R734" i="5"/>
  <c r="R735" i="5"/>
  <c r="R736" i="5"/>
  <c r="R737" i="5"/>
  <c r="R738" i="5"/>
  <c r="R739" i="5"/>
  <c r="R740" i="5"/>
  <c r="R741" i="5"/>
  <c r="R742" i="5"/>
  <c r="R743" i="5"/>
  <c r="R744" i="5"/>
  <c r="R745" i="5"/>
  <c r="R746" i="5"/>
  <c r="R747" i="5"/>
  <c r="R748" i="5"/>
  <c r="R749" i="5"/>
  <c r="R750" i="5"/>
  <c r="R751" i="5"/>
  <c r="R752" i="5"/>
  <c r="R753" i="5"/>
  <c r="R754" i="5"/>
  <c r="R755" i="5"/>
  <c r="R756" i="5"/>
  <c r="R757" i="5"/>
  <c r="R758" i="5"/>
  <c r="R759" i="5"/>
  <c r="R760" i="5"/>
  <c r="R761" i="5"/>
  <c r="R762" i="5"/>
  <c r="R763" i="5"/>
  <c r="R764" i="5"/>
  <c r="R765" i="5"/>
  <c r="R766" i="5"/>
  <c r="R767" i="5"/>
  <c r="R768" i="5"/>
  <c r="R769" i="5"/>
  <c r="R770" i="5"/>
  <c r="R771" i="5"/>
  <c r="R772" i="5"/>
  <c r="R773" i="5"/>
  <c r="R774" i="5"/>
  <c r="R775" i="5"/>
  <c r="R776" i="5"/>
  <c r="R777" i="5"/>
  <c r="R778" i="5"/>
  <c r="R779" i="5"/>
  <c r="R780" i="5"/>
  <c r="R781" i="5"/>
  <c r="R782" i="5"/>
  <c r="R783" i="5"/>
  <c r="R784" i="5"/>
  <c r="R785" i="5"/>
  <c r="R786" i="5"/>
  <c r="R787" i="5"/>
  <c r="R788" i="5"/>
  <c r="R789" i="5"/>
  <c r="R790" i="5"/>
  <c r="R791" i="5"/>
  <c r="R792" i="5"/>
  <c r="R793" i="5"/>
  <c r="R794" i="5"/>
  <c r="R795" i="5"/>
  <c r="R796" i="5"/>
  <c r="R797" i="5"/>
  <c r="R798" i="5"/>
  <c r="R799" i="5"/>
  <c r="R800" i="5"/>
  <c r="R801" i="5"/>
  <c r="R802" i="5"/>
  <c r="R803" i="5"/>
  <c r="R804" i="5"/>
  <c r="R805" i="5"/>
  <c r="R806" i="5"/>
  <c r="R807" i="5"/>
  <c r="R808" i="5"/>
  <c r="R809" i="5"/>
  <c r="R810" i="5"/>
  <c r="R811" i="5"/>
  <c r="R812" i="5"/>
  <c r="R813" i="5"/>
  <c r="R814" i="5"/>
  <c r="R815" i="5"/>
  <c r="R816" i="5"/>
  <c r="R817" i="5"/>
  <c r="R818" i="5"/>
  <c r="R819" i="5"/>
  <c r="R820" i="5"/>
  <c r="R821" i="5"/>
  <c r="R822" i="5"/>
  <c r="R823" i="5"/>
  <c r="R824" i="5"/>
  <c r="R825" i="5"/>
  <c r="R826" i="5"/>
  <c r="R827" i="5"/>
  <c r="R828" i="5"/>
  <c r="R829" i="5"/>
  <c r="R830" i="5"/>
  <c r="R831" i="5"/>
  <c r="R832" i="5"/>
  <c r="R833" i="5"/>
  <c r="R834" i="5"/>
  <c r="R835" i="5"/>
  <c r="R836" i="5"/>
  <c r="R837" i="5"/>
  <c r="R838" i="5"/>
  <c r="R839" i="5"/>
  <c r="R840" i="5"/>
  <c r="R841" i="5"/>
  <c r="R842" i="5"/>
  <c r="R843" i="5"/>
  <c r="R844" i="5"/>
  <c r="R845" i="5"/>
  <c r="R846" i="5"/>
  <c r="R847" i="5"/>
  <c r="R848" i="5"/>
  <c r="R849" i="5"/>
  <c r="R850" i="5"/>
  <c r="R851" i="5"/>
  <c r="R852" i="5"/>
  <c r="R853" i="5"/>
  <c r="R854" i="5"/>
  <c r="R855" i="5"/>
  <c r="R856" i="5"/>
  <c r="R857" i="5"/>
  <c r="R858" i="5"/>
  <c r="R859" i="5"/>
  <c r="R860" i="5"/>
  <c r="R861" i="5"/>
  <c r="R862" i="5"/>
  <c r="R863" i="5"/>
  <c r="R864" i="5"/>
  <c r="R865" i="5"/>
  <c r="R866" i="5"/>
  <c r="R867" i="5"/>
  <c r="R868" i="5"/>
  <c r="R869" i="5"/>
  <c r="R870" i="5"/>
  <c r="R871" i="5"/>
  <c r="R872" i="5"/>
  <c r="R873" i="5"/>
  <c r="R874" i="5"/>
  <c r="R875" i="5"/>
  <c r="R876" i="5"/>
  <c r="R877" i="5"/>
  <c r="R878" i="5"/>
  <c r="R879" i="5"/>
  <c r="R880" i="5"/>
  <c r="R881" i="5"/>
  <c r="R882" i="5"/>
  <c r="R883" i="5"/>
  <c r="R884" i="5"/>
  <c r="R885" i="5"/>
  <c r="R886" i="5"/>
  <c r="R887" i="5"/>
  <c r="R888" i="5"/>
  <c r="R889" i="5"/>
  <c r="R890" i="5"/>
  <c r="R891" i="5"/>
  <c r="R892" i="5"/>
  <c r="R893" i="5"/>
  <c r="R894" i="5"/>
  <c r="R895" i="5"/>
  <c r="R896" i="5"/>
  <c r="R897" i="5"/>
  <c r="R898" i="5"/>
  <c r="R899" i="5"/>
  <c r="R900" i="5"/>
  <c r="R901" i="5"/>
  <c r="R902" i="5"/>
  <c r="R903" i="5"/>
  <c r="R904" i="5"/>
  <c r="R905" i="5"/>
  <c r="R906" i="5"/>
  <c r="R907" i="5"/>
  <c r="R908" i="5"/>
  <c r="R909" i="5"/>
  <c r="R910" i="5"/>
  <c r="R911" i="5"/>
  <c r="R912" i="5"/>
  <c r="R913" i="5"/>
  <c r="R914" i="5"/>
  <c r="R915" i="5"/>
  <c r="R916" i="5"/>
  <c r="R917" i="5"/>
  <c r="R918" i="5"/>
  <c r="R919" i="5"/>
  <c r="R920" i="5"/>
  <c r="R921" i="5"/>
  <c r="R922" i="5"/>
  <c r="R923" i="5"/>
  <c r="R924" i="5"/>
  <c r="R925" i="5"/>
  <c r="R926" i="5"/>
  <c r="R927" i="5"/>
  <c r="R928" i="5"/>
  <c r="R929" i="5"/>
  <c r="R930" i="5"/>
  <c r="R931" i="5"/>
  <c r="R932" i="5"/>
  <c r="R933" i="5"/>
  <c r="R934" i="5"/>
  <c r="R935" i="5"/>
  <c r="R936" i="5"/>
  <c r="R937" i="5"/>
  <c r="R938" i="5"/>
  <c r="R939" i="5"/>
  <c r="R940" i="5"/>
  <c r="R941" i="5"/>
  <c r="R942" i="5"/>
  <c r="R943" i="5"/>
  <c r="R944" i="5"/>
  <c r="R945" i="5"/>
  <c r="R946" i="5"/>
  <c r="R947" i="5"/>
  <c r="R948" i="5"/>
  <c r="R949" i="5"/>
  <c r="R950" i="5"/>
  <c r="R951" i="5"/>
  <c r="R952" i="5"/>
  <c r="R953" i="5"/>
  <c r="R954" i="5"/>
  <c r="R955" i="5"/>
  <c r="R956" i="5"/>
  <c r="R957" i="5"/>
  <c r="R958" i="5"/>
  <c r="R959" i="5"/>
  <c r="R960" i="5"/>
  <c r="R961" i="5"/>
  <c r="R962" i="5"/>
  <c r="R963" i="5"/>
  <c r="R964" i="5"/>
  <c r="R965" i="5"/>
  <c r="R966" i="5"/>
  <c r="R967" i="5"/>
  <c r="R968" i="5"/>
  <c r="R969" i="5"/>
  <c r="R970" i="5"/>
  <c r="R971" i="5"/>
  <c r="R972" i="5"/>
  <c r="R973" i="5"/>
  <c r="R974" i="5"/>
  <c r="R975" i="5"/>
  <c r="R976" i="5"/>
  <c r="R977" i="5"/>
  <c r="R978" i="5"/>
  <c r="R979" i="5"/>
  <c r="R980" i="5"/>
  <c r="R981" i="5"/>
  <c r="R982" i="5"/>
  <c r="R983" i="5"/>
  <c r="R984" i="5"/>
  <c r="R985" i="5"/>
  <c r="R986" i="5"/>
  <c r="R987" i="5"/>
  <c r="R988" i="5"/>
  <c r="R989" i="5"/>
  <c r="R990" i="5"/>
  <c r="R991" i="5"/>
  <c r="R992" i="5"/>
  <c r="R993" i="5"/>
  <c r="R994" i="5"/>
  <c r="R995" i="5"/>
  <c r="R996" i="5"/>
  <c r="R997" i="5"/>
  <c r="R998" i="5"/>
  <c r="R999" i="5"/>
  <c r="R1000" i="5"/>
  <c r="R1001" i="5"/>
  <c r="R1002" i="5"/>
  <c r="R1003" i="5"/>
  <c r="R1004" i="5"/>
  <c r="R1005" i="5"/>
  <c r="R1006" i="5"/>
  <c r="R1007" i="5"/>
  <c r="R1008" i="5"/>
  <c r="R1009" i="5"/>
  <c r="R1010" i="5"/>
  <c r="R1011" i="5"/>
  <c r="R1012" i="5"/>
  <c r="R1013" i="5"/>
  <c r="R1014" i="5"/>
  <c r="R1015" i="5"/>
  <c r="R1016" i="5"/>
  <c r="R1017" i="5"/>
  <c r="R1018" i="5"/>
  <c r="R1019" i="5"/>
  <c r="R1020" i="5"/>
  <c r="R1021" i="5"/>
  <c r="R1022" i="5"/>
  <c r="R1023" i="5"/>
  <c r="R1024" i="5"/>
  <c r="R1025" i="5"/>
  <c r="R1026" i="5"/>
  <c r="R1027" i="5"/>
  <c r="R1028" i="5"/>
  <c r="R1029" i="5"/>
  <c r="R1030" i="5"/>
  <c r="R1031" i="5"/>
  <c r="R1032" i="5"/>
  <c r="R1033" i="5"/>
  <c r="J693" i="5"/>
  <c r="J694" i="5"/>
  <c r="J695" i="5"/>
  <c r="J696" i="5"/>
  <c r="J697" i="5"/>
  <c r="J698" i="5"/>
  <c r="J699" i="5"/>
  <c r="J700" i="5"/>
  <c r="J701" i="5"/>
  <c r="J702" i="5"/>
  <c r="J703" i="5"/>
  <c r="J704" i="5"/>
  <c r="J705" i="5"/>
  <c r="J706" i="5"/>
  <c r="J707" i="5"/>
  <c r="J708" i="5"/>
  <c r="J709" i="5"/>
  <c r="J710" i="5"/>
  <c r="J711" i="5"/>
  <c r="J712" i="5"/>
  <c r="J713" i="5"/>
  <c r="J714" i="5"/>
  <c r="J715" i="5"/>
  <c r="J716" i="5"/>
  <c r="J717" i="5"/>
  <c r="J718" i="5"/>
  <c r="J719" i="5"/>
  <c r="J720" i="5"/>
  <c r="J721" i="5"/>
  <c r="J722" i="5"/>
  <c r="J723" i="5"/>
  <c r="J724" i="5"/>
  <c r="J725" i="5"/>
  <c r="J726" i="5"/>
  <c r="J727" i="5"/>
  <c r="J728" i="5"/>
  <c r="J729" i="5"/>
  <c r="J730" i="5"/>
  <c r="J731" i="5"/>
  <c r="J732" i="5"/>
  <c r="J733" i="5"/>
  <c r="J734" i="5"/>
  <c r="J735" i="5"/>
  <c r="J736" i="5"/>
  <c r="J737" i="5"/>
  <c r="J738" i="5"/>
  <c r="J739" i="5"/>
  <c r="J740" i="5"/>
  <c r="J741" i="5"/>
  <c r="J742" i="5"/>
  <c r="J743" i="5"/>
  <c r="J744" i="5"/>
  <c r="J745" i="5"/>
  <c r="J746" i="5"/>
  <c r="J747" i="5"/>
  <c r="J748" i="5"/>
  <c r="J749" i="5"/>
  <c r="J750" i="5"/>
  <c r="J751" i="5"/>
  <c r="J752" i="5"/>
  <c r="J753" i="5"/>
  <c r="J754" i="5"/>
  <c r="J755" i="5"/>
  <c r="J756" i="5"/>
  <c r="J757" i="5"/>
  <c r="J758" i="5"/>
  <c r="J759" i="5"/>
  <c r="J760" i="5"/>
  <c r="J761" i="5"/>
  <c r="J762" i="5"/>
  <c r="J763" i="5"/>
  <c r="J764" i="5"/>
  <c r="J765" i="5"/>
  <c r="J766" i="5"/>
  <c r="J767" i="5"/>
  <c r="J768" i="5"/>
  <c r="J769" i="5"/>
  <c r="J770" i="5"/>
  <c r="J771" i="5"/>
  <c r="J772" i="5"/>
  <c r="J773" i="5"/>
  <c r="J774" i="5"/>
  <c r="J775" i="5"/>
  <c r="J776" i="5"/>
  <c r="J777" i="5"/>
  <c r="J778" i="5"/>
  <c r="J779" i="5"/>
  <c r="J780" i="5"/>
  <c r="J781" i="5"/>
  <c r="J782" i="5"/>
  <c r="J783" i="5"/>
  <c r="J784" i="5"/>
  <c r="J785" i="5"/>
  <c r="J786" i="5"/>
  <c r="J787" i="5"/>
  <c r="J788" i="5"/>
  <c r="J789" i="5"/>
  <c r="J790" i="5"/>
  <c r="J791" i="5"/>
  <c r="J792" i="5"/>
  <c r="J793" i="5"/>
  <c r="J794" i="5"/>
  <c r="J795" i="5"/>
  <c r="J796" i="5"/>
  <c r="J797" i="5"/>
  <c r="J798" i="5"/>
  <c r="J799" i="5"/>
  <c r="J800" i="5"/>
  <c r="J801" i="5"/>
  <c r="J802" i="5"/>
  <c r="J803" i="5"/>
  <c r="J804" i="5"/>
  <c r="J805" i="5"/>
  <c r="J806" i="5"/>
  <c r="J807" i="5"/>
  <c r="J808" i="5"/>
  <c r="J809" i="5"/>
  <c r="J810" i="5"/>
  <c r="J811" i="5"/>
  <c r="J812" i="5"/>
  <c r="J813" i="5"/>
  <c r="J814" i="5"/>
  <c r="J815" i="5"/>
  <c r="J816" i="5"/>
  <c r="J817" i="5"/>
  <c r="J818" i="5"/>
  <c r="J819" i="5"/>
  <c r="J820" i="5"/>
  <c r="J821" i="5"/>
  <c r="J822" i="5"/>
  <c r="J823" i="5"/>
  <c r="J824" i="5"/>
  <c r="J825" i="5"/>
  <c r="J826" i="5"/>
  <c r="J827" i="5"/>
  <c r="J828" i="5"/>
  <c r="J829" i="5"/>
  <c r="J830" i="5"/>
  <c r="J831" i="5"/>
  <c r="J832" i="5"/>
  <c r="J833" i="5"/>
  <c r="J834" i="5"/>
  <c r="J835" i="5"/>
  <c r="J836" i="5"/>
  <c r="J837" i="5"/>
  <c r="J838" i="5"/>
  <c r="J839" i="5"/>
  <c r="J840" i="5"/>
  <c r="J841" i="5"/>
  <c r="J842" i="5"/>
  <c r="J843" i="5"/>
  <c r="J844" i="5"/>
  <c r="J845" i="5"/>
  <c r="J846" i="5"/>
  <c r="J847" i="5"/>
  <c r="J848" i="5"/>
  <c r="J849" i="5"/>
  <c r="J850" i="5"/>
  <c r="J851" i="5"/>
  <c r="J852" i="5"/>
  <c r="J853" i="5"/>
  <c r="J854" i="5"/>
  <c r="J855" i="5"/>
  <c r="J856" i="5"/>
  <c r="J857" i="5"/>
  <c r="J858" i="5"/>
  <c r="J859" i="5"/>
  <c r="J860" i="5"/>
  <c r="J861" i="5"/>
  <c r="J862" i="5"/>
  <c r="J863" i="5"/>
  <c r="J864" i="5"/>
  <c r="J865" i="5"/>
  <c r="J866" i="5"/>
  <c r="J867" i="5"/>
  <c r="J868" i="5"/>
  <c r="J869" i="5"/>
  <c r="J870" i="5"/>
  <c r="J871" i="5"/>
  <c r="J872" i="5"/>
  <c r="J873" i="5"/>
  <c r="J874" i="5"/>
  <c r="J875" i="5"/>
  <c r="J876" i="5"/>
  <c r="J877" i="5"/>
  <c r="J878" i="5"/>
  <c r="J879" i="5"/>
  <c r="J880" i="5"/>
  <c r="J881" i="5"/>
  <c r="J882" i="5"/>
  <c r="J883" i="5"/>
  <c r="J884" i="5"/>
  <c r="J885" i="5"/>
  <c r="J886" i="5"/>
  <c r="J887" i="5"/>
  <c r="J888" i="5"/>
  <c r="J889" i="5"/>
  <c r="J890" i="5"/>
  <c r="J891" i="5"/>
  <c r="J892" i="5"/>
  <c r="J893" i="5"/>
  <c r="J894" i="5"/>
  <c r="J895" i="5"/>
  <c r="J896" i="5"/>
  <c r="J897" i="5"/>
  <c r="J898" i="5"/>
  <c r="J899" i="5"/>
  <c r="J900" i="5"/>
  <c r="J901" i="5"/>
  <c r="J902" i="5"/>
  <c r="J903" i="5"/>
  <c r="J904" i="5"/>
  <c r="J905" i="5"/>
  <c r="J906" i="5"/>
  <c r="J907" i="5"/>
  <c r="J908" i="5"/>
  <c r="J909" i="5"/>
  <c r="J910" i="5"/>
  <c r="J911" i="5"/>
  <c r="J912" i="5"/>
  <c r="J913" i="5"/>
  <c r="J914" i="5"/>
  <c r="J915" i="5"/>
  <c r="J916" i="5"/>
  <c r="J917" i="5"/>
  <c r="J918" i="5"/>
  <c r="J919" i="5"/>
  <c r="J920" i="5"/>
  <c r="J921" i="5"/>
  <c r="J922" i="5"/>
  <c r="J923" i="5"/>
  <c r="J924" i="5"/>
  <c r="J925" i="5"/>
  <c r="J926" i="5"/>
  <c r="J927" i="5"/>
  <c r="J928" i="5"/>
  <c r="J929" i="5"/>
  <c r="J930" i="5"/>
  <c r="J931" i="5"/>
  <c r="J932" i="5"/>
  <c r="J933" i="5"/>
  <c r="J934" i="5"/>
  <c r="J935" i="5"/>
  <c r="J936" i="5"/>
  <c r="J937" i="5"/>
  <c r="J938" i="5"/>
  <c r="J939" i="5"/>
  <c r="J940" i="5"/>
  <c r="J941" i="5"/>
  <c r="J942" i="5"/>
  <c r="J943" i="5"/>
  <c r="J944" i="5"/>
  <c r="J945" i="5"/>
  <c r="J946" i="5"/>
  <c r="J947" i="5"/>
  <c r="J948" i="5"/>
  <c r="J949" i="5"/>
  <c r="J950" i="5"/>
  <c r="J951" i="5"/>
  <c r="J952" i="5"/>
  <c r="J953" i="5"/>
  <c r="J954" i="5"/>
  <c r="J955" i="5"/>
  <c r="J956" i="5"/>
  <c r="J957" i="5"/>
  <c r="J958" i="5"/>
  <c r="J959" i="5"/>
  <c r="J960" i="5"/>
  <c r="J961" i="5"/>
  <c r="J962" i="5"/>
  <c r="J963" i="5"/>
  <c r="J964" i="5"/>
  <c r="J965" i="5"/>
  <c r="J966" i="5"/>
  <c r="J967" i="5"/>
  <c r="J968" i="5"/>
  <c r="J969" i="5"/>
  <c r="J970" i="5"/>
  <c r="J971" i="5"/>
  <c r="J972" i="5"/>
  <c r="J973" i="5"/>
  <c r="J974" i="5"/>
  <c r="J975" i="5"/>
  <c r="J976" i="5"/>
  <c r="J977" i="5"/>
  <c r="J978" i="5"/>
  <c r="J979" i="5"/>
  <c r="J980" i="5"/>
  <c r="J981" i="5"/>
  <c r="J982" i="5"/>
  <c r="J983" i="5"/>
  <c r="J984" i="5"/>
  <c r="J985" i="5"/>
  <c r="J986" i="5"/>
  <c r="J987" i="5"/>
  <c r="J988" i="5"/>
  <c r="J989" i="5"/>
  <c r="J990" i="5"/>
  <c r="J991" i="5"/>
  <c r="J992" i="5"/>
  <c r="J993" i="5"/>
  <c r="J994" i="5"/>
  <c r="J995" i="5"/>
  <c r="J996" i="5"/>
  <c r="J997" i="5"/>
  <c r="J998" i="5"/>
  <c r="J999" i="5"/>
  <c r="J1000" i="5"/>
  <c r="J1001" i="5"/>
  <c r="J1002" i="5"/>
  <c r="J1003" i="5"/>
  <c r="J1004" i="5"/>
  <c r="J1005" i="5"/>
  <c r="J1006" i="5"/>
  <c r="J1007" i="5"/>
  <c r="J1008" i="5"/>
  <c r="J1009" i="5"/>
  <c r="J1010" i="5"/>
  <c r="J1011" i="5"/>
  <c r="J1012" i="5"/>
  <c r="J1013" i="5"/>
  <c r="J1014" i="5"/>
  <c r="J1015" i="5"/>
  <c r="J1016" i="5"/>
  <c r="J1017" i="5"/>
  <c r="J1018" i="5"/>
  <c r="J1019" i="5"/>
  <c r="J1020" i="5"/>
  <c r="J1021" i="5"/>
  <c r="J1022" i="5"/>
  <c r="J1023" i="5"/>
  <c r="J1024" i="5"/>
  <c r="J1025" i="5"/>
  <c r="J1026" i="5"/>
  <c r="J1027" i="5"/>
  <c r="J1028" i="5"/>
  <c r="J1029" i="5"/>
  <c r="J1030" i="5"/>
  <c r="J1031" i="5"/>
  <c r="J1032" i="5"/>
  <c r="J1033" i="5"/>
  <c r="I40" i="188" l="1"/>
  <c r="J40" i="188" s="1"/>
  <c r="G41" i="188"/>
  <c r="C41" i="188"/>
  <c r="J38" i="151"/>
  <c r="J36" i="151"/>
  <c r="J46" i="151"/>
  <c r="J44" i="151"/>
  <c r="J43" i="151"/>
  <c r="J40" i="151"/>
  <c r="J37" i="151"/>
  <c r="J35" i="151"/>
  <c r="J47" i="151"/>
  <c r="J45" i="151"/>
  <c r="J42" i="151"/>
  <c r="J41" i="151"/>
  <c r="J39" i="151"/>
  <c r="D41" i="188" l="1"/>
  <c r="E41" i="188" s="1"/>
  <c r="B42" i="188"/>
  <c r="H41" i="188"/>
  <c r="B19" i="151"/>
  <c r="C19" i="151"/>
  <c r="D19" i="151"/>
  <c r="E19" i="151"/>
  <c r="F19" i="151"/>
  <c r="G19" i="151"/>
  <c r="B20" i="151"/>
  <c r="C20" i="151"/>
  <c r="D20" i="151"/>
  <c r="E20" i="151"/>
  <c r="F20" i="151"/>
  <c r="G20" i="151"/>
  <c r="B21" i="151"/>
  <c r="C21" i="151"/>
  <c r="D21" i="151"/>
  <c r="E21" i="151"/>
  <c r="F21" i="151"/>
  <c r="G21" i="151"/>
  <c r="B22" i="151"/>
  <c r="C22" i="151"/>
  <c r="D22" i="151"/>
  <c r="E22" i="151"/>
  <c r="F22" i="151"/>
  <c r="G22" i="151"/>
  <c r="B23" i="151"/>
  <c r="C23" i="151"/>
  <c r="D23" i="151"/>
  <c r="E23" i="151"/>
  <c r="F23" i="151"/>
  <c r="G23" i="151"/>
  <c r="B24" i="151"/>
  <c r="C24" i="151"/>
  <c r="D24" i="151"/>
  <c r="E24" i="151"/>
  <c r="F24" i="151"/>
  <c r="G24" i="151"/>
  <c r="B25" i="151"/>
  <c r="C25" i="151"/>
  <c r="D25" i="151"/>
  <c r="E25" i="151"/>
  <c r="F25" i="151"/>
  <c r="G25" i="151"/>
  <c r="B26" i="151"/>
  <c r="C26" i="151"/>
  <c r="D26" i="151"/>
  <c r="E26" i="151"/>
  <c r="F26" i="151"/>
  <c r="G26" i="151"/>
  <c r="B27" i="151"/>
  <c r="C27" i="151"/>
  <c r="D27" i="151"/>
  <c r="E27" i="151"/>
  <c r="F27" i="151"/>
  <c r="G27" i="151"/>
  <c r="B28" i="151"/>
  <c r="C28" i="151"/>
  <c r="D28" i="151"/>
  <c r="E28" i="151"/>
  <c r="F28" i="151"/>
  <c r="G28" i="151"/>
  <c r="B29" i="151"/>
  <c r="C29" i="151"/>
  <c r="D29" i="151"/>
  <c r="E29" i="151"/>
  <c r="F29" i="151"/>
  <c r="G29" i="151"/>
  <c r="B30" i="151"/>
  <c r="C30" i="151"/>
  <c r="D30" i="151"/>
  <c r="E30" i="151"/>
  <c r="F30" i="151"/>
  <c r="G30" i="151"/>
  <c r="B31" i="151"/>
  <c r="C31" i="151"/>
  <c r="D31" i="151"/>
  <c r="E31" i="151"/>
  <c r="F31" i="151"/>
  <c r="G31" i="151"/>
  <c r="B32" i="151"/>
  <c r="C32" i="151"/>
  <c r="D32" i="151"/>
  <c r="E32" i="151"/>
  <c r="F32" i="151"/>
  <c r="G32" i="151"/>
  <c r="B33" i="151"/>
  <c r="C33" i="151"/>
  <c r="D33" i="151"/>
  <c r="E33" i="151"/>
  <c r="F33" i="151"/>
  <c r="G33" i="151"/>
  <c r="B34" i="151"/>
  <c r="C34" i="151"/>
  <c r="D34" i="151"/>
  <c r="E34" i="151"/>
  <c r="F34" i="151"/>
  <c r="G34" i="151"/>
  <c r="B3" i="151"/>
  <c r="C3" i="151"/>
  <c r="D3" i="151"/>
  <c r="E3" i="151"/>
  <c r="F3" i="151"/>
  <c r="G3" i="151"/>
  <c r="B4" i="151"/>
  <c r="C4" i="151"/>
  <c r="D4" i="151"/>
  <c r="E4" i="151"/>
  <c r="F4" i="151"/>
  <c r="G4" i="151"/>
  <c r="B5" i="151"/>
  <c r="C5" i="151"/>
  <c r="D5" i="151"/>
  <c r="E5" i="151"/>
  <c r="G5" i="151"/>
  <c r="B6" i="151"/>
  <c r="C6" i="151"/>
  <c r="D6" i="151"/>
  <c r="E6" i="151"/>
  <c r="F6" i="151"/>
  <c r="G6" i="151"/>
  <c r="B7" i="151"/>
  <c r="C7" i="151"/>
  <c r="D7" i="151"/>
  <c r="E7" i="151"/>
  <c r="F7" i="151"/>
  <c r="G7" i="151"/>
  <c r="B8" i="151"/>
  <c r="C8" i="151"/>
  <c r="D8" i="151"/>
  <c r="E8" i="151"/>
  <c r="F8" i="151"/>
  <c r="G8" i="151"/>
  <c r="B9" i="151"/>
  <c r="C9" i="151"/>
  <c r="D9" i="151"/>
  <c r="E9" i="151"/>
  <c r="F9" i="151"/>
  <c r="G9" i="151"/>
  <c r="B10" i="151"/>
  <c r="C10" i="151"/>
  <c r="D10" i="151"/>
  <c r="E10" i="151"/>
  <c r="F10" i="151"/>
  <c r="G10" i="151"/>
  <c r="B11" i="151"/>
  <c r="C11" i="151"/>
  <c r="D11" i="151"/>
  <c r="E11" i="151"/>
  <c r="F11" i="151"/>
  <c r="G11" i="151"/>
  <c r="B12" i="151"/>
  <c r="C12" i="151"/>
  <c r="D12" i="151"/>
  <c r="E12" i="151"/>
  <c r="F12" i="151"/>
  <c r="G12" i="151"/>
  <c r="B13" i="151"/>
  <c r="C13" i="151"/>
  <c r="D13" i="151"/>
  <c r="E13" i="151"/>
  <c r="F13" i="151"/>
  <c r="G13" i="151"/>
  <c r="B14" i="151"/>
  <c r="C14" i="151"/>
  <c r="D14" i="151"/>
  <c r="E14" i="151"/>
  <c r="F14" i="151"/>
  <c r="G14" i="151"/>
  <c r="B15" i="151"/>
  <c r="C15" i="151"/>
  <c r="D15" i="151"/>
  <c r="E15" i="151"/>
  <c r="F15" i="151"/>
  <c r="G15" i="151"/>
  <c r="B16" i="151"/>
  <c r="C16" i="151"/>
  <c r="D16" i="151"/>
  <c r="E16" i="151"/>
  <c r="F16" i="151"/>
  <c r="G16" i="151"/>
  <c r="B17" i="151"/>
  <c r="C17" i="151"/>
  <c r="D17" i="151"/>
  <c r="E17" i="151"/>
  <c r="F17" i="151"/>
  <c r="G17" i="151"/>
  <c r="B18" i="151"/>
  <c r="C18" i="151"/>
  <c r="D18" i="151"/>
  <c r="E18" i="151"/>
  <c r="F18" i="151"/>
  <c r="G18" i="151"/>
  <c r="C2" i="151"/>
  <c r="D2" i="151"/>
  <c r="E2" i="151"/>
  <c r="F2" i="151"/>
  <c r="G2" i="151"/>
  <c r="B2" i="151"/>
  <c r="B18" i="150"/>
  <c r="B25" i="150"/>
  <c r="C25" i="150"/>
  <c r="D25" i="150"/>
  <c r="E25" i="150"/>
  <c r="G25" i="150"/>
  <c r="B26" i="150"/>
  <c r="C26" i="150"/>
  <c r="D26" i="150"/>
  <c r="E26" i="150"/>
  <c r="G26" i="150"/>
  <c r="B27" i="150"/>
  <c r="C27" i="150"/>
  <c r="D27" i="150"/>
  <c r="E27" i="150"/>
  <c r="G27" i="150"/>
  <c r="B28" i="150"/>
  <c r="C28" i="150"/>
  <c r="D28" i="150"/>
  <c r="E28" i="150"/>
  <c r="G28" i="150"/>
  <c r="B29" i="150"/>
  <c r="C29" i="150"/>
  <c r="D29" i="150"/>
  <c r="E29" i="150"/>
  <c r="G29" i="150"/>
  <c r="B30" i="150"/>
  <c r="C30" i="150"/>
  <c r="D30" i="150"/>
  <c r="E30" i="150"/>
  <c r="G30" i="150"/>
  <c r="B31" i="150"/>
  <c r="C31" i="150"/>
  <c r="D31" i="150"/>
  <c r="E31" i="150"/>
  <c r="G31" i="150"/>
  <c r="B32" i="150"/>
  <c r="C32" i="150"/>
  <c r="D32" i="150"/>
  <c r="E32" i="150"/>
  <c r="G32" i="150"/>
  <c r="B33" i="150"/>
  <c r="C33" i="150"/>
  <c r="D33" i="150"/>
  <c r="E33" i="150"/>
  <c r="G33" i="150"/>
  <c r="B34" i="150"/>
  <c r="C34" i="150"/>
  <c r="D34" i="150"/>
  <c r="E34" i="150"/>
  <c r="G34" i="150"/>
  <c r="B35" i="150"/>
  <c r="C35" i="150"/>
  <c r="D35" i="150"/>
  <c r="E35" i="150"/>
  <c r="G35" i="150"/>
  <c r="B9" i="150"/>
  <c r="C9" i="150"/>
  <c r="D9" i="150"/>
  <c r="E9" i="150"/>
  <c r="G9" i="150"/>
  <c r="B10" i="150"/>
  <c r="C10" i="150"/>
  <c r="D10" i="150"/>
  <c r="E10" i="150"/>
  <c r="G10" i="150"/>
  <c r="B11" i="150"/>
  <c r="C11" i="150"/>
  <c r="D11" i="150"/>
  <c r="E11" i="150"/>
  <c r="G11" i="150"/>
  <c r="B12" i="150"/>
  <c r="C12" i="150"/>
  <c r="D12" i="150"/>
  <c r="E12" i="150"/>
  <c r="G12" i="150"/>
  <c r="B13" i="150"/>
  <c r="C13" i="150"/>
  <c r="D13" i="150"/>
  <c r="E13" i="150"/>
  <c r="G13" i="150"/>
  <c r="B14" i="150"/>
  <c r="C14" i="150"/>
  <c r="D14" i="150"/>
  <c r="E14" i="150"/>
  <c r="G14" i="150"/>
  <c r="B15" i="150"/>
  <c r="C15" i="150"/>
  <c r="D15" i="150"/>
  <c r="E15" i="150"/>
  <c r="G15" i="150"/>
  <c r="B16" i="150"/>
  <c r="C16" i="150"/>
  <c r="D16" i="150"/>
  <c r="E16" i="150"/>
  <c r="G16" i="150"/>
  <c r="B17" i="150"/>
  <c r="C17" i="150"/>
  <c r="D17" i="150"/>
  <c r="E17" i="150"/>
  <c r="G17" i="150"/>
  <c r="C18" i="150"/>
  <c r="D18" i="150"/>
  <c r="E18" i="150"/>
  <c r="G18" i="150"/>
  <c r="B19" i="150"/>
  <c r="C19" i="150"/>
  <c r="D19" i="150"/>
  <c r="E19" i="150"/>
  <c r="G19" i="150"/>
  <c r="B20" i="150"/>
  <c r="C20" i="150"/>
  <c r="D20" i="150"/>
  <c r="E20" i="150"/>
  <c r="G20" i="150"/>
  <c r="B21" i="150"/>
  <c r="C21" i="150"/>
  <c r="D21" i="150"/>
  <c r="E21" i="150"/>
  <c r="G21" i="150"/>
  <c r="B22" i="150"/>
  <c r="C22" i="150"/>
  <c r="D22" i="150"/>
  <c r="E22" i="150"/>
  <c r="G22" i="150"/>
  <c r="B23" i="150"/>
  <c r="C23" i="150"/>
  <c r="D23" i="150"/>
  <c r="E23" i="150"/>
  <c r="G23" i="150"/>
  <c r="B24" i="150"/>
  <c r="C24" i="150"/>
  <c r="D24" i="150"/>
  <c r="E24" i="150"/>
  <c r="G24" i="150"/>
  <c r="C3" i="150"/>
  <c r="D3" i="150"/>
  <c r="E3" i="150"/>
  <c r="G3" i="150"/>
  <c r="C4" i="150"/>
  <c r="D4" i="150"/>
  <c r="E4" i="150"/>
  <c r="G4" i="150"/>
  <c r="C5" i="150"/>
  <c r="D5" i="150"/>
  <c r="E5" i="150"/>
  <c r="G5" i="150"/>
  <c r="C6" i="150"/>
  <c r="D6" i="150"/>
  <c r="E6" i="150"/>
  <c r="G6" i="150"/>
  <c r="C7" i="150"/>
  <c r="D7" i="150"/>
  <c r="E7" i="150"/>
  <c r="G7" i="150"/>
  <c r="C8" i="150"/>
  <c r="D8" i="150"/>
  <c r="E8" i="150"/>
  <c r="G8" i="150"/>
  <c r="B3" i="150"/>
  <c r="B4" i="150"/>
  <c r="B5" i="150"/>
  <c r="B6" i="150"/>
  <c r="B7" i="150"/>
  <c r="B8" i="150"/>
  <c r="D2" i="150"/>
  <c r="E2" i="150"/>
  <c r="G2" i="150"/>
  <c r="C2" i="150"/>
  <c r="B2" i="150"/>
  <c r="I41" i="188" l="1"/>
  <c r="J41" i="188" s="1"/>
  <c r="G42" i="188"/>
  <c r="C42" i="188"/>
  <c r="K2" i="150"/>
  <c r="L2" i="150"/>
  <c r="P2" i="150"/>
  <c r="N2" i="150"/>
  <c r="M2" i="150"/>
  <c r="J2" i="151"/>
  <c r="J17" i="151"/>
  <c r="J15" i="151"/>
  <c r="J13" i="151"/>
  <c r="J11" i="151"/>
  <c r="J9" i="151"/>
  <c r="J7" i="151"/>
  <c r="J4" i="151"/>
  <c r="J34" i="151"/>
  <c r="J32" i="151"/>
  <c r="J30" i="151"/>
  <c r="J28" i="151"/>
  <c r="J26" i="151"/>
  <c r="J24" i="151"/>
  <c r="J22" i="151"/>
  <c r="J20" i="151"/>
  <c r="J18" i="151"/>
  <c r="J16" i="151"/>
  <c r="J14" i="151"/>
  <c r="J12" i="151"/>
  <c r="J10" i="151"/>
  <c r="J8" i="151"/>
  <c r="J6" i="151"/>
  <c r="J5" i="151"/>
  <c r="J3" i="151"/>
  <c r="J33" i="151"/>
  <c r="J31" i="151"/>
  <c r="J29" i="151"/>
  <c r="J27" i="151"/>
  <c r="J25" i="151"/>
  <c r="J23" i="151"/>
  <c r="J21" i="151"/>
  <c r="J19" i="151"/>
  <c r="J4" i="150"/>
  <c r="J3" i="150"/>
  <c r="J8" i="150"/>
  <c r="J7" i="150"/>
  <c r="J6" i="150"/>
  <c r="J2" i="150"/>
  <c r="J5" i="150"/>
  <c r="J22" i="150"/>
  <c r="J17" i="150"/>
  <c r="J13" i="150"/>
  <c r="J9" i="150"/>
  <c r="J32" i="150"/>
  <c r="J28" i="150"/>
  <c r="J18" i="150"/>
  <c r="J21" i="150"/>
  <c r="J16" i="150"/>
  <c r="J12" i="150"/>
  <c r="J35" i="150"/>
  <c r="J31" i="150"/>
  <c r="J27" i="150"/>
  <c r="J24" i="150"/>
  <c r="J20" i="150"/>
  <c r="J15" i="150"/>
  <c r="J11" i="150"/>
  <c r="J34" i="150"/>
  <c r="J30" i="150"/>
  <c r="J26" i="150"/>
  <c r="J23" i="150"/>
  <c r="J19" i="150"/>
  <c r="J14" i="150"/>
  <c r="J10" i="150"/>
  <c r="J33" i="150"/>
  <c r="J29" i="150"/>
  <c r="J25" i="150"/>
  <c r="L1" i="150"/>
  <c r="K1" i="150"/>
  <c r="P1" i="150"/>
  <c r="N1" i="150"/>
  <c r="L1" i="151"/>
  <c r="K1" i="151"/>
  <c r="P1" i="151"/>
  <c r="O1" i="151"/>
  <c r="M1" i="151"/>
  <c r="N1" i="151"/>
  <c r="M1" i="150"/>
  <c r="J545" i="5"/>
  <c r="R545" i="5"/>
  <c r="D42" i="188" l="1"/>
  <c r="E42" i="188" s="1"/>
  <c r="B43" i="188"/>
  <c r="H42" i="188"/>
  <c r="R1" i="150"/>
  <c r="Q1" i="151"/>
  <c r="I42" i="188" l="1"/>
  <c r="J42" i="188" s="1"/>
  <c r="G43" i="188"/>
  <c r="C43" i="188"/>
  <c r="D43" i="188" l="1"/>
  <c r="E43" i="188" s="1"/>
  <c r="B44" i="188"/>
  <c r="H43" i="188"/>
  <c r="R482" i="5"/>
  <c r="R483" i="5"/>
  <c r="R484" i="5"/>
  <c r="R485" i="5"/>
  <c r="R486" i="5"/>
  <c r="R487" i="5"/>
  <c r="R488" i="5"/>
  <c r="R489" i="5"/>
  <c r="R490" i="5"/>
  <c r="R491" i="5"/>
  <c r="R492" i="5"/>
  <c r="R493" i="5"/>
  <c r="R494" i="5"/>
  <c r="R495" i="5"/>
  <c r="R496" i="5"/>
  <c r="R497" i="5"/>
  <c r="R498" i="5"/>
  <c r="R499" i="5"/>
  <c r="R500" i="5"/>
  <c r="R501" i="5"/>
  <c r="R502" i="5"/>
  <c r="R503" i="5"/>
  <c r="R504" i="5"/>
  <c r="R505" i="5"/>
  <c r="R506" i="5"/>
  <c r="R507" i="5"/>
  <c r="R508" i="5"/>
  <c r="R509" i="5"/>
  <c r="R510" i="5"/>
  <c r="R511" i="5"/>
  <c r="R512" i="5"/>
  <c r="R513" i="5"/>
  <c r="R514" i="5"/>
  <c r="R515" i="5"/>
  <c r="R516" i="5"/>
  <c r="R517" i="5"/>
  <c r="R518" i="5"/>
  <c r="R519" i="5"/>
  <c r="R520" i="5"/>
  <c r="R521" i="5"/>
  <c r="R522" i="5"/>
  <c r="R523" i="5"/>
  <c r="R524" i="5"/>
  <c r="R525" i="5"/>
  <c r="R526" i="5"/>
  <c r="R527" i="5"/>
  <c r="R528" i="5"/>
  <c r="R529" i="5"/>
  <c r="R530" i="5"/>
  <c r="R531" i="5"/>
  <c r="R532" i="5"/>
  <c r="R533" i="5"/>
  <c r="R534" i="5"/>
  <c r="R535" i="5"/>
  <c r="R536" i="5"/>
  <c r="R537" i="5"/>
  <c r="R538" i="5"/>
  <c r="R539" i="5"/>
  <c r="R540" i="5"/>
  <c r="R541" i="5"/>
  <c r="R542" i="5"/>
  <c r="R543" i="5"/>
  <c r="R544" i="5"/>
  <c r="R546" i="5"/>
  <c r="R547" i="5"/>
  <c r="R548" i="5"/>
  <c r="R549" i="5"/>
  <c r="R550" i="5"/>
  <c r="R551" i="5"/>
  <c r="R552" i="5"/>
  <c r="R553" i="5"/>
  <c r="R554" i="5"/>
  <c r="R555" i="5"/>
  <c r="R556" i="5"/>
  <c r="R557" i="5"/>
  <c r="R558" i="5"/>
  <c r="R559" i="5"/>
  <c r="R560" i="5"/>
  <c r="R561" i="5"/>
  <c r="R562" i="5"/>
  <c r="R563" i="5"/>
  <c r="R564" i="5"/>
  <c r="R565" i="5"/>
  <c r="R566" i="5"/>
  <c r="R567" i="5"/>
  <c r="R568" i="5"/>
  <c r="R569" i="5"/>
  <c r="R570" i="5"/>
  <c r="R571" i="5"/>
  <c r="R572" i="5"/>
  <c r="R573" i="5"/>
  <c r="R574" i="5"/>
  <c r="R575" i="5"/>
  <c r="R576" i="5"/>
  <c r="R577" i="5"/>
  <c r="R578" i="5"/>
  <c r="R579" i="5"/>
  <c r="R580" i="5"/>
  <c r="R581" i="5"/>
  <c r="R582" i="5"/>
  <c r="R583" i="5"/>
  <c r="R584" i="5"/>
  <c r="R585" i="5"/>
  <c r="R586" i="5"/>
  <c r="R587" i="5"/>
  <c r="R588" i="5"/>
  <c r="R589" i="5"/>
  <c r="R590" i="5"/>
  <c r="R591" i="5"/>
  <c r="R592" i="5"/>
  <c r="R593" i="5"/>
  <c r="R594" i="5"/>
  <c r="R595" i="5"/>
  <c r="R596" i="5"/>
  <c r="R597" i="5"/>
  <c r="R598" i="5"/>
  <c r="R599" i="5"/>
  <c r="R600" i="5"/>
  <c r="R601" i="5"/>
  <c r="R602" i="5"/>
  <c r="R603" i="5"/>
  <c r="R604" i="5"/>
  <c r="R605" i="5"/>
  <c r="R606" i="5"/>
  <c r="R607" i="5"/>
  <c r="R608" i="5"/>
  <c r="R609" i="5"/>
  <c r="R610" i="5"/>
  <c r="R611" i="5"/>
  <c r="R612" i="5"/>
  <c r="R613" i="5"/>
  <c r="R614" i="5"/>
  <c r="R615" i="5"/>
  <c r="R616" i="5"/>
  <c r="R617" i="5"/>
  <c r="R618" i="5"/>
  <c r="R619" i="5"/>
  <c r="R620" i="5"/>
  <c r="R621" i="5"/>
  <c r="R622" i="5"/>
  <c r="R623" i="5"/>
  <c r="R624" i="5"/>
  <c r="R625" i="5"/>
  <c r="R626" i="5"/>
  <c r="R627" i="5"/>
  <c r="R628" i="5"/>
  <c r="R629" i="5"/>
  <c r="R630" i="5"/>
  <c r="R631" i="5"/>
  <c r="R632" i="5"/>
  <c r="R633" i="5"/>
  <c r="R634" i="5"/>
  <c r="R635" i="5"/>
  <c r="R636" i="5"/>
  <c r="R637" i="5"/>
  <c r="R638" i="5"/>
  <c r="R639" i="5"/>
  <c r="R640" i="5"/>
  <c r="R641" i="5"/>
  <c r="R642" i="5"/>
  <c r="R643" i="5"/>
  <c r="R644" i="5"/>
  <c r="R645" i="5"/>
  <c r="R646" i="5"/>
  <c r="R647" i="5"/>
  <c r="R648" i="5"/>
  <c r="R649" i="5"/>
  <c r="R650" i="5"/>
  <c r="R651" i="5"/>
  <c r="R652" i="5"/>
  <c r="R653" i="5"/>
  <c r="R654" i="5"/>
  <c r="R655" i="5"/>
  <c r="R656" i="5"/>
  <c r="R657" i="5"/>
  <c r="R658" i="5"/>
  <c r="R659" i="5"/>
  <c r="R660" i="5"/>
  <c r="R661" i="5"/>
  <c r="R662" i="5"/>
  <c r="R663" i="5"/>
  <c r="R664" i="5"/>
  <c r="R665" i="5"/>
  <c r="R666" i="5"/>
  <c r="R667" i="5"/>
  <c r="R668" i="5"/>
  <c r="R669" i="5"/>
  <c r="R670" i="5"/>
  <c r="R671" i="5"/>
  <c r="R672" i="5"/>
  <c r="R673" i="5"/>
  <c r="R674" i="5"/>
  <c r="R675" i="5"/>
  <c r="R676" i="5"/>
  <c r="R677" i="5"/>
  <c r="R678" i="5"/>
  <c r="R679" i="5"/>
  <c r="R680" i="5"/>
  <c r="R681" i="5"/>
  <c r="R682" i="5"/>
  <c r="R683" i="5"/>
  <c r="R684" i="5"/>
  <c r="R685" i="5"/>
  <c r="R686" i="5"/>
  <c r="R687" i="5"/>
  <c r="R688" i="5"/>
  <c r="R689" i="5"/>
  <c r="R690" i="5"/>
  <c r="R691" i="5"/>
  <c r="R692" i="5"/>
  <c r="J482" i="5"/>
  <c r="J483" i="5"/>
  <c r="J484" i="5"/>
  <c r="J485" i="5"/>
  <c r="J486" i="5"/>
  <c r="J487" i="5"/>
  <c r="J488" i="5"/>
  <c r="J489" i="5"/>
  <c r="J490" i="5"/>
  <c r="J491" i="5"/>
  <c r="J492" i="5"/>
  <c r="J493" i="5"/>
  <c r="J494" i="5"/>
  <c r="J495" i="5"/>
  <c r="J496" i="5"/>
  <c r="J497" i="5"/>
  <c r="J498" i="5"/>
  <c r="J499" i="5"/>
  <c r="J500" i="5"/>
  <c r="J501" i="5"/>
  <c r="J502" i="5"/>
  <c r="J503" i="5"/>
  <c r="J504" i="5"/>
  <c r="J505" i="5"/>
  <c r="J506" i="5"/>
  <c r="J507" i="5"/>
  <c r="J508" i="5"/>
  <c r="J509" i="5"/>
  <c r="J510" i="5"/>
  <c r="J511" i="5"/>
  <c r="J512" i="5"/>
  <c r="J513" i="5"/>
  <c r="J514" i="5"/>
  <c r="J515" i="5"/>
  <c r="J516" i="5"/>
  <c r="J517" i="5"/>
  <c r="J518" i="5"/>
  <c r="J519" i="5"/>
  <c r="J520" i="5"/>
  <c r="J521" i="5"/>
  <c r="J522" i="5"/>
  <c r="J523" i="5"/>
  <c r="J524" i="5"/>
  <c r="J525" i="5"/>
  <c r="J526" i="5"/>
  <c r="J527" i="5"/>
  <c r="J528" i="5"/>
  <c r="J529" i="5"/>
  <c r="J530" i="5"/>
  <c r="J531" i="5"/>
  <c r="J532" i="5"/>
  <c r="J533" i="5"/>
  <c r="J534" i="5"/>
  <c r="J535" i="5"/>
  <c r="J536" i="5"/>
  <c r="J537" i="5"/>
  <c r="J538" i="5"/>
  <c r="J539" i="5"/>
  <c r="J540" i="5"/>
  <c r="J541" i="5"/>
  <c r="J542" i="5"/>
  <c r="J543" i="5"/>
  <c r="J544" i="5"/>
  <c r="J546" i="5"/>
  <c r="J547" i="5"/>
  <c r="J548" i="5"/>
  <c r="J549" i="5"/>
  <c r="J550" i="5"/>
  <c r="J551" i="5"/>
  <c r="J552" i="5"/>
  <c r="J553" i="5"/>
  <c r="J554" i="5"/>
  <c r="J555" i="5"/>
  <c r="J556" i="5"/>
  <c r="J557" i="5"/>
  <c r="J558" i="5"/>
  <c r="J559" i="5"/>
  <c r="J560" i="5"/>
  <c r="J561" i="5"/>
  <c r="J562" i="5"/>
  <c r="J563" i="5"/>
  <c r="J564" i="5"/>
  <c r="J565" i="5"/>
  <c r="J566" i="5"/>
  <c r="J567" i="5"/>
  <c r="J568" i="5"/>
  <c r="J569" i="5"/>
  <c r="J570" i="5"/>
  <c r="J571" i="5"/>
  <c r="J572" i="5"/>
  <c r="J573" i="5"/>
  <c r="J574" i="5"/>
  <c r="J575" i="5"/>
  <c r="J576" i="5"/>
  <c r="J577" i="5"/>
  <c r="J578" i="5"/>
  <c r="J579" i="5"/>
  <c r="J580" i="5"/>
  <c r="J581" i="5"/>
  <c r="J582" i="5"/>
  <c r="J583" i="5"/>
  <c r="J584" i="5"/>
  <c r="J585" i="5"/>
  <c r="J586" i="5"/>
  <c r="J587" i="5"/>
  <c r="J588" i="5"/>
  <c r="J589" i="5"/>
  <c r="J590" i="5"/>
  <c r="J591" i="5"/>
  <c r="J592" i="5"/>
  <c r="J593" i="5"/>
  <c r="J594" i="5"/>
  <c r="J595" i="5"/>
  <c r="J596" i="5"/>
  <c r="J597" i="5"/>
  <c r="J598" i="5"/>
  <c r="J599" i="5"/>
  <c r="J600" i="5"/>
  <c r="J601" i="5"/>
  <c r="J602" i="5"/>
  <c r="J603" i="5"/>
  <c r="J604" i="5"/>
  <c r="J605" i="5"/>
  <c r="J606" i="5"/>
  <c r="J607" i="5"/>
  <c r="J608" i="5"/>
  <c r="J609" i="5"/>
  <c r="J610" i="5"/>
  <c r="J611" i="5"/>
  <c r="J612" i="5"/>
  <c r="J613" i="5"/>
  <c r="J614" i="5"/>
  <c r="J615" i="5"/>
  <c r="J616" i="5"/>
  <c r="J617" i="5"/>
  <c r="J618" i="5"/>
  <c r="J619" i="5"/>
  <c r="J620" i="5"/>
  <c r="J621" i="5"/>
  <c r="J622" i="5"/>
  <c r="J623" i="5"/>
  <c r="J624" i="5"/>
  <c r="J625" i="5"/>
  <c r="J626" i="5"/>
  <c r="J627" i="5"/>
  <c r="J628" i="5"/>
  <c r="J629" i="5"/>
  <c r="J630" i="5"/>
  <c r="J631" i="5"/>
  <c r="J632" i="5"/>
  <c r="J633" i="5"/>
  <c r="J634" i="5"/>
  <c r="J635" i="5"/>
  <c r="J636" i="5"/>
  <c r="J637" i="5"/>
  <c r="J638" i="5"/>
  <c r="J639" i="5"/>
  <c r="J640" i="5"/>
  <c r="J641" i="5"/>
  <c r="J642" i="5"/>
  <c r="J643" i="5"/>
  <c r="J644" i="5"/>
  <c r="J645" i="5"/>
  <c r="J646" i="5"/>
  <c r="J647" i="5"/>
  <c r="J648" i="5"/>
  <c r="J649" i="5"/>
  <c r="J650" i="5"/>
  <c r="J651" i="5"/>
  <c r="J652" i="5"/>
  <c r="J653" i="5"/>
  <c r="J654" i="5"/>
  <c r="J655" i="5"/>
  <c r="J656" i="5"/>
  <c r="J657" i="5"/>
  <c r="J658" i="5"/>
  <c r="J659" i="5"/>
  <c r="J660" i="5"/>
  <c r="J661" i="5"/>
  <c r="J662" i="5"/>
  <c r="J663" i="5"/>
  <c r="J664" i="5"/>
  <c r="J665" i="5"/>
  <c r="J666" i="5"/>
  <c r="J667" i="5"/>
  <c r="J668" i="5"/>
  <c r="J669" i="5"/>
  <c r="J670" i="5"/>
  <c r="J671" i="5"/>
  <c r="J672" i="5"/>
  <c r="J673" i="5"/>
  <c r="J674" i="5"/>
  <c r="J675" i="5"/>
  <c r="J676" i="5"/>
  <c r="J677" i="5"/>
  <c r="J678" i="5"/>
  <c r="J679" i="5"/>
  <c r="J680" i="5"/>
  <c r="J681" i="5"/>
  <c r="J682" i="5"/>
  <c r="J683" i="5"/>
  <c r="J684" i="5"/>
  <c r="J685" i="5"/>
  <c r="J686" i="5"/>
  <c r="J687" i="5"/>
  <c r="J688" i="5"/>
  <c r="J689" i="5"/>
  <c r="J690" i="5"/>
  <c r="J691" i="5"/>
  <c r="J692" i="5"/>
  <c r="I43" i="188" l="1"/>
  <c r="J43" i="188" s="1"/>
  <c r="G44" i="188"/>
  <c r="C44" i="188"/>
  <c r="AL2" i="5"/>
  <c r="AK2" i="5"/>
  <c r="AJ2" i="5"/>
  <c r="J294" i="5"/>
  <c r="D44" i="188" l="1"/>
  <c r="E44" i="188" s="1"/>
  <c r="B45" i="188"/>
  <c r="H44" i="188"/>
  <c r="AH2" i="5"/>
  <c r="AG2" i="5"/>
  <c r="AF2" i="5"/>
  <c r="AE2" i="5"/>
  <c r="I44" i="188" l="1"/>
  <c r="J44" i="188" s="1"/>
  <c r="G45" i="188"/>
  <c r="C45" i="188"/>
  <c r="AD2" i="5"/>
  <c r="D45" i="188" l="1"/>
  <c r="E45" i="188" s="1"/>
  <c r="B46" i="188"/>
  <c r="H45" i="188"/>
  <c r="C17" i="3"/>
  <c r="I45" i="188" l="1"/>
  <c r="J45" i="188" s="1"/>
  <c r="G46" i="188"/>
  <c r="C46" i="188"/>
  <c r="K39" i="3"/>
  <c r="R44" i="3"/>
  <c r="Q44" i="3" s="1"/>
  <c r="R35" i="3"/>
  <c r="K35" i="3"/>
  <c r="L35" i="3" s="1"/>
  <c r="D46" i="188" l="1"/>
  <c r="E46" i="188" s="1"/>
  <c r="B47" i="188"/>
  <c r="H46" i="188"/>
  <c r="K65" i="3"/>
  <c r="I46" i="188" l="1"/>
  <c r="J46" i="188" s="1"/>
  <c r="G47" i="188"/>
  <c r="C47" i="188"/>
  <c r="K91" i="3"/>
  <c r="K117" i="3" s="1"/>
  <c r="K143" i="3" s="1"/>
  <c r="K169" i="3" s="1"/>
  <c r="S44" i="3" s="1"/>
  <c r="T44" i="3" s="1"/>
  <c r="D47" i="188" l="1"/>
  <c r="E47" i="188" s="1"/>
  <c r="B48" i="188"/>
  <c r="H47" i="188"/>
  <c r="N44" i="3"/>
  <c r="R3" i="5"/>
  <c r="R4" i="5"/>
  <c r="R5" i="5"/>
  <c r="R6" i="5"/>
  <c r="R7" i="5"/>
  <c r="R8" i="5"/>
  <c r="D50" i="3"/>
  <c r="I47" i="188" l="1"/>
  <c r="J47" i="188" s="1"/>
  <c r="G48" i="188"/>
  <c r="C48" i="188"/>
  <c r="R9" i="5"/>
  <c r="R10" i="5"/>
  <c r="R11" i="5"/>
  <c r="R12" i="5"/>
  <c r="R13" i="5"/>
  <c r="R14" i="5"/>
  <c r="R15" i="5"/>
  <c r="R16" i="5"/>
  <c r="R17" i="5"/>
  <c r="R18" i="5"/>
  <c r="R19" i="5"/>
  <c r="R20" i="5"/>
  <c r="R21" i="5"/>
  <c r="R22" i="5"/>
  <c r="R23" i="5"/>
  <c r="R24" i="5"/>
  <c r="R25" i="5"/>
  <c r="R26" i="5"/>
  <c r="R27" i="5"/>
  <c r="R28" i="5"/>
  <c r="R29" i="5"/>
  <c r="R30" i="5"/>
  <c r="R31" i="5"/>
  <c r="R32" i="5"/>
  <c r="R33" i="5"/>
  <c r="R34" i="5"/>
  <c r="R35" i="5"/>
  <c r="R36" i="5"/>
  <c r="R37" i="5"/>
  <c r="R38" i="5"/>
  <c r="R39" i="5"/>
  <c r="R40" i="5"/>
  <c r="R41" i="5"/>
  <c r="R42" i="5"/>
  <c r="R43" i="5"/>
  <c r="R44" i="5"/>
  <c r="R45" i="5"/>
  <c r="R46" i="5"/>
  <c r="R47" i="5"/>
  <c r="R48" i="5"/>
  <c r="R49" i="5"/>
  <c r="R50" i="5"/>
  <c r="R51" i="5"/>
  <c r="R52" i="5"/>
  <c r="R53" i="5"/>
  <c r="R54" i="5"/>
  <c r="R55" i="5"/>
  <c r="R56" i="5"/>
  <c r="R57" i="5"/>
  <c r="R58" i="5"/>
  <c r="R59" i="5"/>
  <c r="R60" i="5"/>
  <c r="R61" i="5"/>
  <c r="R62" i="5"/>
  <c r="R63" i="5"/>
  <c r="R64" i="5"/>
  <c r="R65" i="5"/>
  <c r="R66" i="5"/>
  <c r="R67" i="5"/>
  <c r="R68" i="5"/>
  <c r="R69" i="5"/>
  <c r="R70" i="5"/>
  <c r="R71" i="5"/>
  <c r="R72" i="5"/>
  <c r="R73" i="5"/>
  <c r="R74" i="5"/>
  <c r="R75" i="5"/>
  <c r="R76" i="5"/>
  <c r="R77" i="5"/>
  <c r="R78" i="5"/>
  <c r="R79" i="5"/>
  <c r="R80" i="5"/>
  <c r="R81" i="5"/>
  <c r="R82" i="5"/>
  <c r="R83" i="5"/>
  <c r="R84" i="5"/>
  <c r="R85" i="5"/>
  <c r="R86" i="5"/>
  <c r="R87" i="5"/>
  <c r="R88" i="5"/>
  <c r="R89" i="5"/>
  <c r="R90" i="5"/>
  <c r="R91" i="5"/>
  <c r="R92" i="5"/>
  <c r="R93" i="5"/>
  <c r="R94" i="5"/>
  <c r="R95" i="5"/>
  <c r="R96" i="5"/>
  <c r="R97" i="5"/>
  <c r="R98" i="5"/>
  <c r="R99" i="5"/>
  <c r="R100" i="5"/>
  <c r="R101" i="5"/>
  <c r="R102" i="5"/>
  <c r="R103" i="5"/>
  <c r="R104" i="5"/>
  <c r="R105" i="5"/>
  <c r="R106" i="5"/>
  <c r="R107" i="5"/>
  <c r="R108" i="5"/>
  <c r="R109" i="5"/>
  <c r="R110" i="5"/>
  <c r="R111" i="5"/>
  <c r="R112" i="5"/>
  <c r="R113" i="5"/>
  <c r="R114" i="5"/>
  <c r="R115" i="5"/>
  <c r="R116" i="5"/>
  <c r="R117" i="5"/>
  <c r="R118" i="5"/>
  <c r="R119" i="5"/>
  <c r="R120" i="5"/>
  <c r="R121" i="5"/>
  <c r="R122" i="5"/>
  <c r="R123" i="5"/>
  <c r="R124" i="5"/>
  <c r="R125" i="5"/>
  <c r="R126" i="5"/>
  <c r="R127" i="5"/>
  <c r="R128" i="5"/>
  <c r="R129" i="5"/>
  <c r="R130" i="5"/>
  <c r="R131" i="5"/>
  <c r="R132" i="5"/>
  <c r="R133" i="5"/>
  <c r="R134" i="5"/>
  <c r="R135" i="5"/>
  <c r="R136" i="5"/>
  <c r="R137" i="5"/>
  <c r="R138" i="5"/>
  <c r="R139" i="5"/>
  <c r="R140" i="5"/>
  <c r="R141" i="5"/>
  <c r="R142" i="5"/>
  <c r="R143" i="5"/>
  <c r="R144" i="5"/>
  <c r="R145" i="5"/>
  <c r="R146" i="5"/>
  <c r="R147" i="5"/>
  <c r="R148" i="5"/>
  <c r="R149" i="5"/>
  <c r="R150" i="5"/>
  <c r="R151" i="5"/>
  <c r="R152" i="5"/>
  <c r="R153" i="5"/>
  <c r="R154" i="5"/>
  <c r="R155" i="5"/>
  <c r="R156" i="5"/>
  <c r="R157" i="5"/>
  <c r="R158" i="5"/>
  <c r="R159" i="5"/>
  <c r="R160" i="5"/>
  <c r="R161" i="5"/>
  <c r="R162" i="5"/>
  <c r="R163" i="5"/>
  <c r="R164" i="5"/>
  <c r="R165" i="5"/>
  <c r="R166" i="5"/>
  <c r="R167" i="5"/>
  <c r="R168" i="5"/>
  <c r="R169" i="5"/>
  <c r="R171" i="5"/>
  <c r="R172" i="5"/>
  <c r="R173" i="5"/>
  <c r="R174" i="5"/>
  <c r="R175" i="5"/>
  <c r="R176" i="5"/>
  <c r="R177" i="5"/>
  <c r="R178" i="5"/>
  <c r="R179" i="5"/>
  <c r="R180" i="5"/>
  <c r="R181" i="5"/>
  <c r="R182" i="5"/>
  <c r="R183" i="5"/>
  <c r="R184" i="5"/>
  <c r="R185" i="5"/>
  <c r="R186" i="5"/>
  <c r="R187" i="5"/>
  <c r="R188" i="5"/>
  <c r="R189" i="5"/>
  <c r="R190" i="5"/>
  <c r="R191" i="5"/>
  <c r="R192" i="5"/>
  <c r="R193" i="5"/>
  <c r="R194" i="5"/>
  <c r="R195" i="5"/>
  <c r="R196" i="5"/>
  <c r="R197" i="5"/>
  <c r="R198" i="5"/>
  <c r="R199" i="5"/>
  <c r="R200" i="5"/>
  <c r="R201" i="5"/>
  <c r="R202" i="5"/>
  <c r="R203" i="5"/>
  <c r="R204" i="5"/>
  <c r="R205" i="5"/>
  <c r="R206" i="5"/>
  <c r="R207" i="5"/>
  <c r="R208" i="5"/>
  <c r="R209" i="5"/>
  <c r="R210" i="5"/>
  <c r="R211" i="5"/>
  <c r="R212" i="5"/>
  <c r="R213" i="5"/>
  <c r="R214" i="5"/>
  <c r="R215" i="5"/>
  <c r="R216" i="5"/>
  <c r="R217" i="5"/>
  <c r="R218" i="5"/>
  <c r="R219" i="5"/>
  <c r="R220" i="5"/>
  <c r="R221" i="5"/>
  <c r="R222" i="5"/>
  <c r="R223" i="5"/>
  <c r="R224" i="5"/>
  <c r="R225" i="5"/>
  <c r="R226" i="5"/>
  <c r="R227" i="5"/>
  <c r="R228" i="5"/>
  <c r="R229" i="5"/>
  <c r="R230" i="5"/>
  <c r="R231" i="5"/>
  <c r="R232" i="5"/>
  <c r="R233" i="5"/>
  <c r="R234" i="5"/>
  <c r="R235" i="5"/>
  <c r="R236" i="5"/>
  <c r="R237" i="5"/>
  <c r="R238" i="5"/>
  <c r="R239" i="5"/>
  <c r="R240" i="5"/>
  <c r="R241" i="5"/>
  <c r="R242" i="5"/>
  <c r="R243" i="5"/>
  <c r="R244" i="5"/>
  <c r="R245" i="5"/>
  <c r="R246" i="5"/>
  <c r="R247" i="5"/>
  <c r="R248" i="5"/>
  <c r="R249" i="5"/>
  <c r="R250" i="5"/>
  <c r="R251" i="5"/>
  <c r="R252" i="5"/>
  <c r="R253" i="5"/>
  <c r="R254" i="5"/>
  <c r="R255" i="5"/>
  <c r="R256" i="5"/>
  <c r="R257" i="5"/>
  <c r="R258" i="5"/>
  <c r="R259" i="5"/>
  <c r="R260" i="5"/>
  <c r="R261" i="5"/>
  <c r="R262" i="5"/>
  <c r="R263" i="5"/>
  <c r="R264" i="5"/>
  <c r="R265" i="5"/>
  <c r="R266" i="5"/>
  <c r="R267" i="5"/>
  <c r="R268" i="5"/>
  <c r="R269" i="5"/>
  <c r="R270" i="5"/>
  <c r="R271" i="5"/>
  <c r="R272" i="5"/>
  <c r="R273" i="5"/>
  <c r="R274" i="5"/>
  <c r="R275" i="5"/>
  <c r="R276" i="5"/>
  <c r="R277" i="5"/>
  <c r="R278" i="5"/>
  <c r="R279" i="5"/>
  <c r="R280" i="5"/>
  <c r="R281" i="5"/>
  <c r="R282" i="5"/>
  <c r="R283" i="5"/>
  <c r="R284" i="5"/>
  <c r="R285" i="5"/>
  <c r="R286" i="5"/>
  <c r="R287" i="5"/>
  <c r="R288" i="5"/>
  <c r="R289" i="5"/>
  <c r="R290" i="5"/>
  <c r="R291" i="5"/>
  <c r="R292" i="5"/>
  <c r="R293" i="5"/>
  <c r="R294" i="5"/>
  <c r="R295" i="5"/>
  <c r="R296" i="5"/>
  <c r="R297" i="5"/>
  <c r="R298" i="5"/>
  <c r="R299" i="5"/>
  <c r="R300" i="5"/>
  <c r="R301" i="5"/>
  <c r="R302" i="5"/>
  <c r="R303" i="5"/>
  <c r="R304" i="5"/>
  <c r="R305" i="5"/>
  <c r="R306" i="5"/>
  <c r="R307" i="5"/>
  <c r="R308" i="5"/>
  <c r="R309" i="5"/>
  <c r="R310" i="5"/>
  <c r="R311" i="5"/>
  <c r="R312" i="5"/>
  <c r="R313" i="5"/>
  <c r="R314" i="5"/>
  <c r="R315" i="5"/>
  <c r="R316" i="5"/>
  <c r="R317" i="5"/>
  <c r="R318" i="5"/>
  <c r="R319" i="5"/>
  <c r="R320" i="5"/>
  <c r="R321" i="5"/>
  <c r="R322" i="5"/>
  <c r="R323" i="5"/>
  <c r="R324" i="5"/>
  <c r="R325" i="5"/>
  <c r="R326" i="5"/>
  <c r="R327" i="5"/>
  <c r="R328" i="5"/>
  <c r="R329" i="5"/>
  <c r="R330" i="5"/>
  <c r="R331" i="5"/>
  <c r="R332" i="5"/>
  <c r="R333" i="5"/>
  <c r="R334" i="5"/>
  <c r="R335" i="5"/>
  <c r="R336" i="5"/>
  <c r="R337" i="5"/>
  <c r="R338" i="5"/>
  <c r="R339" i="5"/>
  <c r="R340" i="5"/>
  <c r="R341" i="5"/>
  <c r="R342" i="5"/>
  <c r="R343" i="5"/>
  <c r="R344" i="5"/>
  <c r="R345" i="5"/>
  <c r="R346" i="5"/>
  <c r="R347" i="5"/>
  <c r="R348" i="5"/>
  <c r="R349" i="5"/>
  <c r="R350" i="5"/>
  <c r="R351" i="5"/>
  <c r="R352" i="5"/>
  <c r="R353" i="5"/>
  <c r="R354" i="5"/>
  <c r="R355" i="5"/>
  <c r="R356" i="5"/>
  <c r="R357" i="5"/>
  <c r="R358" i="5"/>
  <c r="R359" i="5"/>
  <c r="R360" i="5"/>
  <c r="R361" i="5"/>
  <c r="R362" i="5"/>
  <c r="R363" i="5"/>
  <c r="R364" i="5"/>
  <c r="R365" i="5"/>
  <c r="R366" i="5"/>
  <c r="R367" i="5"/>
  <c r="R368" i="5"/>
  <c r="R369" i="5"/>
  <c r="R370" i="5"/>
  <c r="R371" i="5"/>
  <c r="R372" i="5"/>
  <c r="R373" i="5"/>
  <c r="R374" i="5"/>
  <c r="R375" i="5"/>
  <c r="R376" i="5"/>
  <c r="R377" i="5"/>
  <c r="R378" i="5"/>
  <c r="R379" i="5"/>
  <c r="R380" i="5"/>
  <c r="R381" i="5"/>
  <c r="R382" i="5"/>
  <c r="R383" i="5"/>
  <c r="R384" i="5"/>
  <c r="R385" i="5"/>
  <c r="R386" i="5"/>
  <c r="R387" i="5"/>
  <c r="R388" i="5"/>
  <c r="R389" i="5"/>
  <c r="R390" i="5"/>
  <c r="R391" i="5"/>
  <c r="R392" i="5"/>
  <c r="R393" i="5"/>
  <c r="R394" i="5"/>
  <c r="R395" i="5"/>
  <c r="R396" i="5"/>
  <c r="R397" i="5"/>
  <c r="R398" i="5"/>
  <c r="R399" i="5"/>
  <c r="R400" i="5"/>
  <c r="R401" i="5"/>
  <c r="R402" i="5"/>
  <c r="R403" i="5"/>
  <c r="R404" i="5"/>
  <c r="R405" i="5"/>
  <c r="R406" i="5"/>
  <c r="R407" i="5"/>
  <c r="R408" i="5"/>
  <c r="R409" i="5"/>
  <c r="R410" i="5"/>
  <c r="R411" i="5"/>
  <c r="R412" i="5"/>
  <c r="R413" i="5"/>
  <c r="R414" i="5"/>
  <c r="R415" i="5"/>
  <c r="R416" i="5"/>
  <c r="R417" i="5"/>
  <c r="R418" i="5"/>
  <c r="R419" i="5"/>
  <c r="R420" i="5"/>
  <c r="R421" i="5"/>
  <c r="R422" i="5"/>
  <c r="R423" i="5"/>
  <c r="R424" i="5"/>
  <c r="R425" i="5"/>
  <c r="R426" i="5"/>
  <c r="R427" i="5"/>
  <c r="R428" i="5"/>
  <c r="R429" i="5"/>
  <c r="R430" i="5"/>
  <c r="R431" i="5"/>
  <c r="R432" i="5"/>
  <c r="R433" i="5"/>
  <c r="R434" i="5"/>
  <c r="R435" i="5"/>
  <c r="R436" i="5"/>
  <c r="R437" i="5"/>
  <c r="R438" i="5"/>
  <c r="R439" i="5"/>
  <c r="R440" i="5"/>
  <c r="R441" i="5"/>
  <c r="R442" i="5"/>
  <c r="R443" i="5"/>
  <c r="R444" i="5"/>
  <c r="R445" i="5"/>
  <c r="R446" i="5"/>
  <c r="R447" i="5"/>
  <c r="R448" i="5"/>
  <c r="R449" i="5"/>
  <c r="R450" i="5"/>
  <c r="R451" i="5"/>
  <c r="R452" i="5"/>
  <c r="R453" i="5"/>
  <c r="R454" i="5"/>
  <c r="R455" i="5"/>
  <c r="R456" i="5"/>
  <c r="R457" i="5"/>
  <c r="R458" i="5"/>
  <c r="R459" i="5"/>
  <c r="R460" i="5"/>
  <c r="R461" i="5"/>
  <c r="R462" i="5"/>
  <c r="R463" i="5"/>
  <c r="R464" i="5"/>
  <c r="R465" i="5"/>
  <c r="R466" i="5"/>
  <c r="R467" i="5"/>
  <c r="R468" i="5"/>
  <c r="R469" i="5"/>
  <c r="R470" i="5"/>
  <c r="R471" i="5"/>
  <c r="R472" i="5"/>
  <c r="R473" i="5"/>
  <c r="R474" i="5"/>
  <c r="R475" i="5"/>
  <c r="R476" i="5"/>
  <c r="R477" i="5"/>
  <c r="R478" i="5"/>
  <c r="R479" i="5"/>
  <c r="R480" i="5"/>
  <c r="R481" i="5"/>
  <c r="R170" i="5"/>
  <c r="D48" i="188" l="1"/>
  <c r="E48" i="188" s="1"/>
  <c r="B49" i="188"/>
  <c r="H48" i="188"/>
  <c r="D154" i="3"/>
  <c r="D128" i="3"/>
  <c r="I48" i="188" l="1"/>
  <c r="J48" i="188" s="1"/>
  <c r="G49" i="188"/>
  <c r="C49" i="188"/>
  <c r="D102" i="3"/>
  <c r="A76" i="3"/>
  <c r="D76" i="3"/>
  <c r="D49" i="188" l="1"/>
  <c r="E49" i="188" s="1"/>
  <c r="B50" i="188"/>
  <c r="H49" i="188"/>
  <c r="G4" i="3"/>
  <c r="I49" i="188" l="1"/>
  <c r="J49" i="188" s="1"/>
  <c r="G50" i="188"/>
  <c r="C50" i="188"/>
  <c r="E18" i="3"/>
  <c r="D18" i="3" s="1"/>
  <c r="P17" i="3" s="1"/>
  <c r="E54" i="3"/>
  <c r="D50" i="188" l="1"/>
  <c r="E50" i="188" s="1"/>
  <c r="B51" i="188"/>
  <c r="H50" i="188"/>
  <c r="D19" i="3"/>
  <c r="L39" i="3"/>
  <c r="L117" i="3"/>
  <c r="U44" i="3"/>
  <c r="V44" i="3" s="1"/>
  <c r="L65" i="3"/>
  <c r="L143" i="3"/>
  <c r="L169" i="3"/>
  <c r="L91" i="3"/>
  <c r="P187" i="3"/>
  <c r="K61" i="3"/>
  <c r="L61" i="3" s="1"/>
  <c r="K113" i="3"/>
  <c r="K139" i="3"/>
  <c r="J2" i="142"/>
  <c r="K2" i="142" s="1"/>
  <c r="J3" i="142"/>
  <c r="J4" i="142"/>
  <c r="J5" i="142"/>
  <c r="J6" i="142"/>
  <c r="J7" i="142"/>
  <c r="J8" i="142"/>
  <c r="J9" i="142"/>
  <c r="J10" i="142"/>
  <c r="J11" i="142"/>
  <c r="J12" i="142"/>
  <c r="J13" i="142"/>
  <c r="J14" i="142"/>
  <c r="J15" i="142"/>
  <c r="J16" i="142"/>
  <c r="J17" i="142"/>
  <c r="J18" i="142"/>
  <c r="J19" i="142"/>
  <c r="J20" i="142"/>
  <c r="J21" i="142"/>
  <c r="J22" i="142"/>
  <c r="J23" i="142"/>
  <c r="J24" i="142"/>
  <c r="J25" i="142"/>
  <c r="J26" i="142"/>
  <c r="J27" i="142"/>
  <c r="J28" i="142"/>
  <c r="J29" i="142"/>
  <c r="J30" i="142"/>
  <c r="J31" i="142"/>
  <c r="J32" i="142"/>
  <c r="J33" i="142"/>
  <c r="J34" i="142"/>
  <c r="J35" i="142"/>
  <c r="J36" i="142"/>
  <c r="J37" i="142"/>
  <c r="J38" i="142"/>
  <c r="J39" i="142"/>
  <c r="J40" i="142"/>
  <c r="J41" i="142"/>
  <c r="J42" i="142"/>
  <c r="J43" i="142"/>
  <c r="J44" i="142"/>
  <c r="J45" i="142"/>
  <c r="J46" i="142"/>
  <c r="J47" i="142"/>
  <c r="J48" i="142"/>
  <c r="J49" i="142"/>
  <c r="J50" i="142"/>
  <c r="J51" i="142"/>
  <c r="J52" i="142"/>
  <c r="J53" i="142"/>
  <c r="J54" i="142"/>
  <c r="J55" i="142"/>
  <c r="J56" i="142"/>
  <c r="J57" i="142"/>
  <c r="J58" i="142"/>
  <c r="J59" i="142"/>
  <c r="J60" i="142"/>
  <c r="J61" i="142"/>
  <c r="J62" i="142"/>
  <c r="J63" i="142"/>
  <c r="J64" i="142"/>
  <c r="J65" i="142"/>
  <c r="J66" i="142"/>
  <c r="J67" i="142"/>
  <c r="J68" i="142"/>
  <c r="J69" i="142"/>
  <c r="J70" i="142"/>
  <c r="J71" i="142"/>
  <c r="J72" i="142"/>
  <c r="J73" i="142"/>
  <c r="J74" i="142"/>
  <c r="J75" i="142"/>
  <c r="J76" i="142"/>
  <c r="J77" i="142"/>
  <c r="J78" i="142"/>
  <c r="J79" i="142"/>
  <c r="J80" i="142"/>
  <c r="J81" i="142"/>
  <c r="J82" i="142"/>
  <c r="J83" i="142"/>
  <c r="J84" i="142"/>
  <c r="J85" i="142"/>
  <c r="J86" i="142"/>
  <c r="B2" i="142"/>
  <c r="I50" i="188" l="1"/>
  <c r="J50" i="188" s="1"/>
  <c r="G51" i="188"/>
  <c r="C51" i="188"/>
  <c r="K84" i="142"/>
  <c r="K80" i="142"/>
  <c r="K76" i="142"/>
  <c r="K72" i="142"/>
  <c r="K68" i="142"/>
  <c r="K64" i="142"/>
  <c r="K60" i="142"/>
  <c r="K56" i="142"/>
  <c r="K52" i="142"/>
  <c r="K48" i="142"/>
  <c r="K44" i="142"/>
  <c r="K40" i="142"/>
  <c r="K36" i="142"/>
  <c r="K32" i="142"/>
  <c r="K28" i="142"/>
  <c r="K24" i="142"/>
  <c r="K20" i="142"/>
  <c r="K16" i="142"/>
  <c r="K12" i="142"/>
  <c r="K8" i="142"/>
  <c r="K4" i="142"/>
  <c r="K3" i="142"/>
  <c r="K29" i="142"/>
  <c r="K21" i="142"/>
  <c r="K13" i="142"/>
  <c r="K5" i="142"/>
  <c r="K17" i="142"/>
  <c r="K83" i="142"/>
  <c r="K75" i="142"/>
  <c r="K67" i="142"/>
  <c r="K59" i="142"/>
  <c r="K51" i="142"/>
  <c r="K43" i="142"/>
  <c r="K35" i="142"/>
  <c r="K31" i="142"/>
  <c r="K23" i="142"/>
  <c r="K15" i="142"/>
  <c r="K11" i="142"/>
  <c r="K7" i="142"/>
  <c r="K86" i="142"/>
  <c r="K82" i="142"/>
  <c r="K78" i="142"/>
  <c r="K74" i="142"/>
  <c r="K70" i="142"/>
  <c r="K66" i="142"/>
  <c r="K62" i="142"/>
  <c r="K58" i="142"/>
  <c r="K54" i="142"/>
  <c r="K50" i="142"/>
  <c r="K46" i="142"/>
  <c r="K42" i="142"/>
  <c r="K38" i="142"/>
  <c r="K34" i="142"/>
  <c r="K30" i="142"/>
  <c r="K26" i="142"/>
  <c r="K22" i="142"/>
  <c r="K18" i="142"/>
  <c r="K14" i="142"/>
  <c r="K10" i="142"/>
  <c r="K6" i="142"/>
  <c r="K25" i="142"/>
  <c r="K9" i="142"/>
  <c r="K79" i="142"/>
  <c r="K71" i="142"/>
  <c r="K63" i="142"/>
  <c r="K55" i="142"/>
  <c r="K47" i="142"/>
  <c r="K39" i="142"/>
  <c r="K27" i="142"/>
  <c r="K19" i="142"/>
  <c r="K85" i="142"/>
  <c r="K81" i="142"/>
  <c r="K77" i="142"/>
  <c r="K73" i="142"/>
  <c r="K69" i="142"/>
  <c r="K65" i="142"/>
  <c r="K61" i="142"/>
  <c r="K57" i="142"/>
  <c r="K53" i="142"/>
  <c r="K49" i="142"/>
  <c r="K45" i="142"/>
  <c r="K41" i="142"/>
  <c r="K37" i="142"/>
  <c r="K33" i="142"/>
  <c r="D51" i="188" l="1"/>
  <c r="E51" i="188" s="1"/>
  <c r="B52" i="188"/>
  <c r="H51" i="188"/>
  <c r="L7" i="142"/>
  <c r="L50" i="142"/>
  <c r="L36" i="142"/>
  <c r="L11" i="142"/>
  <c r="L4" i="142"/>
  <c r="L13" i="142"/>
  <c r="L57" i="142"/>
  <c r="L2" i="142"/>
  <c r="L14" i="142"/>
  <c r="L5" i="142"/>
  <c r="L18" i="142"/>
  <c r="L82" i="142"/>
  <c r="L20" i="142"/>
  <c r="L59" i="142"/>
  <c r="L34" i="142"/>
  <c r="L10" i="142"/>
  <c r="L30" i="142"/>
  <c r="L53" i="142"/>
  <c r="L33" i="142"/>
  <c r="L68" i="142"/>
  <c r="L8" i="142"/>
  <c r="L43" i="142"/>
  <c r="L3" i="142"/>
  <c r="L17" i="142"/>
  <c r="L52" i="142"/>
  <c r="L27" i="142"/>
  <c r="L66" i="142"/>
  <c r="L49" i="142"/>
  <c r="L29" i="142"/>
  <c r="L80" i="142"/>
  <c r="L48" i="142"/>
  <c r="L16" i="142"/>
  <c r="L71" i="142"/>
  <c r="L61" i="142"/>
  <c r="L41" i="142"/>
  <c r="L21" i="142"/>
  <c r="L72" i="142"/>
  <c r="L56" i="142"/>
  <c r="L40" i="142"/>
  <c r="L24" i="142"/>
  <c r="L65" i="142"/>
  <c r="L79" i="142"/>
  <c r="L63" i="142"/>
  <c r="L47" i="142"/>
  <c r="L31" i="142"/>
  <c r="L15" i="142"/>
  <c r="L86" i="142"/>
  <c r="L70" i="142"/>
  <c r="L54" i="142"/>
  <c r="L38" i="142"/>
  <c r="L22" i="142"/>
  <c r="L6" i="142"/>
  <c r="L85" i="142"/>
  <c r="L84" i="142"/>
  <c r="L75" i="142"/>
  <c r="L77" i="142"/>
  <c r="L64" i="142"/>
  <c r="L32" i="142"/>
  <c r="L81" i="142"/>
  <c r="L37" i="142"/>
  <c r="L55" i="142"/>
  <c r="L39" i="142"/>
  <c r="L23" i="142"/>
  <c r="L78" i="142"/>
  <c r="L62" i="142"/>
  <c r="L46" i="142"/>
  <c r="L69" i="142"/>
  <c r="L45" i="142"/>
  <c r="L25" i="142"/>
  <c r="L9" i="142"/>
  <c r="L76" i="142"/>
  <c r="L60" i="142"/>
  <c r="L44" i="142"/>
  <c r="L28" i="142"/>
  <c r="L12" i="142"/>
  <c r="L73" i="142"/>
  <c r="L83" i="142"/>
  <c r="L67" i="142"/>
  <c r="L51" i="142"/>
  <c r="L35" i="142"/>
  <c r="L19" i="142"/>
  <c r="L74" i="142"/>
  <c r="L58" i="142"/>
  <c r="L42" i="142"/>
  <c r="L26" i="142"/>
  <c r="E2" i="142"/>
  <c r="F2" i="142" s="1"/>
  <c r="E3" i="142"/>
  <c r="E4" i="142"/>
  <c r="E5" i="142"/>
  <c r="E6" i="142"/>
  <c r="E7" i="142"/>
  <c r="E8" i="142"/>
  <c r="E9" i="142"/>
  <c r="E10" i="142"/>
  <c r="E11" i="142"/>
  <c r="E12" i="142"/>
  <c r="E13" i="142"/>
  <c r="E14" i="142"/>
  <c r="E15" i="142"/>
  <c r="E16" i="142"/>
  <c r="E17" i="142"/>
  <c r="E18" i="142"/>
  <c r="E19" i="142"/>
  <c r="E20" i="142"/>
  <c r="E21" i="142"/>
  <c r="E22" i="142"/>
  <c r="E23" i="142"/>
  <c r="E24" i="142"/>
  <c r="E25" i="142"/>
  <c r="E26" i="142"/>
  <c r="E27" i="142"/>
  <c r="E28" i="142"/>
  <c r="E29" i="142"/>
  <c r="E30" i="142"/>
  <c r="E31" i="142"/>
  <c r="E32" i="142"/>
  <c r="E33" i="142"/>
  <c r="E34" i="142"/>
  <c r="E35" i="142"/>
  <c r="E36" i="142"/>
  <c r="E37" i="142"/>
  <c r="E38" i="142"/>
  <c r="E39" i="142"/>
  <c r="E40" i="142"/>
  <c r="E41" i="142"/>
  <c r="E42" i="142"/>
  <c r="E43" i="142"/>
  <c r="F43" i="142" s="1"/>
  <c r="E44" i="142"/>
  <c r="F44" i="142" s="1"/>
  <c r="E45" i="142"/>
  <c r="F45" i="142" s="1"/>
  <c r="E46" i="142"/>
  <c r="F46" i="142" s="1"/>
  <c r="E47" i="142"/>
  <c r="F47" i="142" s="1"/>
  <c r="E48" i="142"/>
  <c r="F48" i="142" s="1"/>
  <c r="E49" i="142"/>
  <c r="F49" i="142" s="1"/>
  <c r="E50" i="142"/>
  <c r="F50" i="142" s="1"/>
  <c r="E51" i="142"/>
  <c r="F51" i="142" s="1"/>
  <c r="E52" i="142"/>
  <c r="F52" i="142" s="1"/>
  <c r="E53" i="142"/>
  <c r="F53" i="142" s="1"/>
  <c r="E54" i="142"/>
  <c r="F54" i="142" s="1"/>
  <c r="E55" i="142"/>
  <c r="F55" i="142" s="1"/>
  <c r="E56" i="142"/>
  <c r="F56" i="142" s="1"/>
  <c r="E57" i="142"/>
  <c r="F57" i="142" s="1"/>
  <c r="E58" i="142"/>
  <c r="F58" i="142" s="1"/>
  <c r="E59" i="142"/>
  <c r="F59" i="142" s="1"/>
  <c r="E60" i="142"/>
  <c r="F60" i="142" s="1"/>
  <c r="E61" i="142"/>
  <c r="F61" i="142" s="1"/>
  <c r="E62" i="142"/>
  <c r="F62" i="142" s="1"/>
  <c r="E63" i="142"/>
  <c r="F63" i="142" s="1"/>
  <c r="E64" i="142"/>
  <c r="F64" i="142" s="1"/>
  <c r="E65" i="142"/>
  <c r="F65" i="142" s="1"/>
  <c r="E66" i="142"/>
  <c r="F66" i="142" s="1"/>
  <c r="E67" i="142"/>
  <c r="F67" i="142" s="1"/>
  <c r="E68" i="142"/>
  <c r="F68" i="142" s="1"/>
  <c r="E69" i="142"/>
  <c r="F69" i="142" s="1"/>
  <c r="E70" i="142"/>
  <c r="F70" i="142" s="1"/>
  <c r="E71" i="142"/>
  <c r="F71" i="142" s="1"/>
  <c r="E72" i="142"/>
  <c r="F72" i="142" s="1"/>
  <c r="E73" i="142"/>
  <c r="F73" i="142" s="1"/>
  <c r="E74" i="142"/>
  <c r="F74" i="142" s="1"/>
  <c r="E75" i="142"/>
  <c r="F75" i="142" s="1"/>
  <c r="E76" i="142"/>
  <c r="F76" i="142" s="1"/>
  <c r="E77" i="142"/>
  <c r="F77" i="142" s="1"/>
  <c r="E78" i="142"/>
  <c r="F78" i="142" s="1"/>
  <c r="E79" i="142"/>
  <c r="F79" i="142" s="1"/>
  <c r="E80" i="142"/>
  <c r="F80" i="142" s="1"/>
  <c r="E81" i="142"/>
  <c r="F81" i="142" s="1"/>
  <c r="E82" i="142"/>
  <c r="F82" i="142" s="1"/>
  <c r="E83" i="142"/>
  <c r="F83" i="142" s="1"/>
  <c r="E84" i="142"/>
  <c r="F84" i="142" s="1"/>
  <c r="E85" i="142"/>
  <c r="F85" i="142" s="1"/>
  <c r="E86" i="142"/>
  <c r="F86" i="142" s="1"/>
  <c r="E87" i="142"/>
  <c r="F87" i="142" s="1"/>
  <c r="E88" i="142"/>
  <c r="F88" i="142" s="1"/>
  <c r="E89" i="142"/>
  <c r="F89" i="142" s="1"/>
  <c r="E90" i="142"/>
  <c r="F90" i="142" s="1"/>
  <c r="E91" i="142"/>
  <c r="F91" i="142" s="1"/>
  <c r="E92" i="142"/>
  <c r="F92" i="142" s="1"/>
  <c r="E93" i="142"/>
  <c r="F93" i="142" s="1"/>
  <c r="E94" i="142"/>
  <c r="F94" i="142" s="1"/>
  <c r="E95" i="142"/>
  <c r="F95" i="142" s="1"/>
  <c r="E96" i="142"/>
  <c r="F96" i="142" s="1"/>
  <c r="E97" i="142"/>
  <c r="F97" i="142" s="1"/>
  <c r="E98" i="142"/>
  <c r="F98" i="142" s="1"/>
  <c r="E99" i="142"/>
  <c r="F99" i="142" s="1"/>
  <c r="E100" i="142"/>
  <c r="F100" i="142" s="1"/>
  <c r="E101" i="142"/>
  <c r="F101" i="142" s="1"/>
  <c r="E102" i="142"/>
  <c r="F102" i="142" s="1"/>
  <c r="E103" i="142"/>
  <c r="F103" i="142" s="1"/>
  <c r="E104" i="142"/>
  <c r="F104" i="142" s="1"/>
  <c r="E105" i="142"/>
  <c r="F105" i="142" s="1"/>
  <c r="E106" i="142"/>
  <c r="F106" i="142" s="1"/>
  <c r="E107" i="142"/>
  <c r="F107" i="142" s="1"/>
  <c r="E108" i="142"/>
  <c r="F108" i="142" s="1"/>
  <c r="E109" i="142"/>
  <c r="F109" i="142" s="1"/>
  <c r="E110" i="142"/>
  <c r="F110" i="142" s="1"/>
  <c r="E111" i="142"/>
  <c r="F111" i="142" s="1"/>
  <c r="E112" i="142"/>
  <c r="F112" i="142" s="1"/>
  <c r="E113" i="142"/>
  <c r="F113" i="142" s="1"/>
  <c r="E114" i="142"/>
  <c r="F114" i="142" s="1"/>
  <c r="E115" i="142"/>
  <c r="F115" i="142" s="1"/>
  <c r="E116" i="142"/>
  <c r="F116" i="142" s="1"/>
  <c r="E117" i="142"/>
  <c r="F117" i="142" s="1"/>
  <c r="E118" i="142"/>
  <c r="F118" i="142" s="1"/>
  <c r="E119" i="142"/>
  <c r="F119" i="142" s="1"/>
  <c r="E120" i="142"/>
  <c r="F120" i="142" s="1"/>
  <c r="E121" i="142"/>
  <c r="F121" i="142" s="1"/>
  <c r="E122" i="142"/>
  <c r="F122" i="142" s="1"/>
  <c r="E123" i="142"/>
  <c r="F123" i="142" s="1"/>
  <c r="E124" i="142"/>
  <c r="F124" i="142" s="1"/>
  <c r="E125" i="142"/>
  <c r="F125" i="142" s="1"/>
  <c r="E126" i="142"/>
  <c r="F126" i="142" s="1"/>
  <c r="E127" i="142"/>
  <c r="F127" i="142" s="1"/>
  <c r="E128" i="142"/>
  <c r="F128" i="142" s="1"/>
  <c r="E129" i="142"/>
  <c r="F129" i="142" s="1"/>
  <c r="E130" i="142"/>
  <c r="F130" i="142" s="1"/>
  <c r="E131" i="142"/>
  <c r="F131" i="142" s="1"/>
  <c r="E132" i="142"/>
  <c r="F132" i="142" s="1"/>
  <c r="E133" i="142"/>
  <c r="F133" i="142" s="1"/>
  <c r="E134" i="142"/>
  <c r="F134" i="142" s="1"/>
  <c r="E135" i="142"/>
  <c r="F135" i="142" s="1"/>
  <c r="E136" i="142"/>
  <c r="F136" i="142" s="1"/>
  <c r="E137" i="142"/>
  <c r="F137" i="142" s="1"/>
  <c r="E138" i="142"/>
  <c r="F138" i="142" s="1"/>
  <c r="E139" i="142"/>
  <c r="F139" i="142" s="1"/>
  <c r="E140" i="142"/>
  <c r="F140" i="142" s="1"/>
  <c r="E141" i="142"/>
  <c r="F141" i="142" s="1"/>
  <c r="E142" i="142"/>
  <c r="F142" i="142" s="1"/>
  <c r="E143" i="142"/>
  <c r="F143" i="142" s="1"/>
  <c r="E144" i="142"/>
  <c r="F144" i="142" s="1"/>
  <c r="E145" i="142"/>
  <c r="F145" i="142" s="1"/>
  <c r="E146" i="142"/>
  <c r="F146" i="142" s="1"/>
  <c r="E147" i="142"/>
  <c r="F147" i="142" s="1"/>
  <c r="E148" i="142"/>
  <c r="F148" i="142" s="1"/>
  <c r="E149" i="142"/>
  <c r="F149" i="142" s="1"/>
  <c r="E150" i="142"/>
  <c r="F150" i="142" s="1"/>
  <c r="E151" i="142"/>
  <c r="F151" i="142" s="1"/>
  <c r="E152" i="142"/>
  <c r="F152" i="142" s="1"/>
  <c r="E153" i="142"/>
  <c r="F153" i="142" s="1"/>
  <c r="E154" i="142"/>
  <c r="F154" i="142" s="1"/>
  <c r="E155" i="142"/>
  <c r="F155" i="142" s="1"/>
  <c r="E156" i="142"/>
  <c r="F156" i="142" s="1"/>
  <c r="E157" i="142"/>
  <c r="F157" i="142" s="1"/>
  <c r="E158" i="142"/>
  <c r="F158" i="142" s="1"/>
  <c r="E159" i="142"/>
  <c r="F159" i="142" s="1"/>
  <c r="E160" i="142"/>
  <c r="F160" i="142" s="1"/>
  <c r="E161" i="142"/>
  <c r="F161" i="142" s="1"/>
  <c r="E162" i="142"/>
  <c r="F162" i="142" s="1"/>
  <c r="E163" i="142"/>
  <c r="F163" i="142" s="1"/>
  <c r="E164" i="142"/>
  <c r="F164" i="142" s="1"/>
  <c r="E165" i="142"/>
  <c r="F165" i="142" s="1"/>
  <c r="E166" i="142"/>
  <c r="F166" i="142" s="1"/>
  <c r="E167" i="142"/>
  <c r="F167" i="142" s="1"/>
  <c r="E168" i="142"/>
  <c r="F168" i="142" s="1"/>
  <c r="E169" i="142"/>
  <c r="F169" i="142" s="1"/>
  <c r="E170" i="142"/>
  <c r="F170" i="142" s="1"/>
  <c r="E171" i="142"/>
  <c r="F171" i="142" s="1"/>
  <c r="E172" i="142"/>
  <c r="F172" i="142" s="1"/>
  <c r="E173" i="142"/>
  <c r="F173" i="142" s="1"/>
  <c r="E174" i="142"/>
  <c r="F174" i="142" s="1"/>
  <c r="E175" i="142"/>
  <c r="F175" i="142" s="1"/>
  <c r="E176" i="142"/>
  <c r="F176" i="142" s="1"/>
  <c r="E177" i="142"/>
  <c r="F177" i="142" s="1"/>
  <c r="E178" i="142"/>
  <c r="F178" i="142" s="1"/>
  <c r="E179" i="142"/>
  <c r="F179" i="142" s="1"/>
  <c r="E180" i="142"/>
  <c r="F180" i="142" s="1"/>
  <c r="E181" i="142"/>
  <c r="F181" i="142" s="1"/>
  <c r="E182" i="142"/>
  <c r="F182" i="142" s="1"/>
  <c r="E183" i="142"/>
  <c r="F183" i="142" s="1"/>
  <c r="E184" i="142"/>
  <c r="F184" i="142" s="1"/>
  <c r="E185" i="142"/>
  <c r="F185" i="142" s="1"/>
  <c r="E186" i="142"/>
  <c r="F186" i="142" s="1"/>
  <c r="E187" i="142"/>
  <c r="F187" i="142" s="1"/>
  <c r="E188" i="142"/>
  <c r="F188" i="142" s="1"/>
  <c r="E189" i="142"/>
  <c r="F189" i="142" s="1"/>
  <c r="E190" i="142"/>
  <c r="F190" i="142" s="1"/>
  <c r="E191" i="142"/>
  <c r="F191" i="142" s="1"/>
  <c r="E192" i="142"/>
  <c r="F192" i="142" s="1"/>
  <c r="E193" i="142"/>
  <c r="F193" i="142" s="1"/>
  <c r="E194" i="142"/>
  <c r="F194" i="142" s="1"/>
  <c r="E195" i="142"/>
  <c r="F195" i="142" s="1"/>
  <c r="E196" i="142"/>
  <c r="F196" i="142" s="1"/>
  <c r="E197" i="142"/>
  <c r="F197" i="142" s="1"/>
  <c r="E198" i="142"/>
  <c r="F198" i="142" s="1"/>
  <c r="E199" i="142"/>
  <c r="F199" i="142" s="1"/>
  <c r="E200" i="142"/>
  <c r="F200" i="142" s="1"/>
  <c r="E201" i="142"/>
  <c r="F201" i="142" s="1"/>
  <c r="E202" i="142"/>
  <c r="F202" i="142" s="1"/>
  <c r="E203" i="142"/>
  <c r="F203" i="142" s="1"/>
  <c r="E204" i="142"/>
  <c r="F204" i="142" s="1"/>
  <c r="E205" i="142"/>
  <c r="F205" i="142" s="1"/>
  <c r="E206" i="142"/>
  <c r="F206" i="142" s="1"/>
  <c r="E207" i="142"/>
  <c r="F207" i="142" s="1"/>
  <c r="E208" i="142"/>
  <c r="F208" i="142" s="1"/>
  <c r="E209" i="142"/>
  <c r="F209" i="142" s="1"/>
  <c r="E210" i="142"/>
  <c r="F210" i="142" s="1"/>
  <c r="E211" i="142"/>
  <c r="F211" i="142" s="1"/>
  <c r="E212" i="142"/>
  <c r="F212" i="142" s="1"/>
  <c r="E213" i="142"/>
  <c r="F213" i="142" s="1"/>
  <c r="E214" i="142"/>
  <c r="F214" i="142" s="1"/>
  <c r="E215" i="142"/>
  <c r="F215" i="142" s="1"/>
  <c r="E216" i="142"/>
  <c r="F216" i="142" s="1"/>
  <c r="E217" i="142"/>
  <c r="F217" i="142" s="1"/>
  <c r="E218" i="142"/>
  <c r="F218" i="142" s="1"/>
  <c r="E219" i="142"/>
  <c r="F219" i="142" s="1"/>
  <c r="E220" i="142"/>
  <c r="F220" i="142" s="1"/>
  <c r="E221" i="142"/>
  <c r="F221" i="142" s="1"/>
  <c r="E222" i="142"/>
  <c r="F222" i="142" s="1"/>
  <c r="E223" i="142"/>
  <c r="F223" i="142" s="1"/>
  <c r="E224" i="142"/>
  <c r="F224" i="142" s="1"/>
  <c r="E225" i="142"/>
  <c r="F225" i="142" s="1"/>
  <c r="E226" i="142"/>
  <c r="F226" i="142" s="1"/>
  <c r="E227" i="142"/>
  <c r="F227" i="142" s="1"/>
  <c r="E228" i="142"/>
  <c r="F228" i="142" s="1"/>
  <c r="E229" i="142"/>
  <c r="F229" i="142" s="1"/>
  <c r="E230" i="142"/>
  <c r="F230" i="142" s="1"/>
  <c r="E231" i="142"/>
  <c r="F231" i="142" s="1"/>
  <c r="E232" i="142"/>
  <c r="F232" i="142" s="1"/>
  <c r="E233" i="142"/>
  <c r="F233" i="142" s="1"/>
  <c r="E234" i="142"/>
  <c r="F234" i="142" s="1"/>
  <c r="E235" i="142"/>
  <c r="F235" i="142" s="1"/>
  <c r="E236" i="142"/>
  <c r="F236" i="142" s="1"/>
  <c r="E237" i="142"/>
  <c r="F237" i="142" s="1"/>
  <c r="E238" i="142"/>
  <c r="F238" i="142" s="1"/>
  <c r="E239" i="142"/>
  <c r="F239" i="142" s="1"/>
  <c r="E240" i="142"/>
  <c r="F240" i="142" s="1"/>
  <c r="E241" i="142"/>
  <c r="F241" i="142" s="1"/>
  <c r="E242" i="142"/>
  <c r="F242" i="142" s="1"/>
  <c r="E243" i="142"/>
  <c r="F243" i="142" s="1"/>
  <c r="E244" i="142"/>
  <c r="F244" i="142" s="1"/>
  <c r="E245" i="142"/>
  <c r="F245" i="142" s="1"/>
  <c r="E246" i="142"/>
  <c r="F246" i="142" s="1"/>
  <c r="E247" i="142"/>
  <c r="F247" i="142" s="1"/>
  <c r="E248" i="142"/>
  <c r="F248" i="142" s="1"/>
  <c r="E249" i="142"/>
  <c r="F249" i="142" s="1"/>
  <c r="E250" i="142"/>
  <c r="F250" i="142" s="1"/>
  <c r="E251" i="142"/>
  <c r="F251" i="142" s="1"/>
  <c r="E252" i="142"/>
  <c r="F252" i="142" s="1"/>
  <c r="E253" i="142"/>
  <c r="F253" i="142" s="1"/>
  <c r="E254" i="142"/>
  <c r="F254" i="142" s="1"/>
  <c r="E255" i="142"/>
  <c r="F255" i="142" s="1"/>
  <c r="E256" i="142"/>
  <c r="F256" i="142" s="1"/>
  <c r="E257" i="142"/>
  <c r="F257" i="142" s="1"/>
  <c r="E258" i="142"/>
  <c r="F258" i="142" s="1"/>
  <c r="E259" i="142"/>
  <c r="F259" i="142" s="1"/>
  <c r="E260" i="142"/>
  <c r="F260" i="142" s="1"/>
  <c r="E261" i="142"/>
  <c r="F261" i="142" s="1"/>
  <c r="E262" i="142"/>
  <c r="F262" i="142" s="1"/>
  <c r="E263" i="142"/>
  <c r="F263" i="142" s="1"/>
  <c r="E264" i="142"/>
  <c r="F264" i="142" s="1"/>
  <c r="E265" i="142"/>
  <c r="F265" i="142" s="1"/>
  <c r="E266" i="142"/>
  <c r="F266" i="142" s="1"/>
  <c r="E267" i="142"/>
  <c r="F267" i="142" s="1"/>
  <c r="E268" i="142"/>
  <c r="F268" i="142" s="1"/>
  <c r="E269" i="142"/>
  <c r="F269" i="142" s="1"/>
  <c r="E270" i="142"/>
  <c r="F270" i="142" s="1"/>
  <c r="E271" i="142"/>
  <c r="F271" i="142" s="1"/>
  <c r="E272" i="142"/>
  <c r="F272" i="142" s="1"/>
  <c r="E273" i="142"/>
  <c r="F273" i="142" s="1"/>
  <c r="E274" i="142"/>
  <c r="F274" i="142" s="1"/>
  <c r="E275" i="142"/>
  <c r="F275" i="142" s="1"/>
  <c r="E276" i="142"/>
  <c r="F276" i="142" s="1"/>
  <c r="E277" i="142"/>
  <c r="F277" i="142" s="1"/>
  <c r="E278" i="142"/>
  <c r="F278" i="142" s="1"/>
  <c r="E279" i="142"/>
  <c r="F279" i="142" s="1"/>
  <c r="E280" i="142"/>
  <c r="F280" i="142" s="1"/>
  <c r="E281" i="142"/>
  <c r="F281" i="142" s="1"/>
  <c r="E282" i="142"/>
  <c r="F282" i="142" s="1"/>
  <c r="E283" i="142"/>
  <c r="F283" i="142" s="1"/>
  <c r="E284" i="142"/>
  <c r="F284" i="142" s="1"/>
  <c r="E285" i="142"/>
  <c r="F285" i="142" s="1"/>
  <c r="E286" i="142"/>
  <c r="F286" i="142" s="1"/>
  <c r="E287" i="142"/>
  <c r="F287" i="142" s="1"/>
  <c r="E288" i="142"/>
  <c r="F288" i="142" s="1"/>
  <c r="E289" i="142"/>
  <c r="F289" i="142" s="1"/>
  <c r="E290" i="142"/>
  <c r="F290" i="142" s="1"/>
  <c r="E291" i="142"/>
  <c r="F291" i="142" s="1"/>
  <c r="E292" i="142"/>
  <c r="F292" i="142" s="1"/>
  <c r="E293" i="142"/>
  <c r="F293" i="142" s="1"/>
  <c r="E294" i="142"/>
  <c r="F294" i="142" s="1"/>
  <c r="E295" i="142"/>
  <c r="F295" i="142" s="1"/>
  <c r="E296" i="142"/>
  <c r="F296" i="142" s="1"/>
  <c r="E297" i="142"/>
  <c r="F297" i="142" s="1"/>
  <c r="E298" i="142"/>
  <c r="F298" i="142" s="1"/>
  <c r="E299" i="142"/>
  <c r="F299" i="142" s="1"/>
  <c r="E300" i="142"/>
  <c r="F300" i="142" s="1"/>
  <c r="E301" i="142"/>
  <c r="F301" i="142" s="1"/>
  <c r="I51" i="188" l="1"/>
  <c r="J51" i="188" s="1"/>
  <c r="G52" i="188"/>
  <c r="C52" i="188"/>
  <c r="D52" i="188" s="1"/>
  <c r="E52" i="188" s="1"/>
  <c r="F42" i="142"/>
  <c r="F41" i="142"/>
  <c r="F40" i="142"/>
  <c r="F20" i="142"/>
  <c r="F39" i="142"/>
  <c r="F35" i="142"/>
  <c r="F31" i="142"/>
  <c r="F27" i="142"/>
  <c r="F23" i="142"/>
  <c r="F19" i="142"/>
  <c r="F15" i="142"/>
  <c r="F11" i="142"/>
  <c r="F7" i="142"/>
  <c r="F3" i="142"/>
  <c r="F30" i="142"/>
  <c r="F18" i="142"/>
  <c r="F38" i="142"/>
  <c r="F34" i="142"/>
  <c r="F26" i="142"/>
  <c r="F22" i="142"/>
  <c r="F14" i="142"/>
  <c r="F10" i="142"/>
  <c r="F6" i="142"/>
  <c r="F37" i="142"/>
  <c r="F33" i="142"/>
  <c r="F29" i="142"/>
  <c r="F25" i="142"/>
  <c r="F21" i="142"/>
  <c r="F17" i="142"/>
  <c r="F13" i="142"/>
  <c r="F9" i="142"/>
  <c r="F5" i="142"/>
  <c r="F36" i="142"/>
  <c r="F32" i="142"/>
  <c r="F28" i="142"/>
  <c r="F24" i="142"/>
  <c r="F16" i="142"/>
  <c r="F12" i="142"/>
  <c r="F8" i="142"/>
  <c r="F4" i="142"/>
  <c r="B4" i="142"/>
  <c r="B8" i="142"/>
  <c r="B12" i="142"/>
  <c r="B16" i="142"/>
  <c r="B20" i="142"/>
  <c r="B24" i="142"/>
  <c r="B28" i="142"/>
  <c r="B32" i="142"/>
  <c r="B36" i="142"/>
  <c r="B40" i="142"/>
  <c r="B44" i="142"/>
  <c r="B48" i="142"/>
  <c r="B52" i="142"/>
  <c r="B56" i="142"/>
  <c r="B60" i="142"/>
  <c r="B64" i="142"/>
  <c r="B68" i="142"/>
  <c r="B72" i="142"/>
  <c r="B76" i="142"/>
  <c r="B80" i="142"/>
  <c r="B84" i="142"/>
  <c r="B88" i="142"/>
  <c r="B92" i="142"/>
  <c r="B96" i="142"/>
  <c r="B100" i="142"/>
  <c r="B104" i="142"/>
  <c r="B108" i="142"/>
  <c r="B112" i="142"/>
  <c r="B116" i="142"/>
  <c r="B120" i="142"/>
  <c r="B124" i="142"/>
  <c r="B128" i="142"/>
  <c r="B132" i="142"/>
  <c r="B136" i="142"/>
  <c r="B140" i="142"/>
  <c r="B144" i="142"/>
  <c r="B148" i="142"/>
  <c r="B152" i="142"/>
  <c r="B156" i="142"/>
  <c r="B160" i="142"/>
  <c r="B164" i="142"/>
  <c r="B168" i="142"/>
  <c r="B172" i="142"/>
  <c r="B176" i="142"/>
  <c r="B180" i="142"/>
  <c r="B184" i="142"/>
  <c r="B188" i="142"/>
  <c r="B192" i="142"/>
  <c r="B196" i="142"/>
  <c r="B200" i="142"/>
  <c r="B204" i="142"/>
  <c r="B208" i="142"/>
  <c r="B212" i="142"/>
  <c r="B216" i="142"/>
  <c r="B220" i="142"/>
  <c r="B224" i="142"/>
  <c r="B228" i="142"/>
  <c r="B232" i="142"/>
  <c r="B236" i="142"/>
  <c r="B240" i="142"/>
  <c r="B244" i="142"/>
  <c r="B248" i="142"/>
  <c r="B252" i="142"/>
  <c r="B256" i="142"/>
  <c r="B260" i="142"/>
  <c r="B264" i="142"/>
  <c r="B268" i="142"/>
  <c r="B272" i="142"/>
  <c r="B276" i="142"/>
  <c r="B280" i="142"/>
  <c r="B284" i="142"/>
  <c r="B288" i="142"/>
  <c r="B292" i="142"/>
  <c r="B296" i="142"/>
  <c r="B300" i="142"/>
  <c r="B5" i="142"/>
  <c r="B9" i="142"/>
  <c r="B13" i="142"/>
  <c r="B17" i="142"/>
  <c r="B21" i="142"/>
  <c r="B25" i="142"/>
  <c r="B29" i="142"/>
  <c r="B33" i="142"/>
  <c r="B37" i="142"/>
  <c r="B41" i="142"/>
  <c r="B6" i="142"/>
  <c r="B14" i="142"/>
  <c r="B22" i="142"/>
  <c r="B30" i="142"/>
  <c r="B38" i="142"/>
  <c r="B45" i="142"/>
  <c r="B50" i="142"/>
  <c r="B55" i="142"/>
  <c r="B61" i="142"/>
  <c r="B66" i="142"/>
  <c r="B71" i="142"/>
  <c r="B77" i="142"/>
  <c r="B82" i="142"/>
  <c r="B87" i="142"/>
  <c r="B93" i="142"/>
  <c r="B98" i="142"/>
  <c r="B103" i="142"/>
  <c r="B109" i="142"/>
  <c r="B114" i="142"/>
  <c r="B119" i="142"/>
  <c r="B125" i="142"/>
  <c r="B130" i="142"/>
  <c r="B135" i="142"/>
  <c r="B141" i="142"/>
  <c r="B146" i="142"/>
  <c r="B151" i="142"/>
  <c r="B157" i="142"/>
  <c r="B162" i="142"/>
  <c r="B167" i="142"/>
  <c r="B173" i="142"/>
  <c r="B178" i="142"/>
  <c r="B183" i="142"/>
  <c r="B189" i="142"/>
  <c r="B194" i="142"/>
  <c r="B199" i="142"/>
  <c r="B205" i="142"/>
  <c r="B210" i="142"/>
  <c r="B215" i="142"/>
  <c r="B221" i="142"/>
  <c r="B226" i="142"/>
  <c r="B231" i="142"/>
  <c r="B237" i="142"/>
  <c r="B242" i="142"/>
  <c r="B247" i="142"/>
  <c r="B253" i="142"/>
  <c r="B258" i="142"/>
  <c r="B263" i="142"/>
  <c r="B269" i="142"/>
  <c r="B274" i="142"/>
  <c r="B279" i="142"/>
  <c r="B285" i="142"/>
  <c r="B290" i="142"/>
  <c r="B295" i="142"/>
  <c r="B301" i="142"/>
  <c r="B7" i="142"/>
  <c r="B15" i="142"/>
  <c r="B23" i="142"/>
  <c r="B31" i="142"/>
  <c r="B39" i="142"/>
  <c r="B46" i="142"/>
  <c r="B51" i="142"/>
  <c r="B57" i="142"/>
  <c r="B62" i="142"/>
  <c r="B67" i="142"/>
  <c r="B73" i="142"/>
  <c r="B78" i="142"/>
  <c r="B83" i="142"/>
  <c r="B89" i="142"/>
  <c r="B94" i="142"/>
  <c r="B99" i="142"/>
  <c r="B105" i="142"/>
  <c r="B110" i="142"/>
  <c r="B115" i="142"/>
  <c r="B121" i="142"/>
  <c r="B126" i="142"/>
  <c r="B131" i="142"/>
  <c r="B137" i="142"/>
  <c r="B142" i="142"/>
  <c r="B147" i="142"/>
  <c r="B153" i="142"/>
  <c r="B158" i="142"/>
  <c r="B163" i="142"/>
  <c r="B169" i="142"/>
  <c r="B174" i="142"/>
  <c r="B179" i="142"/>
  <c r="B185" i="142"/>
  <c r="B190" i="142"/>
  <c r="B195" i="142"/>
  <c r="B201" i="142"/>
  <c r="B206" i="142"/>
  <c r="B211" i="142"/>
  <c r="B217" i="142"/>
  <c r="B222" i="142"/>
  <c r="B227" i="142"/>
  <c r="B233" i="142"/>
  <c r="B238" i="142"/>
  <c r="B243" i="142"/>
  <c r="B249" i="142"/>
  <c r="B254" i="142"/>
  <c r="B259" i="142"/>
  <c r="B265" i="142"/>
  <c r="B270" i="142"/>
  <c r="B275" i="142"/>
  <c r="B281" i="142"/>
  <c r="B286" i="142"/>
  <c r="B291" i="142"/>
  <c r="B297" i="142"/>
  <c r="C2" i="142"/>
  <c r="B10" i="142"/>
  <c r="B18" i="142"/>
  <c r="B26" i="142"/>
  <c r="B34" i="142"/>
  <c r="B42" i="142"/>
  <c r="B47" i="142"/>
  <c r="B53" i="142"/>
  <c r="B58" i="142"/>
  <c r="B63" i="142"/>
  <c r="B69" i="142"/>
  <c r="B74" i="142"/>
  <c r="B79" i="142"/>
  <c r="B85" i="142"/>
  <c r="B90" i="142"/>
  <c r="B95" i="142"/>
  <c r="B101" i="142"/>
  <c r="B106" i="142"/>
  <c r="B111" i="142"/>
  <c r="B117" i="142"/>
  <c r="B122" i="142"/>
  <c r="B127" i="142"/>
  <c r="B133" i="142"/>
  <c r="B138" i="142"/>
  <c r="B143" i="142"/>
  <c r="B149" i="142"/>
  <c r="B154" i="142"/>
  <c r="B159" i="142"/>
  <c r="B165" i="142"/>
  <c r="B170" i="142"/>
  <c r="B175" i="142"/>
  <c r="B181" i="142"/>
  <c r="B186" i="142"/>
  <c r="B191" i="142"/>
  <c r="B197" i="142"/>
  <c r="B202" i="142"/>
  <c r="B207" i="142"/>
  <c r="B213" i="142"/>
  <c r="B218" i="142"/>
  <c r="B223" i="142"/>
  <c r="B229" i="142"/>
  <c r="B234" i="142"/>
  <c r="B239" i="142"/>
  <c r="B245" i="142"/>
  <c r="B250" i="142"/>
  <c r="B255" i="142"/>
  <c r="B261" i="142"/>
  <c r="B266" i="142"/>
  <c r="B271" i="142"/>
  <c r="B277" i="142"/>
  <c r="B282" i="142"/>
  <c r="B287" i="142"/>
  <c r="B293" i="142"/>
  <c r="B298" i="142"/>
  <c r="B3" i="142"/>
  <c r="B11" i="142"/>
  <c r="B19" i="142"/>
  <c r="B27" i="142"/>
  <c r="B35" i="142"/>
  <c r="B43" i="142"/>
  <c r="B49" i="142"/>
  <c r="B54" i="142"/>
  <c r="B59" i="142"/>
  <c r="B75" i="142"/>
  <c r="B97" i="142"/>
  <c r="B118" i="142"/>
  <c r="B139" i="142"/>
  <c r="B161" i="142"/>
  <c r="B182" i="142"/>
  <c r="B203" i="142"/>
  <c r="B225" i="142"/>
  <c r="B246" i="142"/>
  <c r="B267" i="142"/>
  <c r="B289" i="142"/>
  <c r="B81" i="142"/>
  <c r="B102" i="142"/>
  <c r="B123" i="142"/>
  <c r="B145" i="142"/>
  <c r="B166" i="142"/>
  <c r="B187" i="142"/>
  <c r="B209" i="142"/>
  <c r="B230" i="142"/>
  <c r="B251" i="142"/>
  <c r="B273" i="142"/>
  <c r="B294" i="142"/>
  <c r="B65" i="142"/>
  <c r="B86" i="142"/>
  <c r="B107" i="142"/>
  <c r="B129" i="142"/>
  <c r="B150" i="142"/>
  <c r="B171" i="142"/>
  <c r="B193" i="142"/>
  <c r="B214" i="142"/>
  <c r="B235" i="142"/>
  <c r="B257" i="142"/>
  <c r="B278" i="142"/>
  <c r="B299" i="142"/>
  <c r="B70" i="142"/>
  <c r="B91" i="142"/>
  <c r="B113" i="142"/>
  <c r="B134" i="142"/>
  <c r="B155" i="142"/>
  <c r="B177" i="142"/>
  <c r="B198" i="142"/>
  <c r="B219" i="142"/>
  <c r="B241" i="142"/>
  <c r="B262" i="142"/>
  <c r="B283" i="142"/>
  <c r="A154" i="3"/>
  <c r="A128" i="3"/>
  <c r="A102" i="3"/>
  <c r="A50" i="3"/>
  <c r="H52" i="188" l="1"/>
  <c r="I52" i="188" s="1"/>
  <c r="J52" i="188" s="1"/>
  <c r="G2" i="142"/>
  <c r="G3" i="142"/>
  <c r="G18" i="142"/>
  <c r="G283" i="142"/>
  <c r="G27" i="142"/>
  <c r="G258" i="142"/>
  <c r="G234" i="142"/>
  <c r="G46" i="142"/>
  <c r="G286" i="142"/>
  <c r="G161" i="142"/>
  <c r="G101" i="142"/>
  <c r="G219" i="142"/>
  <c r="G282" i="142"/>
  <c r="G273" i="142"/>
  <c r="G112" i="142"/>
  <c r="G155" i="142"/>
  <c r="G174" i="142"/>
  <c r="G260" i="142"/>
  <c r="G184" i="142"/>
  <c r="G48" i="142"/>
  <c r="G91" i="142"/>
  <c r="G110" i="142"/>
  <c r="G238" i="142"/>
  <c r="G233" i="142"/>
  <c r="G180" i="142"/>
  <c r="G237" i="142"/>
  <c r="G109" i="142"/>
  <c r="G252" i="142"/>
  <c r="G152" i="142"/>
  <c r="G213" i="142"/>
  <c r="G37" i="142"/>
  <c r="G96" i="142"/>
  <c r="G32" i="142"/>
  <c r="G267" i="142"/>
  <c r="G203" i="142"/>
  <c r="G139" i="142"/>
  <c r="G75" i="142"/>
  <c r="G11" i="142"/>
  <c r="G158" i="142"/>
  <c r="G94" i="142"/>
  <c r="G30" i="142"/>
  <c r="G113" i="142"/>
  <c r="G97" i="142"/>
  <c r="G301" i="142"/>
  <c r="G216" i="142"/>
  <c r="G45" i="142"/>
  <c r="G230" i="142"/>
  <c r="G89" i="142"/>
  <c r="G189" i="142"/>
  <c r="G144" i="142"/>
  <c r="G80" i="142"/>
  <c r="G16" i="142"/>
  <c r="G251" i="142"/>
  <c r="G187" i="142"/>
  <c r="G123" i="142"/>
  <c r="G59" i="142"/>
  <c r="G142" i="142"/>
  <c r="G78" i="142"/>
  <c r="G14" i="142"/>
  <c r="G298" i="142"/>
  <c r="G222" i="142"/>
  <c r="G129" i="142"/>
  <c r="G280" i="142"/>
  <c r="G193" i="142"/>
  <c r="G294" i="142"/>
  <c r="G209" i="142"/>
  <c r="G25" i="142"/>
  <c r="G157" i="142"/>
  <c r="G128" i="142"/>
  <c r="G64" i="142"/>
  <c r="G299" i="142"/>
  <c r="G235" i="142"/>
  <c r="G171" i="142"/>
  <c r="G107" i="142"/>
  <c r="G43" i="142"/>
  <c r="G190" i="142"/>
  <c r="G126" i="142"/>
  <c r="G62" i="142"/>
  <c r="G266" i="142"/>
  <c r="G276" i="142"/>
  <c r="G217" i="142"/>
  <c r="G49" i="142"/>
  <c r="G201" i="142"/>
  <c r="G272" i="142"/>
  <c r="G212" i="142"/>
  <c r="G33" i="142"/>
  <c r="G292" i="142"/>
  <c r="G249" i="142"/>
  <c r="G145" i="142"/>
  <c r="G296" i="142"/>
  <c r="G274" i="142"/>
  <c r="G253" i="142"/>
  <c r="G232" i="142"/>
  <c r="G210" i="142"/>
  <c r="G185" i="142"/>
  <c r="G153" i="142"/>
  <c r="G93" i="142"/>
  <c r="G29" i="142"/>
  <c r="G289" i="142"/>
  <c r="G268" i="142"/>
  <c r="G246" i="142"/>
  <c r="G225" i="142"/>
  <c r="G204" i="142"/>
  <c r="G176" i="142"/>
  <c r="G137" i="142"/>
  <c r="G73" i="142"/>
  <c r="G9" i="142"/>
  <c r="G229" i="142"/>
  <c r="G208" i="142"/>
  <c r="G181" i="142"/>
  <c r="G149" i="142"/>
  <c r="G85" i="142"/>
  <c r="G21" i="142"/>
  <c r="G140" i="142"/>
  <c r="G124" i="142"/>
  <c r="G108" i="142"/>
  <c r="G92" i="142"/>
  <c r="G76" i="142"/>
  <c r="G60" i="142"/>
  <c r="G44" i="142"/>
  <c r="G28" i="142"/>
  <c r="G12" i="142"/>
  <c r="G295" i="142"/>
  <c r="G279" i="142"/>
  <c r="G263" i="142"/>
  <c r="G247" i="142"/>
  <c r="G231" i="142"/>
  <c r="G215" i="142"/>
  <c r="G199" i="142"/>
  <c r="G183" i="142"/>
  <c r="G167" i="142"/>
  <c r="G151" i="142"/>
  <c r="G135" i="142"/>
  <c r="G119" i="142"/>
  <c r="G103" i="142"/>
  <c r="G87" i="142"/>
  <c r="G71" i="142"/>
  <c r="G55" i="142"/>
  <c r="G39" i="142"/>
  <c r="G23" i="142"/>
  <c r="G7" i="142"/>
  <c r="G186" i="142"/>
  <c r="G170" i="142"/>
  <c r="G154" i="142"/>
  <c r="G138" i="142"/>
  <c r="G122" i="142"/>
  <c r="G106" i="142"/>
  <c r="G90" i="142"/>
  <c r="G74" i="142"/>
  <c r="G58" i="142"/>
  <c r="G42" i="142"/>
  <c r="G26" i="142"/>
  <c r="G10" i="142"/>
  <c r="G172" i="142"/>
  <c r="G265" i="142"/>
  <c r="G196" i="142"/>
  <c r="G277" i="142"/>
  <c r="G65" i="142"/>
  <c r="G261" i="142"/>
  <c r="G188" i="142"/>
  <c r="G288" i="142"/>
  <c r="G281" i="142"/>
  <c r="G228" i="142"/>
  <c r="G81" i="142"/>
  <c r="G290" i="142"/>
  <c r="G269" i="142"/>
  <c r="G248" i="142"/>
  <c r="G226" i="142"/>
  <c r="G205" i="142"/>
  <c r="G177" i="142"/>
  <c r="G141" i="142"/>
  <c r="G77" i="142"/>
  <c r="G13" i="142"/>
  <c r="G284" i="142"/>
  <c r="G262" i="142"/>
  <c r="G241" i="142"/>
  <c r="G220" i="142"/>
  <c r="G198" i="142"/>
  <c r="G168" i="142"/>
  <c r="G121" i="142"/>
  <c r="G57" i="142"/>
  <c r="G245" i="142"/>
  <c r="G224" i="142"/>
  <c r="G202" i="142"/>
  <c r="G173" i="142"/>
  <c r="G133" i="142"/>
  <c r="G69" i="142"/>
  <c r="G5" i="142"/>
  <c r="G136" i="142"/>
  <c r="G120" i="142"/>
  <c r="G104" i="142"/>
  <c r="G88" i="142"/>
  <c r="G72" i="142"/>
  <c r="G56" i="142"/>
  <c r="G40" i="142"/>
  <c r="G24" i="142"/>
  <c r="G8" i="142"/>
  <c r="G291" i="142"/>
  <c r="G275" i="142"/>
  <c r="G259" i="142"/>
  <c r="G243" i="142"/>
  <c r="G227" i="142"/>
  <c r="G211" i="142"/>
  <c r="G195" i="142"/>
  <c r="G179" i="142"/>
  <c r="G163" i="142"/>
  <c r="G147" i="142"/>
  <c r="G131" i="142"/>
  <c r="G115" i="142"/>
  <c r="G99" i="142"/>
  <c r="G83" i="142"/>
  <c r="G67" i="142"/>
  <c r="G51" i="142"/>
  <c r="G35" i="142"/>
  <c r="G19" i="142"/>
  <c r="G182" i="142"/>
  <c r="G166" i="142"/>
  <c r="G150" i="142"/>
  <c r="G134" i="142"/>
  <c r="G118" i="142"/>
  <c r="G102" i="142"/>
  <c r="G86" i="142"/>
  <c r="G70" i="142"/>
  <c r="G54" i="142"/>
  <c r="G38" i="142"/>
  <c r="G22" i="142"/>
  <c r="G6" i="142"/>
  <c r="G297" i="142"/>
  <c r="G254" i="142"/>
  <c r="G164" i="142"/>
  <c r="G244" i="142"/>
  <c r="G293" i="142"/>
  <c r="G250" i="142"/>
  <c r="G156" i="142"/>
  <c r="G256" i="142"/>
  <c r="G270" i="142"/>
  <c r="G206" i="142"/>
  <c r="G17" i="142"/>
  <c r="G285" i="142"/>
  <c r="G264" i="142"/>
  <c r="G242" i="142"/>
  <c r="G221" i="142"/>
  <c r="G200" i="142"/>
  <c r="G169" i="142"/>
  <c r="G125" i="142"/>
  <c r="G61" i="142"/>
  <c r="G300" i="142"/>
  <c r="G278" i="142"/>
  <c r="G257" i="142"/>
  <c r="G236" i="142"/>
  <c r="G214" i="142"/>
  <c r="G192" i="142"/>
  <c r="G160" i="142"/>
  <c r="G105" i="142"/>
  <c r="G41" i="142"/>
  <c r="G240" i="142"/>
  <c r="G218" i="142"/>
  <c r="G197" i="142"/>
  <c r="G165" i="142"/>
  <c r="G117" i="142"/>
  <c r="G53" i="142"/>
  <c r="G148" i="142"/>
  <c r="G132" i="142"/>
  <c r="G116" i="142"/>
  <c r="G100" i="142"/>
  <c r="G84" i="142"/>
  <c r="G68" i="142"/>
  <c r="G52" i="142"/>
  <c r="G36" i="142"/>
  <c r="G20" i="142"/>
  <c r="G4" i="142"/>
  <c r="G287" i="142"/>
  <c r="G271" i="142"/>
  <c r="G255" i="142"/>
  <c r="G239" i="142"/>
  <c r="G223" i="142"/>
  <c r="G207" i="142"/>
  <c r="G191" i="142"/>
  <c r="G175" i="142"/>
  <c r="G159" i="142"/>
  <c r="G143" i="142"/>
  <c r="G127" i="142"/>
  <c r="G111" i="142"/>
  <c r="G95" i="142"/>
  <c r="G79" i="142"/>
  <c r="G63" i="142"/>
  <c r="G47" i="142"/>
  <c r="G31" i="142"/>
  <c r="G15" i="142"/>
  <c r="G194" i="142"/>
  <c r="G178" i="142"/>
  <c r="G162" i="142"/>
  <c r="G146" i="142"/>
  <c r="G130" i="142"/>
  <c r="G114" i="142"/>
  <c r="G98" i="142"/>
  <c r="G82" i="142"/>
  <c r="G66" i="142"/>
  <c r="G50" i="142"/>
  <c r="G34" i="142"/>
  <c r="C10" i="142"/>
  <c r="C4" i="142"/>
  <c r="O9" i="1" l="1"/>
  <c r="O7" i="1"/>
  <c r="E178" i="3" s="1"/>
  <c r="R42" i="3" l="1"/>
  <c r="Q42" i="3" s="1"/>
  <c r="S42" i="3"/>
  <c r="S37" i="3"/>
  <c r="O42" i="3"/>
  <c r="P42" i="3" s="1"/>
  <c r="O37" i="3"/>
  <c r="N42" i="3"/>
  <c r="N37" i="3"/>
  <c r="U42" i="3"/>
  <c r="T42" i="3"/>
  <c r="V42" i="3" l="1"/>
  <c r="Q190" i="3"/>
  <c r="E182" i="3"/>
  <c r="Q26" i="3" l="1"/>
  <c r="Q25" i="3"/>
  <c r="Q24" i="3"/>
  <c r="Q23" i="3"/>
  <c r="Q22" i="3"/>
  <c r="Q4" i="3"/>
  <c r="Q5" i="3"/>
  <c r="Q6" i="3"/>
  <c r="Q7" i="3"/>
  <c r="Q8" i="3"/>
  <c r="Q9" i="3"/>
  <c r="Q10" i="3"/>
  <c r="Q11" i="3"/>
  <c r="Q12" i="3"/>
  <c r="Q3" i="3"/>
  <c r="M219" i="3"/>
  <c r="M218" i="3"/>
  <c r="M217" i="3"/>
  <c r="M216" i="3"/>
  <c r="M215" i="3"/>
  <c r="M214" i="3"/>
  <c r="M213" i="3"/>
  <c r="M212" i="3"/>
  <c r="M211" i="3"/>
  <c r="M210" i="3"/>
  <c r="H219" i="3"/>
  <c r="H218" i="3"/>
  <c r="H217" i="3"/>
  <c r="H216" i="3"/>
  <c r="H215" i="3"/>
  <c r="H214" i="3"/>
  <c r="H213" i="3"/>
  <c r="H212" i="3"/>
  <c r="H211" i="3"/>
  <c r="H210" i="3"/>
  <c r="C219" i="3"/>
  <c r="C218" i="3"/>
  <c r="C217" i="3"/>
  <c r="C216" i="3"/>
  <c r="C215" i="3"/>
  <c r="C214" i="3"/>
  <c r="C213" i="3"/>
  <c r="C212" i="3"/>
  <c r="C211" i="3"/>
  <c r="C210" i="3"/>
  <c r="M200" i="3"/>
  <c r="M199" i="3"/>
  <c r="M198" i="3"/>
  <c r="M197" i="3"/>
  <c r="M196" i="3"/>
  <c r="M195" i="3"/>
  <c r="M194" i="3"/>
  <c r="M193" i="3"/>
  <c r="M192" i="3"/>
  <c r="M191" i="3"/>
  <c r="H200" i="3"/>
  <c r="H199" i="3"/>
  <c r="H198" i="3"/>
  <c r="H197" i="3"/>
  <c r="H196" i="3"/>
  <c r="H195" i="3"/>
  <c r="H194" i="3"/>
  <c r="H193" i="3"/>
  <c r="H192" i="3"/>
  <c r="H191" i="3"/>
  <c r="C200" i="3"/>
  <c r="C199" i="3"/>
  <c r="C198" i="3"/>
  <c r="C197" i="3"/>
  <c r="C196" i="3"/>
  <c r="C195" i="3"/>
  <c r="C194" i="3"/>
  <c r="C193" i="3"/>
  <c r="C192" i="3"/>
  <c r="C191" i="3"/>
  <c r="H173" i="3"/>
  <c r="H172" i="3"/>
  <c r="H171" i="3"/>
  <c r="H170" i="3"/>
  <c r="H169" i="3"/>
  <c r="H168" i="3"/>
  <c r="H167" i="3"/>
  <c r="H166" i="3"/>
  <c r="H165" i="3"/>
  <c r="H164" i="3"/>
  <c r="C173" i="3"/>
  <c r="C172" i="3"/>
  <c r="C171" i="3"/>
  <c r="C170" i="3"/>
  <c r="C169" i="3"/>
  <c r="C168" i="3"/>
  <c r="C167" i="3"/>
  <c r="C166" i="3"/>
  <c r="C165" i="3"/>
  <c r="C164" i="3"/>
  <c r="H147" i="3"/>
  <c r="H146" i="3"/>
  <c r="H145" i="3"/>
  <c r="H144" i="3"/>
  <c r="H143" i="3"/>
  <c r="H142" i="3"/>
  <c r="H141" i="3"/>
  <c r="H140" i="3"/>
  <c r="H139" i="3"/>
  <c r="H138" i="3"/>
  <c r="C147" i="3"/>
  <c r="C146" i="3"/>
  <c r="C145" i="3"/>
  <c r="C144" i="3"/>
  <c r="C143" i="3"/>
  <c r="C142" i="3"/>
  <c r="C141" i="3"/>
  <c r="C140" i="3"/>
  <c r="C139" i="3"/>
  <c r="C138" i="3"/>
  <c r="H121" i="3"/>
  <c r="H120" i="3"/>
  <c r="H119" i="3"/>
  <c r="H118" i="3"/>
  <c r="H117" i="3"/>
  <c r="H116" i="3"/>
  <c r="H115" i="3"/>
  <c r="H114" i="3"/>
  <c r="H113" i="3"/>
  <c r="H112" i="3"/>
  <c r="C121" i="3"/>
  <c r="C120" i="3"/>
  <c r="C119" i="3"/>
  <c r="C118" i="3"/>
  <c r="C117" i="3"/>
  <c r="C116" i="3"/>
  <c r="C115" i="3"/>
  <c r="C114" i="3"/>
  <c r="C113" i="3"/>
  <c r="C112" i="3"/>
  <c r="H95" i="3"/>
  <c r="H94" i="3"/>
  <c r="H93" i="3"/>
  <c r="H92" i="3"/>
  <c r="H91" i="3"/>
  <c r="H90" i="3"/>
  <c r="H89" i="3"/>
  <c r="H88" i="3"/>
  <c r="H87" i="3"/>
  <c r="H86" i="3"/>
  <c r="C95" i="3"/>
  <c r="C94" i="3"/>
  <c r="C93" i="3"/>
  <c r="C92" i="3"/>
  <c r="C91" i="3"/>
  <c r="C90" i="3"/>
  <c r="C89" i="3"/>
  <c r="C88" i="3"/>
  <c r="C87" i="3"/>
  <c r="C86" i="3"/>
  <c r="H69" i="3"/>
  <c r="H68" i="3"/>
  <c r="H67" i="3"/>
  <c r="H66" i="3"/>
  <c r="H65" i="3"/>
  <c r="H64" i="3"/>
  <c r="H63" i="3"/>
  <c r="H62" i="3"/>
  <c r="H61" i="3"/>
  <c r="H60" i="3"/>
  <c r="C69" i="3"/>
  <c r="C68" i="3"/>
  <c r="C67" i="3"/>
  <c r="C66" i="3"/>
  <c r="C65" i="3"/>
  <c r="C64" i="3"/>
  <c r="C63" i="3"/>
  <c r="C62" i="3"/>
  <c r="C61" i="3"/>
  <c r="C60" i="3"/>
  <c r="H43" i="3"/>
  <c r="H42" i="3"/>
  <c r="H41" i="3"/>
  <c r="H40" i="3"/>
  <c r="H39" i="3"/>
  <c r="H38" i="3"/>
  <c r="H37" i="3"/>
  <c r="H36" i="3"/>
  <c r="H35" i="3"/>
  <c r="H34" i="3"/>
  <c r="C36" i="3"/>
  <c r="C37" i="3"/>
  <c r="C38" i="3"/>
  <c r="C39" i="3"/>
  <c r="C40" i="3"/>
  <c r="C41" i="3"/>
  <c r="C42" i="3"/>
  <c r="C43" i="3"/>
  <c r="C35" i="3"/>
  <c r="C34" i="3"/>
  <c r="S31" i="3"/>
  <c r="M161" i="3" l="1"/>
  <c r="M162" i="3" s="1"/>
  <c r="M157" i="3"/>
  <c r="M158" i="3" s="1"/>
  <c r="M135" i="3"/>
  <c r="M136" i="3" s="1"/>
  <c r="M131" i="3"/>
  <c r="M132" i="3" s="1"/>
  <c r="M109" i="3"/>
  <c r="M110" i="3" s="1"/>
  <c r="M105" i="3"/>
  <c r="M106" i="3" s="1"/>
  <c r="M79" i="3"/>
  <c r="M80" i="3" s="1"/>
  <c r="M83" i="3"/>
  <c r="M84" i="3" s="1"/>
  <c r="N38" i="3" l="1"/>
  <c r="N36" i="3"/>
  <c r="N35" i="3"/>
  <c r="N34" i="3"/>
  <c r="N33" i="3"/>
  <c r="N32" i="3"/>
  <c r="N31" i="3"/>
  <c r="S38" i="3"/>
  <c r="S36" i="3"/>
  <c r="S35" i="3"/>
  <c r="S34" i="3"/>
  <c r="S33" i="3"/>
  <c r="S32" i="3"/>
  <c r="M31" i="3"/>
  <c r="M32" i="3" s="1"/>
  <c r="M53" i="3"/>
  <c r="M54" i="3" s="1"/>
  <c r="J153" i="5" l="1"/>
  <c r="J154" i="5"/>
  <c r="J155" i="5"/>
  <c r="J156" i="5"/>
  <c r="J157" i="5"/>
  <c r="J158" i="5"/>
  <c r="J159" i="5"/>
  <c r="J160" i="5"/>
  <c r="J161" i="5"/>
  <c r="J162" i="5"/>
  <c r="J163" i="5"/>
  <c r="J164" i="5"/>
  <c r="J165" i="5"/>
  <c r="J166" i="5"/>
  <c r="J167" i="5"/>
  <c r="J168" i="5"/>
  <c r="J169" i="5"/>
  <c r="J170" i="5"/>
  <c r="J171" i="5"/>
  <c r="J172" i="5"/>
  <c r="J173" i="5"/>
  <c r="J174" i="5"/>
  <c r="J175" i="5"/>
  <c r="J176" i="5"/>
  <c r="J177" i="5"/>
  <c r="J178" i="5"/>
  <c r="J179" i="5"/>
  <c r="J180" i="5"/>
  <c r="J181" i="5"/>
  <c r="J182" i="5"/>
  <c r="J183" i="5"/>
  <c r="J184" i="5"/>
  <c r="J185" i="5"/>
  <c r="J186" i="5"/>
  <c r="J187" i="5"/>
  <c r="J188" i="5"/>
  <c r="J189" i="5"/>
  <c r="J190" i="5"/>
  <c r="J191" i="5"/>
  <c r="J192" i="5"/>
  <c r="J193" i="5"/>
  <c r="J194" i="5"/>
  <c r="J195" i="5"/>
  <c r="J196" i="5"/>
  <c r="J197" i="5"/>
  <c r="J198" i="5"/>
  <c r="J199" i="5"/>
  <c r="J200" i="5"/>
  <c r="J201" i="5"/>
  <c r="J202" i="5"/>
  <c r="J203" i="5"/>
  <c r="J204" i="5"/>
  <c r="J205" i="5"/>
  <c r="J206" i="5"/>
  <c r="J207" i="5"/>
  <c r="J208" i="5"/>
  <c r="J209" i="5"/>
  <c r="J210" i="5"/>
  <c r="J211" i="5"/>
  <c r="J212" i="5"/>
  <c r="J213" i="5"/>
  <c r="J214" i="5"/>
  <c r="J215" i="5"/>
  <c r="J216" i="5"/>
  <c r="J217" i="5"/>
  <c r="J218" i="5"/>
  <c r="J219" i="5"/>
  <c r="J220" i="5"/>
  <c r="J221" i="5"/>
  <c r="J222" i="5"/>
  <c r="J223" i="5"/>
  <c r="J224" i="5"/>
  <c r="J225" i="5"/>
  <c r="J226" i="5"/>
  <c r="J227" i="5"/>
  <c r="J228" i="5"/>
  <c r="J229" i="5"/>
  <c r="J230" i="5"/>
  <c r="J231" i="5"/>
  <c r="J232" i="5"/>
  <c r="J233" i="5"/>
  <c r="J234" i="5"/>
  <c r="J235" i="5"/>
  <c r="J236" i="5"/>
  <c r="J237" i="5"/>
  <c r="J238" i="5"/>
  <c r="J239" i="5"/>
  <c r="J240" i="5"/>
  <c r="J241" i="5"/>
  <c r="J242" i="5"/>
  <c r="J243" i="5"/>
  <c r="J244" i="5"/>
  <c r="J245" i="5"/>
  <c r="J246" i="5"/>
  <c r="J247" i="5"/>
  <c r="J248" i="5"/>
  <c r="J249" i="5"/>
  <c r="J250" i="5"/>
  <c r="J251" i="5"/>
  <c r="J252" i="5"/>
  <c r="J253" i="5"/>
  <c r="J254" i="5"/>
  <c r="J255" i="5"/>
  <c r="J256" i="5"/>
  <c r="J257" i="5"/>
  <c r="J258" i="5"/>
  <c r="J259" i="5"/>
  <c r="J260" i="5"/>
  <c r="J261" i="5"/>
  <c r="J262" i="5"/>
  <c r="J263" i="5"/>
  <c r="J264" i="5"/>
  <c r="J265" i="5"/>
  <c r="J266" i="5"/>
  <c r="J267" i="5"/>
  <c r="J268" i="5"/>
  <c r="J269" i="5"/>
  <c r="J270" i="5"/>
  <c r="J271" i="5"/>
  <c r="J272" i="5"/>
  <c r="J273" i="5"/>
  <c r="J274" i="5"/>
  <c r="J275" i="5"/>
  <c r="J276" i="5"/>
  <c r="J277" i="5"/>
  <c r="J278" i="5"/>
  <c r="J279" i="5"/>
  <c r="J280" i="5"/>
  <c r="J281" i="5"/>
  <c r="J282" i="5"/>
  <c r="J283" i="5"/>
  <c r="J284" i="5"/>
  <c r="J285" i="5"/>
  <c r="J286" i="5"/>
  <c r="J287" i="5"/>
  <c r="J288" i="5"/>
  <c r="J289" i="5"/>
  <c r="J290" i="5"/>
  <c r="J291" i="5"/>
  <c r="J292" i="5"/>
  <c r="J293" i="5"/>
  <c r="J295" i="5"/>
  <c r="J296" i="5"/>
  <c r="J297" i="5"/>
  <c r="J298" i="5"/>
  <c r="J299" i="5"/>
  <c r="J300" i="5"/>
  <c r="J301" i="5"/>
  <c r="J302" i="5"/>
  <c r="J303" i="5"/>
  <c r="J304" i="5"/>
  <c r="J305" i="5"/>
  <c r="J306" i="5"/>
  <c r="J307" i="5"/>
  <c r="J308" i="5"/>
  <c r="J309" i="5"/>
  <c r="J310" i="5"/>
  <c r="J311" i="5"/>
  <c r="J312" i="5"/>
  <c r="J313" i="5"/>
  <c r="J314" i="5"/>
  <c r="J315" i="5"/>
  <c r="J316" i="5"/>
  <c r="J317" i="5"/>
  <c r="J318" i="5"/>
  <c r="J319" i="5"/>
  <c r="J320" i="5"/>
  <c r="J321" i="5"/>
  <c r="J322" i="5"/>
  <c r="J323" i="5"/>
  <c r="J324" i="5"/>
  <c r="J325" i="5"/>
  <c r="J326" i="5"/>
  <c r="J327" i="5"/>
  <c r="J328" i="5"/>
  <c r="J329" i="5"/>
  <c r="J330" i="5"/>
  <c r="J331" i="5"/>
  <c r="J332" i="5"/>
  <c r="J333" i="5"/>
  <c r="J334" i="5"/>
  <c r="J335" i="5"/>
  <c r="J336" i="5"/>
  <c r="J337" i="5"/>
  <c r="J338" i="5"/>
  <c r="J339" i="5"/>
  <c r="J340" i="5"/>
  <c r="J341" i="5"/>
  <c r="J342" i="5"/>
  <c r="J343" i="5"/>
  <c r="J344" i="5"/>
  <c r="J345" i="5"/>
  <c r="J346" i="5"/>
  <c r="J347" i="5"/>
  <c r="J348" i="5"/>
  <c r="J349" i="5"/>
  <c r="J350" i="5"/>
  <c r="J351" i="5"/>
  <c r="J352" i="5"/>
  <c r="J353" i="5"/>
  <c r="J354" i="5"/>
  <c r="J355" i="5"/>
  <c r="J356" i="5"/>
  <c r="J357" i="5"/>
  <c r="J358" i="5"/>
  <c r="J359" i="5"/>
  <c r="J360" i="5"/>
  <c r="J361" i="5"/>
  <c r="J362" i="5"/>
  <c r="J363" i="5"/>
  <c r="J364" i="5"/>
  <c r="J365" i="5"/>
  <c r="J366" i="5"/>
  <c r="J367" i="5"/>
  <c r="J368" i="5"/>
  <c r="J369" i="5"/>
  <c r="J370" i="5"/>
  <c r="J371" i="5"/>
  <c r="J372" i="5"/>
  <c r="J373" i="5"/>
  <c r="J374" i="5"/>
  <c r="J375" i="5"/>
  <c r="J376" i="5"/>
  <c r="J377" i="5"/>
  <c r="J378" i="5"/>
  <c r="J379" i="5"/>
  <c r="J380" i="5"/>
  <c r="J381" i="5"/>
  <c r="J382" i="5"/>
  <c r="J383" i="5"/>
  <c r="J384" i="5"/>
  <c r="J385" i="5"/>
  <c r="J386" i="5"/>
  <c r="J387" i="5"/>
  <c r="J388" i="5"/>
  <c r="J389" i="5"/>
  <c r="J390" i="5"/>
  <c r="J391" i="5"/>
  <c r="J392" i="5"/>
  <c r="J393" i="5"/>
  <c r="J394" i="5"/>
  <c r="J395" i="5"/>
  <c r="J396" i="5"/>
  <c r="J397" i="5"/>
  <c r="J398" i="5"/>
  <c r="J399" i="5"/>
  <c r="J400" i="5"/>
  <c r="J401" i="5"/>
  <c r="J402" i="5"/>
  <c r="J403" i="5"/>
  <c r="J404" i="5"/>
  <c r="J405" i="5"/>
  <c r="J406" i="5"/>
  <c r="J407" i="5"/>
  <c r="J408" i="5"/>
  <c r="J409" i="5"/>
  <c r="J410" i="5"/>
  <c r="J411" i="5"/>
  <c r="J412" i="5"/>
  <c r="J413" i="5"/>
  <c r="J414" i="5"/>
  <c r="J415" i="5"/>
  <c r="J416" i="5"/>
  <c r="J417" i="5"/>
  <c r="J418" i="5"/>
  <c r="J419" i="5"/>
  <c r="J420" i="5"/>
  <c r="J421" i="5"/>
  <c r="J422" i="5"/>
  <c r="J423" i="5"/>
  <c r="J424" i="5"/>
  <c r="J425" i="5"/>
  <c r="J426" i="5"/>
  <c r="J427" i="5"/>
  <c r="J428" i="5"/>
  <c r="J429" i="5"/>
  <c r="J430" i="5"/>
  <c r="J431" i="5"/>
  <c r="J432" i="5"/>
  <c r="J433" i="5"/>
  <c r="J434" i="5"/>
  <c r="J435" i="5"/>
  <c r="J436" i="5"/>
  <c r="J437" i="5"/>
  <c r="J438" i="5"/>
  <c r="J439" i="5"/>
  <c r="J440" i="5"/>
  <c r="J441" i="5"/>
  <c r="J442" i="5"/>
  <c r="J443" i="5"/>
  <c r="J444" i="5"/>
  <c r="J445" i="5"/>
  <c r="J446" i="5"/>
  <c r="J447" i="5"/>
  <c r="J448" i="5"/>
  <c r="J449" i="5"/>
  <c r="J450" i="5"/>
  <c r="J451" i="5"/>
  <c r="J452" i="5"/>
  <c r="J453" i="5"/>
  <c r="J454" i="5"/>
  <c r="J455" i="5"/>
  <c r="J456" i="5"/>
  <c r="J457" i="5"/>
  <c r="J458" i="5"/>
  <c r="J459" i="5"/>
  <c r="J460" i="5"/>
  <c r="J461" i="5"/>
  <c r="J462" i="5"/>
  <c r="J463" i="5"/>
  <c r="J464" i="5"/>
  <c r="J465" i="5"/>
  <c r="J466" i="5"/>
  <c r="J467" i="5"/>
  <c r="J468" i="5"/>
  <c r="J469" i="5"/>
  <c r="J470" i="5"/>
  <c r="J471" i="5"/>
  <c r="J472" i="5"/>
  <c r="J473" i="5"/>
  <c r="J474" i="5"/>
  <c r="J475" i="5"/>
  <c r="J476" i="5"/>
  <c r="J477" i="5"/>
  <c r="J478" i="5"/>
  <c r="J479" i="5"/>
  <c r="J480" i="5"/>
  <c r="J481" i="5"/>
  <c r="L136" i="3" l="1"/>
  <c r="L132" i="3"/>
  <c r="L162" i="3"/>
  <c r="L158" i="3"/>
  <c r="G162" i="3"/>
  <c r="F162" i="3"/>
  <c r="E162" i="3"/>
  <c r="D162" i="3"/>
  <c r="G158" i="3"/>
  <c r="F158" i="3"/>
  <c r="E158" i="3"/>
  <c r="D158" i="3"/>
  <c r="G136" i="3"/>
  <c r="F136" i="3"/>
  <c r="E136" i="3"/>
  <c r="D136" i="3"/>
  <c r="G132" i="3"/>
  <c r="F132" i="3"/>
  <c r="E132" i="3"/>
  <c r="D132" i="3"/>
  <c r="O38" i="3"/>
  <c r="P38" i="3" s="1"/>
  <c r="P37" i="3"/>
  <c r="O36" i="3" l="1"/>
  <c r="P36" i="3" s="1"/>
  <c r="O35" i="3"/>
  <c r="P35" i="3" s="1"/>
  <c r="O34" i="3"/>
  <c r="P34" i="3" s="1"/>
  <c r="O33" i="3"/>
  <c r="P33" i="3" s="1"/>
  <c r="O32" i="3"/>
  <c r="P32" i="3" s="1"/>
  <c r="O31" i="3"/>
  <c r="P31" i="3" s="1"/>
  <c r="H180" i="3" l="1"/>
  <c r="R37" i="3" l="1"/>
  <c r="Q37" i="3" s="1"/>
  <c r="Q20" i="3" l="1"/>
  <c r="K87" i="3"/>
  <c r="T33" i="3" s="1"/>
  <c r="P206" i="3"/>
  <c r="K165" i="3"/>
  <c r="L144" i="3"/>
  <c r="L92" i="3"/>
  <c r="L118" i="3"/>
  <c r="Q187" i="3"/>
  <c r="L170" i="3"/>
  <c r="T31" i="3"/>
  <c r="R31" i="3"/>
  <c r="Q31" i="3" s="1"/>
  <c r="R38" i="3"/>
  <c r="Q38" i="3" s="1"/>
  <c r="R32" i="3"/>
  <c r="Q32" i="3" s="1"/>
  <c r="R36" i="3"/>
  <c r="Q36" i="3" s="1"/>
  <c r="R33" i="3"/>
  <c r="Q33" i="3" s="1"/>
  <c r="R34" i="3"/>
  <c r="Q34" i="3" s="1"/>
  <c r="Q35" i="3"/>
  <c r="L66" i="3" l="1"/>
  <c r="P21" i="3"/>
  <c r="Q21" i="3" s="1"/>
  <c r="M57" i="3"/>
  <c r="M58" i="3" s="1"/>
  <c r="P18" i="3" l="1"/>
  <c r="Q18" i="3" s="1"/>
  <c r="S19" i="3"/>
  <c r="S20" i="3"/>
  <c r="V20" i="3" s="1"/>
  <c r="S21" i="3"/>
  <c r="T21" i="3" s="1"/>
  <c r="S22" i="3"/>
  <c r="T22" i="3" s="1"/>
  <c r="S23" i="3"/>
  <c r="T23" i="3" s="1"/>
  <c r="S24" i="3"/>
  <c r="T24" i="3" s="1"/>
  <c r="S25" i="3"/>
  <c r="T25" i="3" s="1"/>
  <c r="S26" i="3"/>
  <c r="T26" i="3" s="1"/>
  <c r="S18" i="3"/>
  <c r="T18" i="3" s="1"/>
  <c r="S17" i="3"/>
  <c r="K180" i="3" s="1"/>
  <c r="M27" i="3"/>
  <c r="T19" i="3" l="1"/>
  <c r="T20" i="3"/>
  <c r="W20" i="3"/>
  <c r="T17" i="3"/>
  <c r="J180" i="3"/>
  <c r="V18" i="3"/>
  <c r="W18" i="3" s="1"/>
  <c r="V26" i="3"/>
  <c r="W26" i="3" s="1"/>
  <c r="V22" i="3"/>
  <c r="W22" i="3" s="1"/>
  <c r="V21" i="3"/>
  <c r="V25" i="3"/>
  <c r="W25" i="3" s="1"/>
  <c r="V24" i="3"/>
  <c r="W24" i="3" s="1"/>
  <c r="V23" i="3"/>
  <c r="W23" i="3" s="1"/>
  <c r="S27" i="3"/>
  <c r="T27" i="3" s="1"/>
  <c r="Y3" i="3"/>
  <c r="Y5" i="3"/>
  <c r="Y6" i="3"/>
  <c r="Y7" i="3"/>
  <c r="Y8" i="3"/>
  <c r="Y9" i="3"/>
  <c r="Y10" i="3"/>
  <c r="Y11" i="3"/>
  <c r="Y12" i="3"/>
  <c r="Y4" i="3"/>
  <c r="W21" i="3" l="1"/>
  <c r="X21" i="3"/>
  <c r="J181" i="3"/>
  <c r="X3" i="3"/>
  <c r="AN2" i="3" s="1"/>
  <c r="W4" i="3"/>
  <c r="W5" i="3"/>
  <c r="W6" i="3"/>
  <c r="W7" i="3"/>
  <c r="W8" i="3"/>
  <c r="W9" i="3"/>
  <c r="W10" i="3"/>
  <c r="W11" i="3"/>
  <c r="W12" i="3"/>
  <c r="J182" i="3" l="1"/>
  <c r="X11" i="3"/>
  <c r="V11" i="3"/>
  <c r="X7" i="3"/>
  <c r="V7" i="3"/>
  <c r="X10" i="3"/>
  <c r="V10" i="3"/>
  <c r="X6" i="3"/>
  <c r="V6" i="3"/>
  <c r="V9" i="3"/>
  <c r="X9" i="3"/>
  <c r="X12" i="3"/>
  <c r="V12" i="3"/>
  <c r="X8" i="3"/>
  <c r="V8" i="3"/>
  <c r="V4" i="3"/>
  <c r="X4" i="3"/>
  <c r="X5" i="3"/>
  <c r="V5" i="3"/>
  <c r="J114" i="5"/>
  <c r="V17" i="3" l="1"/>
  <c r="Q17" i="3"/>
  <c r="X20" i="3" l="1"/>
  <c r="X17" i="3"/>
  <c r="Y17" i="3"/>
  <c r="W17" i="3"/>
  <c r="N13" i="3"/>
  <c r="Q13" i="3" s="1"/>
  <c r="S13" i="3"/>
  <c r="Y13" i="3" s="1"/>
  <c r="I19" i="3"/>
  <c r="M28" i="3"/>
  <c r="D28" i="3"/>
  <c r="E28" i="3"/>
  <c r="F28" i="3"/>
  <c r="G28" i="3"/>
  <c r="L28" i="3"/>
  <c r="D32" i="3"/>
  <c r="E32" i="3"/>
  <c r="F32" i="3"/>
  <c r="G32" i="3"/>
  <c r="L32" i="3"/>
  <c r="C44" i="3"/>
  <c r="G44" i="3"/>
  <c r="H44" i="3" s="1"/>
  <c r="D54" i="3"/>
  <c r="F54" i="3"/>
  <c r="G54" i="3"/>
  <c r="L54" i="3"/>
  <c r="D58" i="3"/>
  <c r="E58" i="3"/>
  <c r="F58" i="3"/>
  <c r="G58" i="3"/>
  <c r="L58" i="3"/>
  <c r="C70" i="3"/>
  <c r="G70" i="3"/>
  <c r="H70" i="3" s="1"/>
  <c r="D80" i="3"/>
  <c r="E80" i="3"/>
  <c r="F80" i="3"/>
  <c r="G80" i="3"/>
  <c r="L80" i="3"/>
  <c r="D84" i="3"/>
  <c r="E84" i="3"/>
  <c r="F84" i="3"/>
  <c r="G84" i="3"/>
  <c r="L84" i="3"/>
  <c r="C96" i="3"/>
  <c r="G96" i="3"/>
  <c r="H96" i="3" s="1"/>
  <c r="D106" i="3"/>
  <c r="E106" i="3"/>
  <c r="F106" i="3"/>
  <c r="G106" i="3"/>
  <c r="L106" i="3"/>
  <c r="D110" i="3"/>
  <c r="E110" i="3"/>
  <c r="F110" i="3"/>
  <c r="G110" i="3"/>
  <c r="L110" i="3"/>
  <c r="C122" i="3"/>
  <c r="G122" i="3"/>
  <c r="H122" i="3" s="1"/>
  <c r="C148" i="3"/>
  <c r="G148" i="3"/>
  <c r="H148" i="3" s="1"/>
  <c r="C174" i="3"/>
  <c r="G174" i="3"/>
  <c r="H174" i="3" s="1"/>
  <c r="F179" i="3"/>
  <c r="G179" i="3"/>
  <c r="H179" i="3"/>
  <c r="I179" i="3"/>
  <c r="J179" i="3"/>
  <c r="N188" i="3"/>
  <c r="C201" i="3"/>
  <c r="G201" i="3"/>
  <c r="H201" i="3" s="1"/>
  <c r="L201" i="3"/>
  <c r="M201" i="3" s="1"/>
  <c r="N207" i="3"/>
  <c r="C220" i="3"/>
  <c r="G220" i="3"/>
  <c r="H220" i="3" s="1"/>
  <c r="L220" i="3"/>
  <c r="M220" i="3" s="1"/>
  <c r="W13" i="3" l="1"/>
  <c r="V13" i="3" s="1"/>
  <c r="X13" i="3" l="1"/>
  <c r="J152" i="5"/>
  <c r="J151" i="5"/>
  <c r="J150" i="5"/>
  <c r="J149" i="5"/>
  <c r="J148" i="5"/>
  <c r="J147" i="5"/>
  <c r="J146" i="5"/>
  <c r="J145" i="5"/>
  <c r="J144" i="5"/>
  <c r="J143" i="5"/>
  <c r="J142" i="5"/>
  <c r="J141" i="5"/>
  <c r="J140" i="5"/>
  <c r="J139" i="5"/>
  <c r="J138" i="5"/>
  <c r="J137" i="5"/>
  <c r="J136" i="5"/>
  <c r="J135" i="5"/>
  <c r="J134" i="5"/>
  <c r="J133" i="5"/>
  <c r="J132" i="5"/>
  <c r="J131" i="5"/>
  <c r="J130" i="5"/>
  <c r="J129" i="5"/>
  <c r="J128" i="5"/>
  <c r="J127" i="5"/>
  <c r="J126" i="5"/>
  <c r="J125" i="5"/>
  <c r="J124" i="5"/>
  <c r="J123" i="5"/>
  <c r="J122" i="5"/>
  <c r="J121" i="5"/>
  <c r="J120" i="5"/>
  <c r="J119" i="5"/>
  <c r="J118" i="5"/>
  <c r="J117" i="5"/>
  <c r="J116" i="5"/>
  <c r="J115" i="5"/>
  <c r="J113" i="5"/>
  <c r="J112" i="5"/>
  <c r="J111" i="5"/>
  <c r="J110" i="5"/>
  <c r="J109" i="5"/>
  <c r="J108" i="5"/>
  <c r="J107" i="5"/>
  <c r="J106" i="5"/>
  <c r="J105" i="5"/>
  <c r="J104" i="5"/>
  <c r="J90" i="5"/>
  <c r="J103" i="5"/>
  <c r="J102" i="5"/>
  <c r="J101" i="5"/>
  <c r="J100" i="5"/>
  <c r="J99" i="5"/>
  <c r="J98" i="5"/>
  <c r="J97" i="5"/>
  <c r="J96" i="5"/>
  <c r="J95" i="5"/>
  <c r="J94" i="5"/>
  <c r="J93" i="5"/>
  <c r="J92" i="5"/>
  <c r="J91" i="5"/>
  <c r="J89" i="5"/>
  <c r="J88" i="5"/>
  <c r="J87" i="5"/>
  <c r="J86" i="5"/>
  <c r="J85" i="5"/>
  <c r="J84" i="5"/>
  <c r="J83" i="5"/>
  <c r="J82" i="5"/>
  <c r="J81" i="5"/>
  <c r="J80" i="5"/>
  <c r="J79" i="5"/>
  <c r="J78" i="5"/>
  <c r="J77" i="5"/>
  <c r="J76" i="5"/>
  <c r="J75" i="5"/>
  <c r="J74" i="5"/>
  <c r="J73" i="5"/>
  <c r="J72" i="5"/>
  <c r="J71" i="5"/>
  <c r="J70" i="5"/>
  <c r="J69" i="5"/>
  <c r="J68" i="5"/>
  <c r="J67" i="5"/>
  <c r="J66" i="5"/>
  <c r="J65" i="5"/>
  <c r="J64" i="5"/>
  <c r="J63" i="5"/>
  <c r="J62" i="5"/>
  <c r="J61" i="5"/>
  <c r="J60" i="5"/>
  <c r="J59" i="5"/>
  <c r="J58" i="5"/>
  <c r="J57" i="5"/>
  <c r="J56" i="5"/>
  <c r="J55" i="5"/>
  <c r="J54" i="5"/>
  <c r="J53" i="5"/>
  <c r="J52" i="5"/>
  <c r="J51" i="5"/>
  <c r="J50" i="5"/>
  <c r="J49" i="5"/>
  <c r="J48" i="5"/>
  <c r="J47" i="5"/>
  <c r="J46" i="5"/>
  <c r="J45" i="5"/>
  <c r="J44" i="5"/>
  <c r="J43" i="5"/>
  <c r="J42" i="5"/>
  <c r="J41" i="5"/>
  <c r="J40" i="5"/>
  <c r="J39" i="5"/>
  <c r="J38" i="5"/>
  <c r="J37" i="5"/>
  <c r="J36" i="5"/>
  <c r="J35" i="5"/>
  <c r="J34" i="5"/>
  <c r="J33" i="5"/>
  <c r="J32" i="5"/>
  <c r="J31" i="5"/>
  <c r="J30" i="5"/>
  <c r="J29" i="5"/>
  <c r="J28" i="5"/>
  <c r="J27" i="5"/>
  <c r="J26" i="5"/>
  <c r="J25" i="5"/>
  <c r="J24" i="5"/>
  <c r="J23" i="5"/>
  <c r="J22" i="5"/>
  <c r="J21" i="5"/>
  <c r="J20" i="5"/>
  <c r="J19" i="5"/>
  <c r="J18" i="5"/>
  <c r="J17" i="5"/>
  <c r="J16" i="5"/>
  <c r="J15" i="5"/>
  <c r="J14" i="5"/>
  <c r="J13" i="5"/>
  <c r="J12" i="5"/>
  <c r="J11" i="5"/>
  <c r="J10" i="5"/>
  <c r="J9" i="5"/>
  <c r="J8" i="5"/>
  <c r="J7" i="5"/>
  <c r="J6" i="5"/>
  <c r="J5" i="5"/>
  <c r="J4" i="5"/>
  <c r="J3" i="5"/>
  <c r="AI2" i="5" l="1"/>
  <c r="T35" i="3"/>
  <c r="L40" i="3"/>
  <c r="T32" i="3"/>
  <c r="T36" i="3"/>
  <c r="T34" i="3"/>
  <c r="T38" i="3"/>
  <c r="T37" i="3"/>
  <c r="Q206" i="3" l="1"/>
  <c r="L87" i="3"/>
  <c r="L113" i="3"/>
  <c r="L165" i="3"/>
  <c r="L139" i="3"/>
  <c r="P19" i="3" l="1"/>
  <c r="V19" i="3" s="1"/>
  <c r="X19" i="3" s="1"/>
  <c r="U31" i="3"/>
  <c r="V31" i="3" s="1"/>
  <c r="L36" i="3"/>
  <c r="Q188" i="3"/>
  <c r="U37" i="3"/>
  <c r="V37" i="3" s="1"/>
  <c r="Q207" i="3"/>
  <c r="U38" i="3"/>
  <c r="V38" i="3" s="1"/>
  <c r="L114" i="3"/>
  <c r="U34" i="3"/>
  <c r="V34" i="3" s="1"/>
  <c r="L88" i="3"/>
  <c r="U33" i="3"/>
  <c r="V33" i="3" s="1"/>
  <c r="L166" i="3"/>
  <c r="U36" i="3"/>
  <c r="V36" i="3" s="1"/>
  <c r="L62" i="3"/>
  <c r="U32" i="3"/>
  <c r="V32" i="3" s="1"/>
  <c r="L140" i="3"/>
  <c r="U35" i="3"/>
  <c r="V35" i="3" s="1"/>
  <c r="W19" i="3" l="1"/>
  <c r="P27" i="3"/>
  <c r="Q27" i="3" s="1"/>
  <c r="Q19" i="3"/>
  <c r="U39" i="3"/>
  <c r="V39" i="3" s="1"/>
  <c r="V27" i="3" l="1"/>
  <c r="W27" i="3" s="1"/>
  <c r="C132" i="142" l="1"/>
  <c r="C198" i="142"/>
  <c r="C121" i="142"/>
  <c r="C33" i="142"/>
  <c r="C91" i="142"/>
  <c r="C287" i="142"/>
  <c r="C276" i="142"/>
  <c r="C65" i="142"/>
  <c r="C5" i="142"/>
  <c r="C57" i="142"/>
  <c r="C240" i="142"/>
  <c r="C183" i="142"/>
  <c r="C210" i="142"/>
  <c r="C291" i="142"/>
  <c r="C204" i="142"/>
  <c r="C155" i="142"/>
  <c r="C176" i="142"/>
  <c r="C103" i="142"/>
  <c r="C44" i="142"/>
  <c r="C67" i="142"/>
  <c r="C301" i="142"/>
  <c r="C25" i="142"/>
  <c r="C88" i="142"/>
  <c r="C266" i="142"/>
  <c r="C31" i="142"/>
  <c r="C119" i="142"/>
  <c r="C113" i="142"/>
  <c r="C220" i="142"/>
  <c r="C293" i="142"/>
  <c r="C111" i="142"/>
  <c r="C263" i="142"/>
  <c r="C96" i="142"/>
  <c r="C116" i="142"/>
  <c r="C8" i="142"/>
  <c r="C274" i="142"/>
  <c r="C138" i="142"/>
  <c r="C269" i="142"/>
  <c r="C259" i="142"/>
  <c r="C12" i="142"/>
  <c r="C238" i="142"/>
  <c r="C56" i="142"/>
  <c r="C18" i="142"/>
  <c r="C147" i="142"/>
  <c r="C197" i="142"/>
  <c r="C223" i="142"/>
  <c r="C250" i="142"/>
  <c r="C234" i="142"/>
  <c r="C100" i="142"/>
  <c r="C283" i="142"/>
  <c r="C86" i="142"/>
  <c r="C136" i="142"/>
  <c r="C200" i="142"/>
  <c r="C171" i="142"/>
  <c r="C299" i="142"/>
  <c r="C281" i="142"/>
  <c r="C202" i="142"/>
  <c r="C43" i="142"/>
  <c r="C85" i="142"/>
  <c r="C261" i="142"/>
  <c r="C60" i="142"/>
  <c r="C101" i="142"/>
  <c r="C54" i="142"/>
  <c r="C98" i="142"/>
  <c r="C84" i="142"/>
  <c r="C189" i="142"/>
  <c r="C133" i="142"/>
  <c r="C173" i="142"/>
  <c r="C118" i="142"/>
  <c r="C45" i="142"/>
  <c r="C40" i="142"/>
  <c r="C186" i="142"/>
  <c r="C211" i="142"/>
  <c r="C59" i="142"/>
  <c r="C29" i="142"/>
  <c r="C294" i="142"/>
  <c r="C159" i="142"/>
  <c r="C187" i="142"/>
  <c r="C273" i="142"/>
  <c r="C296" i="142"/>
  <c r="C81" i="142"/>
  <c r="C6" i="142"/>
  <c r="C74" i="142"/>
  <c r="C139" i="142"/>
  <c r="C114" i="142"/>
  <c r="C129" i="142"/>
  <c r="C252" i="142"/>
  <c r="C123" i="142"/>
  <c r="C37" i="142"/>
  <c r="C166" i="142"/>
  <c r="C225" i="142"/>
  <c r="C137" i="142"/>
  <c r="C150" i="142"/>
  <c r="C295" i="142"/>
  <c r="C178" i="142"/>
  <c r="C87" i="142"/>
  <c r="C228" i="142"/>
  <c r="C239" i="142"/>
  <c r="C77" i="142"/>
  <c r="C93" i="142"/>
  <c r="C34" i="142"/>
  <c r="C107" i="142"/>
  <c r="C175" i="142"/>
  <c r="C23" i="142"/>
  <c r="C64" i="142"/>
  <c r="C196" i="142"/>
  <c r="C21" i="142"/>
  <c r="C236" i="142"/>
  <c r="C153" i="142"/>
  <c r="C157" i="142"/>
  <c r="C106" i="142"/>
  <c r="C267" i="142"/>
  <c r="C253" i="142"/>
  <c r="C94" i="142"/>
  <c r="C26" i="142"/>
  <c r="C19" i="142"/>
  <c r="C80" i="142"/>
  <c r="C48" i="142"/>
  <c r="C248" i="142"/>
  <c r="C224" i="142"/>
  <c r="C14" i="142"/>
  <c r="C38" i="142"/>
  <c r="C109" i="142"/>
  <c r="C286" i="142"/>
  <c r="C75" i="142"/>
  <c r="C285" i="142"/>
  <c r="C237" i="142"/>
  <c r="C279" i="142"/>
  <c r="C15" i="142"/>
  <c r="C182" i="142"/>
  <c r="C62" i="142"/>
  <c r="C53" i="142"/>
  <c r="C184" i="142"/>
  <c r="C232" i="142"/>
  <c r="C188" i="142"/>
  <c r="C174" i="142"/>
  <c r="C168" i="142"/>
  <c r="C11" i="142"/>
  <c r="C72" i="142"/>
  <c r="C180" i="142"/>
  <c r="C260" i="142"/>
  <c r="C112" i="142"/>
  <c r="C149" i="142"/>
  <c r="C50" i="142"/>
  <c r="C42" i="142"/>
  <c r="C131" i="142"/>
  <c r="C95" i="142"/>
  <c r="C161" i="142"/>
  <c r="C233" i="142"/>
  <c r="C241" i="142"/>
  <c r="C251" i="142"/>
  <c r="C214" i="142"/>
  <c r="C265" i="142"/>
  <c r="C160" i="142"/>
  <c r="C262" i="142"/>
  <c r="C22" i="142"/>
  <c r="C192" i="142"/>
  <c r="C272" i="142"/>
  <c r="C257" i="142"/>
  <c r="C117" i="142"/>
  <c r="C282" i="142"/>
  <c r="C152" i="142"/>
  <c r="C268" i="142"/>
  <c r="C209" i="142"/>
  <c r="C16" i="142"/>
  <c r="C46" i="142"/>
  <c r="C256" i="142"/>
  <c r="C145" i="142"/>
  <c r="C206" i="142"/>
  <c r="C243" i="142"/>
  <c r="C79" i="142"/>
  <c r="C39" i="142"/>
  <c r="C144" i="142"/>
  <c r="C201" i="142"/>
  <c r="C208" i="142"/>
  <c r="C194" i="142"/>
  <c r="C154" i="142"/>
  <c r="C143" i="142"/>
  <c r="C78" i="142"/>
  <c r="C73" i="142"/>
  <c r="C105" i="142"/>
  <c r="C66" i="142"/>
  <c r="C212" i="142"/>
  <c r="C190" i="142"/>
  <c r="C63" i="142"/>
  <c r="C219" i="142"/>
  <c r="C167" i="142"/>
  <c r="C245" i="142"/>
  <c r="C195" i="142"/>
  <c r="C148" i="142"/>
  <c r="C181" i="142"/>
  <c r="C134" i="142"/>
  <c r="C108" i="142"/>
  <c r="C47" i="142"/>
  <c r="C142" i="142"/>
  <c r="C300" i="142"/>
  <c r="C169" i="142"/>
  <c r="C277" i="142"/>
  <c r="C203" i="142"/>
  <c r="C170" i="142"/>
  <c r="C27" i="142"/>
  <c r="C288" i="142"/>
  <c r="C41" i="142"/>
  <c r="C82" i="142"/>
  <c r="C218" i="142"/>
  <c r="C227" i="142"/>
  <c r="C3" i="142"/>
  <c r="C61" i="142"/>
  <c r="C83" i="142"/>
  <c r="C230" i="142"/>
  <c r="C69" i="142"/>
  <c r="C216" i="142"/>
  <c r="C226" i="142"/>
  <c r="C52" i="142"/>
  <c r="C156" i="142"/>
  <c r="C9" i="142"/>
  <c r="C90" i="142"/>
  <c r="C164" i="142"/>
  <c r="C32" i="142"/>
  <c r="C130" i="142"/>
  <c r="C68" i="142"/>
  <c r="C193" i="142"/>
  <c r="C49" i="142"/>
  <c r="C297" i="142"/>
  <c r="C215" i="142"/>
  <c r="C246" i="142"/>
  <c r="C221" i="142"/>
  <c r="C258" i="142"/>
  <c r="C110" i="142"/>
  <c r="C163" i="142"/>
  <c r="C162" i="142"/>
  <c r="C172" i="142"/>
  <c r="C264" i="142"/>
  <c r="C185" i="142"/>
  <c r="C141" i="142"/>
  <c r="C280" i="142"/>
  <c r="C35" i="142"/>
  <c r="C213" i="142"/>
  <c r="C58" i="142"/>
  <c r="C270" i="142"/>
  <c r="C207" i="142"/>
  <c r="C17" i="142"/>
  <c r="C151" i="142"/>
  <c r="C146" i="142"/>
  <c r="C76" i="142"/>
  <c r="C70" i="142"/>
  <c r="C191" i="142"/>
  <c r="C278" i="142"/>
  <c r="C55" i="142"/>
  <c r="C292" i="142"/>
  <c r="C205" i="142"/>
  <c r="C128" i="142"/>
  <c r="C177" i="142"/>
  <c r="C275" i="142"/>
  <c r="C165" i="142"/>
  <c r="C255" i="142"/>
  <c r="C124" i="142"/>
  <c r="C36" i="142"/>
  <c r="C284" i="142"/>
  <c r="C290" i="142"/>
  <c r="C229" i="142"/>
  <c r="C120" i="142"/>
  <c r="C89" i="142"/>
  <c r="C97" i="142"/>
  <c r="C24" i="142"/>
  <c r="C127" i="142"/>
  <c r="C199" i="142"/>
  <c r="C13" i="142"/>
  <c r="C126" i="142"/>
  <c r="C102" i="142"/>
  <c r="C289" i="142"/>
  <c r="C247" i="142"/>
  <c r="C158" i="142"/>
  <c r="C99" i="142"/>
  <c r="C7" i="142"/>
  <c r="C115" i="142"/>
  <c r="C30" i="142"/>
  <c r="C125" i="142"/>
  <c r="C140" i="142"/>
  <c r="C179" i="142"/>
  <c r="C231" i="142"/>
  <c r="C135" i="142"/>
  <c r="C271" i="142"/>
  <c r="C20" i="142"/>
  <c r="C51" i="142"/>
  <c r="C235" i="142"/>
  <c r="C298" i="142"/>
  <c r="C217" i="142"/>
  <c r="C222" i="142"/>
  <c r="C28" i="142"/>
  <c r="C244" i="142"/>
  <c r="C254" i="142"/>
  <c r="C92" i="142"/>
  <c r="C242" i="142"/>
  <c r="C249" i="142"/>
  <c r="C71" i="142"/>
  <c r="C104" i="142"/>
  <c r="C122" i="142"/>
  <c r="D6" i="142" l="1"/>
  <c r="D184" i="142"/>
  <c r="D300" i="142"/>
  <c r="D141" i="142"/>
  <c r="D43" i="142"/>
  <c r="D160" i="142"/>
  <c r="D186" i="142"/>
  <c r="D149" i="142"/>
  <c r="D230" i="142"/>
  <c r="D88" i="142"/>
  <c r="D140" i="142"/>
  <c r="D166" i="142"/>
  <c r="D127" i="142"/>
  <c r="D48" i="142"/>
  <c r="D174" i="142"/>
  <c r="D224" i="142"/>
  <c r="D53" i="142"/>
  <c r="D151" i="142"/>
  <c r="D73" i="142"/>
  <c r="D276" i="142"/>
  <c r="D51" i="142"/>
  <c r="D77" i="142"/>
  <c r="D117" i="142"/>
  <c r="D204" i="142"/>
  <c r="D258" i="142"/>
  <c r="D138" i="142"/>
  <c r="D158" i="142"/>
  <c r="D25" i="142"/>
  <c r="D214" i="142"/>
  <c r="D47" i="142"/>
  <c r="D109" i="142"/>
  <c r="D273" i="142"/>
  <c r="D41" i="142"/>
  <c r="D275" i="142"/>
  <c r="D221" i="142"/>
  <c r="D270" i="142"/>
  <c r="D78" i="142"/>
  <c r="D49" i="142"/>
  <c r="D46" i="142"/>
  <c r="D222" i="142"/>
  <c r="D171" i="142"/>
  <c r="D82" i="142"/>
  <c r="D210" i="142"/>
  <c r="D135" i="142"/>
  <c r="D255" i="142"/>
  <c r="D245" i="142"/>
  <c r="D256" i="142"/>
  <c r="D234" i="142"/>
  <c r="D85" i="142"/>
  <c r="D18" i="142"/>
  <c r="D13" i="142"/>
  <c r="D111" i="142"/>
  <c r="D208" i="142"/>
  <c r="D154" i="142"/>
  <c r="D50" i="142"/>
  <c r="D279" i="142"/>
  <c r="D10" i="142"/>
  <c r="D155" i="142"/>
  <c r="D272" i="142"/>
  <c r="D58" i="142"/>
  <c r="D191" i="142"/>
  <c r="D81" i="142"/>
  <c r="D283" i="142"/>
  <c r="D35" i="142"/>
  <c r="D16" i="142"/>
  <c r="D228" i="142"/>
  <c r="D40" i="142"/>
  <c r="D172" i="142"/>
  <c r="D252" i="142"/>
  <c r="D30" i="142"/>
  <c r="D26" i="142"/>
  <c r="D190" i="142"/>
  <c r="D282" i="142"/>
  <c r="D142" i="142"/>
  <c r="D28" i="142"/>
  <c r="D148" i="142"/>
  <c r="D217" i="142"/>
  <c r="D55" i="142"/>
  <c r="D139" i="142"/>
  <c r="D175" i="142"/>
  <c r="D284" i="142"/>
  <c r="D94" i="142"/>
  <c r="D235" i="142"/>
  <c r="D218" i="142"/>
  <c r="D202" i="142"/>
  <c r="D220" i="142"/>
  <c r="D248" i="142"/>
  <c r="D90" i="142"/>
  <c r="D162" i="142"/>
  <c r="D45" i="142"/>
  <c r="D37" i="142"/>
  <c r="D281" i="142"/>
  <c r="D150" i="142"/>
  <c r="D22" i="142"/>
  <c r="D259" i="142"/>
  <c r="D112" i="142"/>
  <c r="D106" i="142"/>
  <c r="D195" i="142"/>
  <c r="D177" i="142"/>
  <c r="D52" i="142"/>
  <c r="D80" i="142"/>
  <c r="D97" i="142"/>
  <c r="D233" i="142"/>
  <c r="D227" i="142"/>
  <c r="D20" i="142"/>
  <c r="D9" i="142"/>
  <c r="D262" i="142"/>
  <c r="D203" i="142"/>
  <c r="D153" i="142"/>
  <c r="D98" i="142"/>
  <c r="D274" i="142"/>
  <c r="D286" i="142"/>
  <c r="D38" i="142"/>
  <c r="D260" i="142"/>
  <c r="D156" i="142"/>
  <c r="D12" i="142"/>
  <c r="D4" i="142"/>
  <c r="D168" i="142"/>
  <c r="D178" i="142"/>
  <c r="D96" i="142"/>
  <c r="D206" i="142"/>
  <c r="D39" i="142"/>
  <c r="D134" i="142"/>
  <c r="D265" i="142"/>
  <c r="D33" i="142"/>
  <c r="D173" i="142"/>
  <c r="D182" i="142"/>
  <c r="D216" i="142"/>
  <c r="D229" i="142"/>
  <c r="D285" i="142"/>
  <c r="D110" i="142"/>
  <c r="D17" i="142"/>
  <c r="D257" i="142"/>
  <c r="D159" i="142"/>
  <c r="D225" i="142"/>
  <c r="D278" i="142"/>
  <c r="D83" i="142"/>
  <c r="D199" i="142"/>
  <c r="D247" i="142"/>
  <c r="D295" i="142"/>
  <c r="D269" i="142"/>
  <c r="D157" i="142"/>
  <c r="D79" i="142"/>
  <c r="D129" i="142"/>
  <c r="D91" i="142"/>
  <c r="D64" i="142"/>
  <c r="D169" i="142"/>
  <c r="D92" i="142"/>
  <c r="D2" i="142"/>
  <c r="D238" i="142"/>
  <c r="D59" i="142"/>
  <c r="D301" i="142"/>
  <c r="D103" i="142"/>
  <c r="D130" i="142"/>
  <c r="D232" i="142"/>
  <c r="D84" i="142"/>
  <c r="D137" i="142"/>
  <c r="D119" i="142"/>
  <c r="D211" i="142"/>
  <c r="D193" i="142"/>
  <c r="D113" i="142"/>
  <c r="D71" i="142"/>
  <c r="D194" i="142"/>
  <c r="D189" i="142"/>
  <c r="D128" i="142"/>
  <c r="D197" i="142"/>
  <c r="D114" i="142"/>
  <c r="D42" i="142"/>
  <c r="D62" i="142"/>
  <c r="D56" i="142"/>
  <c r="D99" i="142"/>
  <c r="D29" i="142"/>
  <c r="D5" i="142"/>
  <c r="D32" i="142"/>
  <c r="D21" i="142"/>
  <c r="D271" i="142"/>
  <c r="D187" i="142"/>
  <c r="D68" i="142"/>
  <c r="D163" i="142"/>
  <c r="D123" i="142"/>
  <c r="D57" i="142"/>
  <c r="D95" i="142"/>
  <c r="D261" i="142"/>
  <c r="D212" i="142"/>
  <c r="D179" i="142"/>
  <c r="D67" i="142"/>
  <c r="D291" i="142"/>
  <c r="D87" i="142"/>
  <c r="D93" i="142"/>
  <c r="D115" i="142"/>
  <c r="D223" i="142"/>
  <c r="D290" i="142"/>
  <c r="D181" i="142"/>
  <c r="D105" i="142"/>
  <c r="D298" i="142"/>
  <c r="D200" i="142"/>
  <c r="D164" i="142"/>
  <c r="D213" i="142"/>
  <c r="D287" i="142"/>
  <c r="D215" i="142"/>
  <c r="D86" i="142"/>
  <c r="D250" i="142"/>
  <c r="D31" i="142"/>
  <c r="D167" i="142"/>
  <c r="D296" i="142"/>
  <c r="D131" i="142"/>
  <c r="D294" i="142"/>
  <c r="D100" i="142"/>
  <c r="D118" i="142"/>
  <c r="D15" i="142"/>
  <c r="D219" i="142"/>
  <c r="D243" i="142"/>
  <c r="D198" i="142"/>
  <c r="D254" i="142"/>
  <c r="D125" i="142"/>
  <c r="D108" i="142"/>
  <c r="D293" i="142"/>
  <c r="D72" i="142"/>
  <c r="D44" i="142"/>
  <c r="D121" i="142"/>
  <c r="D102" i="142"/>
  <c r="D299" i="142"/>
  <c r="D226" i="142"/>
  <c r="D61" i="142"/>
  <c r="D170" i="142"/>
  <c r="D3" i="142"/>
  <c r="D277" i="142"/>
  <c r="D136" i="142"/>
  <c r="D133" i="142"/>
  <c r="D60" i="142"/>
  <c r="D36" i="142"/>
  <c r="D236" i="142"/>
  <c r="D242" i="142"/>
  <c r="D143" i="142"/>
  <c r="D19" i="142"/>
  <c r="D185" i="142"/>
  <c r="D14" i="142"/>
  <c r="D207" i="142"/>
  <c r="D253" i="142"/>
  <c r="D237" i="142"/>
  <c r="D201" i="142"/>
  <c r="D240" i="142"/>
  <c r="D249" i="142"/>
  <c r="D145" i="142"/>
  <c r="D124" i="142"/>
  <c r="D267" i="142"/>
  <c r="D70" i="142"/>
  <c r="D132" i="142"/>
  <c r="D196" i="142"/>
  <c r="D263" i="142"/>
  <c r="D63" i="142"/>
  <c r="D239" i="142"/>
  <c r="D292" i="142"/>
  <c r="D89" i="142"/>
  <c r="D122" i="142"/>
  <c r="D188" i="142"/>
  <c r="D231" i="142"/>
  <c r="D297" i="142"/>
  <c r="D288" i="142"/>
  <c r="D34" i="142"/>
  <c r="D11" i="142"/>
  <c r="D161" i="142"/>
  <c r="D205" i="142"/>
  <c r="D144" i="142"/>
  <c r="D176" i="142"/>
  <c r="D54" i="142"/>
  <c r="D209" i="142"/>
  <c r="D101" i="142"/>
  <c r="D192" i="142"/>
  <c r="D180" i="142"/>
  <c r="D147" i="142"/>
  <c r="D27" i="142"/>
  <c r="D241" i="142"/>
  <c r="D24" i="142"/>
  <c r="D69" i="142"/>
  <c r="D289" i="142"/>
  <c r="D152" i="142"/>
  <c r="D264" i="142"/>
  <c r="D116" i="142"/>
  <c r="D7" i="142"/>
  <c r="D266" i="142"/>
  <c r="D74" i="142"/>
  <c r="D244" i="142"/>
  <c r="D251" i="142"/>
  <c r="D8" i="142"/>
  <c r="D183" i="142"/>
  <c r="D120" i="142"/>
  <c r="D126" i="142"/>
  <c r="D65" i="142"/>
  <c r="D104" i="142"/>
  <c r="D75" i="142"/>
  <c r="D246" i="142"/>
  <c r="D280" i="142"/>
  <c r="D268" i="142"/>
  <c r="D76" i="142"/>
  <c r="D66" i="142"/>
  <c r="D23" i="142"/>
  <c r="D165" i="142"/>
  <c r="D146" i="142"/>
  <c r="D107" i="142"/>
  <c r="E24" i="176" l="1"/>
  <c r="L19" i="149" l="1"/>
  <c r="L12" i="177"/>
  <c r="L14" i="177" s="1"/>
  <c r="A3" i="177" l="1"/>
  <c r="C11" i="177" l="1"/>
  <c r="C11" i="149"/>
  <c r="E83" i="176" l="1"/>
  <c r="E84" i="176" l="1"/>
  <c r="E85" i="176" l="1"/>
  <c r="E87" i="176" l="1"/>
  <c r="E86" i="176" l="1"/>
  <c r="E88" i="176" l="1"/>
  <c r="E89" i="176" l="1"/>
  <c r="B4" i="180" l="1"/>
  <c r="E91" i="176" l="1"/>
  <c r="E93" i="176" l="1"/>
  <c r="E94" i="176" l="1"/>
  <c r="E95" i="176" l="1"/>
  <c r="E96" i="176" l="1"/>
  <c r="E97" i="176" l="1"/>
  <c r="E98" i="176" l="1"/>
  <c r="E99" i="176" l="1"/>
  <c r="E101" i="176" l="1"/>
  <c r="E100" i="176" l="1"/>
  <c r="E102" i="176" l="1"/>
  <c r="E103" i="176" l="1"/>
  <c r="G29" i="149" l="1"/>
  <c r="H29" i="149" s="1"/>
  <c r="B5" i="180"/>
  <c r="E104" i="176"/>
  <c r="B7" i="180" l="1"/>
  <c r="B6" i="180" s="1"/>
  <c r="G18" i="149"/>
  <c r="H18" i="149" s="1"/>
  <c r="G16" i="149"/>
  <c r="G20" i="149"/>
  <c r="H20" i="149" s="1"/>
  <c r="G28" i="149"/>
  <c r="H28" i="149" s="1"/>
  <c r="G19" i="149"/>
  <c r="H19" i="149" s="1"/>
  <c r="G17" i="149"/>
  <c r="E106" i="176"/>
  <c r="G48" i="149"/>
  <c r="D59" i="149" s="1"/>
  <c r="H17" i="149" l="1"/>
  <c r="F40" i="149"/>
  <c r="H40" i="149" s="1"/>
  <c r="H16" i="149"/>
  <c r="F39" i="149"/>
  <c r="H39" i="149" s="1"/>
  <c r="F38" i="149"/>
  <c r="H36" i="149"/>
  <c r="H48" i="149"/>
  <c r="H51" i="149" s="1"/>
  <c r="E59" i="149" s="1"/>
  <c r="G51" i="149"/>
  <c r="E105" i="176"/>
  <c r="H38" i="149" l="1"/>
  <c r="F42" i="149"/>
  <c r="D58" i="149" s="1"/>
  <c r="G58" i="149" s="1"/>
  <c r="G59" i="149"/>
  <c r="H42" i="149" l="1"/>
  <c r="H59" i="149"/>
  <c r="I59" i="149"/>
  <c r="C122" i="176" l="1"/>
  <c r="A58" i="149"/>
  <c r="I58" i="149" l="1"/>
  <c r="H58" i="149"/>
  <c r="E108" i="176" l="1"/>
  <c r="E107" i="176"/>
  <c r="E109" i="176" l="1"/>
  <c r="E110" i="176" l="1"/>
  <c r="E112" i="176" l="1"/>
  <c r="E111" i="176"/>
  <c r="E113" i="176" l="1"/>
  <c r="E114" i="176" l="1"/>
  <c r="E115" i="176" l="1"/>
  <c r="E117" i="176" l="1"/>
  <c r="E116" i="176"/>
  <c r="E118" i="176" l="1"/>
  <c r="E119" i="176" l="1"/>
  <c r="E120" i="176" l="1"/>
  <c r="E121" i="176" l="1"/>
  <c r="YA6" i="178" l="1"/>
  <c r="YA5" i="178"/>
  <c r="YQ3" i="178"/>
  <c r="YR3" i="178" l="1"/>
  <c r="YU3" i="178" s="1"/>
  <c r="XQ7" i="178"/>
  <c r="XT6" i="178"/>
  <c r="XU6" i="178" s="1"/>
  <c r="YB5" i="178"/>
  <c r="YW3" i="178" l="1"/>
  <c r="YU10" i="178" s="1"/>
  <c r="ZO7" i="178"/>
  <c r="ZO11" i="178"/>
  <c r="ZO9" i="178"/>
  <c r="ZO8" i="178"/>
  <c r="ZO12" i="178"/>
  <c r="ZO6" i="178"/>
  <c r="ZO10" i="178"/>
  <c r="YC5" i="178"/>
  <c r="XX6" i="178"/>
  <c r="XY6" i="178" s="1"/>
  <c r="X3" i="179" s="1"/>
  <c r="XS7" i="178"/>
  <c r="XT7" i="178" s="1"/>
  <c r="XU7" i="178" s="1"/>
  <c r="YU7" i="178" l="1"/>
  <c r="YW7" i="178" s="1"/>
  <c r="YX7" i="178" s="1"/>
  <c r="YX3" i="178"/>
  <c r="YY3" i="178" s="1"/>
  <c r="YV3" i="178"/>
  <c r="YU4" i="178" s="1"/>
  <c r="AAA12" i="178"/>
  <c r="AAA9" i="178"/>
  <c r="AAA11" i="178"/>
  <c r="XY7" i="178"/>
  <c r="AD3" i="179" s="1"/>
  <c r="AAA6" i="178"/>
  <c r="AAA10" i="178"/>
  <c r="AAA7" i="178"/>
  <c r="AAA8" i="178"/>
  <c r="YW10" i="178"/>
  <c r="YU17" i="178" s="1"/>
  <c r="ZC5" i="178"/>
  <c r="YA8" i="178"/>
  <c r="YA7" i="178"/>
  <c r="ZC3" i="178"/>
  <c r="YU8" i="178" l="1"/>
  <c r="YW8" i="178" s="1"/>
  <c r="YX8" i="178" s="1"/>
  <c r="YZ3" i="178"/>
  <c r="ZD3" i="178"/>
  <c r="ZG3" i="178" s="1"/>
  <c r="YB7" i="178"/>
  <c r="YC7" i="178" s="1"/>
  <c r="YX10" i="178"/>
  <c r="YV10" i="178"/>
  <c r="YU14" i="178"/>
  <c r="YW14" i="178" s="1"/>
  <c r="YW4" i="178"/>
  <c r="YY8" i="178" l="1"/>
  <c r="M3" i="179"/>
  <c r="YY7" i="178"/>
  <c r="ZI3" i="178"/>
  <c r="ZH3" i="178" s="1"/>
  <c r="YY10" i="178"/>
  <c r="YZ10" i="178"/>
  <c r="YX4" i="178"/>
  <c r="YY4" i="178" s="1"/>
  <c r="YZ4" i="178" s="1"/>
  <c r="O3" i="179" s="1"/>
  <c r="YU5" i="178"/>
  <c r="YW17" i="178"/>
  <c r="YX14" i="178"/>
  <c r="YU15" i="178"/>
  <c r="YW15" i="178" s="1"/>
  <c r="YX15" i="178" s="1"/>
  <c r="YU11" i="178"/>
  <c r="ZA3" i="178" l="1"/>
  <c r="Q3" i="179" s="1"/>
  <c r="YY9" i="178"/>
  <c r="ZG10" i="178"/>
  <c r="ZI10" i="178" s="1"/>
  <c r="ZG7" i="178"/>
  <c r="ZI7" i="178" s="1"/>
  <c r="ZG8" i="178" s="1"/>
  <c r="ZI8" i="178" s="1"/>
  <c r="ZJ8" i="178" s="1"/>
  <c r="ZJ3" i="178"/>
  <c r="ZL3" i="178" s="1"/>
  <c r="YW5" i="178"/>
  <c r="YW6" i="178" s="1"/>
  <c r="YV6" i="178" s="1"/>
  <c r="YY5" i="178"/>
  <c r="YZ5" i="178" s="1"/>
  <c r="P3" i="179" s="1"/>
  <c r="YW11" i="178"/>
  <c r="M4" i="179"/>
  <c r="YY15" i="178"/>
  <c r="YY14" i="178"/>
  <c r="YX17" i="178"/>
  <c r="YV17" i="178"/>
  <c r="YU21" i="178"/>
  <c r="YW21" i="178" s="1"/>
  <c r="YU24" i="178"/>
  <c r="ZO5" i="178"/>
  <c r="YA10" i="178"/>
  <c r="YA9" i="178"/>
  <c r="ZO3" i="178"/>
  <c r="ZG4" i="178"/>
  <c r="YZ9" i="178" l="1"/>
  <c r="N3" i="179" s="1"/>
  <c r="ZJ7" i="178"/>
  <c r="ZK7" i="178" s="1"/>
  <c r="ZK3" i="178"/>
  <c r="ZP3" i="178"/>
  <c r="ZS3" i="178" s="1"/>
  <c r="ZA4" i="178"/>
  <c r="Q4" i="179" s="1"/>
  <c r="YB9" i="178"/>
  <c r="YC9" i="178" s="1"/>
  <c r="YY16" i="178"/>
  <c r="ZK8" i="178"/>
  <c r="S3" i="179"/>
  <c r="YX21" i="178"/>
  <c r="YU22" i="178"/>
  <c r="YW22" i="178" s="1"/>
  <c r="YX22" i="178" s="1"/>
  <c r="YX11" i="178"/>
  <c r="YY11" i="178" s="1"/>
  <c r="YZ11" i="178" s="1"/>
  <c r="O4" i="179" s="1"/>
  <c r="YU12" i="178"/>
  <c r="YZ19" i="178"/>
  <c r="P5" i="179" s="1"/>
  <c r="YU18" i="178"/>
  <c r="YZ18" i="178"/>
  <c r="O5" i="179" s="1"/>
  <c r="YW24" i="178"/>
  <c r="ZI4" i="178"/>
  <c r="YY17" i="178"/>
  <c r="YZ17" i="178"/>
  <c r="ZJ10" i="178"/>
  <c r="ZH10" i="178"/>
  <c r="ZG14" i="178"/>
  <c r="ZI14" i="178" s="1"/>
  <c r="ZG17" i="178"/>
  <c r="ZM3" i="178" l="1"/>
  <c r="W3" i="179" s="1"/>
  <c r="ZG11" i="178"/>
  <c r="ZI17" i="178"/>
  <c r="YA12" i="178"/>
  <c r="AAA5" i="178"/>
  <c r="AAA3" i="178"/>
  <c r="YA11" i="178"/>
  <c r="YY22" i="178"/>
  <c r="M5" i="179"/>
  <c r="YY21" i="178"/>
  <c r="YW12" i="178"/>
  <c r="YW13" i="178" s="1"/>
  <c r="YV13" i="178" s="1"/>
  <c r="YZ16" i="178" s="1"/>
  <c r="N4" i="179" s="1"/>
  <c r="YY12" i="178"/>
  <c r="YZ12" i="178" s="1"/>
  <c r="P4" i="179" s="1"/>
  <c r="ZK10" i="178"/>
  <c r="ZL10" i="178"/>
  <c r="YW18" i="178"/>
  <c r="YX24" i="178"/>
  <c r="YV24" i="178"/>
  <c r="YU31" i="178"/>
  <c r="YU28" i="178"/>
  <c r="YW28" i="178" s="1"/>
  <c r="ZJ14" i="178"/>
  <c r="ZG15" i="178"/>
  <c r="ZI15" i="178" s="1"/>
  <c r="ZJ15" i="178" s="1"/>
  <c r="ZJ4" i="178"/>
  <c r="ZK4" i="178" s="1"/>
  <c r="ZL4" i="178" s="1"/>
  <c r="U3" i="179" s="1"/>
  <c r="ZG5" i="178"/>
  <c r="ZU3" i="178"/>
  <c r="ZK9" i="178"/>
  <c r="AAB3" i="178" l="1"/>
  <c r="AAE3" i="178" s="1"/>
  <c r="YB11" i="178"/>
  <c r="YC11" i="178" s="1"/>
  <c r="ZA5" i="178"/>
  <c r="Q5" i="179" s="1"/>
  <c r="ZV3" i="178"/>
  <c r="ZT3" i="178"/>
  <c r="ZS10" i="178"/>
  <c r="ZS7" i="178"/>
  <c r="ZU7" i="178" s="1"/>
  <c r="YX18" i="178"/>
  <c r="YY18" i="178" s="1"/>
  <c r="YU19" i="178"/>
  <c r="ZI11" i="178"/>
  <c r="ZI5" i="178"/>
  <c r="ZI6" i="178" s="1"/>
  <c r="ZH6" i="178" s="1"/>
  <c r="ZL9" i="178" s="1"/>
  <c r="T3" i="179" s="1"/>
  <c r="ZK5" i="178"/>
  <c r="ZL5" i="178" s="1"/>
  <c r="V3" i="179" s="1"/>
  <c r="YW31" i="178"/>
  <c r="YU25" i="178"/>
  <c r="YZ26" i="178"/>
  <c r="P6" i="179" s="1"/>
  <c r="YZ25" i="178"/>
  <c r="O6" i="179" s="1"/>
  <c r="S4" i="179"/>
  <c r="ZK14" i="178"/>
  <c r="ZK15" i="178"/>
  <c r="YX28" i="178"/>
  <c r="YU29" i="178"/>
  <c r="YW29" i="178" s="1"/>
  <c r="YX29" i="178" s="1"/>
  <c r="YZ24" i="178"/>
  <c r="YY24" i="178"/>
  <c r="YY23" i="178"/>
  <c r="ZJ17" i="178"/>
  <c r="ZH17" i="178"/>
  <c r="ZG21" i="178"/>
  <c r="ZI21" i="178" s="1"/>
  <c r="ZG24" i="178"/>
  <c r="ZM4" i="178" l="1"/>
  <c r="W4" i="179" s="1"/>
  <c r="ZK16" i="178"/>
  <c r="AAG3" i="178"/>
  <c r="AAH3" i="178" s="1"/>
  <c r="ZJ21" i="178"/>
  <c r="ZG22" i="178"/>
  <c r="ZI22" i="178" s="1"/>
  <c r="ZJ22" i="178" s="1"/>
  <c r="YW25" i="178"/>
  <c r="ZV7" i="178"/>
  <c r="ZS8" i="178"/>
  <c r="ZU8" i="178" s="1"/>
  <c r="ZV8" i="178" s="1"/>
  <c r="ZG18" i="178"/>
  <c r="YX31" i="178"/>
  <c r="YV31" i="178"/>
  <c r="YU35" i="178"/>
  <c r="YW35" i="178" s="1"/>
  <c r="YU38" i="178"/>
  <c r="ZU10" i="178"/>
  <c r="YW19" i="178"/>
  <c r="YW20" i="178" s="1"/>
  <c r="YV20" i="178" s="1"/>
  <c r="YZ23" i="178" s="1"/>
  <c r="N5" i="179" s="1"/>
  <c r="YY19" i="178"/>
  <c r="ZS4" i="178"/>
  <c r="ZK17" i="178"/>
  <c r="ZL17" i="178"/>
  <c r="ZI24" i="178"/>
  <c r="YY29" i="178"/>
  <c r="M6" i="179"/>
  <c r="YY28" i="178"/>
  <c r="ZJ11" i="178"/>
  <c r="ZK11" i="178" s="1"/>
  <c r="ZL11" i="178" s="1"/>
  <c r="U4" i="179" s="1"/>
  <c r="ZG12" i="178"/>
  <c r="ZW3" i="178"/>
  <c r="ZX3" i="178"/>
  <c r="ZA6" i="178" l="1"/>
  <c r="Q6" i="179" s="1"/>
  <c r="YY30" i="178"/>
  <c r="AAE10" i="178"/>
  <c r="AAG10" i="178" s="1"/>
  <c r="AAF3" i="178"/>
  <c r="AAE4" i="178" s="1"/>
  <c r="AAE7" i="178"/>
  <c r="AAG7" i="178" s="1"/>
  <c r="AAE8" i="178" s="1"/>
  <c r="AAG8" i="178" s="1"/>
  <c r="AAH8" i="178" s="1"/>
  <c r="ZH24" i="178"/>
  <c r="ZJ24" i="178"/>
  <c r="ZG28" i="178"/>
  <c r="ZI28" i="178" s="1"/>
  <c r="ZG31" i="178"/>
  <c r="ZK22" i="178"/>
  <c r="S5" i="179"/>
  <c r="ZK21" i="178"/>
  <c r="YX35" i="178"/>
  <c r="YU36" i="178"/>
  <c r="YW36" i="178" s="1"/>
  <c r="YX36" i="178" s="1"/>
  <c r="ZI18" i="178"/>
  <c r="YX25" i="178"/>
  <c r="YY25" i="178" s="1"/>
  <c r="YU26" i="178"/>
  <c r="ZW7" i="178"/>
  <c r="Y3" i="179"/>
  <c r="ZW8" i="178"/>
  <c r="YU32" i="178"/>
  <c r="ZI12" i="178"/>
  <c r="ZI13" i="178" s="1"/>
  <c r="ZH13" i="178" s="1"/>
  <c r="ZL16" i="178" s="1"/>
  <c r="T4" i="179" s="1"/>
  <c r="ZK12" i="178"/>
  <c r="ZL12" i="178" s="1"/>
  <c r="V4" i="179" s="1"/>
  <c r="AAI3" i="178"/>
  <c r="AAJ3" i="178"/>
  <c r="YY31" i="178"/>
  <c r="YZ31" i="178"/>
  <c r="ZU4" i="178"/>
  <c r="ZV10" i="178"/>
  <c r="ZT10" i="178"/>
  <c r="ZS14" i="178"/>
  <c r="ZU14" i="178" s="1"/>
  <c r="ZS17" i="178"/>
  <c r="YW38" i="178"/>
  <c r="ZY3" i="178" l="1"/>
  <c r="AC3" i="179" s="1"/>
  <c r="ZM5" i="178"/>
  <c r="W5" i="179" s="1"/>
  <c r="ZK23" i="178"/>
  <c r="AAH7" i="178"/>
  <c r="AAI7" i="178" s="1"/>
  <c r="ZJ18" i="178"/>
  <c r="ZK18" i="178" s="1"/>
  <c r="ZL18" i="178" s="1"/>
  <c r="U5" i="179" s="1"/>
  <c r="ZG19" i="178"/>
  <c r="ZI31" i="178"/>
  <c r="ZS11" i="178"/>
  <c r="ZW10" i="178"/>
  <c r="ZX10" i="178"/>
  <c r="AAI8" i="178"/>
  <c r="AE3" i="179"/>
  <c r="ZW9" i="178"/>
  <c r="ZJ28" i="178"/>
  <c r="ZG29" i="178"/>
  <c r="ZI29" i="178" s="1"/>
  <c r="ZJ29" i="178" s="1"/>
  <c r="ZU17" i="178"/>
  <c r="AAG4" i="178"/>
  <c r="AAH10" i="178"/>
  <c r="AAF10" i="178"/>
  <c r="AAE14" i="178"/>
  <c r="AAG14" i="178" s="1"/>
  <c r="AAE17" i="178"/>
  <c r="YW26" i="178"/>
  <c r="YW27" i="178" s="1"/>
  <c r="YV27" i="178" s="1"/>
  <c r="YZ30" i="178" s="1"/>
  <c r="N6" i="179" s="1"/>
  <c r="YY26" i="178"/>
  <c r="ZK24" i="178"/>
  <c r="ZL24" i="178"/>
  <c r="YX38" i="178"/>
  <c r="YV38" i="178"/>
  <c r="YU42" i="178"/>
  <c r="YW42" i="178" s="1"/>
  <c r="YU45" i="178"/>
  <c r="ZV14" i="178"/>
  <c r="ZS15" i="178"/>
  <c r="ZU15" i="178" s="1"/>
  <c r="ZV15" i="178" s="1"/>
  <c r="ZV4" i="178"/>
  <c r="ZW4" i="178" s="1"/>
  <c r="ZX4" i="178" s="1"/>
  <c r="AA3" i="179" s="1"/>
  <c r="ZS5" i="178"/>
  <c r="YY36" i="178"/>
  <c r="YY35" i="178"/>
  <c r="M7" i="179"/>
  <c r="YW32" i="178"/>
  <c r="ZG25" i="178"/>
  <c r="ZL26" i="178"/>
  <c r="V6" i="179" s="1"/>
  <c r="ZL25" i="178"/>
  <c r="U6" i="179" s="1"/>
  <c r="AAK3" i="178" l="1"/>
  <c r="AI3" i="179" s="1"/>
  <c r="ZA7" i="178"/>
  <c r="Q7" i="179" s="1"/>
  <c r="AAI9" i="178"/>
  <c r="ZU5" i="178"/>
  <c r="ZU6" i="178" s="1"/>
  <c r="ZT6" i="178" s="1"/>
  <c r="ZX9" i="178" s="1"/>
  <c r="Z3" i="179" s="1"/>
  <c r="ZW5" i="178"/>
  <c r="ZX5" i="178" s="1"/>
  <c r="AB3" i="179" s="1"/>
  <c r="YW45" i="178"/>
  <c r="ZK29" i="178"/>
  <c r="S6" i="179"/>
  <c r="ZK28" i="178"/>
  <c r="AAG17" i="178"/>
  <c r="AAH4" i="178"/>
  <c r="AAI4" i="178" s="1"/>
  <c r="AAJ4" i="178" s="1"/>
  <c r="AG3" i="179" s="1"/>
  <c r="AAE5" i="178"/>
  <c r="YX42" i="178"/>
  <c r="YU43" i="178"/>
  <c r="YW43" i="178" s="1"/>
  <c r="YX43" i="178" s="1"/>
  <c r="AAH14" i="178"/>
  <c r="AAE15" i="178"/>
  <c r="AAG15" i="178" s="1"/>
  <c r="AAH15" i="178" s="1"/>
  <c r="Y4" i="179"/>
  <c r="ZW15" i="178"/>
  <c r="ZW14" i="178"/>
  <c r="ZU11" i="178"/>
  <c r="YX32" i="178"/>
  <c r="YY32" i="178" s="1"/>
  <c r="YZ32" i="178" s="1"/>
  <c r="O7" i="179" s="1"/>
  <c r="YU33" i="178"/>
  <c r="YY37" i="178"/>
  <c r="YU39" i="178"/>
  <c r="YZ39" i="178"/>
  <c r="O8" i="179" s="1"/>
  <c r="YZ40" i="178"/>
  <c r="P8" i="179" s="1"/>
  <c r="AAE11" i="178"/>
  <c r="ZV17" i="178"/>
  <c r="ZT17" i="178"/>
  <c r="ZS21" i="178"/>
  <c r="ZU21" i="178" s="1"/>
  <c r="ZS24" i="178"/>
  <c r="ZI19" i="178"/>
  <c r="ZI20" i="178" s="1"/>
  <c r="ZH20" i="178" s="1"/>
  <c r="ZL23" i="178" s="1"/>
  <c r="T5" i="179" s="1"/>
  <c r="ZK19" i="178"/>
  <c r="ZL19" i="178" s="1"/>
  <c r="V5" i="179" s="1"/>
  <c r="ZI25" i="178"/>
  <c r="YY38" i="178"/>
  <c r="YZ38" i="178"/>
  <c r="AAI10" i="178"/>
  <c r="AAJ10" i="178"/>
  <c r="ZJ31" i="178"/>
  <c r="ZH31" i="178"/>
  <c r="ZG38" i="178"/>
  <c r="ZG35" i="178"/>
  <c r="ZI35" i="178" s="1"/>
  <c r="ZM6" i="178" l="1"/>
  <c r="W6" i="179" s="1"/>
  <c r="ZY4" i="178"/>
  <c r="AC4" i="179" s="1"/>
  <c r="ZW16" i="178"/>
  <c r="ZG32" i="178"/>
  <c r="ZL31" i="178"/>
  <c r="ZK31" i="178"/>
  <c r="ZX17" i="178"/>
  <c r="ZW17" i="178"/>
  <c r="YW33" i="178"/>
  <c r="YW34" i="178" s="1"/>
  <c r="YV34" i="178" s="1"/>
  <c r="YZ37" i="178" s="1"/>
  <c r="N7" i="179" s="1"/>
  <c r="YY33" i="178"/>
  <c r="YZ33" i="178" s="1"/>
  <c r="P7" i="179" s="1"/>
  <c r="AAG5" i="178"/>
  <c r="AAG6" i="178" s="1"/>
  <c r="AAF6" i="178" s="1"/>
  <c r="AAJ9" i="178" s="1"/>
  <c r="AF3" i="179" s="1"/>
  <c r="AAI5" i="178"/>
  <c r="AAJ5" i="178" s="1"/>
  <c r="AH3" i="179" s="1"/>
  <c r="AAI15" i="178"/>
  <c r="AAI14" i="178"/>
  <c r="AE4" i="179"/>
  <c r="ZJ25" i="178"/>
  <c r="ZK25" i="178" s="1"/>
  <c r="ZG26" i="178"/>
  <c r="ZU24" i="178"/>
  <c r="AAG11" i="178"/>
  <c r="ZJ35" i="178"/>
  <c r="ZG36" i="178"/>
  <c r="ZI36" i="178" s="1"/>
  <c r="ZJ36" i="178" s="1"/>
  <c r="ZI38" i="178"/>
  <c r="ZV21" i="178"/>
  <c r="ZS22" i="178"/>
  <c r="ZU22" i="178" s="1"/>
  <c r="ZV22" i="178" s="1"/>
  <c r="YW39" i="178"/>
  <c r="AAH17" i="178"/>
  <c r="AAF17" i="178"/>
  <c r="AAE21" i="178"/>
  <c r="AAG21" i="178" s="1"/>
  <c r="AAE24" i="178"/>
  <c r="ZK30" i="178"/>
  <c r="YY43" i="178"/>
  <c r="M8" i="179"/>
  <c r="YY42" i="178"/>
  <c r="ZX19" i="178"/>
  <c r="AB5" i="179" s="1"/>
  <c r="ZS18" i="178"/>
  <c r="ZX18" i="178"/>
  <c r="AA5" i="179" s="1"/>
  <c r="ZV11" i="178"/>
  <c r="ZW11" i="178" s="1"/>
  <c r="ZX11" i="178" s="1"/>
  <c r="AA4" i="179" s="1"/>
  <c r="ZS12" i="178"/>
  <c r="YX45" i="178"/>
  <c r="YV45" i="178"/>
  <c r="YU49" i="178"/>
  <c r="YW49" i="178" s="1"/>
  <c r="YU52" i="178"/>
  <c r="ZA8" i="178" l="1"/>
  <c r="Q8" i="179" s="1"/>
  <c r="AAK4" i="178"/>
  <c r="AI4" i="179" s="1"/>
  <c r="YY44" i="178"/>
  <c r="YZ45" i="178"/>
  <c r="YY45" i="178"/>
  <c r="ZU18" i="178"/>
  <c r="AAH21" i="178"/>
  <c r="AAE22" i="178"/>
  <c r="AAG22" i="178" s="1"/>
  <c r="AAH22" i="178" s="1"/>
  <c r="ZK36" i="178"/>
  <c r="S7" i="179"/>
  <c r="ZK35" i="178"/>
  <c r="YU46" i="178"/>
  <c r="YZ46" i="178"/>
  <c r="O9" i="179" s="1"/>
  <c r="YZ47" i="178"/>
  <c r="P9" i="179" s="1"/>
  <c r="ZA10" i="178"/>
  <c r="Q10" i="179" s="1"/>
  <c r="YW52" i="178"/>
  <c r="ZU12" i="178"/>
  <c r="ZU13" i="178" s="1"/>
  <c r="ZT13" i="178" s="1"/>
  <c r="ZX16" i="178" s="1"/>
  <c r="Z4" i="179" s="1"/>
  <c r="ZW12" i="178"/>
  <c r="ZX12" i="178" s="1"/>
  <c r="AB4" i="179" s="1"/>
  <c r="AAJ19" i="178"/>
  <c r="AH5" i="179" s="1"/>
  <c r="AAE18" i="178"/>
  <c r="AAJ18" i="178"/>
  <c r="AG5" i="179" s="1"/>
  <c r="ZJ38" i="178"/>
  <c r="ZH38" i="178"/>
  <c r="ZG45" i="178"/>
  <c r="ZG42" i="178"/>
  <c r="ZI42" i="178" s="1"/>
  <c r="AAH11" i="178"/>
  <c r="AAI11" i="178" s="1"/>
  <c r="AAJ11" i="178" s="1"/>
  <c r="AG4" i="179" s="1"/>
  <c r="AAE12" i="178"/>
  <c r="YX49" i="178"/>
  <c r="YU50" i="178"/>
  <c r="YW50" i="178" s="1"/>
  <c r="YX50" i="178" s="1"/>
  <c r="AAI17" i="178"/>
  <c r="AAJ17" i="178"/>
  <c r="ZW22" i="178"/>
  <c r="Y5" i="179"/>
  <c r="ZW21" i="178"/>
  <c r="AAG24" i="178"/>
  <c r="YX39" i="178"/>
  <c r="YY39" i="178" s="1"/>
  <c r="YU40" i="178"/>
  <c r="ZV24" i="178"/>
  <c r="ZT24" i="178"/>
  <c r="ZS28" i="178"/>
  <c r="ZU28" i="178" s="1"/>
  <c r="ZS31" i="178"/>
  <c r="ZI26" i="178"/>
  <c r="ZI27" i="178" s="1"/>
  <c r="ZH27" i="178" s="1"/>
  <c r="ZL30" i="178" s="1"/>
  <c r="T6" i="179" s="1"/>
  <c r="ZK26" i="178"/>
  <c r="AAI16" i="178"/>
  <c r="ZI32" i="178"/>
  <c r="ZM7" i="178" l="1"/>
  <c r="W7" i="179" s="1"/>
  <c r="ZY5" i="178"/>
  <c r="AC5" i="179" s="1"/>
  <c r="ZV28" i="178"/>
  <c r="ZS29" i="178"/>
  <c r="ZU29" i="178" s="1"/>
  <c r="ZV29" i="178" s="1"/>
  <c r="ZI45" i="178"/>
  <c r="ZX25" i="178"/>
  <c r="AA6" i="179" s="1"/>
  <c r="ZS25" i="178"/>
  <c r="ZX26" i="178"/>
  <c r="AB6" i="179" s="1"/>
  <c r="AAH24" i="178"/>
  <c r="AAF24" i="178"/>
  <c r="AAE31" i="178"/>
  <c r="AAE28" i="178"/>
  <c r="AAG28" i="178" s="1"/>
  <c r="AE5" i="179"/>
  <c r="AAI21" i="178"/>
  <c r="AAI22" i="178"/>
  <c r="AAG12" i="178"/>
  <c r="AAG13" i="178" s="1"/>
  <c r="AAF13" i="178" s="1"/>
  <c r="AAJ16" i="178" s="1"/>
  <c r="AF4" i="179" s="1"/>
  <c r="AAI12" i="178"/>
  <c r="AAJ12" i="178" s="1"/>
  <c r="AH4" i="179" s="1"/>
  <c r="ZL39" i="178"/>
  <c r="U8" i="179" s="1"/>
  <c r="ZG39" i="178"/>
  <c r="ZL40" i="178"/>
  <c r="V8" i="179" s="1"/>
  <c r="YX52" i="178"/>
  <c r="YV52" i="178"/>
  <c r="YU56" i="178"/>
  <c r="YW56" i="178" s="1"/>
  <c r="YU59" i="178"/>
  <c r="ZJ32" i="178"/>
  <c r="ZK32" i="178" s="1"/>
  <c r="ZL32" i="178" s="1"/>
  <c r="U7" i="179" s="1"/>
  <c r="ZG33" i="178"/>
  <c r="ZW24" i="178"/>
  <c r="ZX24" i="178"/>
  <c r="ZK38" i="178"/>
  <c r="ZL38" i="178"/>
  <c r="YW46" i="178"/>
  <c r="ZV18" i="178"/>
  <c r="ZW18" i="178" s="1"/>
  <c r="ZS19" i="178"/>
  <c r="ZW23" i="178"/>
  <c r="ZU31" i="178"/>
  <c r="YW40" i="178"/>
  <c r="YW41" i="178" s="1"/>
  <c r="YV41" i="178" s="1"/>
  <c r="YZ44" i="178" s="1"/>
  <c r="N8" i="179" s="1"/>
  <c r="YY40" i="178"/>
  <c r="ZJ42" i="178"/>
  <c r="ZG43" i="178"/>
  <c r="ZI43" i="178" s="1"/>
  <c r="ZJ43" i="178" s="1"/>
  <c r="ZK37" i="178"/>
  <c r="AAG18" i="178"/>
  <c r="YY49" i="178"/>
  <c r="M9" i="179"/>
  <c r="YY50" i="178"/>
  <c r="AAK5" i="178" l="1"/>
  <c r="AI5" i="179" s="1"/>
  <c r="ZA9" i="178"/>
  <c r="Q9" i="179" s="1"/>
  <c r="YY51" i="178"/>
  <c r="AAI23" i="178"/>
  <c r="AAH18" i="178"/>
  <c r="AAI18" i="178" s="1"/>
  <c r="AAE19" i="178"/>
  <c r="ZU19" i="178"/>
  <c r="ZU20" i="178" s="1"/>
  <c r="ZT20" i="178" s="1"/>
  <c r="ZX23" i="178" s="1"/>
  <c r="Z5" i="179" s="1"/>
  <c r="ZW19" i="178"/>
  <c r="S8" i="179"/>
  <c r="ZK43" i="178"/>
  <c r="ZK42" i="178"/>
  <c r="ZI33" i="178"/>
  <c r="ZI34" i="178" s="1"/>
  <c r="ZH34" i="178" s="1"/>
  <c r="ZL37" i="178" s="1"/>
  <c r="T7" i="179" s="1"/>
  <c r="ZK33" i="178"/>
  <c r="ZL33" i="178" s="1"/>
  <c r="V7" i="179" s="1"/>
  <c r="YU53" i="178"/>
  <c r="YZ54" i="178"/>
  <c r="P10" i="179" s="1"/>
  <c r="YZ53" i="178"/>
  <c r="O10" i="179" s="1"/>
  <c r="AAK7" i="178"/>
  <c r="AI7" i="179" s="1"/>
  <c r="AAG31" i="178"/>
  <c r="ZU25" i="178"/>
  <c r="YY52" i="178"/>
  <c r="YZ52" i="178"/>
  <c r="AAJ26" i="178"/>
  <c r="AH6" i="179" s="1"/>
  <c r="AAE25" i="178"/>
  <c r="AAJ25" i="178"/>
  <c r="AG6" i="179" s="1"/>
  <c r="YX46" i="178"/>
  <c r="YY46" i="178" s="1"/>
  <c r="YU47" i="178"/>
  <c r="ZW28" i="178"/>
  <c r="ZY6" i="178" s="1"/>
  <c r="AC6" i="179" s="1"/>
  <c r="ZW29" i="178"/>
  <c r="Y6" i="179"/>
  <c r="ZA11" i="178"/>
  <c r="Q11" i="179" s="1"/>
  <c r="YW59" i="178"/>
  <c r="AAJ24" i="178"/>
  <c r="AAI24" i="178"/>
  <c r="ZJ45" i="178"/>
  <c r="ZH45" i="178"/>
  <c r="ZG49" i="178"/>
  <c r="ZI49" i="178" s="1"/>
  <c r="ZG52" i="178"/>
  <c r="ZT31" i="178"/>
  <c r="ZV31" i="178"/>
  <c r="ZS35" i="178"/>
  <c r="ZU35" i="178" s="1"/>
  <c r="ZS38" i="178"/>
  <c r="YX56" i="178"/>
  <c r="YU57" i="178"/>
  <c r="YW57" i="178" s="1"/>
  <c r="YX57" i="178" s="1"/>
  <c r="ZI39" i="178"/>
  <c r="AAH28" i="178"/>
  <c r="AAE29" i="178"/>
  <c r="AAG29" i="178" s="1"/>
  <c r="AAH29" i="178" s="1"/>
  <c r="ZM8" i="178" l="1"/>
  <c r="W8" i="179" s="1"/>
  <c r="ZK44" i="178"/>
  <c r="ZW30" i="178"/>
  <c r="ZJ39" i="178"/>
  <c r="ZK39" i="178" s="1"/>
  <c r="ZG40" i="178"/>
  <c r="ZS32" i="178"/>
  <c r="ZX33" i="178"/>
  <c r="AB7" i="179" s="1"/>
  <c r="ZX32" i="178"/>
  <c r="AA7" i="179" s="1"/>
  <c r="ZK45" i="178"/>
  <c r="ZL45" i="178"/>
  <c r="YY57" i="178"/>
  <c r="M10" i="179"/>
  <c r="YY56" i="178"/>
  <c r="ZU38" i="178"/>
  <c r="ZI52" i="178"/>
  <c r="AAH31" i="178"/>
  <c r="AAF31" i="178"/>
  <c r="AAE38" i="178"/>
  <c r="AAE35" i="178"/>
  <c r="AAG35" i="178" s="1"/>
  <c r="ZJ49" i="178"/>
  <c r="ZG50" i="178"/>
  <c r="ZI50" i="178" s="1"/>
  <c r="ZJ50" i="178" s="1"/>
  <c r="ZV35" i="178"/>
  <c r="ZS36" i="178"/>
  <c r="ZU36" i="178" s="1"/>
  <c r="ZV36" i="178" s="1"/>
  <c r="AE6" i="179"/>
  <c r="AAI29" i="178"/>
  <c r="AAI28" i="178"/>
  <c r="AAK6" i="178" s="1"/>
  <c r="AI6" i="179" s="1"/>
  <c r="AAG25" i="178"/>
  <c r="YW53" i="178"/>
  <c r="ZW31" i="178"/>
  <c r="ZX31" i="178"/>
  <c r="ZG46" i="178"/>
  <c r="YX59" i="178"/>
  <c r="YV59" i="178"/>
  <c r="YU63" i="178"/>
  <c r="YW63" i="178" s="1"/>
  <c r="YU66" i="178"/>
  <c r="YW47" i="178"/>
  <c r="YW48" i="178" s="1"/>
  <c r="YV48" i="178" s="1"/>
  <c r="YZ51" i="178" s="1"/>
  <c r="N9" i="179" s="1"/>
  <c r="YY47" i="178"/>
  <c r="ZV25" i="178"/>
  <c r="ZW25" i="178" s="1"/>
  <c r="ZS26" i="178"/>
  <c r="AAG19" i="178"/>
  <c r="AAG20" i="178" s="1"/>
  <c r="AAF20" i="178" s="1"/>
  <c r="AAJ23" i="178" s="1"/>
  <c r="AF5" i="179" s="1"/>
  <c r="AAI19" i="178"/>
  <c r="YY58" i="178" l="1"/>
  <c r="YY59" i="178"/>
  <c r="YZ59" i="178"/>
  <c r="ZU26" i="178"/>
  <c r="ZU27" i="178" s="1"/>
  <c r="ZT27" i="178" s="1"/>
  <c r="ZX30" i="178" s="1"/>
  <c r="Z6" i="179" s="1"/>
  <c r="ZW26" i="178"/>
  <c r="ZA12" i="178"/>
  <c r="Q12" i="179" s="1"/>
  <c r="YW66" i="178"/>
  <c r="AAH25" i="178"/>
  <c r="AAI25" i="178" s="1"/>
  <c r="AAE26" i="178"/>
  <c r="AAI31" i="178"/>
  <c r="AAJ31" i="178"/>
  <c r="YX53" i="178"/>
  <c r="YY53" i="178" s="1"/>
  <c r="YU54" i="178"/>
  <c r="AAH35" i="178"/>
  <c r="AAE36" i="178"/>
  <c r="AAG36" i="178" s="1"/>
  <c r="AAH36" i="178" s="1"/>
  <c r="ZK50" i="178"/>
  <c r="S9" i="179"/>
  <c r="ZK49" i="178"/>
  <c r="ZU32" i="178"/>
  <c r="YX63" i="178"/>
  <c r="YU64" i="178"/>
  <c r="YW64" i="178" s="1"/>
  <c r="YX64" i="178" s="1"/>
  <c r="ZI46" i="178"/>
  <c r="YU60" i="178"/>
  <c r="YZ60" i="178"/>
  <c r="O11" i="179" s="1"/>
  <c r="YZ61" i="178"/>
  <c r="P11" i="179" s="1"/>
  <c r="AAI30" i="178"/>
  <c r="AAK8" i="178"/>
  <c r="AI8" i="179" s="1"/>
  <c r="AAG38" i="178"/>
  <c r="ZJ52" i="178"/>
  <c r="ZH52" i="178"/>
  <c r="ZG56" i="178"/>
  <c r="ZI56" i="178" s="1"/>
  <c r="ZG59" i="178"/>
  <c r="ZV38" i="178"/>
  <c r="ZT38" i="178"/>
  <c r="ZS45" i="178"/>
  <c r="ZS42" i="178"/>
  <c r="ZU42" i="178" s="1"/>
  <c r="ZI40" i="178"/>
  <c r="ZI41" i="178" s="1"/>
  <c r="ZH41" i="178" s="1"/>
  <c r="ZL44" i="178" s="1"/>
  <c r="T8" i="179" s="1"/>
  <c r="ZK40" i="178"/>
  <c r="ZW36" i="178"/>
  <c r="Y7" i="179"/>
  <c r="ZW35" i="178"/>
  <c r="AAE32" i="178"/>
  <c r="AAJ33" i="178"/>
  <c r="AH7" i="179" s="1"/>
  <c r="AAJ32" i="178"/>
  <c r="AG7" i="179" s="1"/>
  <c r="ZM9" i="178" l="1"/>
  <c r="W9" i="179" s="1"/>
  <c r="ZY7" i="178"/>
  <c r="AC7" i="179" s="1"/>
  <c r="ZW37" i="178"/>
  <c r="ZY9" i="178"/>
  <c r="AC9" i="179" s="1"/>
  <c r="ZU45" i="178"/>
  <c r="ZJ56" i="178"/>
  <c r="ZG57" i="178"/>
  <c r="ZI57" i="178" s="1"/>
  <c r="ZJ57" i="178" s="1"/>
  <c r="ZJ46" i="178"/>
  <c r="ZK46" i="178" s="1"/>
  <c r="ZL46" i="178" s="1"/>
  <c r="U9" i="179" s="1"/>
  <c r="ZG47" i="178"/>
  <c r="ZS39" i="178"/>
  <c r="ZX40" i="178"/>
  <c r="AB8" i="179" s="1"/>
  <c r="ZX39" i="178"/>
  <c r="AA8" i="179" s="1"/>
  <c r="ZG53" i="178"/>
  <c r="ZL54" i="178"/>
  <c r="V10" i="179" s="1"/>
  <c r="ZL53" i="178"/>
  <c r="U10" i="179" s="1"/>
  <c r="ZK51" i="178"/>
  <c r="AE7" i="179"/>
  <c r="AAI36" i="178"/>
  <c r="AAI35" i="178"/>
  <c r="YX66" i="178"/>
  <c r="YV66" i="178"/>
  <c r="YU70" i="178"/>
  <c r="YW70" i="178" s="1"/>
  <c r="YU73" i="178"/>
  <c r="ZX38" i="178"/>
  <c r="ZW38" i="178"/>
  <c r="ZK52" i="178"/>
  <c r="ZL52" i="178"/>
  <c r="YW60" i="178"/>
  <c r="ZV42" i="178"/>
  <c r="ZS43" i="178"/>
  <c r="ZU43" i="178" s="1"/>
  <c r="ZV43" i="178" s="1"/>
  <c r="ZM11" i="178"/>
  <c r="W11" i="179" s="1"/>
  <c r="ZI59" i="178"/>
  <c r="ZV32" i="178"/>
  <c r="ZW32" i="178" s="1"/>
  <c r="ZS33" i="178"/>
  <c r="YW54" i="178"/>
  <c r="YW55" i="178" s="1"/>
  <c r="YV55" i="178" s="1"/>
  <c r="YZ58" i="178" s="1"/>
  <c r="N10" i="179" s="1"/>
  <c r="YY54" i="178"/>
  <c r="AAG26" i="178"/>
  <c r="AAG27" i="178" s="1"/>
  <c r="AAF27" i="178" s="1"/>
  <c r="AAJ30" i="178" s="1"/>
  <c r="AF6" i="179" s="1"/>
  <c r="AAI26" i="178"/>
  <c r="YY64" i="178"/>
  <c r="M11" i="179"/>
  <c r="YY63" i="178"/>
  <c r="AAG32" i="178"/>
  <c r="AAH38" i="178"/>
  <c r="AAF38" i="178"/>
  <c r="AAE42" i="178"/>
  <c r="AAG42" i="178" s="1"/>
  <c r="AAE45" i="178"/>
  <c r="YY65" i="178" l="1"/>
  <c r="Y8" i="179"/>
  <c r="ZW43" i="178"/>
  <c r="ZW42" i="178"/>
  <c r="YY66" i="178"/>
  <c r="YZ66" i="178"/>
  <c r="ZI53" i="178"/>
  <c r="ZI47" i="178"/>
  <c r="ZI48" i="178" s="1"/>
  <c r="ZH48" i="178" s="1"/>
  <c r="ZL51" i="178" s="1"/>
  <c r="T9" i="179" s="1"/>
  <c r="ZK47" i="178"/>
  <c r="ZL47" i="178" s="1"/>
  <c r="V9" i="179" s="1"/>
  <c r="ZV45" i="178"/>
  <c r="ZT45" i="178"/>
  <c r="ZS49" i="178"/>
  <c r="ZU49" i="178" s="1"/>
  <c r="ZS52" i="178"/>
  <c r="AAH42" i="178"/>
  <c r="AAE43" i="178"/>
  <c r="AAG43" i="178" s="1"/>
  <c r="AAH43" i="178" s="1"/>
  <c r="AAI38" i="178"/>
  <c r="AAJ38" i="178"/>
  <c r="AAK9" i="178"/>
  <c r="AI9" i="179" s="1"/>
  <c r="AAG45" i="178"/>
  <c r="ZK57" i="178"/>
  <c r="S10" i="179"/>
  <c r="ZK56" i="178"/>
  <c r="ZA13" i="178"/>
  <c r="Q13" i="179" s="1"/>
  <c r="YW73" i="178"/>
  <c r="ZJ59" i="178"/>
  <c r="ZH59" i="178"/>
  <c r="ZG63" i="178"/>
  <c r="ZI63" i="178" s="1"/>
  <c r="ZG66" i="178"/>
  <c r="YX70" i="178"/>
  <c r="YU71" i="178"/>
  <c r="YW71" i="178" s="1"/>
  <c r="YX71" i="178" s="1"/>
  <c r="AAI37" i="178"/>
  <c r="AAH32" i="178"/>
  <c r="AAI32" i="178" s="1"/>
  <c r="AAE33" i="178"/>
  <c r="AAE39" i="178"/>
  <c r="AAJ40" i="178"/>
  <c r="AH8" i="179" s="1"/>
  <c r="AAJ39" i="178"/>
  <c r="AG8" i="179" s="1"/>
  <c r="ZU33" i="178"/>
  <c r="ZU34" i="178" s="1"/>
  <c r="ZT34" i="178" s="1"/>
  <c r="ZX37" i="178" s="1"/>
  <c r="Z7" i="179" s="1"/>
  <c r="ZW33" i="178"/>
  <c r="YX60" i="178"/>
  <c r="YY60" i="178" s="1"/>
  <c r="YU61" i="178"/>
  <c r="YU67" i="178"/>
  <c r="YZ67" i="178"/>
  <c r="O12" i="179" s="1"/>
  <c r="YZ68" i="178"/>
  <c r="P12" i="179" s="1"/>
  <c r="ZU39" i="178"/>
  <c r="ZM10" i="178" l="1"/>
  <c r="W10" i="179" s="1"/>
  <c r="ZY8" i="178"/>
  <c r="AC8" i="179" s="1"/>
  <c r="ZK58" i="178"/>
  <c r="ZV39" i="178"/>
  <c r="ZW39" i="178" s="1"/>
  <c r="ZS40" i="178"/>
  <c r="AAG39" i="178"/>
  <c r="ZG60" i="178"/>
  <c r="ZL61" i="178"/>
  <c r="V11" i="179" s="1"/>
  <c r="ZL60" i="178"/>
  <c r="U11" i="179" s="1"/>
  <c r="YW67" i="178"/>
  <c r="AAG33" i="178"/>
  <c r="AAG34" i="178" s="1"/>
  <c r="AAF34" i="178" s="1"/>
  <c r="AAJ37" i="178" s="1"/>
  <c r="AF7" i="179" s="1"/>
  <c r="AAI33" i="178"/>
  <c r="ZK59" i="178"/>
  <c r="ZL59" i="178"/>
  <c r="ZX45" i="178"/>
  <c r="ZW45" i="178"/>
  <c r="ZW44" i="178"/>
  <c r="YW61" i="178"/>
  <c r="YW62" i="178" s="1"/>
  <c r="YV62" i="178" s="1"/>
  <c r="YZ65" i="178" s="1"/>
  <c r="N11" i="179" s="1"/>
  <c r="YY61" i="178"/>
  <c r="YX73" i="178"/>
  <c r="YV73" i="178"/>
  <c r="YU80" i="178"/>
  <c r="YU77" i="178"/>
  <c r="YW77" i="178" s="1"/>
  <c r="AAH45" i="178"/>
  <c r="AAF45" i="178"/>
  <c r="AAE49" i="178"/>
  <c r="AAG49" i="178" s="1"/>
  <c r="AAE52" i="178"/>
  <c r="AAI43" i="178"/>
  <c r="AE8" i="179"/>
  <c r="AAI42" i="178"/>
  <c r="ZY10" i="178"/>
  <c r="AC10" i="179" s="1"/>
  <c r="ZU52" i="178"/>
  <c r="YY71" i="178"/>
  <c r="M12" i="179"/>
  <c r="YY70" i="178"/>
  <c r="ZM12" i="178"/>
  <c r="W12" i="179" s="1"/>
  <c r="ZI66" i="178"/>
  <c r="ZJ63" i="178"/>
  <c r="ZG64" i="178"/>
  <c r="ZI64" i="178" s="1"/>
  <c r="ZJ64" i="178" s="1"/>
  <c r="ZV49" i="178"/>
  <c r="ZS50" i="178"/>
  <c r="ZU50" i="178" s="1"/>
  <c r="ZV50" i="178" s="1"/>
  <c r="ZS46" i="178"/>
  <c r="ZX47" i="178"/>
  <c r="AB9" i="179" s="1"/>
  <c r="ZX46" i="178"/>
  <c r="AA9" i="179" s="1"/>
  <c r="ZJ53" i="178"/>
  <c r="ZK53" i="178" s="1"/>
  <c r="ZG54" i="178"/>
  <c r="YY72" i="178" l="1"/>
  <c r="AAI44" i="178"/>
  <c r="AAH49" i="178"/>
  <c r="AAE50" i="178"/>
  <c r="AAG50" i="178" s="1"/>
  <c r="AAH50" i="178" s="1"/>
  <c r="ZA14" i="178"/>
  <c r="Q14" i="179" s="1"/>
  <c r="YW80" i="178"/>
  <c r="ZT52" i="178"/>
  <c r="ZV52" i="178"/>
  <c r="ZS56" i="178"/>
  <c r="ZU56" i="178" s="1"/>
  <c r="ZS59" i="178"/>
  <c r="AAE46" i="178"/>
  <c r="AAJ47" i="178"/>
  <c r="AH9" i="179" s="1"/>
  <c r="AAJ46" i="178"/>
  <c r="AG9" i="179" s="1"/>
  <c r="YU74" i="178"/>
  <c r="YZ74" i="178"/>
  <c r="O13" i="179" s="1"/>
  <c r="YZ75" i="178"/>
  <c r="P13" i="179" s="1"/>
  <c r="ZJ66" i="178"/>
  <c r="ZH66" i="178"/>
  <c r="ZG73" i="178"/>
  <c r="ZG70" i="178"/>
  <c r="ZI70" i="178" s="1"/>
  <c r="ZI54" i="178"/>
  <c r="ZI55" i="178" s="1"/>
  <c r="ZH55" i="178" s="1"/>
  <c r="ZL58" i="178" s="1"/>
  <c r="T10" i="179" s="1"/>
  <c r="ZK54" i="178"/>
  <c r="ZU46" i="178"/>
  <c r="AAJ45" i="178"/>
  <c r="AAI45" i="178"/>
  <c r="YZ73" i="178"/>
  <c r="YY73" i="178"/>
  <c r="AAH39" i="178"/>
  <c r="AAI39" i="178" s="1"/>
  <c r="AAE40" i="178"/>
  <c r="AAK10" i="178"/>
  <c r="AI10" i="179" s="1"/>
  <c r="AAG52" i="178"/>
  <c r="YX77" i="178"/>
  <c r="YU78" i="178"/>
  <c r="YW78" i="178" s="1"/>
  <c r="YX78" i="178" s="1"/>
  <c r="ZW50" i="178"/>
  <c r="ZW49" i="178"/>
  <c r="Y9" i="179"/>
  <c r="ZU40" i="178"/>
  <c r="ZU41" i="178" s="1"/>
  <c r="ZT41" i="178" s="1"/>
  <c r="ZX44" i="178" s="1"/>
  <c r="Z8" i="179" s="1"/>
  <c r="ZW40" i="178"/>
  <c r="ZK64" i="178"/>
  <c r="S11" i="179"/>
  <c r="ZK63" i="178"/>
  <c r="YX67" i="178"/>
  <c r="YY67" i="178" s="1"/>
  <c r="YU68" i="178"/>
  <c r="ZI60" i="178"/>
  <c r="ZK65" i="178" l="1"/>
  <c r="AAH52" i="178"/>
  <c r="AAF52" i="178"/>
  <c r="AAE59" i="178"/>
  <c r="AAE56" i="178"/>
  <c r="AAG56" i="178" s="1"/>
  <c r="AAI50" i="178"/>
  <c r="AE9" i="179"/>
  <c r="AAI49" i="178"/>
  <c r="YW68" i="178"/>
  <c r="YW69" i="178" s="1"/>
  <c r="YV69" i="178" s="1"/>
  <c r="YZ72" i="178" s="1"/>
  <c r="N12" i="179" s="1"/>
  <c r="YY68" i="178"/>
  <c r="ZJ70" i="178"/>
  <c r="ZG71" i="178"/>
  <c r="ZI71" i="178" s="1"/>
  <c r="ZJ71" i="178" s="1"/>
  <c r="ZW52" i="178"/>
  <c r="ZX52" i="178"/>
  <c r="ZM13" i="178"/>
  <c r="W13" i="179" s="1"/>
  <c r="ZI73" i="178"/>
  <c r="AAG46" i="178"/>
  <c r="ZS53" i="178"/>
  <c r="ZX54" i="178"/>
  <c r="AB10" i="179" s="1"/>
  <c r="ZX53" i="178"/>
  <c r="AA10" i="179" s="1"/>
  <c r="M13" i="179"/>
  <c r="YY78" i="178"/>
  <c r="YY77" i="178"/>
  <c r="ZV46" i="178"/>
  <c r="ZW46" i="178" s="1"/>
  <c r="ZS47" i="178"/>
  <c r="ZJ60" i="178"/>
  <c r="ZK60" i="178" s="1"/>
  <c r="ZG61" i="178"/>
  <c r="ZW51" i="178"/>
  <c r="AAG40" i="178"/>
  <c r="AAG41" i="178" s="1"/>
  <c r="AAF41" i="178" s="1"/>
  <c r="AAJ44" i="178" s="1"/>
  <c r="AF8" i="179" s="1"/>
  <c r="AAI40" i="178"/>
  <c r="ZL67" i="178"/>
  <c r="U12" i="179" s="1"/>
  <c r="ZG67" i="178"/>
  <c r="ZL68" i="178"/>
  <c r="V12" i="179" s="1"/>
  <c r="YW74" i="178"/>
  <c r="ZY11" i="178"/>
  <c r="AC11" i="179" s="1"/>
  <c r="ZU59" i="178"/>
  <c r="YX80" i="178"/>
  <c r="YV80" i="178"/>
  <c r="YU84" i="178"/>
  <c r="YW84" i="178" s="1"/>
  <c r="YU87" i="178"/>
  <c r="ZK66" i="178"/>
  <c r="ZL66" i="178"/>
  <c r="ZV56" i="178"/>
  <c r="ZS57" i="178"/>
  <c r="ZU57" i="178" s="1"/>
  <c r="ZV57" i="178" s="1"/>
  <c r="ZK71" i="178" l="1"/>
  <c r="S12" i="179"/>
  <c r="ZK70" i="178"/>
  <c r="YU81" i="178"/>
  <c r="YZ81" i="178"/>
  <c r="O14" i="179" s="1"/>
  <c r="YZ82" i="178"/>
  <c r="P14" i="179" s="1"/>
  <c r="ZV59" i="178"/>
  <c r="ZT59" i="178"/>
  <c r="ZS63" i="178"/>
  <c r="ZU63" i="178" s="1"/>
  <c r="ZS66" i="178"/>
  <c r="ZU47" i="178"/>
  <c r="ZU48" i="178" s="1"/>
  <c r="ZT48" i="178" s="1"/>
  <c r="ZX51" i="178" s="1"/>
  <c r="Z9" i="179" s="1"/>
  <c r="ZW47" i="178"/>
  <c r="YZ80" i="178"/>
  <c r="YY80" i="178"/>
  <c r="ZI67" i="178"/>
  <c r="AAH46" i="178"/>
  <c r="AAI46" i="178" s="1"/>
  <c r="AAE47" i="178"/>
  <c r="AAI51" i="178"/>
  <c r="AAH56" i="178"/>
  <c r="AAE57" i="178"/>
  <c r="AAG57" i="178" s="1"/>
  <c r="AAH57" i="178" s="1"/>
  <c r="ZA15" i="178"/>
  <c r="Q15" i="179" s="1"/>
  <c r="YW87" i="178"/>
  <c r="AAK11" i="178"/>
  <c r="AI11" i="179" s="1"/>
  <c r="AAG59" i="178"/>
  <c r="YX74" i="178"/>
  <c r="YY74" i="178" s="1"/>
  <c r="YU75" i="178"/>
  <c r="ZI61" i="178"/>
  <c r="ZI62" i="178" s="1"/>
  <c r="ZH62" i="178" s="1"/>
  <c r="ZL65" i="178" s="1"/>
  <c r="T11" i="179" s="1"/>
  <c r="ZK61" i="178"/>
  <c r="YX84" i="178"/>
  <c r="YU85" i="178"/>
  <c r="YW85" i="178" s="1"/>
  <c r="YX85" i="178" s="1"/>
  <c r="YY79" i="178"/>
  <c r="ZJ73" i="178"/>
  <c r="ZH73" i="178"/>
  <c r="ZG77" i="178"/>
  <c r="ZI77" i="178" s="1"/>
  <c r="ZG80" i="178"/>
  <c r="ZW57" i="178"/>
  <c r="Y10" i="179"/>
  <c r="ZW56" i="178"/>
  <c r="AAE53" i="178"/>
  <c r="AAJ54" i="178"/>
  <c r="AH10" i="179" s="1"/>
  <c r="AAJ53" i="178"/>
  <c r="AG10" i="179" s="1"/>
  <c r="ZU53" i="178"/>
  <c r="AAI52" i="178"/>
  <c r="AAJ52" i="178"/>
  <c r="ZK72" i="178" l="1"/>
  <c r="ZW58" i="178"/>
  <c r="ZV53" i="178"/>
  <c r="ZW53" i="178" s="1"/>
  <c r="ZS54" i="178"/>
  <c r="ZJ67" i="178"/>
  <c r="ZK67" i="178" s="1"/>
  <c r="ZG68" i="178"/>
  <c r="AAI57" i="178"/>
  <c r="AE10" i="179"/>
  <c r="AAI56" i="178"/>
  <c r="ZJ77" i="178"/>
  <c r="ZG78" i="178"/>
  <c r="ZI78" i="178" s="1"/>
  <c r="ZJ78" i="178" s="1"/>
  <c r="YW75" i="178"/>
  <c r="YW76" i="178" s="1"/>
  <c r="YV76" i="178" s="1"/>
  <c r="YZ79" i="178" s="1"/>
  <c r="N13" i="179" s="1"/>
  <c r="YY75" i="178"/>
  <c r="ZW59" i="178"/>
  <c r="ZX59" i="178"/>
  <c r="ZG74" i="178"/>
  <c r="ZL75" i="178"/>
  <c r="V13" i="179" s="1"/>
  <c r="ZL74" i="178"/>
  <c r="U13" i="179" s="1"/>
  <c r="AAG47" i="178"/>
  <c r="AAG48" i="178" s="1"/>
  <c r="AAF48" i="178" s="1"/>
  <c r="AAJ51" i="178" s="1"/>
  <c r="AF9" i="179" s="1"/>
  <c r="AAI47" i="178"/>
  <c r="ZY12" i="178"/>
  <c r="AC12" i="179" s="1"/>
  <c r="ZU66" i="178"/>
  <c r="AAG53" i="178"/>
  <c r="ZL73" i="178"/>
  <c r="ZK73" i="178"/>
  <c r="YX87" i="178"/>
  <c r="YV87" i="178"/>
  <c r="YU94" i="178"/>
  <c r="YU91" i="178"/>
  <c r="YW91" i="178" s="1"/>
  <c r="YY85" i="178"/>
  <c r="M14" i="179"/>
  <c r="YY84" i="178"/>
  <c r="ZV63" i="178"/>
  <c r="ZS64" i="178"/>
  <c r="ZU64" i="178" s="1"/>
  <c r="ZV64" i="178" s="1"/>
  <c r="ZM14" i="178"/>
  <c r="W14" i="179" s="1"/>
  <c r="ZI80" i="178"/>
  <c r="AAH59" i="178"/>
  <c r="AAF59" i="178"/>
  <c r="AAE63" i="178"/>
  <c r="AAG63" i="178" s="1"/>
  <c r="AAE66" i="178"/>
  <c r="ZX60" i="178"/>
  <c r="AA11" i="179" s="1"/>
  <c r="ZS60" i="178"/>
  <c r="ZX61" i="178"/>
  <c r="AB11" i="179" s="1"/>
  <c r="YW81" i="178"/>
  <c r="AAI58" i="178" l="1"/>
  <c r="YY86" i="178"/>
  <c r="YX81" i="178"/>
  <c r="YY81" i="178" s="1"/>
  <c r="YU82" i="178"/>
  <c r="AAK12" i="178"/>
  <c r="AI12" i="179" s="1"/>
  <c r="AAG66" i="178"/>
  <c r="AAH63" i="178"/>
  <c r="AAE64" i="178"/>
  <c r="AAG64" i="178" s="1"/>
  <c r="AAH64" i="178" s="1"/>
  <c r="YY87" i="178"/>
  <c r="YZ87" i="178"/>
  <c r="ZI68" i="178"/>
  <c r="ZI69" i="178" s="1"/>
  <c r="ZH69" i="178" s="1"/>
  <c r="ZL72" i="178" s="1"/>
  <c r="T12" i="179" s="1"/>
  <c r="ZK68" i="178"/>
  <c r="ZU60" i="178"/>
  <c r="YX91" i="178"/>
  <c r="YU92" i="178"/>
  <c r="YW92" i="178" s="1"/>
  <c r="YX92" i="178" s="1"/>
  <c r="ZI74" i="178"/>
  <c r="ZJ80" i="178"/>
  <c r="ZH80" i="178"/>
  <c r="ZG84" i="178"/>
  <c r="ZI84" i="178" s="1"/>
  <c r="ZG87" i="178"/>
  <c r="AAJ59" i="178"/>
  <c r="AAI59" i="178"/>
  <c r="ZA16" i="178"/>
  <c r="Q16" i="179" s="1"/>
  <c r="YW94" i="178"/>
  <c r="S13" i="179"/>
  <c r="ZK78" i="178"/>
  <c r="ZK77" i="178"/>
  <c r="ZV66" i="178"/>
  <c r="ZT66" i="178"/>
  <c r="ZS73" i="178"/>
  <c r="ZS70" i="178"/>
  <c r="ZU70" i="178" s="1"/>
  <c r="ZW64" i="178"/>
  <c r="Y11" i="179"/>
  <c r="ZW63" i="178"/>
  <c r="ZU54" i="178"/>
  <c r="ZU55" i="178" s="1"/>
  <c r="ZT55" i="178" s="1"/>
  <c r="ZX58" i="178" s="1"/>
  <c r="Z10" i="179" s="1"/>
  <c r="ZW54" i="178"/>
  <c r="AAE60" i="178"/>
  <c r="AAJ61" i="178"/>
  <c r="AH11" i="179" s="1"/>
  <c r="AAJ60" i="178"/>
  <c r="AG11" i="179" s="1"/>
  <c r="YU88" i="178"/>
  <c r="YZ88" i="178"/>
  <c r="O15" i="179" s="1"/>
  <c r="YZ89" i="178"/>
  <c r="P15" i="179" s="1"/>
  <c r="AAH53" i="178"/>
  <c r="AAI53" i="178" s="1"/>
  <c r="AAE54" i="178"/>
  <c r="ZK79" i="178" l="1"/>
  <c r="ZW65" i="178"/>
  <c r="ZJ74" i="178"/>
  <c r="ZK74" i="178" s="1"/>
  <c r="ZG75" i="178"/>
  <c r="ZV70" i="178"/>
  <c r="ZS71" i="178"/>
  <c r="ZU71" i="178" s="1"/>
  <c r="ZV71" i="178" s="1"/>
  <c r="ZG81" i="178"/>
  <c r="ZL81" i="178"/>
  <c r="U14" i="179" s="1"/>
  <c r="ZL82" i="178"/>
  <c r="V14" i="179" s="1"/>
  <c r="AAI64" i="178"/>
  <c r="AE11" i="179"/>
  <c r="AAI63" i="178"/>
  <c r="ZK80" i="178"/>
  <c r="ZL80" i="178"/>
  <c r="AAG60" i="178"/>
  <c r="ZY13" i="178"/>
  <c r="AC13" i="179" s="1"/>
  <c r="ZU73" i="178"/>
  <c r="AAG54" i="178"/>
  <c r="AAG55" i="178" s="1"/>
  <c r="AAF55" i="178" s="1"/>
  <c r="AAJ58" i="178" s="1"/>
  <c r="AF10" i="179" s="1"/>
  <c r="AAI54" i="178"/>
  <c r="YW88" i="178"/>
  <c r="ZS67" i="178"/>
  <c r="ZX68" i="178"/>
  <c r="AB12" i="179" s="1"/>
  <c r="ZX67" i="178"/>
  <c r="AA12" i="179" s="1"/>
  <c r="YX94" i="178"/>
  <c r="YV94" i="178"/>
  <c r="YU98" i="178"/>
  <c r="YW98" i="178" s="1"/>
  <c r="YU101" i="178"/>
  <c r="ZM15" i="178"/>
  <c r="W15" i="179" s="1"/>
  <c r="ZI87" i="178"/>
  <c r="ZV60" i="178"/>
  <c r="ZW60" i="178" s="1"/>
  <c r="ZS61" i="178"/>
  <c r="YY92" i="178"/>
  <c r="M15" i="179"/>
  <c r="YY91" i="178"/>
  <c r="AAH66" i="178"/>
  <c r="AAF66" i="178"/>
  <c r="AAE73" i="178"/>
  <c r="AAE70" i="178"/>
  <c r="AAG70" i="178" s="1"/>
  <c r="YW82" i="178"/>
  <c r="YW83" i="178" s="1"/>
  <c r="YV83" i="178" s="1"/>
  <c r="YZ86" i="178" s="1"/>
  <c r="N14" i="179" s="1"/>
  <c r="YY82" i="178"/>
  <c r="ZW66" i="178"/>
  <c r="ZX66" i="178"/>
  <c r="ZJ84" i="178"/>
  <c r="ZG85" i="178"/>
  <c r="ZI85" i="178" s="1"/>
  <c r="ZJ85" i="178" s="1"/>
  <c r="AAI65" i="178" l="1"/>
  <c r="ZJ87" i="178"/>
  <c r="ZH87" i="178"/>
  <c r="ZG94" i="178"/>
  <c r="ZG91" i="178"/>
  <c r="ZI91" i="178" s="1"/>
  <c r="YX98" i="178"/>
  <c r="YU99" i="178"/>
  <c r="YW99" i="178" s="1"/>
  <c r="YX99" i="178" s="1"/>
  <c r="Y12" i="179"/>
  <c r="ZW71" i="178"/>
  <c r="ZW70" i="178"/>
  <c r="AAH70" i="178"/>
  <c r="AAE71" i="178"/>
  <c r="AAG71" i="178" s="1"/>
  <c r="AAH71" i="178" s="1"/>
  <c r="ZU61" i="178"/>
  <c r="ZU62" i="178" s="1"/>
  <c r="ZT62" i="178" s="1"/>
  <c r="ZX65" i="178" s="1"/>
  <c r="Z11" i="179" s="1"/>
  <c r="ZW61" i="178"/>
  <c r="YZ95" i="178"/>
  <c r="O16" i="179" s="1"/>
  <c r="YU95" i="178"/>
  <c r="YZ96" i="178"/>
  <c r="P16" i="179" s="1"/>
  <c r="ZU67" i="178"/>
  <c r="AAK13" i="178"/>
  <c r="AI13" i="179" s="1"/>
  <c r="AAG73" i="178"/>
  <c r="YY94" i="178"/>
  <c r="YZ94" i="178"/>
  <c r="AAH60" i="178"/>
  <c r="AAI60" i="178" s="1"/>
  <c r="AAE61" i="178"/>
  <c r="AAI66" i="178"/>
  <c r="AAJ66" i="178"/>
  <c r="YY93" i="178"/>
  <c r="AAE67" i="178"/>
  <c r="AAJ67" i="178"/>
  <c r="AG12" i="179" s="1"/>
  <c r="AAJ68" i="178"/>
  <c r="AH12" i="179" s="1"/>
  <c r="ZA17" i="178"/>
  <c r="Q17" i="179" s="1"/>
  <c r="YW101" i="178"/>
  <c r="YX88" i="178"/>
  <c r="YY88" i="178" s="1"/>
  <c r="YU89" i="178"/>
  <c r="ZT73" i="178"/>
  <c r="ZV73" i="178"/>
  <c r="ZS77" i="178"/>
  <c r="ZU77" i="178" s="1"/>
  <c r="ZS80" i="178"/>
  <c r="ZI75" i="178"/>
  <c r="ZI76" i="178" s="1"/>
  <c r="ZH76" i="178" s="1"/>
  <c r="ZL79" i="178" s="1"/>
  <c r="T13" i="179" s="1"/>
  <c r="ZK75" i="178"/>
  <c r="ZK85" i="178"/>
  <c r="S14" i="179"/>
  <c r="ZK84" i="178"/>
  <c r="ZI81" i="178"/>
  <c r="ZK86" i="178" l="1"/>
  <c r="ZW72" i="178"/>
  <c r="AE12" i="179"/>
  <c r="AAI70" i="178"/>
  <c r="AAI71" i="178"/>
  <c r="YY98" i="178"/>
  <c r="YY99" i="178"/>
  <c r="M16" i="179"/>
  <c r="ZX74" i="178"/>
  <c r="AA13" i="179" s="1"/>
  <c r="ZS74" i="178"/>
  <c r="ZX75" i="178"/>
  <c r="AB13" i="179" s="1"/>
  <c r="YW95" i="178"/>
  <c r="ZJ91" i="178"/>
  <c r="ZG92" i="178"/>
  <c r="ZI92" i="178" s="1"/>
  <c r="ZJ92" i="178" s="1"/>
  <c r="YX101" i="178"/>
  <c r="YV101" i="178"/>
  <c r="YU105" i="178"/>
  <c r="YW105" i="178" s="1"/>
  <c r="ZM16" i="178"/>
  <c r="W16" i="179" s="1"/>
  <c r="ZI94" i="178"/>
  <c r="ZJ81" i="178"/>
  <c r="ZK81" i="178" s="1"/>
  <c r="ZG82" i="178"/>
  <c r="ZY14" i="178"/>
  <c r="AC14" i="179" s="1"/>
  <c r="ZU80" i="178"/>
  <c r="YW89" i="178"/>
  <c r="YW90" i="178" s="1"/>
  <c r="YV90" i="178" s="1"/>
  <c r="YZ93" i="178" s="1"/>
  <c r="N15" i="179" s="1"/>
  <c r="YY89" i="178"/>
  <c r="AAG67" i="178"/>
  <c r="AAG61" i="178"/>
  <c r="AAG62" i="178" s="1"/>
  <c r="AAF62" i="178" s="1"/>
  <c r="AAJ65" i="178" s="1"/>
  <c r="AF11" i="179" s="1"/>
  <c r="AAI61" i="178"/>
  <c r="ZV67" i="178"/>
  <c r="ZW67" i="178" s="1"/>
  <c r="ZS68" i="178"/>
  <c r="ZV77" i="178"/>
  <c r="ZS78" i="178"/>
  <c r="ZU78" i="178" s="1"/>
  <c r="ZV78" i="178" s="1"/>
  <c r="AAH73" i="178"/>
  <c r="AAF73" i="178"/>
  <c r="AAE80" i="178"/>
  <c r="AAE77" i="178"/>
  <c r="AAG77" i="178" s="1"/>
  <c r="ZG88" i="178"/>
  <c r="ZL89" i="178"/>
  <c r="V15" i="179" s="1"/>
  <c r="ZL88" i="178"/>
  <c r="U15" i="179" s="1"/>
  <c r="ZX73" i="178"/>
  <c r="ZW73" i="178"/>
  <c r="ZL87" i="178"/>
  <c r="ZK87" i="178"/>
  <c r="AAI72" i="178" l="1"/>
  <c r="ZH94" i="178"/>
  <c r="ZJ94" i="178"/>
  <c r="ZG98" i="178"/>
  <c r="ZI98" i="178" s="1"/>
  <c r="ZG101" i="178"/>
  <c r="YU102" i="178"/>
  <c r="YZ102" i="178"/>
  <c r="O17" i="179" s="1"/>
  <c r="YZ103" i="178"/>
  <c r="P17" i="179" s="1"/>
  <c r="S15" i="179"/>
  <c r="ZK92" i="178"/>
  <c r="ZK91" i="178"/>
  <c r="AAJ75" i="178"/>
  <c r="AH13" i="179" s="1"/>
  <c r="AAE74" i="178"/>
  <c r="AAJ74" i="178"/>
  <c r="AG13" i="179" s="1"/>
  <c r="ZU68" i="178"/>
  <c r="ZU69" i="178" s="1"/>
  <c r="ZT69" i="178" s="1"/>
  <c r="ZX72" i="178" s="1"/>
  <c r="Z12" i="179" s="1"/>
  <c r="ZW68" i="178"/>
  <c r="ZI82" i="178"/>
  <c r="ZI83" i="178" s="1"/>
  <c r="ZH83" i="178" s="1"/>
  <c r="ZL86" i="178" s="1"/>
  <c r="T14" i="179" s="1"/>
  <c r="ZK82" i="178"/>
  <c r="YY101" i="178"/>
  <c r="YZ101" i="178"/>
  <c r="AAK14" i="178"/>
  <c r="AI14" i="179" s="1"/>
  <c r="AAG80" i="178"/>
  <c r="AAH67" i="178"/>
  <c r="AAI67" i="178" s="1"/>
  <c r="AAE68" i="178"/>
  <c r="ZI88" i="178"/>
  <c r="AAI73" i="178"/>
  <c r="AAJ73" i="178"/>
  <c r="ZV80" i="178"/>
  <c r="ZT80" i="178"/>
  <c r="ZS84" i="178"/>
  <c r="ZU84" i="178" s="1"/>
  <c r="ZS87" i="178"/>
  <c r="ZW77" i="178"/>
  <c r="Y13" i="179"/>
  <c r="ZW78" i="178"/>
  <c r="AAH77" i="178"/>
  <c r="AAE78" i="178"/>
  <c r="AAG78" i="178" s="1"/>
  <c r="AAH78" i="178" s="1"/>
  <c r="YX105" i="178"/>
  <c r="YU106" i="178"/>
  <c r="YW106" i="178" s="1"/>
  <c r="YX106" i="178" s="1"/>
  <c r="ZU74" i="178"/>
  <c r="YX95" i="178"/>
  <c r="YY95" i="178" s="1"/>
  <c r="YU96" i="178"/>
  <c r="YY100" i="178"/>
  <c r="ZW79" i="178" l="1"/>
  <c r="AAG74" i="178"/>
  <c r="YW102" i="178"/>
  <c r="ZS81" i="178"/>
  <c r="ZX81" i="178"/>
  <c r="AA14" i="179" s="1"/>
  <c r="ZX82" i="178"/>
  <c r="AB14" i="179" s="1"/>
  <c r="YY106" i="178"/>
  <c r="M17" i="179"/>
  <c r="YY105" i="178"/>
  <c r="ZM17" i="178"/>
  <c r="W17" i="179" s="1"/>
  <c r="ZI101" i="178"/>
  <c r="ZJ88" i="178"/>
  <c r="ZK88" i="178" s="1"/>
  <c r="ZG89" i="178"/>
  <c r="AAH80" i="178"/>
  <c r="AAF80" i="178"/>
  <c r="AAE84" i="178"/>
  <c r="AAG84" i="178" s="1"/>
  <c r="AAE87" i="178"/>
  <c r="ZJ98" i="178"/>
  <c r="ZG99" i="178"/>
  <c r="ZI99" i="178" s="1"/>
  <c r="ZJ99" i="178" s="1"/>
  <c r="ZV74" i="178"/>
  <c r="ZW74" i="178" s="1"/>
  <c r="ZS75" i="178"/>
  <c r="ZW80" i="178"/>
  <c r="ZX80" i="178"/>
  <c r="ZK93" i="178"/>
  <c r="YW96" i="178"/>
  <c r="YW97" i="178" s="1"/>
  <c r="YV97" i="178" s="1"/>
  <c r="YZ100" i="178" s="1"/>
  <c r="N16" i="179" s="1"/>
  <c r="YY96" i="178"/>
  <c r="ZY15" i="178"/>
  <c r="AC15" i="179" s="1"/>
  <c r="ZU87" i="178"/>
  <c r="AE13" i="179"/>
  <c r="AAI78" i="178"/>
  <c r="AAI77" i="178"/>
  <c r="AAG68" i="178"/>
  <c r="AAG69" i="178" s="1"/>
  <c r="AAF69" i="178" s="1"/>
  <c r="AAJ72" i="178" s="1"/>
  <c r="AF12" i="179" s="1"/>
  <c r="AAI68" i="178"/>
  <c r="ZL94" i="178"/>
  <c r="ZK94" i="178"/>
  <c r="ZV84" i="178"/>
  <c r="ZS85" i="178"/>
  <c r="ZU85" i="178" s="1"/>
  <c r="ZV85" i="178" s="1"/>
  <c r="ZG95" i="178"/>
  <c r="ZL95" i="178"/>
  <c r="U16" i="179" s="1"/>
  <c r="ZL96" i="178"/>
  <c r="V16" i="179" s="1"/>
  <c r="YY107" i="178" l="1"/>
  <c r="S16" i="179"/>
  <c r="ZK99" i="178"/>
  <c r="ZK98" i="178"/>
  <c r="AAH84" i="178"/>
  <c r="AAE85" i="178"/>
  <c r="AAG85" i="178" s="1"/>
  <c r="AAH85" i="178" s="1"/>
  <c r="YX102" i="178"/>
  <c r="YY102" i="178" s="1"/>
  <c r="YU103" i="178"/>
  <c r="ZW85" i="178"/>
  <c r="Y14" i="179"/>
  <c r="ZW84" i="178"/>
  <c r="AAE81" i="178"/>
  <c r="AAJ81" i="178"/>
  <c r="AG14" i="179" s="1"/>
  <c r="AAJ82" i="178"/>
  <c r="AH14" i="179" s="1"/>
  <c r="AAI79" i="178"/>
  <c r="AAI80" i="178"/>
  <c r="AAJ80" i="178"/>
  <c r="ZJ101" i="178"/>
  <c r="ZH101" i="178"/>
  <c r="ZG105" i="178"/>
  <c r="ZI105" i="178" s="1"/>
  <c r="AAH74" i="178"/>
  <c r="AAI74" i="178" s="1"/>
  <c r="AAE75" i="178"/>
  <c r="ZI95" i="178"/>
  <c r="ZV87" i="178"/>
  <c r="ZT87" i="178"/>
  <c r="ZS91" i="178"/>
  <c r="ZU91" i="178" s="1"/>
  <c r="ZS94" i="178"/>
  <c r="ZU75" i="178"/>
  <c r="ZU76" i="178" s="1"/>
  <c r="ZT76" i="178" s="1"/>
  <c r="ZX79" i="178" s="1"/>
  <c r="Z13" i="179" s="1"/>
  <c r="ZW75" i="178"/>
  <c r="AAK15" i="178"/>
  <c r="AI15" i="179" s="1"/>
  <c r="AAG87" i="178"/>
  <c r="ZI89" i="178"/>
  <c r="ZI90" i="178" s="1"/>
  <c r="ZH90" i="178" s="1"/>
  <c r="ZL93" i="178" s="1"/>
  <c r="T15" i="179" s="1"/>
  <c r="ZK89" i="178"/>
  <c r="ZU81" i="178"/>
  <c r="ZK100" i="178" l="1"/>
  <c r="ZW86" i="178"/>
  <c r="ZS88" i="178"/>
  <c r="ZX89" i="178"/>
  <c r="AB15" i="179" s="1"/>
  <c r="ZX88" i="178"/>
  <c r="AA15" i="179" s="1"/>
  <c r="ZY16" i="178"/>
  <c r="AC16" i="179" s="1"/>
  <c r="ZU94" i="178"/>
  <c r="ZJ95" i="178"/>
  <c r="ZK95" i="178" s="1"/>
  <c r="ZG96" i="178"/>
  <c r="ZJ105" i="178"/>
  <c r="ZG106" i="178"/>
  <c r="ZI106" i="178" s="1"/>
  <c r="ZJ106" i="178" s="1"/>
  <c r="ZV91" i="178"/>
  <c r="ZS92" i="178"/>
  <c r="ZU92" i="178" s="1"/>
  <c r="ZV92" i="178" s="1"/>
  <c r="ZG102" i="178"/>
  <c r="ZL102" i="178"/>
  <c r="U17" i="179" s="1"/>
  <c r="ZL103" i="178"/>
  <c r="V17" i="179" s="1"/>
  <c r="YW103" i="178"/>
  <c r="YW104" i="178" s="1"/>
  <c r="YV104" i="178" s="1"/>
  <c r="YZ107" i="178" s="1"/>
  <c r="N17" i="179" s="1"/>
  <c r="YY103" i="178"/>
  <c r="ZV81" i="178"/>
  <c r="ZW81" i="178" s="1"/>
  <c r="ZS82" i="178"/>
  <c r="AAG75" i="178"/>
  <c r="AAG76" i="178" s="1"/>
  <c r="AAF76" i="178" s="1"/>
  <c r="AAJ79" i="178" s="1"/>
  <c r="AF13" i="179" s="1"/>
  <c r="AAI75" i="178"/>
  <c r="ZK101" i="178"/>
  <c r="ZL101" i="178"/>
  <c r="ZX87" i="178"/>
  <c r="ZW87" i="178"/>
  <c r="AAI85" i="178"/>
  <c r="AAI84" i="178"/>
  <c r="AE14" i="179"/>
  <c r="AAH87" i="178"/>
  <c r="AAF87" i="178"/>
  <c r="AAE94" i="178"/>
  <c r="AAE91" i="178"/>
  <c r="AAG91" i="178" s="1"/>
  <c r="AAG81" i="178"/>
  <c r="AAE88" i="178" l="1"/>
  <c r="AAJ89" i="178"/>
  <c r="AH15" i="179" s="1"/>
  <c r="AAJ88" i="178"/>
  <c r="AG15" i="179" s="1"/>
  <c r="AAI86" i="178"/>
  <c r="S17" i="179"/>
  <c r="ZK106" i="178"/>
  <c r="ZK105" i="178"/>
  <c r="ZU82" i="178"/>
  <c r="ZU83" i="178" s="1"/>
  <c r="ZT83" i="178" s="1"/>
  <c r="ZX86" i="178" s="1"/>
  <c r="Z14" i="179" s="1"/>
  <c r="ZW82" i="178"/>
  <c r="AAK16" i="178"/>
  <c r="AI16" i="179" s="1"/>
  <c r="AAG94" i="178"/>
  <c r="ZV94" i="178"/>
  <c r="ZT94" i="178"/>
  <c r="ZS98" i="178"/>
  <c r="ZU98" i="178" s="1"/>
  <c r="ZS101" i="178"/>
  <c r="ZW92" i="178"/>
  <c r="Y15" i="179"/>
  <c r="ZW91" i="178"/>
  <c r="AAH81" i="178"/>
  <c r="AAI81" i="178" s="1"/>
  <c r="AAE82" i="178"/>
  <c r="AAJ87" i="178"/>
  <c r="AAI87" i="178"/>
  <c r="AAH91" i="178"/>
  <c r="AAE92" i="178"/>
  <c r="AAG92" i="178" s="1"/>
  <c r="AAH92" i="178" s="1"/>
  <c r="ZI102" i="178"/>
  <c r="ZI96" i="178"/>
  <c r="ZI97" i="178" s="1"/>
  <c r="ZH97" i="178" s="1"/>
  <c r="ZL100" i="178" s="1"/>
  <c r="T16" i="179" s="1"/>
  <c r="ZK96" i="178"/>
  <c r="ZU88" i="178"/>
  <c r="ZW93" i="178" l="1"/>
  <c r="AE15" i="179"/>
  <c r="AAI92" i="178"/>
  <c r="AAI91" i="178"/>
  <c r="AAG88" i="178"/>
  <c r="AAG82" i="178"/>
  <c r="AAG83" i="178" s="1"/>
  <c r="AAF83" i="178" s="1"/>
  <c r="AAJ86" i="178" s="1"/>
  <c r="AF14" i="179" s="1"/>
  <c r="AAI82" i="178"/>
  <c r="ZX96" i="178"/>
  <c r="AB16" i="179" s="1"/>
  <c r="ZS95" i="178"/>
  <c r="ZX95" i="178"/>
  <c r="AA16" i="179" s="1"/>
  <c r="ZK107" i="178"/>
  <c r="ZX94" i="178"/>
  <c r="ZW94" i="178"/>
  <c r="ZJ102" i="178"/>
  <c r="ZK102" i="178" s="1"/>
  <c r="ZG103" i="178"/>
  <c r="ZY17" i="178"/>
  <c r="AC17" i="179" s="1"/>
  <c r="ZU101" i="178"/>
  <c r="AAH94" i="178"/>
  <c r="AAF94" i="178"/>
  <c r="AAE101" i="178"/>
  <c r="AAE98" i="178"/>
  <c r="AAG98" i="178" s="1"/>
  <c r="ZV88" i="178"/>
  <c r="ZW88" i="178" s="1"/>
  <c r="ZS89" i="178"/>
  <c r="ZV98" i="178"/>
  <c r="ZS99" i="178"/>
  <c r="ZU99" i="178" s="1"/>
  <c r="ZV99" i="178" s="1"/>
  <c r="ZV101" i="178" l="1"/>
  <c r="ZT101" i="178"/>
  <c r="ZS105" i="178"/>
  <c r="ZU105" i="178" s="1"/>
  <c r="ZI103" i="178"/>
  <c r="ZI104" i="178" s="1"/>
  <c r="ZH104" i="178" s="1"/>
  <c r="ZL107" i="178" s="1"/>
  <c r="T17" i="179" s="1"/>
  <c r="ZK103" i="178"/>
  <c r="AAK17" i="178"/>
  <c r="AI17" i="179" s="1"/>
  <c r="AAG101" i="178"/>
  <c r="ZU89" i="178"/>
  <c r="ZU90" i="178" s="1"/>
  <c r="ZT90" i="178" s="1"/>
  <c r="ZX93" i="178" s="1"/>
  <c r="Z15" i="179" s="1"/>
  <c r="ZW89" i="178"/>
  <c r="AAE95" i="178"/>
  <c r="AAJ96" i="178"/>
  <c r="AH16" i="179" s="1"/>
  <c r="AAJ95" i="178"/>
  <c r="AG16" i="179" s="1"/>
  <c r="ZU95" i="178"/>
  <c r="AAH88" i="178"/>
  <c r="AAI88" i="178" s="1"/>
  <c r="AAE89" i="178"/>
  <c r="AAH98" i="178"/>
  <c r="AAE99" i="178"/>
  <c r="AAG99" i="178" s="1"/>
  <c r="AAH99" i="178" s="1"/>
  <c r="AAI93" i="178"/>
  <c r="AAJ94" i="178"/>
  <c r="AAI94" i="178"/>
  <c r="Y16" i="179"/>
  <c r="ZW99" i="178"/>
  <c r="ZW98" i="178"/>
  <c r="ZW100" i="178" l="1"/>
  <c r="ZV95" i="178"/>
  <c r="ZW95" i="178" s="1"/>
  <c r="ZS96" i="178"/>
  <c r="ZV105" i="178"/>
  <c r="ZS106" i="178"/>
  <c r="ZU106" i="178" s="1"/>
  <c r="ZV106" i="178" s="1"/>
  <c r="AAF101" i="178"/>
  <c r="AAH101" i="178"/>
  <c r="AAE105" i="178"/>
  <c r="AAG105" i="178" s="1"/>
  <c r="ZS102" i="178"/>
  <c r="ZX103" i="178"/>
  <c r="AB17" i="179" s="1"/>
  <c r="ZX102" i="178"/>
  <c r="AA17" i="179" s="1"/>
  <c r="AAG95" i="178"/>
  <c r="AAI99" i="178"/>
  <c r="AE16" i="179"/>
  <c r="AAI98" i="178"/>
  <c r="AAG89" i="178"/>
  <c r="AAG90" i="178" s="1"/>
  <c r="AAF90" i="178" s="1"/>
  <c r="AAJ93" i="178" s="1"/>
  <c r="AF15" i="179" s="1"/>
  <c r="AAI89" i="178"/>
  <c r="ZW101" i="178"/>
  <c r="ZX101" i="178"/>
  <c r="Y17" i="179" l="1"/>
  <c r="ZW105" i="178"/>
  <c r="ZW106" i="178"/>
  <c r="AAH95" i="178"/>
  <c r="AAI95" i="178" s="1"/>
  <c r="AAE96" i="178"/>
  <c r="ZU102" i="178"/>
  <c r="AAI100" i="178"/>
  <c r="AAH105" i="178"/>
  <c r="AAE106" i="178"/>
  <c r="AAG106" i="178" s="1"/>
  <c r="AAH106" i="178" s="1"/>
  <c r="AAI101" i="178"/>
  <c r="AAJ101" i="178"/>
  <c r="ZU96" i="178"/>
  <c r="ZU97" i="178" s="1"/>
  <c r="ZT97" i="178" s="1"/>
  <c r="ZX100" i="178" s="1"/>
  <c r="Z16" i="179" s="1"/>
  <c r="ZW96" i="178"/>
  <c r="AAE102" i="178"/>
  <c r="AAJ103" i="178"/>
  <c r="AH17" i="179" s="1"/>
  <c r="AAJ102" i="178"/>
  <c r="AG17" i="179" s="1"/>
  <c r="ZW107" i="178" l="1"/>
  <c r="AAG102" i="178"/>
  <c r="ZV102" i="178"/>
  <c r="ZW102" i="178" s="1"/>
  <c r="ZS103" i="178"/>
  <c r="AAG96" i="178"/>
  <c r="AAG97" i="178" s="1"/>
  <c r="AAF97" i="178" s="1"/>
  <c r="AAJ100" i="178" s="1"/>
  <c r="AF16" i="179" s="1"/>
  <c r="AAI96" i="178"/>
  <c r="AE17" i="179"/>
  <c r="AAI106" i="178"/>
  <c r="AAI105" i="178"/>
  <c r="AAI107" i="178" l="1"/>
  <c r="ZU103" i="178"/>
  <c r="ZU104" i="178" s="1"/>
  <c r="ZT104" i="178" s="1"/>
  <c r="ZX107" i="178" s="1"/>
  <c r="Z17" i="179" s="1"/>
  <c r="ZW103" i="178"/>
  <c r="AAH102" i="178"/>
  <c r="AAI102" i="178" s="1"/>
  <c r="AAE103" i="178"/>
  <c r="AAG103" i="178" l="1"/>
  <c r="AAG104" i="178" s="1"/>
  <c r="AAF104" i="178" s="1"/>
  <c r="AAJ107" i="178" s="1"/>
  <c r="AF17" i="179" s="1"/>
  <c r="AAI103" i="178"/>
  <c r="C3" i="182" l="1"/>
  <c r="E3" i="182" s="1"/>
  <c r="G8" i="182" s="1"/>
  <c r="G14" i="182" l="1"/>
  <c r="G3" i="182"/>
  <c r="G12" i="182"/>
  <c r="G10" i="182"/>
  <c r="G4" i="182"/>
  <c r="G13" i="182"/>
  <c r="G7" i="182"/>
  <c r="G6" i="182"/>
  <c r="G11" i="182"/>
  <c r="G9" i="182"/>
  <c r="G5" i="182"/>
  <c r="H3" i="182" l="1"/>
  <c r="J3" i="182" s="1"/>
  <c r="K3" i="182" s="1"/>
  <c r="L3" i="182" s="1"/>
  <c r="AN3" i="182" s="1"/>
  <c r="AP3" i="182" l="1"/>
  <c r="AR6" i="182"/>
  <c r="AH3" i="182"/>
  <c r="AJ3" i="182" s="1"/>
  <c r="AZ9" i="182"/>
  <c r="BN3" i="182"/>
  <c r="AB5" i="182"/>
  <c r="AB14" i="182"/>
  <c r="AZ14" i="182"/>
  <c r="N10" i="182"/>
  <c r="AB10" i="182"/>
  <c r="AZ7" i="182"/>
  <c r="AZ4" i="182"/>
  <c r="N14" i="182"/>
  <c r="AB12" i="182"/>
  <c r="BN6" i="182"/>
  <c r="BN10" i="182"/>
  <c r="N5" i="182"/>
  <c r="BN9" i="182"/>
  <c r="N8" i="182"/>
  <c r="AB11" i="182"/>
  <c r="AZ10" i="182"/>
  <c r="N9" i="182"/>
  <c r="AZ13" i="182"/>
  <c r="BN5" i="182"/>
  <c r="AZ3" i="182"/>
  <c r="AB13" i="182"/>
  <c r="AB9" i="182"/>
  <c r="AZ8" i="182"/>
  <c r="BN12" i="182"/>
  <c r="N4" i="182"/>
  <c r="AB7" i="182"/>
  <c r="AR3" i="182"/>
  <c r="AZ12" i="182"/>
  <c r="AB8" i="182"/>
  <c r="BN7" i="182"/>
  <c r="BN14" i="182"/>
  <c r="N6" i="182"/>
  <c r="AB4" i="182"/>
  <c r="N7" i="182"/>
  <c r="BN4" i="182"/>
  <c r="N12" i="182"/>
  <c r="BN13" i="182"/>
  <c r="AB6" i="182"/>
  <c r="N3" i="182"/>
  <c r="BN11" i="182"/>
  <c r="AR5" i="182"/>
  <c r="AB3" i="182"/>
  <c r="BN8" i="182"/>
  <c r="AR7" i="182"/>
  <c r="AZ6" i="182"/>
  <c r="N11" i="182"/>
  <c r="AR11" i="182"/>
  <c r="AR12" i="182"/>
  <c r="AR14" i="182"/>
  <c r="N13" i="182"/>
  <c r="AR13" i="182"/>
  <c r="AR8" i="182"/>
  <c r="AR10" i="182"/>
  <c r="AZ5" i="182"/>
  <c r="AZ11" i="182"/>
  <c r="AR9" i="182"/>
  <c r="AR4" i="182"/>
  <c r="AS3" i="182" l="1"/>
  <c r="AT3" i="182" s="1"/>
  <c r="BA3" i="182"/>
  <c r="BB3" i="182" s="1"/>
  <c r="BD3" i="182" s="1"/>
  <c r="BF9" i="182" s="1"/>
  <c r="BO3" i="182"/>
  <c r="BP3" i="182" s="1"/>
  <c r="BR3" i="182" s="1"/>
  <c r="O3" i="182"/>
  <c r="P3" i="182" s="1"/>
  <c r="T11" i="182" s="1"/>
  <c r="AC3" i="182"/>
  <c r="AD3" i="182" s="1"/>
  <c r="AF3" i="182" s="1"/>
  <c r="AK3" i="182" s="1"/>
  <c r="AV3" i="182" l="1"/>
  <c r="AW3" i="182" s="1"/>
  <c r="AX3" i="182" s="1"/>
  <c r="BF13" i="182"/>
  <c r="BF8" i="182"/>
  <c r="BF10" i="182"/>
  <c r="BF7" i="182"/>
  <c r="BF12" i="182"/>
  <c r="BF11" i="182"/>
  <c r="BF3" i="182"/>
  <c r="BF14" i="182"/>
  <c r="BF5" i="182"/>
  <c r="BF4" i="182"/>
  <c r="BF6" i="182"/>
  <c r="BT13" i="182"/>
  <c r="BT11" i="182"/>
  <c r="BT9" i="182"/>
  <c r="BT5" i="182"/>
  <c r="BT4" i="182"/>
  <c r="BT8" i="182"/>
  <c r="T14" i="182"/>
  <c r="BT7" i="182"/>
  <c r="BT14" i="182"/>
  <c r="BT10" i="182"/>
  <c r="T10" i="182"/>
  <c r="T6" i="182"/>
  <c r="BT3" i="182"/>
  <c r="BT6" i="182"/>
  <c r="BT12" i="182"/>
  <c r="R3" i="182"/>
  <c r="T13" i="182"/>
  <c r="T9" i="182"/>
  <c r="T5" i="182"/>
  <c r="T3" i="182"/>
  <c r="T12" i="182"/>
  <c r="T7" i="182"/>
  <c r="T8" i="182"/>
  <c r="T4" i="182"/>
  <c r="AL3" i="182"/>
  <c r="EE3" i="182" l="1"/>
  <c r="DM8" i="182"/>
  <c r="DM9" i="182"/>
  <c r="DM10" i="182"/>
  <c r="FF10" i="182"/>
  <c r="EE14" i="182"/>
  <c r="EW11" i="182"/>
  <c r="EN8" i="182"/>
  <c r="FF13" i="182"/>
  <c r="EW14" i="182"/>
  <c r="CB10" i="182"/>
  <c r="EW5" i="182"/>
  <c r="EN13" i="182"/>
  <c r="EN9" i="182"/>
  <c r="CB13" i="182"/>
  <c r="EE11" i="182"/>
  <c r="DC12" i="182"/>
  <c r="EE5" i="182"/>
  <c r="FF3" i="182"/>
  <c r="CB6" i="182"/>
  <c r="DU5" i="182"/>
  <c r="FF14" i="182"/>
  <c r="EE6" i="182"/>
  <c r="DU9" i="182"/>
  <c r="EW3" i="182"/>
  <c r="DM13" i="182"/>
  <c r="DU14" i="182"/>
  <c r="FF7" i="182"/>
  <c r="CB5" i="182"/>
  <c r="EE12" i="182"/>
  <c r="EW8" i="182"/>
  <c r="DC4" i="182"/>
  <c r="DU3" i="182"/>
  <c r="DM3" i="182"/>
  <c r="DM11" i="182"/>
  <c r="DM7" i="182"/>
  <c r="CB3" i="182"/>
  <c r="EW9" i="182"/>
  <c r="FF4" i="182"/>
  <c r="DU7" i="182"/>
  <c r="EE13" i="182"/>
  <c r="EW12" i="182"/>
  <c r="DC13" i="182"/>
  <c r="DU13" i="182"/>
  <c r="EW4" i="182"/>
  <c r="EW13" i="182"/>
  <c r="DU4" i="182"/>
  <c r="EN3" i="182"/>
  <c r="EW6" i="182"/>
  <c r="CB9" i="182"/>
  <c r="FF11" i="182"/>
  <c r="EN10" i="182"/>
  <c r="DU6" i="182"/>
  <c r="DC14" i="182"/>
  <c r="EN11" i="182"/>
  <c r="DC7" i="182"/>
  <c r="DM12" i="182"/>
  <c r="EE4" i="182"/>
  <c r="FF8" i="182"/>
  <c r="CB11" i="182"/>
  <c r="DC6" i="182"/>
  <c r="CB14" i="182"/>
  <c r="CB7" i="182"/>
  <c r="CB8" i="182"/>
  <c r="DM4" i="182"/>
  <c r="DM5" i="182"/>
  <c r="DM6" i="182"/>
  <c r="DU11" i="182"/>
  <c r="EE10" i="182"/>
  <c r="DC11" i="182"/>
  <c r="DC5" i="182"/>
  <c r="DC10" i="182"/>
  <c r="EE9" i="182"/>
  <c r="FF5" i="182"/>
  <c r="DU12" i="182"/>
  <c r="DU10" i="182"/>
  <c r="FF6" i="182"/>
  <c r="EN12" i="182"/>
  <c r="EN7" i="182"/>
  <c r="EN14" i="182"/>
  <c r="EN6" i="182"/>
  <c r="EW10" i="182"/>
  <c r="DC3" i="182"/>
  <c r="DC8" i="182"/>
  <c r="EW7" i="182"/>
  <c r="EE7" i="182"/>
  <c r="EN4" i="182"/>
  <c r="CB12" i="182"/>
  <c r="DM14" i="182"/>
  <c r="CB4" i="182"/>
  <c r="EN5" i="182"/>
  <c r="EE8" i="182"/>
  <c r="FF12" i="182"/>
  <c r="DU8" i="182"/>
  <c r="DC9" i="182"/>
  <c r="FF9" i="182"/>
  <c r="BG3" i="182"/>
  <c r="BH3" i="182" s="1"/>
  <c r="BJ3" i="182" s="1"/>
  <c r="BK3" i="182" s="1"/>
  <c r="BL3" i="182" s="1"/>
  <c r="U3" i="182"/>
  <c r="V3" i="182" s="1"/>
  <c r="X3" i="182" s="1"/>
  <c r="Y3" i="182" s="1"/>
  <c r="Z3" i="182" s="1"/>
  <c r="BU3" i="182"/>
  <c r="BV3" i="182" s="1"/>
  <c r="BY3" i="182" s="1"/>
  <c r="BZ3" i="182" s="1"/>
  <c r="CL14" i="182"/>
  <c r="CV12" i="182"/>
  <c r="CY3" i="182"/>
  <c r="CV11" i="182"/>
  <c r="CL7" i="182"/>
  <c r="CV8" i="182"/>
  <c r="CL4" i="182"/>
  <c r="CV4" i="182"/>
  <c r="CV7" i="182"/>
  <c r="CV13" i="182"/>
  <c r="CL3" i="182"/>
  <c r="CL9" i="182"/>
  <c r="CV14" i="182"/>
  <c r="CL10" i="182"/>
  <c r="CV10" i="182"/>
  <c r="CL13" i="182"/>
  <c r="CL12" i="182"/>
  <c r="CV3" i="182"/>
  <c r="CL11" i="182"/>
  <c r="CV6" i="182"/>
  <c r="CV5" i="182"/>
  <c r="CL5" i="182"/>
  <c r="CL6" i="182"/>
  <c r="CL8" i="182"/>
  <c r="CV9" i="182"/>
  <c r="EO3" i="182" l="1"/>
  <c r="EP3" i="182" s="1"/>
  <c r="EX3" i="182"/>
  <c r="EY3" i="182" s="1"/>
  <c r="FA3" i="182" s="1"/>
  <c r="FB3" i="182" s="1"/>
  <c r="FC3" i="182" s="1"/>
  <c r="DD3" i="182"/>
  <c r="DE3" i="182" s="1"/>
  <c r="EF3" i="182"/>
  <c r="EG3" i="182" s="1"/>
  <c r="EI3" i="182" s="1"/>
  <c r="EG4" i="182" s="1"/>
  <c r="CC3" i="182"/>
  <c r="CD3" i="182" s="1"/>
  <c r="DG7" i="182" s="1"/>
  <c r="DV3" i="182"/>
  <c r="DW3" i="182" s="1"/>
  <c r="FG3" i="182"/>
  <c r="FH3" i="182" s="1"/>
  <c r="FJ3" i="182" s="1"/>
  <c r="FH4" i="182" s="1"/>
  <c r="FJ4" i="182" s="1"/>
  <c r="FK4" i="182" s="1"/>
  <c r="FL4" i="182" s="1"/>
  <c r="DN3" i="182"/>
  <c r="DP3" i="182" s="1"/>
  <c r="BX3" i="182"/>
  <c r="CM3" i="182"/>
  <c r="CN3" i="182" s="1"/>
  <c r="CP9" i="182" s="1"/>
  <c r="CW3" i="182"/>
  <c r="CX3" i="182" s="1"/>
  <c r="CZ3" i="182" s="1"/>
  <c r="DA3" i="182" s="1"/>
  <c r="ER3" i="182" l="1"/>
  <c r="CF13" i="182"/>
  <c r="CF14" i="182"/>
  <c r="CF8" i="182"/>
  <c r="CF10" i="182"/>
  <c r="DG14" i="182"/>
  <c r="CF9" i="182"/>
  <c r="DG4" i="182"/>
  <c r="CF4" i="182"/>
  <c r="CF5" i="182"/>
  <c r="EY4" i="182"/>
  <c r="FA4" i="182" s="1"/>
  <c r="FB4" i="182" s="1"/>
  <c r="FC4" i="182" s="1"/>
  <c r="FD3" i="182" s="1"/>
  <c r="D44" i="149" s="1"/>
  <c r="DG8" i="182"/>
  <c r="DG5" i="182"/>
  <c r="CF3" i="182"/>
  <c r="DG6" i="182"/>
  <c r="DG13" i="182"/>
  <c r="CF7" i="182"/>
  <c r="DG12" i="182"/>
  <c r="DG3" i="182"/>
  <c r="DG11" i="182"/>
  <c r="CF12" i="182"/>
  <c r="CF6" i="182"/>
  <c r="DG10" i="182"/>
  <c r="CF11" i="182"/>
  <c r="DG9" i="182"/>
  <c r="EJ3" i="182"/>
  <c r="EK3" i="182" s="1"/>
  <c r="DP12" i="182"/>
  <c r="DP6" i="182"/>
  <c r="DP11" i="182"/>
  <c r="DP14" i="182"/>
  <c r="DP5" i="182"/>
  <c r="DP10" i="182"/>
  <c r="DP9" i="182"/>
  <c r="DP4" i="182"/>
  <c r="DP13" i="182"/>
  <c r="DP8" i="182"/>
  <c r="DP7" i="182"/>
  <c r="FK3" i="182"/>
  <c r="FL3" i="182" s="1"/>
  <c r="FM3" i="182" s="1"/>
  <c r="D45" i="149" s="1"/>
  <c r="CP7" i="182"/>
  <c r="CP6" i="182"/>
  <c r="CP5" i="182"/>
  <c r="CP4" i="182"/>
  <c r="CP14" i="182"/>
  <c r="CP10" i="182"/>
  <c r="CP11" i="182"/>
  <c r="CP8" i="182"/>
  <c r="CP12" i="182"/>
  <c r="CP13" i="182"/>
  <c r="CP3" i="182"/>
  <c r="DY7" i="182"/>
  <c r="DY10" i="182"/>
  <c r="DY5" i="182"/>
  <c r="DY11" i="182"/>
  <c r="DY3" i="182"/>
  <c r="DY8" i="182"/>
  <c r="DY6" i="182"/>
  <c r="DY13" i="182"/>
  <c r="DY12" i="182"/>
  <c r="DY14" i="182"/>
  <c r="DY4" i="182"/>
  <c r="DY9" i="182"/>
  <c r="EC3" i="182"/>
  <c r="EI4" i="182"/>
  <c r="EJ4" i="182" s="1"/>
  <c r="EK4" i="182" s="1"/>
  <c r="EP4" i="182" l="1"/>
  <c r="ER4" i="182" s="1"/>
  <c r="ES4" i="182" s="1"/>
  <c r="ET4" i="182" s="1"/>
  <c r="ES3" i="182"/>
  <c r="ET3" i="182" s="1"/>
  <c r="DH3" i="182"/>
  <c r="DI3" i="182" s="1"/>
  <c r="DJ3" i="182" s="1"/>
  <c r="DK3" i="182" s="1"/>
  <c r="CG3" i="182"/>
  <c r="CH3" i="182" s="1"/>
  <c r="CI3" i="182" s="1"/>
  <c r="CJ3" i="182" s="1"/>
  <c r="DQ3" i="182"/>
  <c r="DR3" i="182" s="1"/>
  <c r="DS3" i="182" s="1"/>
  <c r="EL3" i="182"/>
  <c r="CQ3" i="182"/>
  <c r="CR3" i="182" s="1"/>
  <c r="CS3" i="182" s="1"/>
  <c r="CT3" i="182" s="1"/>
  <c r="DZ3" i="182"/>
  <c r="EA3" i="182" s="1"/>
  <c r="EB3" i="182" s="1"/>
  <c r="D42" i="149" l="1"/>
  <c r="E43" i="149" s="1"/>
  <c r="EU3" i="182"/>
  <c r="D43" i="149" s="1"/>
  <c r="E45" i="149" l="1"/>
  <c r="D56" i="149" s="1"/>
  <c r="B3" i="184"/>
  <c r="C3" i="181"/>
  <c r="E3" i="181" s="1"/>
  <c r="E46" i="149" l="1"/>
  <c r="G6" i="181"/>
  <c r="G11" i="181"/>
  <c r="G4" i="181"/>
  <c r="G9" i="181"/>
  <c r="G10" i="181"/>
  <c r="G3" i="181"/>
  <c r="G8" i="181"/>
  <c r="G13" i="181"/>
  <c r="G14" i="181"/>
  <c r="G12" i="181"/>
  <c r="G7" i="181"/>
  <c r="G5" i="181"/>
  <c r="G56" i="149" l="1"/>
  <c r="H56" i="149" s="1"/>
  <c r="A56" i="149"/>
  <c r="H3" i="181"/>
  <c r="I56" i="149" l="1"/>
  <c r="J3" i="181"/>
  <c r="K3" i="181" s="1"/>
  <c r="L3" i="181" s="1"/>
  <c r="N3" i="181" l="1"/>
  <c r="N10" i="181"/>
  <c r="N6" i="181"/>
  <c r="N8" i="181"/>
  <c r="N7" i="181"/>
  <c r="N13" i="181"/>
  <c r="N11" i="181"/>
  <c r="N9" i="181"/>
  <c r="N5" i="181"/>
  <c r="N12" i="181"/>
  <c r="N4" i="181"/>
  <c r="N14" i="181"/>
  <c r="O3" i="181" l="1"/>
  <c r="Y6" i="181" l="1"/>
  <c r="Y10" i="181"/>
  <c r="Y14" i="181"/>
  <c r="Q6" i="181"/>
  <c r="Y9" i="181"/>
  <c r="Q13" i="181"/>
  <c r="Q9" i="181"/>
  <c r="Q7" i="181"/>
  <c r="Q10" i="181"/>
  <c r="Q12" i="181"/>
  <c r="Y13" i="181"/>
  <c r="Q11" i="181"/>
  <c r="Q5" i="181"/>
  <c r="Y3" i="181"/>
  <c r="Y8" i="181"/>
  <c r="Q14" i="181"/>
  <c r="Q3" i="181"/>
  <c r="Y4" i="181"/>
  <c r="Y11" i="181"/>
  <c r="Q8" i="181"/>
  <c r="Q4" i="181"/>
  <c r="Y5" i="181"/>
  <c r="Y7" i="181"/>
  <c r="Y12" i="181"/>
  <c r="Z3" i="181" l="1"/>
  <c r="R3" i="181"/>
  <c r="V10" i="181" l="1"/>
  <c r="V3" i="181"/>
  <c r="V8" i="181"/>
  <c r="S3" i="181"/>
  <c r="T3" i="181" s="1"/>
  <c r="V4" i="181"/>
  <c r="V9" i="181"/>
  <c r="V12" i="181"/>
  <c r="V5" i="181"/>
  <c r="V13" i="181"/>
  <c r="V14" i="181"/>
  <c r="V7" i="181"/>
  <c r="V11" i="181"/>
  <c r="V6" i="181"/>
  <c r="W3" i="181" l="1"/>
  <c r="AA3" i="181" s="1"/>
  <c r="AB3" i="181" s="1"/>
  <c r="AC3" i="181" s="1"/>
  <c r="D122" i="176" l="1"/>
  <c r="E122" i="176" s="1"/>
  <c r="ABI4" i="178"/>
  <c r="ABV3" i="178"/>
  <c r="ABW3" i="178" s="1"/>
  <c r="H1" i="176" l="1"/>
  <c r="I1" i="176"/>
  <c r="ABJ4" i="178"/>
  <c r="ABK4" i="178" s="1"/>
  <c r="ABE5" i="178"/>
  <c r="ABG5" i="178" s="1"/>
  <c r="ADR4" i="178"/>
  <c r="ADR3" i="178"/>
  <c r="T9" i="149" s="1"/>
  <c r="C51" i="149" l="1"/>
  <c r="C50" i="149" s="1"/>
  <c r="A60" i="149" s="1"/>
  <c r="U9" i="149"/>
  <c r="J1" i="176"/>
  <c r="ADI4" i="178"/>
  <c r="ADJ4" i="178" s="1"/>
  <c r="ADK4" i="178" s="1"/>
  <c r="ADL4" i="178" s="1"/>
  <c r="ABM4" i="178"/>
  <c r="ABO4" i="178" s="1"/>
  <c r="ABP4" i="178" s="1"/>
  <c r="ABQ4" i="178" s="1"/>
  <c r="ABS4" i="178"/>
  <c r="ABU4" i="178" s="1"/>
  <c r="ABV4" i="178" s="1"/>
  <c r="ABW4" i="178" s="1"/>
  <c r="ABY4" i="178"/>
  <c r="ACA4" i="178" s="1"/>
  <c r="ACB4" i="178" s="1"/>
  <c r="ACC4" i="178" s="1"/>
  <c r="ACE4" i="178"/>
  <c r="ACF4" i="178" s="1"/>
  <c r="ACG4" i="178" s="1"/>
  <c r="ACH4" i="178" s="1"/>
  <c r="ACO4" i="178"/>
  <c r="ACP4" i="178" s="1"/>
  <c r="ACQ4" i="178" s="1"/>
  <c r="ACR4" i="178" s="1"/>
  <c r="ACY4" i="178"/>
  <c r="ACZ4" i="178" s="1"/>
  <c r="ADA4" i="178" s="1"/>
  <c r="ADB4" i="178" s="1"/>
  <c r="ADR9" i="178"/>
  <c r="Z9" i="149" s="1"/>
  <c r="ABI5" i="178"/>
  <c r="ABE6" i="178" s="1"/>
  <c r="ADR8" i="178"/>
  <c r="Y9" i="149" s="1"/>
  <c r="ADR6" i="178"/>
  <c r="W9" i="149" s="1"/>
  <c r="D60" i="149" l="1"/>
  <c r="G60" i="149" s="1"/>
  <c r="I60" i="149" s="1"/>
  <c r="AA9" i="149"/>
  <c r="ADM4" i="178"/>
  <c r="ADN4" i="178" s="1"/>
  <c r="ADO4" i="178" s="1"/>
  <c r="ADP4" i="178" s="1"/>
  <c r="ADQ4" i="178" s="1"/>
  <c r="RT4" i="178"/>
  <c r="RU4" i="178" s="1"/>
  <c r="ACS4" i="178"/>
  <c r="ACT4" i="178" s="1"/>
  <c r="ACU4" i="178" s="1"/>
  <c r="ACV4" i="178" s="1"/>
  <c r="ACW4" i="178" s="1"/>
  <c r="ACI4" i="178"/>
  <c r="ACJ4" i="178" s="1"/>
  <c r="ACK4" i="178" s="1"/>
  <c r="ACL4" i="178" s="1"/>
  <c r="ACM4" i="178" s="1"/>
  <c r="ADC4" i="178"/>
  <c r="ADD4" i="178" s="1"/>
  <c r="ADE4" i="178" s="1"/>
  <c r="ADF4" i="178" s="1"/>
  <c r="ADG4" i="178" s="1"/>
  <c r="ABJ5" i="178"/>
  <c r="ABK5" i="178" s="1"/>
  <c r="ABG6" i="178"/>
  <c r="ABI6" i="178" s="1"/>
  <c r="ADR5" i="178"/>
  <c r="V9" i="149" s="1"/>
  <c r="H60" i="149" l="1"/>
  <c r="ACY5" i="178"/>
  <c r="ACZ5" i="178" s="1"/>
  <c r="ADA5" i="178" s="1"/>
  <c r="ADB5" i="178" s="1"/>
  <c r="RT5" i="178"/>
  <c r="RU5" i="178" s="1"/>
  <c r="ACE5" i="178"/>
  <c r="ACF5" i="178" s="1"/>
  <c r="ACI5" i="178" s="1"/>
  <c r="ABM5" i="178"/>
  <c r="ABO5" i="178" s="1"/>
  <c r="ABP5" i="178" s="1"/>
  <c r="ABQ5" i="178" s="1"/>
  <c r="ADR17" i="178" s="1"/>
  <c r="ABY5" i="178"/>
  <c r="ACA5" i="178" s="1"/>
  <c r="ACB5" i="178" s="1"/>
  <c r="ACC5" i="178" s="1"/>
  <c r="ADR19" i="178" s="1"/>
  <c r="ABS5" i="178"/>
  <c r="ABU5" i="178" s="1"/>
  <c r="ABV5" i="178" s="1"/>
  <c r="ABW5" i="178" s="1"/>
  <c r="ADR18" i="178" s="1"/>
  <c r="ACO5" i="178"/>
  <c r="ACP5" i="178" s="1"/>
  <c r="ACS5" i="178" s="1"/>
  <c r="ACT5" i="178" s="1"/>
  <c r="ACU5" i="178" s="1"/>
  <c r="ACV5" i="178" s="1"/>
  <c r="ABE7" i="178"/>
  <c r="ABG7" i="178" s="1"/>
  <c r="ABI7" i="178" s="1"/>
  <c r="ADI5" i="178"/>
  <c r="ADJ5" i="178" s="1"/>
  <c r="ADR7" i="178"/>
  <c r="X9" i="149" s="1"/>
  <c r="AB9" i="149" s="1"/>
  <c r="ADR16" i="178"/>
  <c r="ACG5" i="178" l="1"/>
  <c r="ACH5" i="178" s="1"/>
  <c r="ADC5" i="178"/>
  <c r="ADD5" i="178" s="1"/>
  <c r="ADE5" i="178" s="1"/>
  <c r="ADF5" i="178" s="1"/>
  <c r="ADG5" i="178" s="1"/>
  <c r="ADR22" i="178" s="1"/>
  <c r="ACQ5" i="178"/>
  <c r="ACR5" i="178" s="1"/>
  <c r="ACW5" i="178" s="1"/>
  <c r="ADR21" i="178" s="1"/>
  <c r="ADK5" i="178"/>
  <c r="ADL5" i="178" s="1"/>
  <c r="ADM5" i="178"/>
  <c r="ADN5" i="178" s="1"/>
  <c r="ADO5" i="178" s="1"/>
  <c r="ADP5" i="178" s="1"/>
  <c r="ACJ5" i="178"/>
  <c r="ACK5" i="178" s="1"/>
  <c r="ACL5" i="178" s="1"/>
  <c r="ADR11" i="178"/>
  <c r="ADR12" i="178"/>
  <c r="ADR14" i="178"/>
  <c r="ACM5" i="178" l="1"/>
  <c r="ADR20" i="178" s="1"/>
  <c r="ADQ5" i="178"/>
  <c r="ADR23" i="178" s="1"/>
  <c r="ADR10" i="178"/>
  <c r="ABJ6" i="178"/>
  <c r="ABK6" i="178" s="1"/>
  <c r="ADR15" i="178"/>
  <c r="ADI6" i="178" l="1"/>
  <c r="ADJ6" i="178" s="1"/>
  <c r="ACY6" i="178"/>
  <c r="ACZ6" i="178" s="1"/>
  <c r="ACO6" i="178"/>
  <c r="ACP6" i="178" s="1"/>
  <c r="ACE6" i="178"/>
  <c r="ACF6" i="178" s="1"/>
  <c r="ABY6" i="178"/>
  <c r="ACA6" i="178" s="1"/>
  <c r="ACB6" i="178" s="1"/>
  <c r="ACC6" i="178" s="1"/>
  <c r="ADR26" i="178" s="1"/>
  <c r="ABS6" i="178"/>
  <c r="ABU6" i="178" s="1"/>
  <c r="ADR13" i="178"/>
  <c r="ABM6" i="178"/>
  <c r="ABO6" i="178" s="1"/>
  <c r="ABP6" i="178" s="1"/>
  <c r="ABJ7" i="178"/>
  <c r="ABK7" i="178" s="1"/>
  <c r="RT6" i="178" l="1"/>
  <c r="RU6" i="178" s="1"/>
  <c r="RT7" i="178"/>
  <c r="RU7" i="178" s="1"/>
  <c r="ADK6" i="178"/>
  <c r="ADL6" i="178" s="1"/>
  <c r="ADM6" i="178"/>
  <c r="ADN6" i="178" s="1"/>
  <c r="ADO6" i="178" s="1"/>
  <c r="ADP6" i="178" s="1"/>
  <c r="ADI7" i="178"/>
  <c r="ADJ7" i="178" s="1"/>
  <c r="ADK7" i="178" s="1"/>
  <c r="ADL7" i="178" s="1"/>
  <c r="ADA6" i="178"/>
  <c r="ADB6" i="178" s="1"/>
  <c r="ADC6" i="178"/>
  <c r="ADD6" i="178" s="1"/>
  <c r="ADE6" i="178" s="1"/>
  <c r="ADF6" i="178" s="1"/>
  <c r="ACY7" i="178"/>
  <c r="ACZ7" i="178" s="1"/>
  <c r="ACQ6" i="178"/>
  <c r="ACR6" i="178" s="1"/>
  <c r="ACS6" i="178"/>
  <c r="ACT6" i="178" s="1"/>
  <c r="ACU6" i="178" s="1"/>
  <c r="ACV6" i="178" s="1"/>
  <c r="ACO7" i="178"/>
  <c r="ACP7" i="178" s="1"/>
  <c r="ACQ7" i="178" s="1"/>
  <c r="ACR7" i="178" s="1"/>
  <c r="ACG6" i="178"/>
  <c r="ACH6" i="178" s="1"/>
  <c r="ACI6" i="178"/>
  <c r="ACE7" i="178"/>
  <c r="ACF7" i="178" s="1"/>
  <c r="ACG7" i="178" s="1"/>
  <c r="ABY7" i="178"/>
  <c r="ACA7" i="178" s="1"/>
  <c r="ACB7" i="178" s="1"/>
  <c r="ABV6" i="178"/>
  <c r="ABW6" i="178" s="1"/>
  <c r="ADR25" i="178" s="1"/>
  <c r="ABS7" i="178"/>
  <c r="ABU7" i="178" s="1"/>
  <c r="ABQ6" i="178"/>
  <c r="ADR24" i="178" s="1"/>
  <c r="ABM7" i="178"/>
  <c r="ABO7" i="178" s="1"/>
  <c r="ADM7" i="178" l="1"/>
  <c r="ADN7" i="178" s="1"/>
  <c r="ADO7" i="178" s="1"/>
  <c r="ADP7" i="178" s="1"/>
  <c r="ADQ7" i="178" s="1"/>
  <c r="ADR37" i="178" s="1"/>
  <c r="ADQ6" i="178"/>
  <c r="ADR30" i="178" s="1"/>
  <c r="ADA7" i="178"/>
  <c r="ADB7" i="178" s="1"/>
  <c r="ADC7" i="178"/>
  <c r="ADD7" i="178" s="1"/>
  <c r="ADE7" i="178" s="1"/>
  <c r="ADF7" i="178" s="1"/>
  <c r="ADG6" i="178"/>
  <c r="ADR29" i="178" s="1"/>
  <c r="ACS7" i="178"/>
  <c r="ACT7" i="178" s="1"/>
  <c r="ACU7" i="178" s="1"/>
  <c r="ACV7" i="178" s="1"/>
  <c r="ACW7" i="178" s="1"/>
  <c r="ADR35" i="178" s="1"/>
  <c r="ACW6" i="178"/>
  <c r="ADR28" i="178" s="1"/>
  <c r="ACH7" i="178"/>
  <c r="ACJ6" i="178"/>
  <c r="ACK6" i="178" s="1"/>
  <c r="ACL6" i="178" s="1"/>
  <c r="ACM6" i="178" s="1"/>
  <c r="ADR27" i="178" s="1"/>
  <c r="ACI7" i="178"/>
  <c r="ACC7" i="178"/>
  <c r="ADR33" i="178" s="1"/>
  <c r="ABV7" i="178"/>
  <c r="ABW7" i="178" s="1"/>
  <c r="ADR32" i="178" s="1"/>
  <c r="ABP7" i="178"/>
  <c r="ABQ7" i="178" s="1"/>
  <c r="ADR31" i="178" s="1"/>
  <c r="ADG7" i="178" l="1"/>
  <c r="ADR36" i="178" s="1"/>
  <c r="ACJ7" i="178"/>
  <c r="ACK7" i="178" s="1"/>
  <c r="ACL7" i="178" s="1"/>
  <c r="ACM7" i="178" s="1"/>
  <c r="ADR34" i="178" s="1"/>
  <c r="AFD4" i="178" l="1"/>
  <c r="AFC6" i="178" l="1"/>
  <c r="AFC5" i="178"/>
  <c r="AFC3" i="178"/>
  <c r="AFD3" i="178" l="1"/>
  <c r="AFG3" i="178" s="1"/>
  <c r="AFI3" i="178" s="1"/>
  <c r="AFG10" i="178" s="1"/>
  <c r="AFH3" i="178" l="1"/>
  <c r="AFL5" i="178" s="1"/>
  <c r="Y3" i="180" s="1"/>
  <c r="AFJ3" i="178"/>
  <c r="AFG7" i="178"/>
  <c r="AFI7" i="178" s="1"/>
  <c r="AFJ7" i="178" s="1"/>
  <c r="AFI10" i="178"/>
  <c r="AFP4" i="178"/>
  <c r="AFL4" i="178" l="1"/>
  <c r="X3" i="180" s="1"/>
  <c r="AFG4" i="178"/>
  <c r="AFI4" i="178" s="1"/>
  <c r="AFG8" i="178"/>
  <c r="AFI8" i="178" s="1"/>
  <c r="AFJ8" i="178" s="1"/>
  <c r="AFL3" i="178"/>
  <c r="AFK3" i="178"/>
  <c r="AFJ10" i="178"/>
  <c r="AFH10" i="178"/>
  <c r="AFG14" i="178"/>
  <c r="AFI14" i="178" s="1"/>
  <c r="AFG17" i="178"/>
  <c r="AFO5" i="178"/>
  <c r="AFO6" i="178"/>
  <c r="AFO3" i="178"/>
  <c r="AFK8" i="178" l="1"/>
  <c r="AFK7" i="178"/>
  <c r="W3" i="180"/>
  <c r="AFJ14" i="178"/>
  <c r="AFG15" i="178"/>
  <c r="AFI15" i="178" s="1"/>
  <c r="AFJ15" i="178" s="1"/>
  <c r="AFI17" i="178"/>
  <c r="AFJ4" i="178"/>
  <c r="AFK4" i="178" s="1"/>
  <c r="AFG5" i="178"/>
  <c r="AFP3" i="178"/>
  <c r="AFS3" i="178" s="1"/>
  <c r="AFG11" i="178"/>
  <c r="AFK10" i="178"/>
  <c r="AFL10" i="178"/>
  <c r="AFM3" i="178" l="1"/>
  <c r="AFK9" i="178"/>
  <c r="AFJ17" i="178"/>
  <c r="AFH17" i="178"/>
  <c r="AFG21" i="178"/>
  <c r="AFI21" i="178" s="1"/>
  <c r="AFG24" i="178"/>
  <c r="AGB4" i="178"/>
  <c r="W4" i="180"/>
  <c r="AFK15" i="178"/>
  <c r="AFK14" i="178"/>
  <c r="AFI5" i="178"/>
  <c r="AFI6" i="178" s="1"/>
  <c r="AFH6" i="178" s="1"/>
  <c r="AFL9" i="178" s="1"/>
  <c r="Z3" i="180" s="1"/>
  <c r="AFK5" i="178"/>
  <c r="AFI11" i="178"/>
  <c r="AFU3" i="178"/>
  <c r="AFM4" i="178" l="1"/>
  <c r="AFI24" i="178"/>
  <c r="AFV3" i="178"/>
  <c r="AFT3" i="178"/>
  <c r="AFS10" i="178"/>
  <c r="AFS7" i="178"/>
  <c r="AFU7" i="178" s="1"/>
  <c r="AFJ11" i="178"/>
  <c r="AFK11" i="178" s="1"/>
  <c r="AFL11" i="178" s="1"/>
  <c r="X4" i="180" s="1"/>
  <c r="AFG12" i="178"/>
  <c r="AFK16" i="178"/>
  <c r="AFJ21" i="178"/>
  <c r="AFG22" i="178"/>
  <c r="AFI22" i="178" s="1"/>
  <c r="AFJ22" i="178" s="1"/>
  <c r="AFG18" i="178"/>
  <c r="AFL19" i="178"/>
  <c r="Y5" i="180" s="1"/>
  <c r="AFL18" i="178"/>
  <c r="X5" i="180" s="1"/>
  <c r="AGA6" i="178"/>
  <c r="AGA5" i="178"/>
  <c r="AGA3" i="178"/>
  <c r="AFK17" i="178"/>
  <c r="AFL17" i="178"/>
  <c r="AGB3" i="178" l="1"/>
  <c r="AGE3" i="178" s="1"/>
  <c r="AGG3" i="178" s="1"/>
  <c r="AFK22" i="178"/>
  <c r="W5" i="180"/>
  <c r="AFK21" i="178"/>
  <c r="AFM5" i="178" s="1"/>
  <c r="AFI18" i="178"/>
  <c r="AFV7" i="178"/>
  <c r="AFS8" i="178"/>
  <c r="AFU8" i="178" s="1"/>
  <c r="AFV8" i="178" s="1"/>
  <c r="AFJ24" i="178"/>
  <c r="AFH24" i="178"/>
  <c r="AFG28" i="178"/>
  <c r="AFI28" i="178" s="1"/>
  <c r="AFG31" i="178"/>
  <c r="AFU10" i="178"/>
  <c r="AFI12" i="178"/>
  <c r="AFI13" i="178" s="1"/>
  <c r="AFH13" i="178" s="1"/>
  <c r="AFL16" i="178" s="1"/>
  <c r="Z4" i="180" s="1"/>
  <c r="AFK12" i="178"/>
  <c r="AFL12" i="178" s="1"/>
  <c r="Y4" i="180" s="1"/>
  <c r="AFS4" i="178"/>
  <c r="AFX4" i="178"/>
  <c r="AC3" i="180" s="1"/>
  <c r="AFX5" i="178"/>
  <c r="AD3" i="180" s="1"/>
  <c r="AFX3" i="178"/>
  <c r="AFW3" i="178"/>
  <c r="AFG25" i="178" l="1"/>
  <c r="AGH3" i="178"/>
  <c r="AGF3" i="178"/>
  <c r="AGE7" i="178"/>
  <c r="AGG7" i="178" s="1"/>
  <c r="AGE10" i="178"/>
  <c r="AFU4" i="178"/>
  <c r="AGN4" i="178"/>
  <c r="AFV10" i="178"/>
  <c r="AFT10" i="178"/>
  <c r="AFS17" i="178"/>
  <c r="AFS14" i="178"/>
  <c r="AFU14" i="178" s="1"/>
  <c r="AFL24" i="178"/>
  <c r="AFK24" i="178"/>
  <c r="AFJ18" i="178"/>
  <c r="AFK18" i="178" s="1"/>
  <c r="AFG19" i="178"/>
  <c r="AFJ28" i="178"/>
  <c r="AFG29" i="178"/>
  <c r="AFI29" i="178" s="1"/>
  <c r="AFJ29" i="178" s="1"/>
  <c r="AFW8" i="178"/>
  <c r="AB3" i="180"/>
  <c r="AFW7" i="178"/>
  <c r="AFI31" i="178"/>
  <c r="AFK23" i="178"/>
  <c r="AFY3" i="178" l="1"/>
  <c r="AFW9" i="178"/>
  <c r="AFJ31" i="178"/>
  <c r="AFH31" i="178"/>
  <c r="AFG38" i="178"/>
  <c r="AFG35" i="178"/>
  <c r="AFI35" i="178" s="1"/>
  <c r="AFS11" i="178"/>
  <c r="AGI3" i="178"/>
  <c r="AGJ3" i="178"/>
  <c r="AFM6" i="178"/>
  <c r="AFK29" i="178"/>
  <c r="W6" i="180"/>
  <c r="AFK28" i="178"/>
  <c r="AFX10" i="178"/>
  <c r="AFW10" i="178"/>
  <c r="AGG10" i="178"/>
  <c r="AFI19" i="178"/>
  <c r="AFI20" i="178" s="1"/>
  <c r="AFH20" i="178" s="1"/>
  <c r="AFL23" i="178" s="1"/>
  <c r="Z5" i="180" s="1"/>
  <c r="AFK19" i="178"/>
  <c r="AFV14" i="178"/>
  <c r="AFS15" i="178"/>
  <c r="AFU15" i="178" s="1"/>
  <c r="AFV15" i="178" s="1"/>
  <c r="AGM6" i="178"/>
  <c r="AGM5" i="178"/>
  <c r="AGM3" i="178"/>
  <c r="AGH7" i="178"/>
  <c r="AGE8" i="178"/>
  <c r="AGG8" i="178" s="1"/>
  <c r="AGH8" i="178" s="1"/>
  <c r="AFU17" i="178"/>
  <c r="AFV4" i="178"/>
  <c r="AFW4" i="178" s="1"/>
  <c r="AFS5" i="178"/>
  <c r="AGJ5" i="178"/>
  <c r="AI3" i="180" s="1"/>
  <c r="AGE4" i="178"/>
  <c r="AGJ4" i="178"/>
  <c r="AH3" i="180" s="1"/>
  <c r="AFI25" i="178"/>
  <c r="AGN3" i="178" l="1"/>
  <c r="AGQ3" i="178" s="1"/>
  <c r="AGS3" i="178" s="1"/>
  <c r="AGR3" i="178" s="1"/>
  <c r="AGZ4" i="178"/>
  <c r="AFV17" i="178"/>
  <c r="AFT17" i="178"/>
  <c r="AFS21" i="178"/>
  <c r="AFU21" i="178" s="1"/>
  <c r="AFS24" i="178"/>
  <c r="AFW15" i="178"/>
  <c r="AFY4" i="178"/>
  <c r="AB4" i="180"/>
  <c r="AFW14" i="178"/>
  <c r="AFG32" i="178"/>
  <c r="AFL32" i="178"/>
  <c r="X7" i="180" s="1"/>
  <c r="AFL33" i="178"/>
  <c r="Y7" i="180" s="1"/>
  <c r="AGH10" i="178"/>
  <c r="AGF10" i="178"/>
  <c r="AGE14" i="178"/>
  <c r="AGG14" i="178" s="1"/>
  <c r="AGE17" i="178"/>
  <c r="AFU11" i="178"/>
  <c r="AFK31" i="178"/>
  <c r="AFL31" i="178"/>
  <c r="AFJ25" i="178"/>
  <c r="AFK25" i="178" s="1"/>
  <c r="AFL25" i="178" s="1"/>
  <c r="X6" i="180" s="1"/>
  <c r="AFG26" i="178"/>
  <c r="AFU5" i="178"/>
  <c r="AFU6" i="178" s="1"/>
  <c r="AFT6" i="178" s="1"/>
  <c r="AFX9" i="178" s="1"/>
  <c r="AE3" i="180" s="1"/>
  <c r="AFW5" i="178"/>
  <c r="AFK30" i="178"/>
  <c r="AGI8" i="178"/>
  <c r="AG3" i="180"/>
  <c r="AGI7" i="178"/>
  <c r="AGK3" i="178" s="1"/>
  <c r="AFJ35" i="178"/>
  <c r="AFG36" i="178"/>
  <c r="AFI36" i="178" s="1"/>
  <c r="AFJ36" i="178" s="1"/>
  <c r="AGG4" i="178"/>
  <c r="AFI38" i="178"/>
  <c r="AGT3" i="178" l="1"/>
  <c r="AGU3" i="178" s="1"/>
  <c r="AGQ7" i="178"/>
  <c r="AGS7" i="178" s="1"/>
  <c r="AGQ8" i="178" s="1"/>
  <c r="AGS8" i="178" s="1"/>
  <c r="AGT8" i="178" s="1"/>
  <c r="AGQ10" i="178"/>
  <c r="AGS10" i="178" s="1"/>
  <c r="AGI9" i="178"/>
  <c r="AGE11" i="178"/>
  <c r="AGJ12" i="178"/>
  <c r="AI4" i="180" s="1"/>
  <c r="AGJ11" i="178"/>
  <c r="AH4" i="180" s="1"/>
  <c r="AFV21" i="178"/>
  <c r="AFS22" i="178"/>
  <c r="AFU22" i="178" s="1"/>
  <c r="AFV22" i="178" s="1"/>
  <c r="AFI26" i="178"/>
  <c r="AFI27" i="178" s="1"/>
  <c r="AFH27" i="178" s="1"/>
  <c r="AFL30" i="178" s="1"/>
  <c r="Z6" i="180" s="1"/>
  <c r="AFK26" i="178"/>
  <c r="AFL26" i="178" s="1"/>
  <c r="Y6" i="180" s="1"/>
  <c r="AFJ38" i="178"/>
  <c r="AFH38" i="178"/>
  <c r="AFG45" i="178"/>
  <c r="AFG42" i="178"/>
  <c r="AFI42" i="178" s="1"/>
  <c r="AFV11" i="178"/>
  <c r="AFW11" i="178" s="1"/>
  <c r="AFX11" i="178" s="1"/>
  <c r="AC4" i="180" s="1"/>
  <c r="AFS12" i="178"/>
  <c r="AGI10" i="178"/>
  <c r="AGJ10" i="178"/>
  <c r="AFI32" i="178"/>
  <c r="AFS18" i="178"/>
  <c r="AGQ4" i="178"/>
  <c r="AGV4" i="178"/>
  <c r="AM3" i="180" s="1"/>
  <c r="AGV5" i="178"/>
  <c r="AN3" i="180" s="1"/>
  <c r="AFM7" i="178"/>
  <c r="W7" i="180"/>
  <c r="AFK36" i="178"/>
  <c r="AFK35" i="178"/>
  <c r="AGG17" i="178"/>
  <c r="AFX17" i="178"/>
  <c r="AFW17" i="178"/>
  <c r="AGH4" i="178"/>
  <c r="AGI4" i="178" s="1"/>
  <c r="AGE5" i="178"/>
  <c r="AGH14" i="178"/>
  <c r="AGE15" i="178"/>
  <c r="AGG15" i="178" s="1"/>
  <c r="AGH15" i="178" s="1"/>
  <c r="AFW16" i="178"/>
  <c r="AFU24" i="178"/>
  <c r="AGY5" i="178"/>
  <c r="AGY6" i="178"/>
  <c r="AGY3" i="178"/>
  <c r="AGT7" i="178" l="1"/>
  <c r="AGV3" i="178"/>
  <c r="AL3" i="180" s="1"/>
  <c r="AGZ3" i="178"/>
  <c r="AHC3" i="178" s="1"/>
  <c r="AHE3" i="178" s="1"/>
  <c r="AHC10" i="178" s="1"/>
  <c r="AFV24" i="178"/>
  <c r="AFT24" i="178"/>
  <c r="AFS28" i="178"/>
  <c r="AFU28" i="178" s="1"/>
  <c r="AFS31" i="178"/>
  <c r="AFW22" i="178"/>
  <c r="AB5" i="180"/>
  <c r="AFW21" i="178"/>
  <c r="AFY5" i="178" s="1"/>
  <c r="AFK37" i="178"/>
  <c r="AFU18" i="178"/>
  <c r="AGK4" i="178"/>
  <c r="AGI15" i="178"/>
  <c r="AG4" i="180"/>
  <c r="AGI14" i="178"/>
  <c r="AFL38" i="178"/>
  <c r="AFK38" i="178"/>
  <c r="AGT10" i="178"/>
  <c r="AGR10" i="178"/>
  <c r="AGQ17" i="178"/>
  <c r="AGQ14" i="178"/>
  <c r="AGS14" i="178" s="1"/>
  <c r="AGG5" i="178"/>
  <c r="AGG6" i="178" s="1"/>
  <c r="AGF6" i="178" s="1"/>
  <c r="AGJ9" i="178" s="1"/>
  <c r="AJ3" i="180" s="1"/>
  <c r="AGI5" i="178"/>
  <c r="AFJ42" i="178"/>
  <c r="AFG43" i="178"/>
  <c r="AFI43" i="178" s="1"/>
  <c r="AFJ43" i="178" s="1"/>
  <c r="AGS4" i="178"/>
  <c r="AFJ32" i="178"/>
  <c r="AFK32" i="178" s="1"/>
  <c r="AFG33" i="178"/>
  <c r="AFU12" i="178"/>
  <c r="AFU13" i="178" s="1"/>
  <c r="AFT13" i="178" s="1"/>
  <c r="AFX16" i="178" s="1"/>
  <c r="AE4" i="180" s="1"/>
  <c r="AFW12" i="178"/>
  <c r="AFX12" i="178" s="1"/>
  <c r="AD4" i="180" s="1"/>
  <c r="AFI45" i="178"/>
  <c r="AGH17" i="178"/>
  <c r="AGF17" i="178"/>
  <c r="AGE21" i="178"/>
  <c r="AGG21" i="178" s="1"/>
  <c r="AGE24" i="178"/>
  <c r="AFL39" i="178"/>
  <c r="X8" i="180" s="1"/>
  <c r="AFG39" i="178"/>
  <c r="AFL40" i="178"/>
  <c r="Y8" i="180" s="1"/>
  <c r="AGG11" i="178"/>
  <c r="AGU8" i="178" l="1"/>
  <c r="AGU7" i="178"/>
  <c r="AGW3" i="178"/>
  <c r="AHC7" i="178"/>
  <c r="AHE7" i="178" s="1"/>
  <c r="AHC8" i="178" s="1"/>
  <c r="AHE8" i="178" s="1"/>
  <c r="AHF8" i="178" s="1"/>
  <c r="AHD3" i="178"/>
  <c r="AHH5" i="178" s="1"/>
  <c r="AS3" i="180" s="1"/>
  <c r="AHF3" i="178"/>
  <c r="AHH3" i="178" s="1"/>
  <c r="AHI3" i="178" s="1"/>
  <c r="AFW23" i="178"/>
  <c r="AGJ17" i="178"/>
  <c r="AGI17" i="178"/>
  <c r="AGQ11" i="178"/>
  <c r="AGV11" i="178"/>
  <c r="AM4" i="180" s="1"/>
  <c r="AGV12" i="178"/>
  <c r="AN4" i="180" s="1"/>
  <c r="AFS25" i="178"/>
  <c r="AGT4" i="178"/>
  <c r="AGU4" i="178" s="1"/>
  <c r="AGQ5" i="178"/>
  <c r="AGV10" i="178"/>
  <c r="AGU10" i="178"/>
  <c r="AGI16" i="178"/>
  <c r="AFX24" i="178"/>
  <c r="AFW24" i="178"/>
  <c r="AHE10" i="178"/>
  <c r="AGH11" i="178"/>
  <c r="AGI11" i="178" s="1"/>
  <c r="AGE12" i="178"/>
  <c r="AGG24" i="178"/>
  <c r="AFJ45" i="178"/>
  <c r="AFH45" i="178"/>
  <c r="AFG52" i="178"/>
  <c r="AFG49" i="178"/>
  <c r="AFI49" i="178" s="1"/>
  <c r="AFI39" i="178"/>
  <c r="AGH21" i="178"/>
  <c r="AGE22" i="178"/>
  <c r="AGG22" i="178" s="1"/>
  <c r="AGH22" i="178" s="1"/>
  <c r="AFI33" i="178"/>
  <c r="AFI34" i="178" s="1"/>
  <c r="AFH34" i="178" s="1"/>
  <c r="AFL37" i="178" s="1"/>
  <c r="Z7" i="180" s="1"/>
  <c r="AFK33" i="178"/>
  <c r="AGT14" i="178"/>
  <c r="AGQ15" i="178"/>
  <c r="AGS15" i="178" s="1"/>
  <c r="AGT15" i="178" s="1"/>
  <c r="AFU31" i="178"/>
  <c r="AGE18" i="178"/>
  <c r="AGS17" i="178"/>
  <c r="AFK43" i="178"/>
  <c r="W8" i="180"/>
  <c r="AFM8" i="178"/>
  <c r="AFK42" i="178"/>
  <c r="AFV18" i="178"/>
  <c r="AFW18" i="178" s="1"/>
  <c r="AFX18" i="178" s="1"/>
  <c r="AC5" i="180" s="1"/>
  <c r="AFS19" i="178"/>
  <c r="AFV28" i="178"/>
  <c r="AFS29" i="178"/>
  <c r="AFU29" i="178" s="1"/>
  <c r="AFV29" i="178" s="1"/>
  <c r="AGU9" i="178" l="1"/>
  <c r="AHF7" i="178"/>
  <c r="AHG7" i="178" s="1"/>
  <c r="AHC4" i="178"/>
  <c r="AHE4" i="178" s="1"/>
  <c r="AHH4" i="178"/>
  <c r="AR3" i="180" s="1"/>
  <c r="AQ3" i="180"/>
  <c r="AHG8" i="178"/>
  <c r="AHG3" i="178"/>
  <c r="AFK44" i="178"/>
  <c r="AGG18" i="178"/>
  <c r="AB6" i="180"/>
  <c r="AFY6" i="178"/>
  <c r="AFW29" i="178"/>
  <c r="AFW28" i="178"/>
  <c r="AGS5" i="178"/>
  <c r="AGS6" i="178" s="1"/>
  <c r="AGR6" i="178" s="1"/>
  <c r="AGV9" i="178" s="1"/>
  <c r="AO3" i="180" s="1"/>
  <c r="AGU5" i="178"/>
  <c r="AFU19" i="178"/>
  <c r="AFU20" i="178" s="1"/>
  <c r="AFT20" i="178" s="1"/>
  <c r="AFX23" i="178" s="1"/>
  <c r="AE5" i="180" s="1"/>
  <c r="AFW19" i="178"/>
  <c r="AFX19" i="178" s="1"/>
  <c r="AD5" i="180" s="1"/>
  <c r="AFL46" i="178"/>
  <c r="X9" i="180" s="1"/>
  <c r="AFG46" i="178"/>
  <c r="AFL47" i="178"/>
  <c r="Y9" i="180" s="1"/>
  <c r="AHF10" i="178"/>
  <c r="AHD10" i="178"/>
  <c r="AHC14" i="178"/>
  <c r="AHE14" i="178" s="1"/>
  <c r="AHC17" i="178"/>
  <c r="AGS11" i="178"/>
  <c r="AFI52" i="178"/>
  <c r="AFV31" i="178"/>
  <c r="AFT31" i="178"/>
  <c r="AFS38" i="178"/>
  <c r="AFS35" i="178"/>
  <c r="AFU35" i="178" s="1"/>
  <c r="AFJ39" i="178"/>
  <c r="AFK39" i="178" s="1"/>
  <c r="AFG40" i="178"/>
  <c r="AFK45" i="178"/>
  <c r="AFL45" i="178"/>
  <c r="AGG12" i="178"/>
  <c r="AGG13" i="178" s="1"/>
  <c r="AGF13" i="178" s="1"/>
  <c r="AGJ16" i="178" s="1"/>
  <c r="AJ4" i="180" s="1"/>
  <c r="AGI12" i="178"/>
  <c r="AFU25" i="178"/>
  <c r="AGT17" i="178"/>
  <c r="AGR17" i="178"/>
  <c r="AGQ24" i="178"/>
  <c r="AGQ21" i="178"/>
  <c r="AGS21" i="178" s="1"/>
  <c r="AFJ49" i="178"/>
  <c r="AFG50" i="178"/>
  <c r="AFI50" i="178" s="1"/>
  <c r="AFJ50" i="178" s="1"/>
  <c r="AGH24" i="178"/>
  <c r="AGF24" i="178"/>
  <c r="AGE31" i="178"/>
  <c r="AGE28" i="178"/>
  <c r="AGG28" i="178" s="1"/>
  <c r="AGW4" i="178"/>
  <c r="AGU15" i="178"/>
  <c r="AL4" i="180"/>
  <c r="AGU14" i="178"/>
  <c r="AGI22" i="178"/>
  <c r="AG5" i="180"/>
  <c r="AGI21" i="178"/>
  <c r="AGK5" i="178" s="1"/>
  <c r="AHG9" i="178" l="1"/>
  <c r="AFW30" i="178"/>
  <c r="AGI23" i="178"/>
  <c r="AGU16" i="178"/>
  <c r="AGH28" i="178"/>
  <c r="AGE29" i="178"/>
  <c r="AGG29" i="178" s="1"/>
  <c r="AGH29" i="178" s="1"/>
  <c r="AHC11" i="178"/>
  <c r="AHH11" i="178"/>
  <c r="AR4" i="180" s="1"/>
  <c r="AHH12" i="178"/>
  <c r="AS4" i="180" s="1"/>
  <c r="AGG31" i="178"/>
  <c r="AGT21" i="178"/>
  <c r="AGQ22" i="178"/>
  <c r="AGS22" i="178" s="1"/>
  <c r="AGT22" i="178" s="1"/>
  <c r="AFV25" i="178"/>
  <c r="AFW25" i="178" s="1"/>
  <c r="AFX25" i="178" s="1"/>
  <c r="AC6" i="180" s="1"/>
  <c r="AFS26" i="178"/>
  <c r="AFM9" i="178"/>
  <c r="W9" i="180"/>
  <c r="AFK50" i="178"/>
  <c r="AFK49" i="178"/>
  <c r="AFV35" i="178"/>
  <c r="AFS36" i="178"/>
  <c r="AFU36" i="178" s="1"/>
  <c r="AFV36" i="178" s="1"/>
  <c r="AGT11" i="178"/>
  <c r="AGU11" i="178" s="1"/>
  <c r="AGQ12" i="178"/>
  <c r="AHH10" i="178"/>
  <c r="AHG10" i="178"/>
  <c r="AGU17" i="178"/>
  <c r="AGV17" i="178"/>
  <c r="AFX31" i="178"/>
  <c r="AFW31" i="178"/>
  <c r="AFJ52" i="178"/>
  <c r="AFH52" i="178"/>
  <c r="AFG59" i="178"/>
  <c r="AFG56" i="178"/>
  <c r="AFI56" i="178" s="1"/>
  <c r="AHE17" i="178"/>
  <c r="AGJ26" i="178"/>
  <c r="AI6" i="180" s="1"/>
  <c r="AGE25" i="178"/>
  <c r="AGJ25" i="178"/>
  <c r="AH6" i="180" s="1"/>
  <c r="AHF4" i="178"/>
  <c r="AHG4" i="178" s="1"/>
  <c r="AHC5" i="178"/>
  <c r="AGS24" i="178"/>
  <c r="AFU38" i="178"/>
  <c r="AGJ24" i="178"/>
  <c r="AGI24" i="178"/>
  <c r="AGV18" i="178"/>
  <c r="AM5" i="180" s="1"/>
  <c r="AGQ18" i="178"/>
  <c r="AGV19" i="178"/>
  <c r="AN5" i="180" s="1"/>
  <c r="AFI40" i="178"/>
  <c r="AFI41" i="178" s="1"/>
  <c r="AFH41" i="178" s="1"/>
  <c r="AFL44" i="178" s="1"/>
  <c r="Z8" i="180" s="1"/>
  <c r="AFK40" i="178"/>
  <c r="AFS32" i="178"/>
  <c r="AFX33" i="178"/>
  <c r="AD7" i="180" s="1"/>
  <c r="AFX32" i="178"/>
  <c r="AC7" i="180" s="1"/>
  <c r="AHF14" i="178"/>
  <c r="AHC15" i="178"/>
  <c r="AHE15" i="178" s="1"/>
  <c r="AHF15" i="178" s="1"/>
  <c r="AFI46" i="178"/>
  <c r="AGH18" i="178"/>
  <c r="AGI18" i="178" s="1"/>
  <c r="AGJ18" i="178" s="1"/>
  <c r="AH5" i="180" s="1"/>
  <c r="AGE19" i="178"/>
  <c r="AGG25" i="178" l="1"/>
  <c r="AFK52" i="178"/>
  <c r="AFL52" i="178"/>
  <c r="AFU26" i="178"/>
  <c r="AFU27" i="178" s="1"/>
  <c r="AFT27" i="178" s="1"/>
  <c r="AFX30" i="178" s="1"/>
  <c r="AE6" i="180" s="1"/>
  <c r="AFW26" i="178"/>
  <c r="AFX26" i="178" s="1"/>
  <c r="AD6" i="180" s="1"/>
  <c r="AGT24" i="178"/>
  <c r="AGR24" i="178"/>
  <c r="AGQ31" i="178"/>
  <c r="AGQ28" i="178"/>
  <c r="AGS28" i="178" s="1"/>
  <c r="AFV38" i="178"/>
  <c r="AFT38" i="178"/>
  <c r="AFS42" i="178"/>
  <c r="AFU42" i="178" s="1"/>
  <c r="AFS45" i="178"/>
  <c r="AHE5" i="178"/>
  <c r="AHE6" i="178" s="1"/>
  <c r="AHD6" i="178" s="1"/>
  <c r="AHH9" i="178" s="1"/>
  <c r="AT3" i="180" s="1"/>
  <c r="AHG5" i="178"/>
  <c r="AFJ56" i="178"/>
  <c r="AFG57" i="178"/>
  <c r="AFI57" i="178" s="1"/>
  <c r="AFJ57" i="178" s="1"/>
  <c r="AGH31" i="178"/>
  <c r="AGF31" i="178"/>
  <c r="AGE35" i="178"/>
  <c r="AGG35" i="178" s="1"/>
  <c r="AGE38" i="178"/>
  <c r="AHE11" i="178"/>
  <c r="AG6" i="180"/>
  <c r="AGI29" i="178"/>
  <c r="AGK6" i="178"/>
  <c r="AGI28" i="178"/>
  <c r="AFI59" i="178"/>
  <c r="AFW35" i="178"/>
  <c r="AFY7" i="178"/>
  <c r="AFW36" i="178"/>
  <c r="AB7" i="180"/>
  <c r="AQ4" i="180"/>
  <c r="AHI4" i="178"/>
  <c r="AHG15" i="178"/>
  <c r="AHG14" i="178"/>
  <c r="AFJ46" i="178"/>
  <c r="AFK46" i="178" s="1"/>
  <c r="AFG47" i="178"/>
  <c r="AGG19" i="178"/>
  <c r="AGG20" i="178" s="1"/>
  <c r="AGF20" i="178" s="1"/>
  <c r="AGJ23" i="178" s="1"/>
  <c r="AJ5" i="180" s="1"/>
  <c r="AGI19" i="178"/>
  <c r="AGJ19" i="178" s="1"/>
  <c r="AI5" i="180" s="1"/>
  <c r="AFU32" i="178"/>
  <c r="AGS18" i="178"/>
  <c r="AHF17" i="178"/>
  <c r="AHD17" i="178"/>
  <c r="AHC21" i="178"/>
  <c r="AHE21" i="178" s="1"/>
  <c r="AHC24" i="178"/>
  <c r="AFL53" i="178"/>
  <c r="X10" i="180" s="1"/>
  <c r="AFG53" i="178"/>
  <c r="AFL54" i="178"/>
  <c r="Y10" i="180" s="1"/>
  <c r="AGU22" i="178"/>
  <c r="AGW5" i="178"/>
  <c r="AL5" i="180"/>
  <c r="AGU21" i="178"/>
  <c r="AGS12" i="178"/>
  <c r="AGS13" i="178" s="1"/>
  <c r="AGR13" i="178" s="1"/>
  <c r="AGV16" i="178" s="1"/>
  <c r="AO4" i="180" s="1"/>
  <c r="AGU12" i="178"/>
  <c r="AFK51" i="178"/>
  <c r="AGU23" i="178" l="1"/>
  <c r="AFW37" i="178"/>
  <c r="AGI30" i="178"/>
  <c r="AFI53" i="178"/>
  <c r="AFJ59" i="178"/>
  <c r="AFH59" i="178"/>
  <c r="AFG63" i="178"/>
  <c r="AFI63" i="178" s="1"/>
  <c r="AFG66" i="178"/>
  <c r="AHF11" i="178"/>
  <c r="AHG11" i="178" s="1"/>
  <c r="AHC12" i="178"/>
  <c r="AFM10" i="178"/>
  <c r="W10" i="180"/>
  <c r="AFK57" i="178"/>
  <c r="AFK56" i="178"/>
  <c r="AFV32" i="178"/>
  <c r="AFW32" i="178" s="1"/>
  <c r="AFS33" i="178"/>
  <c r="AGE32" i="178"/>
  <c r="AGJ32" i="178"/>
  <c r="AH7" i="180" s="1"/>
  <c r="AGJ33" i="178"/>
  <c r="AI7" i="180" s="1"/>
  <c r="AHH17" i="178"/>
  <c r="AHG17" i="178"/>
  <c r="AGJ31" i="178"/>
  <c r="AGI31" i="178"/>
  <c r="AFW38" i="178"/>
  <c r="AFX38" i="178"/>
  <c r="AGV24" i="178"/>
  <c r="AGU24" i="178"/>
  <c r="AHC18" i="178"/>
  <c r="AHH19" i="178"/>
  <c r="AS5" i="180" s="1"/>
  <c r="AHH18" i="178"/>
  <c r="AR5" i="180" s="1"/>
  <c r="AFI47" i="178"/>
  <c r="AFI48" i="178" s="1"/>
  <c r="AFH48" i="178" s="1"/>
  <c r="AFL51" i="178" s="1"/>
  <c r="Z9" i="180" s="1"/>
  <c r="AFK47" i="178"/>
  <c r="AFS39" i="178"/>
  <c r="AFX40" i="178"/>
  <c r="AD8" i="180" s="1"/>
  <c r="AFX39" i="178"/>
  <c r="AC8" i="180" s="1"/>
  <c r="AGQ25" i="178"/>
  <c r="AGV26" i="178"/>
  <c r="AN6" i="180" s="1"/>
  <c r="AGV25" i="178"/>
  <c r="AM6" i="180" s="1"/>
  <c r="AHE24" i="178"/>
  <c r="AGT18" i="178"/>
  <c r="AGU18" i="178" s="1"/>
  <c r="AGQ19" i="178"/>
  <c r="AHG16" i="178"/>
  <c r="AGG38" i="178"/>
  <c r="AFU45" i="178"/>
  <c r="AGT28" i="178"/>
  <c r="AGQ29" i="178"/>
  <c r="AGS29" i="178" s="1"/>
  <c r="AGT29" i="178" s="1"/>
  <c r="AGH25" i="178"/>
  <c r="AGI25" i="178" s="1"/>
  <c r="AGE26" i="178"/>
  <c r="AHF21" i="178"/>
  <c r="AHC22" i="178"/>
  <c r="AHE22" i="178" s="1"/>
  <c r="AHF22" i="178" s="1"/>
  <c r="AGH35" i="178"/>
  <c r="AGE36" i="178"/>
  <c r="AGG36" i="178" s="1"/>
  <c r="AGH36" i="178" s="1"/>
  <c r="AFV42" i="178"/>
  <c r="AFS43" i="178"/>
  <c r="AFU43" i="178" s="1"/>
  <c r="AFV43" i="178" s="1"/>
  <c r="AGS31" i="178"/>
  <c r="AFV45" i="178" l="1"/>
  <c r="AFT45" i="178"/>
  <c r="AFS52" i="178"/>
  <c r="AFS49" i="178"/>
  <c r="AFU49" i="178" s="1"/>
  <c r="AFU39" i="178"/>
  <c r="AFY8" i="178"/>
  <c r="AFW43" i="178"/>
  <c r="AB8" i="180"/>
  <c r="AFW42" i="178"/>
  <c r="AGG32" i="178"/>
  <c r="AHE12" i="178"/>
  <c r="AHE13" i="178" s="1"/>
  <c r="AHD13" i="178" s="1"/>
  <c r="AHH16" i="178" s="1"/>
  <c r="AT4" i="180" s="1"/>
  <c r="AHG12" i="178"/>
  <c r="AFG60" i="178"/>
  <c r="AFL61" i="178"/>
  <c r="Y11" i="180" s="1"/>
  <c r="AFL60" i="178"/>
  <c r="X11" i="180" s="1"/>
  <c r="AHF24" i="178"/>
  <c r="AHD24" i="178"/>
  <c r="AHC31" i="178"/>
  <c r="AHC28" i="178"/>
  <c r="AHE28" i="178" s="1"/>
  <c r="AGS25" i="178"/>
  <c r="AHE18" i="178"/>
  <c r="AHI5" i="178"/>
  <c r="AHG22" i="178"/>
  <c r="AQ5" i="180"/>
  <c r="AHG21" i="178"/>
  <c r="AFU33" i="178"/>
  <c r="AFU34" i="178" s="1"/>
  <c r="AFT34" i="178" s="1"/>
  <c r="AFX37" i="178" s="1"/>
  <c r="AE7" i="180" s="1"/>
  <c r="AFW33" i="178"/>
  <c r="AFK59" i="178"/>
  <c r="AFL59" i="178"/>
  <c r="AGH38" i="178"/>
  <c r="AGF38" i="178"/>
  <c r="AGE42" i="178"/>
  <c r="AGG42" i="178" s="1"/>
  <c r="AGE45" i="178"/>
  <c r="AFI66" i="178"/>
  <c r="AFJ53" i="178"/>
  <c r="AFK53" i="178" s="1"/>
  <c r="AFG54" i="178"/>
  <c r="AGS19" i="178"/>
  <c r="AGS20" i="178" s="1"/>
  <c r="AGR20" i="178" s="1"/>
  <c r="AGV23" i="178" s="1"/>
  <c r="AO5" i="180" s="1"/>
  <c r="AGU19" i="178"/>
  <c r="AGT31" i="178"/>
  <c r="AGR31" i="178"/>
  <c r="AGQ35" i="178"/>
  <c r="AGS35" i="178" s="1"/>
  <c r="AGQ38" i="178"/>
  <c r="AGG26" i="178"/>
  <c r="AGG27" i="178" s="1"/>
  <c r="AGF27" i="178" s="1"/>
  <c r="AGJ30" i="178" s="1"/>
  <c r="AJ6" i="180" s="1"/>
  <c r="AGI26" i="178"/>
  <c r="AGU29" i="178"/>
  <c r="AGW6" i="178"/>
  <c r="AL6" i="180"/>
  <c r="AGU28" i="178"/>
  <c r="AG7" i="180"/>
  <c r="AGI36" i="178"/>
  <c r="AGK7" i="178"/>
  <c r="AGI35" i="178"/>
  <c r="AFK58" i="178"/>
  <c r="AFJ63" i="178"/>
  <c r="AFG64" i="178"/>
  <c r="AFI64" i="178" s="1"/>
  <c r="AFJ64" i="178" s="1"/>
  <c r="AGI37" i="178" l="1"/>
  <c r="AGU30" i="178"/>
  <c r="AHG23" i="178"/>
  <c r="AFJ66" i="178"/>
  <c r="AFH66" i="178"/>
  <c r="AFG73" i="178"/>
  <c r="AFG70" i="178"/>
  <c r="AFI70" i="178" s="1"/>
  <c r="AGT25" i="178"/>
  <c r="AGU25" i="178" s="1"/>
  <c r="AGQ26" i="178"/>
  <c r="AHC25" i="178"/>
  <c r="AHH25" i="178"/>
  <c r="AR6" i="180" s="1"/>
  <c r="AHH26" i="178"/>
  <c r="AS6" i="180" s="1"/>
  <c r="AFI60" i="178"/>
  <c r="AGH32" i="178"/>
  <c r="AGI32" i="178" s="1"/>
  <c r="AGE33" i="178"/>
  <c r="AFV49" i="178"/>
  <c r="AFS50" i="178"/>
  <c r="AFU50" i="178" s="1"/>
  <c r="AFV50" i="178" s="1"/>
  <c r="AGQ32" i="178"/>
  <c r="AGV32" i="178"/>
  <c r="AM7" i="180" s="1"/>
  <c r="AGV33" i="178"/>
  <c r="AN7" i="180" s="1"/>
  <c r="AFI54" i="178"/>
  <c r="AFI55" i="178" s="1"/>
  <c r="AFH55" i="178" s="1"/>
  <c r="AFL58" i="178" s="1"/>
  <c r="Z10" i="180" s="1"/>
  <c r="AFK54" i="178"/>
  <c r="AGI38" i="178"/>
  <c r="AGJ38" i="178"/>
  <c r="AGV31" i="178"/>
  <c r="AGU31" i="178"/>
  <c r="AGG45" i="178"/>
  <c r="AFM11" i="178"/>
  <c r="AFK64" i="178"/>
  <c r="W11" i="180"/>
  <c r="AFK63" i="178"/>
  <c r="AHH24" i="178"/>
  <c r="AHG24" i="178"/>
  <c r="AFU52" i="178"/>
  <c r="AGS38" i="178"/>
  <c r="AGH42" i="178"/>
  <c r="AGE43" i="178"/>
  <c r="AGG43" i="178" s="1"/>
  <c r="AGH43" i="178" s="1"/>
  <c r="AHF28" i="178"/>
  <c r="AHC29" i="178"/>
  <c r="AHE29" i="178" s="1"/>
  <c r="AHF29" i="178" s="1"/>
  <c r="AFW44" i="178"/>
  <c r="AFV39" i="178"/>
  <c r="AFW39" i="178" s="1"/>
  <c r="AFS40" i="178"/>
  <c r="AFS46" i="178"/>
  <c r="AFX47" i="178"/>
  <c r="AD9" i="180" s="1"/>
  <c r="AFX46" i="178"/>
  <c r="AC9" i="180" s="1"/>
  <c r="AGT35" i="178"/>
  <c r="AGQ36" i="178"/>
  <c r="AGS36" i="178" s="1"/>
  <c r="AGT36" i="178" s="1"/>
  <c r="AGE39" i="178"/>
  <c r="AGJ39" i="178"/>
  <c r="AH8" i="180" s="1"/>
  <c r="AGJ40" i="178"/>
  <c r="AI8" i="180" s="1"/>
  <c r="AHF18" i="178"/>
  <c r="AHG18" i="178" s="1"/>
  <c r="AHC19" i="178"/>
  <c r="AHE31" i="178"/>
  <c r="AFW45" i="178"/>
  <c r="AFX45" i="178"/>
  <c r="AFK65" i="178" l="1"/>
  <c r="AHF31" i="178"/>
  <c r="AHD31" i="178"/>
  <c r="AHC38" i="178"/>
  <c r="AHC35" i="178"/>
  <c r="AHE35" i="178" s="1"/>
  <c r="AFU46" i="178"/>
  <c r="AFV52" i="178"/>
  <c r="AFT52" i="178"/>
  <c r="AFS59" i="178"/>
  <c r="AFS56" i="178"/>
  <c r="AFU56" i="178" s="1"/>
  <c r="AGS32" i="178"/>
  <c r="AFJ70" i="178"/>
  <c r="AFG71" i="178"/>
  <c r="AFI71" i="178" s="1"/>
  <c r="AFJ71" i="178" s="1"/>
  <c r="AFU40" i="178"/>
  <c r="AFU41" i="178" s="1"/>
  <c r="AFT41" i="178" s="1"/>
  <c r="AFX44" i="178" s="1"/>
  <c r="AE8" i="180" s="1"/>
  <c r="AFW40" i="178"/>
  <c r="AGT38" i="178"/>
  <c r="AGR38" i="178"/>
  <c r="AGQ45" i="178"/>
  <c r="AGQ42" i="178"/>
  <c r="AGS42" i="178" s="1"/>
  <c r="AGF45" i="178"/>
  <c r="AGH45" i="178"/>
  <c r="AGE49" i="178"/>
  <c r="AGG49" i="178" s="1"/>
  <c r="AGE52" i="178"/>
  <c r="AGW7" i="178"/>
  <c r="AL7" i="180"/>
  <c r="AGU36" i="178"/>
  <c r="AGU35" i="178"/>
  <c r="AFJ60" i="178"/>
  <c r="AFK60" i="178" s="1"/>
  <c r="AFG61" i="178"/>
  <c r="AHE25" i="178"/>
  <c r="AFI73" i="178"/>
  <c r="AB9" i="180"/>
  <c r="AFY9" i="178"/>
  <c r="AFW50" i="178"/>
  <c r="AFW49" i="178"/>
  <c r="AGI43" i="178"/>
  <c r="AGK8" i="178"/>
  <c r="AG8" i="180"/>
  <c r="AGI42" i="178"/>
  <c r="AGS26" i="178"/>
  <c r="AGS27" i="178" s="1"/>
  <c r="AGR27" i="178" s="1"/>
  <c r="AGV30" i="178" s="1"/>
  <c r="AO6" i="180" s="1"/>
  <c r="AGU26" i="178"/>
  <c r="AFG67" i="178"/>
  <c r="AFL68" i="178"/>
  <c r="Y12" i="180" s="1"/>
  <c r="AFL67" i="178"/>
  <c r="X12" i="180" s="1"/>
  <c r="AHE19" i="178"/>
  <c r="AHE20" i="178" s="1"/>
  <c r="AHD20" i="178" s="1"/>
  <c r="AHH23" i="178" s="1"/>
  <c r="AT5" i="180" s="1"/>
  <c r="AHG19" i="178"/>
  <c r="AGG39" i="178"/>
  <c r="AQ6" i="180"/>
  <c r="AHI6" i="178"/>
  <c r="AHG29" i="178"/>
  <c r="AHG28" i="178"/>
  <c r="AGG33" i="178"/>
  <c r="AGG34" i="178" s="1"/>
  <c r="AGF34" i="178" s="1"/>
  <c r="AGJ37" i="178" s="1"/>
  <c r="AJ7" i="180" s="1"/>
  <c r="AGI33" i="178"/>
  <c r="AFK66" i="178"/>
  <c r="AFL66" i="178"/>
  <c r="AHG30" i="178" l="1"/>
  <c r="AFW51" i="178"/>
  <c r="AFJ73" i="178"/>
  <c r="AFH73" i="178"/>
  <c r="AFG77" i="178"/>
  <c r="AFI77" i="178" s="1"/>
  <c r="AFG80" i="178"/>
  <c r="AHF25" i="178"/>
  <c r="AHG25" i="178" s="1"/>
  <c r="AHC26" i="178"/>
  <c r="AGG52" i="178"/>
  <c r="AGT42" i="178"/>
  <c r="AGQ43" i="178"/>
  <c r="AGS43" i="178" s="1"/>
  <c r="AGT43" i="178" s="1"/>
  <c r="AGT32" i="178"/>
  <c r="AGU32" i="178" s="1"/>
  <c r="AGQ33" i="178"/>
  <c r="AFS53" i="178"/>
  <c r="AFX54" i="178"/>
  <c r="AD10" i="180" s="1"/>
  <c r="AFX53" i="178"/>
  <c r="AC10" i="180" s="1"/>
  <c r="AHF35" i="178"/>
  <c r="AHC36" i="178"/>
  <c r="AHE36" i="178" s="1"/>
  <c r="AHF36" i="178" s="1"/>
  <c r="AFI61" i="178"/>
  <c r="AFI62" i="178" s="1"/>
  <c r="AFH62" i="178" s="1"/>
  <c r="AFL65" i="178" s="1"/>
  <c r="Z11" i="180" s="1"/>
  <c r="AFK61" i="178"/>
  <c r="AGH49" i="178"/>
  <c r="AGE50" i="178"/>
  <c r="AGG50" i="178" s="1"/>
  <c r="AGH50" i="178" s="1"/>
  <c r="AGS45" i="178"/>
  <c r="AFX52" i="178"/>
  <c r="AFW52" i="178"/>
  <c r="AHE38" i="178"/>
  <c r="AGH39" i="178"/>
  <c r="AGI39" i="178" s="1"/>
  <c r="AGE40" i="178"/>
  <c r="AGJ45" i="178"/>
  <c r="AGI45" i="178"/>
  <c r="AGQ39" i="178"/>
  <c r="AGV39" i="178"/>
  <c r="AM8" i="180" s="1"/>
  <c r="AGV40" i="178"/>
  <c r="AN8" i="180" s="1"/>
  <c r="AFV56" i="178"/>
  <c r="AFS57" i="178"/>
  <c r="AFU57" i="178" s="1"/>
  <c r="AFV57" i="178" s="1"/>
  <c r="AFV46" i="178"/>
  <c r="AFW46" i="178" s="1"/>
  <c r="AFS47" i="178"/>
  <c r="AHH32" i="178"/>
  <c r="AR7" i="180" s="1"/>
  <c r="AHC32" i="178"/>
  <c r="AHH33" i="178"/>
  <c r="AS7" i="180" s="1"/>
  <c r="AFM12" i="178"/>
  <c r="AFK71" i="178"/>
  <c r="W12" i="180"/>
  <c r="AFK70" i="178"/>
  <c r="AFI67" i="178"/>
  <c r="AGI44" i="178"/>
  <c r="AGU37" i="178"/>
  <c r="AGJ47" i="178"/>
  <c r="AI9" i="180" s="1"/>
  <c r="AGE46" i="178"/>
  <c r="AGJ46" i="178"/>
  <c r="AH9" i="180" s="1"/>
  <c r="AGU38" i="178"/>
  <c r="AGV38" i="178"/>
  <c r="AFU59" i="178"/>
  <c r="AHH31" i="178"/>
  <c r="AHG31" i="178"/>
  <c r="AGG46" i="178" l="1"/>
  <c r="AHE32" i="178"/>
  <c r="AGS39" i="178"/>
  <c r="AFJ77" i="178"/>
  <c r="AFG78" i="178"/>
  <c r="AFI78" i="178" s="1"/>
  <c r="AFJ78" i="178" s="1"/>
  <c r="AFT59" i="178"/>
  <c r="AFV59" i="178"/>
  <c r="AFS63" i="178"/>
  <c r="AFU63" i="178" s="1"/>
  <c r="AFS66" i="178"/>
  <c r="AGU43" i="178"/>
  <c r="AGW8" i="178"/>
  <c r="AL8" i="180"/>
  <c r="AGU42" i="178"/>
  <c r="AHF38" i="178"/>
  <c r="AHD38" i="178"/>
  <c r="AHC42" i="178"/>
  <c r="AHE42" i="178" s="1"/>
  <c r="AHC45" i="178"/>
  <c r="AFY10" i="178"/>
  <c r="AFW57" i="178"/>
  <c r="AB10" i="180"/>
  <c r="AFW56" i="178"/>
  <c r="AFU53" i="178"/>
  <c r="AHE26" i="178"/>
  <c r="AHE27" i="178" s="1"/>
  <c r="AHD27" i="178" s="1"/>
  <c r="AHH30" i="178" s="1"/>
  <c r="AT6" i="180" s="1"/>
  <c r="AHG26" i="178"/>
  <c r="AFG74" i="178"/>
  <c r="AFL74" i="178"/>
  <c r="X13" i="180" s="1"/>
  <c r="AFL75" i="178"/>
  <c r="Y13" i="180" s="1"/>
  <c r="AHG36" i="178"/>
  <c r="AQ7" i="180"/>
  <c r="AHI7" i="178"/>
  <c r="AHG35" i="178"/>
  <c r="AFJ67" i="178"/>
  <c r="AFK67" i="178" s="1"/>
  <c r="AFG68" i="178"/>
  <c r="AFK72" i="178"/>
  <c r="AFU47" i="178"/>
  <c r="AFU48" i="178" s="1"/>
  <c r="AFT48" i="178" s="1"/>
  <c r="AFX51" i="178" s="1"/>
  <c r="AE9" i="180" s="1"/>
  <c r="AFW47" i="178"/>
  <c r="AG9" i="180"/>
  <c r="AGK9" i="178"/>
  <c r="AGI50" i="178"/>
  <c r="AGI49" i="178"/>
  <c r="AGS33" i="178"/>
  <c r="AGS34" i="178" s="1"/>
  <c r="AGR34" i="178" s="1"/>
  <c r="AGV37" i="178" s="1"/>
  <c r="AO7" i="180" s="1"/>
  <c r="AGU33" i="178"/>
  <c r="AGH52" i="178"/>
  <c r="AGF52" i="178"/>
  <c r="AGE59" i="178"/>
  <c r="AGE56" i="178"/>
  <c r="AGG56" i="178" s="1"/>
  <c r="AFK73" i="178"/>
  <c r="AFL73" i="178"/>
  <c r="AGG40" i="178"/>
  <c r="AGG41" i="178" s="1"/>
  <c r="AGF41" i="178" s="1"/>
  <c r="AGJ44" i="178" s="1"/>
  <c r="AJ8" i="180" s="1"/>
  <c r="AGI40" i="178"/>
  <c r="AGT45" i="178"/>
  <c r="AGR45" i="178"/>
  <c r="AGQ52" i="178"/>
  <c r="AGQ49" i="178"/>
  <c r="AGS49" i="178" s="1"/>
  <c r="AFI80" i="178"/>
  <c r="AHG37" i="178" l="1"/>
  <c r="AGU44" i="178"/>
  <c r="AGI51" i="178"/>
  <c r="AFW58" i="178"/>
  <c r="AGQ46" i="178"/>
  <c r="AGV47" i="178"/>
  <c r="AN9" i="180" s="1"/>
  <c r="AGV46" i="178"/>
  <c r="AM9" i="180" s="1"/>
  <c r="AFI68" i="178"/>
  <c r="AFI69" i="178" s="1"/>
  <c r="AFH69" i="178" s="1"/>
  <c r="AFL72" i="178" s="1"/>
  <c r="Z12" i="180" s="1"/>
  <c r="AFK68" i="178"/>
  <c r="AHF42" i="178"/>
  <c r="AHC43" i="178"/>
  <c r="AHE43" i="178" s="1"/>
  <c r="AHF43" i="178" s="1"/>
  <c r="AGS52" i="178"/>
  <c r="AFM13" i="178"/>
  <c r="W13" i="180"/>
  <c r="AFK78" i="178"/>
  <c r="AFK77" i="178"/>
  <c r="AFV53" i="178"/>
  <c r="AFW53" i="178" s="1"/>
  <c r="AFS54" i="178"/>
  <c r="AFU66" i="178"/>
  <c r="AHF32" i="178"/>
  <c r="AHG32" i="178" s="1"/>
  <c r="AHC33" i="178"/>
  <c r="AGV45" i="178"/>
  <c r="AGU45" i="178"/>
  <c r="AGJ52" i="178"/>
  <c r="AGI52" i="178"/>
  <c r="AFI74" i="178"/>
  <c r="AHC39" i="178"/>
  <c r="AHH40" i="178"/>
  <c r="AS8" i="180" s="1"/>
  <c r="AHH39" i="178"/>
  <c r="AR8" i="180" s="1"/>
  <c r="AFV63" i="178"/>
  <c r="AFS64" i="178"/>
  <c r="AFU64" i="178" s="1"/>
  <c r="AFV64" i="178" s="1"/>
  <c r="AFJ80" i="178"/>
  <c r="AFH80" i="178"/>
  <c r="AFG87" i="178"/>
  <c r="AFG84" i="178"/>
  <c r="AFI84" i="178" s="1"/>
  <c r="AGJ54" i="178"/>
  <c r="AI10" i="180" s="1"/>
  <c r="AGE53" i="178"/>
  <c r="AGJ53" i="178"/>
  <c r="AH10" i="180" s="1"/>
  <c r="AGT49" i="178"/>
  <c r="AGQ50" i="178"/>
  <c r="AGS50" i="178" s="1"/>
  <c r="AGT50" i="178" s="1"/>
  <c r="AGH56" i="178"/>
  <c r="AGE57" i="178"/>
  <c r="AGG57" i="178" s="1"/>
  <c r="AGH57" i="178" s="1"/>
  <c r="AHG38" i="178"/>
  <c r="AHH38" i="178"/>
  <c r="AFW59" i="178"/>
  <c r="AFX59" i="178"/>
  <c r="AGT39" i="178"/>
  <c r="AGU39" i="178" s="1"/>
  <c r="AGQ40" i="178"/>
  <c r="AGH46" i="178"/>
  <c r="AGI46" i="178" s="1"/>
  <c r="AGE47" i="178"/>
  <c r="AGG59" i="178"/>
  <c r="AHE45" i="178"/>
  <c r="AFS60" i="178"/>
  <c r="AFX60" i="178"/>
  <c r="AC11" i="180" s="1"/>
  <c r="AFX61" i="178"/>
  <c r="AD11" i="180" s="1"/>
  <c r="AFK79" i="178" l="1"/>
  <c r="AGG47" i="178"/>
  <c r="AGG48" i="178" s="1"/>
  <c r="AGF48" i="178" s="1"/>
  <c r="AGJ51" i="178" s="1"/>
  <c r="AJ9" i="180" s="1"/>
  <c r="AGI47" i="178"/>
  <c r="AFW64" i="178"/>
  <c r="AB11" i="180"/>
  <c r="AFY11" i="178"/>
  <c r="AFW63" i="178"/>
  <c r="AFI87" i="178"/>
  <c r="AFJ74" i="178"/>
  <c r="AFK74" i="178" s="1"/>
  <c r="AFG75" i="178"/>
  <c r="AGH59" i="178"/>
  <c r="AGF59" i="178"/>
  <c r="AGE63" i="178"/>
  <c r="AGG63" i="178" s="1"/>
  <c r="AGE66" i="178"/>
  <c r="AGG53" i="178"/>
  <c r="AFL82" i="178"/>
  <c r="Y14" i="180" s="1"/>
  <c r="AFL81" i="178"/>
  <c r="X14" i="180" s="1"/>
  <c r="AFG81" i="178"/>
  <c r="AL9" i="180"/>
  <c r="AGU49" i="178"/>
  <c r="AGU50" i="178"/>
  <c r="AGW9" i="178"/>
  <c r="AFV66" i="178"/>
  <c r="AFT66" i="178"/>
  <c r="AFS73" i="178"/>
  <c r="AFS70" i="178"/>
  <c r="AFU70" i="178" s="1"/>
  <c r="AFU60" i="178"/>
  <c r="AQ8" i="180"/>
  <c r="AHI8" i="178"/>
  <c r="AHG42" i="178"/>
  <c r="AHG43" i="178"/>
  <c r="AFL80" i="178"/>
  <c r="AFK80" i="178"/>
  <c r="AHE33" i="178"/>
  <c r="AHE34" i="178" s="1"/>
  <c r="AHD34" i="178" s="1"/>
  <c r="AHH37" i="178" s="1"/>
  <c r="AT7" i="180" s="1"/>
  <c r="AHG33" i="178"/>
  <c r="AGT52" i="178"/>
  <c r="AGR52" i="178"/>
  <c r="AGQ56" i="178"/>
  <c r="AGS56" i="178" s="1"/>
  <c r="AGQ59" i="178"/>
  <c r="AHF45" i="178"/>
  <c r="AHD45" i="178"/>
  <c r="AHC49" i="178"/>
  <c r="AHE49" i="178" s="1"/>
  <c r="AHC52" i="178"/>
  <c r="AGS40" i="178"/>
  <c r="AGS41" i="178" s="1"/>
  <c r="AGR41" i="178" s="1"/>
  <c r="AGV44" i="178" s="1"/>
  <c r="AO8" i="180" s="1"/>
  <c r="AGU40" i="178"/>
  <c r="AFJ84" i="178"/>
  <c r="AFG85" i="178"/>
  <c r="AFI85" i="178" s="1"/>
  <c r="AFJ85" i="178" s="1"/>
  <c r="AHE39" i="178"/>
  <c r="AGI57" i="178"/>
  <c r="AG10" i="180"/>
  <c r="AGK10" i="178"/>
  <c r="AGI56" i="178"/>
  <c r="AFU54" i="178"/>
  <c r="AFU55" i="178" s="1"/>
  <c r="AFT55" i="178" s="1"/>
  <c r="AFX58" i="178" s="1"/>
  <c r="AE10" i="180" s="1"/>
  <c r="AFW54" i="178"/>
  <c r="AGS46" i="178"/>
  <c r="AGI58" i="178" l="1"/>
  <c r="AFW65" i="178"/>
  <c r="AGU51" i="178"/>
  <c r="AGT46" i="178"/>
  <c r="AGU46" i="178" s="1"/>
  <c r="AGQ47" i="178"/>
  <c r="AGT56" i="178"/>
  <c r="AGQ57" i="178"/>
  <c r="AGS57" i="178" s="1"/>
  <c r="AGT57" i="178" s="1"/>
  <c r="AFV60" i="178"/>
  <c r="AFW60" i="178" s="1"/>
  <c r="AFS61" i="178"/>
  <c r="AFS67" i="178"/>
  <c r="AFX68" i="178"/>
  <c r="AD12" i="180" s="1"/>
  <c r="AFX67" i="178"/>
  <c r="AC12" i="180" s="1"/>
  <c r="AGG66" i="178"/>
  <c r="AFI75" i="178"/>
  <c r="AFI76" i="178" s="1"/>
  <c r="AFH76" i="178" s="1"/>
  <c r="AFL79" i="178" s="1"/>
  <c r="Z13" i="180" s="1"/>
  <c r="AFK75" i="178"/>
  <c r="AFJ87" i="178"/>
  <c r="AFH87" i="178"/>
  <c r="AFG94" i="178"/>
  <c r="AFG91" i="178"/>
  <c r="AFI91" i="178" s="1"/>
  <c r="AHF49" i="178"/>
  <c r="AHC50" i="178"/>
  <c r="AHE50" i="178" s="1"/>
  <c r="AHF50" i="178" s="1"/>
  <c r="AHF39" i="178"/>
  <c r="AHG39" i="178" s="1"/>
  <c r="AHC40" i="178"/>
  <c r="AHC46" i="178"/>
  <c r="AHH46" i="178"/>
  <c r="AR9" i="180" s="1"/>
  <c r="AHH47" i="178"/>
  <c r="AS9" i="180" s="1"/>
  <c r="AGQ53" i="178"/>
  <c r="AGV53" i="178"/>
  <c r="AM10" i="180" s="1"/>
  <c r="AGV54" i="178"/>
  <c r="AN10" i="180" s="1"/>
  <c r="AHG44" i="178"/>
  <c r="AFW66" i="178"/>
  <c r="AFX66" i="178"/>
  <c r="AGH63" i="178"/>
  <c r="AGE64" i="178"/>
  <c r="AGG64" i="178" s="1"/>
  <c r="AGH64" i="178" s="1"/>
  <c r="AHH45" i="178"/>
  <c r="AHG45" i="178"/>
  <c r="AGU52" i="178"/>
  <c r="AGV52" i="178"/>
  <c r="AFK85" i="178"/>
  <c r="W14" i="180"/>
  <c r="AFK84" i="178"/>
  <c r="AFM14" i="178"/>
  <c r="AFV70" i="178"/>
  <c r="AFS71" i="178"/>
  <c r="AFU71" i="178" s="1"/>
  <c r="AFV71" i="178" s="1"/>
  <c r="AGE60" i="178"/>
  <c r="AGJ61" i="178"/>
  <c r="AI11" i="180" s="1"/>
  <c r="AGJ60" i="178"/>
  <c r="AH11" i="180" s="1"/>
  <c r="AHE52" i="178"/>
  <c r="AGS59" i="178"/>
  <c r="AFU73" i="178"/>
  <c r="AFI81" i="178"/>
  <c r="AGH53" i="178"/>
  <c r="AGI53" i="178" s="1"/>
  <c r="AGE54" i="178"/>
  <c r="AGI59" i="178"/>
  <c r="AGJ59" i="178"/>
  <c r="AFK86" i="178" l="1"/>
  <c r="AFJ81" i="178"/>
  <c r="AFK81" i="178" s="1"/>
  <c r="AFG82" i="178"/>
  <c r="AFV73" i="178"/>
  <c r="AFT73" i="178"/>
  <c r="AFS77" i="178"/>
  <c r="AFU77" i="178" s="1"/>
  <c r="AFS80" i="178"/>
  <c r="AFG88" i="178"/>
  <c r="AFL88" i="178"/>
  <c r="X15" i="180" s="1"/>
  <c r="AFL89" i="178"/>
  <c r="Y15" i="180" s="1"/>
  <c r="AGT59" i="178"/>
  <c r="AGR59" i="178"/>
  <c r="AGQ63" i="178"/>
  <c r="AGS63" i="178" s="1"/>
  <c r="AGQ66" i="178"/>
  <c r="AFW71" i="178"/>
  <c r="AB12" i="180"/>
  <c r="AFY12" i="178"/>
  <c r="AFW70" i="178"/>
  <c r="AHE46" i="178"/>
  <c r="AFK87" i="178"/>
  <c r="AFL87" i="178"/>
  <c r="AFU67" i="178"/>
  <c r="AGG60" i="178"/>
  <c r="AGG54" i="178"/>
  <c r="AGG55" i="178" s="1"/>
  <c r="AGF55" i="178" s="1"/>
  <c r="AGJ58" i="178" s="1"/>
  <c r="AJ10" i="180" s="1"/>
  <c r="AGI54" i="178"/>
  <c r="AGI64" i="178"/>
  <c r="AGK11" i="178"/>
  <c r="AG11" i="180"/>
  <c r="AGI63" i="178"/>
  <c r="AQ9" i="180"/>
  <c r="AHG49" i="178"/>
  <c r="AHG50" i="178"/>
  <c r="AHI9" i="178"/>
  <c r="AGS53" i="178"/>
  <c r="AHE40" i="178"/>
  <c r="AHE41" i="178" s="1"/>
  <c r="AHD41" i="178" s="1"/>
  <c r="AHH44" i="178" s="1"/>
  <c r="AT8" i="180" s="1"/>
  <c r="AHG40" i="178"/>
  <c r="AFJ91" i="178"/>
  <c r="AFG92" i="178"/>
  <c r="AFI92" i="178" s="1"/>
  <c r="AFJ92" i="178" s="1"/>
  <c r="AGF66" i="178"/>
  <c r="AGH66" i="178"/>
  <c r="AGE70" i="178"/>
  <c r="AGG70" i="178" s="1"/>
  <c r="AGE73" i="178"/>
  <c r="AFU61" i="178"/>
  <c r="AFU62" i="178" s="1"/>
  <c r="AFT62" i="178" s="1"/>
  <c r="AFX65" i="178" s="1"/>
  <c r="AE11" i="180" s="1"/>
  <c r="AFW61" i="178"/>
  <c r="AGS47" i="178"/>
  <c r="AGS48" i="178" s="1"/>
  <c r="AGR48" i="178" s="1"/>
  <c r="AGV51" i="178" s="1"/>
  <c r="AO9" i="180" s="1"/>
  <c r="AGU47" i="178"/>
  <c r="AHD52" i="178"/>
  <c r="AHF52" i="178"/>
  <c r="AHC59" i="178"/>
  <c r="AHC56" i="178"/>
  <c r="AHE56" i="178" s="1"/>
  <c r="AL10" i="180"/>
  <c r="AGW10" i="178"/>
  <c r="AGU57" i="178"/>
  <c r="AGU56" i="178"/>
  <c r="AFI94" i="178"/>
  <c r="AGI65" i="178" l="1"/>
  <c r="AGU58" i="178"/>
  <c r="AFW72" i="178"/>
  <c r="AHG51" i="178"/>
  <c r="AHF56" i="178"/>
  <c r="AHC57" i="178"/>
  <c r="AHE57" i="178" s="1"/>
  <c r="AHF57" i="178" s="1"/>
  <c r="AGG73" i="178"/>
  <c r="AGT53" i="178"/>
  <c r="AGU53" i="178" s="1"/>
  <c r="AGQ54" i="178"/>
  <c r="AGT63" i="178"/>
  <c r="AGQ64" i="178"/>
  <c r="AGS64" i="178" s="1"/>
  <c r="AGT64" i="178" s="1"/>
  <c r="AFS74" i="178"/>
  <c r="AFX74" i="178"/>
  <c r="AC13" i="180" s="1"/>
  <c r="AFX75" i="178"/>
  <c r="AD13" i="180" s="1"/>
  <c r="AFH94" i="178"/>
  <c r="AFJ94" i="178"/>
  <c r="AFG98" i="178"/>
  <c r="AFI98" i="178" s="1"/>
  <c r="AFG101" i="178"/>
  <c r="AHE59" i="178"/>
  <c r="AGH70" i="178"/>
  <c r="AGE71" i="178"/>
  <c r="AGG71" i="178" s="1"/>
  <c r="AGH71" i="178" s="1"/>
  <c r="AFV67" i="178"/>
  <c r="AFW67" i="178" s="1"/>
  <c r="AFS68" i="178"/>
  <c r="AHF46" i="178"/>
  <c r="AHG46" i="178" s="1"/>
  <c r="AHC47" i="178"/>
  <c r="AGV61" i="178"/>
  <c r="AN11" i="180" s="1"/>
  <c r="AGQ60" i="178"/>
  <c r="AGV60" i="178"/>
  <c r="AM11" i="180" s="1"/>
  <c r="AFI88" i="178"/>
  <c r="AFW73" i="178"/>
  <c r="AFX73" i="178"/>
  <c r="AHH52" i="178"/>
  <c r="AHG52" i="178"/>
  <c r="AGI66" i="178"/>
  <c r="AGJ66" i="178"/>
  <c r="AGH60" i="178"/>
  <c r="AGI60" i="178" s="1"/>
  <c r="AGE61" i="178"/>
  <c r="AFK92" i="178"/>
  <c r="AFM15" i="178"/>
  <c r="AFK91" i="178"/>
  <c r="W15" i="180"/>
  <c r="AGV59" i="178"/>
  <c r="AGU59" i="178"/>
  <c r="AFU80" i="178"/>
  <c r="AFI82" i="178"/>
  <c r="AFI83" i="178" s="1"/>
  <c r="AFH83" i="178" s="1"/>
  <c r="AFL86" i="178" s="1"/>
  <c r="Z14" i="180" s="1"/>
  <c r="AFK82" i="178"/>
  <c r="AHC53" i="178"/>
  <c r="AHH53" i="178"/>
  <c r="AR10" i="180" s="1"/>
  <c r="AHH54" i="178"/>
  <c r="AS10" i="180" s="1"/>
  <c r="AGE67" i="178"/>
  <c r="AGJ67" i="178"/>
  <c r="AH12" i="180" s="1"/>
  <c r="AGJ68" i="178"/>
  <c r="AI12" i="180" s="1"/>
  <c r="AGS66" i="178"/>
  <c r="AFV77" i="178"/>
  <c r="AFS78" i="178"/>
  <c r="AFU78" i="178" s="1"/>
  <c r="AFV78" i="178" s="1"/>
  <c r="AGT66" i="178" l="1"/>
  <c r="AGR66" i="178"/>
  <c r="AGQ73" i="178"/>
  <c r="AGQ70" i="178"/>
  <c r="AGS70" i="178" s="1"/>
  <c r="AL11" i="180"/>
  <c r="AGU64" i="178"/>
  <c r="AGW11" i="178"/>
  <c r="AGU63" i="178"/>
  <c r="AGI71" i="178"/>
  <c r="AG12" i="180"/>
  <c r="AGK12" i="178"/>
  <c r="AGI70" i="178"/>
  <c r="AFY13" i="178"/>
  <c r="AB13" i="180"/>
  <c r="AFW78" i="178"/>
  <c r="AFW77" i="178"/>
  <c r="AFI101" i="178"/>
  <c r="AFV80" i="178"/>
  <c r="AFT80" i="178"/>
  <c r="AFS84" i="178"/>
  <c r="AFU84" i="178" s="1"/>
  <c r="AFS87" i="178"/>
  <c r="AGS60" i="178"/>
  <c r="AFU68" i="178"/>
  <c r="AFU69" i="178" s="1"/>
  <c r="AFT69" i="178" s="1"/>
  <c r="AFX72" i="178" s="1"/>
  <c r="AE12" i="180" s="1"/>
  <c r="AFW68" i="178"/>
  <c r="AHF59" i="178"/>
  <c r="AHD59" i="178"/>
  <c r="AHC63" i="178"/>
  <c r="AHE63" i="178" s="1"/>
  <c r="AHC66" i="178"/>
  <c r="AFJ98" i="178"/>
  <c r="AFG99" i="178"/>
  <c r="AFI99" i="178" s="1"/>
  <c r="AFJ99" i="178" s="1"/>
  <c r="AGS54" i="178"/>
  <c r="AGS55" i="178" s="1"/>
  <c r="AGR55" i="178" s="1"/>
  <c r="AGV58" i="178" s="1"/>
  <c r="AO10" i="180" s="1"/>
  <c r="AGU54" i="178"/>
  <c r="AHE53" i="178"/>
  <c r="AGG67" i="178"/>
  <c r="AGG61" i="178"/>
  <c r="AGG62" i="178" s="1"/>
  <c r="AGF62" i="178" s="1"/>
  <c r="AGJ65" i="178" s="1"/>
  <c r="AJ11" i="180" s="1"/>
  <c r="AGI61" i="178"/>
  <c r="AFK94" i="178"/>
  <c r="AFL94" i="178"/>
  <c r="AFU74" i="178"/>
  <c r="AFK93" i="178"/>
  <c r="AHI10" i="178"/>
  <c r="AQ10" i="180"/>
  <c r="AHG57" i="178"/>
  <c r="AHG56" i="178"/>
  <c r="AFJ88" i="178"/>
  <c r="AFK88" i="178" s="1"/>
  <c r="AFG89" i="178"/>
  <c r="AHE47" i="178"/>
  <c r="AHE48" i="178" s="1"/>
  <c r="AHD48" i="178" s="1"/>
  <c r="AHH51" i="178" s="1"/>
  <c r="AT9" i="180" s="1"/>
  <c r="AHG47" i="178"/>
  <c r="AFG95" i="178"/>
  <c r="AFL96" i="178"/>
  <c r="Y16" i="180" s="1"/>
  <c r="AFL95" i="178"/>
  <c r="X16" i="180" s="1"/>
  <c r="AGH73" i="178"/>
  <c r="AGF73" i="178"/>
  <c r="AGE80" i="178"/>
  <c r="AGE77" i="178"/>
  <c r="AGG77" i="178" s="1"/>
  <c r="AGI72" i="178" l="1"/>
  <c r="AFW79" i="178"/>
  <c r="AGU65" i="178"/>
  <c r="AGH77" i="178"/>
  <c r="AGE78" i="178"/>
  <c r="AGG78" i="178" s="1"/>
  <c r="AGH78" i="178" s="1"/>
  <c r="AGG80" i="178"/>
  <c r="AFI89" i="178"/>
  <c r="AFI90" i="178" s="1"/>
  <c r="AFH90" i="178" s="1"/>
  <c r="AFL93" i="178" s="1"/>
  <c r="Z15" i="180" s="1"/>
  <c r="AFK89" i="178"/>
  <c r="AFV74" i="178"/>
  <c r="AFW74" i="178" s="1"/>
  <c r="AFS75" i="178"/>
  <c r="AHC60" i="178"/>
  <c r="AHH61" i="178"/>
  <c r="AS11" i="180" s="1"/>
  <c r="AHH60" i="178"/>
  <c r="AR11" i="180" s="1"/>
  <c r="AGT60" i="178"/>
  <c r="AGU60" i="178" s="1"/>
  <c r="AGQ61" i="178"/>
  <c r="AFS81" i="178"/>
  <c r="AFX82" i="178"/>
  <c r="AD14" i="180" s="1"/>
  <c r="AFX81" i="178"/>
  <c r="AC14" i="180" s="1"/>
  <c r="AFH101" i="178"/>
  <c r="AFJ101" i="178"/>
  <c r="AFG105" i="178"/>
  <c r="AFI105" i="178" s="1"/>
  <c r="AGT70" i="178"/>
  <c r="AGQ71" i="178"/>
  <c r="AGS71" i="178" s="1"/>
  <c r="AGT71" i="178" s="1"/>
  <c r="AHF53" i="178"/>
  <c r="AHG53" i="178" s="1"/>
  <c r="AHC54" i="178"/>
  <c r="AHH59" i="178"/>
  <c r="AHG59" i="178"/>
  <c r="AFX80" i="178"/>
  <c r="AFW80" i="178"/>
  <c r="AGS73" i="178"/>
  <c r="AGE74" i="178"/>
  <c r="AGJ75" i="178"/>
  <c r="AI13" i="180" s="1"/>
  <c r="AGJ74" i="178"/>
  <c r="AH13" i="180" s="1"/>
  <c r="AFI95" i="178"/>
  <c r="AGI73" i="178"/>
  <c r="AGJ73" i="178"/>
  <c r="AHG58" i="178"/>
  <c r="AFM16" i="178"/>
  <c r="AFK99" i="178"/>
  <c r="W16" i="180"/>
  <c r="AFK98" i="178"/>
  <c r="AGH67" i="178"/>
  <c r="AGI67" i="178" s="1"/>
  <c r="AGE68" i="178"/>
  <c r="AHE66" i="178"/>
  <c r="AFU87" i="178"/>
  <c r="AGQ67" i="178"/>
  <c r="AGV68" i="178"/>
  <c r="AN12" i="180" s="1"/>
  <c r="AGV67" i="178"/>
  <c r="AM12" i="180" s="1"/>
  <c r="AHF63" i="178"/>
  <c r="AHC64" i="178"/>
  <c r="AHE64" i="178" s="1"/>
  <c r="AHF64" i="178" s="1"/>
  <c r="AFV84" i="178"/>
  <c r="AFS85" i="178"/>
  <c r="AFU85" i="178" s="1"/>
  <c r="AFV85" i="178" s="1"/>
  <c r="AGV66" i="178"/>
  <c r="AGU66" i="178"/>
  <c r="AFK100" i="178" l="1"/>
  <c r="AHF66" i="178"/>
  <c r="AHD66" i="178"/>
  <c r="AHC70" i="178"/>
  <c r="AHE70" i="178" s="1"/>
  <c r="AHC73" i="178"/>
  <c r="AGG74" i="178"/>
  <c r="AHE54" i="178"/>
  <c r="AHE55" i="178" s="1"/>
  <c r="AHD55" i="178" s="1"/>
  <c r="AHH58" i="178" s="1"/>
  <c r="AT10" i="180" s="1"/>
  <c r="AHG54" i="178"/>
  <c r="AFJ105" i="178"/>
  <c r="AFG106" i="178"/>
  <c r="AFI106" i="178" s="1"/>
  <c r="AFJ106" i="178" s="1"/>
  <c r="AFT87" i="178"/>
  <c r="AFV87" i="178"/>
  <c r="AFS94" i="178"/>
  <c r="AFS91" i="178"/>
  <c r="AFU91" i="178" s="1"/>
  <c r="AFJ95" i="178"/>
  <c r="AFK95" i="178" s="1"/>
  <c r="AFG96" i="178"/>
  <c r="AGT73" i="178"/>
  <c r="AGR73" i="178"/>
  <c r="AGQ80" i="178"/>
  <c r="AGQ77" i="178"/>
  <c r="AGS77" i="178" s="1"/>
  <c r="AFW85" i="178"/>
  <c r="AB14" i="180"/>
  <c r="AFY14" i="178"/>
  <c r="AFW84" i="178"/>
  <c r="AFL101" i="178"/>
  <c r="AFK101" i="178"/>
  <c r="AFU81" i="178"/>
  <c r="AGW12" i="178"/>
  <c r="AGU71" i="178"/>
  <c r="AL12" i="180"/>
  <c r="AGU70" i="178"/>
  <c r="AGG68" i="178"/>
  <c r="AGG69" i="178" s="1"/>
  <c r="AGF69" i="178" s="1"/>
  <c r="AGJ72" i="178" s="1"/>
  <c r="AJ12" i="180" s="1"/>
  <c r="AGI68" i="178"/>
  <c r="AG13" i="180"/>
  <c r="AGI77" i="178"/>
  <c r="AGK13" i="178"/>
  <c r="AGI78" i="178"/>
  <c r="AFG102" i="178"/>
  <c r="AFL103" i="178"/>
  <c r="Y17" i="180" s="1"/>
  <c r="AFL102" i="178"/>
  <c r="X17" i="180" s="1"/>
  <c r="AGS61" i="178"/>
  <c r="AGS62" i="178" s="1"/>
  <c r="AGR62" i="178" s="1"/>
  <c r="AGV65" i="178" s="1"/>
  <c r="AO11" i="180" s="1"/>
  <c r="AGU61" i="178"/>
  <c r="AHE60" i="178"/>
  <c r="AGS67" i="178"/>
  <c r="AHI11" i="178"/>
  <c r="AHG64" i="178"/>
  <c r="AQ11" i="180"/>
  <c r="AHG63" i="178"/>
  <c r="AFU75" i="178"/>
  <c r="AFU76" i="178" s="1"/>
  <c r="AFT76" i="178" s="1"/>
  <c r="AFX79" i="178" s="1"/>
  <c r="AE13" i="180" s="1"/>
  <c r="AFW75" i="178"/>
  <c r="AGH80" i="178"/>
  <c r="AGF80" i="178"/>
  <c r="AGE84" i="178"/>
  <c r="AGG84" i="178" s="1"/>
  <c r="AGE87" i="178"/>
  <c r="AHG65" i="178" l="1"/>
  <c r="AFW86" i="178"/>
  <c r="AGI79" i="178"/>
  <c r="AGH84" i="178"/>
  <c r="AGE85" i="178"/>
  <c r="AGG85" i="178" s="1"/>
  <c r="AGH85" i="178" s="1"/>
  <c r="AHF60" i="178"/>
  <c r="AHG60" i="178" s="1"/>
  <c r="AHC61" i="178"/>
  <c r="AGT77" i="178"/>
  <c r="AGQ78" i="178"/>
  <c r="AGS78" i="178" s="1"/>
  <c r="AGT78" i="178" s="1"/>
  <c r="AFI96" i="178"/>
  <c r="AFI97" i="178" s="1"/>
  <c r="AFH97" i="178" s="1"/>
  <c r="AFL100" i="178" s="1"/>
  <c r="Z16" i="180" s="1"/>
  <c r="AFK96" i="178"/>
  <c r="AFX87" i="178"/>
  <c r="AFW87" i="178"/>
  <c r="AHE73" i="178"/>
  <c r="AGJ81" i="178"/>
  <c r="AH14" i="180" s="1"/>
  <c r="AGE81" i="178"/>
  <c r="AGJ82" i="178"/>
  <c r="AI14" i="180" s="1"/>
  <c r="AGS80" i="178"/>
  <c r="AFS88" i="178"/>
  <c r="AFX89" i="178"/>
  <c r="AD15" i="180" s="1"/>
  <c r="AFX88" i="178"/>
  <c r="AC15" i="180" s="1"/>
  <c r="AHF70" i="178"/>
  <c r="AHC71" i="178"/>
  <c r="AHE71" i="178" s="1"/>
  <c r="AHF71" i="178" s="1"/>
  <c r="AFI102" i="178"/>
  <c r="AFK106" i="178"/>
  <c r="W17" i="180"/>
  <c r="AFM17" i="178"/>
  <c r="AFK105" i="178"/>
  <c r="AGQ74" i="178"/>
  <c r="AGV74" i="178"/>
  <c r="AM13" i="180" s="1"/>
  <c r="AGV75" i="178"/>
  <c r="AN13" i="180" s="1"/>
  <c r="AFV91" i="178"/>
  <c r="AFS92" i="178"/>
  <c r="AFU92" i="178" s="1"/>
  <c r="AFV92" i="178" s="1"/>
  <c r="AGH74" i="178"/>
  <c r="AGI74" i="178" s="1"/>
  <c r="AGE75" i="178"/>
  <c r="AHH68" i="178"/>
  <c r="AS12" i="180" s="1"/>
  <c r="AHH67" i="178"/>
  <c r="AR12" i="180" s="1"/>
  <c r="AHC67" i="178"/>
  <c r="AGI80" i="178"/>
  <c r="AGJ80" i="178"/>
  <c r="AGG87" i="178"/>
  <c r="AGT67" i="178"/>
  <c r="AGU67" i="178" s="1"/>
  <c r="AGQ68" i="178"/>
  <c r="AGU72" i="178"/>
  <c r="AFV81" i="178"/>
  <c r="AFW81" i="178" s="1"/>
  <c r="AFS82" i="178"/>
  <c r="AGV73" i="178"/>
  <c r="AGU73" i="178"/>
  <c r="AFU94" i="178"/>
  <c r="AHG66" i="178"/>
  <c r="AHH66" i="178"/>
  <c r="AFK107" i="178" l="1"/>
  <c r="AGS68" i="178"/>
  <c r="AGS69" i="178" s="1"/>
  <c r="AGR69" i="178" s="1"/>
  <c r="AGV72" i="178" s="1"/>
  <c r="AO12" i="180" s="1"/>
  <c r="AGU68" i="178"/>
  <c r="AGH87" i="178"/>
  <c r="AGF87" i="178"/>
  <c r="AGE94" i="178"/>
  <c r="AGE91" i="178"/>
  <c r="AGG91" i="178" s="1"/>
  <c r="AGS74" i="178"/>
  <c r="AFU88" i="178"/>
  <c r="AHE61" i="178"/>
  <c r="AHE62" i="178" s="1"/>
  <c r="AHD62" i="178" s="1"/>
  <c r="AHH65" i="178" s="1"/>
  <c r="AT11" i="180" s="1"/>
  <c r="AHG61" i="178"/>
  <c r="AGG81" i="178"/>
  <c r="AHF73" i="178"/>
  <c r="AHD73" i="178"/>
  <c r="AHC80" i="178"/>
  <c r="AHC77" i="178"/>
  <c r="AHE77" i="178" s="1"/>
  <c r="AGU78" i="178"/>
  <c r="AL13" i="180"/>
  <c r="AGU77" i="178"/>
  <c r="AGW13" i="178"/>
  <c r="AG14" i="180"/>
  <c r="AGK14" i="178"/>
  <c r="AGI85" i="178"/>
  <c r="AGI84" i="178"/>
  <c r="AQ12" i="180"/>
  <c r="AHG71" i="178"/>
  <c r="AHG70" i="178"/>
  <c r="AHI12" i="178"/>
  <c r="AGG75" i="178"/>
  <c r="AGG76" i="178" s="1"/>
  <c r="AGF76" i="178" s="1"/>
  <c r="AGJ79" i="178" s="1"/>
  <c r="AJ13" i="180" s="1"/>
  <c r="AGI75" i="178"/>
  <c r="AFJ102" i="178"/>
  <c r="AFK102" i="178" s="1"/>
  <c r="AFG103" i="178"/>
  <c r="AGR80" i="178"/>
  <c r="AGT80" i="178"/>
  <c r="AGQ87" i="178"/>
  <c r="AGQ84" i="178"/>
  <c r="AGS84" i="178" s="1"/>
  <c r="AFU82" i="178"/>
  <c r="AFU83" i="178" s="1"/>
  <c r="AFT83" i="178" s="1"/>
  <c r="AFX86" i="178" s="1"/>
  <c r="AE14" i="180" s="1"/>
  <c r="AFW82" i="178"/>
  <c r="AFV94" i="178"/>
  <c r="AFT94" i="178"/>
  <c r="AFS98" i="178"/>
  <c r="AFU98" i="178" s="1"/>
  <c r="AFS101" i="178"/>
  <c r="AHE67" i="178"/>
  <c r="AB15" i="180"/>
  <c r="AFW92" i="178"/>
  <c r="AFY15" i="178"/>
  <c r="AFW91" i="178"/>
  <c r="AGI86" i="178" l="1"/>
  <c r="AFW93" i="178"/>
  <c r="AHG72" i="178"/>
  <c r="AGU79" i="178"/>
  <c r="AFV98" i="178"/>
  <c r="AFS99" i="178"/>
  <c r="AFU99" i="178" s="1"/>
  <c r="AFV99" i="178" s="1"/>
  <c r="AFS95" i="178"/>
  <c r="AFX95" i="178"/>
  <c r="AC16" i="180" s="1"/>
  <c r="AFX96" i="178"/>
  <c r="AD16" i="180" s="1"/>
  <c r="AFI103" i="178"/>
  <c r="AFI104" i="178" s="1"/>
  <c r="AFH104" i="178" s="1"/>
  <c r="AFL107" i="178" s="1"/>
  <c r="Z17" i="180" s="1"/>
  <c r="AFK103" i="178"/>
  <c r="AHF67" i="178"/>
  <c r="AHG67" i="178" s="1"/>
  <c r="AHC68" i="178"/>
  <c r="AFX94" i="178"/>
  <c r="AFW94" i="178"/>
  <c r="AGS87" i="178"/>
  <c r="AHC74" i="178"/>
  <c r="AHH75" i="178"/>
  <c r="AS13" i="180" s="1"/>
  <c r="AHH74" i="178"/>
  <c r="AR13" i="180" s="1"/>
  <c r="AGJ88" i="178"/>
  <c r="AH15" i="180" s="1"/>
  <c r="AGE88" i="178"/>
  <c r="AGJ89" i="178"/>
  <c r="AI15" i="180" s="1"/>
  <c r="AFU101" i="178"/>
  <c r="AGU80" i="178"/>
  <c r="AGV80" i="178"/>
  <c r="AHH73" i="178"/>
  <c r="AHG73" i="178"/>
  <c r="AGT74" i="178"/>
  <c r="AGU74" i="178" s="1"/>
  <c r="AGQ75" i="178"/>
  <c r="AGJ87" i="178"/>
  <c r="AGI87" i="178"/>
  <c r="AGV81" i="178"/>
  <c r="AM14" i="180" s="1"/>
  <c r="AGV82" i="178"/>
  <c r="AN14" i="180" s="1"/>
  <c r="AGQ81" i="178"/>
  <c r="AHF77" i="178"/>
  <c r="AHC78" i="178"/>
  <c r="AHE78" i="178" s="1"/>
  <c r="AHF78" i="178" s="1"/>
  <c r="AFV88" i="178"/>
  <c r="AFW88" i="178" s="1"/>
  <c r="AFS89" i="178"/>
  <c r="AGH91" i="178"/>
  <c r="AGE92" i="178"/>
  <c r="AGG92" i="178" s="1"/>
  <c r="AGH92" i="178" s="1"/>
  <c r="AGT84" i="178"/>
  <c r="AGQ85" i="178"/>
  <c r="AGS85" i="178" s="1"/>
  <c r="AGT85" i="178" s="1"/>
  <c r="AHE80" i="178"/>
  <c r="AGH81" i="178"/>
  <c r="AGI81" i="178" s="1"/>
  <c r="AGE82" i="178"/>
  <c r="AGG94" i="178"/>
  <c r="AGS81" i="178" l="1"/>
  <c r="AFU89" i="178"/>
  <c r="AFU90" i="178" s="1"/>
  <c r="AFT90" i="178" s="1"/>
  <c r="AFX93" i="178" s="1"/>
  <c r="AE15" i="180" s="1"/>
  <c r="AFW89" i="178"/>
  <c r="AHF80" i="178"/>
  <c r="AHD80" i="178"/>
  <c r="AHC87" i="178"/>
  <c r="AHC84" i="178"/>
  <c r="AHE84" i="178" s="1"/>
  <c r="AGG82" i="178"/>
  <c r="AGG83" i="178" s="1"/>
  <c r="AGF83" i="178" s="1"/>
  <c r="AGJ86" i="178" s="1"/>
  <c r="AJ14" i="180" s="1"/>
  <c r="AGI82" i="178"/>
  <c r="AGG88" i="178"/>
  <c r="AHE74" i="178"/>
  <c r="AFU95" i="178"/>
  <c r="AGH94" i="178"/>
  <c r="AGF94" i="178"/>
  <c r="AGE101" i="178"/>
  <c r="AGE98" i="178"/>
  <c r="AGG98" i="178" s="1"/>
  <c r="AHI13" i="178"/>
  <c r="AHG78" i="178"/>
  <c r="AQ13" i="180"/>
  <c r="AHG77" i="178"/>
  <c r="AGT87" i="178"/>
  <c r="AGR87" i="178"/>
  <c r="AGQ91" i="178"/>
  <c r="AGS91" i="178" s="1"/>
  <c r="AGQ94" i="178"/>
  <c r="AFW99" i="178"/>
  <c r="AB16" i="180"/>
  <c r="AFY16" i="178"/>
  <c r="AFW98" i="178"/>
  <c r="AGK15" i="178"/>
  <c r="AG15" i="180"/>
  <c r="AGI92" i="178"/>
  <c r="AGI91" i="178"/>
  <c r="AGS75" i="178"/>
  <c r="AGS76" i="178" s="1"/>
  <c r="AGR76" i="178" s="1"/>
  <c r="AGV79" i="178" s="1"/>
  <c r="AO13" i="180" s="1"/>
  <c r="AGU75" i="178"/>
  <c r="AL14" i="180"/>
  <c r="AGW14" i="178"/>
  <c r="AGU85" i="178"/>
  <c r="AGU84" i="178"/>
  <c r="AFV101" i="178"/>
  <c r="AFT101" i="178"/>
  <c r="AFS105" i="178"/>
  <c r="AFU105" i="178" s="1"/>
  <c r="AHE68" i="178"/>
  <c r="AHE69" i="178" s="1"/>
  <c r="AHD69" i="178" s="1"/>
  <c r="AHH72" i="178" s="1"/>
  <c r="AT12" i="180" s="1"/>
  <c r="AHG68" i="178"/>
  <c r="AGI93" i="178" l="1"/>
  <c r="AFW100" i="178"/>
  <c r="AFS102" i="178"/>
  <c r="AFX103" i="178"/>
  <c r="AD17" i="180" s="1"/>
  <c r="AFX102" i="178"/>
  <c r="AC17" i="180" s="1"/>
  <c r="AGT91" i="178"/>
  <c r="AGQ92" i="178"/>
  <c r="AGS92" i="178" s="1"/>
  <c r="AGT92" i="178" s="1"/>
  <c r="AGH98" i="178"/>
  <c r="AGE99" i="178"/>
  <c r="AGG99" i="178" s="1"/>
  <c r="AGH99" i="178" s="1"/>
  <c r="AHF84" i="178"/>
  <c r="AHC85" i="178"/>
  <c r="AHE85" i="178" s="1"/>
  <c r="AHF85" i="178" s="1"/>
  <c r="AGQ88" i="178"/>
  <c r="AGV89" i="178"/>
  <c r="AN15" i="180" s="1"/>
  <c r="AGV88" i="178"/>
  <c r="AM15" i="180" s="1"/>
  <c r="AGG101" i="178"/>
  <c r="AFV95" i="178"/>
  <c r="AFW95" i="178" s="1"/>
  <c r="AFS96" i="178"/>
  <c r="AGH88" i="178"/>
  <c r="AGI88" i="178" s="1"/>
  <c r="AGE89" i="178"/>
  <c r="AHE87" i="178"/>
  <c r="AFW101" i="178"/>
  <c r="AFX101" i="178"/>
  <c r="AGU86" i="178"/>
  <c r="AGV87" i="178"/>
  <c r="AGU87" i="178"/>
  <c r="AGE95" i="178"/>
  <c r="AGJ96" i="178"/>
  <c r="AI16" i="180" s="1"/>
  <c r="AGJ95" i="178"/>
  <c r="AH16" i="180" s="1"/>
  <c r="AHF74" i="178"/>
  <c r="AHG74" i="178" s="1"/>
  <c r="AHC75" i="178"/>
  <c r="AHC81" i="178"/>
  <c r="AHH81" i="178"/>
  <c r="AR14" i="180" s="1"/>
  <c r="AHH82" i="178"/>
  <c r="AS14" i="180" s="1"/>
  <c r="AGT81" i="178"/>
  <c r="AGU81" i="178" s="1"/>
  <c r="AGQ82" i="178"/>
  <c r="AFV105" i="178"/>
  <c r="AFS106" i="178"/>
  <c r="AFU106" i="178" s="1"/>
  <c r="AFV106" i="178" s="1"/>
  <c r="AGS94" i="178"/>
  <c r="AHG79" i="178"/>
  <c r="AGJ94" i="178"/>
  <c r="AGI94" i="178"/>
  <c r="AHG80" i="178"/>
  <c r="AHH80" i="178"/>
  <c r="AG16" i="180" l="1"/>
  <c r="AGK16" i="178"/>
  <c r="AGI99" i="178"/>
  <c r="AGI98" i="178"/>
  <c r="AHE75" i="178"/>
  <c r="AHE76" i="178" s="1"/>
  <c r="AHD76" i="178" s="1"/>
  <c r="AHH79" i="178" s="1"/>
  <c r="AT13" i="180" s="1"/>
  <c r="AHG75" i="178"/>
  <c r="AGG95" i="178"/>
  <c r="AFW105" i="178"/>
  <c r="AFW106" i="178"/>
  <c r="AFY17" i="178"/>
  <c r="AB17" i="180"/>
  <c r="AHF87" i="178"/>
  <c r="AHD87" i="178"/>
  <c r="AHC94" i="178"/>
  <c r="AHC91" i="178"/>
  <c r="AHE91" i="178" s="1"/>
  <c r="AGG89" i="178"/>
  <c r="AGG90" i="178" s="1"/>
  <c r="AGF90" i="178" s="1"/>
  <c r="AGJ93" i="178" s="1"/>
  <c r="AJ15" i="180" s="1"/>
  <c r="AGI89" i="178"/>
  <c r="AQ14" i="180"/>
  <c r="AHI14" i="178"/>
  <c r="AHG85" i="178"/>
  <c r="AHG84" i="178"/>
  <c r="AGU92" i="178"/>
  <c r="AL15" i="180"/>
  <c r="AGW15" i="178"/>
  <c r="AGU91" i="178"/>
  <c r="AGH101" i="178"/>
  <c r="AGF101" i="178"/>
  <c r="AGE105" i="178"/>
  <c r="AGG105" i="178" s="1"/>
  <c r="AGS88" i="178"/>
  <c r="AGT94" i="178"/>
  <c r="AGR94" i="178"/>
  <c r="AGQ98" i="178"/>
  <c r="AGS98" i="178" s="1"/>
  <c r="AGQ101" i="178"/>
  <c r="AGS82" i="178"/>
  <c r="AGS83" i="178" s="1"/>
  <c r="AGR83" i="178" s="1"/>
  <c r="AGV86" i="178" s="1"/>
  <c r="AO14" i="180" s="1"/>
  <c r="AGU82" i="178"/>
  <c r="AHE81" i="178"/>
  <c r="AFU96" i="178"/>
  <c r="AFU97" i="178" s="1"/>
  <c r="AFT97" i="178" s="1"/>
  <c r="AFX100" i="178" s="1"/>
  <c r="AE16" i="180" s="1"/>
  <c r="AFW96" i="178"/>
  <c r="AFU102" i="178"/>
  <c r="AFW107" i="178" l="1"/>
  <c r="AGI100" i="178"/>
  <c r="AGU94" i="178"/>
  <c r="AGV94" i="178"/>
  <c r="AGE102" i="178"/>
  <c r="AGJ102" i="178"/>
  <c r="AH17" i="180" s="1"/>
  <c r="AGJ103" i="178"/>
  <c r="AI17" i="180" s="1"/>
  <c r="AHH89" i="178"/>
  <c r="AS15" i="180" s="1"/>
  <c r="AHC88" i="178"/>
  <c r="AHH88" i="178"/>
  <c r="AR15" i="180" s="1"/>
  <c r="AGS101" i="178"/>
  <c r="AGT88" i="178"/>
  <c r="AGU88" i="178" s="1"/>
  <c r="AGQ89" i="178"/>
  <c r="AGJ101" i="178"/>
  <c r="AGI101" i="178"/>
  <c r="AHH87" i="178"/>
  <c r="AHG87" i="178"/>
  <c r="AFV102" i="178"/>
  <c r="AFW102" i="178" s="1"/>
  <c r="AFS103" i="178"/>
  <c r="AHF81" i="178"/>
  <c r="AHG81" i="178" s="1"/>
  <c r="AHC82" i="178"/>
  <c r="AHF91" i="178"/>
  <c r="AHC92" i="178"/>
  <c r="AHE92" i="178" s="1"/>
  <c r="AHF92" i="178" s="1"/>
  <c r="AGT98" i="178"/>
  <c r="AGQ99" i="178"/>
  <c r="AGS99" i="178" s="1"/>
  <c r="AGT99" i="178" s="1"/>
  <c r="AGQ95" i="178"/>
  <c r="AGV96" i="178"/>
  <c r="AN16" i="180" s="1"/>
  <c r="AGV95" i="178"/>
  <c r="AM16" i="180" s="1"/>
  <c r="AGH105" i="178"/>
  <c r="AGE106" i="178"/>
  <c r="AGG106" i="178" s="1"/>
  <c r="AGH106" i="178" s="1"/>
  <c r="AGU93" i="178"/>
  <c r="AHG86" i="178"/>
  <c r="AHE94" i="178"/>
  <c r="AGH95" i="178"/>
  <c r="AGI95" i="178" s="1"/>
  <c r="AGE96" i="178"/>
  <c r="AGG96" i="178" l="1"/>
  <c r="AGG97" i="178" s="1"/>
  <c r="AGF97" i="178" s="1"/>
  <c r="AGJ100" i="178" s="1"/>
  <c r="AJ16" i="180" s="1"/>
  <c r="AGI96" i="178"/>
  <c r="AHG92" i="178"/>
  <c r="AHI15" i="178"/>
  <c r="AQ15" i="180"/>
  <c r="AHG91" i="178"/>
  <c r="AGS95" i="178"/>
  <c r="AHF94" i="178"/>
  <c r="AHD94" i="178"/>
  <c r="AHC101" i="178"/>
  <c r="AHC98" i="178"/>
  <c r="AHE98" i="178" s="1"/>
  <c r="AFU103" i="178"/>
  <c r="AFU104" i="178" s="1"/>
  <c r="AFT104" i="178" s="1"/>
  <c r="AFX107" i="178" s="1"/>
  <c r="AE17" i="180" s="1"/>
  <c r="AFW103" i="178"/>
  <c r="AHE88" i="178"/>
  <c r="AGG102" i="178"/>
  <c r="AGK17" i="178"/>
  <c r="AGI105" i="178"/>
  <c r="AGI106" i="178"/>
  <c r="AG17" i="180"/>
  <c r="AGT101" i="178"/>
  <c r="AGR101" i="178"/>
  <c r="AGQ105" i="178"/>
  <c r="AGS105" i="178" s="1"/>
  <c r="AL16" i="180"/>
  <c r="AGU99" i="178"/>
  <c r="AGW16" i="178"/>
  <c r="AGU98" i="178"/>
  <c r="AHE82" i="178"/>
  <c r="AHE83" i="178" s="1"/>
  <c r="AHD83" i="178" s="1"/>
  <c r="AHH86" i="178" s="1"/>
  <c r="AT14" i="180" s="1"/>
  <c r="AHG82" i="178"/>
  <c r="AGS89" i="178"/>
  <c r="AGS90" i="178" s="1"/>
  <c r="AGR90" i="178" s="1"/>
  <c r="AGV93" i="178" s="1"/>
  <c r="AO15" i="180" s="1"/>
  <c r="AGU89" i="178"/>
  <c r="AGU100" i="178" l="1"/>
  <c r="AHG93" i="178"/>
  <c r="AGI107" i="178"/>
  <c r="AHE101" i="178"/>
  <c r="AGT95" i="178"/>
  <c r="AGU95" i="178" s="1"/>
  <c r="AGQ96" i="178"/>
  <c r="AGT105" i="178"/>
  <c r="AGQ106" i="178"/>
  <c r="AGS106" i="178" s="1"/>
  <c r="AGT106" i="178" s="1"/>
  <c r="AHH95" i="178"/>
  <c r="AR16" i="180" s="1"/>
  <c r="AHH96" i="178"/>
  <c r="AS16" i="180" s="1"/>
  <c r="AHC95" i="178"/>
  <c r="AHG94" i="178"/>
  <c r="AHH94" i="178"/>
  <c r="AGQ102" i="178"/>
  <c r="AGV103" i="178"/>
  <c r="AN17" i="180" s="1"/>
  <c r="AGV102" i="178"/>
  <c r="AM17" i="180" s="1"/>
  <c r="AGH102" i="178"/>
  <c r="AGI102" i="178" s="1"/>
  <c r="AGE103" i="178"/>
  <c r="AGU101" i="178"/>
  <c r="AGV101" i="178"/>
  <c r="AHF88" i="178"/>
  <c r="AHG88" i="178" s="1"/>
  <c r="AHC89" i="178"/>
  <c r="AHF98" i="178"/>
  <c r="AHC99" i="178"/>
  <c r="AHE99" i="178" s="1"/>
  <c r="AHF99" i="178" s="1"/>
  <c r="AHE95" i="178" l="1"/>
  <c r="AHF101" i="178"/>
  <c r="AHD101" i="178"/>
  <c r="AHC105" i="178"/>
  <c r="AHE105" i="178" s="1"/>
  <c r="AHE89" i="178"/>
  <c r="AHE90" i="178" s="1"/>
  <c r="AHD90" i="178" s="1"/>
  <c r="AHH93" i="178" s="1"/>
  <c r="AT15" i="180" s="1"/>
  <c r="AHG89" i="178"/>
  <c r="AGG103" i="178"/>
  <c r="AGG104" i="178" s="1"/>
  <c r="AGF104" i="178" s="1"/>
  <c r="AGJ107" i="178" s="1"/>
  <c r="AJ17" i="180" s="1"/>
  <c r="AGI103" i="178"/>
  <c r="AGS102" i="178"/>
  <c r="AGS96" i="178"/>
  <c r="AGS97" i="178" s="1"/>
  <c r="AGR97" i="178" s="1"/>
  <c r="AGV100" i="178" s="1"/>
  <c r="AO16" i="180" s="1"/>
  <c r="AGU96" i="178"/>
  <c r="AGW17" i="178"/>
  <c r="AGU106" i="178"/>
  <c r="AGU105" i="178"/>
  <c r="AL17" i="180"/>
  <c r="AHG99" i="178"/>
  <c r="AQ16" i="180"/>
  <c r="AHI16" i="178"/>
  <c r="AHG98" i="178"/>
  <c r="AGU107" i="178" l="1"/>
  <c r="AHG100" i="178"/>
  <c r="AHC102" i="178"/>
  <c r="AHH103" i="178"/>
  <c r="AS17" i="180" s="1"/>
  <c r="AHH102" i="178"/>
  <c r="AR17" i="180" s="1"/>
  <c r="AGT102" i="178"/>
  <c r="AGU102" i="178" s="1"/>
  <c r="AGQ103" i="178"/>
  <c r="AHH101" i="178"/>
  <c r="AHG101" i="178"/>
  <c r="AHF95" i="178"/>
  <c r="AHG95" i="178" s="1"/>
  <c r="AHC96" i="178"/>
  <c r="AHF105" i="178"/>
  <c r="AHC106" i="178"/>
  <c r="AHE106" i="178" s="1"/>
  <c r="AHF106" i="178" s="1"/>
  <c r="AHG106" i="178" l="1"/>
  <c r="AHI17" i="178"/>
  <c r="AQ17" i="180"/>
  <c r="AHG105" i="178"/>
  <c r="AHE96" i="178"/>
  <c r="AHE97" i="178" s="1"/>
  <c r="AHD97" i="178" s="1"/>
  <c r="AHH100" i="178" s="1"/>
  <c r="AT16" i="180" s="1"/>
  <c r="AHG96" i="178"/>
  <c r="AGS103" i="178"/>
  <c r="AGS104" i="178" s="1"/>
  <c r="AGR104" i="178" s="1"/>
  <c r="AGV107" i="178" s="1"/>
  <c r="AO17" i="180" s="1"/>
  <c r="AGU103" i="178"/>
  <c r="AHE102" i="178"/>
  <c r="AHG107" i="178" l="1"/>
  <c r="AHF102" i="178"/>
  <c r="AHG102" i="178" s="1"/>
  <c r="AHC103" i="178"/>
  <c r="AHE103" i="178" l="1"/>
  <c r="AHE104" i="178" s="1"/>
  <c r="AHD104" i="178" s="1"/>
  <c r="AHH107" i="178" s="1"/>
  <c r="AT17" i="180" s="1"/>
  <c r="AHG103" i="178"/>
  <c r="QS4" i="178" l="1"/>
  <c r="QS10" i="178"/>
  <c r="QA6" i="178"/>
  <c r="QJ5" i="178"/>
  <c r="PR5" i="178"/>
  <c r="QJ6" i="178"/>
  <c r="QA5" i="178"/>
  <c r="PR13" i="178"/>
  <c r="QS7" i="178"/>
  <c r="QA12" i="178"/>
  <c r="PR12" i="178"/>
  <c r="PR6" i="178"/>
  <c r="QJ7" i="178"/>
  <c r="QA11" i="178"/>
  <c r="QJ13" i="178"/>
  <c r="PR4" i="178"/>
  <c r="QS8" i="178"/>
  <c r="QJ11" i="178"/>
  <c r="QA4" i="178"/>
  <c r="QJ12" i="178"/>
  <c r="QA7" i="178"/>
  <c r="QA8" i="178"/>
  <c r="QS14" i="178"/>
  <c r="QA14" i="178"/>
  <c r="QA10" i="178"/>
  <c r="QS9" i="178"/>
  <c r="QJ8" i="178"/>
  <c r="PR8" i="178"/>
  <c r="PR7" i="178"/>
  <c r="PR10" i="178"/>
  <c r="QJ14" i="178"/>
  <c r="PR11" i="178"/>
  <c r="QS13" i="178"/>
  <c r="QS11" i="178"/>
  <c r="QJ9" i="178"/>
  <c r="QS5" i="178"/>
  <c r="QA13" i="178"/>
  <c r="QJ4" i="178"/>
  <c r="QA9" i="178"/>
  <c r="PR9" i="178"/>
  <c r="PR14" i="178"/>
  <c r="QS6" i="178"/>
  <c r="QJ10" i="178"/>
  <c r="QS12" i="178"/>
  <c r="QJ3" i="178"/>
  <c r="QS3" i="178"/>
  <c r="QA3" i="178"/>
  <c r="PS3" i="178" l="1"/>
  <c r="PT3" i="178" s="1"/>
  <c r="PV3" i="178" s="1"/>
  <c r="PW3" i="178" s="1"/>
  <c r="PX3" i="178" s="1"/>
  <c r="QB3" i="178"/>
  <c r="QC3" i="178" s="1"/>
  <c r="QE3" i="178" s="1"/>
  <c r="QK3" i="178"/>
  <c r="QL3" i="178" s="1"/>
  <c r="QT3" i="178"/>
  <c r="QU3" i="178" s="1"/>
  <c r="T10" i="149" l="1"/>
  <c r="PT4" i="178"/>
  <c r="PV4" i="178" s="1"/>
  <c r="PW4" i="178" s="1"/>
  <c r="PX4" i="178" s="1"/>
  <c r="PY3" i="178" s="1"/>
  <c r="QN3" i="178"/>
  <c r="QF3" i="178"/>
  <c r="QG3" i="178" s="1"/>
  <c r="QC4" i="178"/>
  <c r="PR21" i="178"/>
  <c r="QS26" i="178"/>
  <c r="PR18" i="178"/>
  <c r="QJ21" i="178"/>
  <c r="QA21" i="178"/>
  <c r="QS21" i="178"/>
  <c r="QJ19" i="178"/>
  <c r="QJ25" i="178"/>
  <c r="QJ23" i="178"/>
  <c r="QJ26" i="178"/>
  <c r="QA26" i="178"/>
  <c r="QS20" i="178"/>
  <c r="PR22" i="178"/>
  <c r="QS22" i="178"/>
  <c r="QS17" i="178"/>
  <c r="QA19" i="178"/>
  <c r="QJ22" i="178"/>
  <c r="QS23" i="178"/>
  <c r="PR20" i="178"/>
  <c r="QA24" i="178"/>
  <c r="QS19" i="178"/>
  <c r="PR19" i="178"/>
  <c r="QS25" i="178"/>
  <c r="QJ17" i="178"/>
  <c r="QJ16" i="178"/>
  <c r="QA16" i="178"/>
  <c r="QS16" i="178"/>
  <c r="PR16" i="178"/>
  <c r="PR25" i="178"/>
  <c r="QJ18" i="178"/>
  <c r="PR24" i="178"/>
  <c r="QA23" i="178"/>
  <c r="QA22" i="178"/>
  <c r="QJ20" i="178"/>
  <c r="QJ24" i="178"/>
  <c r="QS18" i="178"/>
  <c r="PR17" i="178"/>
  <c r="PR26" i="178"/>
  <c r="QA18" i="178"/>
  <c r="QS24" i="178"/>
  <c r="QA25" i="178"/>
  <c r="QA20" i="178"/>
  <c r="PR23" i="178"/>
  <c r="QA17" i="178"/>
  <c r="PR15" i="178"/>
  <c r="QA15" i="178"/>
  <c r="QS15" i="178"/>
  <c r="QJ15" i="178"/>
  <c r="QW3" i="178"/>
  <c r="RB6" i="178" l="1"/>
  <c r="W10" i="149" s="1"/>
  <c r="V10" i="149"/>
  <c r="QB15" i="178"/>
  <c r="QC15" i="178" s="1"/>
  <c r="QE15" i="178" s="1"/>
  <c r="QT15" i="178"/>
  <c r="QU15" i="178" s="1"/>
  <c r="QW15" i="178" s="1"/>
  <c r="QX15" i="178" s="1"/>
  <c r="QE4" i="178"/>
  <c r="QF4" i="178" s="1"/>
  <c r="QG4" i="178" s="1"/>
  <c r="QH3" i="178" s="1"/>
  <c r="RB7" i="178" s="1"/>
  <c r="X10" i="149" s="1"/>
  <c r="QK15" i="178"/>
  <c r="QL15" i="178" s="1"/>
  <c r="PS15" i="178"/>
  <c r="PT15" i="178" s="1"/>
  <c r="QX3" i="178"/>
  <c r="QY3" i="178" s="1"/>
  <c r="QU4" i="178"/>
  <c r="QO3" i="178"/>
  <c r="QP3" i="178" s="1"/>
  <c r="QL4" i="178"/>
  <c r="T11" i="149" l="1"/>
  <c r="QU16" i="178"/>
  <c r="QW16" i="178" s="1"/>
  <c r="QX16" i="178" s="1"/>
  <c r="QY16" i="178" s="1"/>
  <c r="QY15" i="178"/>
  <c r="QN4" i="178"/>
  <c r="QO4" i="178" s="1"/>
  <c r="QP4" i="178" s="1"/>
  <c r="QQ3" i="178" s="1"/>
  <c r="RB8" i="178" s="1"/>
  <c r="Y10" i="149" s="1"/>
  <c r="QW4" i="178"/>
  <c r="QX4" i="178" s="1"/>
  <c r="QY4" i="178" s="1"/>
  <c r="QZ3" i="178" s="1"/>
  <c r="RB9" i="178" s="1"/>
  <c r="Z10" i="149" s="1"/>
  <c r="QF15" i="178"/>
  <c r="QG15" i="178" s="1"/>
  <c r="QC16" i="178"/>
  <c r="PV15" i="178"/>
  <c r="QJ30" i="178"/>
  <c r="QJ37" i="178"/>
  <c r="QA38" i="178"/>
  <c r="QS38" i="178"/>
  <c r="QA37" i="178"/>
  <c r="QJ38" i="178"/>
  <c r="QA32" i="178"/>
  <c r="QJ31" i="178"/>
  <c r="PR33" i="178"/>
  <c r="QA28" i="178"/>
  <c r="QJ36" i="178"/>
  <c r="QA34" i="178"/>
  <c r="PR34" i="178"/>
  <c r="QJ29" i="178"/>
  <c r="QJ32" i="178"/>
  <c r="QS28" i="178"/>
  <c r="PR37" i="178"/>
  <c r="QS32" i="178"/>
  <c r="PR28" i="178"/>
  <c r="PR31" i="178"/>
  <c r="PR32" i="178"/>
  <c r="PR35" i="178"/>
  <c r="PR30" i="178"/>
  <c r="QJ34" i="178"/>
  <c r="PR29" i="178"/>
  <c r="QJ28" i="178"/>
  <c r="QS36" i="178"/>
  <c r="QA31" i="178"/>
  <c r="QA36" i="178"/>
  <c r="QS33" i="178"/>
  <c r="QS30" i="178"/>
  <c r="QJ33" i="178"/>
  <c r="QS29" i="178"/>
  <c r="QA30" i="178"/>
  <c r="QA29" i="178"/>
  <c r="QS37" i="178"/>
  <c r="QS35" i="178"/>
  <c r="QS31" i="178"/>
  <c r="QA33" i="178"/>
  <c r="PR36" i="178"/>
  <c r="PR38" i="178"/>
  <c r="QA35" i="178"/>
  <c r="QJ35" i="178"/>
  <c r="QS34" i="178"/>
  <c r="PR27" i="178"/>
  <c r="QA27" i="178"/>
  <c r="QS27" i="178"/>
  <c r="QJ27" i="178"/>
  <c r="QN15" i="178"/>
  <c r="AA10" i="149" l="1"/>
  <c r="AB10" i="149" s="1"/>
  <c r="U10" i="149"/>
  <c r="QK27" i="178"/>
  <c r="QL27" i="178" s="1"/>
  <c r="QN27" i="178" s="1"/>
  <c r="QO27" i="178" s="1"/>
  <c r="QP27" i="178" s="1"/>
  <c r="QZ15" i="178"/>
  <c r="RB16" i="178" s="1"/>
  <c r="Z11" i="149" s="1"/>
  <c r="QB27" i="178"/>
  <c r="QC27" i="178" s="1"/>
  <c r="QE27" i="178" s="1"/>
  <c r="QC28" i="178" s="1"/>
  <c r="QT27" i="178"/>
  <c r="QU27" i="178" s="1"/>
  <c r="QW27" i="178" s="1"/>
  <c r="PS27" i="178"/>
  <c r="PT27" i="178" s="1"/>
  <c r="PV27" i="178" s="1"/>
  <c r="U11" i="149"/>
  <c r="QO15" i="178"/>
  <c r="QP15" i="178" s="1"/>
  <c r="QL16" i="178"/>
  <c r="V11" i="149"/>
  <c r="QE16" i="178"/>
  <c r="QF16" i="178" s="1"/>
  <c r="QG16" i="178" s="1"/>
  <c r="QH15" i="178" s="1"/>
  <c r="RB14" i="178" s="1"/>
  <c r="X11" i="149" s="1"/>
  <c r="PW15" i="178"/>
  <c r="PX15" i="178" s="1"/>
  <c r="PT16" i="178"/>
  <c r="QL28" i="178" l="1"/>
  <c r="QN28" i="178" s="1"/>
  <c r="QO28" i="178" s="1"/>
  <c r="QP28" i="178" s="1"/>
  <c r="QQ27" i="178" s="1"/>
  <c r="RB22" i="178" s="1"/>
  <c r="Y12" i="149" s="1"/>
  <c r="QF27" i="178"/>
  <c r="QG27" i="178" s="1"/>
  <c r="T12" i="149"/>
  <c r="PW27" i="178"/>
  <c r="PX27" i="178" s="1"/>
  <c r="PT28" i="178"/>
  <c r="QE28" i="178"/>
  <c r="QF28" i="178" s="1"/>
  <c r="QG28" i="178" s="1"/>
  <c r="PV16" i="178"/>
  <c r="PW16" i="178" s="1"/>
  <c r="PX16" i="178" s="1"/>
  <c r="PY15" i="178" s="1"/>
  <c r="RB13" i="178" s="1"/>
  <c r="W11" i="149" s="1"/>
  <c r="QS41" i="178"/>
  <c r="QJ42" i="178"/>
  <c r="QJ50" i="178"/>
  <c r="PR44" i="178"/>
  <c r="QA44" i="178"/>
  <c r="QA47" i="178"/>
  <c r="PR40" i="178"/>
  <c r="QS46" i="178"/>
  <c r="QA49" i="178"/>
  <c r="QS45" i="178"/>
  <c r="QS44" i="178"/>
  <c r="QS48" i="178"/>
  <c r="QA43" i="178"/>
  <c r="PR47" i="178"/>
  <c r="QS43" i="178"/>
  <c r="QJ46" i="178"/>
  <c r="QS42" i="178"/>
  <c r="QJ40" i="178"/>
  <c r="PR45" i="178"/>
  <c r="QJ48" i="178"/>
  <c r="QJ47" i="178"/>
  <c r="QJ43" i="178"/>
  <c r="QS47" i="178"/>
  <c r="PR49" i="178"/>
  <c r="QA46" i="178"/>
  <c r="PR42" i="178"/>
  <c r="QJ45" i="178"/>
  <c r="PR41" i="178"/>
  <c r="QA42" i="178"/>
  <c r="QJ41" i="178"/>
  <c r="QA41" i="178"/>
  <c r="QS49" i="178"/>
  <c r="PR46" i="178"/>
  <c r="PR43" i="178"/>
  <c r="QJ44" i="178"/>
  <c r="QA48" i="178"/>
  <c r="QJ49" i="178"/>
  <c r="PR48" i="178"/>
  <c r="QA40" i="178"/>
  <c r="QA50" i="178"/>
  <c r="QS40" i="178"/>
  <c r="QS50" i="178"/>
  <c r="QA45" i="178"/>
  <c r="PR50" i="178"/>
  <c r="QJ39" i="178"/>
  <c r="QS39" i="178"/>
  <c r="PR39" i="178"/>
  <c r="QA39" i="178"/>
  <c r="QN16" i="178"/>
  <c r="QO16" i="178" s="1"/>
  <c r="QP16" i="178" s="1"/>
  <c r="QQ15" i="178" s="1"/>
  <c r="RB15" i="178" s="1"/>
  <c r="Y11" i="149" s="1"/>
  <c r="AA11" i="149" s="1"/>
  <c r="AB11" i="149" s="1"/>
  <c r="QX27" i="178"/>
  <c r="QY27" i="178" s="1"/>
  <c r="QU28" i="178"/>
  <c r="QH27" i="178" l="1"/>
  <c r="RB21" i="178" s="1"/>
  <c r="X12" i="149" s="1"/>
  <c r="V12" i="149"/>
  <c r="U12" i="149"/>
  <c r="QB39" i="178"/>
  <c r="QC39" i="178" s="1"/>
  <c r="QE39" i="178" s="1"/>
  <c r="QC40" i="178" s="1"/>
  <c r="QK39" i="178"/>
  <c r="QL39" i="178" s="1"/>
  <c r="QN39" i="178" s="1"/>
  <c r="QO39" i="178" s="1"/>
  <c r="QP39" i="178" s="1"/>
  <c r="PS39" i="178"/>
  <c r="PT39" i="178" s="1"/>
  <c r="PV39" i="178" s="1"/>
  <c r="PT40" i="178" s="1"/>
  <c r="QT39" i="178"/>
  <c r="QU39" i="178" s="1"/>
  <c r="QW39" i="178" s="1"/>
  <c r="PV28" i="178"/>
  <c r="PW28" i="178" s="1"/>
  <c r="PX28" i="178" s="1"/>
  <c r="PY27" i="178" s="1"/>
  <c r="RB20" i="178" s="1"/>
  <c r="W12" i="149" s="1"/>
  <c r="QW28" i="178"/>
  <c r="QX28" i="178" s="1"/>
  <c r="QY28" i="178" s="1"/>
  <c r="QZ27" i="178" s="1"/>
  <c r="RB23" i="178" s="1"/>
  <c r="Z12" i="149" s="1"/>
  <c r="AA12" i="149" s="1"/>
  <c r="AB12" i="149" l="1"/>
  <c r="QF39" i="178"/>
  <c r="QG39" i="178" s="1"/>
  <c r="QL40" i="178"/>
  <c r="QN40" i="178" s="1"/>
  <c r="QO40" i="178" s="1"/>
  <c r="QP40" i="178" s="1"/>
  <c r="QQ39" i="178" s="1"/>
  <c r="RB29" i="178" s="1"/>
  <c r="PW39" i="178"/>
  <c r="PX39" i="178" s="1"/>
  <c r="QE40" i="178"/>
  <c r="QF40" i="178" s="1"/>
  <c r="QG40" i="178" s="1"/>
  <c r="QX39" i="178"/>
  <c r="QY39" i="178" s="1"/>
  <c r="QU40" i="178"/>
  <c r="QS56" i="178"/>
  <c r="QS58" i="178"/>
  <c r="QJ61" i="178"/>
  <c r="QS60" i="178"/>
  <c r="QS61" i="178"/>
  <c r="PR54" i="178"/>
  <c r="PR55" i="178"/>
  <c r="QS54" i="178"/>
  <c r="QA52" i="178"/>
  <c r="QA62" i="178"/>
  <c r="QS55" i="178"/>
  <c r="QS52" i="178"/>
  <c r="QA58" i="178"/>
  <c r="QJ56" i="178"/>
  <c r="QA57" i="178"/>
  <c r="QA60" i="178"/>
  <c r="QJ58" i="178"/>
  <c r="PR57" i="178"/>
  <c r="QJ52" i="178"/>
  <c r="QJ62" i="178"/>
  <c r="QJ54" i="178"/>
  <c r="QA55" i="178"/>
  <c r="PR60" i="178"/>
  <c r="QA59" i="178"/>
  <c r="QA53" i="178"/>
  <c r="QJ55" i="178"/>
  <c r="PR61" i="178"/>
  <c r="QS62" i="178"/>
  <c r="PR52" i="178"/>
  <c r="QA56" i="178"/>
  <c r="QJ59" i="178"/>
  <c r="QJ57" i="178"/>
  <c r="PR56" i="178"/>
  <c r="QS53" i="178"/>
  <c r="QS59" i="178"/>
  <c r="QA54" i="178"/>
  <c r="PR62" i="178"/>
  <c r="QS57" i="178"/>
  <c r="QJ53" i="178"/>
  <c r="PR59" i="178"/>
  <c r="QA61" i="178"/>
  <c r="QJ60" i="178"/>
  <c r="PR53" i="178"/>
  <c r="PR58" i="178"/>
  <c r="QS51" i="178"/>
  <c r="QA51" i="178"/>
  <c r="QJ51" i="178"/>
  <c r="PR51" i="178"/>
  <c r="PV40" i="178"/>
  <c r="PW40" i="178" s="1"/>
  <c r="PX40" i="178" s="1"/>
  <c r="QT51" i="178" l="1"/>
  <c r="QU51" i="178" s="1"/>
  <c r="QW51" i="178" s="1"/>
  <c r="QX51" i="178" s="1"/>
  <c r="QY51" i="178" s="1"/>
  <c r="QH39" i="178"/>
  <c r="RB28" i="178" s="1"/>
  <c r="PY39" i="178"/>
  <c r="RB27" i="178" s="1"/>
  <c r="QK51" i="178"/>
  <c r="QL51" i="178" s="1"/>
  <c r="QN51" i="178" s="1"/>
  <c r="PS51" i="178"/>
  <c r="PT51" i="178" s="1"/>
  <c r="PV51" i="178" s="1"/>
  <c r="QB51" i="178"/>
  <c r="QC51" i="178" s="1"/>
  <c r="QE51" i="178" s="1"/>
  <c r="QF51" i="178" s="1"/>
  <c r="QG51" i="178" s="1"/>
  <c r="QW40" i="178"/>
  <c r="QX40" i="178" s="1"/>
  <c r="QY40" i="178" s="1"/>
  <c r="QZ39" i="178" s="1"/>
  <c r="RB30" i="178" s="1"/>
  <c r="QU52" i="178" l="1"/>
  <c r="QW52" i="178" s="1"/>
  <c r="QX52" i="178" s="1"/>
  <c r="QY52" i="178" s="1"/>
  <c r="QZ51" i="178" s="1"/>
  <c r="RB37" i="178" s="1"/>
  <c r="QC52" i="178"/>
  <c r="QE52" i="178" s="1"/>
  <c r="QF52" i="178" s="1"/>
  <c r="QG52" i="178" s="1"/>
  <c r="QH51" i="178" s="1"/>
  <c r="RB35" i="178" s="1"/>
  <c r="PW51" i="178"/>
  <c r="PX51" i="178" s="1"/>
  <c r="PT52" i="178"/>
  <c r="QO51" i="178"/>
  <c r="QP51" i="178" s="1"/>
  <c r="QL52" i="178"/>
  <c r="PV52" i="178" l="1"/>
  <c r="PW52" i="178" s="1"/>
  <c r="PX52" i="178" s="1"/>
  <c r="PY51" i="178" s="1"/>
  <c r="RB34" i="178" s="1"/>
  <c r="QN52" i="178"/>
  <c r="QO52" i="178" s="1"/>
  <c r="QP52" i="178" s="1"/>
  <c r="QQ51" i="178" s="1"/>
  <c r="RB36" i="178" s="1"/>
  <c r="K4" i="187"/>
  <c r="M4" i="187" s="1"/>
  <c r="O4" i="187" l="1"/>
  <c r="W4" i="187"/>
  <c r="S4" i="187" l="1"/>
  <c r="T4" i="187" s="1"/>
  <c r="AK4" i="187" s="1"/>
  <c r="AJ3" i="187" s="1"/>
  <c r="R4" i="187"/>
  <c r="K5" i="187" s="1"/>
  <c r="M5" i="187" s="1"/>
  <c r="O5" i="187" s="1"/>
  <c r="V6" i="187"/>
  <c r="V5" i="187"/>
  <c r="V3" i="187"/>
  <c r="W3" i="187" l="1"/>
  <c r="Z3" i="187" s="1"/>
  <c r="AB3" i="187" s="1"/>
  <c r="AJ6" i="187"/>
  <c r="AJ5" i="187"/>
  <c r="S5" i="187"/>
  <c r="T5" i="187" s="1"/>
  <c r="AY4" i="187" s="1"/>
  <c r="R5" i="187"/>
  <c r="K6" i="187" s="1"/>
  <c r="M6" i="187" s="1"/>
  <c r="O6" i="187" s="1"/>
  <c r="AK3" i="187" l="1"/>
  <c r="AN3" i="187" s="1"/>
  <c r="AP3" i="187" s="1"/>
  <c r="AQ3" i="187" s="1"/>
  <c r="AR3" i="187" s="1"/>
  <c r="S6" i="187"/>
  <c r="T6" i="187" s="1"/>
  <c r="R6" i="187"/>
  <c r="K7" i="187" s="1"/>
  <c r="M7" i="187" s="1"/>
  <c r="O7" i="187" s="1"/>
  <c r="AA3" i="187"/>
  <c r="AC3" i="187"/>
  <c r="Z10" i="187"/>
  <c r="Z7" i="187"/>
  <c r="AB7" i="187" s="1"/>
  <c r="AN7" i="187" l="1"/>
  <c r="AP7" i="187" s="1"/>
  <c r="AQ7" i="187" s="1"/>
  <c r="AN10" i="187"/>
  <c r="AP10" i="187" s="1"/>
  <c r="AQ10" i="187" s="1"/>
  <c r="AO3" i="187"/>
  <c r="AN4" i="187" s="1"/>
  <c r="AP4" i="187" s="1"/>
  <c r="AQ4" i="187" s="1"/>
  <c r="AR4" i="187" s="1"/>
  <c r="AS4" i="187" s="1"/>
  <c r="AS3" i="187"/>
  <c r="S7" i="187"/>
  <c r="T7" i="187" s="1"/>
  <c r="R7" i="187"/>
  <c r="AC7" i="187"/>
  <c r="Z8" i="187"/>
  <c r="AB8" i="187" s="1"/>
  <c r="AC8" i="187" s="1"/>
  <c r="AD3" i="187"/>
  <c r="AE3" i="187"/>
  <c r="AB10" i="187"/>
  <c r="Z4" i="187"/>
  <c r="AN8" i="187" l="1"/>
  <c r="AP8" i="187" s="1"/>
  <c r="AQ8" i="187" s="1"/>
  <c r="AR7" i="187"/>
  <c r="AN5" i="187"/>
  <c r="AP5" i="187" s="1"/>
  <c r="AP6" i="187" s="1"/>
  <c r="AO6" i="187" s="1"/>
  <c r="AO10" i="187"/>
  <c r="AS12" i="187" s="1"/>
  <c r="AT3" i="187"/>
  <c r="BK18" i="187" s="1"/>
  <c r="AN17" i="187"/>
  <c r="AP17" i="187" s="1"/>
  <c r="AN14" i="187"/>
  <c r="AP14" i="187" s="1"/>
  <c r="AQ14" i="187" s="1"/>
  <c r="AR10" i="187"/>
  <c r="AS10" i="187"/>
  <c r="AD8" i="187"/>
  <c r="AF3" i="187"/>
  <c r="BK3" i="187" s="1"/>
  <c r="AD7" i="187"/>
  <c r="AB4" i="187"/>
  <c r="AC10" i="187"/>
  <c r="AA10" i="187"/>
  <c r="Z17" i="187"/>
  <c r="Z14" i="187"/>
  <c r="AB14" i="187" s="1"/>
  <c r="AR8" i="187" l="1"/>
  <c r="AS11" i="187"/>
  <c r="AR5" i="187"/>
  <c r="AS5" i="187" s="1"/>
  <c r="AN11" i="187"/>
  <c r="AP11" i="187" s="1"/>
  <c r="AQ11" i="187" s="1"/>
  <c r="AR11" i="187" s="1"/>
  <c r="AN15" i="187"/>
  <c r="AP15" i="187" s="1"/>
  <c r="AQ15" i="187" s="1"/>
  <c r="AH3" i="187"/>
  <c r="AO17" i="187"/>
  <c r="AQ17" i="187"/>
  <c r="AN24" i="187"/>
  <c r="AN21" i="187"/>
  <c r="AP21" i="187" s="1"/>
  <c r="AR14" i="187"/>
  <c r="AT4" i="187"/>
  <c r="BK19" i="187" s="1"/>
  <c r="AV4" i="187"/>
  <c r="AD9" i="187"/>
  <c r="AC4" i="187"/>
  <c r="AD4" i="187" s="1"/>
  <c r="AE4" i="187" s="1"/>
  <c r="Z5" i="187"/>
  <c r="AC14" i="187"/>
  <c r="Z15" i="187"/>
  <c r="AB15" i="187" s="1"/>
  <c r="AC15" i="187" s="1"/>
  <c r="AB17" i="187"/>
  <c r="AE10" i="187"/>
  <c r="AD10" i="187"/>
  <c r="Z11" i="187"/>
  <c r="AE11" i="187"/>
  <c r="AE12" i="187"/>
  <c r="AR9" i="187" l="1"/>
  <c r="AS9" i="187" s="1"/>
  <c r="AU3" i="187" s="1"/>
  <c r="BL18" i="187" s="1"/>
  <c r="AV3" i="187"/>
  <c r="AR15" i="187"/>
  <c r="AR16" i="187" s="1"/>
  <c r="AN12" i="187"/>
  <c r="AR12" i="187" s="1"/>
  <c r="AP24" i="187"/>
  <c r="AR17" i="187"/>
  <c r="AS17" i="187"/>
  <c r="AN18" i="187"/>
  <c r="AP18" i="187" s="1"/>
  <c r="AS19" i="187"/>
  <c r="AS18" i="187"/>
  <c r="AQ21" i="187"/>
  <c r="AN22" i="187"/>
  <c r="AP22" i="187" s="1"/>
  <c r="AQ22" i="187" s="1"/>
  <c r="AC17" i="187"/>
  <c r="AA17" i="187"/>
  <c r="Z24" i="187"/>
  <c r="Z21" i="187"/>
  <c r="AB21" i="187" s="1"/>
  <c r="AB11" i="187"/>
  <c r="AB5" i="187"/>
  <c r="AB6" i="187" s="1"/>
  <c r="AA6" i="187" s="1"/>
  <c r="AE9" i="187" s="1"/>
  <c r="AG3" i="187" s="1"/>
  <c r="BL3" i="187" s="1"/>
  <c r="AD5" i="187"/>
  <c r="AE5" i="187" s="1"/>
  <c r="AF4" i="187"/>
  <c r="AH4" i="187"/>
  <c r="AD15" i="187"/>
  <c r="AD14" i="187"/>
  <c r="AP12" i="187" l="1"/>
  <c r="AP13" i="187" s="1"/>
  <c r="AO13" i="187" s="1"/>
  <c r="AS16" i="187" s="1"/>
  <c r="AU4" i="187" s="1"/>
  <c r="BL19" i="187" s="1"/>
  <c r="AR21" i="187"/>
  <c r="AV5" i="187"/>
  <c r="AT5" i="187"/>
  <c r="BK20" i="187" s="1"/>
  <c r="AR22" i="187"/>
  <c r="AQ24" i="187"/>
  <c r="AO24" i="187"/>
  <c r="AN31" i="187"/>
  <c r="AN28" i="187"/>
  <c r="AP28" i="187" s="1"/>
  <c r="AX6" i="187"/>
  <c r="AX5" i="187"/>
  <c r="AX3" i="187"/>
  <c r="AQ18" i="187"/>
  <c r="AR18" i="187" s="1"/>
  <c r="AN19" i="187"/>
  <c r="AB24" i="187"/>
  <c r="BK4" i="187"/>
  <c r="AC11" i="187"/>
  <c r="AD11" i="187" s="1"/>
  <c r="Z12" i="187"/>
  <c r="Z18" i="187"/>
  <c r="AE18" i="187"/>
  <c r="AE19" i="187"/>
  <c r="AC21" i="187"/>
  <c r="Z22" i="187"/>
  <c r="AB22" i="187" s="1"/>
  <c r="AC22" i="187" s="1"/>
  <c r="AD16" i="187"/>
  <c r="AD17" i="187"/>
  <c r="AE17" i="187"/>
  <c r="AY3" i="187" l="1"/>
  <c r="BB3" i="187" s="1"/>
  <c r="BD3" i="187" s="1"/>
  <c r="AQ28" i="187"/>
  <c r="AN29" i="187"/>
  <c r="AP29" i="187" s="1"/>
  <c r="AQ29" i="187" s="1"/>
  <c r="AP19" i="187"/>
  <c r="AP20" i="187" s="1"/>
  <c r="AO20" i="187" s="1"/>
  <c r="AS23" i="187" s="1"/>
  <c r="AU5" i="187" s="1"/>
  <c r="BL20" i="187" s="1"/>
  <c r="AR19" i="187"/>
  <c r="AP31" i="187"/>
  <c r="AS26" i="187"/>
  <c r="AS25" i="187"/>
  <c r="AN25" i="187"/>
  <c r="AP25" i="187" s="1"/>
  <c r="AS24" i="187"/>
  <c r="AR24" i="187"/>
  <c r="AR23" i="187"/>
  <c r="AB18" i="187"/>
  <c r="AD22" i="187"/>
  <c r="AF5" i="187"/>
  <c r="AH5" i="187"/>
  <c r="AD21" i="187"/>
  <c r="AB12" i="187"/>
  <c r="AB13" i="187" s="1"/>
  <c r="AA13" i="187" s="1"/>
  <c r="AE16" i="187" s="1"/>
  <c r="AG4" i="187" s="1"/>
  <c r="BL4" i="187" s="1"/>
  <c r="AD12" i="187"/>
  <c r="AC24" i="187"/>
  <c r="AA24" i="187"/>
  <c r="Z28" i="187"/>
  <c r="AB28" i="187" s="1"/>
  <c r="Z31" i="187"/>
  <c r="AQ25" i="187" l="1"/>
  <c r="AR25" i="187" s="1"/>
  <c r="AN26" i="187"/>
  <c r="AR28" i="187"/>
  <c r="AR29" i="187"/>
  <c r="AV6" i="187"/>
  <c r="AT6" i="187"/>
  <c r="BK21" i="187" s="1"/>
  <c r="BC3" i="187"/>
  <c r="BE3" i="187"/>
  <c r="BB10" i="187"/>
  <c r="BB7" i="187"/>
  <c r="BD7" i="187" s="1"/>
  <c r="AQ31" i="187"/>
  <c r="AO31" i="187"/>
  <c r="AN38" i="187"/>
  <c r="AN35" i="187"/>
  <c r="AP35" i="187" s="1"/>
  <c r="AE24" i="187"/>
  <c r="AD24" i="187"/>
  <c r="AD23" i="187"/>
  <c r="AC18" i="187"/>
  <c r="AD18" i="187" s="1"/>
  <c r="Z19" i="187"/>
  <c r="AE25" i="187"/>
  <c r="Z25" i="187"/>
  <c r="AE26" i="187"/>
  <c r="AB31" i="187"/>
  <c r="AC28" i="187"/>
  <c r="Z29" i="187"/>
  <c r="AB29" i="187" s="1"/>
  <c r="AC29" i="187" s="1"/>
  <c r="BK5" i="187"/>
  <c r="AR30" i="187" l="1"/>
  <c r="AN32" i="187"/>
  <c r="AP32" i="187" s="1"/>
  <c r="AS32" i="187"/>
  <c r="AS33" i="187"/>
  <c r="BF3" i="187"/>
  <c r="BG3" i="187"/>
  <c r="AR31" i="187"/>
  <c r="AS31" i="187"/>
  <c r="BB4" i="187"/>
  <c r="AQ35" i="187"/>
  <c r="AN36" i="187"/>
  <c r="AP36" i="187" s="1"/>
  <c r="AQ36" i="187" s="1"/>
  <c r="BE7" i="187"/>
  <c r="BB8" i="187"/>
  <c r="BD8" i="187" s="1"/>
  <c r="BE8" i="187" s="1"/>
  <c r="AP26" i="187"/>
  <c r="AP27" i="187" s="1"/>
  <c r="AO27" i="187" s="1"/>
  <c r="AS30" i="187" s="1"/>
  <c r="AU6" i="187" s="1"/>
  <c r="BL21" i="187" s="1"/>
  <c r="AR26" i="187"/>
  <c r="AP38" i="187"/>
  <c r="BD10" i="187"/>
  <c r="AB25" i="187"/>
  <c r="AA31" i="187"/>
  <c r="AC31" i="187"/>
  <c r="Z35" i="187"/>
  <c r="AB35" i="187" s="1"/>
  <c r="Z38" i="187"/>
  <c r="AB19" i="187"/>
  <c r="AB20" i="187" s="1"/>
  <c r="AA20" i="187" s="1"/>
  <c r="AE23" i="187" s="1"/>
  <c r="AG5" i="187" s="1"/>
  <c r="BL5" i="187" s="1"/>
  <c r="AD19" i="187"/>
  <c r="AH6" i="187"/>
  <c r="AF6" i="187"/>
  <c r="AD29" i="187"/>
  <c r="AD28" i="187"/>
  <c r="BD4" i="187" l="1"/>
  <c r="AR35" i="187"/>
  <c r="AV7" i="187"/>
  <c r="AT7" i="187"/>
  <c r="BK22" i="187" s="1"/>
  <c r="AR36" i="187"/>
  <c r="BE10" i="187"/>
  <c r="BC10" i="187"/>
  <c r="BB17" i="187"/>
  <c r="BB14" i="187"/>
  <c r="BD14" i="187" s="1"/>
  <c r="AQ38" i="187"/>
  <c r="AO38" i="187"/>
  <c r="AN45" i="187"/>
  <c r="AN42" i="187"/>
  <c r="AP42" i="187" s="1"/>
  <c r="BF8" i="187"/>
  <c r="BF7" i="187"/>
  <c r="BH3" i="187"/>
  <c r="BK33" i="187" s="1"/>
  <c r="AQ32" i="187"/>
  <c r="AR32" i="187" s="1"/>
  <c r="AN33" i="187"/>
  <c r="AE32" i="187"/>
  <c r="AE33" i="187"/>
  <c r="Z32" i="187"/>
  <c r="AC35" i="187"/>
  <c r="Z36" i="187"/>
  <c r="AB36" i="187" s="1"/>
  <c r="AC36" i="187" s="1"/>
  <c r="BK6" i="187"/>
  <c r="AB38" i="187"/>
  <c r="AD30" i="187"/>
  <c r="AD31" i="187"/>
  <c r="AE31" i="187"/>
  <c r="AC25" i="187"/>
  <c r="AD25" i="187" s="1"/>
  <c r="Z26" i="187"/>
  <c r="BF9" i="187" l="1"/>
  <c r="BJ3" i="187"/>
  <c r="AS39" i="187"/>
  <c r="AS40" i="187"/>
  <c r="AN39" i="187"/>
  <c r="AP39" i="187" s="1"/>
  <c r="BG12" i="187"/>
  <c r="BB11" i="187"/>
  <c r="BG11" i="187"/>
  <c r="AS38" i="187"/>
  <c r="AR38" i="187"/>
  <c r="BF10" i="187"/>
  <c r="BG10" i="187"/>
  <c r="AR37" i="187"/>
  <c r="AQ42" i="187"/>
  <c r="AN43" i="187"/>
  <c r="AP43" i="187" s="1"/>
  <c r="AQ43" i="187" s="1"/>
  <c r="BE14" i="187"/>
  <c r="BB15" i="187"/>
  <c r="BD15" i="187" s="1"/>
  <c r="BE15" i="187" s="1"/>
  <c r="BE4" i="187"/>
  <c r="BF4" i="187" s="1"/>
  <c r="BG4" i="187" s="1"/>
  <c r="BB5" i="187"/>
  <c r="AP33" i="187"/>
  <c r="AP34" i="187" s="1"/>
  <c r="AO34" i="187" s="1"/>
  <c r="AS37" i="187" s="1"/>
  <c r="AU7" i="187" s="1"/>
  <c r="BL22" i="187" s="1"/>
  <c r="AR33" i="187"/>
  <c r="AP45" i="187"/>
  <c r="BD17" i="187"/>
  <c r="AA38" i="187"/>
  <c r="AC38" i="187"/>
  <c r="Z45" i="187"/>
  <c r="Z42" i="187"/>
  <c r="AB42" i="187" s="1"/>
  <c r="AB32" i="187"/>
  <c r="AH7" i="187"/>
  <c r="AD36" i="187"/>
  <c r="AF7" i="187"/>
  <c r="AD35" i="187"/>
  <c r="AB26" i="187"/>
  <c r="AB27" i="187" s="1"/>
  <c r="AA27" i="187" s="1"/>
  <c r="AE30" i="187" s="1"/>
  <c r="AG6" i="187" s="1"/>
  <c r="BL6" i="187" s="1"/>
  <c r="AD26" i="187"/>
  <c r="AV8" i="187" l="1"/>
  <c r="AR42" i="187"/>
  <c r="AT8" i="187"/>
  <c r="BK23" i="187" s="1"/>
  <c r="AR43" i="187"/>
  <c r="AQ39" i="187"/>
  <c r="AR39" i="187" s="1"/>
  <c r="AN40" i="187"/>
  <c r="BF15" i="187"/>
  <c r="BF14" i="187"/>
  <c r="BJ4" i="187"/>
  <c r="BH4" i="187"/>
  <c r="BK34" i="187" s="1"/>
  <c r="AO45" i="187"/>
  <c r="AQ45" i="187"/>
  <c r="AN52" i="187"/>
  <c r="AN49" i="187"/>
  <c r="AP49" i="187" s="1"/>
  <c r="BE17" i="187"/>
  <c r="BC17" i="187"/>
  <c r="BB24" i="187"/>
  <c r="BB21" i="187"/>
  <c r="BD21" i="187" s="1"/>
  <c r="BD5" i="187"/>
  <c r="BD6" i="187" s="1"/>
  <c r="BC6" i="187" s="1"/>
  <c r="BG9" i="187" s="1"/>
  <c r="BI3" i="187" s="1"/>
  <c r="BL33" i="187" s="1"/>
  <c r="BF5" i="187"/>
  <c r="BG5" i="187" s="1"/>
  <c r="BD11" i="187"/>
  <c r="AB45" i="187"/>
  <c r="AC42" i="187"/>
  <c r="Z43" i="187"/>
  <c r="AB43" i="187" s="1"/>
  <c r="AC43" i="187" s="1"/>
  <c r="AD37" i="187"/>
  <c r="BK7" i="187"/>
  <c r="AC32" i="187"/>
  <c r="AD32" i="187" s="1"/>
  <c r="Z33" i="187"/>
  <c r="AD38" i="187"/>
  <c r="AE38" i="187"/>
  <c r="Z39" i="187"/>
  <c r="AE39" i="187"/>
  <c r="AE40" i="187"/>
  <c r="BF16" i="187" l="1"/>
  <c r="BG17" i="187"/>
  <c r="BF17" i="187"/>
  <c r="AN46" i="187"/>
  <c r="AP46" i="187" s="1"/>
  <c r="AS46" i="187"/>
  <c r="AS47" i="187"/>
  <c r="BE11" i="187"/>
  <c r="BF11" i="187" s="1"/>
  <c r="BB12" i="187"/>
  <c r="BE21" i="187"/>
  <c r="BB22" i="187"/>
  <c r="BD22" i="187" s="1"/>
  <c r="BE22" i="187" s="1"/>
  <c r="AQ49" i="187"/>
  <c r="AN50" i="187"/>
  <c r="AP50" i="187" s="1"/>
  <c r="AQ50" i="187" s="1"/>
  <c r="BD24" i="187"/>
  <c r="AP52" i="187"/>
  <c r="AP40" i="187"/>
  <c r="AP41" i="187" s="1"/>
  <c r="AO41" i="187" s="1"/>
  <c r="AS44" i="187" s="1"/>
  <c r="AU8" i="187" s="1"/>
  <c r="BL23" i="187" s="1"/>
  <c r="AR40" i="187"/>
  <c r="AR44" i="187"/>
  <c r="BG19" i="187"/>
  <c r="BB18" i="187"/>
  <c r="BG18" i="187"/>
  <c r="AR45" i="187"/>
  <c r="AS45" i="187"/>
  <c r="AD43" i="187"/>
  <c r="AD42" i="187"/>
  <c r="AF8" i="187"/>
  <c r="BK8" i="187" s="1"/>
  <c r="AH8" i="187"/>
  <c r="AB39" i="187"/>
  <c r="AA45" i="187"/>
  <c r="AC45" i="187"/>
  <c r="Z49" i="187"/>
  <c r="AB49" i="187" s="1"/>
  <c r="Z52" i="187"/>
  <c r="AB33" i="187"/>
  <c r="AB34" i="187" s="1"/>
  <c r="AA34" i="187" s="1"/>
  <c r="AE37" i="187" s="1"/>
  <c r="AG7" i="187" s="1"/>
  <c r="BL7" i="187" s="1"/>
  <c r="AD33" i="187"/>
  <c r="BD18" i="187" l="1"/>
  <c r="BD12" i="187"/>
  <c r="BD13" i="187" s="1"/>
  <c r="BC13" i="187" s="1"/>
  <c r="BG16" i="187" s="1"/>
  <c r="BI4" i="187" s="1"/>
  <c r="BL34" i="187" s="1"/>
  <c r="BF12" i="187"/>
  <c r="AQ46" i="187"/>
  <c r="AR46" i="187" s="1"/>
  <c r="AN47" i="187"/>
  <c r="AR49" i="187"/>
  <c r="AR50" i="187"/>
  <c r="AV9" i="187"/>
  <c r="AT9" i="187"/>
  <c r="BK24" i="187" s="1"/>
  <c r="AO52" i="187"/>
  <c r="AQ52" i="187"/>
  <c r="AN59" i="187"/>
  <c r="AN56" i="187"/>
  <c r="AP56" i="187" s="1"/>
  <c r="BC24" i="187"/>
  <c r="BE24" i="187"/>
  <c r="BB31" i="187"/>
  <c r="BB28" i="187"/>
  <c r="BD28" i="187" s="1"/>
  <c r="BF22" i="187"/>
  <c r="BF21" i="187"/>
  <c r="BJ5" i="187"/>
  <c r="BH5" i="187"/>
  <c r="BK35" i="187" s="1"/>
  <c r="AD44" i="187"/>
  <c r="AC39" i="187"/>
  <c r="AD39" i="187" s="1"/>
  <c r="Z40" i="187"/>
  <c r="AE46" i="187"/>
  <c r="AE47" i="187"/>
  <c r="Z46" i="187"/>
  <c r="AB52" i="187"/>
  <c r="AC49" i="187"/>
  <c r="Z50" i="187"/>
  <c r="AB50" i="187" s="1"/>
  <c r="AC50" i="187" s="1"/>
  <c r="AD45" i="187"/>
  <c r="AE45" i="187"/>
  <c r="AR51" i="187" l="1"/>
  <c r="AN53" i="187"/>
  <c r="AP53" i="187" s="1"/>
  <c r="AS53" i="187"/>
  <c r="AS54" i="187"/>
  <c r="BF23" i="187"/>
  <c r="BF24" i="187"/>
  <c r="BG24" i="187"/>
  <c r="AS52" i="187"/>
  <c r="AR52" i="187"/>
  <c r="BG25" i="187"/>
  <c r="BG26" i="187"/>
  <c r="BB25" i="187"/>
  <c r="BE28" i="187"/>
  <c r="BB29" i="187"/>
  <c r="BD29" i="187" s="1"/>
  <c r="BE29" i="187" s="1"/>
  <c r="AQ56" i="187"/>
  <c r="AN57" i="187"/>
  <c r="AP57" i="187" s="1"/>
  <c r="AQ57" i="187" s="1"/>
  <c r="AP47" i="187"/>
  <c r="AP48" i="187" s="1"/>
  <c r="AO48" i="187" s="1"/>
  <c r="AS51" i="187" s="1"/>
  <c r="AU9" i="187" s="1"/>
  <c r="BL24" i="187" s="1"/>
  <c r="AR47" i="187"/>
  <c r="BE18" i="187"/>
  <c r="BF18" i="187" s="1"/>
  <c r="BB19" i="187"/>
  <c r="BD31" i="187"/>
  <c r="AP59" i="187"/>
  <c r="AA52" i="187"/>
  <c r="AC52" i="187"/>
  <c r="Z56" i="187"/>
  <c r="AB56" i="187" s="1"/>
  <c r="Z59" i="187"/>
  <c r="AB40" i="187"/>
  <c r="AB41" i="187" s="1"/>
  <c r="AA41" i="187" s="1"/>
  <c r="AE44" i="187" s="1"/>
  <c r="AG8" i="187" s="1"/>
  <c r="BL8" i="187" s="1"/>
  <c r="AD40" i="187"/>
  <c r="AD49" i="187"/>
  <c r="AD50" i="187"/>
  <c r="AF9" i="187"/>
  <c r="BK9" i="187" s="1"/>
  <c r="AH9" i="187"/>
  <c r="AB46" i="187"/>
  <c r="BC31" i="187" l="1"/>
  <c r="BE31" i="187"/>
  <c r="BB38" i="187"/>
  <c r="BB35" i="187"/>
  <c r="BD35" i="187" s="1"/>
  <c r="AQ59" i="187"/>
  <c r="AO59" i="187"/>
  <c r="AN66" i="187"/>
  <c r="AN63" i="187"/>
  <c r="AP63" i="187" s="1"/>
  <c r="BD19" i="187"/>
  <c r="BD20" i="187" s="1"/>
  <c r="BC20" i="187" s="1"/>
  <c r="BG23" i="187" s="1"/>
  <c r="BI5" i="187" s="1"/>
  <c r="BL35" i="187" s="1"/>
  <c r="BF19" i="187"/>
  <c r="BD25" i="187"/>
  <c r="AV10" i="187"/>
  <c r="AR56" i="187"/>
  <c r="AT10" i="187"/>
  <c r="BK25" i="187" s="1"/>
  <c r="AR57" i="187"/>
  <c r="BF29" i="187"/>
  <c r="BH6" i="187"/>
  <c r="BK36" i="187" s="1"/>
  <c r="BF28" i="187"/>
  <c r="BJ6" i="187"/>
  <c r="AQ53" i="187"/>
  <c r="AR53" i="187" s="1"/>
  <c r="AN54" i="187"/>
  <c r="AB59" i="187"/>
  <c r="AD51" i="187"/>
  <c r="AC56" i="187"/>
  <c r="Z57" i="187"/>
  <c r="AB57" i="187" s="1"/>
  <c r="AC57" i="187" s="1"/>
  <c r="AC46" i="187"/>
  <c r="AD46" i="187" s="1"/>
  <c r="Z47" i="187"/>
  <c r="AE52" i="187"/>
  <c r="AD52" i="187"/>
  <c r="AE53" i="187"/>
  <c r="Z53" i="187"/>
  <c r="AE54" i="187"/>
  <c r="BE25" i="187" l="1"/>
  <c r="BF25" i="187" s="1"/>
  <c r="BB26" i="187"/>
  <c r="AQ63" i="187"/>
  <c r="AN64" i="187"/>
  <c r="AP64" i="187" s="1"/>
  <c r="AQ64" i="187" s="1"/>
  <c r="BE35" i="187"/>
  <c r="BB36" i="187"/>
  <c r="BD36" i="187" s="1"/>
  <c r="BE36" i="187" s="1"/>
  <c r="AP54" i="187"/>
  <c r="AP55" i="187" s="1"/>
  <c r="AO55" i="187" s="1"/>
  <c r="AR54" i="187"/>
  <c r="BF30" i="187"/>
  <c r="AP66" i="187"/>
  <c r="BD38" i="187"/>
  <c r="AR58" i="187"/>
  <c r="AN60" i="187"/>
  <c r="AP60" i="187" s="1"/>
  <c r="AS60" i="187"/>
  <c r="AS61" i="187"/>
  <c r="BF31" i="187"/>
  <c r="BG31" i="187"/>
  <c r="AR59" i="187"/>
  <c r="AS59" i="187"/>
  <c r="BG33" i="187"/>
  <c r="BG32" i="187"/>
  <c r="BB32" i="187"/>
  <c r="AB47" i="187"/>
  <c r="AB48" i="187" s="1"/>
  <c r="AA48" i="187" s="1"/>
  <c r="AE51" i="187" s="1"/>
  <c r="AG9" i="187" s="1"/>
  <c r="BL9" i="187" s="1"/>
  <c r="AD47" i="187"/>
  <c r="AC59" i="187"/>
  <c r="AA59" i="187"/>
  <c r="Z63" i="187"/>
  <c r="AB63" i="187" s="1"/>
  <c r="Z66" i="187"/>
  <c r="AB53" i="187"/>
  <c r="AH10" i="187"/>
  <c r="AD56" i="187"/>
  <c r="AF10" i="187"/>
  <c r="BK10" i="187" s="1"/>
  <c r="AD57" i="187"/>
  <c r="AS58" i="187" l="1"/>
  <c r="AU10" i="187" s="1"/>
  <c r="BL25" i="187" s="1"/>
  <c r="AT11" i="187"/>
  <c r="BK26" i="187" s="1"/>
  <c r="AV11" i="187"/>
  <c r="AR64" i="187"/>
  <c r="AR63" i="187"/>
  <c r="BD32" i="187"/>
  <c r="BE38" i="187"/>
  <c r="BC38" i="187"/>
  <c r="BB45" i="187"/>
  <c r="BB42" i="187"/>
  <c r="BD42" i="187" s="1"/>
  <c r="AO66" i="187"/>
  <c r="AQ66" i="187"/>
  <c r="AN70" i="187"/>
  <c r="AP70" i="187" s="1"/>
  <c r="AN73" i="187"/>
  <c r="BD26" i="187"/>
  <c r="BD27" i="187" s="1"/>
  <c r="BC27" i="187" s="1"/>
  <c r="BG30" i="187" s="1"/>
  <c r="BI6" i="187" s="1"/>
  <c r="BL36" i="187" s="1"/>
  <c r="BF26" i="187"/>
  <c r="BJ7" i="187"/>
  <c r="BF36" i="187"/>
  <c r="BF35" i="187"/>
  <c r="BH7" i="187"/>
  <c r="BK37" i="187" s="1"/>
  <c r="AQ60" i="187"/>
  <c r="AR60" i="187" s="1"/>
  <c r="AN61" i="187"/>
  <c r="AC63" i="187"/>
  <c r="Z64" i="187"/>
  <c r="AB64" i="187" s="1"/>
  <c r="AC64" i="187" s="1"/>
  <c r="Z60" i="187"/>
  <c r="AE60" i="187"/>
  <c r="AE61" i="187"/>
  <c r="AC53" i="187"/>
  <c r="AD53" i="187" s="1"/>
  <c r="Z54" i="187"/>
  <c r="AE59" i="187"/>
  <c r="AD59" i="187"/>
  <c r="AD58" i="187"/>
  <c r="AB66" i="187"/>
  <c r="AP61" i="187" l="1"/>
  <c r="AP62" i="187" s="1"/>
  <c r="AO62" i="187" s="1"/>
  <c r="AS65" i="187" s="1"/>
  <c r="AU11" i="187" s="1"/>
  <c r="BL26" i="187" s="1"/>
  <c r="AR61" i="187"/>
  <c r="BF37" i="187"/>
  <c r="AR66" i="187"/>
  <c r="AS66" i="187"/>
  <c r="BB39" i="187"/>
  <c r="BG39" i="187"/>
  <c r="BG40" i="187"/>
  <c r="AR65" i="187"/>
  <c r="AS67" i="187"/>
  <c r="AS68" i="187"/>
  <c r="AN67" i="187"/>
  <c r="AP67" i="187" s="1"/>
  <c r="BG38" i="187"/>
  <c r="BF38" i="187"/>
  <c r="AP73" i="187"/>
  <c r="BE42" i="187"/>
  <c r="BB43" i="187"/>
  <c r="BD43" i="187" s="1"/>
  <c r="BE43" i="187" s="1"/>
  <c r="AQ70" i="187"/>
  <c r="AN71" i="187"/>
  <c r="AP71" i="187" s="1"/>
  <c r="AQ71" i="187" s="1"/>
  <c r="BD45" i="187"/>
  <c r="BE32" i="187"/>
  <c r="BF32" i="187" s="1"/>
  <c r="BB33" i="187"/>
  <c r="AH11" i="187"/>
  <c r="AD63" i="187"/>
  <c r="AD64" i="187"/>
  <c r="AF11" i="187"/>
  <c r="BK11" i="187" s="1"/>
  <c r="AB60" i="187"/>
  <c r="AC66" i="187"/>
  <c r="AA66" i="187"/>
  <c r="Z73" i="187"/>
  <c r="Z70" i="187"/>
  <c r="AB70" i="187" s="1"/>
  <c r="AB54" i="187"/>
  <c r="AB55" i="187" s="1"/>
  <c r="AA55" i="187" s="1"/>
  <c r="AE58" i="187" s="1"/>
  <c r="AG10" i="187" s="1"/>
  <c r="BL10" i="187" s="1"/>
  <c r="AD54" i="187"/>
  <c r="BC45" i="187" l="1"/>
  <c r="BE45" i="187"/>
  <c r="BB52" i="187"/>
  <c r="BB49" i="187"/>
  <c r="BD49" i="187" s="1"/>
  <c r="AQ67" i="187"/>
  <c r="AR67" i="187" s="1"/>
  <c r="AN68" i="187"/>
  <c r="AQ73" i="187"/>
  <c r="AO73" i="187"/>
  <c r="AN80" i="187"/>
  <c r="AN77" i="187"/>
  <c r="AP77" i="187" s="1"/>
  <c r="BD33" i="187"/>
  <c r="BD34" i="187" s="1"/>
  <c r="BC34" i="187" s="1"/>
  <c r="BG37" i="187" s="1"/>
  <c r="BI7" i="187" s="1"/>
  <c r="BL37" i="187" s="1"/>
  <c r="BF33" i="187"/>
  <c r="BD39" i="187"/>
  <c r="BF42" i="187"/>
  <c r="BJ8" i="187"/>
  <c r="BF43" i="187"/>
  <c r="BH8" i="187"/>
  <c r="BK38" i="187" s="1"/>
  <c r="AR71" i="187"/>
  <c r="AV12" i="187"/>
  <c r="AT12" i="187"/>
  <c r="BK27" i="187" s="1"/>
  <c r="AR70" i="187"/>
  <c r="AE66" i="187"/>
  <c r="AD66" i="187"/>
  <c r="AC70" i="187"/>
  <c r="Z71" i="187"/>
  <c r="AB71" i="187" s="1"/>
  <c r="AC71" i="187" s="1"/>
  <c r="AC60" i="187"/>
  <c r="AD60" i="187" s="1"/>
  <c r="Z61" i="187"/>
  <c r="Z67" i="187"/>
  <c r="AE67" i="187"/>
  <c r="AE68" i="187"/>
  <c r="AB73" i="187"/>
  <c r="AD65" i="187"/>
  <c r="AR72" i="187" l="1"/>
  <c r="BF44" i="187"/>
  <c r="AS75" i="187"/>
  <c r="AN74" i="187"/>
  <c r="AP74" i="187" s="1"/>
  <c r="AS74" i="187"/>
  <c r="BE49" i="187"/>
  <c r="BB50" i="187"/>
  <c r="BD50" i="187" s="1"/>
  <c r="BE50" i="187" s="1"/>
  <c r="AR73" i="187"/>
  <c r="AS73" i="187"/>
  <c r="BD52" i="187"/>
  <c r="AQ77" i="187"/>
  <c r="AN78" i="187"/>
  <c r="AP78" i="187" s="1"/>
  <c r="AQ78" i="187" s="1"/>
  <c r="AP68" i="187"/>
  <c r="AP69" i="187" s="1"/>
  <c r="AO69" i="187" s="1"/>
  <c r="AS72" i="187" s="1"/>
  <c r="AU12" i="187" s="1"/>
  <c r="BL27" i="187" s="1"/>
  <c r="AR68" i="187"/>
  <c r="BF45" i="187"/>
  <c r="BG45" i="187"/>
  <c r="BE39" i="187"/>
  <c r="BF39" i="187" s="1"/>
  <c r="BB40" i="187"/>
  <c r="AP80" i="187"/>
  <c r="BB46" i="187"/>
  <c r="BG47" i="187"/>
  <c r="BG46" i="187"/>
  <c r="AC73" i="187"/>
  <c r="AA73" i="187"/>
  <c r="Z77" i="187"/>
  <c r="AB77" i="187" s="1"/>
  <c r="Z80" i="187"/>
  <c r="AB67" i="187"/>
  <c r="AB61" i="187"/>
  <c r="AB62" i="187" s="1"/>
  <c r="AA62" i="187" s="1"/>
  <c r="AE65" i="187" s="1"/>
  <c r="AG11" i="187" s="1"/>
  <c r="BL11" i="187" s="1"/>
  <c r="AD61" i="187"/>
  <c r="AD71" i="187"/>
  <c r="AH12" i="187"/>
  <c r="AD70" i="187"/>
  <c r="AF12" i="187"/>
  <c r="BK12" i="187" s="1"/>
  <c r="BF50" i="187" l="1"/>
  <c r="BF49" i="187"/>
  <c r="BJ9" i="187"/>
  <c r="BH9" i="187"/>
  <c r="BK39" i="187" s="1"/>
  <c r="BC52" i="187"/>
  <c r="BE52" i="187"/>
  <c r="BB59" i="187"/>
  <c r="BB56" i="187"/>
  <c r="BD56" i="187" s="1"/>
  <c r="AO80" i="187"/>
  <c r="AQ80" i="187"/>
  <c r="AN87" i="187"/>
  <c r="AN84" i="187"/>
  <c r="AP84" i="187" s="1"/>
  <c r="AV13" i="187"/>
  <c r="AT13" i="187"/>
  <c r="BK28" i="187" s="1"/>
  <c r="AR78" i="187"/>
  <c r="AR77" i="187"/>
  <c r="BD46" i="187"/>
  <c r="BD40" i="187"/>
  <c r="BD41" i="187" s="1"/>
  <c r="BC41" i="187" s="1"/>
  <c r="BG44" i="187" s="1"/>
  <c r="BI8" i="187" s="1"/>
  <c r="BL38" i="187" s="1"/>
  <c r="BF40" i="187"/>
  <c r="AQ74" i="187"/>
  <c r="AR74" i="187" s="1"/>
  <c r="AN75" i="187"/>
  <c r="AB80" i="187"/>
  <c r="AC77" i="187"/>
  <c r="Z78" i="187"/>
  <c r="AB78" i="187" s="1"/>
  <c r="AC78" i="187" s="1"/>
  <c r="AD72" i="187"/>
  <c r="AC67" i="187"/>
  <c r="AD67" i="187" s="1"/>
  <c r="Z68" i="187"/>
  <c r="AE75" i="187"/>
  <c r="AE74" i="187"/>
  <c r="Z74" i="187"/>
  <c r="AD73" i="187"/>
  <c r="AE73" i="187"/>
  <c r="BF51" i="187" l="1"/>
  <c r="AP87" i="187"/>
  <c r="BD59" i="187"/>
  <c r="AP75" i="187"/>
  <c r="AP76" i="187" s="1"/>
  <c r="AO76" i="187" s="1"/>
  <c r="AS79" i="187" s="1"/>
  <c r="AU13" i="187" s="1"/>
  <c r="BL28" i="187" s="1"/>
  <c r="AR75" i="187"/>
  <c r="BE46" i="187"/>
  <c r="BF46" i="187" s="1"/>
  <c r="BB47" i="187"/>
  <c r="AR80" i="187"/>
  <c r="AS80" i="187"/>
  <c r="BF52" i="187"/>
  <c r="BG52" i="187"/>
  <c r="AS82" i="187"/>
  <c r="AN81" i="187"/>
  <c r="AP81" i="187" s="1"/>
  <c r="AS81" i="187"/>
  <c r="BB53" i="187"/>
  <c r="BG54" i="187"/>
  <c r="BG53" i="187"/>
  <c r="AR79" i="187"/>
  <c r="AQ84" i="187"/>
  <c r="AN85" i="187"/>
  <c r="AP85" i="187" s="1"/>
  <c r="AQ85" i="187" s="1"/>
  <c r="BE56" i="187"/>
  <c r="BB57" i="187"/>
  <c r="BD57" i="187" s="1"/>
  <c r="BE57" i="187" s="1"/>
  <c r="AD78" i="187"/>
  <c r="AD77" i="187"/>
  <c r="AH13" i="187"/>
  <c r="AF13" i="187"/>
  <c r="BK13" i="187" s="1"/>
  <c r="AB68" i="187"/>
  <c r="AB69" i="187" s="1"/>
  <c r="AA69" i="187" s="1"/>
  <c r="AE72" i="187" s="1"/>
  <c r="AG12" i="187" s="1"/>
  <c r="BL12" i="187" s="1"/>
  <c r="AD68" i="187"/>
  <c r="AA80" i="187"/>
  <c r="AC80" i="187"/>
  <c r="Z87" i="187"/>
  <c r="Z84" i="187"/>
  <c r="AB84" i="187" s="1"/>
  <c r="AB74" i="187"/>
  <c r="AQ81" i="187" l="1"/>
  <c r="AR81" i="187" s="1"/>
  <c r="AN82" i="187"/>
  <c r="AR85" i="187"/>
  <c r="AV14" i="187"/>
  <c r="AT14" i="187"/>
  <c r="BK29" i="187" s="1"/>
  <c r="AR84" i="187"/>
  <c r="BE59" i="187"/>
  <c r="BC59" i="187"/>
  <c r="BB63" i="187"/>
  <c r="BD63" i="187" s="1"/>
  <c r="BB66" i="187"/>
  <c r="BD53" i="187"/>
  <c r="BH10" i="187"/>
  <c r="BK40" i="187" s="1"/>
  <c r="BF56" i="187"/>
  <c r="BF57" i="187"/>
  <c r="BJ10" i="187"/>
  <c r="BD47" i="187"/>
  <c r="BD48" i="187" s="1"/>
  <c r="BC48" i="187" s="1"/>
  <c r="BG51" i="187" s="1"/>
  <c r="BI9" i="187" s="1"/>
  <c r="BL39" i="187" s="1"/>
  <c r="BF47" i="187"/>
  <c r="AO87" i="187"/>
  <c r="AQ87" i="187"/>
  <c r="AN94" i="187"/>
  <c r="AN91" i="187"/>
  <c r="AP91" i="187" s="1"/>
  <c r="AE80" i="187"/>
  <c r="AD80" i="187"/>
  <c r="Z81" i="187"/>
  <c r="AE81" i="187"/>
  <c r="AE82" i="187"/>
  <c r="AB87" i="187"/>
  <c r="AC84" i="187"/>
  <c r="Z85" i="187"/>
  <c r="AB85" i="187" s="1"/>
  <c r="AC85" i="187" s="1"/>
  <c r="AD79" i="187"/>
  <c r="AC74" i="187"/>
  <c r="AD74" i="187" s="1"/>
  <c r="Z75" i="187"/>
  <c r="AS89" i="187" l="1"/>
  <c r="AN88" i="187"/>
  <c r="AP88" i="187" s="1"/>
  <c r="AS88" i="187"/>
  <c r="BE53" i="187"/>
  <c r="BF53" i="187" s="1"/>
  <c r="BB54" i="187"/>
  <c r="BG61" i="187"/>
  <c r="BG60" i="187"/>
  <c r="BB60" i="187"/>
  <c r="AQ91" i="187"/>
  <c r="AN92" i="187"/>
  <c r="AP92" i="187" s="1"/>
  <c r="AQ92" i="187" s="1"/>
  <c r="BF59" i="187"/>
  <c r="BG59" i="187"/>
  <c r="BF58" i="187"/>
  <c r="BD66" i="187"/>
  <c r="AR86" i="187"/>
  <c r="AP82" i="187"/>
  <c r="AP83" i="187" s="1"/>
  <c r="AO83" i="187" s="1"/>
  <c r="AS86" i="187" s="1"/>
  <c r="AU14" i="187" s="1"/>
  <c r="BL29" i="187" s="1"/>
  <c r="AR82" i="187"/>
  <c r="AP94" i="187"/>
  <c r="AR87" i="187"/>
  <c r="AS87" i="187"/>
  <c r="BE63" i="187"/>
  <c r="BB64" i="187"/>
  <c r="BD64" i="187" s="1"/>
  <c r="BE64" i="187" s="1"/>
  <c r="AB75" i="187"/>
  <c r="AB76" i="187" s="1"/>
  <c r="AA76" i="187" s="1"/>
  <c r="AE79" i="187" s="1"/>
  <c r="AG13" i="187" s="1"/>
  <c r="BL13" i="187" s="1"/>
  <c r="AD75" i="187"/>
  <c r="AB81" i="187"/>
  <c r="AA87" i="187"/>
  <c r="AC87" i="187"/>
  <c r="Z94" i="187"/>
  <c r="Z91" i="187"/>
  <c r="AB91" i="187" s="1"/>
  <c r="AD85" i="187"/>
  <c r="AF14" i="187"/>
  <c r="BK14" i="187" s="1"/>
  <c r="AH14" i="187"/>
  <c r="AD84" i="187"/>
  <c r="AV15" i="187" l="1"/>
  <c r="AR92" i="187"/>
  <c r="AT15" i="187"/>
  <c r="BK30" i="187" s="1"/>
  <c r="AR91" i="187"/>
  <c r="AO94" i="187"/>
  <c r="AQ94" i="187"/>
  <c r="AN101" i="187"/>
  <c r="AN98" i="187"/>
  <c r="AP98" i="187" s="1"/>
  <c r="BF64" i="187"/>
  <c r="BJ11" i="187"/>
  <c r="BF63" i="187"/>
  <c r="BH11" i="187"/>
  <c r="BK41" i="187" s="1"/>
  <c r="BD60" i="187"/>
  <c r="BE66" i="187"/>
  <c r="BC66" i="187"/>
  <c r="BB70" i="187"/>
  <c r="BD70" i="187" s="1"/>
  <c r="BB73" i="187"/>
  <c r="AQ88" i="187"/>
  <c r="AR88" i="187" s="1"/>
  <c r="AN89" i="187"/>
  <c r="BD54" i="187"/>
  <c r="BD55" i="187" s="1"/>
  <c r="BC55" i="187" s="1"/>
  <c r="BG58" i="187" s="1"/>
  <c r="BI10" i="187" s="1"/>
  <c r="BL40" i="187" s="1"/>
  <c r="BF54" i="187"/>
  <c r="AC91" i="187"/>
  <c r="Z92" i="187"/>
  <c r="AB92" i="187" s="1"/>
  <c r="AC92" i="187" s="1"/>
  <c r="AD86" i="187"/>
  <c r="AB94" i="187"/>
  <c r="AC81" i="187"/>
  <c r="AD81" i="187" s="1"/>
  <c r="Z82" i="187"/>
  <c r="Z88" i="187"/>
  <c r="AE88" i="187"/>
  <c r="AE89" i="187"/>
  <c r="AD87" i="187"/>
  <c r="AE87" i="187"/>
  <c r="BF65" i="187" l="1"/>
  <c r="AR93" i="187"/>
  <c r="BF66" i="187"/>
  <c r="BG66" i="187"/>
  <c r="AQ98" i="187"/>
  <c r="AN99" i="187"/>
  <c r="AP99" i="187" s="1"/>
  <c r="AQ99" i="187" s="1"/>
  <c r="BD73" i="187"/>
  <c r="BE60" i="187"/>
  <c r="BF60" i="187" s="1"/>
  <c r="BB61" i="187"/>
  <c r="AP101" i="187"/>
  <c r="BE70" i="187"/>
  <c r="BB71" i="187"/>
  <c r="BD71" i="187" s="1"/>
  <c r="BE71" i="187" s="1"/>
  <c r="AS94" i="187"/>
  <c r="AR94" i="187"/>
  <c r="AP89" i="187"/>
  <c r="AP90" i="187" s="1"/>
  <c r="AO90" i="187" s="1"/>
  <c r="AS93" i="187" s="1"/>
  <c r="AU15" i="187" s="1"/>
  <c r="BL30" i="187" s="1"/>
  <c r="AR89" i="187"/>
  <c r="BG67" i="187"/>
  <c r="BG68" i="187"/>
  <c r="BB67" i="187"/>
  <c r="AS95" i="187"/>
  <c r="AS96" i="187"/>
  <c r="AN95" i="187"/>
  <c r="AP95" i="187" s="1"/>
  <c r="AB82" i="187"/>
  <c r="AB83" i="187" s="1"/>
  <c r="AA83" i="187" s="1"/>
  <c r="AE86" i="187" s="1"/>
  <c r="AG14" i="187" s="1"/>
  <c r="BL14" i="187" s="1"/>
  <c r="AD82" i="187"/>
  <c r="AC94" i="187"/>
  <c r="AA94" i="187"/>
  <c r="Z98" i="187"/>
  <c r="AB98" i="187" s="1"/>
  <c r="Z101" i="187"/>
  <c r="AD92" i="187"/>
  <c r="AF15" i="187"/>
  <c r="BK15" i="187" s="1"/>
  <c r="AH15" i="187"/>
  <c r="AD91" i="187"/>
  <c r="AB88" i="187"/>
  <c r="AD93" i="187" l="1"/>
  <c r="AQ95" i="187"/>
  <c r="AR95" i="187" s="1"/>
  <c r="AN96" i="187"/>
  <c r="AV16" i="187"/>
  <c r="AR99" i="187"/>
  <c r="AR98" i="187"/>
  <c r="AT16" i="187"/>
  <c r="BK31" i="187" s="1"/>
  <c r="AQ101" i="187"/>
  <c r="AO101" i="187"/>
  <c r="AN105" i="187"/>
  <c r="AP105" i="187" s="1"/>
  <c r="BJ12" i="187"/>
  <c r="BF71" i="187"/>
  <c r="BH12" i="187"/>
  <c r="BK42" i="187" s="1"/>
  <c r="BF70" i="187"/>
  <c r="BD67" i="187"/>
  <c r="BD61" i="187"/>
  <c r="BD62" i="187" s="1"/>
  <c r="BC62" i="187" s="1"/>
  <c r="BG65" i="187" s="1"/>
  <c r="BI11" i="187" s="1"/>
  <c r="BL41" i="187" s="1"/>
  <c r="BF61" i="187"/>
  <c r="BE73" i="187"/>
  <c r="BC73" i="187"/>
  <c r="BB80" i="187"/>
  <c r="BB77" i="187"/>
  <c r="BD77" i="187" s="1"/>
  <c r="AC98" i="187"/>
  <c r="Z99" i="187"/>
  <c r="AB99" i="187" s="1"/>
  <c r="AC99" i="187" s="1"/>
  <c r="AE96" i="187"/>
  <c r="Z95" i="187"/>
  <c r="AE95" i="187"/>
  <c r="AC88" i="187"/>
  <c r="AD88" i="187" s="1"/>
  <c r="Z89" i="187"/>
  <c r="AD94" i="187"/>
  <c r="AE94" i="187"/>
  <c r="AB101" i="187"/>
  <c r="AR100" i="187" l="1"/>
  <c r="BG74" i="187"/>
  <c r="BB74" i="187"/>
  <c r="BG75" i="187"/>
  <c r="AS102" i="187"/>
  <c r="AN102" i="187"/>
  <c r="AP102" i="187" s="1"/>
  <c r="AS103" i="187"/>
  <c r="BF73" i="187"/>
  <c r="BG73" i="187"/>
  <c r="BE67" i="187"/>
  <c r="BF67" i="187" s="1"/>
  <c r="BB68" i="187"/>
  <c r="AR101" i="187"/>
  <c r="AS101" i="187"/>
  <c r="BD80" i="187"/>
  <c r="BE77" i="187"/>
  <c r="BB78" i="187"/>
  <c r="BD78" i="187" s="1"/>
  <c r="BE78" i="187" s="1"/>
  <c r="BF72" i="187"/>
  <c r="AP96" i="187"/>
  <c r="AP97" i="187" s="1"/>
  <c r="AO97" i="187" s="1"/>
  <c r="AS100" i="187" s="1"/>
  <c r="AU16" i="187" s="1"/>
  <c r="BL31" i="187" s="1"/>
  <c r="AR96" i="187"/>
  <c r="AQ105" i="187"/>
  <c r="AN106" i="187"/>
  <c r="AP106" i="187" s="1"/>
  <c r="AQ106" i="187" s="1"/>
  <c r="AB95" i="187"/>
  <c r="AA101" i="187"/>
  <c r="AC101" i="187"/>
  <c r="Z105" i="187"/>
  <c r="AB105" i="187" s="1"/>
  <c r="AB89" i="187"/>
  <c r="AB90" i="187" s="1"/>
  <c r="AA90" i="187" s="1"/>
  <c r="AE93" i="187" s="1"/>
  <c r="AG15" i="187" s="1"/>
  <c r="BL15" i="187" s="1"/>
  <c r="AD89" i="187"/>
  <c r="AH16" i="187"/>
  <c r="AD98" i="187"/>
  <c r="AD99" i="187"/>
  <c r="AF16" i="187"/>
  <c r="BK16" i="187" s="1"/>
  <c r="AT17" i="187" l="1"/>
  <c r="BK32" i="187" s="1"/>
  <c r="AV17" i="187"/>
  <c r="AR106" i="187"/>
  <c r="AR105" i="187"/>
  <c r="BF78" i="187"/>
  <c r="BF77" i="187"/>
  <c r="BJ13" i="187"/>
  <c r="BH13" i="187"/>
  <c r="BK43" i="187" s="1"/>
  <c r="BC80" i="187"/>
  <c r="BE80" i="187"/>
  <c r="BB84" i="187"/>
  <c r="BD84" i="187" s="1"/>
  <c r="BB87" i="187"/>
  <c r="BD68" i="187"/>
  <c r="BD69" i="187" s="1"/>
  <c r="BC69" i="187" s="1"/>
  <c r="BG72" i="187" s="1"/>
  <c r="BI12" i="187" s="1"/>
  <c r="BL42" i="187" s="1"/>
  <c r="BF68" i="187"/>
  <c r="BD74" i="187"/>
  <c r="AQ102" i="187"/>
  <c r="AR102" i="187" s="1"/>
  <c r="AN103" i="187"/>
  <c r="AE101" i="187"/>
  <c r="AD101" i="187"/>
  <c r="Z102" i="187"/>
  <c r="AE103" i="187"/>
  <c r="AE102" i="187"/>
  <c r="AD100" i="187"/>
  <c r="AC105" i="187"/>
  <c r="Z106" i="187"/>
  <c r="AB106" i="187" s="1"/>
  <c r="AC106" i="187" s="1"/>
  <c r="AC95" i="187"/>
  <c r="AD95" i="187" s="1"/>
  <c r="Z96" i="187"/>
  <c r="BF79" i="187" l="1"/>
  <c r="AR107" i="187"/>
  <c r="BE74" i="187"/>
  <c r="BF74" i="187" s="1"/>
  <c r="BB75" i="187"/>
  <c r="BE84" i="187"/>
  <c r="BB85" i="187"/>
  <c r="BD85" i="187" s="1"/>
  <c r="BE85" i="187" s="1"/>
  <c r="AP103" i="187"/>
  <c r="AP104" i="187" s="1"/>
  <c r="AO104" i="187" s="1"/>
  <c r="AS107" i="187" s="1"/>
  <c r="AU17" i="187" s="1"/>
  <c r="BL32" i="187" s="1"/>
  <c r="AR103" i="187"/>
  <c r="BG80" i="187"/>
  <c r="BF80" i="187"/>
  <c r="BG81" i="187"/>
  <c r="BG82" i="187"/>
  <c r="BB81" i="187"/>
  <c r="BD87" i="187"/>
  <c r="AB102" i="187"/>
  <c r="AB96" i="187"/>
  <c r="AB97" i="187" s="1"/>
  <c r="AA97" i="187" s="1"/>
  <c r="AE100" i="187" s="1"/>
  <c r="AG16" i="187" s="1"/>
  <c r="BL16" i="187" s="1"/>
  <c r="AD96" i="187"/>
  <c r="AH17" i="187"/>
  <c r="AD106" i="187"/>
  <c r="AD105" i="187"/>
  <c r="AF17" i="187"/>
  <c r="AD107" i="187" l="1"/>
  <c r="BD81" i="187"/>
  <c r="BF84" i="187"/>
  <c r="BJ14" i="187"/>
  <c r="BH14" i="187"/>
  <c r="BK44" i="187" s="1"/>
  <c r="BF85" i="187"/>
  <c r="BD75" i="187"/>
  <c r="BD76" i="187" s="1"/>
  <c r="BC76" i="187" s="1"/>
  <c r="BG79" i="187" s="1"/>
  <c r="BI13" i="187" s="1"/>
  <c r="BL43" i="187" s="1"/>
  <c r="BF75" i="187"/>
  <c r="BC87" i="187"/>
  <c r="BE87" i="187"/>
  <c r="BB91" i="187"/>
  <c r="BD91" i="187" s="1"/>
  <c r="BB94" i="187"/>
  <c r="AC102" i="187"/>
  <c r="AD102" i="187" s="1"/>
  <c r="Z103" i="187"/>
  <c r="BK17" i="187"/>
  <c r="BE91" i="187" l="1"/>
  <c r="BB92" i="187"/>
  <c r="BD92" i="187" s="1"/>
  <c r="BE92" i="187" s="1"/>
  <c r="BF86" i="187"/>
  <c r="BG87" i="187"/>
  <c r="BF87" i="187"/>
  <c r="BG89" i="187"/>
  <c r="BG88" i="187"/>
  <c r="BB88" i="187"/>
  <c r="BD94" i="187"/>
  <c r="BE81" i="187"/>
  <c r="BF81" i="187" s="1"/>
  <c r="BB82" i="187"/>
  <c r="AB103" i="187"/>
  <c r="AB104" i="187" s="1"/>
  <c r="AA104" i="187" s="1"/>
  <c r="AE107" i="187" s="1"/>
  <c r="AG17" i="187" s="1"/>
  <c r="BL17" i="187" s="1"/>
  <c r="AD103" i="187"/>
  <c r="BD88" i="187" l="1"/>
  <c r="BF91" i="187"/>
  <c r="BJ15" i="187"/>
  <c r="BF92" i="187"/>
  <c r="BH15" i="187"/>
  <c r="BK45" i="187" s="1"/>
  <c r="BE94" i="187"/>
  <c r="BC94" i="187"/>
  <c r="BB98" i="187"/>
  <c r="BD98" i="187" s="1"/>
  <c r="BB101" i="187"/>
  <c r="BD82" i="187"/>
  <c r="BD83" i="187" s="1"/>
  <c r="BC83" i="187" s="1"/>
  <c r="BG86" i="187" s="1"/>
  <c r="BI14" i="187" s="1"/>
  <c r="BL44" i="187" s="1"/>
  <c r="BF82" i="187"/>
  <c r="BF93" i="187" l="1"/>
  <c r="BG94" i="187"/>
  <c r="BF94" i="187"/>
  <c r="BD101" i="187"/>
  <c r="BE98" i="187"/>
  <c r="BB99" i="187"/>
  <c r="BD99" i="187" s="1"/>
  <c r="BE99" i="187" s="1"/>
  <c r="BG96" i="187"/>
  <c r="BG95" i="187"/>
  <c r="BB95" i="187"/>
  <c r="BE88" i="187"/>
  <c r="BF88" i="187" s="1"/>
  <c r="BB89" i="187"/>
  <c r="BD89" i="187" l="1"/>
  <c r="BD90" i="187" s="1"/>
  <c r="BC90" i="187" s="1"/>
  <c r="BG93" i="187" s="1"/>
  <c r="BI15" i="187" s="1"/>
  <c r="BL45" i="187" s="1"/>
  <c r="BF89" i="187"/>
  <c r="BD95" i="187"/>
  <c r="BE101" i="187"/>
  <c r="BC101" i="187"/>
  <c r="BB105" i="187"/>
  <c r="BD105" i="187" s="1"/>
  <c r="BF98" i="187"/>
  <c r="BJ16" i="187"/>
  <c r="BF99" i="187"/>
  <c r="BH16" i="187"/>
  <c r="BK46" i="187" s="1"/>
  <c r="BG101" i="187" l="1"/>
  <c r="BF101" i="187"/>
  <c r="BF100" i="187"/>
  <c r="BE95" i="187"/>
  <c r="BF95" i="187" s="1"/>
  <c r="BB96" i="187"/>
  <c r="BE105" i="187"/>
  <c r="BB106" i="187"/>
  <c r="BD106" i="187" s="1"/>
  <c r="BE106" i="187" s="1"/>
  <c r="BG103" i="187"/>
  <c r="BG102" i="187"/>
  <c r="BB102" i="187"/>
  <c r="BD102" i="187" l="1"/>
  <c r="BD96" i="187"/>
  <c r="BD97" i="187" s="1"/>
  <c r="BC97" i="187" s="1"/>
  <c r="BG100" i="187" s="1"/>
  <c r="BI16" i="187" s="1"/>
  <c r="BL46" i="187" s="1"/>
  <c r="BF96" i="187"/>
  <c r="BF106" i="187"/>
  <c r="BF105" i="187"/>
  <c r="BH17" i="187"/>
  <c r="BK47" i="187" s="1"/>
  <c r="BJ17" i="187"/>
  <c r="F60" i="149" l="1"/>
  <c r="F58" i="149"/>
  <c r="F57" i="149"/>
  <c r="F56" i="149"/>
  <c r="F59" i="149"/>
  <c r="BF107" i="187"/>
  <c r="BE102" i="187"/>
  <c r="BF102" i="187" s="1"/>
  <c r="BB103" i="187"/>
  <c r="BD103" i="187" l="1"/>
  <c r="BD104" i="187" s="1"/>
  <c r="BC104" i="187" s="1"/>
  <c r="BG107" i="187" s="1"/>
  <c r="BI17" i="187" s="1"/>
  <c r="BL47" i="187" s="1"/>
  <c r="BF103" i="187"/>
</calcChain>
</file>

<file path=xl/comments1.xml><?xml version="1.0" encoding="utf-8"?>
<comments xmlns="http://schemas.openxmlformats.org/spreadsheetml/2006/main">
  <authors>
    <author>Lenovo</author>
  </authors>
  <commentList>
    <comment ref="H4" authorId="0" shapeId="0">
      <text>
        <r>
          <rPr>
            <b/>
            <sz val="11"/>
            <color indexed="81"/>
            <rFont val="Tahoma"/>
            <family val="2"/>
            <charset val="204"/>
          </rPr>
          <t>ЕВРОПРОТОКОЛ</t>
        </r>
      </text>
    </comment>
  </commentList>
</comments>
</file>

<file path=xl/comments2.xml><?xml version="1.0" encoding="utf-8"?>
<comments xmlns="http://schemas.openxmlformats.org/spreadsheetml/2006/main">
  <authors>
    <author>Шиляев Анатолий Николаевич</author>
    <author>Lenovo</author>
  </authors>
  <commentList>
    <comment ref="B4" authorId="0" shapeId="0">
      <text>
        <r>
          <rPr>
            <b/>
            <sz val="11"/>
            <color indexed="81"/>
            <rFont val="Tahoma"/>
            <family val="2"/>
            <charset val="204"/>
          </rPr>
          <t>ДАТА РЕШЕНИЯ</t>
        </r>
      </text>
    </comment>
    <comment ref="C4" authorId="0" shapeId="0">
      <text>
        <r>
          <rPr>
            <b/>
            <sz val="11"/>
            <color indexed="81"/>
            <rFont val="Tahoma"/>
            <family val="2"/>
            <charset val="204"/>
          </rPr>
          <t>ВСТУПЛЕНИЕ В СИЛУ</t>
        </r>
      </text>
    </comment>
    <comment ref="D4" authorId="0" shapeId="0">
      <text>
        <r>
          <rPr>
            <b/>
            <sz val="11"/>
            <color indexed="81"/>
            <rFont val="Tahoma"/>
            <family val="2"/>
            <charset val="204"/>
          </rPr>
          <t>ОКОНЧАНИЕ СРОКА НА ОБЖАЛОВАНИЕ</t>
        </r>
      </text>
    </comment>
    <comment ref="E4" authorId="1" shapeId="0">
      <text>
        <r>
          <rPr>
            <b/>
            <sz val="10"/>
            <color indexed="81"/>
            <rFont val="Tahoma"/>
            <family val="2"/>
            <charset val="204"/>
          </rPr>
          <t>ДАТА, С КОТОРОЙ ВЗЫСКИВАЕТСЯ НЕУСТОЙКА (В СЛУЧАЕ ПРОПУСКА ОБЩЕГО СРОКА ИСКОВОЙ ДАВНОСТИ)</t>
        </r>
      </text>
    </comment>
    <comment ref="E24" authorId="0" shapeId="0">
      <text>
        <r>
          <rPr>
            <b/>
            <sz val="11"/>
            <color indexed="81"/>
            <rFont val="Tahoma"/>
            <family val="2"/>
            <charset val="204"/>
          </rPr>
          <t>ДАТА ЗАПРОСА ДОКУМЕНТОВ</t>
        </r>
      </text>
    </comment>
    <comment ref="F24" authorId="1" shapeId="0">
      <text>
        <r>
          <rPr>
            <b/>
            <sz val="11"/>
            <color indexed="81"/>
            <rFont val="Tahoma"/>
            <family val="2"/>
            <charset val="204"/>
          </rPr>
          <t>ЗАПРАШИВАЕМЫЕ ДОКУМЕНТЫ</t>
        </r>
      </text>
    </comment>
    <comment ref="O45" authorId="1" shapeId="0">
      <text>
        <r>
          <rPr>
            <b/>
            <sz val="9"/>
            <color indexed="81"/>
            <rFont val="Tahoma"/>
            <family val="2"/>
            <charset val="204"/>
          </rPr>
          <t>Lenovo:</t>
        </r>
        <r>
          <rPr>
            <sz val="9"/>
            <color indexed="81"/>
            <rFont val="Tahoma"/>
            <family val="2"/>
            <charset val="204"/>
          </rPr>
          <t xml:space="preserve">
№ ПП</t>
        </r>
      </text>
    </comment>
    <comment ref="P45" authorId="1" shapeId="0">
      <text>
        <r>
          <rPr>
            <b/>
            <sz val="9"/>
            <color indexed="81"/>
            <rFont val="Tahoma"/>
            <family val="2"/>
            <charset val="204"/>
          </rPr>
          <t>Lenovo:</t>
        </r>
        <r>
          <rPr>
            <sz val="9"/>
            <color indexed="81"/>
            <rFont val="Tahoma"/>
            <family val="2"/>
            <charset val="204"/>
          </rPr>
          <t xml:space="preserve">
Дата ННР</t>
        </r>
      </text>
    </comment>
    <comment ref="Q45" authorId="1" shapeId="0">
      <text>
        <r>
          <rPr>
            <b/>
            <sz val="9"/>
            <color indexed="81"/>
            <rFont val="Tahoma"/>
            <family val="2"/>
            <charset val="204"/>
          </rPr>
          <t>Lenovo:</t>
        </r>
        <r>
          <rPr>
            <sz val="9"/>
            <color indexed="81"/>
            <rFont val="Tahoma"/>
            <family val="2"/>
            <charset val="204"/>
          </rPr>
          <t xml:space="preserve">
№ ННР</t>
        </r>
      </text>
    </comment>
  </commentList>
</comments>
</file>

<file path=xl/sharedStrings.xml><?xml version="1.0" encoding="utf-8"?>
<sst xmlns="http://schemas.openxmlformats.org/spreadsheetml/2006/main" count="50921" uniqueCount="12752">
  <si>
    <t>ОБРАЩЕНИЕ</t>
  </si>
  <si>
    <t>ТРЕБОВАНИЯ</t>
  </si>
  <si>
    <t>РЕШЕНИЕ</t>
  </si>
  <si>
    <t>ФИН</t>
  </si>
  <si>
    <t>№</t>
  </si>
  <si>
    <t>Дата</t>
  </si>
  <si>
    <t>ЗАЯВИТЕЛЬ</t>
  </si>
  <si>
    <t>ФИНАНСОВАЯ ОРГАНИЗАЦИЯ</t>
  </si>
  <si>
    <t>ФИО</t>
  </si>
  <si>
    <t>Паспорт</t>
  </si>
  <si>
    <t>МЖ</t>
  </si>
  <si>
    <t>Адрес</t>
  </si>
  <si>
    <t>ФО</t>
  </si>
  <si>
    <t>ИНН</t>
  </si>
  <si>
    <t>МН</t>
  </si>
  <si>
    <t>Дата ГР</t>
  </si>
  <si>
    <t>Heading</t>
  </si>
  <si>
    <t>Удовлетворить</t>
  </si>
  <si>
    <t>Отказать</t>
  </si>
  <si>
    <t>Прекратить</t>
  </si>
  <si>
    <t>У-19-38759</t>
  </si>
  <si>
    <t>Игнатьев Василий Николаевич</t>
  </si>
  <si>
    <t>; место жительства:</t>
  </si>
  <si>
    <t>; почтовый адрес:</t>
  </si>
  <si>
    <t>(место нахождения:</t>
  </si>
  <si>
    <t>; дата государственной регистрации:</t>
  </si>
  <si>
    <t>; идентификационный номер налогоплательщика:</t>
  </si>
  <si>
    <t>Decision</t>
  </si>
  <si>
    <t>ОБ УДОВЛЕТВОРЕНИИ ТРЕБОВАНИЙ</t>
  </si>
  <si>
    <t>ОБ ОТКАЗЕ В УДОВЛЕТВОРЕНИИ ТРЕБОВАНИЙ</t>
  </si>
  <si>
    <t>О ПРЕКРАЩЕНИИ РАССМОТРЕНИЯ ОБРАЩЕНИЯ</t>
  </si>
  <si>
    <t>(далее – Обращение)</t>
  </si>
  <si>
    <t>(далее – Финансовый уполномоченный) по результатам рассмотрения обращения от</t>
  </si>
  <si>
    <t>) (далее – Заявитель) в отношении</t>
  </si>
  <si>
    <t>),</t>
  </si>
  <si>
    <t>FU_Pos</t>
  </si>
  <si>
    <t>FU_Name</t>
  </si>
  <si>
    <t>Dicision_1</t>
  </si>
  <si>
    <t>Финансовому уполномоченному на рассмотрение поступило Обращение в отношении</t>
  </si>
  <si>
    <t>с требованием о взыскании</t>
  </si>
  <si>
    <t>ТРЕБОВАНИЯ к ФУ</t>
  </si>
  <si>
    <t>ПЕРИОД</t>
  </si>
  <si>
    <t>ВЗЫСКАНО ФУ</t>
  </si>
  <si>
    <t>с</t>
  </si>
  <si>
    <t>по</t>
  </si>
  <si>
    <t>ВСЕГО</t>
  </si>
  <si>
    <t>Ущерб по ОСАГО</t>
  </si>
  <si>
    <t>страхового возмещения по договору обязательного страхования гражданской ответственности владельцев транспортных средств (далее – ОСАГО) в размере</t>
  </si>
  <si>
    <t>УТС по ОСАГО</t>
  </si>
  <si>
    <t>страхового возмещения по договору обязательного страхования гражданской ответственности владельцев транспортных средств (далее – ОСАГО) в части утраты товарной стоимости (далее – УТС) в размере</t>
  </si>
  <si>
    <t>Ущерб по КАСКО</t>
  </si>
  <si>
    <t>страхового возмещения по договору добровольного страхования транспортных средств (далее – КАСКО) в размере</t>
  </si>
  <si>
    <t>страхового возмещения по договору КАСКО</t>
  </si>
  <si>
    <t>УТС по КАСКО</t>
  </si>
  <si>
    <t>страхового возмещения по договору добровольного страхования транспортных средств (далее – КАСКО) в части утраты товарной стоимости (далее – УТС) в размере</t>
  </si>
  <si>
    <t>страхового возмещения по договору КАСКО в части УТС</t>
  </si>
  <si>
    <t>Неустойка по ОСАГО без периода</t>
  </si>
  <si>
    <t>неустойки за несоблюдение срока выплаты страхового возмещения по договору обязательного страхования гражданской ответственности владельцев транспортных средств (далее – ОСАГО) в размере</t>
  </si>
  <si>
    <t>неустойки за несоблюдение срока выплаты страхового возмещения по договору ОСАГО</t>
  </si>
  <si>
    <t>Неустойка по ОСАГО с периодом</t>
  </si>
  <si>
    <t>неустойки за несоблюдение срока выплаты страхового возмещения по договору обязательного страхования гражданской ответственности владельцев транспортных средств (далее – ОСАГО) за период с</t>
  </si>
  <si>
    <t>неустойки за несоблюдение срока выплаты страхового возмещения по договору добровольного страхования транспортных средств (далее – КАСКО) в размере</t>
  </si>
  <si>
    <t>неустойки за несоблюдение срока выплаты страхового возмещения по договору КАСКО</t>
  </si>
  <si>
    <t>Неустойка по КАСКО с периодом</t>
  </si>
  <si>
    <t>неустойки за несоблюдение срока выплаты страхового возмещения по договору добровольного страхования транспортных средств (далее – КАСКО) за период с</t>
  </si>
  <si>
    <t>Неустойка по ОСАГО УТС без периода</t>
  </si>
  <si>
    <t>неустойки за несоблюдение срока выплаты страхового возмещения по договору обязательного страхования гражданской ответственности владельцев транспортных средств (далее – ОСАГО) в части утраты товарной стоимости (далее – УТС) в размере</t>
  </si>
  <si>
    <t>неустойки за несоблюдение срока выплаты страхового возмещения по договору ОСАГО в части УТС</t>
  </si>
  <si>
    <t>Неустойка по ОСАГО УТС с периодом</t>
  </si>
  <si>
    <t>неустойки за несоблюдение срока выплаты страхового возмещения по договору обязательного страхования гражданской ответственности владельцев транспортных средств (далее – ОСАГО) в части утраты товарной стоимости (далее – УТС) за период с</t>
  </si>
  <si>
    <t>Неустойка по КАСКО УТС без периода</t>
  </si>
  <si>
    <t>неустойки за несоблюдение срока выплаты страхового возмещения по договору добровольного страхования транспортных средств (далее – КАСКО) в части утраты товарной стоимости (далее – УТС) в размере</t>
  </si>
  <si>
    <t>Неустойка по КАСКО УТС с периодом</t>
  </si>
  <si>
    <t>неустойки за несоблюдение срока выплаты страхового возмещения по договору добровольного страхования транспортных средств (далее – КАСКО) в части утраты товарной стоимости (далее – УТС) за период с</t>
  </si>
  <si>
    <t>неустойки за несоблюдение срока выплаты страхового возмещения по договору КАСКО в части УТС</t>
  </si>
  <si>
    <t>Неустойка по день исполнения решения ФУ по ОСАГО</t>
  </si>
  <si>
    <t>Неустойка по день исполнения решения ФУ по КАСКО</t>
  </si>
  <si>
    <t>неустойки за несоблюдение срока выплаты страхового возмещения по договору добровольного страхования транспортных (далее – КАСКО) за период с</t>
  </si>
  <si>
    <t>Финансовая санкция</t>
  </si>
  <si>
    <t>финансовой санкции за несоблюдение срока направления мотивированного отказа в страховом возмещении в размере</t>
  </si>
  <si>
    <t>финансовой санкции за несоблюдение срока направления мотивированного отказа в страховом возмещении</t>
  </si>
  <si>
    <t>Расходы на экспертизу по ущербу</t>
  </si>
  <si>
    <t>расходов на проведение независимой технической экспертизы в размере</t>
  </si>
  <si>
    <t>расходов на проведение независимой технической экспертизы</t>
  </si>
  <si>
    <t>расходов на проведение независимой экспертизы по определению величины УТС в размере</t>
  </si>
  <si>
    <t>расходов на проведение независимой экспертизы по определению величины УТС</t>
  </si>
  <si>
    <t>расходов на оказание юридических услуг в размере</t>
  </si>
  <si>
    <t>расходов на оказание юридических услуг</t>
  </si>
  <si>
    <t>расходов на составление досудебной претензии в размере</t>
  </si>
  <si>
    <t>расходов на составление досудебной претензии</t>
  </si>
  <si>
    <t>расходов на оплату услуг аварийного комиссара в размере</t>
  </si>
  <si>
    <t>расходов на оплату услуг аварийного комиссара</t>
  </si>
  <si>
    <t>расходов на нотариальные услуги в размере</t>
  </si>
  <si>
    <t>расходов на нотариальные услуги</t>
  </si>
  <si>
    <t>почтовых расходов в размере</t>
  </si>
  <si>
    <t>почтовых расходов</t>
  </si>
  <si>
    <t>расходов по оплате услуг курьера в размере</t>
  </si>
  <si>
    <t>расходов по оплате услуг курьера</t>
  </si>
  <si>
    <t>Моральный вред</t>
  </si>
  <si>
    <t>Дефектовка</t>
  </si>
  <si>
    <t>расходов на дефектовку в размере</t>
  </si>
  <si>
    <t>расходов на дефектовку</t>
  </si>
  <si>
    <t>Штраф 50%</t>
  </si>
  <si>
    <t>Иные расходы</t>
  </si>
  <si>
    <t>иных расходов</t>
  </si>
  <si>
    <t>иные расходы</t>
  </si>
  <si>
    <t>ClaimAll</t>
  </si>
  <si>
    <r>
      <t xml:space="preserve">, в соответствии с пунктом 5 статьи 28 Закона от 07.02.1992 № 2300-1 </t>
    </r>
    <r>
      <rPr>
        <sz val="11"/>
        <color theme="1"/>
        <rFont val="Calibri"/>
        <family val="2"/>
        <charset val="204"/>
      </rPr>
      <t>«О защите прав потребителей»</t>
    </r>
  </si>
  <si>
    <t>по день фактического исполнения решения Финансового уполномоченного</t>
  </si>
  <si>
    <t>Неустойка по КАСКО без периода</t>
  </si>
  <si>
    <t>штрафа в размере 50% от взысканной суммы за неисполнение в добровольном порядке требований потерпевшего</t>
  </si>
  <si>
    <t>В рамках рассмотрения Обращения в адрес</t>
  </si>
  <si>
    <t>Рассмотрев имеющиеся в деле документы, Финансовый уполномоченный установил следующее.</t>
  </si>
  <si>
    <t>Request</t>
  </si>
  <si>
    <t>ТС Заявителя</t>
  </si>
  <si>
    <t>Авто</t>
  </si>
  <si>
    <t>Г.Р.З.</t>
  </si>
  <si>
    <t>Собственник</t>
  </si>
  <si>
    <t>полис</t>
  </si>
  <si>
    <t>Заключение</t>
  </si>
  <si>
    <t>Начало</t>
  </si>
  <si>
    <t>Конец</t>
  </si>
  <si>
    <t>Пол</t>
  </si>
  <si>
    <t>ТС Виновника</t>
  </si>
  <si>
    <t>Виновник</t>
  </si>
  <si>
    <t>ClaimShort</t>
  </si>
  <si>
    <t>ClaimLong</t>
  </si>
  <si>
    <t>Claim</t>
  </si>
  <si>
    <t>ЕСТЬ</t>
  </si>
  <si>
    <t>НЕТ</t>
  </si>
  <si>
    <t>между Заявителем и</t>
  </si>
  <si>
    <t>со сроком страхования с</t>
  </si>
  <si>
    <t>до</t>
  </si>
  <si>
    <t xml:space="preserve">Сведений о заключении Заявителем договора ОСАГО Финансовому уполномоченному не предоставлено.
</t>
  </si>
  <si>
    <t>В результате дорожно-транспортного происшествия, произошедшего</t>
  </si>
  <si>
    <t>транспортным средством</t>
  </si>
  <si>
    <t>, государственный регистрационный номер</t>
  </si>
  <si>
    <t>, был причинен вред принадлежащему Заявителю транспортному средству</t>
  </si>
  <si>
    <t>Гражданская ответственность</t>
  </si>
  <si>
    <t>застрахована в</t>
  </si>
  <si>
    <t>Сведений о заключении</t>
  </si>
  <si>
    <t>договора ОСАГО Финансовому уполномоченному не предоставлено.</t>
  </si>
  <si>
    <t>Дата ДТП</t>
  </si>
  <si>
    <t>Праздники</t>
  </si>
  <si>
    <t>Обращение</t>
  </si>
  <si>
    <t>Сведений о страховании гражданской ответственности</t>
  </si>
  <si>
    <t>Финансовому уполномоченному не предоставлено.</t>
  </si>
  <si>
    <t>СПАО «Ингосстрах»</t>
  </si>
  <si>
    <t>117997, г. Москва, ул. Пятницкая, д. 12, стр. 2</t>
  </si>
  <si>
    <t xml:space="preserve"> </t>
  </si>
  <si>
    <t>АО «АльфаСтрахование»</t>
  </si>
  <si>
    <t>115162, г. Москва, ул. Шаболовка, д. 31, стр. Б</t>
  </si>
  <si>
    <t>ПАО СК «Росгосстрах»</t>
  </si>
  <si>
    <t>140002, Московская область, Люберцы, ул. Парковая, д. 3</t>
  </si>
  <si>
    <t>САО «ВСК»</t>
  </si>
  <si>
    <t>121552, г. Москва, ул. Островная, д. 4</t>
  </si>
  <si>
    <t>АО «СОГАЗ»</t>
  </si>
  <si>
    <t>АО «Группа Ренессанс Страхование»</t>
  </si>
  <si>
    <t>СПАО «РЕСО-Гарантия»</t>
  </si>
  <si>
    <t>125047, г. Москва, ул. Гашека, д. 12, стр. 1</t>
  </si>
  <si>
    <r>
      <t xml:space="preserve">АО </t>
    </r>
    <r>
      <rPr>
        <sz val="11"/>
        <color theme="1"/>
        <rFont val="Calibri"/>
        <family val="2"/>
        <charset val="204"/>
      </rPr>
      <t>«</t>
    </r>
    <r>
      <rPr>
        <sz val="11"/>
        <color theme="1"/>
        <rFont val="Calibri"/>
        <family val="2"/>
        <charset val="204"/>
        <scheme val="minor"/>
      </rPr>
      <t>СК «АСТРО-ВОЛГА</t>
    </r>
    <r>
      <rPr>
        <sz val="11"/>
        <color theme="1"/>
        <rFont val="Calibri"/>
        <family val="2"/>
        <charset val="204"/>
      </rPr>
      <t>»</t>
    </r>
  </si>
  <si>
    <t>443001, Самарская область, г. Самара, ул. Арцыбушевская, д. 167</t>
  </si>
  <si>
    <t>АО СК «Армеец»</t>
  </si>
  <si>
    <t>125040, г. Москва, пр-кт Ленинградский, д. 20, стр. 1</t>
  </si>
  <si>
    <t>ПАО «АСКО-СТРАХОВАНИЕ»</t>
  </si>
  <si>
    <t>454091, Челябинская область, г. Челябинск, ул. Красная, д. 4, оф. 401</t>
  </si>
  <si>
    <t>ООО «СК «Согласие»</t>
  </si>
  <si>
    <t>129110, г. Москва, ул. Гиляровского, д. 42</t>
  </si>
  <si>
    <t>ПАО «САК «Энергогарант»</t>
  </si>
  <si>
    <t>115035, г. Москва, наб. Садовническая, д. 23</t>
  </si>
  <si>
    <t>АО СК «Стерх»</t>
  </si>
  <si>
    <t>677000, Республика Саха (Якутия), г. Якутск, ул. Лермонтова, д. 152</t>
  </si>
  <si>
    <t>ООО «НСГ - «РОСЭНЕРГО»</t>
  </si>
  <si>
    <t>АО СК «Чулпан»</t>
  </si>
  <si>
    <t>423452, Республика Татарстан, г. Альметьевск, Альметьевский район, ул. Пушкина, д. 66, пом. 1</t>
  </si>
  <si>
    <t>ООО СО «ВЕРНА»</t>
  </si>
  <si>
    <t>350015, Краснодарский край, г. Краснодар, ул. Новокузнечная, д. 40</t>
  </si>
  <si>
    <t>САО «Надежда»</t>
  </si>
  <si>
    <t>660049, Красноярский край, г. Красноярск, ул. Парижской Коммуны, д. 39</t>
  </si>
  <si>
    <t>ООО «Страховая компания «СДС»</t>
  </si>
  <si>
    <t>650000, Кемеровская область, г. Кемерово, ул. Весенняя, д. 5</t>
  </si>
  <si>
    <t>АО «ГСК «Югория»</t>
  </si>
  <si>
    <t>628011, Ханты-Мансийский автономный округ, г. Ханты-Мансийск, ул. Комсомольская, д. 61</t>
  </si>
  <si>
    <t>АО «НАСКО»</t>
  </si>
  <si>
    <t>111033, г. Москва, ул. Золоторожский вал, д. 11, стр. 29</t>
  </si>
  <si>
    <t>420094, Республика Татарстан, г. Казань, ул. Маршала Чуйкова, д. 2б</t>
  </si>
  <si>
    <t>ООО Страховая Компания «Гелиос»</t>
  </si>
  <si>
    <t>АО СК «БАСК»</t>
  </si>
  <si>
    <t>652600, Кемеровская область, г. Белово, пер. Цинкзаводской, д. 8 А</t>
  </si>
  <si>
    <t>АО «Тинькофф Страхование»</t>
  </si>
  <si>
    <t>127287, г. Москва, ул. 2-я Хуторская, д. 38А, стр. 26</t>
  </si>
  <si>
    <t>ООО «Абсолют Страхование»</t>
  </si>
  <si>
    <t>115280, г. Москва, ул. Ленинская Слобода, д. 26</t>
  </si>
  <si>
    <t>ООО «СК «АНГАРА»</t>
  </si>
  <si>
    <t>111033, г. Москва, ул. Золоторожский, д. 34, стр. 6</t>
  </si>
  <si>
    <t>665717, Иркутская обл., г. Братск, жилрайон Центральный, ул. Южная, д. 23</t>
  </si>
  <si>
    <t>Сайт</t>
  </si>
  <si>
    <t>ВИД</t>
  </si>
  <si>
    <t>ТИП</t>
  </si>
  <si>
    <t>СТАТУС</t>
  </si>
  <si>
    <t>НТЭ ФУ</t>
  </si>
  <si>
    <t>У-19-17626</t>
  </si>
  <si>
    <t>https://smp.sfurf.office/sd/operator/index.jsp;jsessionid=4B56FDB405CD332F2E4AE6AEC0BFEE05#uuid:serviceCall$20339677</t>
  </si>
  <si>
    <t>Зиннуров Азат Маратович</t>
  </si>
  <si>
    <t>РЕШ УВ DONE</t>
  </si>
  <si>
    <t>После экспертизы.</t>
  </si>
  <si>
    <t>У-19-30612</t>
  </si>
  <si>
    <t>https://smp.sfurf.office/sd/operator/index.jsp;jsessionid=4B56FDB405CD332F2E4AE6AEC0BFEE05#uuid:serviceCall$32452731</t>
  </si>
  <si>
    <t>Волянский Сергей Валерьевич</t>
  </si>
  <si>
    <t>Неустойка КАСКО</t>
  </si>
  <si>
    <t>У-19-31805</t>
  </si>
  <si>
    <t>https://smp.sfurf.office/sd/operator/index.jsp;jsessionid=4B56FDB405CD332F2E4AE6AEC0BFEE05#uuid:serviceCall$33150128</t>
  </si>
  <si>
    <t>Гаврюшина Юлия Валерьевна</t>
  </si>
  <si>
    <t>ОСАГО</t>
  </si>
  <si>
    <t>ЭЗ ПР DONE</t>
  </si>
  <si>
    <t>У-19-31807</t>
  </si>
  <si>
    <t>https://smp.sfurf.office/sd/operator/index.jsp;jsessionid=4B56FDB405CD332F2E4AE6AEC0BFEE05#uuid:serviceCall$33150130</t>
  </si>
  <si>
    <t>Хабибов Радик Салаватович</t>
  </si>
  <si>
    <t>У-19-31810</t>
  </si>
  <si>
    <t>https://smp.sfurf.office/sd/operator/index.jsp;jsessionid=4B56FDB405CD332F2E4AE6AEC0BFEE05#uuid:serviceCall$33150133</t>
  </si>
  <si>
    <t>Старченко Алексей Анатольевич</t>
  </si>
  <si>
    <t>Отказ, т.к. не установлена степень вины</t>
  </si>
  <si>
    <t>У-19-31812</t>
  </si>
  <si>
    <t>https://smp.sfurf.office/sd/operator/index.jsp;jsessionid=4B56FDB405CD332F2E4AE6AEC0BFEE05#uuid:serviceCall$33150135</t>
  </si>
  <si>
    <t>Середина Людмила Васильевна</t>
  </si>
  <si>
    <t>Отказ, т.к. экспертизу выплатили по среднему, почтовые расходы не взыскиваются</t>
  </si>
  <si>
    <t>У-19-17636</t>
  </si>
  <si>
    <t>https://smp.sfurf.office/sd/operator/index.jsp;jsessionid=4B56FDB405CD332F2E4AE6AEC0BFEE05#uuid:serviceCall$20339687</t>
  </si>
  <si>
    <t>Бильков Александр Владимирович</t>
  </si>
  <si>
    <t>После экспертизы. Прекращение, т.к. пропущен срок. Дело в суде оставлено без рассмотрения 04.10.2019</t>
  </si>
  <si>
    <t>У-19-18264</t>
  </si>
  <si>
    <t>https://smp.sfurf.office/sd/operator/index.jsp;jsessionid=4B56FDB405CD332F2E4AE6AEC0BFEE05#uuid:serviceCall$20689969</t>
  </si>
  <si>
    <t>Чекова Елена Альбертовна</t>
  </si>
  <si>
    <t>После экспертизы. Удовлетворение по НТЭ ФУ</t>
  </si>
  <si>
    <t>У-19-18885</t>
  </si>
  <si>
    <t>https://smp.sfurf.office/sd/operator/index.jsp;jsessionid=4B56FDB405CD332F2E4AE6AEC0BFEE05#uuid:serviceCall$21161126</t>
  </si>
  <si>
    <t>Горбунов Олег Михайлович</t>
  </si>
  <si>
    <t>У-19-25476</t>
  </si>
  <si>
    <t>https://smp.sfurf.office/sd/operator/index.jsp;jsessionid=4B56FDB405CD332F2E4AE6AEC0BFEE05#uuid:serviceCall$26967600</t>
  </si>
  <si>
    <t>Гриценко Антон Викторович</t>
  </si>
  <si>
    <t>После экспертизы. Отказ, т.к. ФО произвела выплату в большем размере, чем получилось по результатом НТЭ ФУ</t>
  </si>
  <si>
    <t>У-19-32569</t>
  </si>
  <si>
    <t>https://smp.sfurf.office/sd/operator/index.jsp;jsessionid=4B56FDB405CD332F2E4AE6AEC0BFEE05#uuid:serviceCall$34117905</t>
  </si>
  <si>
    <t>Молодкина Екатерина Михайловна</t>
  </si>
  <si>
    <t>У-19-32531</t>
  </si>
  <si>
    <t>https://smp.sfurf.office/sd/operator/index.jsp;jsessionid=4B56FDB405CD332F2E4AE6AEC0BFEE05#uuid:serviceCall$34005767</t>
  </si>
  <si>
    <t>Герасименко Робэр Валериевич</t>
  </si>
  <si>
    <t>У-19-32548</t>
  </si>
  <si>
    <t>https://smp.sfurf.office/sd/operator/index.jsp;jsessionid=4B56FDB405CD332F2E4AE6AEC0BFEE05#uuid:serviceCall$34005784</t>
  </si>
  <si>
    <t>Савченко Семен Владимирович</t>
  </si>
  <si>
    <t>У-19-32603</t>
  </si>
  <si>
    <t>https://smp.sfurf.office/sd/operator/index.jsp;jsessionid=4B56FDB405CD332F2E4AE6AEC0BFEE05#uuid:serviceCall$34117939</t>
  </si>
  <si>
    <t>Бакарева Мария Анатольевна</t>
  </si>
  <si>
    <t>Отказ, т.к. направление на ремонт выдавалось. Оригинальные запчасти не предусмотрены, т.к. автомобилю более 2х лет</t>
  </si>
  <si>
    <t>У-19-32608</t>
  </si>
  <si>
    <t>https://smp.sfurf.office/sd/operator/index.jsp;jsessionid=4B56FDB405CD332F2E4AE6AEC0BFEE05#uuid:serviceCall$34117944</t>
  </si>
  <si>
    <t>Назаралиев Абакар Мизамирович</t>
  </si>
  <si>
    <t>У-19-25579</t>
  </si>
  <si>
    <t>https://smp.sfurf.office/sd/operator/index.jsp;jsessionid=4B56FDB405CD332F2E4AE6AEC0BFEE05#uuid:serviceCall$27057596</t>
  </si>
  <si>
    <t>Степанов Антон Сергеевич</t>
  </si>
  <si>
    <t>После экспертизы. По НТЭ ФУ страховая выплатила в полном объеме, но второй платеж с нарушением срока</t>
  </si>
  <si>
    <t>У-19-25556</t>
  </si>
  <si>
    <t>https://smp.sfurf.office/sd/operator/index.jsp;jsessionid=4B56FDB405CD332F2E4AE6AEC0BFEE05#uuid:serviceCall$27057563</t>
  </si>
  <si>
    <t>Румянцева Ксения Александровна</t>
  </si>
  <si>
    <t>После экспертизы. После НТЭ ФУ. Взыскать по НТЭ ФУ</t>
  </si>
  <si>
    <t>У-19-32435</t>
  </si>
  <si>
    <t>https://smp.sfurf.office/sd/operator/index.jsp;jsessionid=4B56FDB405CD332F2E4AE6AEC0BFEE05#uuid:serviceCall$33790871</t>
  </si>
  <si>
    <t>Харчевников Вячеслав Геннадьевич</t>
  </si>
  <si>
    <t>КАСКО</t>
  </si>
  <si>
    <t>У-19-32440</t>
  </si>
  <si>
    <t>https://smp.sfurf.office/sd/operator/index.jsp;jsessionid=4B56FDB405CD332F2E4AE6AEC0BFEE05#uuid:serviceCall$33790876</t>
  </si>
  <si>
    <t>Бандуров Евгений Геннадьевич</t>
  </si>
  <si>
    <t>У-19-32443</t>
  </si>
  <si>
    <t>https://smp.sfurf.office/sd/operator/index.jsp;jsessionid=4B56FDB405CD332F2E4AE6AEC0BFEE05#uuid:serviceCall$33790879</t>
  </si>
  <si>
    <t>Бурков Георгий Николаевич</t>
  </si>
  <si>
    <t>Неустойка ОСАГО (часть выплатили). Просит остаток</t>
  </si>
  <si>
    <t>У-19-26025</t>
  </si>
  <si>
    <t>https://smp.sfurf.office/sd/operator/index.jsp;jsessionid=4B56FDB405CD332F2E4AE6AEC0BFEE05#uuid:serviceCall$27542363</t>
  </si>
  <si>
    <t>Иванков Евгений Александрович</t>
  </si>
  <si>
    <t>После экспертизы. Отказ, т.к. вина не установлена, 50% выплатили больше, чем по НТЭ ФУ</t>
  </si>
  <si>
    <t>У-19-26018</t>
  </si>
  <si>
    <t>https://smp.sfurf.office/sd/operator/index.jsp;jsessionid=4B56FDB405CD332F2E4AE6AEC0BFEE05#uuid:serviceCall$27542356</t>
  </si>
  <si>
    <t>Гулария Глеб Анзорович</t>
  </si>
  <si>
    <t>У-19-26014</t>
  </si>
  <si>
    <t>https://smp.sfurf.office/sd/operator/index.jsp;jsessionid=4B56FDB405CD332F2E4AE6AEC0BFEE05#uuid:serviceCall$27542352</t>
  </si>
  <si>
    <t>Ногаева Виктория Владимировна</t>
  </si>
  <si>
    <t>После экспертизы. Взыскание по нашей экспертизе</t>
  </si>
  <si>
    <t>У-19-33023</t>
  </si>
  <si>
    <t>https://smp.sfurf.office/sd/operator/index.jsp;jsessionid=4B56FDB405CD332F2E4AE6AEC0BFEE05#uuid:serviceCall$34548373</t>
  </si>
  <si>
    <t>Богомолова Оксана Эдуардовна</t>
  </si>
  <si>
    <t>Вред здоровью. ПО решению суда взыскано 15000. Просит неустойку</t>
  </si>
  <si>
    <t>У-19-33028</t>
  </si>
  <si>
    <t>https://smp.sfurf.office/sd/operator/index.jsp;jsessionid=4B56FDB405CD332F2E4AE6AEC0BFEE05#uuid:serviceCall$34548382</t>
  </si>
  <si>
    <t>Коротков Алексей Владимирович</t>
  </si>
  <si>
    <t>У-19-33031</t>
  </si>
  <si>
    <t>https://smp.sfurf.office/sd/operator/index.jsp;jsessionid=4B56FDB405CD332F2E4AE6AEC0BFEE05#uuid:serviceCall$34548384</t>
  </si>
  <si>
    <t>Литвинов Роман Егорович</t>
  </si>
  <si>
    <t>У-19-33034</t>
  </si>
  <si>
    <t>https://smp.sfurf.office/sd/operator/index.jsp;jsessionid=4B56FDB405CD332F2E4AE6AEC0BFEE05#uuid:serviceCall$34548387</t>
  </si>
  <si>
    <t>Кенджаметов Арсен Сейдалиевич</t>
  </si>
  <si>
    <t>У-19-33046</t>
  </si>
  <si>
    <t>https://smp.sfurf.office/sd/operator/index.jsp;jsessionid=4B56FDB405CD332F2E4AE6AEC0BFEE05#uuid:serviceCall$34548399</t>
  </si>
  <si>
    <t>Диканский Евгений Евгеньевич</t>
  </si>
  <si>
    <t>Неустойка. Прекращение. Нет платежного поручения на оплату страхового возмещения по решению суда</t>
  </si>
  <si>
    <t>У-19-26514</t>
  </si>
  <si>
    <t>https://smp.sfurf.office/sd/operator/#uuid:serviceCall$28107739</t>
  </si>
  <si>
    <t>Канойко Галина Михайловна</t>
  </si>
  <si>
    <t>После экспертизы. Отказ, т.к. направление на ремонт ФО направило в срок</t>
  </si>
  <si>
    <t>У-19-20208</t>
  </si>
  <si>
    <t>https://smp.sfurf.office/sd/operator/#uuid:serviceCall$22314254</t>
  </si>
  <si>
    <t>Шаронова Арина Валерьевна</t>
  </si>
  <si>
    <t>Отказ, трасса, повреждения не соответствуют ДТП</t>
  </si>
  <si>
    <t>У-19-34354</t>
  </si>
  <si>
    <t>https://smp.sfurf.office/sd/operator/#uuid:serviceCall$36267116</t>
  </si>
  <si>
    <t>Кутель Василий Васильевич</t>
  </si>
  <si>
    <t>У-19-34358</t>
  </si>
  <si>
    <t>https://smp.sfurf.office/sd/operator/#uuid:serviceCall$36267120</t>
  </si>
  <si>
    <t>Дадаева Елена Андреевна</t>
  </si>
  <si>
    <t>У-19-34365</t>
  </si>
  <si>
    <t>https://smp.sfurf.office/sd/operator/#uuid:serviceCall$36267127</t>
  </si>
  <si>
    <t>Лященко Андрей Александрович</t>
  </si>
  <si>
    <t>ОТКАЗ. КАСКО. У водителя на момент ДТП истек срок действия ВУ. ФО на этом основании в выплате отказала</t>
  </si>
  <si>
    <t>У-19-34367</t>
  </si>
  <si>
    <t>https://smp.sfurf.office/sd/operator/#uuid:serviceCall$36267129</t>
  </si>
  <si>
    <t>Татевосян Кристина Алексеевна</t>
  </si>
  <si>
    <t>ПРЕКРАЩЕНИЕ. ФО дважды направляла направление на НТЭ и эвакуатор, потом вернула документы</t>
  </si>
  <si>
    <t>У-19-34369</t>
  </si>
  <si>
    <t>https://smp.sfurf.office/sd/operator/#uuid:serviceCall$36267131</t>
  </si>
  <si>
    <t>Никитина Людмила Викторовна</t>
  </si>
  <si>
    <t>У-19-34694</t>
  </si>
  <si>
    <t>https://smp.sfurf.office/sd/operator/#uuid:serviceCall$36645664</t>
  </si>
  <si>
    <t>Осокина Ольга Валерьевна</t>
  </si>
  <si>
    <t>У-19-34690</t>
  </si>
  <si>
    <t>https://smp.sfurf.office/sd/operator/#uuid:serviceCall$36645660</t>
  </si>
  <si>
    <t>Востриков Сергей Анатольевич</t>
  </si>
  <si>
    <t>Неустойка. Рассматривается в суде + не соблюден досудебный порядок (в заявлении-претензии не заявлено требование о неустойке)</t>
  </si>
  <si>
    <t>У-19-34683</t>
  </si>
  <si>
    <t>https://smp.sfurf.office/sd/operator/#uuid:serviceCall$36645653</t>
  </si>
  <si>
    <t>Антонов Вячеслав Вячеславович</t>
  </si>
  <si>
    <t>У-19-27962</t>
  </si>
  <si>
    <t>https://smp.sfurf.office/sd/operator/#uuid:serviceCall$29533359</t>
  </si>
  <si>
    <t>Елбакиев Рустам Шотаевич</t>
  </si>
  <si>
    <t>Трасса</t>
  </si>
  <si>
    <t>У-19-27968</t>
  </si>
  <si>
    <t>https://smp.sfurf.office/sd/operator/#uuid:serviceCall$29533365</t>
  </si>
  <si>
    <t>Бабенко Дмитрий Андреевич</t>
  </si>
  <si>
    <t>По НТЭ ФУ больше, чем по НТЭ ФО. Однако выплата с нарушением срока. Неустойка взыскана в части</t>
  </si>
  <si>
    <t>У-19-27913</t>
  </si>
  <si>
    <t>https://smp.sfurf.office/sd/operator/#uuid:serviceCall$29533309</t>
  </si>
  <si>
    <t>Коровина Татьяна Викторовна</t>
  </si>
  <si>
    <t>У-19-35436</t>
  </si>
  <si>
    <t>https://smp.sfurf.office/sd/operator/#uuid:serviceCall$37298212</t>
  </si>
  <si>
    <t>Хамитова Сазида Нурисламовна</t>
  </si>
  <si>
    <t>Неустойка. После решения суда. Удовлетворить, т.к. ПП на оплату по решению суда есть</t>
  </si>
  <si>
    <t>У-19-35425</t>
  </si>
  <si>
    <t>https://smp.sfurf.office/sd/operator/#uuid:serviceCall$37298201</t>
  </si>
  <si>
    <t>Пешехонов Евгений Васильевич</t>
  </si>
  <si>
    <t>Отказ. Выдали направление на ремонт. Хочет деньгами, т.к. до СТОА долго ехать, факт получения направления на СТОА не оспаривает. Адрес СТОА - Краснодарский край, г. Армавир, ул. Ефремова, д.14, адрес регистрации Заявителя - Краснодарский край, Новокубанский р-н, ст. Советская, ул. Бурдовой, д. 40 (расстояние до СТОА по данным Яндекс - 28 км), место ДТП - Краснодарский край, Новокубанский р-н, ст. Советская,  ул. Комсомольская- ул. Красноармейская, д. 21 (расстояние до СТОА по данным Яндекс - 10 км).</t>
  </si>
  <si>
    <t>У-19-35414</t>
  </si>
  <si>
    <t>https://smp.sfurf.office/sd/operator/#uuid:serviceCall$37216890</t>
  </si>
  <si>
    <t>Бондаренко Юрий Иванович</t>
  </si>
  <si>
    <t>У-19-35398</t>
  </si>
  <si>
    <t>https://smp.sfurf.office/sd/operator/#uuid:serviceCall$37216874</t>
  </si>
  <si>
    <t>Жизнь. ДТП 2016 года. Страховая виновника выплату осуществила, Заявитель хочет со своей.  Отложенная неустойка, моральный вред, штраф 50%</t>
  </si>
  <si>
    <t>У-19-35394</t>
  </si>
  <si>
    <t>https://smp.sfurf.office/sd/operator/#uuid:serviceCall$37216870</t>
  </si>
  <si>
    <t>Добробабина Инна Игоревна</t>
  </si>
  <si>
    <t>У-19-35390</t>
  </si>
  <si>
    <t>https://smp.sfurf.office/sd/operator/#uuid:serviceCall$37216866</t>
  </si>
  <si>
    <t>Дроздов Владимир Александрович</t>
  </si>
  <si>
    <t>Комплекс</t>
  </si>
  <si>
    <t>У-19-35540</t>
  </si>
  <si>
    <t>https://smp.sfurf.office/sd/operator/#uuid:serviceCall$37390616</t>
  </si>
  <si>
    <t>Ибаев Магомед Рамзанович</t>
  </si>
  <si>
    <t>У-19-21070</t>
  </si>
  <si>
    <t>https://smp.sfurf.office/sd/operator/#uuid:serviceCall$23157725</t>
  </si>
  <si>
    <t>Масанов Ринат Алдербегович</t>
  </si>
  <si>
    <t>После НТЭ ФУ. Отказ, т.к. повреждения не соответствуют ДТП</t>
  </si>
  <si>
    <t>У-19-36144</t>
  </si>
  <si>
    <t>https://smp.sfurf.office/sd/operator/#uuid:serviceCall$38024332</t>
  </si>
  <si>
    <t>Байдаченко Лариса Александровна</t>
  </si>
  <si>
    <t>Заключили соглашение. ФО произвело выплату в срок. Заявитель провел экспертизу и хочет остаток.</t>
  </si>
  <si>
    <t>У-19-36140</t>
  </si>
  <si>
    <t>https://smp.sfurf.office/sd/operator/#uuid:serviceCall$38024328</t>
  </si>
  <si>
    <t>Браславский Игорь Анатольевич</t>
  </si>
  <si>
    <t>Неустойка каскадная</t>
  </si>
  <si>
    <t>У-19-36139</t>
  </si>
  <si>
    <t>https://smp.sfurf.office/sd/operator/#uuid:serviceCall$38024327</t>
  </si>
  <si>
    <t>Фаткуллина Инна Аркадьевна</t>
  </si>
  <si>
    <t>Есть решение суда по тому же спору между теми же сторонами</t>
  </si>
  <si>
    <t>У-19-36122</t>
  </si>
  <si>
    <t>https://smp.sfurf.office/sd/operator/#uuid:serviceCall$38024310</t>
  </si>
  <si>
    <t>Никитин Александр Владимирович</t>
  </si>
  <si>
    <t>Неустойка. По решению суда. Платежка по исполнительнмоу листу есть</t>
  </si>
  <si>
    <t>У-19-36544</t>
  </si>
  <si>
    <t>https://smp.sfurf.office/sd/operator/#uuid:serviceCall$38514511</t>
  </si>
  <si>
    <t>Асланов Шамсудин Гаджихалилович</t>
  </si>
  <si>
    <t>У-19-28979</t>
  </si>
  <si>
    <t>https://smp.sfurf.office/sd/operator/#uuid:serviceCall$30529558</t>
  </si>
  <si>
    <t>Даноян Арсен Самвелович</t>
  </si>
  <si>
    <t>У-19-22662</t>
  </si>
  <si>
    <t>https://smp.sfurf.office/sd/operator/#uuid:serviceCall$24453886</t>
  </si>
  <si>
    <t>Скулкин Дмитрий Витальевич</t>
  </si>
  <si>
    <t>После НТЭ ФУ. Прекратили, по причине невозможности проведения НТЭ ФУ, т.к. нет фотоматериалов.</t>
  </si>
  <si>
    <t>У-19-22638</t>
  </si>
  <si>
    <t>https://smp.sfurf.office/sd/operator/#uuid:serviceCall$24453862</t>
  </si>
  <si>
    <t>Черемисинов Виктор Вячеславович</t>
  </si>
  <si>
    <t>У-19-37199</t>
  </si>
  <si>
    <t>https://smp.sfurf.office/sd/operator/#uuid:serviceCall$39392767</t>
  </si>
  <si>
    <t>Макаров Александр Юрьевич</t>
  </si>
  <si>
    <t>АО «МАКС»</t>
  </si>
  <si>
    <t>Вина 50%. Хочет выплату в размере 100%</t>
  </si>
  <si>
    <t>У-19-37196</t>
  </si>
  <si>
    <t>https://smp.sfurf.office/sd/operator/#uuid:serviceCall$39392754</t>
  </si>
  <si>
    <t>Алиева Малика Бекмурзаевна</t>
  </si>
  <si>
    <t>Отказ по трассе. Обращение от представителя (отправитель на конверте в ФУ - представитель, заявление к ФУ на бланке представителя, подписано обоими, Заявителем и представителем). Либо НТЭ, либо прекращение</t>
  </si>
  <si>
    <t>У-19-37280</t>
  </si>
  <si>
    <t>https://smp.sfurf.office/sd/operator/#uuid:serviceCall$39392752</t>
  </si>
  <si>
    <t>Осипов Максим Павлович</t>
  </si>
  <si>
    <t>У-19-37194</t>
  </si>
  <si>
    <t>https://smp.sfurf.office/sd/operator/#uuid:serviceCall$39392743</t>
  </si>
  <si>
    <t>Литвишко Елена Рольевна</t>
  </si>
  <si>
    <t>Неустойка. ФО выплатила в полном объеме</t>
  </si>
  <si>
    <t>У-19-37189</t>
  </si>
  <si>
    <t>https://smp.sfurf.office/sd/operator/#uuid:serviceCall$39392722</t>
  </si>
  <si>
    <t>Фархидинов Мунаваршох Холикович</t>
  </si>
  <si>
    <t>Отказ, т.к. не предоставил на осмотр. Сначала обратился по КАСКО в Ангара. У Ангара отозвали лицензию, пошел в ФО виновника. ТС отремонтировал (есть заказ-наряд), ФО виновника отказывает, т.к. не предоставил на осмотр, документы (акт осмотра) не читаемый</t>
  </si>
  <si>
    <t>У-19-29362</t>
  </si>
  <si>
    <t>https://smp.sfurf.office/sd/operator/#uuid:serviceCall$31030783</t>
  </si>
  <si>
    <t>Ишханян Володя Норикович</t>
  </si>
  <si>
    <t>Тотал. НТЭ ФУ.</t>
  </si>
  <si>
    <t>У-19-29976</t>
  </si>
  <si>
    <t>https://smp.sfurf.office/sd/operator/#uuid:serviceCall$31668991</t>
  </si>
  <si>
    <t>Кезина Екатерина Алексеевна</t>
  </si>
  <si>
    <t>После НТЭ ФУ. Отказ по трассе.</t>
  </si>
  <si>
    <t>У-19-23137</t>
  </si>
  <si>
    <t>https://smp.sfurf.office/sd/operator/#uuid:serviceCall$24940861</t>
  </si>
  <si>
    <t>Велисевич Константин Сергеевич</t>
  </si>
  <si>
    <t>НТЭ ФУ. Две выплаты, каскадныя неустойка, экспертиза до 01.06.2019, представительские, 10%</t>
  </si>
  <si>
    <t>У-19-37850</t>
  </si>
  <si>
    <t>https://smp.sfurf.office/sd/operator/#uuid:serviceCall$39999157</t>
  </si>
  <si>
    <t>Романовский Олег Юрьеви</t>
  </si>
  <si>
    <t>У-19-30332</t>
  </si>
  <si>
    <t>https://smp.sfurf.office/sd/operator/#uuid:serviceCall$32112614</t>
  </si>
  <si>
    <t>Гроздов Константин Александрович</t>
  </si>
  <si>
    <t>У-19-30509</t>
  </si>
  <si>
    <t>https://smp.sfurf.office/sd/operator/#uuid:serviceCall$32345428</t>
  </si>
  <si>
    <t>Ряков Константин Андреевич</t>
  </si>
  <si>
    <t>Выплатили в пределах 10%</t>
  </si>
  <si>
    <t>У-19-37857</t>
  </si>
  <si>
    <t>https://smp.sfurf.office/sd/operator/#uuid:serviceCall$39999164</t>
  </si>
  <si>
    <t>Шадрин Геннадий Евграфович</t>
  </si>
  <si>
    <t>Выплатили по НТЭ Заявителя ровно столько, сколько он просил. Выплата на реквизиты представителя. В заявлении просил выплатить на реквизиты представителя</t>
  </si>
  <si>
    <t>У-19-37856</t>
  </si>
  <si>
    <t>https://smp.sfurf.office/sd/operator/#uuid:serviceCall$39999163</t>
  </si>
  <si>
    <t>Брусенко Евгений Олегович</t>
  </si>
  <si>
    <t>Неустойка</t>
  </si>
  <si>
    <t>У-19-37854</t>
  </si>
  <si>
    <t>https://smp.sfurf.office/sd/operator/#uuid:serviceCall$39999161</t>
  </si>
  <si>
    <t>Носков Андрей Викторович</t>
  </si>
  <si>
    <t>У-19-37843</t>
  </si>
  <si>
    <t>https://smp.sfurf.office/sd/operator/#uuid:serviceCall$39999150</t>
  </si>
  <si>
    <t>Щербина Валентина Сергеевна</t>
  </si>
  <si>
    <t>У-19-37747</t>
  </si>
  <si>
    <t>https://smp.sfurf.office/sd/operator/#uuid:serviceCall$39916354</t>
  </si>
  <si>
    <t>Ворожбитова Екатерина Алексеевна</t>
  </si>
  <si>
    <t>РЕШ УВ согласование</t>
  </si>
  <si>
    <t>Юлькино. Вина 50%. Хочет выплату в размере 100%. Спора о сумме нет</t>
  </si>
  <si>
    <t>У-19-30675</t>
  </si>
  <si>
    <t>https://smp.sfurf.office/sd/operator/#uuid:serviceCall$32452794</t>
  </si>
  <si>
    <t>Агеева Татьяна Николаевна</t>
  </si>
  <si>
    <t>Юлькино. Тотал. После НТЭ, вина 50%</t>
  </si>
  <si>
    <t>У-19-37738</t>
  </si>
  <si>
    <t>https://smp.sfurf.office/sd/operator/#uuid:serviceCall$39916345</t>
  </si>
  <si>
    <t>Тимофеева Анна Павлова</t>
  </si>
  <si>
    <t>Юлькино. Мать в интересах дочери. Жизнь, выплата 1/3, Довзыскали остальные 2/3</t>
  </si>
  <si>
    <t>У-19-38722</t>
  </si>
  <si>
    <t>https://smp.sfurf.office/sd/operator/index.jsp;jsessionid=4B56FDB405CD332F2E4AE6AEC0BFEE05#uuid:serviceCall$41121275</t>
  </si>
  <si>
    <t>Халилов Владислав Фатыхович</t>
  </si>
  <si>
    <t>https://smp.sfurf.office/sd/operator/index.jsp;jsessionid=4B56FDB405CD332F2E4AE6AEC0BFEE05#uuid:serviceCall$41288412</t>
  </si>
  <si>
    <t>РЕШ шаблон</t>
  </si>
  <si>
    <t>У-19-38766</t>
  </si>
  <si>
    <t>https://smp.sfurf.office/sd/operator/index.jsp;jsessionid=4B56FDB405CD332F2E4AE6AEC0BFEE05#uuid:serviceCall$41288419</t>
  </si>
  <si>
    <t>Гасанов Сократ Сафинович</t>
  </si>
  <si>
    <t>У-19-38767</t>
  </si>
  <si>
    <t>https://smp.sfurf.office/sd/operator/index.jsp;jsessionid=4B56FDB405CD332F2E4AE6AEC0BFEE05#uuid:serviceCall$41288420</t>
  </si>
  <si>
    <t>Масюк Анастасия Германовна</t>
  </si>
  <si>
    <t>У-19-39542</t>
  </si>
  <si>
    <t>https://smp.sfurf.office/sd/operator/index.jsp;jsessionid=4B56FDB405CD332F2E4AE6AEC0BFEE05#uuid:serviceCall$41913989</t>
  </si>
  <si>
    <t>Клевцов Сергей Михайлович</t>
  </si>
  <si>
    <t>У-19-39556</t>
  </si>
  <si>
    <t>https://smp.sfurf.office/sd/operator/index.jsp;jsessionid=4B56FDB405CD332F2E4AE6AEC0BFEE05#uuid:serviceCall$42047608</t>
  </si>
  <si>
    <t>Щекотихина Анна Юрьевна</t>
  </si>
  <si>
    <t>У-19-39566</t>
  </si>
  <si>
    <t>https://smp.sfurf.office/sd/operator/index.jsp;jsessionid=4B56FDB405CD332F2E4AE6AEC0BFEE05#uuid:serviceCall$42047624</t>
  </si>
  <si>
    <t>Тихонова Юлия Валерьевна</t>
  </si>
  <si>
    <t>У-19-39567</t>
  </si>
  <si>
    <t>https://smp.sfurf.office/sd/operator/index.jsp;jsessionid=4B56FDB405CD332F2E4AE6AEC0BFEE05#uuid:serviceCall$42047626</t>
  </si>
  <si>
    <t>Литвинов Константин Владимирович</t>
  </si>
  <si>
    <t>У-19-39586</t>
  </si>
  <si>
    <t>https://smp.sfurf.office/sd/operator/index.jsp;jsessionid=4B56FDB405CD332F2E4AE6AEC0BFEE05#uuid:serviceCall$42047647</t>
  </si>
  <si>
    <t>Мясников Олег Игоревич</t>
  </si>
  <si>
    <t>У-19-40009</t>
  </si>
  <si>
    <t>https://smp.sfurf.office/sd/operator/index.jsp;jsessionid=4B56FDB405CD332F2E4AE6AEC0BFEE05#uuid:serviceCall$42559486</t>
  </si>
  <si>
    <t>Лосева Мария Викторовна</t>
  </si>
  <si>
    <t>У-19-40003</t>
  </si>
  <si>
    <t>https://smp.sfurf.office/sd/operator/index.jsp;jsessionid=4B56FDB405CD332F2E4AE6AEC0BFEE05#uuid:serviceCall$42559479</t>
  </si>
  <si>
    <t>Прокопов Яков Алексеевич</t>
  </si>
  <si>
    <t>У-19-39995</t>
  </si>
  <si>
    <t>https://smp.sfurf.office/sd/operator/index.jsp;jsessionid=4B56FDB405CD332F2E4AE6AEC0BFEE05#uuid:serviceCall$42559471</t>
  </si>
  <si>
    <t>Хабибуллина Регина Ирековна</t>
  </si>
  <si>
    <t>У-19-39993</t>
  </si>
  <si>
    <t>https://smp.sfurf.office/sd/operator/index.jsp;jsessionid=4B56FDB405CD332F2E4AE6AEC0BFEE05#uuid:serviceCall$42559469</t>
  </si>
  <si>
    <t>Оганезов Сергей Сергеевич</t>
  </si>
  <si>
    <t>У-19-39991</t>
  </si>
  <si>
    <t>https://smp.sfurf.office/sd/operator/index.jsp;jsessionid=4B56FDB405CD332F2E4AE6AEC0BFEE05#uuid:serviceCall$42559467</t>
  </si>
  <si>
    <t>Лопатин Андрей Николаевич</t>
  </si>
  <si>
    <t>У-19-40776</t>
  </si>
  <si>
    <t>https://smp.sfurf.office/sd/operator/index.jsp;jsessionid=4B56FDB405CD332F2E4AE6AEC0BFEE05#uuid:serviceCall$43416200</t>
  </si>
  <si>
    <t>Вагнер Александр Юрьевич</t>
  </si>
  <si>
    <t>У-19-40775</t>
  </si>
  <si>
    <t>https://smp.sfurf.office/sd/operator/index.jsp;jsessionid=4B56FDB405CD332F2E4AE6AEC0BFEE05#uuid:serviceCall$43416199</t>
  </si>
  <si>
    <t>Баиев Мурат Рашидович</t>
  </si>
  <si>
    <t>У-19-40773</t>
  </si>
  <si>
    <t>https://smp.sfurf.office/sd/operator/index.jsp;jsessionid=4B56FDB405CD332F2E4AE6AEC0BFEE05#uuid:serviceCall$43416197</t>
  </si>
  <si>
    <t>Елисеенко Олег Олегович</t>
  </si>
  <si>
    <t>У-19-40770</t>
  </si>
  <si>
    <t>https://smp.sfurf.office/sd/operator/index.jsp;jsessionid=4B56FDB405CD332F2E4AE6AEC0BFEE05#uuid:serviceCall$43416194</t>
  </si>
  <si>
    <t>Бондарева Наталья Васильевна</t>
  </si>
  <si>
    <t>У-19-40767</t>
  </si>
  <si>
    <t>https://smp.sfurf.office/sd/operator/index.jsp;jsessionid=4B56FDB405CD332F2E4AE6AEC0BFEE05#uuid:serviceCall$43416191</t>
  </si>
  <si>
    <t>Губин Сергей Геннадиевич</t>
  </si>
  <si>
    <t>У-19-41542</t>
  </si>
  <si>
    <t>https://smp.sfurf.office/sd/operator/index.jsp;jsessionid=4B56FDB405CD332F2E4AE6AEC0BFEE05#uuid:serviceCall$44346295</t>
  </si>
  <si>
    <t>Крамаренко Юрий Алексеевич</t>
  </si>
  <si>
    <t>У-19-41541</t>
  </si>
  <si>
    <t>https://smp.sfurf.office/sd/operator/index.jsp;jsessionid=4B56FDB405CD332F2E4AE6AEC0BFEE05#uuid:serviceCall$44346294</t>
  </si>
  <si>
    <t>Хеж Адам Байзетович</t>
  </si>
  <si>
    <t>САО ЭРГО</t>
  </si>
  <si>
    <t>У-19-41539</t>
  </si>
  <si>
    <t>https://smp.sfurf.office/sd/operator/index.jsp;jsessionid=4B56FDB405CD332F2E4AE6AEC0BFEE05#uuid:serviceCall$44346292</t>
  </si>
  <si>
    <t>Сидоренко Анастасия Петровна</t>
  </si>
  <si>
    <t>У-19-41538</t>
  </si>
  <si>
    <t>https://smp.sfurf.office/sd/operator/index.jsp;jsessionid=4B56FDB405CD332F2E4AE6AEC0BFEE05#uuid:serviceCall$44346291</t>
  </si>
  <si>
    <t>Богатко Сергей Витальевич</t>
  </si>
  <si>
    <t>У-19-41534</t>
  </si>
  <si>
    <t>https://smp.sfurf.office/sd/operator/index.jsp;jsessionid=4B56FDB405CD332F2E4AE6AEC0BFEE05#uuid:serviceCall$44346287</t>
  </si>
  <si>
    <t>Гобадзе Темур Важаевич</t>
  </si>
  <si>
    <t>У-19-41532</t>
  </si>
  <si>
    <t>https://smp.sfurf.office/sd/operator/index.jsp;jsessionid=4B56FDB405CD332F2E4AE6AEC0BFEE05#uuid:serviceCall$44346285</t>
  </si>
  <si>
    <t>Чадаханов Муслим Адланович</t>
  </si>
  <si>
    <t>DescriptionDtp</t>
  </si>
  <si>
    <t xml:space="preserve">
</t>
  </si>
  <si>
    <t>(далее – Договор ОСАГО)</t>
  </si>
  <si>
    <t>(далее – Транспортное средство)</t>
  </si>
  <si>
    <t>А31 - Перенос на новую строку</t>
  </si>
  <si>
    <t>ЭЗ</t>
  </si>
  <si>
    <t>ЭЗ согласование</t>
  </si>
  <si>
    <t>ЭЗ согласовано</t>
  </si>
  <si>
    <t>ЭЗ ПР согласование</t>
  </si>
  <si>
    <t>РЕШ</t>
  </si>
  <si>
    <t>РЕШ согласование</t>
  </si>
  <si>
    <t>РЕШ согласовано</t>
  </si>
  <si>
    <t>РЕШ подписано</t>
  </si>
  <si>
    <t>Status</t>
  </si>
  <si>
    <t>Заявитель обратился в</t>
  </si>
  <si>
    <t>с заявлением о страховом возмещении по Договору ОСАГО</t>
  </si>
  <si>
    <t>с заявлением о прямом возмещении убытков</t>
  </si>
  <si>
    <t>ОБРАЩЕНИЕ В ФО</t>
  </si>
  <si>
    <t>ОСМОТР</t>
  </si>
  <si>
    <t>проведен осмотр принадлежащего Заявителю Транспортного средства</t>
  </si>
  <si>
    <t>с привлечением независимой экспертной организации</t>
  </si>
  <si>
    <t>НТЭ ФО</t>
  </si>
  <si>
    <t>от</t>
  </si>
  <si>
    <t>независимой экспертной организацией</t>
  </si>
  <si>
    <t>без учета износа составила</t>
  </si>
  <si>
    <t>с учетом износа составила</t>
  </si>
  <si>
    <t>подписано Соглашение о выплате страхового возмещения (далее – Соглашение), согласно которому стороны пришли к согласию о сумме денежной выплаты по страховому случаю в размере</t>
  </si>
  <si>
    <t>, которую</t>
  </si>
  <si>
    <t>должно осуществить в случае признания случая страховым.</t>
  </si>
  <si>
    <t>Выплата по Заявлению</t>
  </si>
  <si>
    <t>Направление на ремонт</t>
  </si>
  <si>
    <t>выдало Заявителю направление №</t>
  </si>
  <si>
    <t>(далее – СТОА) для осуществления восстановительного ремонта поврежденного Транспортного средства</t>
  </si>
  <si>
    <t>Отказ (Трасса)</t>
  </si>
  <si>
    <t>, в котором сообщалось</t>
  </si>
  <si>
    <t>, что согласно выводам проведенной экспертизы, все повреждения Транспортного средства Заявителя не могли образоваться при заявленных обстоятельствах ДТП</t>
  </si>
  <si>
    <t>, в связи с чем, правовых оснований для урегулирования данного убытка у</t>
  </si>
  <si>
    <t>не имеется</t>
  </si>
  <si>
    <t>Заявление о смене формы</t>
  </si>
  <si>
    <t>с заявлением о смене формы возмещения с натуральной на денежную</t>
  </si>
  <si>
    <t>письмом №</t>
  </si>
  <si>
    <t>отказало Заявителю в удовлетворении заявленных требований</t>
  </si>
  <si>
    <t>Ответ ФО</t>
  </si>
  <si>
    <t>Выплата</t>
  </si>
  <si>
    <t>Суть</t>
  </si>
  <si>
    <t>№ ПП</t>
  </si>
  <si>
    <t>СТОА</t>
  </si>
  <si>
    <t>, предоставив все документы, предусмотренные Правилами обязательного страхования гражданской ответственности владельцев транспортных средств, утвержденными Положением Банка России от 19.09.2014 № 431-П (далее – Правила ОСАГО)</t>
  </si>
  <si>
    <t>Организация</t>
  </si>
  <si>
    <t>БЕЗ</t>
  </si>
  <si>
    <t>С</t>
  </si>
  <si>
    <t>Рынок</t>
  </si>
  <si>
    <t>Годные</t>
  </si>
  <si>
    <t>УТС</t>
  </si>
  <si>
    <t>Тип</t>
  </si>
  <si>
    <t>Заявление</t>
  </si>
  <si>
    <t>Претензия</t>
  </si>
  <si>
    <t>123-ФЗ</t>
  </si>
  <si>
    <t>Смена формы</t>
  </si>
  <si>
    <t>Акт осмотра ФО</t>
  </si>
  <si>
    <t>Траса</t>
  </si>
  <si>
    <t>ВЫПЛАТА</t>
  </si>
  <si>
    <t>Экспертиза Заявителя УЩЕРБ</t>
  </si>
  <si>
    <t>Экспертиза Заявителя УТС</t>
  </si>
  <si>
    <t>Экспертиза ФУ ТРАСА</t>
  </si>
  <si>
    <t>Экспертиза ФУ УЩЕРБ (+ТРАСА)</t>
  </si>
  <si>
    <t>Вопросы</t>
  </si>
  <si>
    <t>Эксперт</t>
  </si>
  <si>
    <t>СУД Первая инстанция</t>
  </si>
  <si>
    <t>СУД Апелляционная инстанция</t>
  </si>
  <si>
    <t>СУД Кассационная инстанция</t>
  </si>
  <si>
    <t>СУД</t>
  </si>
  <si>
    <t>ВЗЫСКАНО СУД 1 ИНСТ</t>
  </si>
  <si>
    <t>ВЗЫСКАНО СУД 2ИНСТ</t>
  </si>
  <si>
    <t>Исполнительный лист</t>
  </si>
  <si>
    <t>Дата ПП</t>
  </si>
  <si>
    <t>Сумма</t>
  </si>
  <si>
    <t>ОБРАЩЕНИЕ №1</t>
  </si>
  <si>
    <t>Экспертиза ФО УЩЕРБ</t>
  </si>
  <si>
    <t>Экспертиза ФО УТС</t>
  </si>
  <si>
    <t>ОБРАЩЕНИЕ №2</t>
  </si>
  <si>
    <t>ОБРАЩЕНИЕ №3</t>
  </si>
  <si>
    <t>ОБРАЩЕНИЕ №4</t>
  </si>
  <si>
    <t>ОБРАЩЕНИЕ №5</t>
  </si>
  <si>
    <t>ОБРАЩЕНИЕ №6</t>
  </si>
  <si>
    <t>Выплата по суду</t>
  </si>
  <si>
    <t>подготовлено экспертное заключение от</t>
  </si>
  <si>
    <t>, согласно которому стоимость восстановительного ремонта Транспортного средства</t>
  </si>
  <si>
    <t>На основании результатов осмотра от</t>
  </si>
  <si>
    <t>Прекращение. Был суд</t>
  </si>
  <si>
    <t>ТОТАЛ</t>
  </si>
  <si>
    <t>ТРАСА</t>
  </si>
  <si>
    <t>РЕМОНТ</t>
  </si>
  <si>
    <t>Об обязании выдать направление на ремонт. Направление выдали в срок</t>
  </si>
  <si>
    <t>ЗДОРОВЬЕ</t>
  </si>
  <si>
    <t>средняя рыночная стоимость Транспортного средства до повреждения по состоянию на дату ДТП составляла</t>
  </si>
  <si>
    <t>стоимость годных остатков поврежденного Транспортного средства составила</t>
  </si>
  <si>
    <t>Подписано соглашение о выплате страхового возмещения. Не расторгнуто. Но после подписания обнаружились скрытые повреждения, о которых на момент осмотра ТС ни Заявитлья, ни ФО не знали.</t>
  </si>
  <si>
    <t>НЕУСТОЙКА</t>
  </si>
  <si>
    <t>, что подтверждается платежным поручением от</t>
  </si>
  <si>
    <t>Неустойка каскадная. Прекращение - более 3х лет с момента нарушенного права (обратился с заявлением в ФО 19.05.2016, к ФУ - 01.10.2019)</t>
  </si>
  <si>
    <t>ОТКАЗ</t>
  </si>
  <si>
    <t>Дней</t>
  </si>
  <si>
    <t>Прекращение - нет решения суда, невозможно определить период начисления неустойки. Неустойка по решению суда</t>
  </si>
  <si>
    <t>Неустойка по решению суда. Нет платежного поручения</t>
  </si>
  <si>
    <t>Соглашение</t>
  </si>
  <si>
    <t>КАЧЕСТВО</t>
  </si>
  <si>
    <t>СОГЛАШЕНИЕ</t>
  </si>
  <si>
    <t>Направление</t>
  </si>
  <si>
    <t>Лично</t>
  </si>
  <si>
    <t>№/Дата</t>
  </si>
  <si>
    <t>Трасология</t>
  </si>
  <si>
    <t>Отказ</t>
  </si>
  <si>
    <t>направило Заявителю письмо №</t>
  </si>
  <si>
    <t>Отказ (Немотивированный)</t>
  </si>
  <si>
    <t>должно осуществить в случае признания случая страховым</t>
  </si>
  <si>
    <t>Application1</t>
  </si>
  <si>
    <t>Application2</t>
  </si>
  <si>
    <t>Application3</t>
  </si>
  <si>
    <t>Application4</t>
  </si>
  <si>
    <t>с претензией</t>
  </si>
  <si>
    <t>о несогласии с размером выплаченного</t>
  </si>
  <si>
    <t>в выплате</t>
  </si>
  <si>
    <t>страхового возмещения</t>
  </si>
  <si>
    <t>, содержащей требование о</t>
  </si>
  <si>
    <t>выплате</t>
  </si>
  <si>
    <t>доплате</t>
  </si>
  <si>
    <t>НТЭ Заявителя</t>
  </si>
  <si>
    <t>В обоснование своих требований Заявитель предоставил экспертное заключение</t>
  </si>
  <si>
    <t>, в соответствии с которым стоимость восстановительного ремонта Транспортного средства</t>
  </si>
  <si>
    <t>Есть Решение ФУ по тому же спору между теми же сторонами</t>
  </si>
  <si>
    <t>Выплатили по НТЭ Заявителя. Просит также стоимость НТЭ, представителя, нотариуса</t>
  </si>
  <si>
    <t>РЕШЕНИЕ ФУ</t>
  </si>
  <si>
    <t>ДОБР ИСП</t>
  </si>
  <si>
    <t>Пришла. Отказ по трасе. Трасса + комплекс</t>
  </si>
  <si>
    <t>Взять шаблон у Наташи Вычугжаниной. Цессия. Есть уведомление о расторжении, подписанное Заявителем, но нет соглашения о расторжении. Направили на ремонт, СТОА отказалась на основании того, что не успевает в срок. Выплатили цессионарию деньгами. Просил 28000 (Ущерб) + 10000 (НТЭ) + 8960 (Неустойка). Выплатили 38200</t>
  </si>
  <si>
    <t>Хочет неустойку. Зеленая карта. Направление на ремонт</t>
  </si>
  <si>
    <t>ННР в СРОК</t>
  </si>
  <si>
    <t>ВОЗВРАТ ПРЕМИИ</t>
  </si>
  <si>
    <t>Продал ТС 25.06.2019, Обратился с заявлением о расторжении договора 27.06.2019. В акте приема-передачи ТС отсутствует дата, в силу чего невозможно установить момент перехода права собственности, который имеет значение для рассмотрения настоящего дела. Также не приложены правила страхования, действующие на момент заключения договора КАСКО.</t>
  </si>
  <si>
    <t>ЦЕССИЯ</t>
  </si>
  <si>
    <t>Продление сроков</t>
  </si>
  <si>
    <t>Запрос документов</t>
  </si>
  <si>
    <t>Неустойка по суду</t>
  </si>
  <si>
    <t>Нет документов от ФО. Прекращение за отсутствием документов. Отказ в выплате</t>
  </si>
  <si>
    <t>Отказ, т.к. просит по 395 ГК РФ</t>
  </si>
  <si>
    <t>Сведений о выплате или ответе нет</t>
  </si>
  <si>
    <t>Сведений об осуществлении выплаты страхового возмещения или направления Заявителю мотивированного отказа на</t>
  </si>
  <si>
    <t>заявление</t>
  </si>
  <si>
    <t>претензию</t>
  </si>
  <si>
    <t>заявление (претензию)</t>
  </si>
  <si>
    <t>Заявителя от</t>
  </si>
  <si>
    <t>не предоставлено</t>
  </si>
  <si>
    <t>с заявлением (претензией)</t>
  </si>
  <si>
    <t>с заявлением</t>
  </si>
  <si>
    <t>с заявлением о смене формы страхового возмещения с натуральной на денежную</t>
  </si>
  <si>
    <t>о несогласии с отказом</t>
  </si>
  <si>
    <t>У-19-32516</t>
  </si>
  <si>
    <t>Валова Марина Валерьевна</t>
  </si>
  <si>
    <t>СОВПАДЕНИЕ</t>
  </si>
  <si>
    <t>Юлькино. Совпадение должника и кредитора в одном лице (передал управление на основании устной доверенности) Совпадения не установлено</t>
  </si>
  <si>
    <t>СУД 2</t>
  </si>
  <si>
    <t>СУД 1</t>
  </si>
  <si>
    <t>УЩЕРБ</t>
  </si>
  <si>
    <t>333 ГК РФ</t>
  </si>
  <si>
    <t>Очное рассмотрение</t>
  </si>
  <si>
    <t>МУЖ</t>
  </si>
  <si>
    <t>ЖЕН</t>
  </si>
  <si>
    <t>109028, г. Москва, наб. Серебряническая, д. 29, эт. 5, к. 97-139; 153-164</t>
  </si>
  <si>
    <t>Елисеева Татьяна Павловна</t>
  </si>
  <si>
    <t>У-19-42282</t>
  </si>
  <si>
    <t>СМЕНА ФОРМЫ</t>
  </si>
  <si>
    <t>Юлькино. Направление на ремонт направили в срок</t>
  </si>
  <si>
    <t>У-19-34548</t>
  </si>
  <si>
    <t>https://smp.sfurf.office/sd/operator/index.jsp;jsessionid=4B56FDB405CD332F2E4AE6AEC0BFEE05#uuid:serviceCall$36551310</t>
  </si>
  <si>
    <t>Лошкарев Владислав Владимирович</t>
  </si>
  <si>
    <t>https://smp.sfurf.office/sd/operator/index.jsp;jsessionid=4B56FDB405CD332F2E4AE6AEC0BFEE05#uuid:serviceCall$45322451</t>
  </si>
  <si>
    <t>У-19-42131</t>
  </si>
  <si>
    <t>У-19-42132</t>
  </si>
  <si>
    <t>У-19-42151</t>
  </si>
  <si>
    <t>Николашина Юлия Анатольевна</t>
  </si>
  <si>
    <t>Схашок Артём Адамович</t>
  </si>
  <si>
    <t>АО «ОСК»</t>
  </si>
  <si>
    <t>Сопов Александр Владимирович</t>
  </si>
  <si>
    <t>https://smp.sfurf.office/sd/operator/index.jsp;jsessionid=4B56FDB405CD332F2E4AE6AEC0BFEE05#uuid:serviceCall$45118387</t>
  </si>
  <si>
    <t>https://smp.sfurf.office/sd/operator/index.jsp;jsessionid=4B56FDB405CD332F2E4AE6AEC0BFEE05#uuid:serviceCall$45118388</t>
  </si>
  <si>
    <t>https://smp.sfurf.office/sd/operator/index.jsp;jsessionid=4B56FDB405CD332F2E4AE6AEC0BFEE05#uuid:serviceCall$45220011</t>
  </si>
  <si>
    <t>У-19-42961</t>
  </si>
  <si>
    <t>У-19-42971</t>
  </si>
  <si>
    <t>У-19-42981</t>
  </si>
  <si>
    <t>У-19-42993</t>
  </si>
  <si>
    <t>У-19-43004</t>
  </si>
  <si>
    <t>Харитоненко Алексей Александрович</t>
  </si>
  <si>
    <t>Артемьев Александр Вячеславович</t>
  </si>
  <si>
    <t>Субботина Елена Георгиевна</t>
  </si>
  <si>
    <t>Токаев Максим Александрович</t>
  </si>
  <si>
    <t>Шмидт Владимир Эрвинович</t>
  </si>
  <si>
    <t>https://smp.sfurf.office/sd/operator/index.jsp;jsessionid=4B56FDB405CD332F2E4AE6AEC0BFEE05#uuid:serviceCall$45897527</t>
  </si>
  <si>
    <t>https://smp.sfurf.office/sd/operator/index.jsp;jsessionid=4B56FDB405CD332F2E4AE6AEC0BFEE05#uuid:serviceCall$45897537</t>
  </si>
  <si>
    <t>https://smp.sfurf.office/sd/operator/index.jsp;jsessionid=4B56FDB405CD332F2E4AE6AEC0BFEE05#uuid:serviceCall$45897547</t>
  </si>
  <si>
    <t>https://smp.sfurf.office/sd/operator/index.jsp;jsessionid=4B56FDB405CD332F2E4AE6AEC0BFEE05#uuid:serviceCall$45897559</t>
  </si>
  <si>
    <t>https://smp.sfurf.office/sd/operator/index.jsp;jsessionid=4B56FDB405CD332F2E4AE6AEC0BFEE05#uuid:serviceCall$45897570</t>
  </si>
  <si>
    <t>443099, Самарская обл., Самара, ул. Молодогвардейская, д. 94</t>
  </si>
  <si>
    <t>Пришла. Комплекс</t>
  </si>
  <si>
    <t>ВИНА</t>
  </si>
  <si>
    <t>Пришла. 4 участника. Вина не установлена. Отказ в акцепте (ФО направила запрос в ФО одного из участников). Возможно взыскивать 3/4 доли</t>
  </si>
  <si>
    <t>об уменьшении неустойки на основании пункта 1 статьи 333 ГК РФ удовлетворению не подлежит, в силу того, что согласно положениям указанной статьи, вопрос о снижении неустойки находится в исключительной компетенции суда.</t>
  </si>
  <si>
    <t>НТЭ ЗАЯВИТЕЛЯ</t>
  </si>
  <si>
    <t>ClaimForApp</t>
  </si>
  <si>
    <t>страхового возмещения по договору КАСКО в размере</t>
  </si>
  <si>
    <t>страхового возмещения по договору КАСКО в части УТС в размере</t>
  </si>
  <si>
    <t>неустойки за несоблюдение срока выплаты страхового возмещения по договору ОСАГО в размере</t>
  </si>
  <si>
    <t>неустойки за несоблюдение срока выплаты страхового возмещения по договору КАСКО в размере</t>
  </si>
  <si>
    <t>неустойки за несоблюдение срока выплаты страхового возмещения по договору ОСАГО в части УТС в размере</t>
  </si>
  <si>
    <t>в ответ на</t>
  </si>
  <si>
    <t>Срок ответа на заявление (претензию) по 123-ФЗ</t>
  </si>
  <si>
    <t>должно рассмотреть заявление (претензию) и направить Заявителю ответ не позднее</t>
  </si>
  <si>
    <t>Ходатайства ФО</t>
  </si>
  <si>
    <t>СУД П1</t>
  </si>
  <si>
    <t>Не согласившись с отказом в выплате страхового возмещения, Заявитель обратился в суд с исковыми требованиями к</t>
  </si>
  <si>
    <t>о взыскании</t>
  </si>
  <si>
    <t>СУД П2 (1я инстанция)</t>
  </si>
  <si>
    <t>по делу</t>
  </si>
  <si>
    <t>вынесено решение</t>
  </si>
  <si>
    <t>об отказе в удовлетворении исковых требований Заявителя.</t>
  </si>
  <si>
    <t>в пользу Заявителя взыскано</t>
  </si>
  <si>
    <t>СУД П3 (2я инстанция)</t>
  </si>
  <si>
    <t>решение от</t>
  </si>
  <si>
    <t>, вынесенное по делу</t>
  </si>
  <si>
    <t>оставлено без изменения</t>
  </si>
  <si>
    <t>изменено в части взыскания</t>
  </si>
  <si>
    <t>неустойки</t>
  </si>
  <si>
    <t>Исполнение решения суда</t>
  </si>
  <si>
    <t>указанное решение суда было исполнено в полном объеме, что подтверждается платежным поручением от</t>
  </si>
  <si>
    <t>Переход к мотивировке</t>
  </si>
  <si>
    <t>Рассмотрев предоставленные Заявителем и</t>
  </si>
  <si>
    <t>документы, Финансовый уполномоченный считает, что</t>
  </si>
  <si>
    <t>(эксперт</t>
  </si>
  <si>
    <t>(эксперт-техник</t>
  </si>
  <si>
    <t>), предметом которой являлось исследование стоимости восстановительного ремонта Транспортного средства Заявителя. На разрешение специалисту поставлены следующие вопросы:</t>
  </si>
  <si>
    <t>Согласно экспертному заключению</t>
  </si>
  <si>
    <t>Мотивировка</t>
  </si>
  <si>
    <t>стоимость восстановительного ремонта Транспортного средства</t>
  </si>
  <si>
    <t>В соответствии с пунктом 1 статьи 12.1 Закона № 40-ФЗ в целях установления обстоятельств причинения вреда транспортному средству, установления повреждений транспортного средства и их причин, технологии, методов и стоимости его восстановительного ремонта проводится независимая техническая экспертиза.
Согласно части 10 статьи 20 Закона № 123-ФЗ финансовый уполномоченный вправе организовывать проведение независимой экспертизы (оценки) по предмету спора для решения вопросов, связанных с рассмотрением обращения.
В пункте 3 статьи 12.1 Закона № 40-ФЗ указано, что независимая техническая экспертиза проводится с использованием «Единой Методики определения размера расходов на восстановительный ремонт в отношении поврежденного транспортного средства», утвержденной Банком России от 19.09.2014 № 432 П (далее – Положение № 432-П). 
Согласно пункту 39 постановления Пленума Верховного Суда Российской Федерации от 26.12.2017 № 58 «О применении судами законодательства об обязательном страховании гражданской ответственности владельцев транспортных средств» по договору ОСАГО размер страхового возмещения, подлежащего выплате потерпевшему в результате повреждения транспортного средства, по страховым случаям, наступившим начиная с 17.10.2014, определяется только в соответствии с Положением № 432-П.
Расходы, необходимые для восстановительного ремонта и оплаты работ, связанных с таким ремонтом, не предусмотренные Положением № 432-П, не включаются в размер страхового возмещения.</t>
  </si>
  <si>
    <t>Резолютивная часть</t>
  </si>
  <si>
    <t>о взыскании с</t>
  </si>
  <si>
    <t>удовлетворить</t>
  </si>
  <si>
    <t>частично</t>
  </si>
  <si>
    <t>Взыскать с</t>
  </si>
  <si>
    <t>в пользу</t>
  </si>
  <si>
    <t>в размере</t>
  </si>
  <si>
    <t>рублей</t>
  </si>
  <si>
    <t>копеек</t>
  </si>
  <si>
    <t>(</t>
  </si>
  <si>
    <t>)</t>
  </si>
  <si>
    <t>Взыскать</t>
  </si>
  <si>
    <t>отказать</t>
  </si>
  <si>
    <t>прекратить рассмотрение Обращения</t>
  </si>
  <si>
    <t>на основании пункта 2 части 1 статьи 27 Закона № 123-ФЗ</t>
  </si>
  <si>
    <t>на основании пункта 1 части 1 статьи 27 Закона № 123-ФЗ</t>
  </si>
  <si>
    <t>Решение вступает в силу по истечении десяти рабочих дней после даты его подписания</t>
  </si>
  <si>
    <t>Решение подлежит исполнению</t>
  </si>
  <si>
    <t>в течение 10 рабочих дней после дня вступления в силу</t>
  </si>
  <si>
    <t>В случае несогласия с решением Финансового уполномоченного в соответствии с частью 1 статьи 26 Закона № 123-ФЗ</t>
  </si>
  <si>
    <t>В соответствии с частью 2 статьи 26 Закона № 123-ФЗ финансовая организация при обращении в суд вправе направить финансовому уполномоченному ходатайство о приостановлении исполнения его решения. При получении ходатайства финансовый уполномоченный выносит решение о приостановлении исполнения решения, которое оспаривается финансовой организацией, до вынесения решения судом</t>
  </si>
  <si>
    <t>вправе в течение десяти рабочих дней после дня вступления в силу решения Финансового уполномоченного обратиться в суд в порядке, установленном законодательством Российской Федерации. В случае обращения финансовой организации в суд копия заявления подлежит направлению финансовому уполномоченному, рассматривавшему дело, и потребителю финансовых услуг, в отношении обращения которого принято решение Финансового уполномоченного, в течение одного дня со дня подачи указанного заявления</t>
  </si>
  <si>
    <t>Переход к резолютивке</t>
  </si>
  <si>
    <t>Руководствуясь статьей 22 Закона № 123-ФЗ, Финансовый уполномоченный</t>
  </si>
  <si>
    <t>Руководствуясь пунктом 1 части 1 статьи 27 Закона № 123-ФЗ, Финансовый уполномоченный</t>
  </si>
  <si>
    <t>Руководствуясь пунктом 2 части 1 статьи 27 Закона № 123-ФЗ, Финансовый уполномоченный</t>
  </si>
  <si>
    <t>Application5</t>
  </si>
  <si>
    <t>Application6</t>
  </si>
  <si>
    <t>Motivation</t>
  </si>
  <si>
    <t>Resulative</t>
  </si>
  <si>
    <t>в удовлетворении требований</t>
  </si>
  <si>
    <t>требования</t>
  </si>
  <si>
    <t>, содержащим требование о</t>
  </si>
  <si>
    <t>требования Заявителя подлежат удовлетворению в связи со следующим</t>
  </si>
  <si>
    <t>требования Заявителя подлежат частичному удовлетворению в связи со следующим</t>
  </si>
  <si>
    <t>требования Заявителя не подлежат удовлетворению в связи со следующим</t>
  </si>
  <si>
    <t>рассмотрение по Обращению Заявителя подлежит прекращению в связи со следующим</t>
  </si>
  <si>
    <t>(паспорт серия</t>
  </si>
  <si>
    <t>заключен договор ОСАГО серия</t>
  </si>
  <si>
    <t>в рамках договора ОСАГО серия</t>
  </si>
  <si>
    <t>(документ, удостоверяющий личность, не предоставлен</t>
  </si>
  <si>
    <t>В случае несогласия с вступившим в силу решением Финансового уполномоченного Заявитель в соответствии с частью 3 статьи 25 Закона № 123-ФЗ вправе в течение тридцати дней после дня вступления в силу указанного решения обратиться в суд и заявить требования к финансовой организации по предмету, содержащемуся в обращении, в порядке, установленном законодательством Российской Федерации. Копия обращения в суд подлежит направлению Финансовому уполномоченному</t>
  </si>
  <si>
    <t>Для решения вопросов, связанных с рассмотрением Обращения, Финансовым уполномоченным назначено проведение независимой транспортно-трасологической экспертизы поврежденного Транспортного средства в</t>
  </si>
  <si>
    <t>), предметом которой являлось исследование следов на транспортном средстве и месте дорожно-транспортного происшествия (транспортно-трасологическая диагностика). Вопросы, подлежащие разрешению экспертом в рамках проводимого им исследования:</t>
  </si>
  <si>
    <t>Согласно выводам экспертного заключения</t>
  </si>
  <si>
    <t>СМЕНА ФОРМЫ (НРР ВЫДАЛИ В СРОК)</t>
  </si>
  <si>
    <t>Пунктом 15.1 статьи 12 Закона № 40-ФЗ установлено, что страховое возмещение вреда, причиненного легковому автомобилю, находящемуся в собственности гражданина и зарегистрированному в Российской Федерации, осуществляется (за исключением случаев, установленных пунктом 16.1 Закона № 40-ФЗ) в соответствии с пунктом 15.2 Закона № 40-ФЗ или в соответствии с пунктом 15.3 Закона № 40-ФЗ путем организации и (или) оплаты восстановительного ремонта поврежденного транспортного средства потерпевшего (возмещение причиненного вреда в натуре).
Страховщик после осмотра поврежденного транспортного средства потерпевшего и (или) проведения его независимой технической экспертизы выдает потерпевшему направление на ремонт на станцию технического обслуживания и осуществляет оплату стоимости проводимого такой станцией восстановительного ремонта поврежденного транспортного средства потерпевшего в размере, определенном в соответствии с единой методикой определения размера расходов на восстановительный ремонт в отношении поврежденного транспортного средства, с учетом положений абзаца второго пункта 19 Закона № 40-ФЗ.
При проведении восстановительного ремонта в соответствии с пунктами 15.2 и 15.3 Закона № 40-ФЗ не допускается использование бывших в употреблении или восстановленных комплектующих изделий (деталей, узлов, агрегатов), если в соответствии с единой методикой определения размера расходов на восстановительный ремонт в отношении поврежденного транспортного средства требуется замена комплектующих изделий (деталей, узлов, агрегатов). Иное может быть определено соглашением страховщика и потерпевшего.
В соответствии с разъяснениями, содержащимися в пункте 53 Постановления Пленума Верховного Суда Российской Федерации от 26.12.2017 № 58 «О применении судами законодательства об обязательном страховании гражданской ответственности владельцев транспортных средств» (далее – Постановление Пленума ВС РФ № 58), обращение к страховщику с заявлением о страховом возмещении в виде организации и оплаты восстановительного ремонта поврежденного транспортного средства на станции технического обслуживания является реализацией права потерпевшего на выбор способа возмещения вреда. До установления факта нарушения его прав станцией технического обслуживания потерпевший не вправе изменить способ возмещения причиненного вреда. 
В пункте 66 Постановления Пленума ВС РФ № 58 указано, что страховое возмещение вреда, причиненного повреждением легкового автомобиля, находящегося в собственности гражданина и зарегистрированного в Российской Федерации, в том числе индивидуального предпринимателя, осуществляется путем выдачи суммы страховой выплаты в случаях, предусмотренных пунктом 16.1 статьи 12 Закона № 40-ФЗ, а также в случаях, когда восстановительный ремонт поврежденного транспортного средства по той или иной причине невозможен.</t>
  </si>
  <si>
    <t>Из предоставленных Заявителем и</t>
  </si>
  <si>
    <t>документов следует, что в выплате страхового возмещения путем организации и оплаты восстановительного ремонта Транспортного средства на СТОА Заявителю</t>
  </si>
  <si>
    <t>отказано не было, обязательство по организации восстановительного ремонта Транспортного средства</t>
  </si>
  <si>
    <t>исполнено путем выдачи Заявителю направления на СТОА.</t>
  </si>
  <si>
    <t>Документов, подтверждающих обращение Заявителя на СТОА, а также отказ СТОА в проведении восстановительного ремонта поврежденного Транспортного средства, Заявителем не предоставлено.</t>
  </si>
  <si>
    <t>Таким образом, поскольку Заявитель не вправе по своему усмотрению изменять форму страхового возмещения, а оснований, предоставляющих Заявителю право на получение страхового возмещения вреда в денежной форме, не установлено, требования Заявителя о выплате страхового возмещения по Договору ОСАГО в денежной форме удовлетворению не подлежат.</t>
  </si>
  <si>
    <t>165.1 ГК РФ</t>
  </si>
  <si>
    <t>В силу части 1 статьи 165.1. ГК РФ заявления, уведомления, извещения, требования или иные юридически значимые сообщения, с которыми закон или сделка связывает гражданско-правовые последствия для другого лица, влекут для этого лица такие последствия с момента доставки соответствующего сообщения ему или его представителю. Сообщение считается доставленным и в тех случаях, если оно поступило лицу, которому оно направлено (адресату), но по обстоятельствам, зависящим от него, не было ему вручено или адресат не ознакомился с ним.
В соответствии с пунктом 63 Постановления Пленума Верховного Суда Российской Федерации от 23.06.2015 № 25 юридически значимое сообщение, адресованное гражданину, должно быть направлено по адресу его регистрации по месту жительства или пребывания, либо по адресу, который гражданин указал сам, либо его представителю.</t>
  </si>
  <si>
    <t>Доводы Заявителя о неполучении им ответа на заявление о выплате страхового возмещения, не принимаются Финансовым уполномоченным, так как опровергаются представленным</t>
  </si>
  <si>
    <t>почтовым отправлением о выдаче направления на ремонт, направленного по адресу, указанному Заявителем в заявлении о выплате страхового возмещения.</t>
  </si>
  <si>
    <t>С учетом сведений официального сайта ФГУП «Почта России» в информационно-телекоммуникационной сети «Интернет» (www.pochta.ru) о том, что почтовое отправление Заявителем не получено и возвращено отправителю, направление считается доставленным Заявителю.</t>
  </si>
  <si>
    <t>Отказ в акцепте</t>
  </si>
  <si>
    <t>НЕАКЦЕПТ</t>
  </si>
  <si>
    <t>- каковы перечень и характер повреждений транспортного средства потерпевшего;
- какие повреждения получило ТС потерпевшего при обстоятельствах, указанных в заявлении о страховом случае, документах, оформленных компетентными органами, и в иных документах, содержащих информацию относительно указанных обстоятельств;
- какие методы и технологии восстановительного ремонта применимы к повреждениям транспортного средства потерпевшего, относящимся к рассматриваемому ДТП;
- каков размер расходов на восстановительный ремонт в отношении повреждений транспортного средства потерпевшего, возникших в результате рассматриваемого ДТП;
- какова стоимость транспортного средства потерпевшего до повреждения на дату ДТП и стоимость годных остатков в случае полной (конструктивной) гибели транспортного средства</t>
  </si>
  <si>
    <t>Пришла. Трасса, Комплексная, Рыночная, годники, Осмотр. Выплатили больше, чем по НТЭ ФУ</t>
  </si>
  <si>
    <t>, год выпуска</t>
  </si>
  <si>
    <t>Заявитель обратилась в</t>
  </si>
  <si>
    <t>Рабочие страницы</t>
  </si>
  <si>
    <t>Рубли прописью</t>
  </si>
  <si>
    <t>Рубли</t>
  </si>
  <si>
    <t>Копейки</t>
  </si>
  <si>
    <t>ForResulative</t>
  </si>
  <si>
    <t>неустойку за несоблюдение срока выплаты страхового возмещения по договору ОСАГО в размере</t>
  </si>
  <si>
    <t>неустойку за несоблюдение срока выплаты страхового возмещения по договору КАСКО в размере</t>
  </si>
  <si>
    <t>неустойку за несоблюдение срока выплаты страхового возмещения по договору ОСАГО в части УТС в размере</t>
  </si>
  <si>
    <t>неустойку за несоблюдение срока выплаты страхового возмещения по договору КАСКО в части УТС в размере</t>
  </si>
  <si>
    <t>финансовую санкцию за несоблюдение срока направления мотивированного отказа в страховом возмещении в размере</t>
  </si>
  <si>
    <t>расходы на проведение независимой технической экспертизы в размере</t>
  </si>
  <si>
    <t>расходы на проведение независимой экспертизы по определению величины УТС в размере</t>
  </si>
  <si>
    <t>расходы на оказание юридических услуг в размере</t>
  </si>
  <si>
    <t>расходы на составление досудебной претензии в размере</t>
  </si>
  <si>
    <t>расходы на оплату услуг аварийного комиссара в размере</t>
  </si>
  <si>
    <t>расходы на нотариальные услуги в размере</t>
  </si>
  <si>
    <t>почтовые расходы в размере</t>
  </si>
  <si>
    <t>расходы по оплате услуг курьера в размере</t>
  </si>
  <si>
    <t>расходы на дефектовку в размере</t>
  </si>
  <si>
    <t>У-19-35778</t>
  </si>
  <si>
    <t>Ульянова Кристина Семеновна</t>
  </si>
  <si>
    <t>https://smp.sfurf.office/sd/operator/index.jsp;jsessionid=4B56FDB405CD332F2E4AE6AEC0BFEE05#uuid:serviceCall$37588862</t>
  </si>
  <si>
    <t>У-19-43791</t>
  </si>
  <si>
    <t>https://smp.sfurf.office/sd/operator/index.jsp;jsessionid=4B56FDB405CD332F2E4AE6AEC0BFEE05#uuid:serviceCall$46838373</t>
  </si>
  <si>
    <t>Горшков Андрей Николаевич</t>
  </si>
  <si>
    <t>Юлькино. Собственник Юр лицо, вред автомобилю и здоровью</t>
  </si>
  <si>
    <t>Пришла. Комплекс + Трасса</t>
  </si>
  <si>
    <t>НТЭ после 01.06.2019</t>
  </si>
  <si>
    <t>Таким образом, законом установлен претензионный порядок, который не требует проведение независимой экспертизы для подтверждения заявленных требований. Соответственно, расходы Заявителя на проведение независимой экспертизы в размере</t>
  </si>
  <si>
    <t>, не являлись необходимыми для подтверждения обоснованности требований Заявителя в рамках соблюдения досудебного порядка и возмещению не подлежат.</t>
  </si>
  <si>
    <t>Для решения вопросов, связанных с рассмотрением Обращения, Финансовым уполномоченным назначено проведение независимой технической экспертизы повреждённого транспортного средства, проводимой в соответствии с требованиями Закона № 40-ФЗ в</t>
  </si>
  <si>
    <t>НТЭ средняя</t>
  </si>
  <si>
    <t>В части требования Заявителя о взыскании расходов на проведение независимой экспертизы, Финансовым уполномоченным установлено следующее.
В соответствии с пунктом 1 статьи 12.1 Закона № 40-ФЗ в целях установления обстоятельств причинения вреда транспортному средству, установления повреждений транспортного средства и их причин, технологии, методов и стоимости его восстановительного ремонта проводится независимая техническая экспертиза.</t>
  </si>
  <si>
    <t>Согласно пункту 1 статьи 16.1 Закона № 40-ФЗ в редакции, действовавшей на дату проведения независимой экспертизы по инициативе Заявителя (</t>
  </si>
  <si>
    <t>), при наличии разногласий между потерпевшим и страховщиком относительно исполнения последним своих обязательств по договору обязательного страхования до предъявления к страховщику иска, вытекающего из неисполнения или ненадлежащего исполнения им обязательств по договору обязательного страхования, несогласия потерпевшего с размером осуществленной страховщиком страховой выплаты, несоблюдения станцией технического обслуживания срока передачи потерпевшему отремонтированного транспортного средства, нарушения иных обязательств по проведению восстановительного ремонта транспортного средства потерпевший направляет страховщику претензию с документами, приложенными к ней и обосновывающими требование потерпевшего.
В соответствии с абзацем 3 пункта 3.12 Правил ОСАГО стоимость независимой технической экспертизы, независимой экспертизы (оценки), на основании которой осуществлено страховое возмещение, включается в состав убытков, подлежащих возмещению страховщиком по договору обязательного страхования. 
Таким образом, понесенные расходы по проведению независимой экспертизы являлись необходимыми для подтверждения обоснованности требований Заявителя в рамках соблюдения досудебного порядка, указанные расходы входят в состав убытков и подлежат возмещению</t>
  </si>
  <si>
    <t>среднерыночная стоимость услуг за оформление экспертного заключения независимой технической экспертизы по ОСАГО составляет</t>
  </si>
  <si>
    <t>Рубли и копейки</t>
  </si>
  <si>
    <t>Регион НТЭ</t>
  </si>
  <si>
    <t>Пермского края</t>
  </si>
  <si>
    <t>Поскольку стоимость восстановительного ремонта превышает стоимость Транспортного средства на дату ДТП, восстановление Транспортного средства экономически нецелесообразно.
В соответствии с пунктом 18 статьи 12 Закона № 40-ФЗ, в случае полной гибели имущества потерпевшего размер подлежащих возмещению страховщиком убытков при причинении вреда имуществу потерпевшего определяется в размере действительной стоимости имущества на день наступления страхового случая за вычетом стоимости годных остатков. Под полной гибелью понимаются случаи, при которых ремонт поврежденного имущества невозможен либо стоимость ремонта поврежденного имущества равна стоимости имущества на дату наступления страхового случая или превышает указанную стоимость.</t>
  </si>
  <si>
    <t>Таким образом, сумма страхового возмещения при полной гибели Транспортного средства составляет</t>
  </si>
  <si>
    <t>, из расчета стоимости Транспортного средства на дату ДТП за вычетом стоимости годных остатков Транспортного средства (</t>
  </si>
  <si>
    <t>Таким образом, требования Заявителя о взыскании расходов на проведение независимой технической экспертизы подлежат удовлетворению Финансовым уполномоченным в размере</t>
  </si>
  <si>
    <t>о проведении очного рассмотрения обращения, уведомляет об отказе в его удовлетворении.</t>
  </si>
  <si>
    <t>заявлено ходатайство о рассмотрении обращения в очном порядке (далее – Ходатайство).
На основании части 5 статьи 20 Закона № 123-ФЗ Финансовый уполномоченный, рассмотрев ходатайство</t>
  </si>
  <si>
    <t>запрошенные сведения и документы предоставлены.</t>
  </si>
  <si>
    <t>УДВ после НТЭ ФУ</t>
  </si>
  <si>
    <t>НТЭ ФУ КОМПЛЕКС</t>
  </si>
  <si>
    <t>НТЭ ФУ ТРАСА</t>
  </si>
  <si>
    <t>произвело выплату страхового возмещения Заявителю в счет восстановительного ремонта в размере</t>
  </si>
  <si>
    <t>РАЗНИЦА 10%</t>
  </si>
  <si>
    <t>, на</t>
  </si>
  <si>
    <t>ШТРАФ 50%</t>
  </si>
  <si>
    <t>МОРАЛЬНЫЙ ВРЕД</t>
  </si>
  <si>
    <t>НЕУСТОЙКА БЕЗ РАССМОТРЕНИЯ</t>
  </si>
  <si>
    <t>процентов.</t>
  </si>
  <si>
    <t>ИСПОЛНЕНИЕ</t>
  </si>
  <si>
    <t>СУММА</t>
  </si>
  <si>
    <t>Прекращение. Нет сведений от ФО. Прекращение, если до 16.00 от ФО нет документов. ФО направило документы 22.10.2019</t>
  </si>
  <si>
    <t>Давлетшина Фания Кашиповна</t>
  </si>
  <si>
    <t>Выплачено ФО добровольно</t>
  </si>
  <si>
    <t>Подлежит взысканию ФУ</t>
  </si>
  <si>
    <t>ИМЕЕТ ПРАВО НА</t>
  </si>
  <si>
    <t>115184, г. Москва, ул. Малая Ордынка, д. 50</t>
  </si>
  <si>
    <t>В.В. Климов</t>
  </si>
  <si>
    <t>С.В. Никитина</t>
  </si>
  <si>
    <t>Е.Л. Писаревский</t>
  </si>
  <si>
    <t>У-19-43304</t>
  </si>
  <si>
    <t>У-19-43825</t>
  </si>
  <si>
    <t>У-19-43844</t>
  </si>
  <si>
    <t>У-19-43845</t>
  </si>
  <si>
    <t>У-19-43852</t>
  </si>
  <si>
    <t>У-19-43857</t>
  </si>
  <si>
    <t>Тетерин Артем Иванович</t>
  </si>
  <si>
    <t>Малиновский Александр Юрьевич</t>
  </si>
  <si>
    <t>Саяпин Александр Евгеньевич</t>
  </si>
  <si>
    <t>ООО СК «Паритет-СК»</t>
  </si>
  <si>
    <t>Глечян Ренард Владимирович</t>
  </si>
  <si>
    <t>Ермолин Александр Николаевич</t>
  </si>
  <si>
    <t>Шутылева Оксана Валерьевна</t>
  </si>
  <si>
    <t>У-19-44588</t>
  </si>
  <si>
    <t>У-19-44813</t>
  </si>
  <si>
    <t>У-19-44845</t>
  </si>
  <si>
    <t>У-19-44853</t>
  </si>
  <si>
    <t>У-19-44887</t>
  </si>
  <si>
    <t>У-19-44891</t>
  </si>
  <si>
    <t>У-19-44895</t>
  </si>
  <si>
    <t>У-19-44902</t>
  </si>
  <si>
    <t>У-19-45273</t>
  </si>
  <si>
    <t>У-19-47112</t>
  </si>
  <si>
    <t>У-19-47129</t>
  </si>
  <si>
    <t>У-19-47166</t>
  </si>
  <si>
    <t>У-19-47206</t>
  </si>
  <si>
    <t>У-19-47209</t>
  </si>
  <si>
    <t>У-19-46325</t>
  </si>
  <si>
    <t>У-19-46327</t>
  </si>
  <si>
    <t>У-19-46330</t>
  </si>
  <si>
    <t>У-19-46333</t>
  </si>
  <si>
    <t>У-19-46339</t>
  </si>
  <si>
    <t>У-19-47502</t>
  </si>
  <si>
    <t>У-19-47513</t>
  </si>
  <si>
    <t>У-19-47518</t>
  </si>
  <si>
    <t>У-19-47521</t>
  </si>
  <si>
    <t>У-19-47531</t>
  </si>
  <si>
    <t>У-19-48948</t>
  </si>
  <si>
    <t>У-19-48957</t>
  </si>
  <si>
    <t>У-19-49082</t>
  </si>
  <si>
    <t>https://smp.sfurf.office/sd/operator/#uuid:serviceCall$46227164</t>
  </si>
  <si>
    <t>https://smp.sfurf.office/sd/operator/#uuid:serviceCall$46944908</t>
  </si>
  <si>
    <t>https://smp.sfurf.office/sd/operator/#uuid:serviceCall$46944927</t>
  </si>
  <si>
    <t>https://smp.sfurf.office/sd/operator/#uuid:serviceCall$46944928</t>
  </si>
  <si>
    <t>https://smp.sfurf.office/sd/operator/#uuid:serviceCall$46944935</t>
  </si>
  <si>
    <t>https://smp.sfurf.office/sd/operator/#uuid:serviceCall$46944943</t>
  </si>
  <si>
    <t>ЖИЗНЬ</t>
  </si>
  <si>
    <t>ДОБРОВОЛЬНОЕ ИСПОЛНЕНИЕ</t>
  </si>
  <si>
    <t>Согласно части 2 статьи 22 Закона № 123-ФЗ по результатам рассмотрения обращения финансовый уполномоченный принимает решение о его полном или частичном удовлетворении, или об отказе в его удовлетворении.</t>
  </si>
  <si>
    <t>В ответ на Запрос</t>
  </si>
  <si>
    <t>предоставлены платежные поручения</t>
  </si>
  <si>
    <t xml:space="preserve"> №_______ от ________ и №_______ от _______, подтверждающие выплату страхового возмещения в пользу Заявителя в совокупном размере</t>
  </si>
  <si>
    <t>+</t>
  </si>
  <si>
    <t>Таким образом,</t>
  </si>
  <si>
    <t>, осуществив страховую выплату в размере</t>
  </si>
  <si>
    <t>обязательства.</t>
  </si>
  <si>
    <t>ЮРИДИЧЕСКИЕ УСЛУГИ</t>
  </si>
  <si>
    <t>ПОЧТОВЫЕ РАСХОДЫ</t>
  </si>
  <si>
    <t>Требования Заявителя о возмещении расходов по оплате почтовых услуг в общей сумме</t>
  </si>
  <si>
    <t>удовлетворению не подлежат, поскольку обязанность по возмещению страховщиком расходов на оплату услуг связи не предусмотрена Законом № 40-ФЗ.</t>
  </si>
  <si>
    <t>Требование Заявителя о возмещении расходов на оказание юридических услуг удовлетворению не подлежит по следующим основаниям.
С 01.06.2019 обязательный претензионный порядок урегулирования разногласий между потребителем и страховой организацией, установленный статьей 16.1 Закона № 40-ФЗ, предусматривает, что потерпевший должен направить страховщику письменное заявление в порядке, установленном Законом № 123-ФЗ.
Статьей 16 Закона № 123-ФЗ установлено, что до направления финансовому уполномоченному обращения потребитель финансовых услуг должен направить в финансовую организацию заявление в письменной или электронной форме. 
При составлении заявления потребитель может использовать стандартную форму заявления в финансовую организацию, утвержденную решением Совета Службы финансового уполномоченного от 12.04.2019 (протокол № 4) в соответствии с частью 2 статьи 16 Закона № 123-ФЗ и размещенную на официальном сайте финансового уполномоченного в информационно-телекоммуникационной сети «Интернет» (www.finombudsman.ru).
Таким образом, законом установлен простой претензионный порядок, не требующий от потребителя специальных познаний в юридической сфере. Соответственно, расходы Заявителя по оплате юридических услуг, связанных с составлением заявления в финансовую организацию, не являются необходимыми и возмещению не подлежат.</t>
  </si>
  <si>
    <t>, исполнило свое обязательство по Договору ОСАГО в надлежащем размере, в связи с чем, требования Заявителя о взыскании страхового возмещения по договору ОСАГО удовлетворению не подлежат в связи с добровольным исполнением</t>
  </si>
  <si>
    <t>ФО Выплатила возмещение по НТЭ Заявителя и экспертизу в полном объеме</t>
  </si>
  <si>
    <t>Учитывая, что Соглашение, подписанное Заявителем, исполнено</t>
  </si>
  <si>
    <t>в полном объеме, требование Заявителя о взыскании страхового возмещения удовлетворению не подлежит.</t>
  </si>
  <si>
    <t>649002, Республика Алтай, г. Горно-Алтайск, пр-кт Коммунистический, д. 9, оф. 1</t>
  </si>
  <si>
    <t>Подписано соглашение о признании случая не страховым, в связи с тем, что повреждения не соответствуют ДТП</t>
  </si>
  <si>
    <t>117152, г. Москва, ш. Загородное, д. 6, к. 5</t>
  </si>
  <si>
    <t>Нет документов от ФО</t>
  </si>
  <si>
    <t>НЕТ ДОКУМЕНТОВ</t>
  </si>
  <si>
    <t>ВИНА 50%</t>
  </si>
  <si>
    <t>Учитывая вышеизложенное, требование Заявителя о взыскании страхового возмещения удовлетворению не подлежит.</t>
  </si>
  <si>
    <t>ПРЕКРАЩЕНИЕ НЕТ ДОКУМЕНТОВ</t>
  </si>
  <si>
    <t xml:space="preserve">Сашкино Вдовенко. Вина не установлена. По НТЭ ФО больше, чем по НТЭ Заявителя. Две НТЭ по инициативе ФО. Не установлена вина 50%, разница 10%, отложенная финансовая санкция, отложенная неустойка, каскадная неустойка, направление заявления (претензии) по электронной форме, </t>
  </si>
  <si>
    <t>Направление НТЭ ФУ</t>
  </si>
  <si>
    <t>Направляю в Ваш адрес экспертное заключение</t>
  </si>
  <si>
    <t>1 файл</t>
  </si>
  <si>
    <t>2 файла</t>
  </si>
  <si>
    <t>экспертное заключение</t>
  </si>
  <si>
    <t>Киракосян Лусик Пашиковна</t>
  </si>
  <si>
    <t>https://smp.sfurf.office/sd/operator/#uuid:serviceCall$47872702</t>
  </si>
  <si>
    <t>NTE_FU_1</t>
  </si>
  <si>
    <t>NTE_FU_2</t>
  </si>
  <si>
    <t>Тувик Александр Маркович</t>
  </si>
  <si>
    <t>https://smp.sfurf.office/sd/operator/#uuid:serviceCall$48067363</t>
  </si>
  <si>
    <t>Гаврилин Геннадий Николаевич</t>
  </si>
  <si>
    <t>https://smp.sfurf.office/sd/operator/index.jsp;jsessionid=4B56FDB405CD332F2E4AE6AEC0BFEE05#uuid:serviceCall$48158218</t>
  </si>
  <si>
    <t>Асатрян Анаит Грачиковна</t>
  </si>
  <si>
    <t>https://smp.sfurf.office/sd/operator/index.jsp;jsessionid=4B56FDB405CD332F2E4AE6AEC0BFEE05#uuid:serviceCall$48158229</t>
  </si>
  <si>
    <t>Предоставленные</t>
  </si>
  <si>
    <t>также не позволяют сделать однозначный вывод о степени виновности участников в данном ДТП.</t>
  </si>
  <si>
    <t>Учитывая вышеизложенное, размер страхового возмещения, причитающийся к выплате Заявителю составляет</t>
  </si>
  <si>
    <t>, выплатив Заявителю страховое возмещение в размере</t>
  </si>
  <si>
    <t>, исполнило свои обязательства по Договору ОСАГО в надлежащем размере.</t>
  </si>
  <si>
    <t>Поскольку</t>
  </si>
  <si>
    <t>произвело Заявителю выплату страхового возмещения в размере, определенном абзацем четвертым пункта 22 статьи 12 Закона № 40-ФЗ в срок, установленный пунктом 21 статьи 12 Закона № 40-ФЗ, а определение степени вины участников ДТП находится в компетенции суда, оснований для взыскания с</t>
  </si>
  <si>
    <t>доплаты страхового возмещения в указанном Заявителем размере не имеется.</t>
  </si>
  <si>
    <t>Вина 50%</t>
  </si>
  <si>
    <t>, ненадлежащим образом исполнило свои обязательства по Договору ОСАГО в части выплаты страхового возмещения в полном объеме.</t>
  </si>
  <si>
    <t>Учитывая вышеизложенное, требование Заявителя о взыскании страхового возмещения</t>
  </si>
  <si>
    <t xml:space="preserve"> подлежит частичному удовлетворению в размере</t>
  </si>
  <si>
    <t>13 400 рублей 00 копеек (29 200 рублей 00 копеек – 15 800 рублей 00 копеек).</t>
  </si>
  <si>
    <t xml:space="preserve"> подлежит удовлетворению в размере</t>
  </si>
  <si>
    <t>Разница</t>
  </si>
  <si>
    <t>https://smp.sfurf.office/sd/operator/index.jsp;jsessionid=4B56FDB405CD332F2E4AE6AEC0BFEE05#uuid:serviceCall$34005752</t>
  </si>
  <si>
    <t>Сашкино. Пришла. Комплексная</t>
  </si>
  <si>
    <t>Сашкино. НТЭ есть. комплексная</t>
  </si>
  <si>
    <t>Сашкино. После НТЭ ФУ. Экспертиза не пришла, продлили срок</t>
  </si>
  <si>
    <t>Шварёв Александр Николаевич</t>
  </si>
  <si>
    <t>Страхование имущества</t>
  </si>
  <si>
    <t>Тигиев Алан Зелимханович</t>
  </si>
  <si>
    <t>Ионин Алексей Владимирович</t>
  </si>
  <si>
    <t>Цапков Игорь Александрович</t>
  </si>
  <si>
    <t>Бойко Владимир Сергеевич</t>
  </si>
  <si>
    <t>Вершинин Владимир Александрович</t>
  </si>
  <si>
    <t>Воробьева Елена Петровна</t>
  </si>
  <si>
    <t>ООО «Страховое общество «Сургутнефтегаз»</t>
  </si>
  <si>
    <t>Шубникова Татьяна Михайловна</t>
  </si>
  <si>
    <t>Найбауэр Альберт Евгеньевич</t>
  </si>
  <si>
    <t>Календжян Артур Варткезович</t>
  </si>
  <si>
    <t>Изместьев Андрей Кириллович</t>
  </si>
  <si>
    <t>Быков Юрий Алексеевич</t>
  </si>
  <si>
    <t>Мубинов Гавиз Харисович</t>
  </si>
  <si>
    <t>Бухаров Андрей Геннадьевич</t>
  </si>
  <si>
    <t>Гасанов Расул Гасанович</t>
  </si>
  <si>
    <t>Букреев Денис Андреевич</t>
  </si>
  <si>
    <t>Потапов Олег Николаевич</t>
  </si>
  <si>
    <t>Трутнева Лидия Владимировна</t>
  </si>
  <si>
    <t>Ибрагимов Тимур Мустафаевич</t>
  </si>
  <si>
    <t>Морозов Андрей Викторович</t>
  </si>
  <si>
    <t>https://smp.sfurf.office/sd/operator/#uuid:serviceCall$48158270</t>
  </si>
  <si>
    <t>https://smp.sfurf.office/sd/operator/#uuid:serviceCall$48158274</t>
  </si>
  <si>
    <t>https://smp.sfurf.office/sd/operator/#uuid:serviceCall$48158278</t>
  </si>
  <si>
    <t>https://smp.sfurf.office/sd/operator/#uuid:serviceCall$48158285</t>
  </si>
  <si>
    <t>https://smp.sfurf.office/sd/operator/#uuid:serviceCall$48634810</t>
  </si>
  <si>
    <t>https://smp.sfurf.office/sd/operator/#uuid:serviceCall$50793155</t>
  </si>
  <si>
    <t>https://smp.sfurf.office/sd/operator/#uuid:serviceCall$50793172</t>
  </si>
  <si>
    <t>Васильев Юрий Александрович</t>
  </si>
  <si>
    <t>https://smp.sfurf.office/sd/operator/#uuid:serviceCall$50929009</t>
  </si>
  <si>
    <t>https://smp.sfurf.office/sd/operator/#uuid:serviceCall$51086616</t>
  </si>
  <si>
    <t>https://smp.sfurf.office/sd/operator/#uuid:serviceCall$51086621</t>
  </si>
  <si>
    <t>https://smp.sfurf.office/sd/operator/#uuid:serviceCall$49960798</t>
  </si>
  <si>
    <t>https://smp.sfurf.office/sd/operator/#uuid:serviceCall$49960800</t>
  </si>
  <si>
    <t>https://smp.sfurf.office/sd/operator/#uuid:serviceCall$50160803</t>
  </si>
  <si>
    <t>https://smp.sfurf.office/sd/operator/#uuid:serviceCall$50160806</t>
  </si>
  <si>
    <t>https://smp.sfurf.office/sd/operator/#uuid:serviceCall$50160812</t>
  </si>
  <si>
    <t>https://smp.sfurf.office/sd/operator/#uuid:serviceCall$51384556</t>
  </si>
  <si>
    <t>https://smp.sfurf.office/sd/operator/#uuid:serviceCall$51384567</t>
  </si>
  <si>
    <t>https://smp.sfurf.office/sd/operator/#uuid:serviceCall$51384572</t>
  </si>
  <si>
    <t>https://smp.sfurf.office/sd/operator/#uuid:serviceCall$51384575</t>
  </si>
  <si>
    <t>https://smp.sfurf.office/sd/operator/#uuid:serviceCall$51384585</t>
  </si>
  <si>
    <t>https://smp.sfurf.office/sd/operator/#uuid:serviceCall$53561856</t>
  </si>
  <si>
    <t>https://smp.sfurf.office/sd/operator/#uuid:serviceCall$53561865</t>
  </si>
  <si>
    <t>https://smp.sfurf.office/sd/operator/#uuid:serviceCall$53713690</t>
  </si>
  <si>
    <t>Пришла. НТЭ ФУ. Тотал по НТЭ ФО</t>
  </si>
  <si>
    <t>Пришла. Провели НТЭ ФУ по повреждениям от другого ДТП (30.06.2019), т.к. ФО предоставила материалы дела по факту ДТП от 30.06.2019. Направил запрос в ФО о предоставлении материалов дела по ДТП от 05.06.2019</t>
  </si>
  <si>
    <t>Пришла. Трасса, Комплексная</t>
  </si>
  <si>
    <t>Добровольное исполнение, взыскание неустойки</t>
  </si>
  <si>
    <t>Год ТС</t>
  </si>
  <si>
    <t>Согласно пункту 3.5 Положения № 432-П расхождение в результатах расчетов размера расходов на восстановительный ремонт, выполненных различными специалистами, следует признавать находящимся в пределах статистической достоверности за счет использования различных технологических решений и погрешностей расчета, если оно не превышает 10 процентов.
Стоимость восстановительного ремонта Транспортного средства, принадлежащего Заявителю, согласно экспертному заключению, составленному по инициативе Финансового уполномоченного, превышает стоимость страхового возмещения, согласно экспертному заключению, составленному по инициативе</t>
  </si>
  <si>
    <t>Рассмотрев требования Заявителя о взыскании с</t>
  </si>
  <si>
    <t>неустойки за несоблюдение срока выплаты страхового возмещения по договору ОСАГО, Финансовый уполномоченный приходит к следующему.</t>
  </si>
  <si>
    <t>В соответствии со статьей 193 ГК РФ если последний день срока приходится на нерабочий день, днем окончания срока считается ближайший следующий за ним рабочий день.</t>
  </si>
  <si>
    <t>, а неустойка подлежит начислению с</t>
  </si>
  <si>
    <t>осуществило выплату страхового возмещения в размере</t>
  </si>
  <si>
    <t>дней).</t>
  </si>
  <si>
    <t>В соответствии с требованиями, установленными пунктом 21 статьи 12 Закона № 40-ФЗ, размер неустойки, подлежащий выплате за период с</t>
  </si>
  <si>
    <t>составляет</t>
  </si>
  <si>
    <t>НЕУСТОЙКА ОТЛОЖЕННАЯ</t>
  </si>
  <si>
    <t>Пришла. Комплекс, рыночная, годники</t>
  </si>
  <si>
    <t>Пришла. Траса, Комплексная, рыночная, годники</t>
  </si>
  <si>
    <t>Ломакин Сергей Сергеевич</t>
  </si>
  <si>
    <t>Хазиков Умид Акрам Угли</t>
  </si>
  <si>
    <t>Расходы на телеграмму</t>
  </si>
  <si>
    <t>расходов на отправку телеграмм в размере</t>
  </si>
  <si>
    <t>расходов на отправку телеграмм</t>
  </si>
  <si>
    <t>расходы на отправку телеграмм</t>
  </si>
  <si>
    <t>Прекращение Fiat Ducato, коммерческий транспорт</t>
  </si>
  <si>
    <t>КОММЕРЧ</t>
  </si>
  <si>
    <t>Пришла. Комплексная, Рыночная, годники. НТЭ не направлять</t>
  </si>
  <si>
    <t>ОПИСАНИЕ</t>
  </si>
  <si>
    <t>НАЗВАНИЕ</t>
  </si>
  <si>
    <t>НОТАРИУС</t>
  </si>
  <si>
    <t>Требования Заявителя в части взыскания денежной суммы в размере</t>
  </si>
  <si>
    <t>в счет понесенных расходов за оформление нотариальной доверенности на представителя, а также расходов за изготовление нотариально заверенных копий документов Финансовый уполномоченный считает неподлежащими удовлетворению по следующим причинам.</t>
  </si>
  <si>
    <t>Расходы Заявителя по оформлению нотариально удостоверенной доверенности на представителя и расходов по нотариальному удостоверению копий документов не подлежат возмещению в связи с тем, что указанные расходы не включаются в состав страхового возмещения по договору ОСАГО, а также не могут быть признаны необходимыми расходами Заявителя, направленными на защиту его права и подлежащими возмещению</t>
  </si>
  <si>
    <t>, поскольку Закон № 40-ФЗ и Правила ОСАГО не обязывают Заявителя для обращения к страховщику прибегать к помощи нотариуса или изготавливать нотариальные копии документов.</t>
  </si>
  <si>
    <t>АВАРКОМ</t>
  </si>
  <si>
    <t>Из материалов дела следует, что в результате ДТП Заявителем были понесены расходы на оплату услуг аварийного комиссара в размере</t>
  </si>
  <si>
    <t>Согласно пункту 1 статьи 12 Закона № 40-ФЗ потерпевший вправе предъявить страховщику требование о возмещении вреда, причиненного его жизни, здоровью или имуществу при использовании транспортного средства, в пределах страховой суммы, установленной Законом № 40-ФЗ, путем предъявления страховщику заявления о страховой выплате или прямом возмещении убытков и документов, предусмотренных правилами обязательного страхования.
Пунктом 3.1 Правил ОСАГО предусмотрено, что при наступлении страхового случая (ДТП) водители - участники этого происшествия должны принять меры и исполнить обязанности, предусмотренные Правилами дорожного движения, а также принять необходимые в сложившихся обстоятельствах меры с целью уменьшения возможных убытков от происшествия, записать фамилии и адреса очевидцев и указать их в извещении о ДТП, принять меры по оформлению документов о происшествии в соответствии с Правилами ОСАГО.
Согласно пункту 3.4 Правил ОСАГО оформление документов о ДТП может осуществляться в присутствии страховщика (представителя страховщика) для определения обстоятельств ДТП и причиненного ущерба (повреждений) по сообщению страхователя или потерпевшего. Для этого водитель - участник ДТП сообщает страховщику, застраховавшему его гражданскую ответственность, или его представителю любым доступным способом о месте и времени ДТП, а также об обстоятельствах, его повлекших, для принятия страховщиком решения о необходимости выезда на место ДТП.
В соответствии с пунктом 3.5 Правил ОСАГО водители транспортных средств, причастные к ДТП, обязаны заполнить бланки извещений о ДТП, выданные страховщиками, независимо от оформления документов прибывшими на место ДТП сотрудниками полиции.
При отсутствии разногласий в обстоятельствах причинения вреда и ДТП, характере и перечне видимых повреждений транспортных средств осуществляется совместное заполнение двумя водителями одного бланка.
Таким образом, Закон № 40-ФЗ и Правила ОСАГО не содержат требований, обязывающих участников ДТП привлекать аварийных комиссаров для оформления документов о ДТП.
В следствие чего требования Заявителя о компенсации расходов на оплату услуг аварийного комиссара удовлетворению не подлежат.</t>
  </si>
  <si>
    <t>Аварком</t>
  </si>
  <si>
    <t>Эвакуатор</t>
  </si>
  <si>
    <t>Нотариус</t>
  </si>
  <si>
    <t>Почта</t>
  </si>
  <si>
    <t>Курьер</t>
  </si>
  <si>
    <t>Неустойка 1%</t>
  </si>
  <si>
    <t>Последний день</t>
  </si>
  <si>
    <t>Начисление с</t>
  </si>
  <si>
    <t>Начисление по</t>
  </si>
  <si>
    <t>Количество дней</t>
  </si>
  <si>
    <t>Поскольку Заявитель предоставил необходимые для осуществления страхового возмещения документы в</t>
  </si>
  <si>
    <t>Таким образом, неустойка на сумму в размере</t>
  </si>
  <si>
    <t>НЕУСТОЙКА 1% (+ КАСКАДНАЯ)</t>
  </si>
  <si>
    <t>Таким образом, общий размер неустойки, подлежащей выплате, составляет</t>
  </si>
  <si>
    <t>, выплата страхового возмещения подлежала осуществлению не позднее</t>
  </si>
  <si>
    <t>подлежит расчету за период с</t>
  </si>
  <si>
    <t>дней × 1%)</t>
  </si>
  <si>
    <t>Учитывая вышеизложенное, требование Заявителя о взыскании неустойки в связи с нарушением срока выплаты страхового возмещения подлежит удовлетворению в размере</t>
  </si>
  <si>
    <t>Путь к шаблону</t>
  </si>
  <si>
    <t>Неустойка, Фин санкция</t>
  </si>
  <si>
    <t>Неустойка, аварком, юридические, нотариус</t>
  </si>
  <si>
    <t>Белгородской области</t>
  </si>
  <si>
    <t>ОСМОТР ПО МЕСТУ НАХОЖДЕНИЯ ТС (ПРИ УКАЗАНИИ ЗАЯВИТЕЛЕМ В ЗАЯВЛЕНИИ О НЕВОЗМОЖНОСТИ ЕГО ПРЕДОСТАВЛЕНИЯ ДЛЯ ОСМОТРА ПО МЕСТУ НАХОЖДЕНИЮ СТРАХОВЩИКА)</t>
  </si>
  <si>
    <t>В соответствии с абзацем 3 пункта 10 статьи 12 Закона № 40-ФЗ в случае, если характер повреждений или особенности поврежденного транспортного средства, иного имущества исключают его представление для осмотра и независимой технической экспертизы, независимой экспертизы (оценки) по месту нахождения страховщика и (или) эксперта (например, повреждения транспортного средства, исключающие его участие в дорожном движении), об этом указывается в заявлении и указанные осмотр и независимая техническая экспертиза, независимая экспертиза (оценка) проводятся по месту нахождения поврежденного имущества в срок не более чем пять рабочих дней со дня подачи заявления о страховом возмещении и прилагаемых к нему в соответствии с правилами обязательного страхования документов.
В заявлении от 21.01.2019 Заявителем указано, что характер повреждений Транспортного средства исключает его представление для осмотра по месту нахождения страховщика, указав при этом место нахождения Транспортного средства.
Вместе с тем, АО «АльфаСтрахование» не было организовано проведение осмотра по месту нахождения Транспортного средства.
Учитывая вышеизложенное, Финансовый уполномоченный приходит к выводу о неисполнении АО «АльфаСтрахование» обязанности по организации осмотра Транспортного средства надлежащим образом.</t>
  </si>
  <si>
    <t>Таким образом, Финансовый уполномоченный приходит к выводу о наступлении страхового случая в результате ДТП от</t>
  </si>
  <si>
    <t>УДОВЛЕТВОРЕНИЕ</t>
  </si>
  <si>
    <t xml:space="preserve">Учитывая вышеизложенное, требование Заявителя о взыскании страхового возмещения удовлетворению не подлежит. </t>
  </si>
  <si>
    <t>Республики Адыгея</t>
  </si>
  <si>
    <t>628418, Ханты-Мансийский автономный округ - Югра, г. Сургут, ул. Лермонтова, д. 9/1</t>
  </si>
  <si>
    <t>НЕУСТОЙКА НА РЕМОНТ</t>
  </si>
  <si>
    <t>НЕУСТОЙКА СРОК ПРОВЕДЕНИЯ РЕМОНТА</t>
  </si>
  <si>
    <t>ПРЕКРАЩЕНИЕ (КОММЕРЧЕСКИЙ ТРАНСПОРТ)</t>
  </si>
  <si>
    <t>Согласно выписке из Единого государственного реестра индивидуальных предпринимателей, Заявитель зарегистрирован в качестве индивидуального предпринимателя (ОГРНИП</t>
  </si>
  <si>
    <t>), основным видом деятельности которого является</t>
  </si>
  <si>
    <t>Как следует из материалов Обращения, Транспортное средство, которому причинен вред в результате ДТП, является</t>
  </si>
  <si>
    <t>и имеет следующие характеристики (согласно свидетельству о регистрации ТС):</t>
  </si>
  <si>
    <t>, разрешенная максимальная масса</t>
  </si>
  <si>
    <t>Разреш масса</t>
  </si>
  <si>
    <t>ОГРНИП</t>
  </si>
  <si>
    <t>ОВД</t>
  </si>
  <si>
    <t>Тип ТС</t>
  </si>
  <si>
    <t>Аркадий. Пришла. Комплексная. По НТЭ ФУ меньше, чем по НТЭ ФО</t>
  </si>
  <si>
    <t>Татьяна. Пришла. Комплекс, рыночная, годники. По НТЭ ФУ меньше, чем по НТЭ ФО, но второй платеж с нарушением срока. НТЭ ФО как производная</t>
  </si>
  <si>
    <t>Аркадий. Неустойка после суда. Каскадная, 3 выплаты</t>
  </si>
  <si>
    <t>Заявителем не представлено доказательств использования Транспортного средства в целях, не связанных с осуществлением предпринимательской деятельности. Характеристики транспортного средства как грузового, позволяют Финансовому уполномоченному прийти к выводу о том, что в момент причинения вреда оно использовалось именно в предпринимательских целях.
Указанные обстоятельства не позволяют признать Заявителя потребителем финансовых услуг по смыслу Закона № 123-ФЗ.
Правовая позиция о необходимости оценки имущества с точки зрения целей его использования отражена в Обзоре практики рассмотрения судами дел, связанных с обязательным страхованием гражданской ответственности владельцев транспортных средств (утв. Президиумом Верховного Суда РФ 22.06.2016), в Определении Судебной коллегии по гражданским делам Верховного Суда Российской Федерации от 17 мая 2016 по делу № 41-КГ16-16.
Таким образом, основания для рассмотрения Обращения в порядке, предусмотренном Законом № 123-ФЗ, отсутствуют.
Согласно пункту 1 части 1 статьи 27 Закона № 123-ФЗ Финансовый уполномоченный прекращает рассмотрение обращения в случае выявления в процессе рассмотрения обращения обстоятельств, указанных в части 1 статьи 19 Закона № 123-ФЗ.
Учитывая изложенное, рассмотрение Обращения подлежит прекращению Финансовым уполномоченным.</t>
  </si>
  <si>
    <t>Неустойка на страховую премию. Документы ФО по другому событию?</t>
  </si>
  <si>
    <t>Аркадий. ФО добровольно оплатила по НТЭ Заявителя. В удовлетворении расходов отказала.</t>
  </si>
  <si>
    <t>Татьяна. Написано, нужно поправить. Пришло. Трасса + комплекс</t>
  </si>
  <si>
    <t>Татьяна. Написано, нужно поправить. Поправили. Пришло. Отказ по трасе. Трасса + комплекс</t>
  </si>
  <si>
    <t>Татьяна. Отписано, поправлено. Неустойка после суда</t>
  </si>
  <si>
    <t>Пришло. Комплекс</t>
  </si>
  <si>
    <t>Татьяна. Пришла. НТЭ ФУ еще нет. Комплексная</t>
  </si>
  <si>
    <t>Татьяна. Пришла. Выдали направление на ремонт, в качестве доказательства направления есть только почтовый идентификатор. Хочет страховое возмещение и неустойку</t>
  </si>
  <si>
    <t>АО «Страховая Компания «ПОЛИС-ГАРАНТ»</t>
  </si>
  <si>
    <t>119334, г. Москва, ул. Вавилова, д. 24, корп. 1, пом. XI</t>
  </si>
  <si>
    <t>Пришла, но появилась задача о приостановке сроков. Уточнить. Комплексная. Выплатили 47600, хочет еще 352400</t>
  </si>
  <si>
    <t>Не смогли провести НТЭ. Комплексная. Направление на ремонт выдали в срок. 165.1. Нужно определить стоимость ремонта, если больше 400000, то взыскать, если меньше, то отказать</t>
  </si>
  <si>
    <t>Пришла. Комплексная, направили на повторную , т.к. конфликт интересов</t>
  </si>
  <si>
    <t>Пришла. Комплекс. 50%</t>
  </si>
  <si>
    <t>Пришла. Тотал, Комплексная</t>
  </si>
  <si>
    <t>НТЭ ФУ УТС</t>
  </si>
  <si>
    <t>Для решения вопросов, связанных с рассмотрением Обращения, Финансовым уполномоченным принято решение об организации независимой технической экспертизы в</t>
  </si>
  <si>
    <t>На разрешение эксперта поставлены следующие вопросы:</t>
  </si>
  <si>
    <t>На основании вышеизложенного, требования Заявителя о взыскании величины УТС Транспортного средства подлежат частичному удовлетворению в размере</t>
  </si>
  <si>
    <t>величина УТС Транспортного средства Заявителя составила</t>
  </si>
  <si>
    <t>На основании вышеизложенного, требования Заявителя о взыскании величины УТС Транспортного средства удовлетворению не подлежат.</t>
  </si>
  <si>
    <t>В соответствии с пунктом 37 Постановления Пленума Верховного Суда № 58 к реальному ущербу, возникшему в результате дорожно-транспортного происшествия, наряду со стоимостью ремонта и запасных частей относится также утрата товарной стоимости, которая представляет собой уменьшение стоимости транспортного средства, вызванное преждевременным ухудшением товарного (внешнего) вида транспортного средства и его эксплуатационных качеств в результате снижения прочности и долговечности отдельных деталей, узлов и агрегатов, соединений и защитных покрытий вследствие дорожно-транспортного происшествия и последующего ремонта.
При определении величины УТС необходимо руководствоваться «Методическими рекомендациями по проведению судебных автотехнических экспертиз и исследований колесных транспортных средств (далее – КТС) в целях определения размера ущерба, стоимости восстановительного ремонта и оценки» (ФБУ РФРЦСЭ при Минюсте России, 2018) (далее – Методические рекомендации). Данная методика используется экспертами судебных лабораторий при назначении экспертизы в рамках судебного разбирательства, если в поставленном перед экспертом вопросе нет указания на применение другой методологии расчета.
Согласно части 10 статьи 20 Закона № 123-ФЗ Финансовый уполномоченный вправе организовывать проведение независимой экспертизы (оценки) по предмету спора для решения вопросов, связанных с рассмотрением обращения.</t>
  </si>
  <si>
    <t>Сашкино. Вред здоровью. Медицинская экспертиза. При выплате не учли 250 рублей в счет вреда здоровью, неверно расчитали утраченный заработок</t>
  </si>
  <si>
    <t>Сашкино. ТОТАЛ. Экспертиза ущерб, рыночная, годники</t>
  </si>
  <si>
    <t>Сашкино. Качество ремонта. НТЭ ФУ пришла. НЭО просил продлоить сроки. Запросил статус экспертизы. Возможно приостановление</t>
  </si>
  <si>
    <t>Сашкино. Комплексная. По НТЭ ФУ отказ по трасе.</t>
  </si>
  <si>
    <t>Сашкино. Трасса + комплекс + стоимость ветрового стекла</t>
  </si>
  <si>
    <t>Сашкино. Комплексная. По НТЭ ТОТАЛ</t>
  </si>
  <si>
    <t>Татьяна. Пришла. Траса, Комплекс</t>
  </si>
  <si>
    <t>Татьяна. Пришла. Комплекс</t>
  </si>
  <si>
    <t>У-19-48715</t>
  </si>
  <si>
    <t>У-19-48863</t>
  </si>
  <si>
    <t>У-19-48833</t>
  </si>
  <si>
    <t>У-19-48874</t>
  </si>
  <si>
    <t>Мазуров Алексей Николаевич</t>
  </si>
  <si>
    <t>https://smp.sfurf.office/sd/operator/#uuid:serviceCall$53414671</t>
  </si>
  <si>
    <t>https://smp.sfurf.office/sd/operator/#uuid:serviceCall$53414641</t>
  </si>
  <si>
    <t>https://smp.sfurf.office/sd/operator/#uuid:serviceCall$53414682</t>
  </si>
  <si>
    <t>Таранец Юрий Николаевич</t>
  </si>
  <si>
    <t>Попа Юрий Сергеевич</t>
  </si>
  <si>
    <t>Надиров Гамлет Гахраман Оглы</t>
  </si>
  <si>
    <t>https://smp.sfurf.office/sd/operator/#uuid:serviceCall$53204923</t>
  </si>
  <si>
    <t>Прекращение, нет платежки</t>
  </si>
  <si>
    <t>РАСХОДЫ</t>
  </si>
  <si>
    <t>Экспертиза и Юр услуги</t>
  </si>
  <si>
    <t>Татьяна. Пришла. ТОТАЛ. Комплексная + рынок + годники, неустойка, НТЭ как производная</t>
  </si>
  <si>
    <t>У-19-49679</t>
  </si>
  <si>
    <t>Виноградова Татьяна Григорьевна</t>
  </si>
  <si>
    <t>У-19-49686</t>
  </si>
  <si>
    <t>Муханько Михаил Григорьевич</t>
  </si>
  <si>
    <t>У-19-49687</t>
  </si>
  <si>
    <t>Демидов Виталий Вячеславович</t>
  </si>
  <si>
    <t>У-19-49692</t>
  </si>
  <si>
    <t>Мартиросян Гарик Гагикович</t>
  </si>
  <si>
    <t>У-19-49697</t>
  </si>
  <si>
    <t>Зайпулаев Альберт Магомедрассулович</t>
  </si>
  <si>
    <t>У-19-50089</t>
  </si>
  <si>
    <t>Ярыжников Александр Викторович</t>
  </si>
  <si>
    <t>У-19-50122</t>
  </si>
  <si>
    <t>Двойников Сергей Викторович</t>
  </si>
  <si>
    <t>АО СГ «Спасские ворота»</t>
  </si>
  <si>
    <t>У-19-50123</t>
  </si>
  <si>
    <t>Вербицкая Наталья Владимировна</t>
  </si>
  <si>
    <t>https://smp.sfurf.office/sd/operator/#uuid:serviceCall$54586017</t>
  </si>
  <si>
    <t>https://smp.sfurf.office/sd/operator/#uuid:serviceCall$54586024</t>
  </si>
  <si>
    <t>https://smp.sfurf.office/sd/operator/#uuid:serviceCall$54586025</t>
  </si>
  <si>
    <t>https://smp.sfurf.office/sd/operator/#uuid:serviceCall$54586031</t>
  </si>
  <si>
    <t>https://smp.sfurf.office/sd/operator/#uuid:serviceCall$54586035</t>
  </si>
  <si>
    <t>https://smp.sfurf.office/sd/operator/#uuid:serviceCall$55070031</t>
  </si>
  <si>
    <t>https://smp.sfurf.office/sd/operator/#uuid:serviceCall$55070064</t>
  </si>
  <si>
    <t>https://smp.sfurf.office/sd/operator/#uuid:serviceCall$55070065</t>
  </si>
  <si>
    <t>У-19-50842</t>
  </si>
  <si>
    <t>Гришин Сергей Анатольевич</t>
  </si>
  <si>
    <t>У-19-50889</t>
  </si>
  <si>
    <t>Магомедзагидов Рамазан Патхулаевич</t>
  </si>
  <si>
    <t>https://smp.sfurf.office/sd/operator/#uuid:serviceCall$55967739</t>
  </si>
  <si>
    <t>https://smp.sfurf.office/sd/operator/#uuid:serviceCall$55842591</t>
  </si>
  <si>
    <t>Прекращение (отсутствующие документы)</t>
  </si>
  <si>
    <t>заявление о выплате страхового возмещения с приложением документов, предусмотренных Правилами ОСАГО</t>
  </si>
  <si>
    <t>документы компетентных органов по факту рассматриваемого ДТП</t>
  </si>
  <si>
    <t>акт осмотра Транспортного средства Заявителя с приложением фотоматериалов</t>
  </si>
  <si>
    <t>платежные документы, подтверждающие выплату страхового возмещения</t>
  </si>
  <si>
    <t>Квитанция</t>
  </si>
  <si>
    <t>Реестр</t>
  </si>
  <si>
    <t>Требования (краткие совсем)</t>
  </si>
  <si>
    <t>Ущерб</t>
  </si>
  <si>
    <t>Фин санкция</t>
  </si>
  <si>
    <t>Экспертиза</t>
  </si>
  <si>
    <t>Юридические</t>
  </si>
  <si>
    <t>Телеграмма</t>
  </si>
  <si>
    <t>Штраф</t>
  </si>
  <si>
    <t>величина УТС составила</t>
  </si>
  <si>
    <t>Отписано. Аркадий. Пришла. Трасса + комплексная</t>
  </si>
  <si>
    <t>Вывод</t>
  </si>
  <si>
    <t>Соответствуют</t>
  </si>
  <si>
    <t>Не соответствуют</t>
  </si>
  <si>
    <t xml:space="preserve">Учитывая вышеизложенное, требование Заявителя о взыскании страхового возмещения подлежит частичному удовлетворению в размере 13 400 рублей 00 копеек (29 200 рублей 00 копеек – 15 800 рублей 00 копеек). </t>
  </si>
  <si>
    <t>Неустойка. Прекращение. Нет платежного поручения</t>
  </si>
  <si>
    <t>Таким образом, СПАО «Ингосстрах», выплатив Заявителю страховое возмещение в размере 162 300 рублей 00 копеек, ненадлежащим образом исполнило свои обязательства по Договору ОСАГО в части выплаты страхового возмещения в полном объеме.</t>
  </si>
  <si>
    <t>Отписано. Аркадий. Пришла. Комплекс</t>
  </si>
  <si>
    <t>Отписано. Аркадий. Пришла. Ушло на повторную 25.10.2019. Нет НТЭ. ХОДАТАЙСТВО об очном рассмотрении. ФО не надлежащим образом организовало осмотр тс. Заявитель указывал, что ТС не может передвигаться своим ходом. Направление на НТЭ было выдано не по адресу нахождения ТС на 26.05.2019. При этом составлен акт осмотра ТС от 28.05.2019, согласно которому ТС на осмотр не предоставлено. Уведомления о проведении осмотра 28.05.2019 Заявителю не направлялось. При этом, вторично ФО не организовало проведение осмотра ТС.</t>
  </si>
  <si>
    <t>Учитывая вышеизложенное, требование Заявителя о взыскании страхового возмещения подлежит частичному удовлетворению в размере</t>
  </si>
  <si>
    <t>Учитывая вышеизложенное, требование Заявителя о взыскании страхового возмещения подлежит удовлетворению в размере</t>
  </si>
  <si>
    <t>(далее – ДТП), вследствие действий</t>
  </si>
  <si>
    <t>При рассмотрении требования Заявителя о взыскании неустойки за нарушение сроков выплаты страхового возмещения, Финансовым уполномоченным установлено следующее.
Согласно статье 12 ГК РФ взыскание неустойки является одним из способов защиты нарушенного гражданского права.
По смыслу статьи 330 ГК РФ неустойкой (штрафом, пеней) признается определенная законом или договором денежная сумма, которую должник обязан уплатить кредитору в случае неисполнения или ненадлежащего исполнения обязательства, в частности в случае просрочки исполнения. По требованию об уплате неустойки кредитор не обязан доказывать причинение ему убытков.
В соответствии с пунктом 21 статьи 12 Закона № 40-ФЗ установлено, что в течение 20 календарных дней, за исключением нерабочих праздничных дней, а в случае, предусмотренном пунктом 15.3 статьи 12 Закона № 40-ФЗ, 30 календарных дней, за исключением нерабочих праздничных дней, со дня принятия к рассмотрению заявления потерпевшего о страховом возмещении или прямом возмещении убытков и приложенных к нему документов, предусмотренных правилами обязательного страхования, страховщик обязан произвести страховую выплату потерпевшему или после осмотра и (или) независимой технической экспертизы поврежденного транспортного средства выдать потерпевшему направление на ремонт транспортного средства с указанием станции технического обслуживания, на которой будет отремонтировано его транспортное средство и которой страховщик оплатит восстановительный ремонт поврежденного транспортного средства, и срока ремонта либо направить потерпевшему мотивированный отказ в страховом возмещении. 
Пунктом 6 статьи 16.1 Закона № 40-ФЗ установлено, что общий размер неустойки (пени), которые подлежат выплате потерпевшему - физическому лицу, не может превышать размер страховой суммы по виду причиненного вреда, установленный Законом № 40-ФЗ.
В пункте 78 постановления Пленума Верховного Суда Российской Федерации от 26.12.2017 № 58 «О применении судами законодательства об обязательном страховании гражданской ответственности владельцев транспортных средств» указано, что неустойка исчисляется со дня, следующего за днем, установленным для принятия решения о выплате страхового возмещения, то есть с 21-го дня после получения страховщиком заявления потерпевшего о страховой выплате и документов, предусмотренных Правилами ОСАГО, и до дня фактического исполнения страховщиком обязательства по договору включительно.
Статьей 191 ГК РФ установлено, что течение срока, определённого периодом времени, начинается на следующий день после календарной даты или наступления события, которыми определено его начало.
В соответствии со статьей 193 ГК РФ если последний день срока приходится на нерабочий день, днем окончания срока считается ближайший следующий за ним рабочий день.</t>
  </si>
  <si>
    <t>Поскольку Заявитель предоставил в</t>
  </si>
  <si>
    <t>необходимые для осуществления страхового возмещения документы</t>
  </si>
  <si>
    <t>В соответствии с пунктом 65 постановления Пленума Верховного Суда РФ от 24.03.2016 № 7 «О применении судами некоторых положений Гражданского кодекса Российской Федерации об ответственности за нарушение обязательств» по смыслу статьи 330 ГК РФ, истец вправе требовать присуждения неустойки по день фактического исполнения обязательства (в частности, фактической уплаты кредитору денежных средств, передачи товара, завершения работ).
В силу пункта 6 статьи 16.1 Закона № 40-ФЗ общий размер неустойки (пени), суммы финансовой санкции, которые подлежат выплате потерпевшему - физическому лицу, не может превышать размер страховой суммы по виду причиненного вреда, установленный Законом № 40-ФЗ.</t>
  </si>
  <si>
    <t>Соответственно, удовлетворению подлежит требование Заявителя о взыскании неустойки начиная с</t>
  </si>
  <si>
    <t>по дату фактического исполнения</t>
  </si>
  <si>
    <t>своего обязательства перед Заявителем по выплате страхового возмещения в размере</t>
  </si>
  <si>
    <t>, подлежит взысканию только в случае неисполнения (неисполнения в установленные сроки)</t>
  </si>
  <si>
    <t>решения Финансового уполномоченного по настоящему спору в части удовлетворения основного требования (о взыскании страхового возмещения).</t>
  </si>
  <si>
    <t>В случае неисполнения</t>
  </si>
  <si>
    <t>пункта 1 резолютивной части настоящего решения в срок, установленный в пункте 5 резолютивной части настоящего решения, взыскать с</t>
  </si>
  <si>
    <t>в пользу Заявителя неустойку за период, начиная с</t>
  </si>
  <si>
    <t>Волгоградской области</t>
  </si>
  <si>
    <t>ПРЕДОСТАВЛЕНИЕ ПОЛНОГО КОМПЛЕКТА ДОКУМЕНТОВ (СРТС, ПТС)</t>
  </si>
  <si>
    <t>15.01.2019 АО «АльфаСтрахование» в ответ на 15.01.2019 письмом № 7100-04-10-68 отказало Заявителю в удовлетворении заявленных требований, указав, что Заявителем не предоставлена нотариально заверенная копия ПТС.</t>
  </si>
  <si>
    <t>о взыскании неустойки за несоблюдение срока выплаты страхового возмещения, установленного статьей 16 Закона № 123-ФЗ, данное требование не подлежит рассмотрению.</t>
  </si>
  <si>
    <t>Пришла. Комплекс. В пределах статистической достоверности 10%</t>
  </si>
  <si>
    <t>ОТКАЗ НТЭ</t>
  </si>
  <si>
    <t>ЮР ЛИЦО</t>
  </si>
  <si>
    <t>ВОЗВРАТ ДОКУМЕНТОВ</t>
  </si>
  <si>
    <t>ПРОПУЩЕН СРОК</t>
  </si>
  <si>
    <t>Дважды не предоставил на осмотр. ФО вернула документы. Не соблюден досудебный порядок</t>
  </si>
  <si>
    <t>Возврат документов</t>
  </si>
  <si>
    <t>ПРЕКРАЩЕНИЕ (ПОСЛЕ ВОЗВРАТА ДОКУМЕНТОВ)</t>
  </si>
  <si>
    <t>Пришла. Комплекс. ФО отказа в выплате на основании 14.1, т.к. собственник ТС оформил доверенность на иное лицо, которое заключило договор страхования на основани доверенности. Получается, что на момент ДТП ответственность собственника застрахована не была. Тем не менее, доверенность есть, значит владельцем ТС на момент ДТП была не собственник, а лицо по доверенности</t>
  </si>
  <si>
    <t>Вопросы НТЭ</t>
  </si>
  <si>
    <t>Тип НТЭ</t>
  </si>
  <si>
    <t>Комплекс (без УТС)</t>
  </si>
  <si>
    <t>Комплекс (с УТС)</t>
  </si>
  <si>
    <t>- каковы перечень и характер повреждений транспортного средства потерпевшего;
- какие повреждения получило ТС потерпевшего при обстоятельствах, указанных в заявлении о страховом случае, документах, оформленных компетентными органами, и в иных документах, содержащих информацию относительно указанных обстоятельств;
- какие методы и технологии восстановительного ремонта применимы к повреждениям транспортного средства потерпевшего, относящимся к рассматриваемому ДТП;
- каков размер расходов на восстановительный ремонт в отношении повреждений транспортного средства потерпевшего, возникших в результате рассматриваемого ДТП;
- какова стоимость транспортного средства потерпевшего до повреждения на дату ДТП и стоимость годных остатков в случае полной (конструктивной) гибели транспортного средства;
- какова величина утраты товарной стоимости (УТС) транспортного средства потерпевшего, если возмещение УТС возможно</t>
  </si>
  <si>
    <t>ОБОСНОВАНИЕ (ПВУ работает, выдана доверенность на водителя)</t>
  </si>
  <si>
    <t>Для решения вопросов, связанных с рассмотрением Обращения, Финансовым уполномоченным назначено проведение независимой медицинской экспертизы в</t>
  </si>
  <si>
    <t>(эксперт-врач</t>
  </si>
  <si>
    <t>), предметом которой являлось исследование документов медицинских и иных организаций, медико-социальных и судебно-медицинских экспертиз, свидетельствующих о причинении вреда жизни или здоровью (медицинская экспертиза). Вопросы, подлежащие разрешению экспертом в рамках проводимого им исследования:</t>
  </si>
  <si>
    <t>УЩЕРБ, УТС</t>
  </si>
  <si>
    <t>У-19-36363</t>
  </si>
  <si>
    <t>Муллагалиев Вадим Эдикович</t>
  </si>
  <si>
    <t>У-19-43499</t>
  </si>
  <si>
    <t>Кирпичева Елена Юрьевна</t>
  </si>
  <si>
    <t>У-19-46264</t>
  </si>
  <si>
    <t>Коник Виталий Владимирович</t>
  </si>
  <si>
    <t>У-19-51370</t>
  </si>
  <si>
    <t>Самойлов Максим Евгеньевич</t>
  </si>
  <si>
    <t>У-19-51437</t>
  </si>
  <si>
    <t>Матреничева Ольга Сергеевна</t>
  </si>
  <si>
    <t>У-19-51569</t>
  </si>
  <si>
    <t>Муллахметов Амир Маратович</t>
  </si>
  <si>
    <t>У-19-52556</t>
  </si>
  <si>
    <t>Корешков Иван Михайлович</t>
  </si>
  <si>
    <t>У-19-52571</t>
  </si>
  <si>
    <t>Булдаков Бронислав Сергеевич</t>
  </si>
  <si>
    <t>У-19-52840</t>
  </si>
  <si>
    <t>Труханкин Виктор Васильевич</t>
  </si>
  <si>
    <t>У-19-52841</t>
  </si>
  <si>
    <t>Зинюхина Екатерина Валентиновна</t>
  </si>
  <si>
    <t>У-19-53093</t>
  </si>
  <si>
    <t>Дубровин Денис Александрович</t>
  </si>
  <si>
    <t>У-19-54137</t>
  </si>
  <si>
    <t>Осия Джансух Арзадинович</t>
  </si>
  <si>
    <t>У-19-54139</t>
  </si>
  <si>
    <t>Смирнов Юрий Михайлович</t>
  </si>
  <si>
    <t>У-19-54150</t>
  </si>
  <si>
    <t>Есипов Вячеслав Викторович</t>
  </si>
  <si>
    <t>ООО «СФ «Адонис»</t>
  </si>
  <si>
    <t>У-19-54161</t>
  </si>
  <si>
    <t>Хохлов Алексей Викторович</t>
  </si>
  <si>
    <t>У-19-54180</t>
  </si>
  <si>
    <t>У-19-54236</t>
  </si>
  <si>
    <t>Генюк Михаил Иванович</t>
  </si>
  <si>
    <t>https://smp.sfurf.office/sd/operator/index.jsp;jsessionid=4B56FDB405CD332F2E4AE6AEC0BFEE05#uuid:serviceCall$38305853</t>
  </si>
  <si>
    <t>https://smp.sfurf.office/sd/operator/index.jsp;jsessionid=4B56FDB405CD332F2E4AE6AEC0BFEE05#uuid:serviceCall$46451381</t>
  </si>
  <si>
    <t>https://smp.sfurf.office/sd/operator/index.jsp;jsessionid=4B56FDB405CD332F2E4AE6AEC0BFEE05#uuid:serviceCall$56712020</t>
  </si>
  <si>
    <t>https://smp.sfurf.office/sd/operator/index.jsp;jsessionid=4B56FDB405CD332F2E4AE6AEC0BFEE05#uuid:serviceCall$56712087</t>
  </si>
  <si>
    <t>https://smp.sfurf.office/sd/operator/index.jsp;jsessionid=4B56FDB405CD332F2E4AE6AEC0BFEE05#uuid:serviceCall$56936821</t>
  </si>
  <si>
    <t>Качество ремонта</t>
  </si>
  <si>
    <t>- какие операции, методы и технологии восстановительного ремонта ТС потерпевшего применены не обоснованно;
- весь ли объем ремонтных работ, необходимый для устранения последствий рассматриваемого ДТП, был выполнен исполнителем во время ремонта ТС потерпевшего? Если нет, то указать допущенные нарушения;
- соответствуют ли выполненные работы установленной технологической документации, требованиям технических и нормативно-правовых документов? Если нет, то указать допущенные нарушения;
- соответствуют ли фактически замененные запасные части заявленным исполнителем ремонта? Если нет, то указать допущенные нарушения;
- соответствуют ли фактически выполненные ремонтные работы заявленным исполнителем ремонта? Если нет, то указать допущенные нарушения;
- являются ли выявленные недостатки ремонта ТС потерпевшего устранимыми и каковы методы и технологии их устранения;
- какова стоимость устранения выявленных недостатков ремонта с учетом износа и без учета износа</t>
  </si>
  <si>
    <t>Пришла. Комплекс, траса (спор по повреждениям)</t>
  </si>
  <si>
    <t>Пришла. Комплекс. Направили запрос ФО виновника (Альфа). Два разных полиса у виновника. В одном вобственником указана Молчун Н.И., во втором Молчун А.П.</t>
  </si>
  <si>
    <t>После НТЭ ФУ</t>
  </si>
  <si>
    <t>Неустойка после суда</t>
  </si>
  <si>
    <t>ФИНАНСОВАЯ САНКЦИЯ</t>
  </si>
  <si>
    <t>Пришла. НТЭ ФУ не пришла, продлили сроки. Комплексная</t>
  </si>
  <si>
    <t>Пришла. Комплексная, траса</t>
  </si>
  <si>
    <t>https://smp.sfurf.office/sd/operator/index.jsp;jsessionid=4B56FDB405CD332F2E4AE6AEC0BFEE05#uuid:serviceCall$58113766</t>
  </si>
  <si>
    <t>https://smp.sfurf.office/sd/operator/index.jsp;jsessionid=4B56FDB405CD332F2E4AE6AEC0BFEE05#uuid:serviceCall$58245713</t>
  </si>
  <si>
    <t>компенсации морального вреда в размере</t>
  </si>
  <si>
    <t>компенсации морального вреда</t>
  </si>
  <si>
    <t>компенсацию морального вреда в размере</t>
  </si>
  <si>
    <t>Не согласившись с отказом в доплате страхового возмещения, Заявитель обратился в суд с исковыми требованиями к</t>
  </si>
  <si>
    <t>неустойка за несоблюдение срока выплаты страхового возмещения по договору ОСАГО в размере</t>
  </si>
  <si>
    <t>неустойка за несоблюдение срока выплаты страхового возмещения по договору КАСКО в размере</t>
  </si>
  <si>
    <t>неустойка за несоблюдение срока выплаты страхового возмещения по договору ОСАГО в части УТС в размере</t>
  </si>
  <si>
    <t>неустойка за несоблюдение срока выплаты страхового возмещения по договору КАСКО в части УТС в размере</t>
  </si>
  <si>
    <t>финансовая санкция за несоблюдение срока направления мотивированного отказа в страховом возмещении в размере</t>
  </si>
  <si>
    <t>компенсация морального вреда в размере</t>
  </si>
  <si>
    <t>штраф в размере 50% от взысканной суммы за неисполнение в добровольном порядке требований потерпевшего</t>
  </si>
  <si>
    <t>расходы на отправку телеграмм в размере</t>
  </si>
  <si>
    <t>неустойка за несоблюдение срока выплаты страхового возмещения по договору ОСАГО за период с</t>
  </si>
  <si>
    <t>неустойка за несоблюдение срока выплаты страхового возмещения по договору КАСКО за период с</t>
  </si>
  <si>
    <t>неустойка за несоблюдение срока выплаты страхового возмещения по договору ОСАГО в части УТС за период с</t>
  </si>
  <si>
    <t>неустойки за несоблюдение срока выплаты страхового возмещения по договору ОСАГО за период с</t>
  </si>
  <si>
    <t>неустойки за несоблюдение срока выплаты страхового возмещения по договору КАСКО за период с</t>
  </si>
  <si>
    <t>неустойки за несоблюдение срока выплаты страхового возмещения по договору ОСАГО в части УТС за период с</t>
  </si>
  <si>
    <t>неустойки за несоблюдение срока выплаты страхового возмещения по договору КАСКО в части УТС за период с</t>
  </si>
  <si>
    <t>ТС на данный момент находится на ремонте. Прекращение. Просит урегулировать страховой случай и неустойку. ТС все еще на СТОА, ФО говорит, что Заявитель сдал автомобиль не в ремонт, а на дефектовку. Противоречие</t>
  </si>
  <si>
    <t>Пришла. Комплексная. Выплатили достаточно</t>
  </si>
  <si>
    <t>КОМПЕНСАЦИОННАЯ ВЫПЛАТА</t>
  </si>
  <si>
    <t>Пришла. Комплекс, рыночная, годные. Отозвана лицензия у НАСКО, РСА назначило Альфа исполнять обязанности. Альфа производит выплату, но пишет, что Заявитель предоставила не полный комплект документов. Аналогичные дела. 49815, 43777.</t>
  </si>
  <si>
    <t>Пришла. Комплекс. Стандартная недоплата. Сначала выдали ННР, но потом произвели выплату деньгами. Фин санкция</t>
  </si>
  <si>
    <t>У-19-54318</t>
  </si>
  <si>
    <t>Гришин Вячеслав Игоревич</t>
  </si>
  <si>
    <t>У-19-54338</t>
  </si>
  <si>
    <t>Чашкин Александр Геннадьевич</t>
  </si>
  <si>
    <t>У-19-55576</t>
  </si>
  <si>
    <t>У-19-55592</t>
  </si>
  <si>
    <t>Золоторев Сергей Анатольевич</t>
  </si>
  <si>
    <t>АО «Страховая бизнес группа»</t>
  </si>
  <si>
    <t>У-19-55596</t>
  </si>
  <si>
    <t>Арбиева Оксана Витальевна</t>
  </si>
  <si>
    <t>АО «СО «Талисман»</t>
  </si>
  <si>
    <t>У-19-55617</t>
  </si>
  <si>
    <t>Маликова Людмила Александровна</t>
  </si>
  <si>
    <t>У-19-55619</t>
  </si>
  <si>
    <t>Евтушенко Александр Владимирович</t>
  </si>
  <si>
    <t>У-19-56208</t>
  </si>
  <si>
    <t>Бутнарь Мария Викторовна</t>
  </si>
  <si>
    <t>Иная</t>
  </si>
  <si>
    <t>У-19-56220</t>
  </si>
  <si>
    <t>Шульженко Сергей Владимирович</t>
  </si>
  <si>
    <t>У-19-56271</t>
  </si>
  <si>
    <t>Исупов Евгений Сергеевич</t>
  </si>
  <si>
    <t>У-19-56281</t>
  </si>
  <si>
    <t>Исаева Татьяна Александровна</t>
  </si>
  <si>
    <t>У-19-56286</t>
  </si>
  <si>
    <t>Слюсаренко Олеся Николаевна</t>
  </si>
  <si>
    <t>У-19-56289</t>
  </si>
  <si>
    <t>Баранов Григорий Михайлович</t>
  </si>
  <si>
    <t>У-19-56295</t>
  </si>
  <si>
    <t>Темирсултанов Вахажи Баудинович</t>
  </si>
  <si>
    <t>У-19-56299</t>
  </si>
  <si>
    <t>Сигов Леонид Михайлович</t>
  </si>
  <si>
    <t>https://smp.sfurf.office/sd/operator/index.jsp;jsessionid=4B56FDB405CD332F2E4AE6AEC0BFEE05#uuid:serviceCall$58537119</t>
  </si>
  <si>
    <t>https://smp.sfurf.office/sd/operator/index.jsp;jsessionid=4B56FDB405CD332F2E4AE6AEC0BFEE05#uuid:serviceCall$58537120</t>
  </si>
  <si>
    <t>https://smp.sfurf.office/sd/operator/index.jsp;jsessionid=4B56FDB405CD332F2E4AE6AEC0BFEE05#uuid:serviceCall$58747473</t>
  </si>
  <si>
    <t>https://smp.sfurf.office/sd/operator/index.jsp;jsessionid=4B56FDB405CD332F2E4AE6AEC0BFEE05#uuid:serviceCall$61785456</t>
  </si>
  <si>
    <t>Отзыв Заявления</t>
  </si>
  <si>
    <t>Пришла. Стоимость имущества, расходы на ремонт имущества. Сделан запрос ФО. Обвес полностью или задний бампер.</t>
  </si>
  <si>
    <t>Пришла. Траса. Комплекс</t>
  </si>
  <si>
    <t>Неустойка после решения суда. Частично взыскана судом</t>
  </si>
  <si>
    <t>ННР выдали в срок. Доказательств о предоставлении ТС на СТОА не предоставлено</t>
  </si>
  <si>
    <t>ОБОСНОВАНИЕ (С УЧЕТОМ ИЗНОСА)</t>
  </si>
  <si>
    <t>Пришла. Комплекс. Шаблон заполнен. Просит без износа.</t>
  </si>
  <si>
    <t>- соответствуют ли повреждения транспортном средстве потерпевшего обстоятельствам рассматриваемого дорожно-транспортного происшествия;
- какие повреждения возникли на транспортном средстве потерпевшего в результате рассматриваемого дорожно-транспортного происшествия</t>
  </si>
  <si>
    <t>ТИП ДЕЛА</t>
  </si>
  <si>
    <t>Регион НТЭ (род паж)</t>
  </si>
  <si>
    <t>Алтайский край</t>
  </si>
  <si>
    <t>Амурская область</t>
  </si>
  <si>
    <t>Архангельская область</t>
  </si>
  <si>
    <t>Астраханская область</t>
  </si>
  <si>
    <t>Белгородская область</t>
  </si>
  <si>
    <t>Брянская область</t>
  </si>
  <si>
    <t>Владимирская область</t>
  </si>
  <si>
    <t>Волгоградская область</t>
  </si>
  <si>
    <t>Вологодская область</t>
  </si>
  <si>
    <t>Воронежская область</t>
  </si>
  <si>
    <t>г. Москва</t>
  </si>
  <si>
    <t>Еврейская автономная область</t>
  </si>
  <si>
    <t>Забайкальский край</t>
  </si>
  <si>
    <t>Ивановская область</t>
  </si>
  <si>
    <t>Иркутская область</t>
  </si>
  <si>
    <t>Кабардино-Балкарская Республика</t>
  </si>
  <si>
    <t>Калининградская область</t>
  </si>
  <si>
    <t>Калужская область</t>
  </si>
  <si>
    <t>Камчатский край</t>
  </si>
  <si>
    <t>Карачаево-Черкесская Республика</t>
  </si>
  <si>
    <t>Кемеровская область</t>
  </si>
  <si>
    <t>Кировская область</t>
  </si>
  <si>
    <t>Костромская область</t>
  </si>
  <si>
    <t>Краснодарский край</t>
  </si>
  <si>
    <t>Красноярский край</t>
  </si>
  <si>
    <t>Курганская область</t>
  </si>
  <si>
    <t>Курская область</t>
  </si>
  <si>
    <t>Ленинградская область</t>
  </si>
  <si>
    <t>Липецкая область</t>
  </si>
  <si>
    <t>Магаданская область</t>
  </si>
  <si>
    <t>Московская область</t>
  </si>
  <si>
    <t>Мурманская область</t>
  </si>
  <si>
    <t>Ненецкий автономный округ</t>
  </si>
  <si>
    <t>Нижегородская область</t>
  </si>
  <si>
    <t>Новгородская область</t>
  </si>
  <si>
    <t>Новосибирская область</t>
  </si>
  <si>
    <t>Омская область</t>
  </si>
  <si>
    <t>Оренбургская область</t>
  </si>
  <si>
    <t>Орловская область</t>
  </si>
  <si>
    <t>Пензенская область</t>
  </si>
  <si>
    <t>Пермский край</t>
  </si>
  <si>
    <t>Приморский край</t>
  </si>
  <si>
    <t>Псковская область</t>
  </si>
  <si>
    <t>Республика Адыгея (Адыгея)</t>
  </si>
  <si>
    <t>Республика Алтай</t>
  </si>
  <si>
    <t>Республика Башкортостан</t>
  </si>
  <si>
    <t>Республика Бурятия</t>
  </si>
  <si>
    <t>Республика Дагестан</t>
  </si>
  <si>
    <t>Республика Ингушетия</t>
  </si>
  <si>
    <t>Республика Калмыкия</t>
  </si>
  <si>
    <t>Республика Карелия</t>
  </si>
  <si>
    <t>Республика Коми</t>
  </si>
  <si>
    <t>Республика Крым</t>
  </si>
  <si>
    <t>Республика Марий Эл</t>
  </si>
  <si>
    <t>Республика Мордовия</t>
  </si>
  <si>
    <t>Республика Саха (Якутия)</t>
  </si>
  <si>
    <t>Республика Северная Осетия - Алания</t>
  </si>
  <si>
    <t>Республика Тыва</t>
  </si>
  <si>
    <t>Республика Хакасия</t>
  </si>
  <si>
    <t>Ростовская область</t>
  </si>
  <si>
    <t>Рязанская область</t>
  </si>
  <si>
    <t>Самарская область</t>
  </si>
  <si>
    <t>Саратовская область</t>
  </si>
  <si>
    <t>Сахалинская область</t>
  </si>
  <si>
    <t>Свердловская область</t>
  </si>
  <si>
    <t>Смоленская область</t>
  </si>
  <si>
    <t>Ставропольский край</t>
  </si>
  <si>
    <t>Тамбовская область</t>
  </si>
  <si>
    <t>Тверская область</t>
  </si>
  <si>
    <t>Томская область</t>
  </si>
  <si>
    <t>Тульская область</t>
  </si>
  <si>
    <t>Тюменская область</t>
  </si>
  <si>
    <t>Удмуртская Республика</t>
  </si>
  <si>
    <t>Ульяновская область</t>
  </si>
  <si>
    <t>Хабаровский край</t>
  </si>
  <si>
    <t>Ханты-Мансийский автономный округ - Югра</t>
  </si>
  <si>
    <t>Челябинская область</t>
  </si>
  <si>
    <t>Чеченская Республика</t>
  </si>
  <si>
    <t>Чувашская Республика - Чувашия</t>
  </si>
  <si>
    <t>Чукотский автономный округ</t>
  </si>
  <si>
    <t>Ямало-Ненецкий автономный округ</t>
  </si>
  <si>
    <t>Ярославская область</t>
  </si>
  <si>
    <t>Алтайского края</t>
  </si>
  <si>
    <t>города Москвы</t>
  </si>
  <si>
    <t>города Санкт-Петербург</t>
  </si>
  <si>
    <t>города Севастополь</t>
  </si>
  <si>
    <t>г. Севастополь</t>
  </si>
  <si>
    <t>г. Санкт-Петербург</t>
  </si>
  <si>
    <t>Амурской области</t>
  </si>
  <si>
    <t>Архангельской области</t>
  </si>
  <si>
    <t>Астраханской области</t>
  </si>
  <si>
    <t>Брянской области</t>
  </si>
  <si>
    <t>Владимирской области</t>
  </si>
  <si>
    <t>Вологодской области</t>
  </si>
  <si>
    <t>Воронежской области</t>
  </si>
  <si>
    <t>Еврейской автономная области</t>
  </si>
  <si>
    <t>Забайкальского края</t>
  </si>
  <si>
    <t>Ивановской области</t>
  </si>
  <si>
    <t>https://smp.sfurf.office/sd/operator/#uuid:serviceCall$49960737</t>
  </si>
  <si>
    <t>https://smp.sfurf.office/sd/operator/#uuid:serviceCall$59947475</t>
  </si>
  <si>
    <t>https://smp.sfurf.office/sd/operator/#uuid:serviceCall$59947478</t>
  </si>
  <si>
    <t>https://smp.sfurf.office/sd/operator/#uuid:serviceCall$59947493</t>
  </si>
  <si>
    <t>https://smp.sfurf.office/sd/operator/#uuid:serviceCall$60034109</t>
  </si>
  <si>
    <t>https://smp.sfurf.office/sd/operator/#uuid:serviceCall$60034138</t>
  </si>
  <si>
    <t>https://smp.sfurf.office/sd/operator/index.jsp;jsessionid=4B56FDB405CD332F2E4AE6AEC0BFEE05#uuid:serviceCall$60034161</t>
  </si>
  <si>
    <t>https://smp.sfurf.office/sd/operator/index.jsp;jsessionid=4B56FDB405CD332F2E4AE6AEC0BFEE05#uuid:serviceCall$60247413</t>
  </si>
  <si>
    <t>https://smp.sfurf.office/sd/operator/index.jsp;jsessionid=4B56FDB405CD332F2E4AE6AEC0BFEE05#uuid:serviceCall$60247436</t>
  </si>
  <si>
    <t>В соответствии со статьей 16 Закона № 123-ФЗ</t>
  </si>
  <si>
    <t>Пунктом 2 части 1 статьи 27 Закона № 123-ФЗ установлено, что финансовый уполномоченный прекращает рассмотрение обращения в случае непредоставления потребителем финансовых услуг документов, разъяснений и (или) сведений в соответствии с Законом № 123-ФЗ, если это влечет невозможность рассмотрения по существу.</t>
  </si>
  <si>
    <t>В соответствии с абзацем 2 пункта 21 статьи 12 Закона № 40-ФЗ при возмещении вреда на основании пунктов 15.1 - 15.3 статьи 12 Закона № 40-ФЗ в случае нарушения установленного абзацем вторым пункта 15.2 статьи 12 Закона № 40-ФЗ срока проведения восстановительного ремонта поврежденного транспортного средства или срока, согласованного страховщиком и потерпевшим и превышающего установленный абзацем вторым пункта 15.2 настоящей статьи срок проведения восстановительного ремонта поврежденного транспортного средства, страховщик за каждый день просрочки уплачивает потерпевшему неустойку (пеню) в размере 0,5 процента от определенной в соответствии с Законом № 40-ФЗ суммы страхового возмещения, но не более суммы такого возмещения.
Согласно абзацу второму пункта 15.2 статьи 12 Закона № 40-ФЗ срок проведения восстановительного ремонта поврежденного транспортного средства составляет не более 30 рабочих дней со дня представления потерпевшим такого транспортного средства на станцию технического обслуживания или передачи такого транспортного средства страховщику для организации его транспортировки до места проведения восстановительного ремонта.
Поскольку Заявитель представил Транспортное средство на СТОА 17.06.2019, последним днем срока проведения восстановительного ремонта является 16.07.2019.
Вместе с тем, как установлено Финансовым уполномоченным 28.06.2019 ООО «Имя-А» выдало, а Заявитель принял Транспортное средство после осуществления восстановительного ремонта.
Учитывая вышеизложенное, неустойка в связи с нарушением срока осуществления восстановительного ремонта начислению не подлежит.</t>
  </si>
  <si>
    <t>В соответствии с пунктом 1 статьи 12 Закона № 40-ФЗ потерпевший вправе предъявить страховщику требование о возмещении вреда, причиненного его жизни, здоровью или имуществу при использовании транспортного средства, в пределах страховой суммы, установленной Законом № 40-ФЗ, путем предъявления страховщику заявления о страховом возмещении или прямом возмещении убытков и документов, предусмотренных Правилами ОСАГО.
Согласно пункту 4.13 при причинении вреда имуществу потерпевшего (транспортным средствам, зданиям, сооружениям, постройкам, иному имуществу физических, юридических лиц) кроме документов, предусмотренных пунктом 3.10 настоящих Правил, потерпевший представляет в том числе документы, подтверждающие право собственности потерпевшего на поврежденное имущество либо право на страховое возмещение при повреждении имущества, находящегося в собственности другого лица.
При этом, перечень документов, подтверждающих право собственности потерпевшего на поврежденное имущество является открытым.
Пунктом 3.10 Правил ОСАГО установлено, что страховщик не вправе требовать от потерпевшего документы, не предусмотренные Правилами ОСАГО.
Как установлено Финансовым уполномоченным, в качестве документа, подтверждающего право собственности на Транспортное средство Заявителем было предоставлена в АО «АльфаСтрахование» нотариально заверенная копия свидетельства о регистрации Транспортного средства от 06.08.2016 серия 2344 № 370194.
Таким образом, Финансовый уполномоченный приходит к выводу о предоставлении Заявителем документов в АО «АльфаСтрахование» в полном объеме в соответствии с Правилами ОСАГО.</t>
  </si>
  <si>
    <t>Согласно пункту 1 статьи 14.1 Закона № 40-ФЗ потерпевший предъявляет требование о возмещении вреда, причиненного его имуществу, страховщику, который застраховал гражданскую ответственность потерпевшего, в случае наличия одновременно следующих обстоятельств:
а) в результате дорожно-транспортного происшествия вред причинен только транспортным средствам, указанным в подпункте "б" настоящего пункта;
б) дорожно-транспортное происшествие произошло в результате взаимодействия (столкновения) двух и более транспортных средств (включая транспортные средства с прицепами к ним), гражданская ответственность владельцев которых застрахована по договору обязательного страхования в соответствии с Законом № 40-ФЗ.
В соответствии с абзацем 2 пункта 1 статьи 1079 Гражданского кодекса Российской Федерации владельцем транспортного средства является юридическое лицо или гражданин, которые владеют транспортным средством на праве собственности, праве хозяйственного ведения или праве оперативного управления либо на ином законном основании (на праве аренды, по доверенности на право управления транспортным средством, в силу распоряжения соответствующего органа о передаче ему источника повышенной опасности и т.п.).
Как установлено Финансовым уполномоченным, Заявитель передала Субботину В.Н. права управления и распоряжения Транспортным средством на основании доверенности от 17.05.2019 № 50/2-н/50-2019-1-1486.
На момент ДТП, лицом, управлявшим транспортным средством был Субботин В.Н., что подтверждается административными материалам дела.
Таким образом, Финансовый уполномоченный приходит к выводу о том, что на момент ДТП владельцем Транспортного средства, действующим на основании доверенности, был Субботин В.Н., чья гражданская ответственность застрахована по Договору ОСАГО, в силу чего у АО «АльфаСтрахование» не было оснований для отказа в урегулировании страхового случая в рамках прямого возмещения убытков.</t>
  </si>
  <si>
    <t>Порядок осуществления страхового возмещения, причиненного потерпевшему вреда определен в статье 12 Закона № 40-ФЗ.
Согласно пункту 12 статьи 12 Закона № 40-ФЗ в случае, если по результатам проведенного страховщиком осмотра поврежденного имущества или его остатков страховщик и потерпевший согласились о размере страхового возмещения и не настаивают на организации независимой технической экспертизы или независимой (оценки) поврежденного имущества или его остатков, экспертиза не проводится.
В соответствии со подпунктом «ж» пункта 16.1. статьи 12 Закона № 40-ФЗ страховое возмещение вреда, причиненного легковому автомобилю, находящемуся в собственности гражданина и зарегистрированному в Российской Федерации, осуществляется путем выдачи суммы страховой выплаты потерпевшему (выгодоприобретателю) в кассе страховщика или перечисления суммы страховой выплаты на банковский счет потерпевшего (выгодоприобретателя) (наличный или безналичный расчет) в случае наличия соглашения в письменной форме между страховщиком и потерпевшим (выгодоприобретателем).
Как указано в пункте 43 Постановления Пленума Верховного Суда РФ от 26 декабря 2017 года № 58 «О применении судами законодательства об обязательном страховании гражданской ответственности владельцев транспортных средств» в случае, если по результатам проведенного страховщиком осмотра поврежденного имущества страховщик и потерпевший достигли согласие о размере страховой выплаты и не настаивают на организации независимой технической экспертизы транспортного средства или независимой экспертизы (оценки) поврежденного имущества, такая экспертиза, в силу пункта 12 статьи 12 Закона № 40-ФЗ, может не проводиться.
При заключении соглашения об урегулировании страхового случая без проведения независимой технической экспертизы транспортного средства или независимой экспертизы (оценки) поврежденного имущества потерпевший и страховщик договариваются о размере, порядке и сроках подлежащего выплате потерпевшему страхового возмещения. После осуществления страховщиком оговоренной страховой выплаты его обязанность считается исполненной в полном объеме и надлежащим образом, что прекращает соответствующее обязательство страховщика (пункт 1 статьи 408 ГК РФ).
Заключение со страховщиком соглашения об урегулировании страхового случая без проведения независимой технической экспертизы транспортного средства или независимой экспертизы (оценки) поврежденного имущества является реализацией права потерпевшего на получение страхового возмещения, вследствие чего после исполнения страховщиком обязательства по страховой выплате в размере, согласованном сторонами, основания для взыскания каких-либо дополнительных убытков отсутствуют. Вместе с тем при наличии оснований для признания указанного соглашения недействительным потерпевший вправе обратиться в суд с иском об оспаривании такого соглашения и о взыскании суммы страхового возмещения в ином размере.
Финансовым уполномоченным установлено, что Соглашение Заявителем в установленном законом порядке не оспорено и не признано недействительным.</t>
  </si>
  <si>
    <t>Пунктом 21 статьи 12 Закона № 40-ФЗ установлено, что в течение 20 календарных дней, за исключением нерабочих праздничных дней, а в случае, предусмотренном пунктом 15.3 статьи 12 Закона № 40-ФЗ, 30 календарных дней, за исключением нерабочих праздничных дней, со дня принятия к рассмотрению заявления потерпевшего о страховом возмещении или прямом возмещении убытков и приложенных к нему документов, предусмотренных Правилами ОСАГО, страховщик обязан произвести страховую выплату потерпевшему или после осмотра и (или) независимой технической экспертизы поврежденного транспортного средства выдать потерпевшему направление на ремонт транспортного средства с указанием станции технического обслуживания, на которой будет отремонтировано его транспортное средство и которой страховщик оплатит восстановительный ремонт поврежденного транспортного средства, и срока ремонта либо направить потерпевшему мотивированный отказ в страховом возмещении.
Согласно п. 46. Постановления Пленума Верховного Суда РФ от 26 декабря 2017 г. № 58 «О применении судами законодательства об обязательном страховании гражданской ответственности владельцев транспортных средств» если из документов, составленных сотрудниками полиции, невозможно установить вину застраховавшего ответственность лица в наступлении страхового случая или определить степень вины каждого из водителей - участников дорожно-транспортного происшествия, лицо, обратившееся за страховой выплатой, не лишается права на ее получение.
В таком случае страховые организации производят страховые выплаты в равных долях от размера ущерба, понесенного каждым потерпевшим (абзац четвертый пункта 22 статьи 12 Закона № 40-ФЗ.
Страховщик освобождается от обязанности уплаты неустойки, суммы финансовой санкции, штрафа и компенсации морального вреда, если обязательства по выплате страхового возмещения в равных долях от размера, понесенного каждым из водителей – участников дорожно-транспортного происшествия ущерба им исполнены.
В случае несогласия с такой выплатой лицо, получившее страховое возмещение, вправе обратиться в суд с иском о взыскании страхового возмещения в недостающей части. При рассмотрении спора суд обязан установить степень вины лиц, признанных ответственными за причиненный вред, и взыскать со страховой организации страховую выплату с учетом установленной судом степени вины лиц, гражданская ответственность которых застрахована. Обращение с самостоятельным заявлением об установлении степени вины законодательством не предусмотрено.
Согласно документам о ДТП, составленным сотрудниками ГИБДД, невозможно установить вину кого-либо из участников ДТП.</t>
  </si>
  <si>
    <r>
      <t xml:space="preserve">Согласно статье 12 Гражданского кодекса Российской Федерации (далее </t>
    </r>
    <r>
      <rPr>
        <sz val="11"/>
        <color theme="1"/>
        <rFont val="Calibri"/>
        <family val="2"/>
        <charset val="204"/>
      </rPr>
      <t>–</t>
    </r>
    <r>
      <rPr>
        <sz val="11"/>
        <color theme="1"/>
        <rFont val="Calibri"/>
        <family val="2"/>
        <charset val="204"/>
        <scheme val="minor"/>
      </rPr>
      <t xml:space="preserve"> ГК РФ) взыскание неустойки является одним из способов защиты нарушенного гражданского права.
По смыслу статьи 330 ГК РФ неустойкой (штрафом, пеней) признается определенная законом или договором денежная сумма, которую должник обязан уплатить кредитору в случае неисполнения или ненадлежащего исполнения обязательства, в частности в случае просрочки исполнения. По требованию об уплате неустойки кредитор не обязан доказывать причинение ему убытков.
Пунктом 21 статьи 12 Закона № 40-ФЗ установлено, что в течение 20 календарных дней, за исключением нерабочих праздничных дней, а в случае, предусмотренном пунктом 15.3 статьи 12 Закона № 40-ФЗ, 30 календарных дней, за исключением нерабочих праздничных дней, со дня принятия к рассмотрению заявления потерпевшего о страховом возмещении или прямом возмещении убытков и приложенных к нему документов, предусмотренных Правилами ОСАГО, страховщик обязан произвести страховую выплату потерпевшему или после осмотра и (или) независимой технической экспертизы поврежденного транспортного средства выдать потерпевшему направление на ремонт транспортного средства с указанием станции технического обслуживания, на которой будет отремонтировано его транспортное средство и которой страховщик оплатит восстановительный ремонт поврежденного транспортного средства, и срока ремонта либо направить потерпевшему мотивированный отказ в страховом возмещении.
При несоблюдении срока осуществления страховой выплаты или срока выдачи потерпевшему направления на ремонт транспортного средства страховщик за каждый день просрочки уплачивает потерпевшему неустойку (пеню) в размере одного процента от определенного в соответствии с Законом № 40-ФЗ размера страхового возмещения по виду причиненного вреда каждому потерпевшему.
В пункте 78 постановления Пленума Верховного Суда Российской Федерации от 26.12.2017 № 58 «О применении судами законодательства об обязательном страховании гражданской ответственности владельцев транспортных средств» указано, что неустойка исчисляется со дня, следующего за днем, установленным для принятия решения о выплате страхового возмещения, то есть с 21-го дня после получения страховщиком заявления потерпевшего о страховой выплате и документов, предусмотренных Правилами ОСАГО, и до дня фактического исполнения страховщиком обязательства по договору включительно. 
Статьей 191 ГК РФ установлено, что течение срока, определённого периодом времени, начинается на следующий день после календарной даты или наступления события, которыми определено его начало.</t>
    </r>
  </si>
  <si>
    <t>Частью 1 статьи 19 Закона № 123-ФЗ установлено, что финансовый уполномоченный не рассматривает обращения, в том числе, если обращение не соответствует части 1 статьи 15 Закона № 123-ФЗ.
Согласно части 1 статьи 15 Закона № 123-ФЗ финансовый уполномоченный рассматривает обращения в отношении финансовых организаций, включённых в реестр, указанный в статье 29 Закона № 123-ФЗ (в отношении финансовых услуг, которые указаны в реестре), или перечень, указанный в статье 30 Закона № 123-ФЗ, если размер требований потребителя финансовых услуг о взыскании денежных сумм не превышает 500 тысяч рублей (за исключением обращений, указанных в статье 19 Закона № 123-ФЗ либо если требования потребителя финансовых услуг вытекают из нарушения страховщиком порядка осуществления страхового возмещения, установленного Законом № 40-ФЗ, и если со дня, когда потребитель финансовых услуг узнал или должен был узнать о нарушении своего права, прошло не более трёх лет.
В соответствии с частью 2 статьи 2 Закона № 123-ФЗ под потребителем финансовых услуг понимается физическое лицо, являющееся стороной договора, либо лицо, в пользу которого заключен договор, либо лицо, которому оказывается финансовая услуга в целях, не связанных с осуществлением предпринимательской деятельности.</t>
  </si>
  <si>
    <t>Пунктом 10 статьи 12 Закона № 40-ФЗ установлено, что при причинении вреда имуществу в целях выяснения обстоятельств причинения вреда и определения размера подлежащих возмещению страховщиком убытков потерпевший, намеренный воспользоваться своим правом на страховое возмещение или прямое возмещение убытков, в течение пяти рабочих дней с даты подачи заявления о страховом возмещении и прилагаемых к нему в соответствии с правилами обязательного страхования документов обязан представить поврежденное транспортное средство или его остатки для осмотра и (или) независимой технической экспертизы, проводимой в порядке, установленном статьей 12.1 Закона № 40-ФЗ, иное имущество для осмотра и (или) независимой экспертизы (оценки), проводимой в порядке, установленном законодательством Российской Федерации с учетом особенностей, установленных Законом № 40-ФЗ.
Согласно абзацу 2 пункта 11 статьи 12 Закона № 40-ФЗ в случае непредставления потерпевшим поврежденного имущества или его остатков для осмотра и (или) независимой технической экспертизы, независимой экспертизы (оценки) в согласованную со страховщиком дату страховщик согласовывает с потерпевшим новую дату осмотра и (или) независимой технической экспертизы, независимой экспертизы (оценки) поврежденного имущества или его остатков. При этом в случае неисполнения потерпевшим установленной пунктами 10 и 13 статьи 12 Закона № 40-ФЗ обязанности представить поврежденное имущество или его остатки для осмотра и (или) независимой технической экспертизы, независимой экспертизы (оценки) срок принятия страховщиком решения о страховом возмещении, определенный в соответствии с пунктом 21 указанной статьи, может быть продлен на период, не превышающий количества дней между датой представления потерпевшим поврежденного имущества или его остатков и согласованной с потерпевшим датой осмотра и (или) независимой технической экспертизы, независимой экспертизы (оценки), но не более чем на 20 календарных дней, за исключением нерабочих праздничных дней.
В случае непредставления потерпевшим поврежденного имущества или его остатков для осмотра и (или) независимой технической экспертизы, независимой экспертизы (оценки) в согласованную со страховщиком дату потерпевший не вправе самостоятельно организовывать независимую техническую экспертизу или независимую экспертизу (оценку) на основании абзаца второго пункта 13 статьи 12 Закона № 40-ФЗ, а страховщик вправе вернуть без рассмотрения представленное потерпевшим заявление о страховом возмещении или прямом возмещении убытков вместе с документами, предусмотренными Правилами ОСАГО.
Результаты самостоятельно организованной потерпевшим независимой технической экспертизы, независимой экспертизы (оценки) поврежденного имущества или его остатков не принимаются для определения размера страхового возмещения в случае, если потерпевший не представил поврежденное имущество или его остатки для осмотра и (или) независимой технической экспертизы, независимой экспертизы (оценки) в согласованные со страховщиком даты в соответствии с абзацами первым и вторым пункта 11 статьи 12 Закона № 40-ФЗ.
В случае возврата страховщиком потерпевшему на основании абзаца четвертого пункта 11 статьи 12 Закона № 40-Ф заявления о страховом возмещении или прямом возмещении убытков вместе с документами, предусмотренными Правилами ОСАГО, установленные Законом № 40-ФЗ сроки проведения страховщиком осмотра поврежденного имущества или его остатков и (или) организации их независимой технической экспертизы, независимой экспертизы (оценки), а также сроки осуществления страховщиком страховой выплаты или выдачи потерпевшему направления на ремонт либо направления ему мотивированного отказа в страховом возмещении исчисляются со дня повторного представления потерпевшим страховщику заявления о страховом возмещении или прямом возмещении убытков вместе с документами, предусмотренными Правилами ОСАГО.
В соответствии с разъяснениями, содержащимися в пункте 31 Постановления Пленума Верховного Суда Российской Федерации от 26.12.2017 № 58 «О применении судами законодательства об обязательном страховании гражданской ответственности владельцев транспортных средств» (далее – Постановление Пленума ВС РФ от 26.12.2017 № 58), если страховщиком заявление о страховом возмещении или прямом возмещении убытков в соответствии с абзацем четвертым пункта 11 статьи 12 Закона № 40-ФЗ было возвращено потерпевшему, он вправе повторно обратиться к страховщику с таким заявлением, приложив документы, предусмотренные Правилами ОСАГО. При этом сроки проведения страховщиком осмотра поврежденного имущества или его остатков и (или) организации их независимой технической экспертизы, независимой экспертизы (оценки), а также сроки осуществления страховой выплаты или выдачи потерпевшему направления на ремонт либо направления ему мотивированного отказа в страховом возмещении исчисляются со дня повторного обращения (абзац шестой пункта 11 статьи 12 Закона № 40-ФЗ.</t>
  </si>
  <si>
    <t>-</t>
  </si>
  <si>
    <t>Республика Татарстан</t>
  </si>
  <si>
    <t>Камчатского края</t>
  </si>
  <si>
    <t>Иркутской области</t>
  </si>
  <si>
    <t>Кабардино-Балкарской Республики</t>
  </si>
  <si>
    <t>Калининградской области</t>
  </si>
  <si>
    <t>Калужской области</t>
  </si>
  <si>
    <t>Карачаево-Черкесской Республики</t>
  </si>
  <si>
    <t>Кемеровской области</t>
  </si>
  <si>
    <t>Кировской области</t>
  </si>
  <si>
    <t>Костромской области</t>
  </si>
  <si>
    <t>Краснодарского края</t>
  </si>
  <si>
    <t>Красноярского края</t>
  </si>
  <si>
    <t>Курганской области</t>
  </si>
  <si>
    <t>Курской области</t>
  </si>
  <si>
    <t>Ленинградской области</t>
  </si>
  <si>
    <t>Липецкой области</t>
  </si>
  <si>
    <t>Магаданской области</t>
  </si>
  <si>
    <t>Московской области</t>
  </si>
  <si>
    <t>Мурманской области</t>
  </si>
  <si>
    <t>Ненецкого автономного округа</t>
  </si>
  <si>
    <t>Нижегородской области</t>
  </si>
  <si>
    <t>Новосибирской области</t>
  </si>
  <si>
    <t>Омской области</t>
  </si>
  <si>
    <t>Новгородской области</t>
  </si>
  <si>
    <t>Оренбургской области</t>
  </si>
  <si>
    <t>Орловской области</t>
  </si>
  <si>
    <t>Пензенской области</t>
  </si>
  <si>
    <t>Приморского края</t>
  </si>
  <si>
    <t>Псковской области</t>
  </si>
  <si>
    <t>Республики Алтай</t>
  </si>
  <si>
    <t>Республики Башкортостан</t>
  </si>
  <si>
    <t>Республики Бурятия</t>
  </si>
  <si>
    <t>Республики Дагестан</t>
  </si>
  <si>
    <t>Республики Ингушетия</t>
  </si>
  <si>
    <t>Республики Калмыкия</t>
  </si>
  <si>
    <t>Республики Карелия</t>
  </si>
  <si>
    <t>Республики Коми</t>
  </si>
  <si>
    <t>Республики Крым</t>
  </si>
  <si>
    <t>Республики Марий Эл</t>
  </si>
  <si>
    <t>Республики Мордовия</t>
  </si>
  <si>
    <t>Республики Саха (Якутия)</t>
  </si>
  <si>
    <t>Республики Северная Осетия - Алания</t>
  </si>
  <si>
    <t>Республики Татарстан</t>
  </si>
  <si>
    <t>Республики Тыва</t>
  </si>
  <si>
    <t>Республики Хакасия</t>
  </si>
  <si>
    <t>Ростовской области</t>
  </si>
  <si>
    <t>Рязанской области</t>
  </si>
  <si>
    <t>Самарской области</t>
  </si>
  <si>
    <t>Саратовской области</t>
  </si>
  <si>
    <t>Сахалинской области</t>
  </si>
  <si>
    <t>Свердловской области</t>
  </si>
  <si>
    <t>Смоленской области</t>
  </si>
  <si>
    <t>Ставропольского края</t>
  </si>
  <si>
    <t>Тамбовской области</t>
  </si>
  <si>
    <t>Тверской области</t>
  </si>
  <si>
    <t>Томской области</t>
  </si>
  <si>
    <t>Тульской области</t>
  </si>
  <si>
    <t>Тюменской области</t>
  </si>
  <si>
    <t>Удмуртской Республики</t>
  </si>
  <si>
    <t>Ульяновской области</t>
  </si>
  <si>
    <t>Хабаровского края</t>
  </si>
  <si>
    <t>Ханты-Мансийского автономного округа - Югра</t>
  </si>
  <si>
    <t>Челябинской области</t>
  </si>
  <si>
    <t>Чеченской Республики</t>
  </si>
  <si>
    <t>Чувашской Республики</t>
  </si>
  <si>
    <t>Чукотского автономного округа</t>
  </si>
  <si>
    <t>Ямало-Ненецкого автономного округа</t>
  </si>
  <si>
    <t>Ярославской области</t>
  </si>
  <si>
    <t>- каковы обстоятельства ДТП, в результате которого повреждено ТС и причины повреждений, обнаруженных на рассматриваемом ТС;
- какие повреждения ТС относятся к рассматриваемому ДТП;
- какие технологии и методы восстановительного ремонта применимы к повреждениям, относящимся к ДТП;
- какой размер расходов на восстановительный ремонт ТС с учётом износа запасных частей и без такового, относящийся к ДТП, в соответствии с расценками установленными правилами страхования КАСКО? (на основании имеющихся актов осмотра и актов согласования скрытых дефектов с СТОА);
- какова стоимость ТС в неповреждённом состоянии на момент ДТП</t>
  </si>
  <si>
    <t>КАСКО (без УТС)</t>
  </si>
  <si>
    <t>КАСКО (с УТС)</t>
  </si>
  <si>
    <t>- каковы обстоятельства ДТП, в результате которого повреждено Транспортного средства и причины повреждений, обнаруженных на рассматриваемом Транспортном средстве
- какие повреждения Транспортного средства относятся к рассматриваемому ДТП;
- какие технологии и методы восстановительного ремонта применимы к повреждениям, относящимся к ДТП;
- какой размер расходов на восстановительный ремонт Транспортного средства с учётом износа запасных частей и без такового, относящийся к ДТП, в соответствии с расценками установленными правилами страхования КАСКО (на основании имеющихся актов осмотра и актов согласования скрытых дефектов с СТОА);
- какова стоимость Транспортного средства в неповреждённом состоянии на момент ДТП;
- какова величина утраты товарной стоимости (УТС) Транспортного средства</t>
  </si>
  <si>
    <t>Отписано. Загрузить. Хочет расходы на НТЭ после 01.06.2019 и неустойку</t>
  </si>
  <si>
    <t>614066, Пермский край, г. Пермь, ш. Космонавтов, д. 111, оф. 111</t>
  </si>
  <si>
    <t>Предоставил ТС на осмотр в отремонтированном состоянии. Долго устанавливал вину в судебном порядке.</t>
  </si>
  <si>
    <t>Наехал на собаку. ФО выдала направление на дефектовку. Добавить мотивировку взыскание после невыдачи направления на ремонт по КАСКО</t>
  </si>
  <si>
    <t>125040, г. Москва, ул. Скаковая, д. 17 стр. 2</t>
  </si>
  <si>
    <t>ПАО «МСЦ»</t>
  </si>
  <si>
    <t>Неустойка 1% после суда (неустойка взыскана частично)</t>
  </si>
  <si>
    <t>НЕУСТОЙКА (ПОСЛЕ СУДА)</t>
  </si>
  <si>
    <t>Согласно статье 12 Гражданского кодекса Российской Федерации (далее – ГК РФ) взыскание неустойки является одним из способов защиты нарушенного гражданского права.
По смыслу статьи 330 ГК РФ неустойкой (штрафом, пеней) признается определенная законом или договором денежная сумма, которую должник обязан уплатить кредитору в случае неисполнения или ненадлежащего исполнения обязательства, в частности в случае просрочки исполнения. По требованию об уплате неустойки кредитор не обязан доказывать причинение ему убытков.
Пунктом 21 статьи 12 Закона № 40-ФЗ установлено, что в течение 20 календарных дней, за исключением нерабочих праздничных дней, а в случае, предусмотренном пунктом 15.3 статьи 12 Закона № 40-ФЗ, 30 календарных дней, за исключением нерабочих праздничных дней, со дня принятия к рассмотрению заявления потерпевшего о страховом возмещении или прямом возмещении убытков и приложенных к нему документов, предусмотренных Правилами ОСАГО, страховщик обязан произвести страховую выплату потерпевшему или после осмотра и (или) независимой технической экспертизы поврежденного транспортного средства выдать потерпевшему направление на ремонт транспортного средства с указанием станции технического обслуживания, на которой будет отремонтировано его транспортное средство и которой страховщик оплатит восстановительный ремонт поврежденного транспортного средства, и срока ремонта либо направить потерпевшему мотивированный отказ в страховом возмещении.
При несоблюдении срока осуществления страховой выплаты или срока выдачи потерпевшему направления на ремонт транспортного средства страховщик за каждый день просрочки уплачивает потерпевшему неустойку (пеню) в размере одного процента от определенного в соответствии с Законом № 40-ФЗ размера страхового возмещения по виду причиненного вреда каждому потерпевшему.
В пункте 78 постановления Пленума Верховного Суда Российской Федерации от 26.12.2017 № 58 «О применении судами законодательства об обязательном страховании гражданской ответственности владельцев транспортных средств» указано, что неустойка исчисляется со дня, следующего за днем, установленным для принятия решения о выплате страхового возмещения, то есть с 21-го дня после получения страховщиком заявления потерпевшего о страховой выплате и документов, предусмотренных Правилами ОСАГО, и до дня фактического исполнения страховщиком обязательства по договору включительно. 
Статьей 191 ГК РФ установлено, что течение срока, определённого периодом времени, начинается на следующий день после календарной даты или наступления события, которыми определено его начало.</t>
  </si>
  <si>
    <t>вынесено решение о взыскании с</t>
  </si>
  <si>
    <t>суммы страхового возмещения в размере</t>
  </si>
  <si>
    <t>, неустойки за несоблюдение срока выплаты страхового возмещения по договору ОСАГО за период с</t>
  </si>
  <si>
    <t>Указанное решение суда было исполнено в полном объеме</t>
  </si>
  <si>
    <t>Таким образом, с</t>
  </si>
  <si>
    <t>подлежит взысканию неустойка на сумму страхового возмещения в размере</t>
  </si>
  <si>
    <t>, взысканную по решению суда, за период с</t>
  </si>
  <si>
    <t>×</t>
  </si>
  <si>
    <t>на расчетный счет Заявителя была произведена выплата неустойки за несоблюдение срока выплаты страхового возмещения по договору ОСАГО в размере</t>
  </si>
  <si>
    <t>(включительно) в размере</t>
  </si>
  <si>
    <t>В соответствии с требованиями, установленными пунктом 21 статьи 12 Закона № 40-ФЗ, размер неустойки, подлежащий взысканию за период с</t>
  </si>
  <si>
    <t>Учитывая вышеизложенное, требование Заявителя о взыскании неустойки за несоблюдение срока выплаты страхового возмещения по Договору ОСАГО подлежит удовлетворению в размере</t>
  </si>
  <si>
    <t>Отписано. Неустойка после суда с добровольной оплатой</t>
  </si>
  <si>
    <t>Иное Комплекс</t>
  </si>
  <si>
    <t>Иное Траса</t>
  </si>
  <si>
    <t>Еще не пришла. Комплексная. Документов от ФО нет. ФО предоставила документы только 13.11.2019 и 14.11.2019</t>
  </si>
  <si>
    <t>НЕ ПРЕДОСТАВИЛ НА ОСМОТР</t>
  </si>
  <si>
    <t>ОТКАЗ (НЕ ПРЕДОСТАВИЛ НА ОСМОТР)</t>
  </si>
  <si>
    <t>В соответствии с пунктом 1 статьи 1064 Гражданского кодекса Российской Федерации (далее – ГК РФ) вред, причиненный личности или имуществу гражданина, а также вред, причиненный имуществу юридического лица, подлежит возмещению в полном объеме лицом, причинившим вред.
Согласно части 4 статьи 931 ГК РФ в случае, когда ответственность за причинение вреда застрахована в силу того, что ее страхование обязательно, а также в других случаях, предусмотренных законом или договором страхования такой ответственности, лицо, в пользу которого считается заключенным договор страхования, вправе предъявить непосредственно страховщику требование о возмещении вреда в пределах страховой суммы.
В соответствии с абзацем 11 статьи 1 Закона № 40-ФЗ под страховым случаем понимается наступление гражданской ответственности страхователя, иных лиц, риск ответственности которых застрахован по договору обязательного страхования, за причинение вреда жизни, здоровью или имуществу потерпевших при использовании транспортного средства, которое влечет за собой обязанность страховщика произвести страховую выплату.
При предъявлении требования о страховой выплате факт наступления страхового случая подлежит доказыванию, бремя доказывания этого факта лежит на лице, предъявившем требование о страховой выплате, при этом страховщик вправе доказывать, что имели место обстоятельства, освобождающие его от обязанности произвести страховую выплату.
В соответствии с пунктом 10 статьи 12 Закона № 40-ФЗ при причинении вреда имуществу в целях выяснения обстоятельств причинения вреда и определения размера подлежащих возмещению страховщиком убытков потерпевший, намеренный воспользоваться своим правом на страховое возмещение или прямое возмещение убытков, в течение пяти рабочих дней с даты подачи заявления о страховом возмещении и прилагаемых к нему в соответствии с правилами обязательного страхования документов обязан представить поврежденное транспортное средство или его остатки для осмотра и (или) независимой технической экспертизы, проводимой в порядке, установленном статьей 12.1 Закона № 40-ФЗ, иное имущество для осмотра и (или) независимой экспертизы (оценки), проводимой в порядке, установленном законодательством Российской Федерации с учетом особенностей, установленных Законом № 40-ФЗ.
Согласно пункту 11 статьи 12 Закона № 40-ФЗ страховщик обязан осмотреть поврежденное транспортное средство, иное имущество или его остатки и (или) организовать их независимую техническую экспертизу, независимую экспертизу (оценку) в срок не более чем пять рабочих дней со дня поступления заявления о страховом возмещении или прямом возмещении убытков с приложенными документами, предусмотренными Правилами ОСАГО.
В пунктах 20, 31, 32 Постановления Пленума Верховного Суда Российской Федерации от 26.12.2017 года N 58 «О применении судами законодательства об обязательном страховании гражданской ответственности владельцев транспортных средств» разъяснено, что при наступлении страхового случая потерпевший обязан не только уведомить об этом страховщика в сроки, установленные Правилами страхования, но и направить страховщику заявление о страховой выплате и документы, предусмотренные Правилами страхования (пункт 3 статьи 11 Закона № 40-ФЗ), а также представить на осмотр поврежденное в результате дорожно-транспортного происшествия транспортное средство и/или иное поврежденное имущество (пункт 10 статьи 12 Закона № 40-ФЗ).
Если потерпевшим не представлено поврежденное имущество или его остатки для осмотра и (или) независимой технической экспертизы, независимой экспертизы (оценки) в согласованную со страховщиком дату, страховщик согласовывает с потерпевшим новую дату осмотра и (или) независимой технической экспертизы, независимой экспертизы (оценки) поврежденного имущества или его остатков.
При повторном непредставлении потерпевшим поврежденного имущества или его остатков для осмотра и (или) независимой технической экспертизы, независимой экспертизы (оценки) в согласованную со страховщиком дату страховщик вправе вернуть без рассмотрения представленное потерпевшим заявление о страховом возмещении или прямом возмещении убытков вместе с документами, предусмотренными Правилами ОСАГО (абзац четвертый пункта 11 статьи 12 Закона № 40-ФЗ).
Если потерпевший повторно не представил поврежденное имущество или его остатки для осмотра и (или) независимой технической экспертизы, независимой экспертизы (оценки) в согласованные со страховщиком даты, результаты самостоятельно организованной потерпевшим независимой технической экспертизы, независимой экспертизы (оценки) поврежденного имущества или его остатков не принимаются для определения размера страхового возмещения (абзац пятый пункта 11 статьи 12 Закона № 40-ФЗ).</t>
  </si>
  <si>
    <t>документов не следует, что Заявителем была исполнена обязанность по представлению Транспортного средства на осмотр.</t>
  </si>
  <si>
    <t>Таким образом у</t>
  </si>
  <si>
    <t>отсутствуют правовые основания для осуществления страхового возмещения, а требование Заявителя о взыскании страхового возмещения удовлетворению не подлежит.</t>
  </si>
  <si>
    <t>В удовлетворении остальной части требований отказать</t>
  </si>
  <si>
    <t>Ущерб здоровью ОСАГО</t>
  </si>
  <si>
    <t>Ущерб жизни ОСАГО</t>
  </si>
  <si>
    <t>страхового возмещения вследствие причинения вреда здоровью по договору ОСАГО</t>
  </si>
  <si>
    <t>страхового возмещения вследствие причинения вреда жизни по договору ОСАГО</t>
  </si>
  <si>
    <t>страхового возмещения вследствие причинения вреда здоровью по договору ОСАГО в размере</t>
  </si>
  <si>
    <t>страхового возмещения вследствие причинения вреда жизни по договору ОСАГО в размере</t>
  </si>
  <si>
    <t>страховое возмещение вследствие причинения вреда здоровью по договору ОСАГО в размере</t>
  </si>
  <si>
    <t>страховое возмещение вследствие причинения вреда жизни по договору ОСАГО в размере</t>
  </si>
  <si>
    <t>были причинены телесные повреждения Заявителю, являющейся пассажиром транспортного средства</t>
  </si>
  <si>
    <t>под управлением</t>
  </si>
  <si>
    <t>Бредова Ольга Викторовна</t>
  </si>
  <si>
    <t>Пришла. Комплекс. Выдали направление на ремонт, но почтового доказательства нет. Также нужно проверить стоимость ремонта, т.к. по экспертизе Заявителя она превышает 400000</t>
  </si>
  <si>
    <t>https://smp.sfurf.office/sd/operator/#uuid:serviceCall$61785439</t>
  </si>
  <si>
    <t>https://smp.sfurf.office/sd/operator/#uuid:serviceCall$61785459</t>
  </si>
  <si>
    <t>https://smp.sfurf.office/sd/operator/#uuid:serviceCall$61785480</t>
  </si>
  <si>
    <t>https://smp.sfurf.office/sd/operator/#uuid:serviceCall$61785482</t>
  </si>
  <si>
    <t>Просит УТС, но не обращался с заявлением, а только с претензией.</t>
  </si>
  <si>
    <t>Добровольное исполнение. Отказ в части расходов на юриста, нотариуса и почту</t>
  </si>
  <si>
    <t>Пришла. Комплекс, рыночная, годники, медицинская. Здоровье, ТОТАЛ</t>
  </si>
  <si>
    <t>Отписано, нужно дождаться платежек от РГС и вставить в текст. Ждем платежек, если есть, то отказ в связи с добровольным исполнением, если нет, то в НТЭ. Заявитель просит выплату в счет причинения вреда здоровью по обоим полисам виновников (оба в РГС). РГС по одному выплату произвела, по второму говорит, что произведет, но платежек пока нет.</t>
  </si>
  <si>
    <t>Отписано. ПП пришла. Ждем платежку от ФО на сумму 54800. РЕСО обещали прислать. НТЭ Пришла. Комплекс</t>
  </si>
  <si>
    <t>ООО «СК «СЕРВИСРЕЗЕРВ»</t>
  </si>
  <si>
    <t>601901, Владимирская обл., г. Ковров, ул. Чернышевского, д. 17</t>
  </si>
  <si>
    <t>ПРЕКРАЩЕНИЕ (НЕ СОБЛЮДЕН ДОСУДЕБНЫЙ ПОРЯДОК)</t>
  </si>
  <si>
    <t>В соответствии с пунктом 1 статьи 16.1 Закона № 40-ФЗ с 01.06.2019 при наличии разногласий между потерпевшим, являющимся потребителем финансовых услуг, определенным в соответствии с Законом № 123-ФЗ, и страховщиком относительно исполнения последним своих обязательств по договору обязательного страхования до предъявления к страховщику иска, вытекающего из неисполнения или ненадлежащего исполнения им обязательств по договору обязательного страхования, несогласия указанного потерпевшего с размером осуществленной страховщиком страховой выплаты, несоблюдения станцией технического обслуживания срока передачи указанному потерпевшему отремонтированного транспортного средства, нарушения иных обязательств по проведению восстановительного ремонта транспортного средства указанный потерпевший должен направить страховщику письменное заявление, а страховщик обязан рассмотреть его в порядке, установленном Законом № 123-ФЗ.
Согласно части 1 статьи 16 Закона № 123-ФЗ до направления финансовому уполномоченному обращения потребитель финансовых услуг должен направить в финансовую организацию заявление в письменной или электронной форме.
В соответствии с частью 4 статьи 16 Закона № 123-ФЗ потребитель финансовых услуг вправе направить обращение финансовому уполномоченному после получения ответа финансовой организации либо в случае неполучения ответа финансовой организации по истечении соответствующих сроков рассмотрения финансовой организацией заявления потребителя финансовых услуг, установленных частью 2 статьи 16 Закона № 123-ФЗ. 
Согласно пункту 5 части 1 статьи 17 Закона № 123-ФЗ обращение направляется в письменной или электронной форме и включает в себя сведения о направлении заявления в финансовую организацию, наличии ее ответа.
Таким образом, до направления финансовому уполномоченному обращения потребитель финансовых услуг должен направить в финансовую организацию заявление в письменной или электронной форме в установленном законом порядке. При направлении заявления в финансовую организацию следует учитывать, что финансовым уполномоченным подлежат рассмотрению требования имущественного характера, которые содержались в направленном финансовой организации заявлении.</t>
  </si>
  <si>
    <t>Пунктом 2 части 1 статьи 19 Закона № 123-ФЗ установлено, что финансовый уполномоченный не рассматривает обращения, в том числе, если потребитель финансовых услуг предварительно не обратился в финансовую организацию в порядке, установленном статьей 16 Закона № 123-ФЗ.
Пунктом 1 части 1 статьи 27 Закона № 123-ФЗ установлено, что финансовый уполномоченный прекращает рассмотрение обращения в случае выявления в процессе рассмотрения обращения обстоятельств, указанных в части 1 статьи 19 Закона № 123-ФЗ.
Учитывая изложенное, рассмотрение Обращения подлежит прекращению Финансовым уполномоченным.</t>
  </si>
  <si>
    <t>ПРЕКРАЩЕНИЕ (НЕ ЗАЯВЛЯЛ УТС ПРИ ОБРАЩЕНИИ)</t>
  </si>
  <si>
    <t>Филиппов Владислав Дмитриевич</t>
  </si>
  <si>
    <t>https://smp.sfurf.office/sd/operator/#uuid:serviceCall$62466995</t>
  </si>
  <si>
    <t>https://smp.sfurf.office/sd/operator/#uuid:serviceCall$62649507</t>
  </si>
  <si>
    <t>420061, Республика Татарстан, г. Казань, ул. Николая Ершова, д. 18</t>
  </si>
  <si>
    <t>ПРЕКРАЩЕНИЕ (БЫЛ СУД)</t>
  </si>
  <si>
    <t>Пунктом 1 части 1 статьи 27 Закона № 123-ФЗ установлено, что Финансовый уполномоченный прекращает рассмотрение обращения в случае выявления в процессе рассмотрения обращения обстоятельств, указанных в части 1 статьи 19 Закона № 123-ФЗ.
Пунктом 3 части 1 статьи 19 Закона № 123-ФЗ установлено, что Финансовый уполномоченный не рассматривает обращения, если в суде, третейском суде имеется либо рассмотрено дело по спору между теми же сторонами, о том же предмете и по тем же основаниям.</t>
  </si>
  <si>
    <t>Согласно информации, предоставленной</t>
  </si>
  <si>
    <t>об удовлетворении исковых требований Заявителя о взыскании с</t>
  </si>
  <si>
    <t>об отказе в удовлетворении исковых требований Заявителя о взыскании с</t>
  </si>
  <si>
    <t>по факту причинения вреда Транспортному средству Заявителя в результате ДТП от</t>
  </si>
  <si>
    <t>Учитывая вышеизложенное, рассмотрение Обращения подлежит прекращению Финансовым уполномоченным.</t>
  </si>
  <si>
    <t>по делу №</t>
  </si>
  <si>
    <t>, что также подтверждается информацией с официального сайта суда</t>
  </si>
  <si>
    <t>ООО «Зетта Страхование»</t>
  </si>
  <si>
    <t>121087, г. Москва, пр-д Багратионовский, д. 7, корп. 11</t>
  </si>
  <si>
    <t>Должна прийти 20.11.2019. Пришел ответ о том, что не удалось связаться с Заказчиком. Созвонились со Стариковым, решили направить на новый круг и сделать рецензию имеющегося заключения ЗАказчика. Поставить вопросы о том, правильная ли экспертиза и возможно ли по приложенным материалам составить новое заключение. Комплексная + УТС + Трасса (есть спор по элементам). Ушла на повторную экспертизу. Приостановить повторно. Выплата в срок в пределах статистической пограшности.</t>
  </si>
  <si>
    <t>Пришла. Комплекс. Недоплата страхового возмещения. Сам НТЭ не проводил. Просил только ущерб</t>
  </si>
  <si>
    <t>Пришла. Комплекс. СТОА отказалось делать ремонт, т.к. не укладывалась в 30дневный срок. Перечислили часть деньгами</t>
  </si>
  <si>
    <t>https://smp.sfurf.office/sd/operator/#uuid:serviceCall$62649558</t>
  </si>
  <si>
    <t>https://smp.sfurf.office/sd/operator/#uuid:serviceCall$62649573</t>
  </si>
  <si>
    <t>АО СК «Сибирский спас»</t>
  </si>
  <si>
    <t>654007, г. Новокузнецк, пр. Кузнецкстроевский, 13</t>
  </si>
  <si>
    <t>У-19-39984</t>
  </si>
  <si>
    <t>https://smp.sfurf.office/sd/operator/#uuid:serviceCall$42559460</t>
  </si>
  <si>
    <t>Шабанов Георгий Тамазиевич</t>
  </si>
  <si>
    <t>У-19-55899</t>
  </si>
  <si>
    <t>https://smp.sfurf.office/sd/operator/#uuid:serviceCall$62093576</t>
  </si>
  <si>
    <t>Судницына Дарья Игоревна</t>
  </si>
  <si>
    <t>Больше 3х лет. Обратилась с заявлением 27.09.2019, срок вышел 18.10.2019, к ФУ только 28.10.2019</t>
  </si>
  <si>
    <t>ОБОСНОВАНИЕ (ПЕРЕХОД С НАТУРАЛЬНОЙ НА ДЕНЕЖНУЮ ФОРМЕ ОБОСНОВАН)  - РАССТОЯНИЕ ДО СТОА БОЛЕЕ 50 КМ</t>
  </si>
  <si>
    <t>Пунктом 15.1 статьи 12 Закона № 40-ФЗ установлено, что страховое возмещение вреда, причиненного легковому автомобилю, находящемуся в собственности гражданина и зарегистрированному в Российской Федерации, осуществляется (за исключением случаев, установленных пунктом 16.1 Закона № 40-ФЗ) в соответствии с пунктом 15.2 Закона № 40-ФЗ или в соответствии с пунктом 15.3 Закона № 40-ФЗ путем организации и (или) оплаты восстановительного ремонта поврежденного транспортного средства потерпевшего (возмещение причиненного вреда в натуре).
Согласно абзацу 3 пункта 15.2 статьи 12 Закона № 40-ФЗ одним из требований к организации восстановительного ремонта является в том числе критерий доступности для потерпевшего места проведения восстановительного ремонта поврежденного транспортного средства (при этом по выбору потерпевшего максимальная длина маршрута, проложенного по дорогам общего пользования, от места дорожно-транспортного происшествия или места жительства потерпевшего до станции технического обслуживания не может превышать 50 километров, за исключением случая, если страховщик организовал и (или) оплатил транспортировку поврежденного транспортного средства до места проведения восстановительного ремонта и обратно).
В соответствии с абзацем 6 пункта 15.2 статьи 12 Закона № 40-ФЗ в случае, если ни одна из станций, с которыми у страховщика заключены договоры на организацию восстановительного ремонта, не соответствует установленным правилами обязательного страхования требованиям к организации восстановительного ремонта в отношении конкретного потерпевшего, страховщик с согласия потерпевшего в письменной форме может выдать потерпевшему направление на ремонт на одну из таких станций. В случае отсутствия указанного согласия возмещение вреда, причиненного транспортному средству, осуществляется в форме страховой выплаты.
Пунктом 16.1 пункта 15.2 статьи 12 Закона № 40-ФЗ установлено, что страховое возмещение вреда, причиненного легковому автомобилю, находящемуся в собственности гражданина и зарегистрированному в Российской Федерации, осуществляется путем выдачи суммы страховой выплаты потерпевшему (выгодоприобретателю) в кассе страховщика или перечисления суммы страховой выплаты на банковский счет потерпевшего (выгодоприобретателя) (наличный или безналичный расчет) в случае выбора потерпевшим возмещения вреда в форме страховой выплаты в соответствии с абзацем шестым пункта 15.2 статьи 12 Закона № 40-ФЗ.</t>
  </si>
  <si>
    <t>Как установлено Финансовым уполномоченным, Заявитель зарегистрирован по месту жительства по адресу: 352847, Краснодарский край, Туапсинский р-н, с. Лермонтово, ул. Зеленая, д. 14.
При этом, согласно направлению на ремонт, выданному АО «ГСК «Югория», СТОА находится по следующему адресу: 350007, г. Краснодар, ул. Воронежская, д. 118.
Согласно данным Яндекс-сервиса длина маршрута, проложенного по дорогам общего пользования от места жительства потерпевшего до СТОА превышает 50 километров.
23.08.2019 Заявитель обратился в АО «ГСК «Югория» с заявлением о смене формы страхового возмещения с натуральной на денежную.
Таким образом, Финансовый уполномоченный приходит к выводу о наличии оснований для выплаты страхового возмещения в денежной форме.</t>
  </si>
  <si>
    <t>После НТЭ ФУ. Обоснование смена формы обоснована, т.к. ННР выдали на СТОА, которое расположено на расстоянии более 50 км до места жительства Заявителя.</t>
  </si>
  <si>
    <t>Юрист</t>
  </si>
  <si>
    <t>Составление претензии</t>
  </si>
  <si>
    <t>Экспертиза по УТС</t>
  </si>
  <si>
    <t>Экспертиза по ущербу</t>
  </si>
  <si>
    <t>https://smp.sfurf.office/sd/operator/#uuid:serviceCall$62649568</t>
  </si>
  <si>
    <t>https://smp.sfurf.office/sd/operator/#uuid:serviceCall$62649576</t>
  </si>
  <si>
    <t>https://smp.sfurf.office/sd/operator/#uuid:serviceCall$62649582</t>
  </si>
  <si>
    <t>https://smp.sfurf.office/sd/operator/#uuid:serviceCall$62649586</t>
  </si>
  <si>
    <t>Просит без износа, ФО оплатила по НТЭ Заявителя с учетом износа</t>
  </si>
  <si>
    <t>В соответствии с абзацем 2 пункта 19 статьи 12 Закона № 40-ФЗ Размер расходов на запасные части определяется с учетом износа комплектующих изделий (деталей, узлов и агрегатов), подлежащих замене при восстановительном ремонте.
Таким образом, надлежащий размер страхового возмещения определяется исходя из стоимости восстановительного ремонта Транспортного средства с учетом износа комплектующих изделий и составляет</t>
  </si>
  <si>
    <t>Неустойка. Нет документов от ФО</t>
  </si>
  <si>
    <t>Технические значки</t>
  </si>
  <si>
    <t>(включительно) составляет</t>
  </si>
  <si>
    <t>ВРЕД ЖИЗНИ (ВЫПЛАТА ПО ВТОРОМУ ПОЛИСУ)</t>
  </si>
  <si>
    <t>Жизнь</t>
  </si>
  <si>
    <t>(далее – ДТП), вследствие столкновения транспортных средств</t>
  </si>
  <si>
    <t>, под управлением</t>
  </si>
  <si>
    <t>, причинен вред жизни</t>
  </si>
  <si>
    <t>(далее - Потерпевший)</t>
  </si>
  <si>
    <t>Виновным в совершении ДТП признан водитель</t>
  </si>
  <si>
    <t>Виновной в совершении ДТП признана водитель</t>
  </si>
  <si>
    <t>Согласно свидетельству о рождении серия</t>
  </si>
  <si>
    <t>(далее - Потерпевшая)</t>
  </si>
  <si>
    <t>с заявлением о страховом возмещении по Договору ОСАГО в связи с причинением вреда жизни</t>
  </si>
  <si>
    <t>На основании вышеизложенного, доводы</t>
  </si>
  <si>
    <t>о том, что в соответствии с пунктом 9.1 статьи 12 Закона № 40-ФЗ общий размер страховой выплаты, осуществленный страховщиками не может превышать размер страховой суммы, предусмотренный подпунктом «а» статьи 7 Закона № 40-ФЗ, являются несостоятельными, поскольку указанная норма Закона № 40-ФЗ была введена Федеральным законом от 01.05.2019 № 88-ФЗ «О внесении изменений в отдельные законодательные акты Российской Федерации» и не действовала на дату заключения Договора ОСАГО.
В соответствии с пунктом 7 статьи 12 Закона № 40-ФЗ, размер страховой выплаты за причинение вреда жизни потерпевшего составляет 475 000 рублей 00 копеек – выгодоприобретателям, указанным в пункте 6 статьи 12 Закона № 40-ФЗ.
В соответствии с пунктом 6 статьи 12 Закона № 40-ФЗ, в случае смерти потерпевшего право на возмещение вреда имеют лица, имеющие право в соответствии с гражданским законодательством на возмещение вреда в случае смерти кормильца, при отсутствии таких лиц – супруг, родители, дети потерпевшего, граждане, у которых потерпевший находился на иждивении, если он не имел самостоятельного дохода (выгодоприобретатели).</t>
  </si>
  <si>
    <t>Как установлено Финансовым уполномоченным, Заявитель является</t>
  </si>
  <si>
    <t>Таким образом, требования Заявителя о взыскании страхового возмещения в связи с причинением вреда жизни</t>
  </si>
  <si>
    <t>подлежат удовлетворению в размере</t>
  </si>
  <si>
    <t>и, соответственно, лицом, имеющим право на получение страхового возмещение в случае смерти</t>
  </si>
  <si>
    <t>, что подтверждается свидетельством о смерти серия</t>
  </si>
  <si>
    <t>Родство</t>
  </si>
  <si>
    <t>Потерпевший</t>
  </si>
  <si>
    <t>Потерпевшего</t>
  </si>
  <si>
    <t>Потерпевшей</t>
  </si>
  <si>
    <t>СоР</t>
  </si>
  <si>
    <t>Заявитель является</t>
  </si>
  <si>
    <t>СоС</t>
  </si>
  <si>
    <t>Вред жизни, выплата по второму полису</t>
  </si>
  <si>
    <t>Пришла. Относятся. Трасология</t>
  </si>
  <si>
    <t>Пришла. Комплекс, УТС</t>
  </si>
  <si>
    <t>Прекращение</t>
  </si>
  <si>
    <t>Коммерческий транспорт</t>
  </si>
  <si>
    <t>Нет документов</t>
  </si>
  <si>
    <t>Возврат документов ФО</t>
  </si>
  <si>
    <t>Есть решение суда</t>
  </si>
  <si>
    <t>Добровольное исполнение</t>
  </si>
  <si>
    <t>Не предоставил на осмотр</t>
  </si>
  <si>
    <t>Подписано соглашение</t>
  </si>
  <si>
    <t>документов, направления на осмотр Транспортного средства дважды направлялись Заявителю, однако Транспортное средство на осмотр предоставлено не было, в связи чем полученный комплект документов был возвращен Заявителю.
Повторное заявление о выплате страхового возмещения Заявителем в адрес</t>
  </si>
  <si>
    <t>не направлялось, Транспортное средство на осмотр не предоставлялось.
В связи с чем, Финансовый уполномоченный приходит к выводу, что обязанность по предоставлению Транспортного средства на осмотр не исполнена Заявителем намеренно, с целью лишения</t>
  </si>
  <si>
    <t>права на оценку ущерба и исполнения обязанностей, возложенных на него Законом № 40-ФЗ. Следовательно, возврат комплекта документов осуществлен</t>
  </si>
  <si>
    <t>заявления (претензии в порядке части 1 статьи 16 Закона № 123-ФЗ) не имеет правого значения, поскольку до обращения к страховщику ОСАГО в установленном порядке возникновение разногласий невозможно, следовательно, отсутствовали основания для направления заявления в порядке части 1 статьи 16 Закона № 123-ФЗ.
Факта уклонения</t>
  </si>
  <si>
    <t>Как следует из предоставленных Заявителем и</t>
  </si>
  <si>
    <t>от выполнения своих обязательств по Договору ОСАГО по урегулированию страхового случая и выплате страхового возмещения Финансовым уполномоченным не усматривается.
Согласно пункту 1 части 1 статьи 27 Закона № 123-ФЗ финансовый уполномоченный прекращает рассмотрение обращения в случае выявления в процессе рассмотрения обращения обстоятельств, указанных в части 1 статьи 19 Закона № 123-ФЗ.
Частью 1 статьи 19 Закона № 123-ФЗ установлено, что финансовый уполномоченный не рассматривает обращения, в том числе, если потребитель финансовых услуг предварительно не обратился в финансовую организацию в порядке, установленном статьей 16 Закона № 123-ФЗ.
Учитывая изложенное, рассмотрение Обращения подлежит прекращению Финансовым уполномоченным.</t>
  </si>
  <si>
    <t>на законном основании.
По смыслу пункта 10 статьи 12 Закона № 40-ФЗ, обязанность по выплате страхового возмещения возникает у страховщика не ранее предоставления потерпевшим заявления о страховом возмещении и документов, прилагаемых к нему в соответствии с Правилами ОСАГО, а также предоставления поврежденного Транспортного средства.
Согласно абзацу 1 пункта 1 статьи 16.1 Закона № 40-ФЗ до предъявления к страховщику иска, содержащего требование об осуществлении страхового возмещения, потерпевший обязан обратиться к страховщику с заявлением, содержащим требование о страховом возмещении или прямом возмещении убытков, с приложенными к нему документами, предусмотренными Правилами ОСАГО.
На дату вынесения решения Финансовым уполномоченным сведения о повторном обращении Заявителя в</t>
  </si>
  <si>
    <t>с заявлением о выплате страхового возмещения с предоставлением полного комплекта документов отсутствуют.
При этом в силу абзаца 3 пункта 1 статьи 16.1 Закона № 40-ФЗ в  редакции, действующей с 01.06.2019, при наличии разногласий между потерпевшим, являющимся потребителем финансовых услуг, определенным в соответствии с Законом № 123-ФЗ, и страховщиком относительно исполнения последним своих обязательств по договору обязательного страхования до предъявления к страховщику иска, вытекающего из неисполнения или ненадлежащего исполнения им обязательств по договору обязательного страхования, несогласия указанного потерпевшего с размером осуществленной страховщиком страховой выплаты, несоблюдения станцией технического обслуживания срока передачи указанному потерпевшему отремонтированного транспортного средства, нарушения иных обязательств по проведению восстановительного ремонта транспортного средства указанный потерпевший должен направить страховщику письменное заявление, а страховщик обязан рассмотреть его в порядке, установленном Законом № 123-ФЗ.
Согласно части 1 статьи 16 Закона № 123-ФЗ до направления финансовому уполномоченному обращения потребитель финансовых услуг должен направить в финансовую организацию заявление в письменной или электронной форме.
Финансовая организация обязана рассмотреть заявление потребителя финансовых услуг и направить ему мотивированный ответ об удовлетворении, частичном удовлетворении или отказе в удовлетворении предъявленного требования.
В соответствии с частью 4 статьи 16 Закона № 123-ФЗ потребитель финансовых услуг вправе направить обращение финансовому уполномоченному после получения ответа финансовой организации либо в случае неполучения ответа финансовой организации по истечении соответствующих сроков рассмотрения финансовой организацией заявления потребителя финансовых услуг, установленных частью 2 статьи 16 Закона № 123-ФЗ.
Таким образом, процесс досудебного урегулирования, в том числе в части обращения в финансовую организацию с заявлением в порядке, установленном статьей 16 Закона № 123-ФЗ, возможен только после обращения потерпевшего в рамках ОСАГО с заявлением, содержащим требование о страховом возмещении или прямом возмещении убытков, с приложенными к нему документами, предусмотренными Правилами ОСАГО (первоначальным заявлением) и возникновения разногласий между страховщиком и потерпевшим.
По указанной причине направление Заявителем в</t>
  </si>
  <si>
    <r>
      <rPr>
        <sz val="11"/>
        <color rgb="FFFF0000"/>
        <rFont val="Calibri"/>
        <family val="2"/>
        <charset val="204"/>
        <scheme val="minor"/>
      </rPr>
      <t>31.05.2019 АО «ГСК «Югория»</t>
    </r>
    <r>
      <rPr>
        <sz val="11"/>
        <color theme="1"/>
        <rFont val="Calibri"/>
        <family val="2"/>
        <charset val="204"/>
        <scheme val="minor"/>
      </rPr>
      <t xml:space="preserve"> направило Заявителю </t>
    </r>
    <r>
      <rPr>
        <sz val="11"/>
        <color rgb="FFFF0000"/>
        <rFont val="Calibri"/>
        <family val="2"/>
        <charset val="204"/>
        <scheme val="minor"/>
      </rPr>
      <t>письмо № 06 07/903</t>
    </r>
    <r>
      <rPr>
        <sz val="11"/>
        <color theme="1"/>
        <rFont val="Calibri"/>
        <family val="2"/>
        <charset val="204"/>
        <scheme val="minor"/>
      </rPr>
      <t xml:space="preserve"> с приложением направления на осмотр № </t>
    </r>
    <r>
      <rPr>
        <sz val="11"/>
        <color rgb="FFFF0000"/>
        <rFont val="Calibri"/>
        <family val="2"/>
        <charset val="204"/>
        <scheme val="minor"/>
      </rPr>
      <t>012/19-48-002826 от 30.05.2019</t>
    </r>
    <r>
      <rPr>
        <sz val="11"/>
        <color theme="1"/>
        <rFont val="Calibri"/>
        <family val="2"/>
        <charset val="204"/>
        <scheme val="minor"/>
      </rPr>
      <t xml:space="preserve"> в </t>
    </r>
    <r>
      <rPr>
        <sz val="11"/>
        <color rgb="FFFF0000"/>
        <rFont val="Calibri"/>
        <family val="2"/>
        <charset val="204"/>
        <scheme val="minor"/>
      </rPr>
      <t>ООО «МЭТР»</t>
    </r>
    <r>
      <rPr>
        <sz val="11"/>
        <color theme="1"/>
        <rFont val="Calibri"/>
        <family val="2"/>
        <charset val="204"/>
        <scheme val="minor"/>
      </rPr>
      <t xml:space="preserve">, что подтверждается списком внутренних почтовых отправлений № </t>
    </r>
    <r>
      <rPr>
        <sz val="11"/>
        <color rgb="FFFF0000"/>
        <rFont val="Calibri"/>
        <family val="2"/>
        <charset val="204"/>
        <scheme val="minor"/>
      </rPr>
      <t>67 от 31.05.2019</t>
    </r>
    <r>
      <rPr>
        <sz val="11"/>
        <color theme="1"/>
        <rFont val="Calibri"/>
        <family val="2"/>
        <charset val="204"/>
        <scheme val="minor"/>
      </rPr>
      <t xml:space="preserve"> (почтовый идентификатор № </t>
    </r>
    <r>
      <rPr>
        <sz val="11"/>
        <color rgb="FFFF0000"/>
        <rFont val="Calibri"/>
        <family val="2"/>
        <charset val="204"/>
        <scheme val="minor"/>
      </rPr>
      <t>80085035166644).</t>
    </r>
    <r>
      <rPr>
        <sz val="11"/>
        <color theme="1"/>
        <rFont val="Calibri"/>
        <family val="2"/>
        <charset val="204"/>
        <scheme val="minor"/>
      </rPr>
      <t xml:space="preserve">
</t>
    </r>
    <r>
      <rPr>
        <sz val="11"/>
        <color rgb="FFFF0000"/>
        <rFont val="Calibri"/>
        <family val="2"/>
        <charset val="204"/>
        <scheme val="minor"/>
      </rPr>
      <t>05.06.2019 АО «ГСК «Югория»</t>
    </r>
    <r>
      <rPr>
        <sz val="11"/>
        <color theme="1"/>
        <rFont val="Calibri"/>
        <family val="2"/>
        <charset val="204"/>
        <scheme val="minor"/>
      </rPr>
      <t xml:space="preserve"> повторно направило Заявителю письмо №</t>
    </r>
    <r>
      <rPr>
        <sz val="11"/>
        <color rgb="FFFF0000"/>
        <rFont val="Calibri"/>
        <family val="2"/>
        <charset val="204"/>
        <scheme val="minor"/>
      </rPr>
      <t xml:space="preserve"> 06 07/947</t>
    </r>
    <r>
      <rPr>
        <sz val="11"/>
        <color theme="1"/>
        <rFont val="Calibri"/>
        <family val="2"/>
        <charset val="204"/>
        <scheme val="minor"/>
      </rPr>
      <t xml:space="preserve">, с приложением направления на осмотр № </t>
    </r>
    <r>
      <rPr>
        <sz val="11"/>
        <color rgb="FFFF0000"/>
        <rFont val="Calibri"/>
        <family val="2"/>
        <charset val="204"/>
        <scheme val="minor"/>
      </rPr>
      <t>012/19-48-002826 от 30.05.2019 в ООО «МЭТР»</t>
    </r>
    <r>
      <rPr>
        <sz val="11"/>
        <color theme="1"/>
        <rFont val="Calibri"/>
        <family val="2"/>
        <charset val="204"/>
        <scheme val="minor"/>
      </rPr>
      <t xml:space="preserve">, что подтверждается почтовыми конвертами (почтовые идентификаторы </t>
    </r>
    <r>
      <rPr>
        <sz val="11"/>
        <color rgb="FFFF0000"/>
        <rFont val="Calibri"/>
        <family val="2"/>
        <charset val="204"/>
        <scheme val="minor"/>
      </rPr>
      <t>№ 35093137843875 и № 35093137843882</t>
    </r>
    <r>
      <rPr>
        <sz val="11"/>
        <color theme="1"/>
        <rFont val="Calibri"/>
        <family val="2"/>
        <charset val="204"/>
        <scheme val="minor"/>
      </rPr>
      <t xml:space="preserve">).
Несмотря на получение Заявителем указанных направлений на осмотр, Транспортное средство на осмотр предоставлено не было.
</t>
    </r>
    <r>
      <rPr>
        <sz val="11"/>
        <color rgb="FFFF0000"/>
        <rFont val="Calibri"/>
        <family val="2"/>
        <charset val="204"/>
        <scheme val="minor"/>
      </rPr>
      <t>21.06.2019 АО «ГСК «Югория»</t>
    </r>
    <r>
      <rPr>
        <sz val="11"/>
        <color theme="1"/>
        <rFont val="Calibri"/>
        <family val="2"/>
        <charset val="204"/>
        <scheme val="minor"/>
      </rPr>
      <t xml:space="preserve"> вернуло Заявителю полный комплект документов в связи с тем, что им не исполнена обязанность по предоставлению Транспортного средства на осмотр страховщику. Дополнительно было разъяснено, что Заявитель вправе повторно обратиться с заявлением о выплате страхового возмещения в установленном законом порядке. Факт возврата Заявителю документов подтверждается почтовыми квитанциями (почтовые идентификаторы № </t>
    </r>
    <r>
      <rPr>
        <sz val="11"/>
        <color rgb="FFFF0000"/>
        <rFont val="Calibri"/>
        <family val="2"/>
        <charset val="204"/>
        <scheme val="minor"/>
      </rPr>
      <t>35004031063702</t>
    </r>
    <r>
      <rPr>
        <sz val="11"/>
        <color theme="1"/>
        <rFont val="Calibri"/>
        <family val="2"/>
        <charset val="204"/>
        <scheme val="minor"/>
      </rPr>
      <t xml:space="preserve"> и № </t>
    </r>
    <r>
      <rPr>
        <sz val="11"/>
        <color rgb="FFFF0000"/>
        <rFont val="Calibri"/>
        <family val="2"/>
        <charset val="204"/>
        <scheme val="minor"/>
      </rPr>
      <t>35004031063719).</t>
    </r>
  </si>
  <si>
    <t>Статус</t>
  </si>
  <si>
    <t>Индекс</t>
  </si>
  <si>
    <t>Фильтр</t>
  </si>
  <si>
    <t>Статус2</t>
  </si>
  <si>
    <t>Индекс2</t>
  </si>
  <si>
    <t>Фильтр2</t>
  </si>
  <si>
    <t>Пока не пришла. Запрос в ВСК о неакцепте. Комплекс. Отказ, т.к. ВСК предоставила подтверждение о неакцепте</t>
  </si>
  <si>
    <t>Неустойка. По решению суда. Платежка по исполнительнмоу листу есть. Обжалуется</t>
  </si>
  <si>
    <t>РЕГИОН</t>
  </si>
  <si>
    <t>Решение подписано</t>
  </si>
  <si>
    <t>Решение вступило в силу</t>
  </si>
  <si>
    <t>Срок обжалования</t>
  </si>
  <si>
    <t>Дата подачи иска в суд</t>
  </si>
  <si>
    <t>У-19-57744</t>
  </si>
  <si>
    <t>Побиткова Анна Владимировна</t>
  </si>
  <si>
    <t>У-19-57782</t>
  </si>
  <si>
    <t>Круг Надежда Абрамовна</t>
  </si>
  <si>
    <t>У-19-57809</t>
  </si>
  <si>
    <t>Яниев Игорь Геннадиевич</t>
  </si>
  <si>
    <t>У-19-57831</t>
  </si>
  <si>
    <t>Глазунова Татьяна Геннадьевна</t>
  </si>
  <si>
    <t>У-19-58281</t>
  </si>
  <si>
    <t>Гаспаров Роберт Вараздатович</t>
  </si>
  <si>
    <t>У-19-58302</t>
  </si>
  <si>
    <t>Татаров Назим Баширович</t>
  </si>
  <si>
    <t>У-19-58319</t>
  </si>
  <si>
    <t>Батраков Сергей Александрович</t>
  </si>
  <si>
    <t>У-19-58323</t>
  </si>
  <si>
    <t>Солнцева Ольга Викторовна</t>
  </si>
  <si>
    <t>У-19-58341</t>
  </si>
  <si>
    <t>Наумов Михаил Федорович</t>
  </si>
  <si>
    <t>У-19-58419</t>
  </si>
  <si>
    <t>Кудиевский Григорий Иосифович</t>
  </si>
  <si>
    <t>У-19-59761</t>
  </si>
  <si>
    <t>Иванова Анна Олеговна</t>
  </si>
  <si>
    <t>У-19-59774</t>
  </si>
  <si>
    <t>Янин Сергей Яковлевич</t>
  </si>
  <si>
    <t>У-19-59775</t>
  </si>
  <si>
    <t>Солодов Лев Дмитриевич</t>
  </si>
  <si>
    <t>У-19-59810</t>
  </si>
  <si>
    <t>Ахметгареев Раиль Равилович</t>
  </si>
  <si>
    <t>У-19-59824</t>
  </si>
  <si>
    <t>Филатов Валерий Анатольевич</t>
  </si>
  <si>
    <t>У-19-59837</t>
  </si>
  <si>
    <t>Арутюнян Артур Володяевич</t>
  </si>
  <si>
    <t>У-19-59875</t>
  </si>
  <si>
    <t>Сулимов Вячеслав Евгеньевич</t>
  </si>
  <si>
    <t>У-19-60237</t>
  </si>
  <si>
    <t>Михаелян Артем Валерьевич</t>
  </si>
  <si>
    <t>У-19-60319</t>
  </si>
  <si>
    <t>Староушник Петр Павлович</t>
  </si>
  <si>
    <t>У-19-60330</t>
  </si>
  <si>
    <t>Булгаков Валерий Анатольевич</t>
  </si>
  <si>
    <t>У-19-60331</t>
  </si>
  <si>
    <t>Быченков Михаил Михайлович</t>
  </si>
  <si>
    <t>У-19-60339</t>
  </si>
  <si>
    <t>Грошев Юрий Юрьевич</t>
  </si>
  <si>
    <t>У-19-60381</t>
  </si>
  <si>
    <t>Николаев Виталий Вячеславович</t>
  </si>
  <si>
    <t>У-19-60998</t>
  </si>
  <si>
    <t>Наприенко Галина Николаевна</t>
  </si>
  <si>
    <t>У-19-61003</t>
  </si>
  <si>
    <t>Ушаков Алексей Давидович</t>
  </si>
  <si>
    <t>У-19-61023</t>
  </si>
  <si>
    <t>Маркова Наталья Петровна</t>
  </si>
  <si>
    <t>У-19-61027</t>
  </si>
  <si>
    <t>Курбанова Эльмира Агабалаевна</t>
  </si>
  <si>
    <t>Пришла. Комплекс, рынок, годники</t>
  </si>
  <si>
    <t>Пришла. Траса + Комплекс</t>
  </si>
  <si>
    <t>https://smp.sfurf.office/sd/operator/#uuid:serviceCall$65226117</t>
  </si>
  <si>
    <t>https://smp.sfurf.office/sd/operator/#uuid:serviceCall$65226138</t>
  </si>
  <si>
    <t>https://smp.sfurf.office/sd/operator/#uuid:serviceCall$65226156</t>
  </si>
  <si>
    <t>https://smp.sfurf.office/sd/operator/#uuid:serviceCall$65226160</t>
  </si>
  <si>
    <t>https://smp.sfurf.office/sd/operator/#uuid:serviceCall$65226178</t>
  </si>
  <si>
    <t>https://smp.sfurf.office/sd/operator/#uuid:serviceCall$65367084</t>
  </si>
  <si>
    <t>https://smp.sfurf.office/sd/operator/#uuid:serviceCall$64488775</t>
  </si>
  <si>
    <t>https://smp.sfurf.office/sd/operator/#uuid:serviceCall$64639713</t>
  </si>
  <si>
    <t>https://smp.sfurf.office/sd/operator/#uuid:serviceCall$64639740</t>
  </si>
  <si>
    <t>https://smp.sfurf.office/sd/operator/#uuid:serviceCall$64639762</t>
  </si>
  <si>
    <t>https://smp.sfurf.office/sd/operator/#uuid:serviceCall$66902597</t>
  </si>
  <si>
    <t>https://smp.sfurf.office/sd/operator/#uuid:serviceCall$67044910</t>
  </si>
  <si>
    <t>https://smp.sfurf.office/sd/operator/#uuid:serviceCall$67044911</t>
  </si>
  <si>
    <t>https://smp.sfurf.office/sd/operator/#uuid:serviceCall$67044946</t>
  </si>
  <si>
    <t>https://smp.sfurf.office/sd/operator/#uuid:serviceCall$67044960</t>
  </si>
  <si>
    <t>https://smp.sfurf.office/sd/operator/#uuid:serviceCall$67044973</t>
  </si>
  <si>
    <t>https://smp.sfurf.office/sd/operator/#uuid:serviceCall$67183713</t>
  </si>
  <si>
    <t>https://smp.sfurf.office/sd/operator/#uuid:serviceCall$67670077</t>
  </si>
  <si>
    <t>ОТКАЗ (ПРОИЗВОДНЫЕ ТРЕБОВАНИЯ)</t>
  </si>
  <si>
    <t>Требования Заявителя о взыскании неустойки, расходов на проведение независимой технической экспертизы являются производными по отношению к требованию о взыскании страхового возмещения, во взыскании которого отказано, в связи с чем, в рассматриваемом случае также удовлетворению не подлежат.</t>
  </si>
  <si>
    <t>Неустойка после добровольной выплаты. Доводы: поздно предоставил на осмотр, поздно предоставил администратинвые материалы (оформление без участников)</t>
  </si>
  <si>
    <t>Расходы, утраченный заработок</t>
  </si>
  <si>
    <t>Неустойка после суда. Суд взыскал по 24.12.2018. Нет платежки</t>
  </si>
  <si>
    <t>НЕ ОБРАЩАЛСЯ</t>
  </si>
  <si>
    <t>ОТЗЫВ ЗАЯВЛЕНИЯ</t>
  </si>
  <si>
    <t>НЕТ ПЛАТЕЖКИ</t>
  </si>
  <si>
    <t>АО Страховое общество «Якорь»</t>
  </si>
  <si>
    <t>Медицинская, комплексная, РГ</t>
  </si>
  <si>
    <t>Комплекс, УТС</t>
  </si>
  <si>
    <t>Не оспаривается</t>
  </si>
  <si>
    <t>Отписана прекращалка. Уточнить у ИП. Нет документов от ФО. Прекращение за отсутствием документов. Выдали ННР, что не оспаривается Заявителем.</t>
  </si>
  <si>
    <t>Отписана прекращался. Согласовать с ИП. ФО предоставила только отзыв, документов не приложила. Спор по сумме ущерба и УТС. Фотоматериалов нет.</t>
  </si>
  <si>
    <t>Отписано. Пришла. Комплекс</t>
  </si>
  <si>
    <t>629003, Ямало-Ненецкий автономный округ, г. Салехард, ул. Маяковского, д. 4</t>
  </si>
  <si>
    <t>АО «СК ОПОРА»</t>
  </si>
  <si>
    <t>Добровольным исполнение. Трое выгодоприобретателей (2 дочери и сын). Выплата в равных долях. Неустойка</t>
  </si>
  <si>
    <t>Непредоставление на осмотр</t>
  </si>
  <si>
    <t>направило Заявителю</t>
  </si>
  <si>
    <t>письмо</t>
  </si>
  <si>
    <t>телеграмму №</t>
  </si>
  <si>
    <t>о вызове на осмотр поврежденного Транспортного средства на</t>
  </si>
  <si>
    <t>в</t>
  </si>
  <si>
    <t>с приложением направления на осмотр №</t>
  </si>
  <si>
    <t>, что подтверждается</t>
  </si>
  <si>
    <t>списком внутренних почтовых отправлений №</t>
  </si>
  <si>
    <t>почтовой квитанцией №</t>
  </si>
  <si>
    <t>описью вложения от</t>
  </si>
  <si>
    <t>(почтовый идентификатор №</t>
  </si>
  <si>
    <t>повторно</t>
  </si>
  <si>
    <t>Несмотря на получение Заявителем указанных направлений на осмотр, Транспортное средство на осмотр предоставлено не было.</t>
  </si>
  <si>
    <t>вернуло Заявителю полный комплект документов в связи с тем, что им не исполнена обязанность по предоставлению Транспортного средства на осмотр страховщику. Дополнительно было разъяснено, что Заявитель вправе повторно обратиться с заявлением о выплате страхового возмещения в установленном законом порядке. Факт возврата Заявителю документов подтверждается</t>
  </si>
  <si>
    <t>Не предоставил на осмотр (уточнить). Постановлении об отказе в возбуждении уголовного дела. Прекращаем, опоздал на 1 час.</t>
  </si>
  <si>
    <t>МАКС</t>
  </si>
  <si>
    <t>В соответствии с частью 7 статьи 16 Закона № 123-ФЗ потребитель финансовых услуг вправе повторно направить обращение финансовому уполномоченному в порядке, предусмотренном Законом № 123-ФЗ.</t>
  </si>
  <si>
    <t>У-19-60314</t>
  </si>
  <si>
    <t>https://smp.sfurf.office/sd/operator/index.jsp;jsessionid=4B56FDB405CD332F2E4AE6AEC0BFEE05#uuid:serviceCall$67670072</t>
  </si>
  <si>
    <t>Йощенко Валентина Олеговна</t>
  </si>
  <si>
    <t>https://smp.sfurf.office/sd/operator/#uuid:serviceCall$67547793</t>
  </si>
  <si>
    <t>https://smp.sfurf.office/sd/operator/#uuid:serviceCall$67670088</t>
  </si>
  <si>
    <t>https://smp.sfurf.office/sd/operator/#uuid:serviceCall$67670089</t>
  </si>
  <si>
    <t>https://smp.sfurf.office/sd/operator/#uuid:serviceCall$67670097</t>
  </si>
  <si>
    <t>https://smp.sfurf.office/sd/operator/#uuid:serviceCall$67811847</t>
  </si>
  <si>
    <t>У-19-61067</t>
  </si>
  <si>
    <t>Ермолаев Дмитрий Сергеевич</t>
  </si>
  <si>
    <t>https://smp.sfurf.office/sd/operator/index.jsp;jsessionid=4B56FDB405CD332F2E4AE6AEC0BFEE05#uuid:serviceCall$68503479</t>
  </si>
  <si>
    <t>https://smp.sfurf.office/sd/operator/index.jsp;jsessionid=4B56FDB405CD332F2E4AE6AEC0BFEE05#uuid:serviceCall$68503484</t>
  </si>
  <si>
    <t>https://smp.sfurf.office/sd/operator/index.jsp;jsessionid=4B56FDB405CD332F2E4AE6AEC0BFEE05#uuid:serviceCall$68598804</t>
  </si>
  <si>
    <t>АЛЕКСАНДРА</t>
  </si>
  <si>
    <t>ЭДУАРД. ОТП. ОК. Неустойка после суда. Направил с правками. Направил повторно на исправления</t>
  </si>
  <si>
    <t>У-19-50215</t>
  </si>
  <si>
    <t>У-19-58929</t>
  </si>
  <si>
    <t>Кузминкова Любовь Григорьевна</t>
  </si>
  <si>
    <t>https://smp.sfurf.office/sd/operator/#uuid:serviceCall$55334657</t>
  </si>
  <si>
    <t>Дело Лены</t>
  </si>
  <si>
    <t>https://smp.sfurf.office/sd/operator/#uuid:serviceCall$66006440</t>
  </si>
  <si>
    <t>Сельдюков Александр Николаевич</t>
  </si>
  <si>
    <t>МАКС. ОТП. ОК. Нет доков от ФО. Проверил. Ждем доки от ФО. Неустойка после суда. ФО предоставил только сопроводительное письмо</t>
  </si>
  <si>
    <t>ЭДУАРД. ОТП. ОК. Пришла. Частично соответствуют. Результаты пришли, подгрузят. Еще не пришла. Комплекс + Трасса. Направил на доработку</t>
  </si>
  <si>
    <t>ЭДУАРД. ОТП.ОК. Добровольное исполнение</t>
  </si>
  <si>
    <t>Таким образом, выплата в размере</t>
  </si>
  <si>
    <t>произведена в установленный Законом № 40-ФЗ срок, в силу чего неустойка на указанную сумму не начисляется.</t>
  </si>
  <si>
    <t>уведомило Заявителя об отсутствии правовых оснований для осуществления выплаты страхового возмещения в рамках прямого возмещения убытков.</t>
  </si>
  <si>
    <t>Отказ (Неакцепт)</t>
  </si>
  <si>
    <t>В обоснование своего отказа</t>
  </si>
  <si>
    <t>сообщило, что в ответ на запрос, направленный в страховую компанию причинителя вреда в рамках рассмотрения заявления о прямом возмещении убытков от</t>
  </si>
  <si>
    <t>не подтвердило действие договора ОСАГО причинителя вреда на момент ДТП, и отклонило заявку</t>
  </si>
  <si>
    <t>вернуло Заявителю полный комплект документов в связи с тем, что им не исполнена обязанность по предоставлению Транспортного средства на осмотр страховщику. Дополнительно было разъяснено, что Заявитель вправе повторно обратиться с заявлением о выплате страхового возмещения в установленном законом порядке.</t>
  </si>
  <si>
    <t>Типы ответов ФО</t>
  </si>
  <si>
    <t>У-19-60326</t>
  </si>
  <si>
    <t>Грифанов Линар Забирович</t>
  </si>
  <si>
    <t>https://smp.sfurf.office/sd/operator/#uuid:serviceCall$67670083</t>
  </si>
  <si>
    <t>У-19-60329</t>
  </si>
  <si>
    <t>Шевцова Татьяна Васильевна</t>
  </si>
  <si>
    <t>https://smp.sfurf.office/sd/operator/#uuid:serviceCall$67670087</t>
  </si>
  <si>
    <t>У-19-60365</t>
  </si>
  <si>
    <t>https://smp.sfurf.office/sd/operator/#uuid:serviceCall$67811826</t>
  </si>
  <si>
    <t>Козловская Светлана Владимировна</t>
  </si>
  <si>
    <t>НЕУСТОЙКА (ЖИЗНЬ)</t>
  </si>
  <si>
    <t>Пунктом 8 статьи 12 Закона № 40-ФЗ установлено, что страховщик в течение 15 календарных дней, за исключением нерабочих праздничных дней, со дня принятия первого заявления о страховом возмещении в части возмещения вреда, причиненного жизни потерпевшего в результате страхового случая, принимает заявления о страховом возмещении и предусмотренные правилами обязательного страхования документы от других выгодоприобретателей. В течение пяти календарных дней, за исключением нерабочих праздничных дней, после окончания указанного срока принятия заявлений от лиц, имеющих право на возмещение вреда в случае смерти потерпевшего, страховщик осуществляет страховую выплату.
Согласно абзацу 2 пункта 21 статьи 12 Закона № 40-ФЗ при несоблюдении срока осуществления страховой выплаты или срока выдачи потерпевшему направления на ремонт транспортного средства страховщик за каждый день просрочки уплачивает потерпевшему неустойку (пеню) в размере одного процента от определенного в соответствии с настоящим Федеральным законом размера страхового возмещения по виду причиненного вреда каждому потерпевшему.</t>
  </si>
  <si>
    <t>Отказ (жизнь, вина не установлена)</t>
  </si>
  <si>
    <t>В обоснование своего отказа САО «ВСК» сообщило, что в соответствии с представленными Заявителем документами компетентных органов, ответственность владельца транспортного средства, застрахованного в САО «ВСК», за причинение вреда жизни Потерпевшего в данном ДТП не установлена.</t>
  </si>
  <si>
    <t>У-19-61262</t>
  </si>
  <si>
    <t>Акопян Оганес Микаелович</t>
  </si>
  <si>
    <t>https://smp.sfurf.office/sd/operator/index.jsp;jsessionid=4B56FDB405CD332F2E4AE6AEC0BFEE05#uuid:serviceCall$68784466</t>
  </si>
  <si>
    <t>В соответствии с ч. 6 ст. 16 Федерального закона от 04.06.2018 № 123-ФЗ «Об уполномоченном по правам потребителей финансовых услуг» (далее – Закон № 123-ФЗ) принятие и рассмотрение обращений, поданных лицами, которым уступлено право требования потребителя финансовых услуг к финансовой организации, осуществляется за плату в размере, установленном Советом службы финансового уполномоченного. При этом возможность переложения таких расходов на финансовые организации законом не предусмотрена.
Согласно части 1 статьи 15 Закона № 123-ФЗ финансовый уполномоченный рассматривает обращения в отношении финансовых организаций, если размер требований потребителя финансовых услуг о взыскании денежных сумм не превышает 500 тысяч рублей либо если требования потребителя финансовых услуг вытекают из нарушения страховщиком порядка осуществления страхового возмещения, установленного Федеральным закон от 25 апреля 2002 года № 40-ФЗ «Об обязательном страховании гражданской ответственности владельцев транспортных средств», и если со дня, когда потребитель финансовых услуг узнал или должен был узнать о нарушении своего права, прошло не более трех лет.
При этом в части 2 статьи 2 Закона № 123-ФЗ под потребителем финансовых услуг понимается физическое лицо, являющееся стороной договора, либо лицом, в пользу которого заключен договор, либо лицом, которому оказывается финансовая услуга в целях, не связанных с осуществлением предпринимательской деятельности.
Таким образом, из системного толкования указанных норм следует, что финансовый уполномоченный рассматривает требования потребителей финансовых услуг к финансовым организациям, вытекающие из оказания такими финансовыми организациями финансовых услуг потребителям.
В то же время, требование третьего лица, которому уступлено право требования потребителя финансовых услуг к финансовой организации, о взыскании платы за рассмотрения обращения финансовым уполномоченным не является требованием потребителя, вытекающим из оказания ему финансовых услуг, в связи с чем такое требование третьего лица не соответствует статье 15 Закона № 123-ФЗ.
В силу пункта 1 части 1 стать 19 Закона № 123-ФЗ финансовый уполномоченный не рассматривает обращения если обращение не соответствует части 1 статьи 15 Закона № 123-ФЗ.
На основании вышеизложенного требование Заявителя о взыскании платы за рассмотрения обращения финансовым уполномоченным в сумме 15 000 рублей 00 копеек не подлежит рассмотрению Финансовым уполномоченным.</t>
  </si>
  <si>
    <t>ОБОСНОВАНИЕ (ПЛАТА ЗА РАССМОТРЕНИЕ ДЕЛА)</t>
  </si>
  <si>
    <t>ОБОСНОВАНИЕ (КОНСТРУКТИВНАЯ ГИБЕЛЬ)</t>
  </si>
  <si>
    <t xml:space="preserve">В соответствии с пунктом 1.13 Правил обязательного страхования гражданской ответственности владельцев транспортных средств, утвержденных Банком России 19.09.2014 № 431-П, действие договора обязательного страхования досрочно прекращается в случае гибели (утраты) транспортного средства, указанного в страховом полисе обязательного страхования.
Согласно подпункту "а" пункта 18 статьи 12 Закона № 40-ФЗ под полной гибелью понимаются случаи, при которых ремонт поврежденного имущества невозможен либо стоимость ремонта поврежденного имущества равна стоимости имущества на дату наступления страхового случая или превышает указанную стоимость.
В силу пункта 1 статьи 9 Гражданского кодекса Российской Федерации (далее - ГК РФ) граждане и юридические лица по своему усмотрению осуществляют принадлежащие им гражданские права.
В соответствии с пунктом 1 статьей 209 ГК РФ собственнику принадлежат права владения, пользования и распоряжения своим имуществом.
Собственник вправе по своему усмотрению совершать в отношении принадлежащего ему имущества любые действия, не противоречащие закону и иным правовым актам и не нарушающие права и охраняемые законом интересы других лиц, в том числе отчуждать свое имущество в собственность другим лицам, передавать им, оставаясь собственником, права владения, пользования и распоряжения имуществом, отдавать имущество в залог и обременять его другими способами, распоряжаться им иным образом (пункт 2 данной статьи).
Согласно пункту 1 статьи ГК РФ право собственности прекращается при отчуждении собственником своего имущества другим лицам, отказе собственника от права собственности, гибели или уничтожении имущества и при утрате права собственности на имущество в иных случаях, предусмотренных законом.
В силу пункта статьи 958 ГК РФ договор страхования прекращается до наступления срока, на который он был заключен, если после его вступления в силу возможность наступления страхового случая отпала и существование страхового риска прекратилось по обстоятельствам иным, чем страховой случай. К таким обстоятельствам, в частности, относится гибель застрахованного имущества по причинам иным, чем наступление страхового случая.
Из системного толкования названных выше норм права следует, что договор ОСАГО подлежит прекращению в случае фактической полной гибели транспортного средства, поскольку в данном случае возможность наступления страхового случая отпадает, так как отсутствует объект страхования. Вместе с тем, учитывая, что законодательством об ОСАГО предусмотрена возможность выплаты страхового возмещения на условиях полной гибели транспортного средства также в случае экономической нецелесообразности восстановительного ремонта автомобиля, то не имеется оснований полагать, что выплата страхового возмещения по договору ОСАГО на условиях полной гибели свидетельствует об уничтожении (гибели, утрате) такого имущества.
Поскольку собственнику имущества принадлежат правомочия по распоряжению своим имуществом, он свободен в реализации своих гражданских прав и вправе восстановить поврежденное транспортное средство даже в случае экономической нецелесообразности (в том числе, с точки зрения законодательства об ОСАГО) его восстановления.
В силу пункта 1 статьи 7 Закона № 40-ФЗ страховая сумма, в пределах которой страховщик при наступлении каждого страхового случая (независимо от их числа в течение срока действия договора обязательного страхования) обязуется возместить потерпевшим причиненный вред, составляет в части возмещения вреда, причиненного имуществу одного потерпевшего, не более 400 000 рублей 00 копеек.
Таким образом, действующим законодательством не установлен запрет на неоднократную выплату по разным страховым случаям страхового возмещения по одному договору ОСАГО на условиях полной гибели транспортного средства.
При принятии финансовым уполномоченным решения также учитываются следующие обстоятельства: страховщиком действий по расторжению договора, уведомлению потребителя о прекращении действия договора предпринято не было, сведения о прекращении договора в информационную систему обязательного страхования внесены не были, транспортное средство не было снято с регистрационного учета в связи с его гибелью (утилизацией) и было участником заявленного ДТП, что подтверждается материалами обращения и страховщиком не оспаривается, что свидетельствует о том, что фактическая гибель транспортного средства в предшествующем ДТП не наступила.
</t>
  </si>
  <si>
    <t>У-19-61417</t>
  </si>
  <si>
    <t>Мягков Сергей Сергеевич</t>
  </si>
  <si>
    <t>У-19-61506</t>
  </si>
  <si>
    <t>Апикова Алла Артуровна</t>
  </si>
  <si>
    <t>У-19-62980</t>
  </si>
  <si>
    <t>Василенко Иван Александрович</t>
  </si>
  <si>
    <t>У-19-62996</t>
  </si>
  <si>
    <t>Антипов Федор Иванович</t>
  </si>
  <si>
    <t>У-19-63068</t>
  </si>
  <si>
    <t>Курьянович Валерий Павлович</t>
  </si>
  <si>
    <t>У-19-64001</t>
  </si>
  <si>
    <t>Миронов Александр Васильевич</t>
  </si>
  <si>
    <t>У-19-64002</t>
  </si>
  <si>
    <t>Бязров Казбек Темурович</t>
  </si>
  <si>
    <t>У-19-64007</t>
  </si>
  <si>
    <t>Черепанов Валерий Андреевич</t>
  </si>
  <si>
    <t>У-19-64022</t>
  </si>
  <si>
    <t>Абакумов Игорь Валентинович</t>
  </si>
  <si>
    <t>У-19-64813</t>
  </si>
  <si>
    <t>Хачатрян Аршалуйс САргисович</t>
  </si>
  <si>
    <t>У-19-64814</t>
  </si>
  <si>
    <t>Сайдгалина Лилия Салаватовна</t>
  </si>
  <si>
    <t>У-19-64815</t>
  </si>
  <si>
    <t>Цуканова Ольга Александровна</t>
  </si>
  <si>
    <t>У-19-65730</t>
  </si>
  <si>
    <t>Зинуров Алик Фаясович</t>
  </si>
  <si>
    <t>У-19-65746</t>
  </si>
  <si>
    <t>Хримлиев Степан Мануилович</t>
  </si>
  <si>
    <t>У-19-65747</t>
  </si>
  <si>
    <t>Адамов Сергей Николаевич</t>
  </si>
  <si>
    <t>https://smp.sfurf.office/sd/operator/#uuid:serviceCall$69003116</t>
  </si>
  <si>
    <t>https://smp.sfurf.office/sd/operator/#uuid:serviceCall$69123905</t>
  </si>
  <si>
    <t>ОТВ</t>
  </si>
  <si>
    <t>ЭДУАРД</t>
  </si>
  <si>
    <t>ТАТЬЯНА</t>
  </si>
  <si>
    <t>СТАТУСЫ ОТВ</t>
  </si>
  <si>
    <t>В работе</t>
  </si>
  <si>
    <t>Отписано</t>
  </si>
  <si>
    <t>На доработку</t>
  </si>
  <si>
    <t>Согласовано</t>
  </si>
  <si>
    <t>САМ</t>
  </si>
  <si>
    <t>Дело Лены.</t>
  </si>
  <si>
    <t>Комплекс, Рыночная, годники. Выдали ННР, Заявитель обратился, ТС не отремонтировали. Доказательств обращения нет. По НТЭ Заявителя тотал.</t>
  </si>
  <si>
    <t>Неустойка на добровольные выплаты</t>
  </si>
  <si>
    <t>Пришла. Траса, комплексная</t>
  </si>
  <si>
    <t>https://smp.sfurf.office/sd/operator/#uuid:serviceCall$70993572</t>
  </si>
  <si>
    <t>https://smp.sfurf.office/sd/operator/#uuid:serviceCall$70993588</t>
  </si>
  <si>
    <t>https://smp.sfurf.office/sd/operator/#uuid:serviceCall$71072671</t>
  </si>
  <si>
    <t>Пришла. Комплекс не осаго, траса. Обвал грунта. Часть повреждений образовалось в результате вытягивания ТС из ямы, в которых ФО отказывает в выплате.</t>
  </si>
  <si>
    <t>Пришло. Аналитики сами продлились. Пришел только акт осмотра ТС и фотоматериалы. Направил пиьмо аналитику. Причины повреждений и стоимость ремонта. Сползание снега с лобового стекла повредило ТС. ФО говорит, что это не страховой случай. Случай страховой, т.к. не входит в исключения, а риск падения инородных предметов застрахован (п. 3.2)</t>
  </si>
  <si>
    <t>https://smp.sfurf.office/sd/operator/#uuid:serviceCall$72341776</t>
  </si>
  <si>
    <t>https://smp.sfurf.office/sd/operator/#uuid:serviceCall$72341777</t>
  </si>
  <si>
    <t>https://smp.sfurf.office/sd/operator/#uuid:serviceCall$72341784</t>
  </si>
  <si>
    <t>https://smp.sfurf.office/sd/operator/#uuid:serviceCall$72482415</t>
  </si>
  <si>
    <t>ТС не показал. ФО направляла 2 телеграммы, акты осмотра территории есть с фотограяиями места. Доки вернули. Прекращяем</t>
  </si>
  <si>
    <t>ФО в суде признает договор ОСАГО с виновником недействительным.</t>
  </si>
  <si>
    <t>НТЭ</t>
  </si>
  <si>
    <t>Просит доплату за НТЭ. ФО выплатила по средниму</t>
  </si>
  <si>
    <t>ФО оплатила неустойку 400 000 в полном объеме</t>
  </si>
  <si>
    <t>Пришла. Комплекс. Требование об организации ремонта. Автомобиль на гарантии, у ФО нет договоров со СТОА официального дилера. Хотят выплатить деньгами, но нет реквизитов. Отказали, т.к. просил натуральную форму, но не положено.</t>
  </si>
  <si>
    <t>Пришла. ФО направила документы. Повторно ушли в НТЭ. Комплекс. Нет документов от ФО, но есть НТЭ Заявителя в фототаблицей. Направлен запрос в ФО о предоставлении документов</t>
  </si>
  <si>
    <t>Пришла. Произвели некачественный ремонт. Был проведен повторный 3х сторонний осмотр, составлен акт, выявлены повреждения фары и бампера. Заявитель указывает, что фактически нарушений каечства ремонта гораздо больше, поэтому ушли в экспертизу.</t>
  </si>
  <si>
    <t>Отказали, т.к. не виноват</t>
  </si>
  <si>
    <t>Просит неустойку и экспертизу</t>
  </si>
  <si>
    <t>Просит неустойку с ограничением по ЗЗПП на ОСАГО. ФО добровольно выплатила</t>
  </si>
  <si>
    <t>Коммерческий транспорт. Грузовое. 6950 кг. ИП</t>
  </si>
  <si>
    <t>Нет доков от ФО</t>
  </si>
  <si>
    <t>МАКС 2</t>
  </si>
  <si>
    <t>Коммерческий транспорт. Отказ в акцепте</t>
  </si>
  <si>
    <t>Нет доков от ФО. Если ФО пришлет доки, то направить на НТЭ траса и комплекс</t>
  </si>
  <si>
    <t>Пришла. Комплекс. Выплата в пределах 10%</t>
  </si>
  <si>
    <t>УЩЕРБ, НЕУСТОЙКА</t>
  </si>
  <si>
    <t>ННР выдали в срок</t>
  </si>
  <si>
    <t>Пришла. Комплексная. Выдали ННР. Оформление ДТП без ГИБДД. Проверить стоимость ремонта. Если больше 100000, то взыскать, если меньше, то тоже взыскать, т.к. нет доказательств выдачи заявителю ННР. Без износа больше 100 000</t>
  </si>
  <si>
    <t>Пришла. Комплекс. ФО согласовало выплату, но тк. Заявитель просил выдать деньгами в кассе, а кассы нет, то осуществило платеж через систему КОНТАКТ, о чем уведомило Заявителя. Однако позднее уведомило Заявителя об отсутствии в Петропавловке-Камчатске финансовый учреждений, входящий в платежную систему КОНТАКТ и просит предоставить реквизиты.</t>
  </si>
  <si>
    <t>Пришла. Комплекс. Частичная оплата.</t>
  </si>
  <si>
    <t>https://smp.sfurf.office/sd/operator/#uuid:serviceCall$73612039</t>
  </si>
  <si>
    <t>Пришла. Траса, Комплекс</t>
  </si>
  <si>
    <t>https://smp.sfurf.office/sd/operator/#uuid:serviceCall$74707681</t>
  </si>
  <si>
    <t>https://smp.sfurf.office/sd/operator/#uuid:serviceCall$74707697</t>
  </si>
  <si>
    <t>https://smp.sfurf.office/sd/operator/#uuid:serviceCall$74707698</t>
  </si>
  <si>
    <t>В части требования Заявителя о взыскании расходов на проведение независимой экспертизы, Финансовым уполномоченным установлено следующее.
Согласно абзацу 3 пункта 1 статьи 16.1 Закона № 40-ФЗ в редакции, действующей с 01.06.2019, при наличии разногласий между потерпевшим, являющимся потребителем финансовых услуг, определенным в соответствии с Законом № 123-ФЗ, и страховщиком относительно исполнения последним своих обязательств по договору обязательного страхования до предъявления к страховщику иска, вытекающего из неисполнения или ненадлежащего исполнения им обязательств по договору обязательного страхования, несогласия указанного потерпевшего с размером осуществленной страховщиком страховой выплаты, несоблюдения станцией технического обслуживания срока передачи потерпевшему отремонтированного транспортного средства, нарушения иных обязательств по проведению восстановительного ремонта транспортного средства, потерпевший должен направить страховщику письменное заявление, а страховщик обязан рассмотреть его в порядке, установленном Законом № 123-ФЗ.
В соответствии с частью 10 статьи 20 Закона № 123-ФЗ финансовый уполномоченный вправе организовывать проведение независимой экспертизы (оценки) по предмету спора для решения вопросов, связанных с рассмотрением обращения. 
При составлении заявления потребитель может использовать стандартную форму заявления в финансовую организацию, утвержденную решением Совета Службы финансового уполномоченного от 12.04.2019 (протокол № 4) в соответствии с частью 2 статьи 16 Закона № 123-ФЗ и размещенную на официальном сайте финансового уполномоченного в информационно-телекоммуникационной сети «Интернет» (www.finombudsman.ru).
Указанная форма также не предполагает обязательное приложение к ней экспертного заключения.</t>
  </si>
  <si>
    <t>СТРАХОВОЙ СЛУЧАЙ</t>
  </si>
  <si>
    <t>Пришла. Комплекс. Недоплата и неустойка. Отказ в доплате, но второй платеж с нарушением срока</t>
  </si>
  <si>
    <t>УЩЕРБ, КОНТАКТ</t>
  </si>
  <si>
    <t>Неустойка на добровольную выплату</t>
  </si>
  <si>
    <t>Прекратили за противоречивостью. Заявитель говорит, что ТС передавал, ФО утверждает, что не передавал на СТОА</t>
  </si>
  <si>
    <t>Траса и стоимость имущества не ТС ОСАГО. Аналитики отказались делать НТЭ, поэтому прекращаемся за отсутствием документов</t>
  </si>
  <si>
    <t>После НТЭ ФУ. Вред здоровью. Утраченный заработок (выплатили, не заявлял). Две наши экспертизы, одна правильная, вторая нет.</t>
  </si>
  <si>
    <t>Несчастный случай на производстве. Прекращение, т.к. нет документов, подтверждающих факт и размер выплаты по соц страхованию.</t>
  </si>
  <si>
    <t>Доплата и неустойка. Медицинская</t>
  </si>
  <si>
    <t>У-19-66592</t>
  </si>
  <si>
    <t>Бекларян Ашот Абелович</t>
  </si>
  <si>
    <t>У-19-66660</t>
  </si>
  <si>
    <t>Чалилова Манзура Юлдошевна</t>
  </si>
  <si>
    <t>https://smp.sfurf.office/sd/operator/#uuid:serviceCall$75837045</t>
  </si>
  <si>
    <t>https://smp.sfurf.office/sd/operator/#uuid:serviceCall$75898213</t>
  </si>
  <si>
    <t>Автобус</t>
  </si>
  <si>
    <t>У-19-49635</t>
  </si>
  <si>
    <t>Авакян Григор Саркисович</t>
  </si>
  <si>
    <t>Гурьянова Татьяна Юрьевна</t>
  </si>
  <si>
    <t>У-19-52919</t>
  </si>
  <si>
    <t>ИП Ванглис А.А.</t>
  </si>
  <si>
    <t>У-19-53049</t>
  </si>
  <si>
    <t>ИП Черняк Анна Юрьевна</t>
  </si>
  <si>
    <t>У-19-57718</t>
  </si>
  <si>
    <t>Габараев Леонид Ильич</t>
  </si>
  <si>
    <t>У-19-58469</t>
  </si>
  <si>
    <t>Ванюта Светлана Сергеевна</t>
  </si>
  <si>
    <t>У-19-58519</t>
  </si>
  <si>
    <t>Картоев Усман Алиханович</t>
  </si>
  <si>
    <t>У-19-60483</t>
  </si>
  <si>
    <t>Даниелян Рашид Владимирович</t>
  </si>
  <si>
    <t>У-19-66937</t>
  </si>
  <si>
    <t>Джавадбеков Сейран Шахитович</t>
  </si>
  <si>
    <t>У-19-67143</t>
  </si>
  <si>
    <t>Чернышова Татьяна Николаевна</t>
  </si>
  <si>
    <t>У-19-67151</t>
  </si>
  <si>
    <t>Сайфетдинова Идалия Раисовна</t>
  </si>
  <si>
    <t>У-19-67958</t>
  </si>
  <si>
    <t>Сыроваткина Полина Сергеевна</t>
  </si>
  <si>
    <t>У-19-68075</t>
  </si>
  <si>
    <t>Соколова Наталья Сергеевна</t>
  </si>
  <si>
    <t>У-19-68967</t>
  </si>
  <si>
    <t>Лукьянов Антон Ильич</t>
  </si>
  <si>
    <t>У-19-69444</t>
  </si>
  <si>
    <t>Габидуллин Филюс Радикович</t>
  </si>
  <si>
    <t>У-19-69449</t>
  </si>
  <si>
    <t>Бексаева Дарья Геннадьевна</t>
  </si>
  <si>
    <t>У-19-69530</t>
  </si>
  <si>
    <t>Файзуллин Владислав Валерьевич</t>
  </si>
  <si>
    <t>У-19-69700</t>
  </si>
  <si>
    <t>Пантелеев Александр Николаевич</t>
  </si>
  <si>
    <t>У-19-70039</t>
  </si>
  <si>
    <t>Шеронов Евгений Михайлович</t>
  </si>
  <si>
    <t>У-19-70085</t>
  </si>
  <si>
    <t>Кузьмиков Константин Андреевич</t>
  </si>
  <si>
    <t>У-19-46958</t>
  </si>
  <si>
    <t xml:space="preserve">Чиколаев Павел </t>
  </si>
  <si>
    <t>Нечаева Александра Анатольевна</t>
  </si>
  <si>
    <t>У-19-53078</t>
  </si>
  <si>
    <t>У-19-60328</t>
  </si>
  <si>
    <t>Молодцов Иван Сергеевич</t>
  </si>
  <si>
    <t>У-19-60346</t>
  </si>
  <si>
    <t>Курыло Иван Александрович</t>
  </si>
  <si>
    <t>У-19-60362</t>
  </si>
  <si>
    <t>Горейко Екатерина Сергеевна</t>
  </si>
  <si>
    <t>У-19-66407</t>
  </si>
  <si>
    <t>Суслова Мина Григорьевна</t>
  </si>
  <si>
    <t>У-19-66336</t>
  </si>
  <si>
    <t>Митина Марина Сергеевна</t>
  </si>
  <si>
    <t>У-19-66345</t>
  </si>
  <si>
    <t>Плишкин Сергей Васильевич</t>
  </si>
  <si>
    <t>У-19-66570</t>
  </si>
  <si>
    <t>Романова Наталья Павловна</t>
  </si>
  <si>
    <t>У-19-68042</t>
  </si>
  <si>
    <t>Цыкунов Иван Анатольевич</t>
  </si>
  <si>
    <t>У-19-68043</t>
  </si>
  <si>
    <t>Петросян Арпине Джемсовна</t>
  </si>
  <si>
    <t>У-19-68463</t>
  </si>
  <si>
    <t>Антипин Андрей Владимирович</t>
  </si>
  <si>
    <t>У-19-69430</t>
  </si>
  <si>
    <t>Сабиров Марсель Анасович</t>
  </si>
  <si>
    <t>У-19-69441</t>
  </si>
  <si>
    <t>Еремин Александр Валерьевич</t>
  </si>
  <si>
    <t>У-19-69710</t>
  </si>
  <si>
    <t>Борисов Данил Александрович</t>
  </si>
  <si>
    <t>Либерти Страхование (АО)</t>
  </si>
  <si>
    <t>У-19-69922</t>
  </si>
  <si>
    <t>Дуркин Николай Александрович</t>
  </si>
  <si>
    <t>У-19-55244</t>
  </si>
  <si>
    <t>Вторников Борис Геннадьевич</t>
  </si>
  <si>
    <t>Хахалев Эдуард Олегович</t>
  </si>
  <si>
    <t>У-19-59980</t>
  </si>
  <si>
    <t>Козонов Марат Львович</t>
  </si>
  <si>
    <t>У-19-60129</t>
  </si>
  <si>
    <t>Гагонин Михаил Юрьевич</t>
  </si>
  <si>
    <t>У-19-67166</t>
  </si>
  <si>
    <t>Зверенко Виктория Анатольевна</t>
  </si>
  <si>
    <t>У-19-67241</t>
  </si>
  <si>
    <t>Гридина Анастасия Николаевна</t>
  </si>
  <si>
    <t>У-19-67243</t>
  </si>
  <si>
    <t>Соболева Наталья Леонидовна</t>
  </si>
  <si>
    <t>У-19-67283</t>
  </si>
  <si>
    <t>Самсоненко Александр Александрович</t>
  </si>
  <si>
    <t>У-19-67302</t>
  </si>
  <si>
    <t>Ксенофонтов Дмитрий Александрович</t>
  </si>
  <si>
    <t>У-19-67308</t>
  </si>
  <si>
    <t>Еремин Иван Сергеевич</t>
  </si>
  <si>
    <t>У-19-67458</t>
  </si>
  <si>
    <t>Баташев Александр Николаевич</t>
  </si>
  <si>
    <t>У-19-67460</t>
  </si>
  <si>
    <t>Караханян Маник Нориковна</t>
  </si>
  <si>
    <t>У-19-68473</t>
  </si>
  <si>
    <t>Шафеева Светлана Александровна</t>
  </si>
  <si>
    <t>У-19-68548</t>
  </si>
  <si>
    <t>Петренко Михаил Юрьевич</t>
  </si>
  <si>
    <t>У-19-68983</t>
  </si>
  <si>
    <t>Оганисян Сейран Михайлович</t>
  </si>
  <si>
    <t>У-19-69945</t>
  </si>
  <si>
    <t>Юров Антон Михайлович</t>
  </si>
  <si>
    <t>У-19-70802</t>
  </si>
  <si>
    <t>Селезень Алик Иванович</t>
  </si>
  <si>
    <t>У-19-52402</t>
  </si>
  <si>
    <t>Оганезов Дмитрий Сергеевич</t>
  </si>
  <si>
    <t>Сибатров Максим Николаевич</t>
  </si>
  <si>
    <t>У-19-53072</t>
  </si>
  <si>
    <t>У-19-53076</t>
  </si>
  <si>
    <t>У-19-54117</t>
  </si>
  <si>
    <t>Камалов Рамиль Рестемович</t>
  </si>
  <si>
    <t>У-19-54166</t>
  </si>
  <si>
    <t>У-19-57880</t>
  </si>
  <si>
    <t>Рыжков Степан Владимирович</t>
  </si>
  <si>
    <t>У-19-58110</t>
  </si>
  <si>
    <t>Мовсесян Норик Норикович</t>
  </si>
  <si>
    <t>У-19-58858</t>
  </si>
  <si>
    <t>Леготин Дмитрий Анатольевич</t>
  </si>
  <si>
    <t>У-19-58906</t>
  </si>
  <si>
    <t>Егонян Армине Арменаковна</t>
  </si>
  <si>
    <t>У-19-60138</t>
  </si>
  <si>
    <t>Колесова Ольга Николаевна</t>
  </si>
  <si>
    <t>У-19-60341</t>
  </si>
  <si>
    <t>Соловьев Юрий Алексеевич</t>
  </si>
  <si>
    <t>У-19-60598</t>
  </si>
  <si>
    <t>Болдырев Петр Петрович</t>
  </si>
  <si>
    <t>У-19-68276</t>
  </si>
  <si>
    <t>Антонова Елена Владимировна</t>
  </si>
  <si>
    <t>У-19-68575</t>
  </si>
  <si>
    <t>Жерехова Анастасия Евгеньевна</t>
  </si>
  <si>
    <t>У-19-69403</t>
  </si>
  <si>
    <t>Петросян Артак Арменович</t>
  </si>
  <si>
    <t>У-19-69727</t>
  </si>
  <si>
    <t>Рашитов Даян Камилович</t>
  </si>
  <si>
    <t>У-19-69728</t>
  </si>
  <si>
    <t>Соломка Эдуард Александрович</t>
  </si>
  <si>
    <t>У-19-69999</t>
  </si>
  <si>
    <t>Ермоленко Владимир Валерьевич</t>
  </si>
  <si>
    <t>У-19-70004</t>
  </si>
  <si>
    <t>Кальченко Александр Евгеньевич</t>
  </si>
  <si>
    <t>Комплекс.</t>
  </si>
  <si>
    <t>Траса, комплекс</t>
  </si>
  <si>
    <t>ЦЕССИЯ, НЕУСТОЙКА</t>
  </si>
  <si>
    <t>Цессия, неустойка после суда, частично взыскана</t>
  </si>
  <si>
    <t>Неустойка после суда. В суд требование о неустойке не заявлялось</t>
  </si>
  <si>
    <t>Неустойка после суда, частично взыскана судом, частично добровольно выплачена</t>
  </si>
  <si>
    <t>Неустойка после суда. Частично взыскана судом, Удовлетворена добровольно в полном объеме</t>
  </si>
  <si>
    <t>НЕУСТОЙКА, ДОБР ИСП</t>
  </si>
  <si>
    <t>ДОБР ИСП, НЕУСТОЙКА, ФС</t>
  </si>
  <si>
    <t>Добровольно оплатили в размере большем, чем просил, взыскиваем неустойку, отказываем в фин санкции и НТЭ</t>
  </si>
  <si>
    <t>Отказ по трасе</t>
  </si>
  <si>
    <t>Траса, Комплекс. Выплатили в пределах статистической достоверности</t>
  </si>
  <si>
    <t>ДТП</t>
  </si>
  <si>
    <t>Такси</t>
  </si>
  <si>
    <t>Взыскание доплаты по НТЭ ФУ</t>
  </si>
  <si>
    <t>Нет документов. НТЭ ТОТАЛ, Траса, Комплекс. Запрос документов от ФО</t>
  </si>
  <si>
    <t>Отказали по трасе, по НТЭ ФУ нужно взыскивать</t>
  </si>
  <si>
    <t>НЕУСТОЙКА, ФС</t>
  </si>
  <si>
    <t>Неустойка и финсанкция.</t>
  </si>
  <si>
    <t>Нет доков от ФО. Спор по сумме выплаты.  Проверил, направил на доработку. Есть решение о прекращении. В НТЭ Заявителя хорошие фотки, может быть проведут нашу НТЭ. Отказать 10%</t>
  </si>
  <si>
    <t>Неустойка на здоровье (инвалидность I группы). Цессия</t>
  </si>
  <si>
    <t>Тяжкий вред здоровью. Заявитель пешеход. Альфа выплату согласовывает, но запрашивает паспорт представителя, т.к. Заявитель представил реквизиты представителя. Выплата не произведена, но нас Заявитель не просит основную выплату, а только неустойку. Отказ по 115-ФЗ</t>
  </si>
  <si>
    <t>Переделать на удовлетворение, т.к. запросили результаты НТЭ</t>
  </si>
  <si>
    <t>Цессия, не показал ТС н осмотр</t>
  </si>
  <si>
    <t>ЦЕССИЯ, УЩЕРБ</t>
  </si>
  <si>
    <t>Цессия, не дата ДТП в договоре цессии</t>
  </si>
  <si>
    <t>У-19-56847</t>
  </si>
  <si>
    <t>У-19-70373</t>
  </si>
  <si>
    <t>У-19-70444</t>
  </si>
  <si>
    <t>Ханмамедов Эльчин Эльдарович</t>
  </si>
  <si>
    <t>Меженин Виктор Федорович</t>
  </si>
  <si>
    <t>Дьяченко Елена Анатольевна</t>
  </si>
  <si>
    <t>ООО «СУДЗАКОН»</t>
  </si>
  <si>
    <t>У-19-49620</t>
  </si>
  <si>
    <t>Ушаков Александр Васильевич</t>
  </si>
  <si>
    <t>У-19-54196</t>
  </si>
  <si>
    <t>Грицунов Максим Олегович</t>
  </si>
  <si>
    <t>У-19-61930</t>
  </si>
  <si>
    <t>Щукин Никита Сергеевич</t>
  </si>
  <si>
    <t>У-19-62063</t>
  </si>
  <si>
    <t>Демурчян Мартин Шаваршович</t>
  </si>
  <si>
    <t>У-19-63593</t>
  </si>
  <si>
    <t>Козорез Дмитрий Владимирович</t>
  </si>
  <si>
    <t>У-19-63600</t>
  </si>
  <si>
    <t>Башикян Роман Вадимович</t>
  </si>
  <si>
    <t>У-19-63880</t>
  </si>
  <si>
    <t>Анфимов Артур Рифатович</t>
  </si>
  <si>
    <t>У-19-63885</t>
  </si>
  <si>
    <t>Ованесян Вагаршак Ашотович</t>
  </si>
  <si>
    <t>У-19-64038</t>
  </si>
  <si>
    <t>Богословский Александр Анатольевич</t>
  </si>
  <si>
    <t>У-19-65371</t>
  </si>
  <si>
    <t>Чайковский Андрей Дмитриевич</t>
  </si>
  <si>
    <t>У-19-65903</t>
  </si>
  <si>
    <t>Кривоносов Николай Николаевич</t>
  </si>
  <si>
    <t>У-19-65914</t>
  </si>
  <si>
    <t>Горечева Антонина Олеговна</t>
  </si>
  <si>
    <t>У-19-71132</t>
  </si>
  <si>
    <t>Мирзоян Людмила Анатольевна</t>
  </si>
  <si>
    <t>У-19-71147</t>
  </si>
  <si>
    <t>Мороз Надежда Дмитриевна</t>
  </si>
  <si>
    <t>У-19-71156</t>
  </si>
  <si>
    <t>Дзебисов Сослан Зурабович</t>
  </si>
  <si>
    <t>У-19-71208</t>
  </si>
  <si>
    <t>Джамбинова Зоя Эрдниевна</t>
  </si>
  <si>
    <t>У-19-71714</t>
  </si>
  <si>
    <t>Зенкин Максим Александрович</t>
  </si>
  <si>
    <t>У-19-71715</t>
  </si>
  <si>
    <t>Одиноков Константин Игоревич</t>
  </si>
  <si>
    <t>У-19-71719</t>
  </si>
  <si>
    <t>Тельнов Евгений Вячеславович</t>
  </si>
  <si>
    <t>У-19-71720</t>
  </si>
  <si>
    <t>Легоев Заурбек Радикович</t>
  </si>
  <si>
    <t>У-19-72337</t>
  </si>
  <si>
    <t>Елизаров Иван Игоревич</t>
  </si>
  <si>
    <t>У-19-73198</t>
  </si>
  <si>
    <t>Ахаладзе Джейран Бадриевич</t>
  </si>
  <si>
    <t>У-19-73199</t>
  </si>
  <si>
    <t>Паньшин Владимир Игоревич</t>
  </si>
  <si>
    <t>У-19-73215</t>
  </si>
  <si>
    <t>Пихтерев Владимир Анатольевич</t>
  </si>
  <si>
    <t>У-19-73379</t>
  </si>
  <si>
    <t>Залесова Любовь Валентиновна</t>
  </si>
  <si>
    <t>У-19-73385</t>
  </si>
  <si>
    <t>Сокол Наталья Сергеевна</t>
  </si>
  <si>
    <t>У-19-73387</t>
  </si>
  <si>
    <t>Арсланова Светлана Фаритовна</t>
  </si>
  <si>
    <t>У-19-73388</t>
  </si>
  <si>
    <t>Садыков Теймур Рамизович</t>
  </si>
  <si>
    <t>У-19-74319</t>
  </si>
  <si>
    <t>Соболь Инна Владимировна</t>
  </si>
  <si>
    <t>У-19-74332</t>
  </si>
  <si>
    <t>Яровой Глеб Вячеславович</t>
  </si>
  <si>
    <t>У-19-61387</t>
  </si>
  <si>
    <t>Буганов Владимир Дмитриевич</t>
  </si>
  <si>
    <t>У-19-61612</t>
  </si>
  <si>
    <t>Седельникова Валентина Григорьевна</t>
  </si>
  <si>
    <t>У-19-62654</t>
  </si>
  <si>
    <t>Соломаха Кристина Семеновна</t>
  </si>
  <si>
    <t>У-19-62659</t>
  </si>
  <si>
    <t>Воронов Сергей Алексеевич</t>
  </si>
  <si>
    <t>У-19-62661</t>
  </si>
  <si>
    <t>Бондарь Евгений Андреевич</t>
  </si>
  <si>
    <t>У-19-63919</t>
  </si>
  <si>
    <t>Лютенко Дмитрий Евгеньевич</t>
  </si>
  <si>
    <t>У-19-64278</t>
  </si>
  <si>
    <t>Алимов Алексей Александрович</t>
  </si>
  <si>
    <t>У-19-64836</t>
  </si>
  <si>
    <t>Васянович Николай Николаевич</t>
  </si>
  <si>
    <t>У-19-65449</t>
  </si>
  <si>
    <t>Агаджанян Артур Мартинович</t>
  </si>
  <si>
    <t>У-19-65884</t>
  </si>
  <si>
    <t>Сергеев Дмитрий Иосифович</t>
  </si>
  <si>
    <t>У-19-70080</t>
  </si>
  <si>
    <t>Варданян Армен Карапетович</t>
  </si>
  <si>
    <t>У-19-70169</t>
  </si>
  <si>
    <t>Сиваков Игорь Николаевич</t>
  </si>
  <si>
    <t>У-19-70619</t>
  </si>
  <si>
    <t>Гордиенко Антонина Николаевна</t>
  </si>
  <si>
    <t>У-19-71599</t>
  </si>
  <si>
    <t>Скуратова Оксана Николаевна</t>
  </si>
  <si>
    <t>У-19-71746</t>
  </si>
  <si>
    <t>Грачев Александр Николаевич</t>
  </si>
  <si>
    <t>У-19-71892</t>
  </si>
  <si>
    <t>Шайдуллин Алмаз Мунавирович</t>
  </si>
  <si>
    <t>У-19-71897</t>
  </si>
  <si>
    <t>Воронцов Валентин Анатольевич</t>
  </si>
  <si>
    <t>У-19-72068</t>
  </si>
  <si>
    <t>Зырянов Алексей Алексеевич</t>
  </si>
  <si>
    <t>У-19-72900</t>
  </si>
  <si>
    <t>Кожевников Роман Юрьевич</t>
  </si>
  <si>
    <t>У-19-73019</t>
  </si>
  <si>
    <t>Хабирова Динара Альбертовна</t>
  </si>
  <si>
    <t>У-19-73186</t>
  </si>
  <si>
    <t>Пигасов Сергей Александрович</t>
  </si>
  <si>
    <t>У-19-73365</t>
  </si>
  <si>
    <t>Диков Павел Павлович</t>
  </si>
  <si>
    <t>У-19-73367</t>
  </si>
  <si>
    <t>Муродов Фаррух Сайдахмадович</t>
  </si>
  <si>
    <t>У-19-73368</t>
  </si>
  <si>
    <t>Димаксян Светлана Маисовна</t>
  </si>
  <si>
    <t>У-19-73371</t>
  </si>
  <si>
    <t>Меркулова Галина Владимировна</t>
  </si>
  <si>
    <t>У-19-74795</t>
  </si>
  <si>
    <t>Волосевич Владислав Андреевич</t>
  </si>
  <si>
    <t>У-19-74799</t>
  </si>
  <si>
    <t>Кондратьев Алексей Викторович</t>
  </si>
  <si>
    <t>У-19-53663</t>
  </si>
  <si>
    <t>Щелоков Олег Владимирович</t>
  </si>
  <si>
    <t>У-19-61675</t>
  </si>
  <si>
    <t>Кисилевич Иван Юэефович</t>
  </si>
  <si>
    <t>У-19-62461</t>
  </si>
  <si>
    <t>Сальков Алексей Иванович</t>
  </si>
  <si>
    <t>У-19-63081</t>
  </si>
  <si>
    <t>Голиков Артем Олегович</t>
  </si>
  <si>
    <t>У-19-63146</t>
  </si>
  <si>
    <t>Белянин Андрей Анатольевич</t>
  </si>
  <si>
    <t>У-19-63463</t>
  </si>
  <si>
    <t>Бородавченко Алексей Олегович</t>
  </si>
  <si>
    <t>У-19-63734</t>
  </si>
  <si>
    <t>Евтеева Наталья Николаевна</t>
  </si>
  <si>
    <t>У-19-65778</t>
  </si>
  <si>
    <t>Саруханян Давид Оганнесович</t>
  </si>
  <si>
    <t>У-19-65867</t>
  </si>
  <si>
    <t>Перевалова Екатерина Сергеевна</t>
  </si>
  <si>
    <t>У-19-70683</t>
  </si>
  <si>
    <t>Баздерова Елизавета Андреевна</t>
  </si>
  <si>
    <t>У-19-71260</t>
  </si>
  <si>
    <t>Мордасов Сергей Михайлович</t>
  </si>
  <si>
    <t>У-19-71263</t>
  </si>
  <si>
    <t>Абдурахманов Саид Абдурахманович</t>
  </si>
  <si>
    <t>У-19-71272</t>
  </si>
  <si>
    <t>Володина Анастасия Сергеевна</t>
  </si>
  <si>
    <t>У-19-71275</t>
  </si>
  <si>
    <t>Шаврагин Павел Константинович</t>
  </si>
  <si>
    <t>У-19-71353</t>
  </si>
  <si>
    <t>Кулик Андрей Николаевич</t>
  </si>
  <si>
    <t>У-19-71356</t>
  </si>
  <si>
    <t>Казаков Александр Васильевич</t>
  </si>
  <si>
    <t>У-19-71378</t>
  </si>
  <si>
    <t>Шубин Константин Васильевич</t>
  </si>
  <si>
    <t>У-19-71393</t>
  </si>
  <si>
    <t>Шульгин Сергей Анатольевич</t>
  </si>
  <si>
    <t>У-19-73041</t>
  </si>
  <si>
    <t>Вострецов Игорь Николаевич</t>
  </si>
  <si>
    <t>У-19-73081</t>
  </si>
  <si>
    <t>Малькова Валентина Алексеевна</t>
  </si>
  <si>
    <t>У-19-73194</t>
  </si>
  <si>
    <t>Клюков Вадим Игоревич</t>
  </si>
  <si>
    <t>У-19-73301</t>
  </si>
  <si>
    <t>Агаджанян Ким Карленович</t>
  </si>
  <si>
    <t>У-19-73318</t>
  </si>
  <si>
    <t>Скляр Антон Васильевич</t>
  </si>
  <si>
    <t>У-19-73338</t>
  </si>
  <si>
    <t>Рамазанов Лугман Магомедович</t>
  </si>
  <si>
    <t>У-19-73360</t>
  </si>
  <si>
    <t>Тен Ольга Николаевна</t>
  </si>
  <si>
    <t>У-19-73375</t>
  </si>
  <si>
    <t>Макаров Александр Васильевич</t>
  </si>
  <si>
    <t>У-19-73376</t>
  </si>
  <si>
    <t>Стремедловская Олеся Леонидовна</t>
  </si>
  <si>
    <t>У-19-74132</t>
  </si>
  <si>
    <t>Исмиляев Алексей Александрович</t>
  </si>
  <si>
    <t>У-19-74115</t>
  </si>
  <si>
    <t>Морозова Наталья Владимировна</t>
  </si>
  <si>
    <t>У-19-55198</t>
  </si>
  <si>
    <t>Бекоев Ботаз Сергеевич</t>
  </si>
  <si>
    <t>Святов Максим Владимирович</t>
  </si>
  <si>
    <t>У-19-57025</t>
  </si>
  <si>
    <t>ИП Маслов Андрей Владимирович</t>
  </si>
  <si>
    <t>У-19-61737</t>
  </si>
  <si>
    <t>Гасанов Рашид Русланович</t>
  </si>
  <si>
    <t>У-19-62803</t>
  </si>
  <si>
    <t>Гарибанов Гасан Магомедович</t>
  </si>
  <si>
    <t>У-19-62804</t>
  </si>
  <si>
    <t>Рудик Виктор Александрович</t>
  </si>
  <si>
    <t>У-19-63946</t>
  </si>
  <si>
    <t>Лунев Денис Дмитриевич</t>
  </si>
  <si>
    <t>У-19-64753</t>
  </si>
  <si>
    <t>Дементьев Андрей Владимирович</t>
  </si>
  <si>
    <t>У-19-65688</t>
  </si>
  <si>
    <t>Ильясова Жанисат Гасангусеновна</t>
  </si>
  <si>
    <t>У-19-70436</t>
  </si>
  <si>
    <t>Земляков Андрей Анатольевич</t>
  </si>
  <si>
    <t>У-19-71201</t>
  </si>
  <si>
    <t>Воронин Алексей Викторович</t>
  </si>
  <si>
    <t>У-19-72368</t>
  </si>
  <si>
    <t>Кудрявцева Анна Евгеньевна</t>
  </si>
  <si>
    <t>У-19-73089</t>
  </si>
  <si>
    <t>Захаров Кирилл Евгеньевич</t>
  </si>
  <si>
    <t>У-19-73133</t>
  </si>
  <si>
    <t>Тагильцева Светлана Алексеевна</t>
  </si>
  <si>
    <t>У-19-73902</t>
  </si>
  <si>
    <t>Голованова Светлана Николаевна</t>
  </si>
  <si>
    <t>У-19-73942</t>
  </si>
  <si>
    <t>Магарамов Кемран Мамедович</t>
  </si>
  <si>
    <t>Относительно требования Заявителя о взыскании неустойки в связи с нарушением срока выплаты страхового возмещения, Финансовый уполномоченный приходит к следующему.
В соответствии с пунктом 1 статьи 16 Закона № 123-ФЗ до направления финансовому уполномоченному обращения потребитель финансовых услуг должен направить в финансовую организацию заявление в письменной или электронной форме.
В связи с несоблюдением Заявителем обязательного порядка направления заявления в</t>
  </si>
  <si>
    <t>Относительно требования Заявителя о взыскании штрафа в размере 50% от взысканной суммы за неисполнение в добровольном порядке требований потерпевшего Финансовый уполномоченный приходит к следующим выводам.
В соответствии с пунктом 3 статьи 16.1 Закона № 40-ФЗ возможность взыскания штрафа в размере пятидесяти процентов от разницы между совокупным размером страховой выплаты, определенной судом, и размером страховой выплаты, осуществленной страховщиком в добровольном порядке предусмотрена в случае удовлетворения судом требований потерпевшего – физического лица, в связи с чем требования о взыскании штрафа не подлежат рассмотрению финансовым уполномоченным.</t>
  </si>
  <si>
    <t>Относительно требования Заявителя о взыскании компенсации морального вреда Финансовый уполномоченный приходит к следующим выводам.
В силу части 1 статьи 19 Закона № 123-ФЗ финансовый уполномоченный не рассматривает обращения по вопросам, связанным с компенсацией морального вреда и возмещением убытков в виде упущенной выгоды.
Таким образом требования Заявителя о компенсации морального вреда рассмотрению не подлежат.</t>
  </si>
  <si>
    <t>У-19-70844</t>
  </si>
  <si>
    <t>У-19-61717</t>
  </si>
  <si>
    <t>Шумилов Алексей Александрович</t>
  </si>
  <si>
    <t>Фомин Иван Николаевич</t>
  </si>
  <si>
    <t>Ячменева Анна Юрьевна</t>
  </si>
  <si>
    <t>Не предоставили реквизиты</t>
  </si>
  <si>
    <t>ДЕЛ</t>
  </si>
  <si>
    <t>Переделать на прекращалку, т.к. отказали в предоставлении эвакуатора, а машина была не на ходу. При этом нам ТС на осмотр не предоставили, фотоматериалов в деле нет</t>
  </si>
  <si>
    <t>ННР выдано и не оспаривается, хочет на дилера, но дата выпуска ТС 2015 год</t>
  </si>
  <si>
    <t>У-19-70198</t>
  </si>
  <si>
    <t>Алалаев Муса Маликович</t>
  </si>
  <si>
    <t>Взыскиваем, т.к. ННР не содержит необходимых сведений (нет адреса, указания ТС, номера договора, сроке проведения ремонта)</t>
  </si>
  <si>
    <t>Расстояние больше 50 км, доказательства организации эвакуации не предоставлены, СМС не содержит адреса</t>
  </si>
  <si>
    <t>Подписано</t>
  </si>
  <si>
    <t>На согласовании</t>
  </si>
  <si>
    <t>На подписании</t>
  </si>
  <si>
    <t>У-19-62750</t>
  </si>
  <si>
    <t>Малсуйгенов Алик Ахматович</t>
  </si>
  <si>
    <t>У-19-62786</t>
  </si>
  <si>
    <t>ЧЕНСКАЯ ЕКАТЕРИНА Николаевна</t>
  </si>
  <si>
    <t>ФИЛЬТР</t>
  </si>
  <si>
    <t>Не та дата в НТЭ, связаться с аналитиками, исправить</t>
  </si>
  <si>
    <t>Неустойка после суда. ПП есть</t>
  </si>
  <si>
    <t>У-19-71974</t>
  </si>
  <si>
    <t>Шишкин Владимир Владимирович</t>
  </si>
  <si>
    <t>У-19-72036</t>
  </si>
  <si>
    <t>Плешакова Елена Григорьевна</t>
  </si>
  <si>
    <t>У-19-71930</t>
  </si>
  <si>
    <t>Гришаев Дмитрий Сергеевич</t>
  </si>
  <si>
    <t>Прекращение УТС красивое</t>
  </si>
  <si>
    <t>УТС без рассмотрения, в остальном ок</t>
  </si>
  <si>
    <t>Переделать на отказ, ННР в срок, удаленность 11 км</t>
  </si>
  <si>
    <t>НТЭ по среднему где ответственность застрахована виновника</t>
  </si>
  <si>
    <t>Жопная неустойка (3 суда и куча РГСовский документов). Дать оценку доводам ФО об оплате 2400₽. Оценка доводам дана</t>
  </si>
  <si>
    <t>У-19-64041</t>
  </si>
  <si>
    <t>У-19-71922</t>
  </si>
  <si>
    <t>Миносян Ишхан Гарикович</t>
  </si>
  <si>
    <t>Бурмаков Илья Александрович</t>
  </si>
  <si>
    <t>У-19-65185</t>
  </si>
  <si>
    <t>У-19-65196</t>
  </si>
  <si>
    <t>У-19-65782</t>
  </si>
  <si>
    <t>У-19-65795</t>
  </si>
  <si>
    <t>У-19-72868</t>
  </si>
  <si>
    <t>У-19-72890</t>
  </si>
  <si>
    <t>У-19-72908</t>
  </si>
  <si>
    <t>У-19-73578</t>
  </si>
  <si>
    <t>У-19-73579</t>
  </si>
  <si>
    <t>Савельев Сергей Анатольевич</t>
  </si>
  <si>
    <t>Казанцев Александр Борисович</t>
  </si>
  <si>
    <t>Килоев Беслан Обоевич</t>
  </si>
  <si>
    <t>Маркман Анна Викторовна</t>
  </si>
  <si>
    <t>Шарыпов Максим Сергеевич</t>
  </si>
  <si>
    <t>Радостев Иван Иванович</t>
  </si>
  <si>
    <t>Поляков Александр Алексеевич</t>
  </si>
  <si>
    <t>Гора Наталья Борисовна</t>
  </si>
  <si>
    <t>Моисеев Александр Валерьевич</t>
  </si>
  <si>
    <t>Невозможно установить периоды, за которые судами взыскана неустойка</t>
  </si>
  <si>
    <t>Прекращение, нет даты обращени в ФО</t>
  </si>
  <si>
    <t>Неустойка после суда, в суде заявлялась. Выплатили по его претензии, но на день ошиблись в расчетах. Отказываем, как добровольно исполненное</t>
  </si>
  <si>
    <t>Добавить мотивировку по 16.1</t>
  </si>
  <si>
    <t>Пересчитать с учетом взысканной судом неустойки. Неустойка, суд взыскал частично</t>
  </si>
  <si>
    <t>Выплата 125000, заработок 34000 по НТЭ ФУ. Утраченный заработок не превышает выплату по Нормативам</t>
  </si>
  <si>
    <t>Неустойка, ФО идет в суд в иском о снижении неустойки</t>
  </si>
  <si>
    <t>НЕУСТОЙКА, СУД</t>
  </si>
  <si>
    <t>ВИНОВНИК НЕ ЗАСТРАХОВАН</t>
  </si>
  <si>
    <t>Велосипед</t>
  </si>
  <si>
    <t>Должен идти по ПВУ, а идет в ФО виновника</t>
  </si>
  <si>
    <t>Переделать на отказ, т.к. неустойку не просит, а просит ущерб, УТС и НТЭ</t>
  </si>
  <si>
    <t>Добавить требования</t>
  </si>
  <si>
    <t>Выдали ННР, но исключили часть повреждений, по НТЭ ФУ данные повреждения относятся к ДТП</t>
  </si>
  <si>
    <t>Запрос удостоверения</t>
  </si>
  <si>
    <t>У-19-66158</t>
  </si>
  <si>
    <t>Попович Максим Иванович</t>
  </si>
  <si>
    <t>У-19-66160</t>
  </si>
  <si>
    <t>Березинец Егор Владимирович</t>
  </si>
  <si>
    <t>У-19-68112</t>
  </si>
  <si>
    <t>Зарипов Денис Ильдарович</t>
  </si>
  <si>
    <t>У-19-69852</t>
  </si>
  <si>
    <t>Котанджян Альберт Воронцовович</t>
  </si>
  <si>
    <t>У-19-74822</t>
  </si>
  <si>
    <t>Митченко Александр Алексеевич</t>
  </si>
  <si>
    <t>У-19-74824</t>
  </si>
  <si>
    <t>Заварзин Андрей Леонидович</t>
  </si>
  <si>
    <t>У-19-74826</t>
  </si>
  <si>
    <t>Фомин Алексей Александрович</t>
  </si>
  <si>
    <t>У-19-75138</t>
  </si>
  <si>
    <t>Попкова Маргарита Викторовна</t>
  </si>
  <si>
    <t>У-19-75139</t>
  </si>
  <si>
    <t>Демин Лев Петрович</t>
  </si>
  <si>
    <t>У-19-75140</t>
  </si>
  <si>
    <t>Комягина Анжелика Петровна</t>
  </si>
  <si>
    <t>У-19-75141</t>
  </si>
  <si>
    <t>Жданов Андрей Александрович</t>
  </si>
  <si>
    <t>У-19-75143</t>
  </si>
  <si>
    <t>Агидуллин Азат Адикович</t>
  </si>
  <si>
    <t>У-19-76195</t>
  </si>
  <si>
    <t>Помазов Сергей Олегович</t>
  </si>
  <si>
    <t>У-19-76196</t>
  </si>
  <si>
    <t>Спиридонова Елена Витальевна</t>
  </si>
  <si>
    <t>У-19-76197</t>
  </si>
  <si>
    <t>Абрамов Михаил Евгеньевич</t>
  </si>
  <si>
    <t>У-19-76827</t>
  </si>
  <si>
    <t>Форшнев Александр Захариевич</t>
  </si>
  <si>
    <t>У-19-76831</t>
  </si>
  <si>
    <t>Михайлов Павел Евгеньевич</t>
  </si>
  <si>
    <t>У-19-76834</t>
  </si>
  <si>
    <t>Семаш Александр Анатольевич</t>
  </si>
  <si>
    <t>У-19-76835</t>
  </si>
  <si>
    <t>Власов Денис Борисович</t>
  </si>
  <si>
    <t>У-19-77881</t>
  </si>
  <si>
    <t>Насонова Елена Леонидовна</t>
  </si>
  <si>
    <t>У-19-77898</t>
  </si>
  <si>
    <t>Валягин Александр Владимирович</t>
  </si>
  <si>
    <t>У-19-77899</t>
  </si>
  <si>
    <t>Кудинова Вероника Николаевна</t>
  </si>
  <si>
    <t>У-19-77901</t>
  </si>
  <si>
    <t>Корчемкин Анатолий Иванович</t>
  </si>
  <si>
    <t>У-19-78668</t>
  </si>
  <si>
    <t>Вульфсон Дмитрий Семенович</t>
  </si>
  <si>
    <t>У-19-78673</t>
  </si>
  <si>
    <t>Кириленко Артем Викторович</t>
  </si>
  <si>
    <t>У-19-78674</t>
  </si>
  <si>
    <t>Суворова Валентина Алексеевна</t>
  </si>
  <si>
    <t>У-19-79203</t>
  </si>
  <si>
    <t>Джанаев Заур Аланович</t>
  </si>
  <si>
    <t>У-19-79294</t>
  </si>
  <si>
    <t>Головахин Андрей Владимирович</t>
  </si>
  <si>
    <t>У-19-79306</t>
  </si>
  <si>
    <t>Маликов Наиль Аксанович</t>
  </si>
  <si>
    <t>У-19-79307</t>
  </si>
  <si>
    <t>Карелина Тамара Давыдовна</t>
  </si>
  <si>
    <t>У-19-79309</t>
  </si>
  <si>
    <t>Жарко Сергей Михайлович</t>
  </si>
  <si>
    <t>У-19-55919</t>
  </si>
  <si>
    <t>Даллакян Сильва Ашотовна</t>
  </si>
  <si>
    <t>У-19-58552</t>
  </si>
  <si>
    <t>Волков Вадим Алексеевич</t>
  </si>
  <si>
    <t>У-19-59170</t>
  </si>
  <si>
    <t>Сарваров Ибрагим Биналиевич</t>
  </si>
  <si>
    <t>У-19-66274</t>
  </si>
  <si>
    <t>Джанаев Джанай Абдулазизович</t>
  </si>
  <si>
    <t>У-19-66351</t>
  </si>
  <si>
    <t>Лейченков Артур Сергеевич</t>
  </si>
  <si>
    <t>У-19-68354</t>
  </si>
  <si>
    <t>Солдатов Иван Сергеевич</t>
  </si>
  <si>
    <t>У-19-68356</t>
  </si>
  <si>
    <t>Прокопчук Татьяна Сергеевна</t>
  </si>
  <si>
    <t>У-19-68567</t>
  </si>
  <si>
    <t>Закиева Милана Анаровна</t>
  </si>
  <si>
    <t>У-19-69707</t>
  </si>
  <si>
    <t>Зубарев Александр Николаевич</t>
  </si>
  <si>
    <t>У-19-69816</t>
  </si>
  <si>
    <t>Военкова Ирина Николаевна</t>
  </si>
  <si>
    <t>У-19-74580</t>
  </si>
  <si>
    <t>Симонян Самвел Спартакович</t>
  </si>
  <si>
    <t>У-19-74592</t>
  </si>
  <si>
    <t>Пьянченкова Ольга Ивановна</t>
  </si>
  <si>
    <t>У-19-75443</t>
  </si>
  <si>
    <t>Горелик Анатолий Сергеевич</t>
  </si>
  <si>
    <t>У-19-75447</t>
  </si>
  <si>
    <t>ЗАРМЕНСКИХ МИХАИЛ ВЛАДИМИРОВИЧ</t>
  </si>
  <si>
    <t>У-19-75449</t>
  </si>
  <si>
    <t>Туев Виктор Михайлович</t>
  </si>
  <si>
    <t>У-19-75453</t>
  </si>
  <si>
    <t>Тедеев Ирбег Валерьевич</t>
  </si>
  <si>
    <t>У-19-76369</t>
  </si>
  <si>
    <t>Майоров Александр Александрович</t>
  </si>
  <si>
    <t>У-19-76375</t>
  </si>
  <si>
    <t>Лылов Евгений Николаевич</t>
  </si>
  <si>
    <t>У-19-76377</t>
  </si>
  <si>
    <t>Егоян Гарник Агасикович</t>
  </si>
  <si>
    <t>У-19-77094</t>
  </si>
  <si>
    <t>Габоян Гор Норики</t>
  </si>
  <si>
    <t>У-19-77099</t>
  </si>
  <si>
    <t>Журавлев Владимир Сергеевич</t>
  </si>
  <si>
    <t>У-19-77100</t>
  </si>
  <si>
    <t>Абдулханова Дилбер Заферовна</t>
  </si>
  <si>
    <t>У-19-77108</t>
  </si>
  <si>
    <t>Козов Евгений Игоревич</t>
  </si>
  <si>
    <t>У-19-78162</t>
  </si>
  <si>
    <t>Алибеков Арслан Велиханович</t>
  </si>
  <si>
    <t>У-19-78175</t>
  </si>
  <si>
    <t>Чекарамыт Михаил Сергеевич</t>
  </si>
  <si>
    <t>У-19-78179</t>
  </si>
  <si>
    <t>Татаркина Надежда Алексеевна</t>
  </si>
  <si>
    <t>У-19-78181</t>
  </si>
  <si>
    <t>Ворожейкин Кирилл Сергеевич</t>
  </si>
  <si>
    <t>У-19-78933</t>
  </si>
  <si>
    <t>Белоусова Эмилия Владимировна</t>
  </si>
  <si>
    <t>У-19-78934</t>
  </si>
  <si>
    <t>Цисинский Василий Петрович</t>
  </si>
  <si>
    <t>У-19-78936</t>
  </si>
  <si>
    <t>Макаров Дмитрий Владимирович</t>
  </si>
  <si>
    <t>У-19-79778</t>
  </si>
  <si>
    <t>Никитин Владимир Вячеславович</t>
  </si>
  <si>
    <t>У-19-79787</t>
  </si>
  <si>
    <t>Мокеев Игорь Николаевич</t>
  </si>
  <si>
    <t>У-19-79789</t>
  </si>
  <si>
    <t>Соловьев Никита Юрьевич</t>
  </si>
  <si>
    <t>У-19-79792</t>
  </si>
  <si>
    <t>Семенихин Андрей Иванович</t>
  </si>
  <si>
    <t>У-19-79793</t>
  </si>
  <si>
    <t>Кайсабаев Александр Викторович</t>
  </si>
  <si>
    <t>У-19-58619</t>
  </si>
  <si>
    <t>Стерхов Павел Константинович</t>
  </si>
  <si>
    <t>У-19-66500</t>
  </si>
  <si>
    <t>Колычев Алексей Николаевич</t>
  </si>
  <si>
    <t>У-19-66986</t>
  </si>
  <si>
    <t>Волкова Ирина Александровна</t>
  </si>
  <si>
    <t>У-19-67690</t>
  </si>
  <si>
    <t>Тычков Александр Игоревич</t>
  </si>
  <si>
    <t>У-19-68372</t>
  </si>
  <si>
    <t>Волков Денис Аркадьевич</t>
  </si>
  <si>
    <t>У-19-69367</t>
  </si>
  <si>
    <t>Фадеев Евгений Романович</t>
  </si>
  <si>
    <t>У-19-70687</t>
  </si>
  <si>
    <t>Маликова Галина Пармэновна</t>
  </si>
  <si>
    <t>У-19-71068</t>
  </si>
  <si>
    <t>Нестеренко Владислав Сергеевич</t>
  </si>
  <si>
    <t>У-19-72185</t>
  </si>
  <si>
    <t>Баркалаев Чумчал Магомедович</t>
  </si>
  <si>
    <t>У-19-74372</t>
  </si>
  <si>
    <t>Арабова Саимат Рахибовна</t>
  </si>
  <si>
    <t>У-19-75361</t>
  </si>
  <si>
    <t>Темеров Владислав Евгеньевич</t>
  </si>
  <si>
    <t>У-19-75413</t>
  </si>
  <si>
    <t>Орлова Ольга Анатольевна</t>
  </si>
  <si>
    <t>У-19-76326</t>
  </si>
  <si>
    <t>Исаева Светлана Сергеевна</t>
  </si>
  <si>
    <t>У-19-76332</t>
  </si>
  <si>
    <t>Шайнуров Ильдар Фанусович</t>
  </si>
  <si>
    <t>У-19-77035</t>
  </si>
  <si>
    <t>Цурмичева Ольга Александровна</t>
  </si>
  <si>
    <t>У-19-77058</t>
  </si>
  <si>
    <t>Гончаренко Юрий Владимирович</t>
  </si>
  <si>
    <t>У-19-77071</t>
  </si>
  <si>
    <t>Мягчило Иван Викторович</t>
  </si>
  <si>
    <t>АО «СК «Астро-Волга»</t>
  </si>
  <si>
    <t>У-19-78031</t>
  </si>
  <si>
    <t>Боровец Иван Сергеевич</t>
  </si>
  <si>
    <t>У-19-78076</t>
  </si>
  <si>
    <t>Кубышкин Александр Сергеевич Сергеевич</t>
  </si>
  <si>
    <t>У-19-78077</t>
  </si>
  <si>
    <t>Раимжанов Фуркат Равшанович</t>
  </si>
  <si>
    <t>У-19-79596</t>
  </si>
  <si>
    <t>Советов Илья Анатольевич</t>
  </si>
  <si>
    <t>У-19-79597</t>
  </si>
  <si>
    <t>Яворский Максим Александрович</t>
  </si>
  <si>
    <t>У-19-79598</t>
  </si>
  <si>
    <t>Спицын Евгений Александрович</t>
  </si>
  <si>
    <t>У-19-79602</t>
  </si>
  <si>
    <t>Саранский Сергей Андреевич</t>
  </si>
  <si>
    <t>Уточнить по срокам направления</t>
  </si>
  <si>
    <t>У-19-59201</t>
  </si>
  <si>
    <t>Саидов Ахбердилав Магомедович</t>
  </si>
  <si>
    <t>У-19-66340</t>
  </si>
  <si>
    <t>Хлытчиев Андрей Андреевич</t>
  </si>
  <si>
    <t>У-19-68452</t>
  </si>
  <si>
    <t>Саматова Гузель Фаниловна</t>
  </si>
  <si>
    <t>У-19-69550</t>
  </si>
  <si>
    <t>Патюкова Татьяна Степановна</t>
  </si>
  <si>
    <t>У-19-74396</t>
  </si>
  <si>
    <t>Евтух Виктор Федорович</t>
  </si>
  <si>
    <t>У-19-74642</t>
  </si>
  <si>
    <t>Усмаева Юлия Александровна</t>
  </si>
  <si>
    <t>У-19-75547</t>
  </si>
  <si>
    <t>Леонтьев Сергей Владимирович</t>
  </si>
  <si>
    <t>У-19-75555</t>
  </si>
  <si>
    <t>Саргсян Аида Сережаевна</t>
  </si>
  <si>
    <t>У-19-75566</t>
  </si>
  <si>
    <t>Воробьев Сергей Сергеевич</t>
  </si>
  <si>
    <t>У-19-75623</t>
  </si>
  <si>
    <t>Пятаев Артем Олегович</t>
  </si>
  <si>
    <t>У-19-75634</t>
  </si>
  <si>
    <t>Семенов Геннадий Леонидович</t>
  </si>
  <si>
    <t>У-19-76456</t>
  </si>
  <si>
    <t>Гавриш Андрей Евгеньевич</t>
  </si>
  <si>
    <t>У-19-76459</t>
  </si>
  <si>
    <t>Ядров Александр Михайлович</t>
  </si>
  <si>
    <t>У-19-76460</t>
  </si>
  <si>
    <t>Гмыря Екатерина Юрьевна</t>
  </si>
  <si>
    <t>У-19-76463</t>
  </si>
  <si>
    <t>Елисеев Артем Александрович</t>
  </si>
  <si>
    <t>У-19-77344</t>
  </si>
  <si>
    <t>Яхьяев Магомедкурбан Гаджиханович</t>
  </si>
  <si>
    <t>У-19-77355</t>
  </si>
  <si>
    <t>Костецкая Оксана Викторовна</t>
  </si>
  <si>
    <t>У-19-77359</t>
  </si>
  <si>
    <t>Андреев Андрей Викторович</t>
  </si>
  <si>
    <t>У-19-77368</t>
  </si>
  <si>
    <t>Тимеева Татьяна Николаевна</t>
  </si>
  <si>
    <t>У-19-78319</t>
  </si>
  <si>
    <t>Болдырева Любовь Степановна</t>
  </si>
  <si>
    <t>У-19-78346</t>
  </si>
  <si>
    <t>Токарев Константин Игоревич</t>
  </si>
  <si>
    <t>У-19-78309</t>
  </si>
  <si>
    <t>Чупренко Ирина Вячеславовна</t>
  </si>
  <si>
    <t>У-19-79044</t>
  </si>
  <si>
    <t>Эскирханов Муслим Саид-Магомедович</t>
  </si>
  <si>
    <t>У-19-79053</t>
  </si>
  <si>
    <t>Кабаев Алексей Викторович</t>
  </si>
  <si>
    <t>У-19-79057</t>
  </si>
  <si>
    <t>Войцешко Антон Валерьевич</t>
  </si>
  <si>
    <t>ООО РСО «ЕВРОИНС»</t>
  </si>
  <si>
    <t>У-19-79087</t>
  </si>
  <si>
    <t>Газимжанова Елена Николаевна</t>
  </si>
  <si>
    <t>У-19-79902</t>
  </si>
  <si>
    <t>Машадиев Вафадар Мусаллим Оглы</t>
  </si>
  <si>
    <t>У-19-79903</t>
  </si>
  <si>
    <t>Кравченко Сергей Александрович</t>
  </si>
  <si>
    <t>У-19-79907</t>
  </si>
  <si>
    <t>Рыков Михаил Юрьевич</t>
  </si>
  <si>
    <t>У-19-79909</t>
  </si>
  <si>
    <t>Иванов Антон Анатольевич</t>
  </si>
  <si>
    <t>ТАКСИ</t>
  </si>
  <si>
    <t>Не обращался в порядке статьи 16 ФЗ-123</t>
  </si>
  <si>
    <t>У-19-57811</t>
  </si>
  <si>
    <t>Гулиева Айтекин Закировна</t>
  </si>
  <si>
    <t>У-19-75945</t>
  </si>
  <si>
    <t>Черников Андрей Владимирович</t>
  </si>
  <si>
    <t>У-19-67344</t>
  </si>
  <si>
    <t>Востриков Владислав Дмитриевич</t>
  </si>
  <si>
    <t>У-19-67356</t>
  </si>
  <si>
    <t>Абдрахманова Айман Жолдыгалиевна</t>
  </si>
  <si>
    <t>Бронированая</t>
  </si>
  <si>
    <t>У-19-67950</t>
  </si>
  <si>
    <t>У-19-69187</t>
  </si>
  <si>
    <t>У-19-70638</t>
  </si>
  <si>
    <t>У-19-70896</t>
  </si>
  <si>
    <t>У-19-71679</t>
  </si>
  <si>
    <t>У-19-72131</t>
  </si>
  <si>
    <t>У-19-72208</t>
  </si>
  <si>
    <t>У-19-76213</t>
  </si>
  <si>
    <t>У-19-76214</t>
  </si>
  <si>
    <t>У-19-76221</t>
  </si>
  <si>
    <t>У-19-76232</t>
  </si>
  <si>
    <t>У-19-76234</t>
  </si>
  <si>
    <t>У-19-77343</t>
  </si>
  <si>
    <t>У-19-77345</t>
  </si>
  <si>
    <t>У-19-77403</t>
  </si>
  <si>
    <t>У-19-77409</t>
  </si>
  <si>
    <t>У-19-77543</t>
  </si>
  <si>
    <t>У-19-77545</t>
  </si>
  <si>
    <t>У-19-77551</t>
  </si>
  <si>
    <t>У-19-78240</t>
  </si>
  <si>
    <t>У-19-78242</t>
  </si>
  <si>
    <t>У-19-78245</t>
  </si>
  <si>
    <t>У-19-78246</t>
  </si>
  <si>
    <t>У-19-79851</t>
  </si>
  <si>
    <t>У-19-79853</t>
  </si>
  <si>
    <t>Семенов Владимир Владимирович</t>
  </si>
  <si>
    <t>Гусева Елена Владимировна</t>
  </si>
  <si>
    <t>Щепилова Ирина Николаевна</t>
  </si>
  <si>
    <t>Чайников Егор Сергеевич</t>
  </si>
  <si>
    <t>Сидорова Ольга Владимировна</t>
  </si>
  <si>
    <t>Ушаков Иван Игоревич</t>
  </si>
  <si>
    <t>Савченков Иван Сергеевич</t>
  </si>
  <si>
    <t>Шаповалов Роман Андреевич</t>
  </si>
  <si>
    <t>Зеленцов Анатолий Сергеевич</t>
  </si>
  <si>
    <t>Кузнецов Сергей Алексеевич</t>
  </si>
  <si>
    <t>Усманов Минерафис Гараевич</t>
  </si>
  <si>
    <t>Остапенко Людмила Анатольевна</t>
  </si>
  <si>
    <t>Кусраев Марат Гивиевич</t>
  </si>
  <si>
    <t>Канаматов Халит Ильясович</t>
  </si>
  <si>
    <t>Голубев Илья Игоревич</t>
  </si>
  <si>
    <t>Теплинский Виталий Сергеевич</t>
  </si>
  <si>
    <t>Гербеков Артур Муратович</t>
  </si>
  <si>
    <t>Мацнев Олег Олегович</t>
  </si>
  <si>
    <t>Цыбушкин Михаил Анатольевич</t>
  </si>
  <si>
    <t>Коваль Вера Александровна</t>
  </si>
  <si>
    <t>Беспалов Владимир Тимофеевич</t>
  </si>
  <si>
    <t>БОРИС КУЗНЕЦОВ Борисович</t>
  </si>
  <si>
    <t>Калюжный Юрий Викторович</t>
  </si>
  <si>
    <t>Ильина Валентина Ильинична</t>
  </si>
  <si>
    <t>Коваль Елена Валентиновна</t>
  </si>
  <si>
    <t>Неустойка без суда</t>
  </si>
  <si>
    <t>НТЭ не пришла</t>
  </si>
  <si>
    <t>Шумилов</t>
  </si>
  <si>
    <t>395 ГК РФ</t>
  </si>
  <si>
    <t>НЕУСТОЙКА 395</t>
  </si>
  <si>
    <t>У-19-67016</t>
  </si>
  <si>
    <t>Антоносян Инеза Николаевна</t>
  </si>
  <si>
    <t>Дописать про направление на ремонт</t>
  </si>
  <si>
    <t>Смотрел, накосячили в НТЭ ФУ, нужно переделать</t>
  </si>
  <si>
    <t>Неустойка после суда. Нет сведений о стоимости ремонта</t>
  </si>
  <si>
    <t>У-19-68633</t>
  </si>
  <si>
    <t>Сероусова Татьяна Леонидовна</t>
  </si>
  <si>
    <t>У-19-76597</t>
  </si>
  <si>
    <t>Шишкина Татьяна Александровна</t>
  </si>
  <si>
    <t>У-19-76887</t>
  </si>
  <si>
    <t>Пронькин Петр Яковлевич</t>
  </si>
  <si>
    <t>Вроде как в срок выдано, нужно уточнить, обратился 29.05.2019, сам пишет о том, что ННР получил 17.06.2019, т.е. в срок</t>
  </si>
  <si>
    <t>Прописать про недействительное соглашение и конклюдентные действия (не вернул деньги)</t>
  </si>
  <si>
    <t>Прекращение, т.к. нет ответа от ФО виновника</t>
  </si>
  <si>
    <t>Сибатров</t>
  </si>
  <si>
    <t>Прекращение, фотки плохие. Хахалев</t>
  </si>
  <si>
    <t>НТЭ не пришла.Сибатров</t>
  </si>
  <si>
    <t>Нечаева</t>
  </si>
  <si>
    <t>Из Обращения не следует, что Заявитель в порядке статьи 16 Закона № 123-ФЗ обращался в СПАО «Ингосстрах» с заявлением о выплате УТС, таким образом, основания для рассмотрения Обращения в порядке, предусмотренном Законом № 123-ФЗ, отсутствуют.</t>
  </si>
  <si>
    <t>10.10.2019 Заявитель обратился в АО «СОГАЗ» с заявлением о выплате УТС, 04.12.2019 АО «СОГАЗ» на расчетный счет Заявителя была произведена выплата УТС в размере 18 769 рублей 21 копейка.
Пунктом 2 части 1 статьи 19 Закона № 123-ФЗ установлено, что финансовый уполномоченный не рассматривает обращения, в том числе, если потребитель финансовых услуг предварительно не обратился в финансовую организацию в порядке, установленном статьей 16 Закона № 123-ФЗ.
Согласно части 1 статьи 16 Закона № 123-ФЗ до направления финансовому уполномоченному обращения потребитель финансовых услуг должен направить в финансовую организацию заявление в письменной или электронной форме.
В соответствии с частью 4 статьи 16 Закона № 123-ФЗ потребитель финансовых услуг вправе направить обращение финансовому уполномоченному после получения ответа финансовой организации либо в случае неполучения ответа финансовой организации по истечении соответствующих сроков рассмотрения финансовой организацией заявления потребителя финансовых услуг, установленных частью 2 статьи 16 Закона № 123-ФЗ.</t>
  </si>
  <si>
    <t>У-19-77649</t>
  </si>
  <si>
    <t>У-19-69250</t>
  </si>
  <si>
    <t>У-19-55760</t>
  </si>
  <si>
    <t>Азаренков Александр Викторович</t>
  </si>
  <si>
    <t>Гребенкин Сергей Юрьевич</t>
  </si>
  <si>
    <t>ООО "Авторемонт Кар"</t>
  </si>
  <si>
    <t>ЗАЯВИТЕЛЬ ВИНОВНИК</t>
  </si>
  <si>
    <t>Заявитель сам виновник</t>
  </si>
  <si>
    <t>У-19-77623</t>
  </si>
  <si>
    <t>Соловьева Елена Алексеевна</t>
  </si>
  <si>
    <t>У-19-70779</t>
  </si>
  <si>
    <t>Ковригин Станислав Сергеевич</t>
  </si>
  <si>
    <t>Имущество, корова и бык. Выплатили 50% по НТЭ Заявителя</t>
  </si>
  <si>
    <t>У-19-78382</t>
  </si>
  <si>
    <t>Власов Николай Николаевич</t>
  </si>
  <si>
    <t>У-19-78380</t>
  </si>
  <si>
    <t>Перельман Валерий Хаимович</t>
  </si>
  <si>
    <t>ОТКАЗ (ЭКСПЕРТИЗА И ПРЕДСТАВИТЕЛЬСКИЕ ВМЕСТЕ)</t>
  </si>
  <si>
    <t>Рассмотрев требования Заявителя о возмещении расходов на проведение независимой экспертизы и расходов на юридические услуги по подаче претензии, Финансовый уполномоченный пришел к следующим выводам.
Согласно абзацу 3 пункта 1 статьи 16.1 Закона № 40-ФЗ в редакции, действующей с 01.06.2019, при наличии разногласий между потерпевшим, являющимся потребителем финансовых услуг, определенным в соответствии с Законом № 123-ФЗ, и страховщиком относительно исполнения последним своих обязательств по договору обязательного страхования до предъявления к страховщику иска, вытекающего из неисполнения или ненадлежащего исполнения им обязательств по договору обязательного страхования, несогласия указанного потерпевшего с размером осуществленной страховщиком страховой выплаты, несоблюдения станцией технического обслуживания срока передачи потерпевшему отремонтированного транспортного средства, нарушения иных обязательств по проведению восстановительного ремонта транспортного средства потерпевший должен направить страховщику письменное заявление, а страховщик обязан рассмотреть его в порядке, установленном Законом № 123-ФЗ.
В соответствии с частью 10 статьи 20 Закона № 123-ФЗ финансовый уполномоченный вправе организовывать проведение независимой экспертизы (оценки) по предмету спора для решения вопросов, связанных с рассмотрением обращения. 
При составлении заявления потребитель может использовать стандартную форму заявления в финансовую организацию, утвержденную решением Совета Службы финансового уполномоченного от 12.04.2019 (протокол № 4) в соответствии с частью 2 статьи 16 Закона № 123-ФЗ и размещенную на официальном сайте финансового уполномоченного 
в информационно-телекоммуникационной сети «Интернет» (www.finombudsman.ru). Указанная форма также не предполагает обязательное приложение к ней экспертного заключения.
Таким образом, законом установлен претензионный порядок, который не требует от Заявителя специальных знаний в юридической сфере 
и проведение независимой экспертизы для подтверждения заявленных требований. Соответственно, расходы Заявителя на проведение независимой экспертизы и расходы на юридические услуги по подаче претензии не являлись необходимыми для подтверждения обоснованности требований Заявителя в рамках соблюдения досудебного порядка и возмещению не подлежат.</t>
  </si>
  <si>
    <t>Прекратились потому что цессия…</t>
  </si>
  <si>
    <t>У-19-70186</t>
  </si>
  <si>
    <t>Хантуева Аминат Наурбеговна</t>
  </si>
  <si>
    <t>Позвонить в суд, уточнить предмер иска. Версию загрузил</t>
  </si>
  <si>
    <t>ДКП</t>
  </si>
  <si>
    <t>Соглашение, пределать на отказ</t>
  </si>
  <si>
    <t>У-19-80041</t>
  </si>
  <si>
    <t>Егорова Людмила Анатольевна</t>
  </si>
  <si>
    <t>У-19-80031</t>
  </si>
  <si>
    <t>Конышева Марина Юрьевна</t>
  </si>
  <si>
    <t>Здоровье и велосипед. Нет приговора суда, документов о праве собственности на Имущество. Также имеется информация о том, что Заявитель признан гражданским истцом в рамках уголовного дела</t>
  </si>
  <si>
    <t>Добровольное исполнение неустойки по решению ФУ</t>
  </si>
  <si>
    <t>ДОБР ИСП, НЕУСТОЙКА, ФУ</t>
  </si>
  <si>
    <t>У-19-70184</t>
  </si>
  <si>
    <t>Шамхалова Гульжанат Алиевна</t>
  </si>
  <si>
    <t>Правильный воыврат документов</t>
  </si>
  <si>
    <t>НЕУСТОЙКА, ЗЕЛЕНАЯ КАРТА</t>
  </si>
  <si>
    <t>У-19-80032</t>
  </si>
  <si>
    <t>Матосян Ирина Валерьевна</t>
  </si>
  <si>
    <t>Должен идти по ПВУ, а идет в ФО виновника, пишет, что его ответственность не застрахована, но по данным с сайта РСА, полис на машину есть</t>
  </si>
  <si>
    <t>У-19-80323</t>
  </si>
  <si>
    <t>Попов Евгений Юрьевич</t>
  </si>
  <si>
    <t>У-19-80605</t>
  </si>
  <si>
    <t>Донской Дмитрий Сергеевич</t>
  </si>
  <si>
    <t>У-19-80247</t>
  </si>
  <si>
    <t>направлено уведомление о принятии Обращения к рассмотрению от</t>
  </si>
  <si>
    <t xml:space="preserve">, содержащее требование о предоставлении сведений и документов по предмету спора, указанному в Обращении.
</t>
  </si>
  <si>
    <t>Диагностика</t>
  </si>
  <si>
    <t>расходов на диагностику в размере</t>
  </si>
  <si>
    <t>расходов на диагностику</t>
  </si>
  <si>
    <t>расходы на диагностику в размере</t>
  </si>
  <si>
    <t>Каманицын Роман Александрович</t>
  </si>
  <si>
    <t>У-19-80331</t>
  </si>
  <si>
    <t>У-19-80333</t>
  </si>
  <si>
    <t>Джетписбаев Ермурат Бейсенович</t>
  </si>
  <si>
    <t>У-19-80324</t>
  </si>
  <si>
    <t>Голофаст Евгений Сергеевич</t>
  </si>
  <si>
    <t>У-19-80444</t>
  </si>
  <si>
    <t>Зайнетдинова Виктория Юнировна</t>
  </si>
  <si>
    <t>У-19-80445</t>
  </si>
  <si>
    <t>Вилков Евгений Александрович</t>
  </si>
  <si>
    <t>У-19-80453</t>
  </si>
  <si>
    <t>Сафонов Виктор Владимирович</t>
  </si>
  <si>
    <t>У-19-80454</t>
  </si>
  <si>
    <t>Кузьменко Александр Леонидович</t>
  </si>
  <si>
    <t>У-19-81417</t>
  </si>
  <si>
    <t>Суконкина Алла Владимировна</t>
  </si>
  <si>
    <t>У-19-81423</t>
  </si>
  <si>
    <t>Близнев Николай Евгеньевич</t>
  </si>
  <si>
    <t>У-19-82286</t>
  </si>
  <si>
    <t>Плиска Кирилл Сергеевич</t>
  </si>
  <si>
    <t>У-19-82293</t>
  </si>
  <si>
    <t>Гуртовая Наталья Владимировна</t>
  </si>
  <si>
    <t>У-19-82317</t>
  </si>
  <si>
    <t>Юрьев Михаил Владимирович</t>
  </si>
  <si>
    <t>У-19-82326</t>
  </si>
  <si>
    <t>Исаджанян Артур Андреевич</t>
  </si>
  <si>
    <t>У-19-82354</t>
  </si>
  <si>
    <t>Зинков Алексей Александрович</t>
  </si>
  <si>
    <t>У-19-82895</t>
  </si>
  <si>
    <t>Затычин Андрей Александрович</t>
  </si>
  <si>
    <t>У-19-82913</t>
  </si>
  <si>
    <t>Календжян Эдгар Андроникович</t>
  </si>
  <si>
    <t>У-19-82925</t>
  </si>
  <si>
    <t>Злобин Сергей Владимирович</t>
  </si>
  <si>
    <t>У-19-83634</t>
  </si>
  <si>
    <t>Бекоев Валерий Ахсарович</t>
  </si>
  <si>
    <t>У-19-83637</t>
  </si>
  <si>
    <t>Хошимов Далер Акрамович</t>
  </si>
  <si>
    <t>У-19-83660</t>
  </si>
  <si>
    <t>Юпатова Юлия Александровна</t>
  </si>
  <si>
    <t>У-19-83757</t>
  </si>
  <si>
    <t>Геворгян Аргишти Ашотович</t>
  </si>
  <si>
    <t>У-19-83760</t>
  </si>
  <si>
    <t>Долгих Эдуард Валерьевич</t>
  </si>
  <si>
    <t>У-19-84785</t>
  </si>
  <si>
    <t>Румянцев Александр Александрович</t>
  </si>
  <si>
    <t>У-19-84787</t>
  </si>
  <si>
    <t>Татраев Радион Ахсарович</t>
  </si>
  <si>
    <t>У-19-84788</t>
  </si>
  <si>
    <t>Поздеев Алексей Николаевич</t>
  </si>
  <si>
    <t>У-19-84790</t>
  </si>
  <si>
    <t>Довгаль Михаил Сергеевич</t>
  </si>
  <si>
    <t>У-19-75054</t>
  </si>
  <si>
    <t>Дугулубгов Заур Хабасович</t>
  </si>
  <si>
    <t>У-19-75071</t>
  </si>
  <si>
    <t>Пелевин Дмитрий Владимирович</t>
  </si>
  <si>
    <t>У-19-80101</t>
  </si>
  <si>
    <t>Захаренко Светлана Владимировна</t>
  </si>
  <si>
    <t>У-19-80103</t>
  </si>
  <si>
    <t>Ситников Александр Николаевич</t>
  </si>
  <si>
    <t>У-19-80106</t>
  </si>
  <si>
    <t>Курамагомедов Алик Магомедович</t>
  </si>
  <si>
    <t>У-19-80960</t>
  </si>
  <si>
    <t>Агаев Мушвиг Судеф Оглы</t>
  </si>
  <si>
    <t>У-19-81467</t>
  </si>
  <si>
    <t>Хорошавина Наталья Васильевна</t>
  </si>
  <si>
    <t>У-19-81820</t>
  </si>
  <si>
    <t>Хайруллин Рушан Рашитович</t>
  </si>
  <si>
    <t>У-19-81822</t>
  </si>
  <si>
    <t>Писаревский Антон Юрьевич</t>
  </si>
  <si>
    <t>У-19-81860</t>
  </si>
  <si>
    <t>Юшечкин Виктор Петрович</t>
  </si>
  <si>
    <t>У-19-81864</t>
  </si>
  <si>
    <t>Гуриев Давид Самсонович</t>
  </si>
  <si>
    <t>У-19-81866</t>
  </si>
  <si>
    <t>Григорьев Андрей Александрович</t>
  </si>
  <si>
    <t>У-19-82484</t>
  </si>
  <si>
    <t>Грачев Михаил Викторович</t>
  </si>
  <si>
    <t>У-19-82558</t>
  </si>
  <si>
    <t>Забабурин Александр Петрович</t>
  </si>
  <si>
    <t>У-19-82560</t>
  </si>
  <si>
    <t>Суязов Евгений Вениаминович</t>
  </si>
  <si>
    <t>У-19-83390</t>
  </si>
  <si>
    <t>Лесниченко Ольга Ивановна</t>
  </si>
  <si>
    <t>У-19-83393</t>
  </si>
  <si>
    <t>Дарчиев Игорь Николаевич</t>
  </si>
  <si>
    <t>У-19-83400</t>
  </si>
  <si>
    <t>Гусейнов Зулфигар Имран Оглы</t>
  </si>
  <si>
    <t>У-19-83401</t>
  </si>
  <si>
    <t>Юдин Денис Васильевич</t>
  </si>
  <si>
    <t>У-19-84409</t>
  </si>
  <si>
    <t>Гусейнов Кярам Акпер Оглы</t>
  </si>
  <si>
    <t>У-19-84486</t>
  </si>
  <si>
    <t>Стройкин Роман Александрович</t>
  </si>
  <si>
    <t>У-19-84488</t>
  </si>
  <si>
    <t>Маркаров Дмитрий Валерьевич</t>
  </si>
  <si>
    <t>У-19-84558</t>
  </si>
  <si>
    <t>У-19-61953</t>
  </si>
  <si>
    <t>ИП Чернега Мария Владимировна</t>
  </si>
  <si>
    <t>У-19-64467</t>
  </si>
  <si>
    <t>Гамахария Джони Роландиевич</t>
  </si>
  <si>
    <t>У-19-66025</t>
  </si>
  <si>
    <t>Княжева Оксана Леонидовна</t>
  </si>
  <si>
    <t>У-19-67152</t>
  </si>
  <si>
    <t>Мускиева Аминат Супьяновна</t>
  </si>
  <si>
    <t>У-19-69356</t>
  </si>
  <si>
    <t>Очерет Петр Владимирович</t>
  </si>
  <si>
    <t>У-19-72938</t>
  </si>
  <si>
    <t>Приз Лев Муратович</t>
  </si>
  <si>
    <t>У-19-72940</t>
  </si>
  <si>
    <t>Колесников Борис Васильевич</t>
  </si>
  <si>
    <t>У-19-73748</t>
  </si>
  <si>
    <t>Курочкина Елена Васильевна</t>
  </si>
  <si>
    <t>У-19-77075</t>
  </si>
  <si>
    <t>Волков Алексей Николаевич</t>
  </si>
  <si>
    <t>У-19-77082</t>
  </si>
  <si>
    <t>Терещенко Вячеслав Русланович</t>
  </si>
  <si>
    <t>У-19-79859</t>
  </si>
  <si>
    <t>Ахмедьянов Дмитрий Иванович</t>
  </si>
  <si>
    <t>У-19-79861</t>
  </si>
  <si>
    <t>Алик Аветесян Ашоти</t>
  </si>
  <si>
    <t>У-19-81213</t>
  </si>
  <si>
    <t>Денисов Дмитрий Сергеевич</t>
  </si>
  <si>
    <t>У-19-81219</t>
  </si>
  <si>
    <t>Бровкин Алексей Игоревич</t>
  </si>
  <si>
    <t>У-19-81222</t>
  </si>
  <si>
    <t>Черепанова Ирина Владимирович</t>
  </si>
  <si>
    <t>У-19-81229</t>
  </si>
  <si>
    <t>Новикова Наталья Владимировна</t>
  </si>
  <si>
    <t>У-19-81926</t>
  </si>
  <si>
    <t>Фасхутдинов Анвар Рашидович</t>
  </si>
  <si>
    <t>У-19-81937</t>
  </si>
  <si>
    <t>Фолосов Роман Георгиевич</t>
  </si>
  <si>
    <t>У-19-81962</t>
  </si>
  <si>
    <t>Болквадзе Анзор -</t>
  </si>
  <si>
    <t>У-19-82946</t>
  </si>
  <si>
    <t>Кириллов Игорь Сергеевич</t>
  </si>
  <si>
    <t>У-19-82960</t>
  </si>
  <si>
    <t>Ушаков Иван Максимович</t>
  </si>
  <si>
    <t>У-19-82964</t>
  </si>
  <si>
    <t>Новикова Анна Александровна</t>
  </si>
  <si>
    <t>У-19-82977</t>
  </si>
  <si>
    <t>Шипунов Георгий Александрович</t>
  </si>
  <si>
    <t>У-19-83847</t>
  </si>
  <si>
    <t>Таджиматов Шомахаммад Дилшадович</t>
  </si>
  <si>
    <t>У-19-83850</t>
  </si>
  <si>
    <t>Рожнов Роман Александрович</t>
  </si>
  <si>
    <t>У-19-83854</t>
  </si>
  <si>
    <t>Шведовченко Елена Сергеевна</t>
  </si>
  <si>
    <t>АО «Боровицкое страховое общество»</t>
  </si>
  <si>
    <t>У-19-84467</t>
  </si>
  <si>
    <t>Усков Алексей Евгеньевич</t>
  </si>
  <si>
    <t>У-19-84475</t>
  </si>
  <si>
    <t>Кликушина Татьяна Юрьевна</t>
  </si>
  <si>
    <t>У-19-84493</t>
  </si>
  <si>
    <t>Алексеев Роман Владимирович</t>
  </si>
  <si>
    <t>У-19-84501</t>
  </si>
  <si>
    <t>Иваньшина Марина Олеговна</t>
  </si>
  <si>
    <t>У-19-85422</t>
  </si>
  <si>
    <t>Коробов Павел Николаевич</t>
  </si>
  <si>
    <t>У-19-85424</t>
  </si>
  <si>
    <t>Сатлер Алексей Иванович</t>
  </si>
  <si>
    <t>У-19-85426</t>
  </si>
  <si>
    <t>Дмитриев Константин Михайлович</t>
  </si>
  <si>
    <t>У-19-85428</t>
  </si>
  <si>
    <t>Сотников Даниил Сергеевич</t>
  </si>
  <si>
    <t>У-19-85429</t>
  </si>
  <si>
    <t>Утюгалиев Самат Сергеевич</t>
  </si>
  <si>
    <t>запрошенные сведения и документы предоставлены не были.</t>
  </si>
  <si>
    <t>, что в соответствии с пунктом 4 статьи 20 Закона № 123-ФЗ не препятствует рассмотрению Обращения по существу.</t>
  </si>
  <si>
    <t>Вариант получения</t>
  </si>
  <si>
    <t>Дата получения телеграммы</t>
  </si>
  <si>
    <t>Осмотр</t>
  </si>
  <si>
    <t>Уведомление о вручении</t>
  </si>
  <si>
    <t>Получено</t>
  </si>
  <si>
    <t>Не получено</t>
  </si>
  <si>
    <t>Письмо</t>
  </si>
  <si>
    <t>Уведомление об осмотре 1 (ТЕЛЕГРАММА)</t>
  </si>
  <si>
    <t>Уведомление об осмотре 2 (ТЕЛЕГРАММА)</t>
  </si>
  <si>
    <t>Уведомление об осмотре 1 (ПИСЬМО)</t>
  </si>
  <si>
    <t>Направление на осмотр</t>
  </si>
  <si>
    <t>Подтверждение</t>
  </si>
  <si>
    <t>Опись</t>
  </si>
  <si>
    <t>Идентификатор</t>
  </si>
  <si>
    <t>Доставлено в место вручения</t>
  </si>
  <si>
    <t>Передано в отделение связи</t>
  </si>
  <si>
    <t>Вручено Заявителю</t>
  </si>
  <si>
    <t>Уведомление об осмотре 2 (ПИСЬМО)</t>
  </si>
  <si>
    <t>по адресу:</t>
  </si>
  <si>
    <t>Согласно уведомлению о вручении №</t>
  </si>
  <si>
    <t>телеграмма</t>
  </si>
  <si>
    <t>получена Заявителем</t>
  </si>
  <si>
    <t>не получена (по причине того, что квартира закрыта, адресат по извещению за телеграммой не явился)</t>
  </si>
  <si>
    <t>страхового возмещения вследствие причинения вреда здоровью по договору обязательного страхования гражданской ответственности владельцев транспортных средств (далее – ОСАГО) в размере</t>
  </si>
  <si>
    <t>страхового возмещения вследствие причинения вреда жизни по договору обязательного страхования гражданской ответственности владельцев транспортных средств (далее – ОСАГО) в размере</t>
  </si>
  <si>
    <t>Борзенкова Диана Сергеевна</t>
  </si>
  <si>
    <t>У-19-80427</t>
  </si>
  <si>
    <t>Панков Иван Николаевич</t>
  </si>
  <si>
    <t>У-19-80426</t>
  </si>
  <si>
    <t>Романов Михаил Владимирович</t>
  </si>
  <si>
    <t>У-19-80425</t>
  </si>
  <si>
    <t>Масягутов Дамир Ринатович</t>
  </si>
  <si>
    <t>У-19-81093</t>
  </si>
  <si>
    <t>Коробейникова Лариса Эдуардовна</t>
  </si>
  <si>
    <t>Хочет доплату 10000 за ремонт, которую сам оплатил, квитанция не ИП, тогда как работы выполнялись ООО</t>
  </si>
  <si>
    <t>У-19-73977</t>
  </si>
  <si>
    <t>Керимов Якуб Магомедрашидович</t>
  </si>
  <si>
    <t>У-19-74506</t>
  </si>
  <si>
    <t>Лукьянчук Олег Дмитриевич</t>
  </si>
  <si>
    <t>У-19-75649</t>
  </si>
  <si>
    <t>Богавеев Булат Рашидович</t>
  </si>
  <si>
    <t>У-19-80675</t>
  </si>
  <si>
    <t>Сотников Сергей Викторович</t>
  </si>
  <si>
    <t>У-19-80679</t>
  </si>
  <si>
    <t>Абальян Алексей Владимирович</t>
  </si>
  <si>
    <t>У-19-80715</t>
  </si>
  <si>
    <t>Аксенова Анастасия Евгеньевна</t>
  </si>
  <si>
    <t>У-19-81541</t>
  </si>
  <si>
    <t>Исанбаев Раян Эдуардович</t>
  </si>
  <si>
    <t>У-19-81542</t>
  </si>
  <si>
    <t>Арбузкин Сергей Николаевич</t>
  </si>
  <si>
    <t>У-19-81556</t>
  </si>
  <si>
    <t>Валиуллин Руслан Мансурович</t>
  </si>
  <si>
    <t>У-19-82752</t>
  </si>
  <si>
    <t>Абдуллина Лилия Ришатовна</t>
  </si>
  <si>
    <t>У-19-82851</t>
  </si>
  <si>
    <t>Багинский Андрей Евгеньевич</t>
  </si>
  <si>
    <t>У-19-82854</t>
  </si>
  <si>
    <t>Даньшина Инна Валентиновна</t>
  </si>
  <si>
    <t>У-19-82856</t>
  </si>
  <si>
    <t>Черпаков Алексей Александрович</t>
  </si>
  <si>
    <t>У-19-82974</t>
  </si>
  <si>
    <t>Якубов Магомедрасул Магомедович</t>
  </si>
  <si>
    <t>У-19-82978</t>
  </si>
  <si>
    <t>Садибеков Руслан Ержанович</t>
  </si>
  <si>
    <t>У-19-82980</t>
  </si>
  <si>
    <t>Пастырев Радик Мунирович</t>
  </si>
  <si>
    <t>У-19-83906</t>
  </si>
  <si>
    <t>Клепиков Александр Сергеевич</t>
  </si>
  <si>
    <t>У-19-83935</t>
  </si>
  <si>
    <t>Астафьев Владимир Викторович</t>
  </si>
  <si>
    <t>У-19-83972</t>
  </si>
  <si>
    <t>Воронков Валерий Геннадьевич</t>
  </si>
  <si>
    <t>У-19-83973</t>
  </si>
  <si>
    <t>Иванова Екатерина Ивановна</t>
  </si>
  <si>
    <t>У-19-84904</t>
  </si>
  <si>
    <t>Кривцов Александр Сергеевич</t>
  </si>
  <si>
    <t>У-19-84914</t>
  </si>
  <si>
    <t>Перегуда Лев Юрьевич</t>
  </si>
  <si>
    <t>У-19-84917</t>
  </si>
  <si>
    <t>Аникин Станислав Александрович</t>
  </si>
  <si>
    <t>У-19-84922</t>
  </si>
  <si>
    <t>Грачев Иван Сергеевич</t>
  </si>
  <si>
    <t>У-19-81347</t>
  </si>
  <si>
    <t>Хубиев Асланбек Мухаджирович</t>
  </si>
  <si>
    <t>У-19-80927</t>
  </si>
  <si>
    <t>У-19-80931</t>
  </si>
  <si>
    <t>У-19-81035</t>
  </si>
  <si>
    <t>У-19-81079</t>
  </si>
  <si>
    <t>У-19-81084</t>
  </si>
  <si>
    <t>Леглер Виктор Валерьевич</t>
  </si>
  <si>
    <t>Нурулаева Мадинат Абдулкадыровна</t>
  </si>
  <si>
    <t>Вартанов Михаил Александрович</t>
  </si>
  <si>
    <t>Корнилов Сергей Андреевич</t>
  </si>
  <si>
    <t>Чунихин Александр Владимирович</t>
  </si>
  <si>
    <t>Возврат премии по ОСАГО. Требуют полис ОСАГО (оригинал) и хотят платить из расчет не 100%, а только 77%. Удержание 77% законно</t>
  </si>
  <si>
    <t>неустойки за несоблюдение срока выплаты страхового возмещения</t>
  </si>
  <si>
    <t>возмещения расходов на проведение независимой технической экспертизы</t>
  </si>
  <si>
    <t>возмещения расходов на оказание юридических услуг</t>
  </si>
  <si>
    <t>возмещения расходов на оплату услуг аварийного комиссара</t>
  </si>
  <si>
    <t>возмещения расходов на эвакуатор</t>
  </si>
  <si>
    <t>возмещения расходов на нотариальные услуги</t>
  </si>
  <si>
    <t>возмещения почтовых расходов</t>
  </si>
  <si>
    <t>возмещения расходов по оплате услуг курьера</t>
  </si>
  <si>
    <t>возмещения расходов на дефектовку</t>
  </si>
  <si>
    <t>выплаты штрафа за неисполнение в добровольном порядке требований потерпевшего</t>
  </si>
  <si>
    <t>возмещения расходов на отправку телеграмм</t>
  </si>
  <si>
    <t>возмещения расходов на диагностику</t>
  </si>
  <si>
    <t>Выплата (назначение платежа)</t>
  </si>
  <si>
    <t>страхового возмещения в части УТС</t>
  </si>
  <si>
    <r>
      <rPr>
        <sz val="11"/>
        <color theme="1"/>
        <rFont val="Calibri"/>
        <family val="2"/>
        <charset val="204"/>
      </rPr>
      <t xml:space="preserve">– </t>
    </r>
    <r>
      <rPr>
        <sz val="11"/>
        <color theme="1"/>
        <rFont val="Calibri"/>
        <family val="2"/>
        <charset val="204"/>
        <scheme val="minor"/>
      </rPr>
      <t>в счет</t>
    </r>
  </si>
  <si>
    <t>нет доков</t>
  </si>
  <si>
    <t>Оформление ДТП происходило без участия уполномоченных на то сотрудников полиции.</t>
  </si>
  <si>
    <t>БЕЗ РАССМОТРЕНИЯ (ОТДЕЛЬНОЕ ТРЕБОВАНИЕ)</t>
  </si>
  <si>
    <t>Нужно загрузить</t>
  </si>
  <si>
    <t>ПРЕЮДИЦИЯ</t>
  </si>
  <si>
    <t>АБАНДОН</t>
  </si>
  <si>
    <t>Гениальное КАСКО Абандон. Годники не передал</t>
  </si>
  <si>
    <t>на расчетный счет Заявителя была произведена выплата</t>
  </si>
  <si>
    <t>Выплата (назначение платежа2)</t>
  </si>
  <si>
    <t>в счет возмещения расходов на проведение независимой технической экспертизы</t>
  </si>
  <si>
    <t>в счет возмещения расходов на эвакуатор</t>
  </si>
  <si>
    <t>в счет возмещения расходов на оказание юридических услуг</t>
  </si>
  <si>
    <t>в счет возмещения расходов на оплату услуг аварийного комиссара</t>
  </si>
  <si>
    <t>в счет возмещения расходов на нотариальные услуги</t>
  </si>
  <si>
    <t>в счет возмещения почтовых расходов</t>
  </si>
  <si>
    <t>в счет возмещения расходов по оплате услуг курьера</t>
  </si>
  <si>
    <t>в счет возмещения расходов на отправку телеграмм</t>
  </si>
  <si>
    <t>в счет возмещения расходов на дефектовку</t>
  </si>
  <si>
    <t>в счет возмещения расходов на диагностику</t>
  </si>
  <si>
    <t>в счет компенсации морального вреда</t>
  </si>
  <si>
    <t>штрафа за неисполнение в добровольном порядке требований потерпевшего</t>
  </si>
  <si>
    <t>У-19-64290</t>
  </si>
  <si>
    <t>Бобков Александр Викторович</t>
  </si>
  <si>
    <t>У-19-85296</t>
  </si>
  <si>
    <t>Васюрин Александр Дмитриевич</t>
  </si>
  <si>
    <t>У-19-85298</t>
  </si>
  <si>
    <t>Лавров Сергей Васильевич</t>
  </si>
  <si>
    <t>У-19-85184</t>
  </si>
  <si>
    <t>Лоткин Роман Игоревич</t>
  </si>
  <si>
    <t>У-19-85190</t>
  </si>
  <si>
    <t>Катина Анастасия Анатольевна</t>
  </si>
  <si>
    <t>У-19-78121</t>
  </si>
  <si>
    <t>Долженко Никита Сергеевич</t>
  </si>
  <si>
    <t>У-19-85385</t>
  </si>
  <si>
    <t>Лакия Севиль Вячеславовна</t>
  </si>
  <si>
    <t>У-19-85417</t>
  </si>
  <si>
    <t>Аксенова Жанна Романовна</t>
  </si>
  <si>
    <t>У-19-85423</t>
  </si>
  <si>
    <t>Кох Александр Фридрихович</t>
  </si>
  <si>
    <t>У-19-74317</t>
  </si>
  <si>
    <t>Копелиович Наталья Викторовна</t>
  </si>
  <si>
    <t>ДОСУДЕБНЫЙ ПОРЯДОК</t>
  </si>
  <si>
    <t>Идет по ПВУ, есть вред здоровью</t>
  </si>
  <si>
    <t>В цессии указан другой номер догвора ОСАГО, чем тот, который указан в справке</t>
  </si>
  <si>
    <t>У-19-74420</t>
  </si>
  <si>
    <t>Корсакова Евгения Геннадьевна</t>
  </si>
  <si>
    <t>У-19-83185</t>
  </si>
  <si>
    <t>Алексеева Наталья Анатольевна</t>
  </si>
  <si>
    <t>У-19-75457</t>
  </si>
  <si>
    <t>Качмазов Эдик Иванович</t>
  </si>
  <si>
    <t>НЕУСТОЙКУ И ЮРИДИЧЕСКИЕ БР</t>
  </si>
  <si>
    <t>НЕУСТОЙКУ БР, С УЧЕТОМ ОКРУГЛЕНИЯ, ЮР УСЛУГИ И НТЭ ЕДИНЫМ АБЗАЦЕМ</t>
  </si>
  <si>
    <t>ДОБАВИТЬ НОРМАТИВКУ ПРО 1079</t>
  </si>
  <si>
    <t>Опечатки по тексту - 6</t>
  </si>
  <si>
    <t>НЕУСТОЙКА БР, опечатки</t>
  </si>
  <si>
    <t>ПЕРЕДЕЛАТЬ НА ПРЕКРАЩЕНИЕ</t>
  </si>
  <si>
    <t>Виновник не вписан, полиса нет, сведения с сайта РСА</t>
  </si>
  <si>
    <t>У-19-83278</t>
  </si>
  <si>
    <t>Джамалов Шамиль Баматович</t>
  </si>
  <si>
    <t>У-19-75500</t>
  </si>
  <si>
    <t>У-19-76175</t>
  </si>
  <si>
    <t>У-19-66379</t>
  </si>
  <si>
    <t>Сафонова Светлана Евгеньевна</t>
  </si>
  <si>
    <t>Голубничий Артем Сергеевич</t>
  </si>
  <si>
    <t>Веселова Виктория Александровна</t>
  </si>
  <si>
    <t>НЕУСТОЙКА НА ФУ</t>
  </si>
  <si>
    <t>Неустойка на сумму, взысканную ФУ. Взыскиваем, т.к. ФО исполнила решение ФУ не в срок</t>
  </si>
  <si>
    <t>Взыскиваем маленько УТС</t>
  </si>
  <si>
    <t>УЩЕРБ, НЕУСТОЙКА НДФЛ</t>
  </si>
  <si>
    <t>Опечатки по тексту - 4. Красивая вина</t>
  </si>
  <si>
    <t>ШТРАФ БР</t>
  </si>
  <si>
    <t>ПРЕДМЕТ СПОРА</t>
  </si>
  <si>
    <t>Предмет спора, объект спора</t>
  </si>
  <si>
    <t>РАССМОТРЕТЬ НТЭ</t>
  </si>
  <si>
    <t>Нормативка, доп расходы, утраченный заработок. По нормативам довзыскиваем, доп расходы, утраченный заработок БР, т.к. ходил только один раз</t>
  </si>
  <si>
    <t>ДТП в результате того, что был наезд на бочку, и она затем отделета в ТС Заявителя. Но ДТП было оформлено без участия сотрудников полиции</t>
  </si>
  <si>
    <t>ИЗВЕЩЕНИЕ</t>
  </si>
  <si>
    <t>УТС БР</t>
  </si>
  <si>
    <t>У-19-85029</t>
  </si>
  <si>
    <t>У-19-84764</t>
  </si>
  <si>
    <t>У-19-76634</t>
  </si>
  <si>
    <t>СРОКИ ЗАПРОСА ДОКУМЕНТОВ</t>
  </si>
  <si>
    <t>Виновник вписан</t>
  </si>
  <si>
    <t>СУД, ИМУЩЕСТВО</t>
  </si>
  <si>
    <t>Документы по другому ДТП</t>
  </si>
  <si>
    <t>Хочет вред за iphone, который не вписан в материалы о ДТП. Отказываем, т.к. страховой случай должен быть подтвержден материалами ГИБДД</t>
  </si>
  <si>
    <t>НЕУСТОЙКА ПОСЛЕ СУДА</t>
  </si>
  <si>
    <t>У-19-85789</t>
  </si>
  <si>
    <t>Чернобахтова Светлана Михайловна</t>
  </si>
  <si>
    <t>Утс. Методология УТС</t>
  </si>
  <si>
    <t>У-19-85896</t>
  </si>
  <si>
    <t>Яценко Артем Викторович</t>
  </si>
  <si>
    <t>У-19-85897</t>
  </si>
  <si>
    <t>Спиринцев Игорь Николаевич</t>
  </si>
  <si>
    <t>У-19-85898</t>
  </si>
  <si>
    <t>Елистратов Юрий Владимирович</t>
  </si>
  <si>
    <t>У-19-86479</t>
  </si>
  <si>
    <t>Юнусов Фанзиль Фанисович</t>
  </si>
  <si>
    <t>У-19-86580</t>
  </si>
  <si>
    <t>Меджидов Ислам Шахримович</t>
  </si>
  <si>
    <t>У-19-86581</t>
  </si>
  <si>
    <t>Белых Марина Владимировна</t>
  </si>
  <si>
    <t>У-19-87427</t>
  </si>
  <si>
    <t>Степанов Игорь Сергеевич</t>
  </si>
  <si>
    <t>У-19-87433</t>
  </si>
  <si>
    <t>КАЧМАЗОВ РАДИК ШОТАЕВИЧ</t>
  </si>
  <si>
    <t>У-19-87436</t>
  </si>
  <si>
    <t>Боровко Игорь Александрович</t>
  </si>
  <si>
    <t>У-19-87439</t>
  </si>
  <si>
    <t>Подопригора Илья Романович</t>
  </si>
  <si>
    <t>У-19-88410</t>
  </si>
  <si>
    <t>Мирзоян Руслан Робертович</t>
  </si>
  <si>
    <t>У-19-88411</t>
  </si>
  <si>
    <t xml:space="preserve">Овчинников Антон </t>
  </si>
  <si>
    <t>У-19-89023</t>
  </si>
  <si>
    <t>Сотников Андрей Николаевич</t>
  </si>
  <si>
    <t>У-19-89041</t>
  </si>
  <si>
    <t>Смирнов Владислав Сергеевич</t>
  </si>
  <si>
    <t>У-19-73712</t>
  </si>
  <si>
    <t>Приморская общественная организация по защите прав автовладельцев "КРАЕВОЕ ОБЩЕСТВО АВТОВЛАДЕЛЬЦЕВ ПРИМОРЬЯ"</t>
  </si>
  <si>
    <t>У-19-79420</t>
  </si>
  <si>
    <t>Кусраев Андро Ромикоевич</t>
  </si>
  <si>
    <t>У-19-79461</t>
  </si>
  <si>
    <t>Евтюхина Светлана Дмитриевна</t>
  </si>
  <si>
    <t>У-19-81252</t>
  </si>
  <si>
    <t>Байгубенов Дмитрий Владимирович</t>
  </si>
  <si>
    <t>У-19-86818</t>
  </si>
  <si>
    <t>Голикова Галина Петровна</t>
  </si>
  <si>
    <t>У-19-87964</t>
  </si>
  <si>
    <t>Вдовенкова Алина Вячеславовна</t>
  </si>
  <si>
    <t>У-19-87965</t>
  </si>
  <si>
    <t>Михалков Станислав Станиславович</t>
  </si>
  <si>
    <t>У-19-87971</t>
  </si>
  <si>
    <t>Туманов Алексей Владимирович</t>
  </si>
  <si>
    <t>АО СК «Двадцать первый век»</t>
  </si>
  <si>
    <t>У-19-87979</t>
  </si>
  <si>
    <t>Великанов Алексей Александрович</t>
  </si>
  <si>
    <t>У-19-87984</t>
  </si>
  <si>
    <t>Кугубаев Геннадий Семниевич</t>
  </si>
  <si>
    <t>У-19-88639</t>
  </si>
  <si>
    <t>Бадма-Горяева Деляш Александровна</t>
  </si>
  <si>
    <t>У-19-88640</t>
  </si>
  <si>
    <t>Воробьев Андрей Владимирович</t>
  </si>
  <si>
    <t>У-19-88641</t>
  </si>
  <si>
    <t>Федоровская Юлия Сергеевна</t>
  </si>
  <si>
    <t>У-19-88647</t>
  </si>
  <si>
    <t>Бренькман Алексей Александрович</t>
  </si>
  <si>
    <t>У-19-89368</t>
  </si>
  <si>
    <t>Грицова Виолетта Валерьевна</t>
  </si>
  <si>
    <t>У-19-89370</t>
  </si>
  <si>
    <t>Иванова Анна Витальевна</t>
  </si>
  <si>
    <t>У-19-89371</t>
  </si>
  <si>
    <t>Полонкоев Умар Саражудинович</t>
  </si>
  <si>
    <t>У-19-89372</t>
  </si>
  <si>
    <t>Булат Джубанаев Зинешевич</t>
  </si>
  <si>
    <t>У-19-89626</t>
  </si>
  <si>
    <t>Фураев Андрей Викторович</t>
  </si>
  <si>
    <t>У-19-89630</t>
  </si>
  <si>
    <t>Мариуца Олег Сергеевич</t>
  </si>
  <si>
    <t>У-19-89633</t>
  </si>
  <si>
    <t>Кащеева Нина Кирилловна</t>
  </si>
  <si>
    <t>У-19-80189</t>
  </si>
  <si>
    <t>Джамалутдинов Гаджи Умарович</t>
  </si>
  <si>
    <t>У-19-85558</t>
  </si>
  <si>
    <t>Верховинский Александр Васильевич</t>
  </si>
  <si>
    <t>У-19-85562</t>
  </si>
  <si>
    <t>Остаев Ирланд Роландович</t>
  </si>
  <si>
    <t>У-19-86130</t>
  </si>
  <si>
    <t>Кулаков Александр Владимирович</t>
  </si>
  <si>
    <t>У-19-86131</t>
  </si>
  <si>
    <t>Асадуллин Батыр Аширафович</t>
  </si>
  <si>
    <t>У-19-86154</t>
  </si>
  <si>
    <t>Клевцов Павел Анатольевич</t>
  </si>
  <si>
    <t>У-19-86281</t>
  </si>
  <si>
    <t>Тимошенко Наталья Анатольевна</t>
  </si>
  <si>
    <t>У-19-87146</t>
  </si>
  <si>
    <t>Маркопольская Александра Сергеевна</t>
  </si>
  <si>
    <t>У-19-87152</t>
  </si>
  <si>
    <t>Магомедалиев Ахмед Магомедтагирович</t>
  </si>
  <si>
    <t>У-19-87161</t>
  </si>
  <si>
    <t>Пыко Дмитрий Александрович</t>
  </si>
  <si>
    <t>У-19-87172</t>
  </si>
  <si>
    <t>Сафонов Эдуард Владимирович</t>
  </si>
  <si>
    <t>У-19-87793</t>
  </si>
  <si>
    <t>Собакин Евгений Владимирович</t>
  </si>
  <si>
    <t>У-19-87796</t>
  </si>
  <si>
    <t>Козлов Игорь Владиславович</t>
  </si>
  <si>
    <t>У-19-87809</t>
  </si>
  <si>
    <t>Лобанов Андрей Викторович</t>
  </si>
  <si>
    <t>У-19-87810</t>
  </si>
  <si>
    <t>Лысенко Александр Александрович</t>
  </si>
  <si>
    <t>У-19-87825</t>
  </si>
  <si>
    <t>Ким Артем Александрович</t>
  </si>
  <si>
    <t>У-19-88992</t>
  </si>
  <si>
    <t>Яковлева Екатерина Сергеевна</t>
  </si>
  <si>
    <t>У-19-88942</t>
  </si>
  <si>
    <t>Черкасских Александр Юрьевич</t>
  </si>
  <si>
    <t>У-19-88969</t>
  </si>
  <si>
    <t>Егорова Любовь Андреевна</t>
  </si>
  <si>
    <t>У-19-89489</t>
  </si>
  <si>
    <t>Релина Екатерина Сергеевна</t>
  </si>
  <si>
    <t>У-19-89491</t>
  </si>
  <si>
    <t>Барсегян Саргис Валтерович</t>
  </si>
  <si>
    <t>У-19-89494</t>
  </si>
  <si>
    <t>Погосян Роман Араикович</t>
  </si>
  <si>
    <t>У-19-62799</t>
  </si>
  <si>
    <t>Петрий Виктория Владимировна</t>
  </si>
  <si>
    <t>У-19-79110</t>
  </si>
  <si>
    <t>Юсупов Фарил Юсупович</t>
  </si>
  <si>
    <t>У-19-79805</t>
  </si>
  <si>
    <t>Карих Денис Владимирович</t>
  </si>
  <si>
    <t>У-19-80815</t>
  </si>
  <si>
    <t>Ивановна Зинаида Казакова</t>
  </si>
  <si>
    <t>У-19-86052</t>
  </si>
  <si>
    <t>Низамутдинова Лилия Шавкятовна</t>
  </si>
  <si>
    <t>У-19-86059</t>
  </si>
  <si>
    <t>Васильева Гузель Наилевна</t>
  </si>
  <si>
    <t>У-19-86917</t>
  </si>
  <si>
    <t>Абдулаев Мурад Магомедович</t>
  </si>
  <si>
    <t>У-19-86933</t>
  </si>
  <si>
    <t>Пыркин Максим Александрович</t>
  </si>
  <si>
    <t>У-19-86993</t>
  </si>
  <si>
    <t>Шайдаков Евгений Алексеевич</t>
  </si>
  <si>
    <t>У-19-86995</t>
  </si>
  <si>
    <t>Нурмагомедов Магомед Халидибирович</t>
  </si>
  <si>
    <t>У-19-87758</t>
  </si>
  <si>
    <t>Шляпин Роман Игоревич</t>
  </si>
  <si>
    <t>У-19-87759</t>
  </si>
  <si>
    <t>Падалка Александр Сергеевич</t>
  </si>
  <si>
    <t>У-19-87763</t>
  </si>
  <si>
    <t>Едиджи Анзор Амирович</t>
  </si>
  <si>
    <t>У-19-87764</t>
  </si>
  <si>
    <t>Бухарин Александр Сергеевич</t>
  </si>
  <si>
    <t>У-19-87766</t>
  </si>
  <si>
    <t>Никитина Ольга Владимировна</t>
  </si>
  <si>
    <t>У-19-88811</t>
  </si>
  <si>
    <t>Ершова Людмила Павловна</t>
  </si>
  <si>
    <t>У-19-88812</t>
  </si>
  <si>
    <t>Самохвалов Николай Дмитриевич</t>
  </si>
  <si>
    <t>У-19-89334</t>
  </si>
  <si>
    <t>Корохоев Магомед-Башир Асланович</t>
  </si>
  <si>
    <t>У-19-89355</t>
  </si>
  <si>
    <t>Толстяков Руслан Владимирович</t>
  </si>
  <si>
    <t>НЕ ПВУ</t>
  </si>
  <si>
    <t>НЕ ПВУ, т.к. есть повреждения другого имущества</t>
  </si>
  <si>
    <t>ННР В СРОК</t>
  </si>
  <si>
    <t>ХОРОШЕЕ ОПИСАНИЕ ПОЛИСА КАСКО</t>
  </si>
  <si>
    <t>У-19-77632</t>
  </si>
  <si>
    <t>Тарасова Анастасия Сергеевна</t>
  </si>
  <si>
    <t>АВАРКОМ, НЕУСТОЙКА</t>
  </si>
  <si>
    <t>Запросили документы, но с нарушением срока</t>
  </si>
  <si>
    <t>Здоровье, полис после 01.05.2019</t>
  </si>
  <si>
    <t>ЖЕСТЬ НЕУСТОЙКА ЗДОРОВЬЕ</t>
  </si>
  <si>
    <t>У-19-76094</t>
  </si>
  <si>
    <t>Комчадалов Василий Юрьевич</t>
  </si>
  <si>
    <t>У-19-78378</t>
  </si>
  <si>
    <t>Бобыльков Алексей Александрович</t>
  </si>
  <si>
    <t>У-19-79856</t>
  </si>
  <si>
    <t>Фомин Сергей Александрович</t>
  </si>
  <si>
    <t>У-19-79890</t>
  </si>
  <si>
    <t>Дубков Сергей Александрович</t>
  </si>
  <si>
    <t>У-19-79905</t>
  </si>
  <si>
    <t>Галимова Алсу Римовна</t>
  </si>
  <si>
    <t>У-19-82196</t>
  </si>
  <si>
    <t>Сукиасян Ани Гагиковна</t>
  </si>
  <si>
    <t>У-19-83178</t>
  </si>
  <si>
    <t>Статуев Дмитрий Сергеевич</t>
  </si>
  <si>
    <t>У-19-83183</t>
  </si>
  <si>
    <t>Моторова Нина Ивановна</t>
  </si>
  <si>
    <t>У-19-83190</t>
  </si>
  <si>
    <t>Смолин Александр Михайлович</t>
  </si>
  <si>
    <t>У-19-83264</t>
  </si>
  <si>
    <t>Железкин Евгений Леонидович</t>
  </si>
  <si>
    <t>У-19-83266</t>
  </si>
  <si>
    <t>Помирко Александра Абсарутдиновна</t>
  </si>
  <si>
    <t>У-19-83273</t>
  </si>
  <si>
    <t>Сидоров Илья Олегович</t>
  </si>
  <si>
    <t>У-19-83721</t>
  </si>
  <si>
    <t>Глушкова Елена Витальевна</t>
  </si>
  <si>
    <t>У-19-84596</t>
  </si>
  <si>
    <t>Коба Елена Павловна</t>
  </si>
  <si>
    <t>Антонова Оксана Владимировна</t>
  </si>
  <si>
    <t>У-19-85032</t>
  </si>
  <si>
    <t>Фатаймуха Сергей Анатольевич</t>
  </si>
  <si>
    <t>У-19-85034</t>
  </si>
  <si>
    <t>Чуликова Жанна Юрьевна</t>
  </si>
  <si>
    <t>У-19-85802</t>
  </si>
  <si>
    <t>Романько Василий Игоревич</t>
  </si>
  <si>
    <t>У-19-86045</t>
  </si>
  <si>
    <t>Тимофеев Николай Александрович</t>
  </si>
  <si>
    <t>У-19-86074</t>
  </si>
  <si>
    <t>Ладыжец Роман Александрович</t>
  </si>
  <si>
    <t>У-19-86347</t>
  </si>
  <si>
    <t>Гюлумян Ева Бениаминовна</t>
  </si>
  <si>
    <t>У-19-86730</t>
  </si>
  <si>
    <t>Маркина Гульнара Галиевна</t>
  </si>
  <si>
    <t>У-19-86774</t>
  </si>
  <si>
    <t>Филипьев Антон Николаевич</t>
  </si>
  <si>
    <t>У-19-86974</t>
  </si>
  <si>
    <t>Хашагульгова Луиза Усмановна</t>
  </si>
  <si>
    <t>У-19-87480</t>
  </si>
  <si>
    <t>Кулебякина Нэли Алексеевна</t>
  </si>
  <si>
    <t>У-19-87496</t>
  </si>
  <si>
    <t>Сорокина Татьяна Викторовна</t>
  </si>
  <si>
    <t>У-19-88560</t>
  </si>
  <si>
    <t>Добрынина Нина Артемьевна</t>
  </si>
  <si>
    <t>У-19-88638</t>
  </si>
  <si>
    <t>Масалова Елена Александровна</t>
  </si>
  <si>
    <t>У-19-88742</t>
  </si>
  <si>
    <t>Греков Сергей Иванович</t>
  </si>
  <si>
    <t>У-19-88904</t>
  </si>
  <si>
    <t>Авдеев Виталий Валерьевич</t>
  </si>
  <si>
    <t>У-19-88905</t>
  </si>
  <si>
    <t>Мауричев Олег Дмитриевич</t>
  </si>
  <si>
    <t>У-19-89186</t>
  </si>
  <si>
    <t>Кокоуров Николай Иннокентьевич</t>
  </si>
  <si>
    <t>У-19-89586</t>
  </si>
  <si>
    <t>Сентябрев Юрий Вячеславович</t>
  </si>
  <si>
    <t>У-19-89636</t>
  </si>
  <si>
    <t>Вдовина Татьяна Ивановна</t>
  </si>
  <si>
    <t>Аварком, почта, юр услуги</t>
  </si>
  <si>
    <t>УЩЕРБ, УТС, ЭВАКУАТОР</t>
  </si>
  <si>
    <t>НЕУСТОЙКА ОТЛОЖНАЯ НОВАЯ</t>
  </si>
  <si>
    <t>ННР НЕ В СРОК</t>
  </si>
  <si>
    <t>ННР, ХРАНЕНИЕ</t>
  </si>
  <si>
    <t>ДОБР ИСП, НЕУСТОЙКА</t>
  </si>
  <si>
    <t>Должно получиться 3600</t>
  </si>
  <si>
    <t>РЕШ ФУ В СРОК, НЕУСТОЙКА</t>
  </si>
  <si>
    <t>Жопная полуотложная неустойка после суда, нет сведений об исполнении. Отдельная на УЩЕРБ и УТС</t>
  </si>
  <si>
    <t>КОММЕРЧЕСКИЙ</t>
  </si>
  <si>
    <t>НЕУСТОЙКА ФУ</t>
  </si>
  <si>
    <t>НЕТ ДОКУМЕНТОВ (СТС)</t>
  </si>
  <si>
    <t>НЕУСТОЙКА СРОК РЕМОНТА</t>
  </si>
  <si>
    <t>ЭКСПЕРТИЗА</t>
  </si>
  <si>
    <t>Нет даты выдачи НРР. НРР есть в документах, представленных Заявителем</t>
  </si>
  <si>
    <t>У-19-88771</t>
  </si>
  <si>
    <t>Ульянов Илья Михайлович</t>
  </si>
  <si>
    <t>У-19-58194</t>
  </si>
  <si>
    <t>Сакаев Руслан Хамитович</t>
  </si>
  <si>
    <t>Симонова Ирина Викторовна</t>
  </si>
  <si>
    <t>Обоснование по ГК смены формы с натуральной на денежную</t>
  </si>
  <si>
    <t>ВИНА 100%</t>
  </si>
  <si>
    <t>Стоимость НТЭ (01.07.2019 - 31.12.2019)</t>
  </si>
  <si>
    <t>Стоимость НТЭ (01.01.2019 - 01.06.2019)</t>
  </si>
  <si>
    <t>Стоимость НТЭ (до 01.01.2019)</t>
  </si>
  <si>
    <t>У-19-68505</t>
  </si>
  <si>
    <t>Либосан Егор Владимирович</t>
  </si>
  <si>
    <t>У-19-77890</t>
  </si>
  <si>
    <t>Эюбова Ирина Кафлановна</t>
  </si>
  <si>
    <t>ООО "Страховая компания Сибирский дом страхования"</t>
  </si>
  <si>
    <t>Смолина Ирина Юрьевна</t>
  </si>
  <si>
    <t>У-19-89678</t>
  </si>
  <si>
    <t>Фурсов Дмитрий Алексеевич</t>
  </si>
  <si>
    <t>У-19-89679</t>
  </si>
  <si>
    <t>Назарова Клара Борисовна</t>
  </si>
  <si>
    <t>У-19-89680</t>
  </si>
  <si>
    <t>Мухтаров Рамиль Васильевич</t>
  </si>
  <si>
    <t>У-19-90336</t>
  </si>
  <si>
    <t>Ибрагимова Муминат Алибековна</t>
  </si>
  <si>
    <t>У-19-90491</t>
  </si>
  <si>
    <t>Лукьянов Алексей Владимирович</t>
  </si>
  <si>
    <t>У-19-90494</t>
  </si>
  <si>
    <t>Косьяненко Анастасия Александровна</t>
  </si>
  <si>
    <t>ООО «СК «Мегарусс-Д»</t>
  </si>
  <si>
    <t>У-19-90708</t>
  </si>
  <si>
    <t>Шиц Василий Владимирович</t>
  </si>
  <si>
    <t>У-19-90716</t>
  </si>
  <si>
    <t>Юшта Наталья Сергеевна</t>
  </si>
  <si>
    <t>У-19-91451</t>
  </si>
  <si>
    <t>Царева Мария Алексеевна</t>
  </si>
  <si>
    <t>У-19-91533</t>
  </si>
  <si>
    <t>Червяков НИКОЛАЙ Николаевич</t>
  </si>
  <si>
    <t>У-19-91537</t>
  </si>
  <si>
    <t>Миронов Евгений Сергеевич</t>
  </si>
  <si>
    <t>У-20-202</t>
  </si>
  <si>
    <t>Голубятников Юрий Михайлович</t>
  </si>
  <si>
    <t>У-20-207</t>
  </si>
  <si>
    <t>Постолатий Владимир Викторович</t>
  </si>
  <si>
    <t>У-20-497</t>
  </si>
  <si>
    <t>Большакова Алина Александровна</t>
  </si>
  <si>
    <t>У-19-78556</t>
  </si>
  <si>
    <t>У-19-83302</t>
  </si>
  <si>
    <t>Сигорских Сергей Викторович</t>
  </si>
  <si>
    <t>У-19-83308</t>
  </si>
  <si>
    <t>Шевченко Галина Викторовна</t>
  </si>
  <si>
    <t>У-19-90484</t>
  </si>
  <si>
    <t>Новокрещенов Владимир Николаевич</t>
  </si>
  <si>
    <t>У-19-90485</t>
  </si>
  <si>
    <t>Кругляков Дмитрий Валентинович</t>
  </si>
  <si>
    <t>У-19-90486</t>
  </si>
  <si>
    <t>Лёвкин Сергей Викторович</t>
  </si>
  <si>
    <t>У-19-90488</t>
  </si>
  <si>
    <t>Денисова Елена Николаевна</t>
  </si>
  <si>
    <t>У-19-90553</t>
  </si>
  <si>
    <t>Бардакова Татьяна Ивановна</t>
  </si>
  <si>
    <t>У-19-90567</t>
  </si>
  <si>
    <t>Чучков Андрей Леонидович</t>
  </si>
  <si>
    <t>У-19-91765</t>
  </si>
  <si>
    <t>Лейба Виктория Валерьевна</t>
  </si>
  <si>
    <t>У-19-91775</t>
  </si>
  <si>
    <t>Хуснутдинов Гусман Мансурович</t>
  </si>
  <si>
    <t>У-20-92</t>
  </si>
  <si>
    <t>Савченко Юрий Николаевич</t>
  </si>
  <si>
    <t>У-20-915</t>
  </si>
  <si>
    <t>Филимонов Сергей Михайлович</t>
  </si>
  <si>
    <t>У-20-919</t>
  </si>
  <si>
    <t>Наземнова Светлана Ивановна</t>
  </si>
  <si>
    <t>У-20-926</t>
  </si>
  <si>
    <t>Чижов Владимир Николаевич</t>
  </si>
  <si>
    <t>У-19-84268</t>
  </si>
  <si>
    <t>Минасян Айк Карапетович</t>
  </si>
  <si>
    <t>У-19-90149</t>
  </si>
  <si>
    <t>Кизик Наталья Викторовна</t>
  </si>
  <si>
    <t>У-19-90151</t>
  </si>
  <si>
    <t>Габеев Тотраз Борисович</t>
  </si>
  <si>
    <t>У-19-90157</t>
  </si>
  <si>
    <t>Ахмедов Муса Ахмедович</t>
  </si>
  <si>
    <t>У-19-90949</t>
  </si>
  <si>
    <t>Лумпов Сергей Аркадьевич</t>
  </si>
  <si>
    <t>У-19-90958</t>
  </si>
  <si>
    <t>Кириченко Вячеслав Александрович</t>
  </si>
  <si>
    <t>У-19-90972</t>
  </si>
  <si>
    <t>Стешенко Андрей Иванович</t>
  </si>
  <si>
    <t>У-19-90981</t>
  </si>
  <si>
    <t>Паскарь Наталия Владимировна</t>
  </si>
  <si>
    <t>У-19-91032</t>
  </si>
  <si>
    <t>Оборин Кирилл Михайлович</t>
  </si>
  <si>
    <t>У-19-91849</t>
  </si>
  <si>
    <t>Новиков Дмитрий Олегович</t>
  </si>
  <si>
    <t>У-19-91852</t>
  </si>
  <si>
    <t>Кукушкин Леонид Алексеевич</t>
  </si>
  <si>
    <t>У-20-54</t>
  </si>
  <si>
    <t>Захаров Дмитрий Викторович</t>
  </si>
  <si>
    <t>У-20-70</t>
  </si>
  <si>
    <t>Кравцов Константин Сергеевич</t>
  </si>
  <si>
    <t>У-20-719</t>
  </si>
  <si>
    <t>Яснова Галина Юрьевна</t>
  </si>
  <si>
    <t>У-20-724</t>
  </si>
  <si>
    <t>Сагилян Геворг Арутюнович</t>
  </si>
  <si>
    <t>У-19-75840</t>
  </si>
  <si>
    <t>Сарнавский Антон Петрович</t>
  </si>
  <si>
    <t>У-19-85292</t>
  </si>
  <si>
    <t>Чемерицын Андрей Викторович</t>
  </si>
  <si>
    <t>У-19-89955</t>
  </si>
  <si>
    <t>Собченко Виктор Леонидович</t>
  </si>
  <si>
    <t>У-19-89969</t>
  </si>
  <si>
    <t>Астафьев Даниил Сергеевич</t>
  </si>
  <si>
    <t>У-19-89974</t>
  </si>
  <si>
    <t>Саляхутдинов Альберт Гайфетдинович</t>
  </si>
  <si>
    <t>У-19-90695</t>
  </si>
  <si>
    <t>Каркусты Заза Георгиевич</t>
  </si>
  <si>
    <t>У-19-90696</t>
  </si>
  <si>
    <t>Шатуло Владимир Олегович</t>
  </si>
  <si>
    <t>У-19-90717</t>
  </si>
  <si>
    <t>Захаренко Валерий Викторович</t>
  </si>
  <si>
    <t>У-19-90728</t>
  </si>
  <si>
    <t>Лапшов Антон Николаевич</t>
  </si>
  <si>
    <t>У-19-90745</t>
  </si>
  <si>
    <t>Степанов Иван Григорьевич</t>
  </si>
  <si>
    <t>АО «СК «ПАРИ»</t>
  </si>
  <si>
    <t>У-19-91825</t>
  </si>
  <si>
    <t>Хубиева Валентина Азретовна</t>
  </si>
  <si>
    <t>У-19-91832</t>
  </si>
  <si>
    <t>Гапонова Елена Викторовна</t>
  </si>
  <si>
    <t>У-20-598</t>
  </si>
  <si>
    <t>Скляренко Инна Анатольевна</t>
  </si>
  <si>
    <t>ДСАГО</t>
  </si>
  <si>
    <t>Нет решения суда</t>
  </si>
  <si>
    <t>У-19-90337</t>
  </si>
  <si>
    <t>Третьяков Александр Геннадьевич</t>
  </si>
  <si>
    <t>У-19-90388</t>
  </si>
  <si>
    <t>Насонов Владимир Григорьевич</t>
  </si>
  <si>
    <t>У-19-90493</t>
  </si>
  <si>
    <t>Дерюгин Андрей Викторович</t>
  </si>
  <si>
    <t>У-19-90703</t>
  </si>
  <si>
    <t>Комаров Игорь Владимирович</t>
  </si>
  <si>
    <t>У-19-90732</t>
  </si>
  <si>
    <t>Сухарев Сергей Юрьевич</t>
  </si>
  <si>
    <t>У-19-90733</t>
  </si>
  <si>
    <t>Куракин Евгений Александрович</t>
  </si>
  <si>
    <t>У-19-90815</t>
  </si>
  <si>
    <t>Белов Михаил Дмитриевич</t>
  </si>
  <si>
    <t>У-19-91012</t>
  </si>
  <si>
    <t>Ракитин Вячеслав Васильевич</t>
  </si>
  <si>
    <t>У-19-91739</t>
  </si>
  <si>
    <t>Камалетдинов Руслан Вазыхович</t>
  </si>
  <si>
    <t>У-19-91853</t>
  </si>
  <si>
    <t>Омаров Ислам Магомедович</t>
  </si>
  <si>
    <t>У-20-88</t>
  </si>
  <si>
    <t>Сизов Артур Робертович</t>
  </si>
  <si>
    <t>У-20-957</t>
  </si>
  <si>
    <t>Айгубов Муса Курбанович</t>
  </si>
  <si>
    <t>Взыскана неустойка</t>
  </si>
  <si>
    <t>ПОЧТА БР</t>
  </si>
  <si>
    <t>ПРОСИТ НЕУСТОЙКУ</t>
  </si>
  <si>
    <t>ДОСУДЕБНЫЙ ПОРЯДОК НЕ ТОТ АДРЕС</t>
  </si>
  <si>
    <t>НЕ СОБСТВЕННИК</t>
  </si>
  <si>
    <t>НЕТ ДКОУМЕНТОВ</t>
  </si>
  <si>
    <t>СОГЛАШЕНИЕ, НЕУСТОЙКА</t>
  </si>
  <si>
    <t>Наезд на клумбу и светофор</t>
  </si>
  <si>
    <t>Трактор, НЕ ПВУ, но соглашение. Упал металолом</t>
  </si>
  <si>
    <t>Нет доков</t>
  </si>
  <si>
    <t>НАТУРАЛЬНАЯ ФОРМА</t>
  </si>
  <si>
    <t>Судился по смене формы, получил отказ в удовлетворении требований</t>
  </si>
  <si>
    <t>Отложенная фин санкция до даты решения ФУ</t>
  </si>
  <si>
    <t>СМЕНА СОБСТВЕННИКА</t>
  </si>
  <si>
    <t>Повреждения частично соответствуют</t>
  </si>
  <si>
    <t>НЕУСТОЙКА ЗЗПП</t>
  </si>
  <si>
    <t>ОТРЕМОНТИРОВАЛ</t>
  </si>
  <si>
    <t>Предоставил на осмотр в отремонтированном виде</t>
  </si>
  <si>
    <t>У-19-87622</t>
  </si>
  <si>
    <t>Дадаев Иса Салимсолтанович</t>
  </si>
  <si>
    <t>У-19-87668</t>
  </si>
  <si>
    <t>Гранюкова Ольга Александровна</t>
  </si>
  <si>
    <t>У-20-1852</t>
  </si>
  <si>
    <t>Волк Александр ЕВГЕНЬЕВИЧ</t>
  </si>
  <si>
    <t>У-20-1831</t>
  </si>
  <si>
    <t>Шумилкин Александр Сергеевич</t>
  </si>
  <si>
    <t>У-20-1833</t>
  </si>
  <si>
    <t>Медведев Роман Дмитриевич</t>
  </si>
  <si>
    <t>У-20-1836</t>
  </si>
  <si>
    <t>Коновалова Елена Михайловна</t>
  </si>
  <si>
    <t>У-20-2638</t>
  </si>
  <si>
    <t>Конакбиева Барият Салимовна</t>
  </si>
  <si>
    <t>У-20-2642</t>
  </si>
  <si>
    <t>Гаспарян Норайр Овсепович</t>
  </si>
  <si>
    <t>У-20-2650</t>
  </si>
  <si>
    <t>Оленев Александр Дмитриевич</t>
  </si>
  <si>
    <t>У-20-3835</t>
  </si>
  <si>
    <t>Толкачев Александр Юрьевич</t>
  </si>
  <si>
    <t>У-20-3857</t>
  </si>
  <si>
    <t>Чеботарева Анна Евгеньевна</t>
  </si>
  <si>
    <t>У-20-3896</t>
  </si>
  <si>
    <t>Тупицин Максим Викторович</t>
  </si>
  <si>
    <t>У-20-3901</t>
  </si>
  <si>
    <t>Ящук Екатерина Сергеевна</t>
  </si>
  <si>
    <t>У-20-4348</t>
  </si>
  <si>
    <t>Прудников Петр Васильевич</t>
  </si>
  <si>
    <t>У-20-4382</t>
  </si>
  <si>
    <t>Колесников Сергей Сергеевич</t>
  </si>
  <si>
    <t>У-20-4386</t>
  </si>
  <si>
    <t>Метлин Николай Алексеевич</t>
  </si>
  <si>
    <t>У-20-4407</t>
  </si>
  <si>
    <t>Шарапов Василий Викторович</t>
  </si>
  <si>
    <t>У-20-5100</t>
  </si>
  <si>
    <t>Орехов Владимир Александрович</t>
  </si>
  <si>
    <t>У-20-5147</t>
  </si>
  <si>
    <t>Шевский Максим Валерьевич</t>
  </si>
  <si>
    <t>У-20-5154</t>
  </si>
  <si>
    <t>Давыдова Ирина Вадимовна</t>
  </si>
  <si>
    <t>У-20-5163</t>
  </si>
  <si>
    <t>Белобородов Сергей Викторович</t>
  </si>
  <si>
    <t>У-20-1665</t>
  </si>
  <si>
    <t>Кретц Марина Александровна</t>
  </si>
  <si>
    <t>У-20-1667</t>
  </si>
  <si>
    <t>Евстифеев Алексей Александрович</t>
  </si>
  <si>
    <t>У-20-1692</t>
  </si>
  <si>
    <t>Ницевич Дмитрий Владимирович</t>
  </si>
  <si>
    <t>У-20-1702</t>
  </si>
  <si>
    <t>Далгатов Джамал Мурадович</t>
  </si>
  <si>
    <t>У-20-2373</t>
  </si>
  <si>
    <t>Савин Николай Иванович</t>
  </si>
  <si>
    <t>У-20-2455</t>
  </si>
  <si>
    <t>Ермолаева Римма Ильхамовна</t>
  </si>
  <si>
    <t>У-20-2457</t>
  </si>
  <si>
    <t>Романов Алексей Владимирович</t>
  </si>
  <si>
    <t>У-20-3736</t>
  </si>
  <si>
    <t>Юсупов Дамир Гильмуллович</t>
  </si>
  <si>
    <t>У-20-3742</t>
  </si>
  <si>
    <t>Лубянский Андрей Николаевич</t>
  </si>
  <si>
    <t>У-20-3743</t>
  </si>
  <si>
    <t>Хоменко Антон Дмитриевич</t>
  </si>
  <si>
    <t>У-20-3749</t>
  </si>
  <si>
    <t>Гребенюк Оксана Вадимовна</t>
  </si>
  <si>
    <t>У-20-3753</t>
  </si>
  <si>
    <t>Шайбеков Марсель Мазгарович</t>
  </si>
  <si>
    <t>У-20-4210</t>
  </si>
  <si>
    <t>Звонцова Оксана Александровна</t>
  </si>
  <si>
    <t>У-20-4212</t>
  </si>
  <si>
    <t>Бабаев Эльвин Муталлимович</t>
  </si>
  <si>
    <t>У-20-4213</t>
  </si>
  <si>
    <t>Кирьянов Михаил Павлович</t>
  </si>
  <si>
    <t>У-20-4976</t>
  </si>
  <si>
    <t>Трапезников Евгений Михайлович</t>
  </si>
  <si>
    <t>У-20-4977</t>
  </si>
  <si>
    <t>Попова Ксения Александровна</t>
  </si>
  <si>
    <t>У-20-4993</t>
  </si>
  <si>
    <t>Бабичев Павел Владиславович</t>
  </si>
  <si>
    <t>У-20-4996</t>
  </si>
  <si>
    <t>Осмонканова Кыял Абдышевна</t>
  </si>
  <si>
    <t>У-19-80050</t>
  </si>
  <si>
    <t>Тимирбулатов Максим Петрович</t>
  </si>
  <si>
    <t>У-19-81991</t>
  </si>
  <si>
    <t>У-19-88207</t>
  </si>
  <si>
    <t>Бузаев Павел Юрьевич</t>
  </si>
  <si>
    <t>У-20-1183</t>
  </si>
  <si>
    <t>Сусленкова Галина Александровна</t>
  </si>
  <si>
    <t>У-20-3078</t>
  </si>
  <si>
    <t>Савина Вера Семеновна</t>
  </si>
  <si>
    <t>У-20-3084</t>
  </si>
  <si>
    <t>Слепченко Евгений Юрьевич</t>
  </si>
  <si>
    <t>У-20-3086</t>
  </si>
  <si>
    <t>Шелест Анатолий Алексеевич</t>
  </si>
  <si>
    <t>У-20-3092</t>
  </si>
  <si>
    <t>Фомин Александр Александрович</t>
  </si>
  <si>
    <t>У-20-3110</t>
  </si>
  <si>
    <t>Берон Валерий Игоревич</t>
  </si>
  <si>
    <t>У-20-3112</t>
  </si>
  <si>
    <t>Капленко Элеонора Викторовна</t>
  </si>
  <si>
    <t>У-20-3120</t>
  </si>
  <si>
    <t>Харламов Андрей Юрьевич</t>
  </si>
  <si>
    <t>У-20-3964</t>
  </si>
  <si>
    <t>Погудин Максим Евгеньевич</t>
  </si>
  <si>
    <t>У-20-3966</t>
  </si>
  <si>
    <t>Кольцов Роман Сергеевич</t>
  </si>
  <si>
    <t>У-20-5754</t>
  </si>
  <si>
    <t>Демидова Виктория Дмитриевна</t>
  </si>
  <si>
    <t>У-20-5755</t>
  </si>
  <si>
    <t>Якунин Илья Александрович</t>
  </si>
  <si>
    <t>У-19-88579</t>
  </si>
  <si>
    <t>Шоль Анастасия Викторовна</t>
  </si>
  <si>
    <t>У-20-2067</t>
  </si>
  <si>
    <t>Полторакипка Олег Олегович</t>
  </si>
  <si>
    <t>У-20-2083</t>
  </si>
  <si>
    <t>Пронин Григорий Викторович</t>
  </si>
  <si>
    <t>АО «СК ГАЙДЕ»</t>
  </si>
  <si>
    <t>У-20-2938</t>
  </si>
  <si>
    <t>Зуборев Юрий Александрович</t>
  </si>
  <si>
    <t>У-20-3651</t>
  </si>
  <si>
    <t>Завьялова Наталья Васильевна</t>
  </si>
  <si>
    <t>У-20-3652</t>
  </si>
  <si>
    <t>Воробьев Николай Борисович</t>
  </si>
  <si>
    <t>У-20-3654</t>
  </si>
  <si>
    <t>Марков Сергей Михайлович</t>
  </si>
  <si>
    <t>У-20-3657</t>
  </si>
  <si>
    <t>Жуков Сергей Сергеевич</t>
  </si>
  <si>
    <t>У-20-3658</t>
  </si>
  <si>
    <t>Бухарева Лидия Васильевна</t>
  </si>
  <si>
    <t>У-20-3660</t>
  </si>
  <si>
    <t>Васькова Мария Леонидовна</t>
  </si>
  <si>
    <t>У-20-4451</t>
  </si>
  <si>
    <t>Бариев Ильфат Фанисович</t>
  </si>
  <si>
    <t>У-20-4452</t>
  </si>
  <si>
    <t>Алиев Гандам Рауф Оглы</t>
  </si>
  <si>
    <t>У-20-4485</t>
  </si>
  <si>
    <t>Кравченко Сергей Владмимрович</t>
  </si>
  <si>
    <t>У-20-5211</t>
  </si>
  <si>
    <t>ЖДАНОВ ЕВГЕНИЙ Витальевич</t>
  </si>
  <si>
    <t>НЕУСТОЙКА, ФУ</t>
  </si>
  <si>
    <t>Исполнили в срок по решению ФУ</t>
  </si>
  <si>
    <t>ЛИМИТ</t>
  </si>
  <si>
    <t>Выплата за имущество и ТС в рамках лимита 400000</t>
  </si>
  <si>
    <t>Взыскиваем неустойку 180 рублей</t>
  </si>
  <si>
    <t>В соответствии с пунктом 1 статьи 12.1 Закона № 40-ФЗ в целях установления обстоятельств причинения вреда транспортному средству, установления повреждений транспортного средства и их причин, технологии, методов и стоимости его восстановительного ремонта проводится независимая техническая экспертиза.</t>
  </si>
  <si>
    <t>Дважды выдавали ННР, по первому работы не произведены, получен отказ от СТОА, второе выдано с нарушением срока</t>
  </si>
  <si>
    <t>КОММЕРЧЕСКОЕ, УЧЕБНОЕ ТС</t>
  </si>
  <si>
    <t>У-19-87086</t>
  </si>
  <si>
    <t>Русецкий Александр Валерьевич</t>
  </si>
  <si>
    <t>У-20-1136</t>
  </si>
  <si>
    <t>Игнатенко Татьяна Ивановна</t>
  </si>
  <si>
    <t>У-20-1137</t>
  </si>
  <si>
    <t>Адаев Андрей Михайлович</t>
  </si>
  <si>
    <t>У-20-2082</t>
  </si>
  <si>
    <t>Алиев Яхиябек Гусейнович</t>
  </si>
  <si>
    <t>У-20-2086</t>
  </si>
  <si>
    <t>Муравьев Александр Викторович</t>
  </si>
  <si>
    <t>У-20-2119</t>
  </si>
  <si>
    <t>Разумова Наталья Владимировна</t>
  </si>
  <si>
    <t>У-20-3503</t>
  </si>
  <si>
    <t>Крюков Дмитрий Петрович</t>
  </si>
  <si>
    <t>У-20-3518</t>
  </si>
  <si>
    <t>Кочарян Лилит Седраковна</t>
  </si>
  <si>
    <t>У-20-3524</t>
  </si>
  <si>
    <t>Доровский Дмитрий Александрович</t>
  </si>
  <si>
    <t>У-20-3527</t>
  </si>
  <si>
    <t>Силкин Ростислав Иванович</t>
  </si>
  <si>
    <t>У-20-3529</t>
  </si>
  <si>
    <t>Карлов Андрей Сергеевич</t>
  </si>
  <si>
    <t>У-20-4114</t>
  </si>
  <si>
    <t>Аристов Алексей Борисович</t>
  </si>
  <si>
    <t>У-20-4119</t>
  </si>
  <si>
    <t>Немсицверидзе Шалва Мурманович</t>
  </si>
  <si>
    <t>У-20-4129</t>
  </si>
  <si>
    <t>Алексеева Милена Тахмасибовна</t>
  </si>
  <si>
    <t>У-20-4869</t>
  </si>
  <si>
    <t>Попова Лариса Сергеевна</t>
  </si>
  <si>
    <t>У-20-4871</t>
  </si>
  <si>
    <t>Захаров Владислав Федорович</t>
  </si>
  <si>
    <t>У-20-4874</t>
  </si>
  <si>
    <t>Пивоварова Инна Сергеевна</t>
  </si>
  <si>
    <t>Прекращаем, т.к. согласно ответу ФО, представленному Заявителем, ответственность виновника ДТП застрахована на другое ТС, а не на то, которым он управлял в момент ДТП</t>
  </si>
  <si>
    <t>191014, г. Санкт-Петербург, Литейный пр-кт, д. 57 А, лит. А</t>
  </si>
  <si>
    <t>ФО отказала на том основании, что нет VIN кода</t>
  </si>
  <si>
    <t>ФО идет в суд с иском о снижении неустойки</t>
  </si>
  <si>
    <t>ФО обратилась в суд с иском о снижении неустойки</t>
  </si>
  <si>
    <t>Предлагали эвакуацию из Дагестана в Москву</t>
  </si>
  <si>
    <t>ЗАЧЕТ</t>
  </si>
  <si>
    <t>ВСК проводит зачет, ргегресс к потерпевшему</t>
  </si>
  <si>
    <t>Полуотложная</t>
  </si>
  <si>
    <t>Фин санкция по дату ремонта</t>
  </si>
  <si>
    <t>Выдали ННР не в срок</t>
  </si>
  <si>
    <t>Ущерб, экспертиза, неустойка</t>
  </si>
  <si>
    <t>Неустойка УЩЕРБ и УТС</t>
  </si>
  <si>
    <t>Была траса, но выплатили, взыскали неустойку</t>
  </si>
  <si>
    <t>11-8774</t>
  </si>
  <si>
    <t>Выплатили добровольно</t>
  </si>
  <si>
    <t>КОММЕНТАРИИ</t>
  </si>
  <si>
    <t>УЩЕРБ СВЫШЕ 400000</t>
  </si>
  <si>
    <t>В одной платежке и неустойка и финансовая санкция с НДФЛ</t>
  </si>
  <si>
    <t>НЕТИПОВОЕ Неустойка на эвакуатор, неустойка за нарушение сроков выдачи ННР по суду. Часть страхового возмещения была выплачена деньгами, возвращал в кассу, потом выплатили повторно (за парктроник)</t>
  </si>
  <si>
    <t>Здоровье по нормативам и неустойка, в том числе отложная</t>
  </si>
  <si>
    <t>МОТ</t>
  </si>
  <si>
    <t>РЕЗ</t>
  </si>
  <si>
    <t>Нет документов на право собственности ТС</t>
  </si>
  <si>
    <t>Сравнение ТОТАЛ (ФО) с обычной нашей. Ссылка на 40 пункт пленума</t>
  </si>
  <si>
    <t>Взыскиваем неустойку</t>
  </si>
  <si>
    <t>У-19-91417</t>
  </si>
  <si>
    <t>Бухтуева Марина Викторовна</t>
  </si>
  <si>
    <t>У-20-6262</t>
  </si>
  <si>
    <t>Рыжков Максим Викторович</t>
  </si>
  <si>
    <t>У-20-6175</t>
  </si>
  <si>
    <t>Пупков Глеб Вячеславович</t>
  </si>
  <si>
    <t>У-20-6176</t>
  </si>
  <si>
    <t>Джаббаров Темурбек Исмадиярович</t>
  </si>
  <si>
    <t>У-20-6178</t>
  </si>
  <si>
    <t>Шелест Николай Николаевич</t>
  </si>
  <si>
    <t>У-20-7249</t>
  </si>
  <si>
    <t>Якуньков Алексей Алексеевич</t>
  </si>
  <si>
    <t>У-20-7252</t>
  </si>
  <si>
    <t>Минченко Алла Ивановна</t>
  </si>
  <si>
    <t>У-20-7253</t>
  </si>
  <si>
    <t>Задорин Александр Вячеславович</t>
  </si>
  <si>
    <t>У-20-7254</t>
  </si>
  <si>
    <t>Щербицкая Юлия Викторовна</t>
  </si>
  <si>
    <t>У-20-7351</t>
  </si>
  <si>
    <t>ПОПОВ АНТОН ЕВГЕНЬЕВИЧ</t>
  </si>
  <si>
    <t>У-20-8337</t>
  </si>
  <si>
    <t>Новикова Наталья Васильевна</t>
  </si>
  <si>
    <t>У-20-8338</t>
  </si>
  <si>
    <t>Трофимов Никита Сергеевич</t>
  </si>
  <si>
    <t>У-20-8339</t>
  </si>
  <si>
    <t>Мелконян Нелли Арюцуновна</t>
  </si>
  <si>
    <t>У-20-8343</t>
  </si>
  <si>
    <t>Чепрасов Максим Владимирович</t>
  </si>
  <si>
    <t>У-20-8358</t>
  </si>
  <si>
    <t>Свиридова Инна Владимировна</t>
  </si>
  <si>
    <t>У-20-10029</t>
  </si>
  <si>
    <t>Малахов Алексей Николаевич</t>
  </si>
  <si>
    <t>У-20-10031</t>
  </si>
  <si>
    <t>Афанасьев Евгений Викторович</t>
  </si>
  <si>
    <t>У-19-87798</t>
  </si>
  <si>
    <t>У-20-6121</t>
  </si>
  <si>
    <t>Горбунов Анатолий Александрович</t>
  </si>
  <si>
    <t>У-20-6122</t>
  </si>
  <si>
    <t>Горелкин Дмитрий Юрьевич</t>
  </si>
  <si>
    <t>У-20-6123</t>
  </si>
  <si>
    <t>Толстоброва Галина Игоревна</t>
  </si>
  <si>
    <t>У-20-7120</t>
  </si>
  <si>
    <t>Клейменов Михаил ЮРЬЕВИЧ</t>
  </si>
  <si>
    <t>У-20-7123</t>
  </si>
  <si>
    <t>Песчаная Ксения Олеговна</t>
  </si>
  <si>
    <t>У-20-7125</t>
  </si>
  <si>
    <t>Баталов Андрей Алексеевич</t>
  </si>
  <si>
    <t>У-20-7126</t>
  </si>
  <si>
    <t>Нафиков Алик Равильевич</t>
  </si>
  <si>
    <t>У-20-8271</t>
  </si>
  <si>
    <t>Попов Сергей Викторович</t>
  </si>
  <si>
    <t>У-20-8165</t>
  </si>
  <si>
    <t>Зиялтдинов Ильфат Умманович</t>
  </si>
  <si>
    <t>У-20-8272</t>
  </si>
  <si>
    <t>Федоровцева Алена Валерьевна</t>
  </si>
  <si>
    <t>У-20-8273</t>
  </si>
  <si>
    <t>Опрятнов Сергей Александрович</t>
  </si>
  <si>
    <t>У-20-8166</t>
  </si>
  <si>
    <t>Мустафин Ришат Джафярович</t>
  </si>
  <si>
    <t>У-20-9170</t>
  </si>
  <si>
    <t>Валиев Тимур Махарбекович</t>
  </si>
  <si>
    <t>У-20-9181</t>
  </si>
  <si>
    <t>Выймов Дмитрий Сергеевич</t>
  </si>
  <si>
    <t>У-20-9820</t>
  </si>
  <si>
    <t>Векшин Павел Юрьевич</t>
  </si>
  <si>
    <t>У-20-9825</t>
  </si>
  <si>
    <t>Савицкене Валентина Николаевна</t>
  </si>
  <si>
    <t>У-20-6804</t>
  </si>
  <si>
    <t>Иванович Василий Исламов</t>
  </si>
  <si>
    <t>У-20-6833</t>
  </si>
  <si>
    <t>Мочалова Елена Валерьевна</t>
  </si>
  <si>
    <t>У-20-6835</t>
  </si>
  <si>
    <t>Ткач Юрий Димитриевич</t>
  </si>
  <si>
    <t>У-20-6891</t>
  </si>
  <si>
    <t>Нахратов Никита Сергеевич</t>
  </si>
  <si>
    <t>У-20-7584</t>
  </si>
  <si>
    <t>Дейграф Андрей Викторович</t>
  </si>
  <si>
    <t>У-20-7596</t>
  </si>
  <si>
    <t>Касеко Константин Яковлевич</t>
  </si>
  <si>
    <t>У-20-7611</t>
  </si>
  <si>
    <t>Корсуков Сергей Геннадьевич</t>
  </si>
  <si>
    <t>У-20-7623</t>
  </si>
  <si>
    <t>Копотева Екатерина Викторовна</t>
  </si>
  <si>
    <t>У-20-7626</t>
  </si>
  <si>
    <t>Васицкий Руслан Владимирович</t>
  </si>
  <si>
    <t>У-20-8682</t>
  </si>
  <si>
    <t>Ефимов Александр Александрович</t>
  </si>
  <si>
    <t>У-20-8685</t>
  </si>
  <si>
    <t>Газимагомедов Магомед Ильясович</t>
  </si>
  <si>
    <t>У-20-8689</t>
  </si>
  <si>
    <t>Сизоненко Руслан Владимирович</t>
  </si>
  <si>
    <t>У-20-8756</t>
  </si>
  <si>
    <t>Волосов Денис Николаевич</t>
  </si>
  <si>
    <t>У-20-8763</t>
  </si>
  <si>
    <t>Назмутдинова Зульфира Фаритовна</t>
  </si>
  <si>
    <t>У-20-9746</t>
  </si>
  <si>
    <t xml:space="preserve">Ковалева Нина </t>
  </si>
  <si>
    <t>У-20-9747</t>
  </si>
  <si>
    <t>Хусаинов Динис Гумарович</t>
  </si>
  <si>
    <t>У-20-10174</t>
  </si>
  <si>
    <t>Шамехин Станислав Николаевич</t>
  </si>
  <si>
    <t>У-20-10239</t>
  </si>
  <si>
    <t>Михалкова Екатерина Владимировна</t>
  </si>
  <si>
    <t>У-20-6431</t>
  </si>
  <si>
    <t>Хачиров Арасул Абдулович</t>
  </si>
  <si>
    <t>У-20-6613</t>
  </si>
  <si>
    <t>Азарян Мигран Артурович</t>
  </si>
  <si>
    <t>У-20-6625</t>
  </si>
  <si>
    <t>Шарамуков Аскер Русланович</t>
  </si>
  <si>
    <t>У-20-7482</t>
  </si>
  <si>
    <t>Тарасевич Наталья Валерьевна</t>
  </si>
  <si>
    <t>У-20-7484</t>
  </si>
  <si>
    <t>Тхахахо Адам Алимович</t>
  </si>
  <si>
    <t>У-20-7498</t>
  </si>
  <si>
    <t>Колупаев Сергей Анатольевич</t>
  </si>
  <si>
    <t>У-20-7500</t>
  </si>
  <si>
    <t>Касьянов Андрей Федорович</t>
  </si>
  <si>
    <t>У-20-7516</t>
  </si>
  <si>
    <t>Черепов Александр Игоревич</t>
  </si>
  <si>
    <t>У-20-8530</t>
  </si>
  <si>
    <t>Титова Светлана Алексеевна</t>
  </si>
  <si>
    <t>У-20-8540</t>
  </si>
  <si>
    <t>Дзагахов Руслан Сергеевич</t>
  </si>
  <si>
    <t>У-20-8550</t>
  </si>
  <si>
    <t>Васина Юлия Сергеевна</t>
  </si>
  <si>
    <t>У-20-8552</t>
  </si>
  <si>
    <t>Уразаева Надежда Николаевна</t>
  </si>
  <si>
    <t>У-20-9644</t>
  </si>
  <si>
    <t>Майсурадзе Баграт Владимирович</t>
  </si>
  <si>
    <t>У-20-9676</t>
  </si>
  <si>
    <t>Харченко Виталий Викторович</t>
  </si>
  <si>
    <t>У-20-10088</t>
  </si>
  <si>
    <t>Гергаулов Чермен Гурамович</t>
  </si>
  <si>
    <t>У-20-10090</t>
  </si>
  <si>
    <t>Слесарева Ольга Павловна</t>
  </si>
  <si>
    <t>У-19-90630</t>
  </si>
  <si>
    <t>Мирсабзов Худоиназар Махмадназарович</t>
  </si>
  <si>
    <t>У-20-7122</t>
  </si>
  <si>
    <t>Плиев Эльбрус Геннадьевич</t>
  </si>
  <si>
    <t>У-20-7150</t>
  </si>
  <si>
    <t>Гусаров Виктор Александрович</t>
  </si>
  <si>
    <t>У-20-7175</t>
  </si>
  <si>
    <t>Фатыхов Айрат Юнусович</t>
  </si>
  <si>
    <t>У-20-7182</t>
  </si>
  <si>
    <t>Камилов Махмуд Гасангаджиевич</t>
  </si>
  <si>
    <t>У-20-8031</t>
  </si>
  <si>
    <t>Картавцев Игорь Николаевич</t>
  </si>
  <si>
    <t>У-20-8032</t>
  </si>
  <si>
    <t>Кропачева Валерия Алексеевна</t>
  </si>
  <si>
    <t>У-20-8053</t>
  </si>
  <si>
    <t>Чесников Сергей Сергеевич</t>
  </si>
  <si>
    <t>У-20-8067</t>
  </si>
  <si>
    <t>Судуткина Людмила Павловна</t>
  </si>
  <si>
    <t>У-20-8106</t>
  </si>
  <si>
    <t>Горланова Татьяна Алексеевна</t>
  </si>
  <si>
    <t>У-20-8117</t>
  </si>
  <si>
    <t>Андреев Андрей Евгеньевич</t>
  </si>
  <si>
    <t>У-20-8136</t>
  </si>
  <si>
    <t>Глазков Александр Сергеевич</t>
  </si>
  <si>
    <t>У-20-8978</t>
  </si>
  <si>
    <t>Золотенко Николай Александрович</t>
  </si>
  <si>
    <t>У-20-8983</t>
  </si>
  <si>
    <t>Никитина Анна Михайловна</t>
  </si>
  <si>
    <t>У-20-8996</t>
  </si>
  <si>
    <t>Герасимов Кирилл Евгеньевич</t>
  </si>
  <si>
    <t>У-20-8999</t>
  </si>
  <si>
    <t>Лукманов Руслан Шамилевич</t>
  </si>
  <si>
    <t>У-20-9834</t>
  </si>
  <si>
    <t>Зюзиков Иван Васильевич</t>
  </si>
  <si>
    <t>У-20-9839</t>
  </si>
  <si>
    <t>Широков Артем Олегович</t>
  </si>
  <si>
    <t>У-20-10541</t>
  </si>
  <si>
    <t>Хугаев Георгий Борисович</t>
  </si>
  <si>
    <t>У-20-10574</t>
  </si>
  <si>
    <t>Оточкина Лидия Михайловна</t>
  </si>
  <si>
    <t>ЭВАКУАТОР</t>
  </si>
  <si>
    <t>Много требований</t>
  </si>
  <si>
    <t>Ермолаева Елена Александровна</t>
  </si>
  <si>
    <t>У-20-6171</t>
  </si>
  <si>
    <t>Гукасян Карен Хачатурович</t>
  </si>
  <si>
    <t>У-19-90554</t>
  </si>
  <si>
    <t>Шестаков Сергей Юрьевич</t>
  </si>
  <si>
    <t>У-19-91056</t>
  </si>
  <si>
    <t>Загребин Алексей Николаевич</t>
  </si>
  <si>
    <t>У-20-6453</t>
  </si>
  <si>
    <t>Чичиленко Анастасия Дмитриевна</t>
  </si>
  <si>
    <t>У-20-6871</t>
  </si>
  <si>
    <t>Кобякова Юлия Александровна</t>
  </si>
  <si>
    <t>У-20-6912</t>
  </si>
  <si>
    <t>Николаев Виталий Владимирович</t>
  </si>
  <si>
    <t>У-19-91133</t>
  </si>
  <si>
    <t>Капышов Александр Вадимович</t>
  </si>
  <si>
    <t>У-19-91185</t>
  </si>
  <si>
    <t>Наумова Светлана Вячеславовна</t>
  </si>
  <si>
    <t>У-20-8294</t>
  </si>
  <si>
    <t>Павлов Николай Яковлевич</t>
  </si>
  <si>
    <t>У-20-8296</t>
  </si>
  <si>
    <t>Ануфриева Юлия Владимировна</t>
  </si>
  <si>
    <t>Поменялся собственник, виновник не вписан. Полис действует в отношении ТС. Ссылка на Определение Конституционного суда</t>
  </si>
  <si>
    <t>Отказ по тоталу, но взыскание неустойки на эвакуатор</t>
  </si>
  <si>
    <t>ДТП вечером, отказ по трасе, по НТЭ ФУ 10 000</t>
  </si>
  <si>
    <t>Цессия, аварком</t>
  </si>
  <si>
    <t>РАЗНИЦА</t>
  </si>
  <si>
    <t>УТС и неустойка за нарушение сроков восстановительного ремонта</t>
  </si>
  <si>
    <t>Неустойка на сроки ремонта</t>
  </si>
  <si>
    <t>Добровольно выплатили</t>
  </si>
  <si>
    <t>ФС до выдачи ННР</t>
  </si>
  <si>
    <t>Часть соответствует, но уже была повреждена</t>
  </si>
  <si>
    <t>Взыскание неустойки. НТЭ Заявителя как неиспользованная</t>
  </si>
  <si>
    <t>ННР не в срок</t>
  </si>
  <si>
    <t>Добровольная выплата неустойки</t>
  </si>
  <si>
    <t>По нормативам</t>
  </si>
  <si>
    <t>Невозможно определить период неустойки, взысканной решением суда</t>
  </si>
  <si>
    <t>ПОЛЕНО</t>
  </si>
  <si>
    <t>ФО исключила часть повреждений из ННР</t>
  </si>
  <si>
    <t>Расходы</t>
  </si>
  <si>
    <t>Без справки о ДТП и административных материалов, добросовестность</t>
  </si>
  <si>
    <t>У-20-11365</t>
  </si>
  <si>
    <t>Шайхулин Фарит Автохович</t>
  </si>
  <si>
    <t>У-20-11402</t>
  </si>
  <si>
    <t>Малышев Илья Александрович</t>
  </si>
  <si>
    <t>У-20-11546</t>
  </si>
  <si>
    <t>Венедиктов Александр Геннадьевич</t>
  </si>
  <si>
    <t>У-20-11703</t>
  </si>
  <si>
    <t>Хайретдинов Альберт Хасанович</t>
  </si>
  <si>
    <t>У-20-11637</t>
  </si>
  <si>
    <t>Денисова Алина Анатольевна</t>
  </si>
  <si>
    <t>У-20-12152</t>
  </si>
  <si>
    <t>Чабрикова Инна Аркадьевна</t>
  </si>
  <si>
    <t>У-20-12493</t>
  </si>
  <si>
    <t>Табакова Оксана Сергеевна</t>
  </si>
  <si>
    <t>У-20-12602</t>
  </si>
  <si>
    <t>Вожлаков Денис Игоревич</t>
  </si>
  <si>
    <t>У-20-12775</t>
  </si>
  <si>
    <t>Мертвищев Александр Иванович</t>
  </si>
  <si>
    <t>У-20-12979</t>
  </si>
  <si>
    <t>Завалихин Сергей Геннадьевич</t>
  </si>
  <si>
    <t>У-20-13220</t>
  </si>
  <si>
    <t>Филатов Кирилл Валерьевич</t>
  </si>
  <si>
    <t>У-20-13408</t>
  </si>
  <si>
    <t>Никитин Роман Константинович</t>
  </si>
  <si>
    <t>У-20-13421</t>
  </si>
  <si>
    <t>Бибулатов Бибулат Абдуллаевич</t>
  </si>
  <si>
    <t>У-20-13639</t>
  </si>
  <si>
    <t>Сумин Алексей Владимирович</t>
  </si>
  <si>
    <t>У-20-13872</t>
  </si>
  <si>
    <t>Мингалев Вадим Владимирович</t>
  </si>
  <si>
    <t>У-20-14541</t>
  </si>
  <si>
    <t>Севастьянов Денис Вячеславович</t>
  </si>
  <si>
    <t>У-19-90349</t>
  </si>
  <si>
    <t>Грушина Надежда Семёновна</t>
  </si>
  <si>
    <t>У-19-91660</t>
  </si>
  <si>
    <t>Халявин Дмитрий Борисович</t>
  </si>
  <si>
    <t>У-20-4448</t>
  </si>
  <si>
    <t>Заводов Илья Николаевич</t>
  </si>
  <si>
    <t>У-20-10345</t>
  </si>
  <si>
    <t>Радин Владимир Сергеевич</t>
  </si>
  <si>
    <t>У-20-10658</t>
  </si>
  <si>
    <t>Колесник Алексей Филиппович</t>
  </si>
  <si>
    <t>У-20-10977</t>
  </si>
  <si>
    <t>Данилькевич Марина Влдимировна</t>
  </si>
  <si>
    <t>У-20-11061</t>
  </si>
  <si>
    <t>Геворгян Алина Айказовна</t>
  </si>
  <si>
    <t>У-20-11347</t>
  </si>
  <si>
    <t>Раджабов Марсель Девлетханович</t>
  </si>
  <si>
    <t>У-20-11441</t>
  </si>
  <si>
    <t>Симонов Александр Анатольевич</t>
  </si>
  <si>
    <t>У-20-11642</t>
  </si>
  <si>
    <t>Казымов Ахмед Гияс оглы</t>
  </si>
  <si>
    <t>У-20-11996</t>
  </si>
  <si>
    <t>Старкова Елена Константиновна</t>
  </si>
  <si>
    <t>У-20-12060</t>
  </si>
  <si>
    <t>Южанина Любовь Ивановна</t>
  </si>
  <si>
    <t>У-20-12478</t>
  </si>
  <si>
    <t>Насруллаев Рашид Абдусаламович</t>
  </si>
  <si>
    <t>У-20-13163</t>
  </si>
  <si>
    <t>Никешин Владимир Михайлович</t>
  </si>
  <si>
    <t>У-20-13332</t>
  </si>
  <si>
    <t>Тимофеев Андрей Геннадьевич</t>
  </si>
  <si>
    <t>У-20-13374</t>
  </si>
  <si>
    <t>Дараев Сергей Петрович</t>
  </si>
  <si>
    <t>У-20-13546</t>
  </si>
  <si>
    <t>Хитарови Наргиза Жоржиевна</t>
  </si>
  <si>
    <t>У-20-13717</t>
  </si>
  <si>
    <t>Устюгова Ульяна Рустамовна</t>
  </si>
  <si>
    <t>У-20-13856</t>
  </si>
  <si>
    <t>Панин Антон Владимирович</t>
  </si>
  <si>
    <t>У-20-13865</t>
  </si>
  <si>
    <t>Бушуева Людмила Тимофеева</t>
  </si>
  <si>
    <t>У-20-4263</t>
  </si>
  <si>
    <t>Логинов Данил Геннадьевич</t>
  </si>
  <si>
    <t>У-20-10089</t>
  </si>
  <si>
    <t>Бацазов Дзамболат Хаджибекирович</t>
  </si>
  <si>
    <t>У-20-10778</t>
  </si>
  <si>
    <t>Белова Анна Николаевна</t>
  </si>
  <si>
    <t>У-20-10878</t>
  </si>
  <si>
    <t>Третьяк Владислав Андреевич</t>
  </si>
  <si>
    <t>У-20-10979</t>
  </si>
  <si>
    <t>Лемешев Иван Александрович</t>
  </si>
  <si>
    <t>У-20-11293</t>
  </si>
  <si>
    <t>Маранян Тигран Нерсесович</t>
  </si>
  <si>
    <t>У-20-11303</t>
  </si>
  <si>
    <t>Хаматшин Илнур Мансурович</t>
  </si>
  <si>
    <t>У-20-11386</t>
  </si>
  <si>
    <t>Гуляева Екатерина Юрьевна</t>
  </si>
  <si>
    <t>У-20-12287</t>
  </si>
  <si>
    <t>Шайымова Лилия Рахманкуловна</t>
  </si>
  <si>
    <t>ООО «СК Екатеринбург»</t>
  </si>
  <si>
    <t>У-20-12601</t>
  </si>
  <si>
    <t>Согомонян Мартин Бартехович</t>
  </si>
  <si>
    <t>У-20-12646</t>
  </si>
  <si>
    <t>Шакуров Айдар Ильфатович</t>
  </si>
  <si>
    <t>У-20-13062</t>
  </si>
  <si>
    <t>Сидорчук Виктор Анатольевич</t>
  </si>
  <si>
    <t>У-20-13129</t>
  </si>
  <si>
    <t>Кропинова Нурзия Хайбрахмановна</t>
  </si>
  <si>
    <t>У-20-13617</t>
  </si>
  <si>
    <t>Зайцев Ярослав Николаевич</t>
  </si>
  <si>
    <t>У-20-13985</t>
  </si>
  <si>
    <t>Кундухова Ангелина Владимировна</t>
  </si>
  <si>
    <t>У-20-14049</t>
  </si>
  <si>
    <t>Логинова Ольга Михайловна</t>
  </si>
  <si>
    <t>У-20-14514</t>
  </si>
  <si>
    <t>Заитов Ришад Хайретдинович</t>
  </si>
  <si>
    <t>У-20-14560</t>
  </si>
  <si>
    <t>Пономарев Артем Сергеевич</t>
  </si>
  <si>
    <t>У-20-11136</t>
  </si>
  <si>
    <t>Жуков Александр Владимирович</t>
  </si>
  <si>
    <t>У-20-11210</t>
  </si>
  <si>
    <t>Фролова Зинаида Васильевна</t>
  </si>
  <si>
    <t>У-20-12401</t>
  </si>
  <si>
    <t>Егоров Сергей Владимирович</t>
  </si>
  <si>
    <t>У-20-12427</t>
  </si>
  <si>
    <t>Санан Абдуллаев Тарланович</t>
  </si>
  <si>
    <t>У-20-13081</t>
  </si>
  <si>
    <t>Хасанова Лилия Минифановна</t>
  </si>
  <si>
    <t>У-20-13844</t>
  </si>
  <si>
    <t>Пивоваров Александр Владимирович</t>
  </si>
  <si>
    <t>У-20-2153</t>
  </si>
  <si>
    <t>Ковалева Надежда Геннадьевна</t>
  </si>
  <si>
    <t>У-20-4045</t>
  </si>
  <si>
    <t>Супиев Омар Мусаевич</t>
  </si>
  <si>
    <t>У-20-10420</t>
  </si>
  <si>
    <t>Мухин Иван Николаевич</t>
  </si>
  <si>
    <t>У-20-10820</t>
  </si>
  <si>
    <t>Яромов Антон Николаевич</t>
  </si>
  <si>
    <t>У-20-11095</t>
  </si>
  <si>
    <t>Зекох Рустам Адамович</t>
  </si>
  <si>
    <t>У-20-11241</t>
  </si>
  <si>
    <t>Токарев Иван Иванович</t>
  </si>
  <si>
    <t>У-20-11415</t>
  </si>
  <si>
    <t>Скударнова Татьяна Михайловна</t>
  </si>
  <si>
    <t>У-20-11586</t>
  </si>
  <si>
    <t>Ушкова Марина Юрьевна</t>
  </si>
  <si>
    <t>У-20-11801</t>
  </si>
  <si>
    <t>Алдатов Давид Николаевич</t>
  </si>
  <si>
    <t>У-20-12026</t>
  </si>
  <si>
    <t>Мнацян Мгер Жани</t>
  </si>
  <si>
    <t>У-20-12316</t>
  </si>
  <si>
    <t>Сколозубов Евгений Сергеевич</t>
  </si>
  <si>
    <t>У-20-12654</t>
  </si>
  <si>
    <t>Зейтунян Овагим Пайлинович</t>
  </si>
  <si>
    <t>У-20-12694</t>
  </si>
  <si>
    <t>Карпеев Константин Валентинович</t>
  </si>
  <si>
    <t>У-20-12953</t>
  </si>
  <si>
    <t>Эбжноу Наргиза Рафетовна</t>
  </si>
  <si>
    <t>У-20-13153</t>
  </si>
  <si>
    <t>Сивый Иван Викторович</t>
  </si>
  <si>
    <t>У-20-13611</t>
  </si>
  <si>
    <t>Чеджемов Руслан Маратович</t>
  </si>
  <si>
    <t>У-20-13901</t>
  </si>
  <si>
    <t>Китапова Альбина Рамилевна</t>
  </si>
  <si>
    <t>У-20-14120</t>
  </si>
  <si>
    <t>Антипин Андрей Алексеевич</t>
  </si>
  <si>
    <t>У-20-14148</t>
  </si>
  <si>
    <t>Белоусова Алевтина Леонидовна</t>
  </si>
  <si>
    <t>ДОГОВОР ПРЕКРАТИЛ ДЕЙСТВИЕ (ТОТАЛ)</t>
  </si>
  <si>
    <t>Альфа за Стерх</t>
  </si>
  <si>
    <t>Отложенная неустойка до 100000. Европротокол</t>
  </si>
  <si>
    <t>Ремонт больше 400000, согласия на доплату нет</t>
  </si>
  <si>
    <t>Здоровье по нормативам и утраченный заработок</t>
  </si>
  <si>
    <t>Лимит 50000</t>
  </si>
  <si>
    <t>У-20-2329</t>
  </si>
  <si>
    <t>ООО "Партнер"</t>
  </si>
  <si>
    <t>У-20-6318</t>
  </si>
  <si>
    <t>Цехер Татьяна Ивановна</t>
  </si>
  <si>
    <t>У-20-14307</t>
  </si>
  <si>
    <t>Горьков Алексей Сергеевич</t>
  </si>
  <si>
    <t>У-20-14407</t>
  </si>
  <si>
    <t>Калмыков Андрей Александрович</t>
  </si>
  <si>
    <t>У-20-14540</t>
  </si>
  <si>
    <t>Акопян Артем Владимирович</t>
  </si>
  <si>
    <t>У-20-14693</t>
  </si>
  <si>
    <t>Лепистов Максим Андреевич</t>
  </si>
  <si>
    <t>У-20-15425</t>
  </si>
  <si>
    <t>Алешина Юлия Альбертовна</t>
  </si>
  <si>
    <t>У-20-15507</t>
  </si>
  <si>
    <t>Гуреева Екатерина Викторовна</t>
  </si>
  <si>
    <t>У-20-15823</t>
  </si>
  <si>
    <t>Костылева Александра Степановна</t>
  </si>
  <si>
    <t>У-20-16129</t>
  </si>
  <si>
    <t>Нечкина Людмила Викторовна</t>
  </si>
  <si>
    <t>У-20-16797</t>
  </si>
  <si>
    <t>Карпов Иван Васильевич</t>
  </si>
  <si>
    <t>У-20-16914</t>
  </si>
  <si>
    <t>Старковский Борис Николаевич</t>
  </si>
  <si>
    <t>У-20-16971</t>
  </si>
  <si>
    <t>Долгов Константин Алекандрович</t>
  </si>
  <si>
    <t>У-20-17305</t>
  </si>
  <si>
    <t>Хозиев Аслан Ахмедович</t>
  </si>
  <si>
    <t>У-20-17357</t>
  </si>
  <si>
    <t>Федоров Дмитрий Сергеевич</t>
  </si>
  <si>
    <t>У-20-17712</t>
  </si>
  <si>
    <t>Чернышов Сергей Владимирович</t>
  </si>
  <si>
    <t>У-20-13083</t>
  </si>
  <si>
    <t>Доржиев Алексей Артемович</t>
  </si>
  <si>
    <t>У-20-14417</t>
  </si>
  <si>
    <t>Махмудов Магамедэмин Вячеславович</t>
  </si>
  <si>
    <t>У-20-14427</t>
  </si>
  <si>
    <t>Зотов Анатолий Александрович</t>
  </si>
  <si>
    <t>У-20-14902</t>
  </si>
  <si>
    <t>Гулян Айк Аршавирович</t>
  </si>
  <si>
    <t>У-20-14955</t>
  </si>
  <si>
    <t>Зязиков Назир Уматгиреевич</t>
  </si>
  <si>
    <t>У-20-15224</t>
  </si>
  <si>
    <t>Родионова Алена Игоревна</t>
  </si>
  <si>
    <t>У-20-15311</t>
  </si>
  <si>
    <t>Соловьев Александр Александрович</t>
  </si>
  <si>
    <t>У-20-15620</t>
  </si>
  <si>
    <t>Рудик Сергей Ильич</t>
  </si>
  <si>
    <t>У-20-16350</t>
  </si>
  <si>
    <t>Белявцева Светлана Витальевна</t>
  </si>
  <si>
    <t>У-20-16402</t>
  </si>
  <si>
    <t>Розенфельд Марк Григорьевич</t>
  </si>
  <si>
    <t>У-20-16823</t>
  </si>
  <si>
    <t>Мирзабеков Айгуб Расулович</t>
  </si>
  <si>
    <t>У-20-16934</t>
  </si>
  <si>
    <t>Давтян Вардан Гургенович</t>
  </si>
  <si>
    <t>У-20-17196</t>
  </si>
  <si>
    <t>Павлов Станислав Вячеславович</t>
  </si>
  <si>
    <t>У-20-17355</t>
  </si>
  <si>
    <t>Магомедов Магомедзагир Гасанович</t>
  </si>
  <si>
    <t>У-20-17577</t>
  </si>
  <si>
    <t>Курзенев Евгений Иванович</t>
  </si>
  <si>
    <t>У-20-17646</t>
  </si>
  <si>
    <t>Сазонов Андрей Игоревич</t>
  </si>
  <si>
    <t>Инвалид</t>
  </si>
  <si>
    <t>У-20-14441</t>
  </si>
  <si>
    <t>У-20-15094</t>
  </si>
  <si>
    <t>Коваль Виктор Николаевич</t>
  </si>
  <si>
    <t>Османов Нариман Шевкетович</t>
  </si>
  <si>
    <t>Выплата по соглашению не в срок</t>
  </si>
  <si>
    <t>У-20-15584</t>
  </si>
  <si>
    <t>Ужбанокова Зарема Джабировна</t>
  </si>
  <si>
    <t>Чернов Игорь Юрьевич</t>
  </si>
  <si>
    <t>У-20-14539</t>
  </si>
  <si>
    <t>ДЕФЕКТОВКА</t>
  </si>
  <si>
    <t>У-20-7989</t>
  </si>
  <si>
    <t>Касумов Ильяз Интигамович</t>
  </si>
  <si>
    <t>У-20-16115</t>
  </si>
  <si>
    <t>Нигматуллин Руслан Айратович</t>
  </si>
  <si>
    <t>У-20-16240</t>
  </si>
  <si>
    <t>Коваленко Николай Викторович</t>
  </si>
  <si>
    <t>У-20-16606</t>
  </si>
  <si>
    <t>Вердян Андраник Межлумович</t>
  </si>
  <si>
    <t>У-20-17586</t>
  </si>
  <si>
    <t>Трофименко Ольга Владимировна</t>
  </si>
  <si>
    <t>У-20-17763</t>
  </si>
  <si>
    <t>Абакумов Кирилл Андреевич</t>
  </si>
  <si>
    <t>У-20-18010</t>
  </si>
  <si>
    <t>Иванов Николай Николаевич</t>
  </si>
  <si>
    <t>У-20-14332</t>
  </si>
  <si>
    <t>Акопов Григорий Артемович</t>
  </si>
  <si>
    <t>У-20-14941</t>
  </si>
  <si>
    <t>Петухов Сергей Александрович</t>
  </si>
  <si>
    <t>У-20-15491</t>
  </si>
  <si>
    <t>Петросян Севак Юрикович</t>
  </si>
  <si>
    <t>У-20-15743</t>
  </si>
  <si>
    <t>Шакирова Фарида Фаритовна</t>
  </si>
  <si>
    <t>У-20-16179</t>
  </si>
  <si>
    <t>Власов Алексей Сергеевич</t>
  </si>
  <si>
    <t>У-20-16278</t>
  </si>
  <si>
    <t>Никольский Геннадий Владимирович</t>
  </si>
  <si>
    <t>У-20-16439</t>
  </si>
  <si>
    <t>У-20-16526</t>
  </si>
  <si>
    <t>Варданян Маргарита Ашотовна</t>
  </si>
  <si>
    <t>У-20-17274</t>
  </si>
  <si>
    <t>Гагауз Александра Ивановна</t>
  </si>
  <si>
    <t>У-20-17364</t>
  </si>
  <si>
    <t>Садуев Абдулхалим Гаджиевич</t>
  </si>
  <si>
    <t>У-20-17456</t>
  </si>
  <si>
    <t>Бабенко Владимир Федорович</t>
  </si>
  <si>
    <t>У-20-17574</t>
  </si>
  <si>
    <t>Калинин Александр Владимирович</t>
  </si>
  <si>
    <t>У-20-17668</t>
  </si>
  <si>
    <t>Бурда Роберт Анатольевич</t>
  </si>
  <si>
    <t>У-20-17791</t>
  </si>
  <si>
    <t>Шварова Валерия Вячеславовна</t>
  </si>
  <si>
    <t>Соглашение, решение ФУ</t>
  </si>
  <si>
    <t>У-20-2409</t>
  </si>
  <si>
    <t>У-20-9689</t>
  </si>
  <si>
    <t>Чухнов Иван Павлович</t>
  </si>
  <si>
    <t>У-20-9696</t>
  </si>
  <si>
    <t>Писаренко Александр Александрович</t>
  </si>
  <si>
    <t>У-20-14531</t>
  </si>
  <si>
    <t>Черных Александр Борисович</t>
  </si>
  <si>
    <t>У-20-14971</t>
  </si>
  <si>
    <t>Семенченко Дмитрий Александрович</t>
  </si>
  <si>
    <t>У-20-15304</t>
  </si>
  <si>
    <t>Сиукаева Людмила Муратовна</t>
  </si>
  <si>
    <t>У-20-15605</t>
  </si>
  <si>
    <t>Мурадян Лида Андраниковна</t>
  </si>
  <si>
    <t>У-20-15949</t>
  </si>
  <si>
    <t>Маркин Сергей Евгеньевич</t>
  </si>
  <si>
    <t>У-20-16077</t>
  </si>
  <si>
    <t>Сальков Владимир Ильич</t>
  </si>
  <si>
    <t>У-20-16590</t>
  </si>
  <si>
    <t>Пашкова Анна Геннадьевна</t>
  </si>
  <si>
    <t>У-20-16640</t>
  </si>
  <si>
    <t>Печорина Наталия Борисовна</t>
  </si>
  <si>
    <t>У-20-16668</t>
  </si>
  <si>
    <t>Талутис Виктор Александрович</t>
  </si>
  <si>
    <t>У-20-16833</t>
  </si>
  <si>
    <t>Неклюдов Александр Михайлович</t>
  </si>
  <si>
    <t>У-20-17371</t>
  </si>
  <si>
    <t>Овсоян Марина Христоевна</t>
  </si>
  <si>
    <t>У-20-17887</t>
  </si>
  <si>
    <t>Матвеев Андрей Владимирович</t>
  </si>
  <si>
    <t>Неустойка и плата за рассмотрение дела ФУ</t>
  </si>
  <si>
    <t>ФРАНШИЗА</t>
  </si>
  <si>
    <t>Двойная отложенная неустойка</t>
  </si>
  <si>
    <t>Тотал не тотал</t>
  </si>
  <si>
    <t>Предоставлены фото другого ТС</t>
  </si>
  <si>
    <t>Здоровье</t>
  </si>
  <si>
    <t>Полуотложная неустойка и финсанкция</t>
  </si>
  <si>
    <t>НЕУСТОЙКУА, ФС</t>
  </si>
  <si>
    <t>Запрос документов с нарушением сроков</t>
  </si>
  <si>
    <t>Нет даты выдачи Завителю направления на ремонт</t>
  </si>
  <si>
    <t>Без рассмотрения основаное требование, остальные отказ</t>
  </si>
  <si>
    <t>ДТП было оформлено без участия сотрудников полиции. Повреждено иное имущество (барьерное ограждение)</t>
  </si>
  <si>
    <t>НЕУСТОЙКА,ФС</t>
  </si>
  <si>
    <t>Ранее обращался к ФУ, часть требований БР, т.к. не соблюден досудебный порядок, сейчас ДП соблюден, поэтому рассматриваем</t>
  </si>
  <si>
    <t>ЗАПРОС РЕКВИЗИТОВ</t>
  </si>
  <si>
    <t>Хочет в кассе, запросили реквизиты</t>
  </si>
  <si>
    <t>Требование об организации ремонта. Не страховой случай. На машину упала дверь.</t>
  </si>
  <si>
    <t>Хочет по среднему рынку, но положено по методике</t>
  </si>
  <si>
    <t>УТС БР красивое</t>
  </si>
  <si>
    <t>У-20-2466</t>
  </si>
  <si>
    <t>У-20-5660</t>
  </si>
  <si>
    <t>У-20-5785</t>
  </si>
  <si>
    <t>У-20-9924</t>
  </si>
  <si>
    <t>У-20-10312</t>
  </si>
  <si>
    <t>У-20-10441</t>
  </si>
  <si>
    <t>У-20-10692</t>
  </si>
  <si>
    <t>У-20-18043</t>
  </si>
  <si>
    <t>У-20-18053</t>
  </si>
  <si>
    <t>У-20-18062</t>
  </si>
  <si>
    <t>У-20-18075</t>
  </si>
  <si>
    <t>У-20-18163</t>
  </si>
  <si>
    <t>У-20-18177</t>
  </si>
  <si>
    <t>У-20-18209</t>
  </si>
  <si>
    <t>У-20-18363</t>
  </si>
  <si>
    <t>У-20-18367</t>
  </si>
  <si>
    <t>У-20-18550</t>
  </si>
  <si>
    <t>У-20-18717</t>
  </si>
  <si>
    <t>У-20-18760</t>
  </si>
  <si>
    <t>У-20-18769</t>
  </si>
  <si>
    <t>У-20-18829</t>
  </si>
  <si>
    <t>У-20-18846</t>
  </si>
  <si>
    <t>У-20-18991</t>
  </si>
  <si>
    <t>У-20-19035</t>
  </si>
  <si>
    <t>У-20-19059</t>
  </si>
  <si>
    <t>У-20-19078</t>
  </si>
  <si>
    <t>У-20-19104</t>
  </si>
  <si>
    <t>У-20-19166</t>
  </si>
  <si>
    <t>У-20-19212</t>
  </si>
  <si>
    <t>У-20-19283</t>
  </si>
  <si>
    <t>У-20-19318</t>
  </si>
  <si>
    <t>У-20-19346</t>
  </si>
  <si>
    <t>У-20-19363</t>
  </si>
  <si>
    <t>У-20-19464</t>
  </si>
  <si>
    <t>У-20-19551</t>
  </si>
  <si>
    <t>У-20-19633</t>
  </si>
  <si>
    <t>У-20-19657</t>
  </si>
  <si>
    <t>У-20-19684</t>
  </si>
  <si>
    <t>У-20-19748</t>
  </si>
  <si>
    <t>У-20-19888</t>
  </si>
  <si>
    <t>У-20-19960</t>
  </si>
  <si>
    <t>У-20-19970</t>
  </si>
  <si>
    <t>У-20-19981</t>
  </si>
  <si>
    <t>У-20-20042</t>
  </si>
  <si>
    <t>У-20-20049</t>
  </si>
  <si>
    <t>У-20-20136</t>
  </si>
  <si>
    <t>У-20-20319</t>
  </si>
  <si>
    <t>У-20-20372</t>
  </si>
  <si>
    <t>У-20-20380</t>
  </si>
  <si>
    <t>У-20-20448</t>
  </si>
  <si>
    <t>У-20-20649</t>
  </si>
  <si>
    <t>У-20-20694</t>
  </si>
  <si>
    <t>У-20-20709</t>
  </si>
  <si>
    <t>У-20-20711</t>
  </si>
  <si>
    <t>У-20-20749</t>
  </si>
  <si>
    <t>У-20-20954</t>
  </si>
  <si>
    <t>У-20-21060</t>
  </si>
  <si>
    <t>У-20-21127</t>
  </si>
  <si>
    <t>У-20-21335</t>
  </si>
  <si>
    <t>У-20-21364</t>
  </si>
  <si>
    <t>У-20-21388</t>
  </si>
  <si>
    <t>У-20-21444</t>
  </si>
  <si>
    <t>У-20-21482</t>
  </si>
  <si>
    <t>У-20-21498</t>
  </si>
  <si>
    <t>У-20-21504</t>
  </si>
  <si>
    <t>У-20-21691</t>
  </si>
  <si>
    <t>У-20-21703</t>
  </si>
  <si>
    <t>У-20-21608</t>
  </si>
  <si>
    <t>У-20-21808</t>
  </si>
  <si>
    <t>У-20-21817</t>
  </si>
  <si>
    <t>У-20-21828</t>
  </si>
  <si>
    <t>У-20-21863</t>
  </si>
  <si>
    <t>У-20-22110</t>
  </si>
  <si>
    <t>У-20-22129</t>
  </si>
  <si>
    <t>У-20-22476</t>
  </si>
  <si>
    <t>У-20-22441</t>
  </si>
  <si>
    <t>У-20-22446</t>
  </si>
  <si>
    <t>У-20-22554</t>
  </si>
  <si>
    <t>У-20-22453</t>
  </si>
  <si>
    <t>У-20-22578</t>
  </si>
  <si>
    <t>У-20-22697</t>
  </si>
  <si>
    <t>У-20-22729</t>
  </si>
  <si>
    <t>У-20-22878</t>
  </si>
  <si>
    <t>У-20-22965</t>
  </si>
  <si>
    <t>У-20-23162</t>
  </si>
  <si>
    <t>Сницаренко Алексей Сергеевич</t>
  </si>
  <si>
    <t>Крутских Роман Викторович</t>
  </si>
  <si>
    <t>Ядыкина Алена Сергеевна</t>
  </si>
  <si>
    <t>Васецкий Николай Иванович</t>
  </si>
  <si>
    <t>Панов Виталий Юрьевич</t>
  </si>
  <si>
    <t>Лемаева Елена Александровна</t>
  </si>
  <si>
    <t>Мартиросян Наре Агасиевна</t>
  </si>
  <si>
    <t>Макаров Александр Михайлович</t>
  </si>
  <si>
    <t>Лисов Антон Юрьевич</t>
  </si>
  <si>
    <t>Горбунов Александр Александрович</t>
  </si>
  <si>
    <t>Сорокин Дмитрий Аркадьевич</t>
  </si>
  <si>
    <t>Тадтаев Нарик Ибрагимович</t>
  </si>
  <si>
    <t>Козлов Роман Геннадьевич</t>
  </si>
  <si>
    <t>Старостин Валерий Анатольевич</t>
  </si>
  <si>
    <t>Нечаев Владимир Владимирович</t>
  </si>
  <si>
    <t>Зыков Анатолий Валентинович</t>
  </si>
  <si>
    <t>Глуховцова Элионора Алексеевна</t>
  </si>
  <si>
    <t>Корниенко Анна Эдиковна</t>
  </si>
  <si>
    <t>Георгиев Павел Геннадьевич</t>
  </si>
  <si>
    <t>Коновалов Евгений Владимирович</t>
  </si>
  <si>
    <t>Вологин Александр Игоревич</t>
  </si>
  <si>
    <t>Гавенко Анастасия Александровна</t>
  </si>
  <si>
    <t xml:space="preserve">Максаков Сергей </t>
  </si>
  <si>
    <t>Калуцких Александр Владимирович</t>
  </si>
  <si>
    <t>Крысин Роман Игоревич</t>
  </si>
  <si>
    <t>Чернов Сергей Петрович</t>
  </si>
  <si>
    <t>Шафиев Эльнур Назим Оглы</t>
  </si>
  <si>
    <t>Архипов Евгений Иванович</t>
  </si>
  <si>
    <t>Гришин Михаил Александрович</t>
  </si>
  <si>
    <t>Гевель Светлана Вячеславовна</t>
  </si>
  <si>
    <t>Рубаева Альбина Леонидовна</t>
  </si>
  <si>
    <t>Якупов Валиулла Гиниятович</t>
  </si>
  <si>
    <t>Рафиков Руслан Венерович</t>
  </si>
  <si>
    <t>Апанасенко Сергей Геннадьевич</t>
  </si>
  <si>
    <t>Охрименко Павел Анатольевич</t>
  </si>
  <si>
    <t>Григолия Рустан Эдикович</t>
  </si>
  <si>
    <t>Флегентов Александр Валентинович</t>
  </si>
  <si>
    <t>Царев Константин Владимирович</t>
  </si>
  <si>
    <t>Мякотин Николай Александрович</t>
  </si>
  <si>
    <t>Антонов Дмитрий Викторович</t>
  </si>
  <si>
    <t>Мамонтов Александр Петрович</t>
  </si>
  <si>
    <t>Дмитриев Андрей Федорович</t>
  </si>
  <si>
    <t>Сакин Сергей Николаевич</t>
  </si>
  <si>
    <t>Максимов ДМИТРИЙ Александрович</t>
  </si>
  <si>
    <t>Агаджанян Саркис Арагацевич</t>
  </si>
  <si>
    <t>Нигматуллин Ринат Рашитович</t>
  </si>
  <si>
    <t>Апарян Роберт Оганесович</t>
  </si>
  <si>
    <t>Мхитарян Марина Сергеевна</t>
  </si>
  <si>
    <t>Масалытин Иван Викторович</t>
  </si>
  <si>
    <t>Варин Марат Ильгизович</t>
  </si>
  <si>
    <t>Леухова Юлия Евгеньевна</t>
  </si>
  <si>
    <t>Каджаев Артур Асламбекович</t>
  </si>
  <si>
    <t>Сапрыкин Александр Александрович</t>
  </si>
  <si>
    <t>Данько Иван Андреевич</t>
  </si>
  <si>
    <t>Маслобоев Андрей Викторович</t>
  </si>
  <si>
    <t>Некрасова Анна Андреевна</t>
  </si>
  <si>
    <t>Соловьев Ярослав Николаевич</t>
  </si>
  <si>
    <t>Беляев Вячеслав Александрович</t>
  </si>
  <si>
    <t>Зубков Станислав Александрович</t>
  </si>
  <si>
    <t>Живлехин Андрей Викторович</t>
  </si>
  <si>
    <t>Стригин Игорь Владимирович</t>
  </si>
  <si>
    <t>Лебединец Илья Витальевич</t>
  </si>
  <si>
    <t>Александров Виктор Егорович</t>
  </si>
  <si>
    <t>Гусев Илья Андреевич</t>
  </si>
  <si>
    <t>Гадыльшин Шамиль Мусаевич</t>
  </si>
  <si>
    <t>Тракимус Екатерина Олеговна</t>
  </si>
  <si>
    <t>Каптелин Дмитрий Александрович</t>
  </si>
  <si>
    <t>Куликов Владимир Николаевич</t>
  </si>
  <si>
    <t>Никитин Алексей Александрович</t>
  </si>
  <si>
    <t>Гаглоева Елизавета Юрьевна</t>
  </si>
  <si>
    <t>Согомонов Алексей Сергеевич</t>
  </si>
  <si>
    <t>Парасиди Георгий Станиславович</t>
  </si>
  <si>
    <t>Алехин Станислав Михайлович</t>
  </si>
  <si>
    <t>Вершинина Наталья Николаевна</t>
  </si>
  <si>
    <t>Сейтц Сергей Владимирович</t>
  </si>
  <si>
    <t>Мусаельян Жанна Игоревна</t>
  </si>
  <si>
    <t>Король Ольга Александровна</t>
  </si>
  <si>
    <t>Гукасян Тигран Артурович</t>
  </si>
  <si>
    <t>Копылов Алексей Юрьевич</t>
  </si>
  <si>
    <t>Мусабикова Аэлита Флоридовна</t>
  </si>
  <si>
    <t>Бугмырин Иван Александрович</t>
  </si>
  <si>
    <t>Потехина Маргарита Владимировна</t>
  </si>
  <si>
    <t>Рендаревская Наталья Евгеньевна</t>
  </si>
  <si>
    <t>Игнатьева Елена Владимировна</t>
  </si>
  <si>
    <t>Саранина Елена Владимировна</t>
  </si>
  <si>
    <t>ДТП оформлено без участия ГИБДД</t>
  </si>
  <si>
    <t>Организовали осмотр больше чем через 5 дней</t>
  </si>
  <si>
    <t>Больше двух лет. На дилер не положено</t>
  </si>
  <si>
    <t>ЦЕССИЯ НЕУСТОЙКА</t>
  </si>
  <si>
    <t>Максу. ННР смской в срок, нормальное не в срок 14351</t>
  </si>
  <si>
    <t>ИМУЩЕСТВО</t>
  </si>
  <si>
    <t>Гидроцикл</t>
  </si>
  <si>
    <t>Судом установлен размер выплаты. Квазипреюдиция</t>
  </si>
  <si>
    <t>Квазипреюдиция</t>
  </si>
  <si>
    <t>Пассажир открывал дверь, нанес ущерб проезжавшему ТС</t>
  </si>
  <si>
    <t>ДВЕРЬ, ПАССАЖИР</t>
  </si>
  <si>
    <t>Не потребитель</t>
  </si>
  <si>
    <t>Неустойка за несоблюдение срока выдачи ННР после суда. Добровольное исполнение 400000</t>
  </si>
  <si>
    <t>ВОЗВРАТ. Неправильный расчет периода неустойки</t>
  </si>
  <si>
    <t>Два обращения в одном</t>
  </si>
  <si>
    <t>ПВУ</t>
  </si>
  <si>
    <t>Должен идти по ПВУ, т.к. согласно материалам дела бордюр повреждений не получил</t>
  </si>
  <si>
    <t>ВОЗВРАТ. ПОЧТА БР, НЕТ РАСЧЕТА НЕУСТОЙКИ</t>
  </si>
  <si>
    <t>Нет документов. Ждем 16</t>
  </si>
  <si>
    <t>ВОЗВРАТ. Не рассмотрен период неустойки до суда на сумму суда</t>
  </si>
  <si>
    <t>ПРЕЮДИЦИЯ ФУ</t>
  </si>
  <si>
    <t>620014, Свердловская обл., г. Екатеринбург, ул. Урицкого, д. 7, оф. 60</t>
  </si>
  <si>
    <t>ВОЗВРАТ. НЕУСТОЙКА рассмотреть, экспертиза после 01.06.2019</t>
  </si>
  <si>
    <t>ВОЗВРАТ. Не правильный расчет неустойки</t>
  </si>
  <si>
    <t>Основное БР, в остальных отказ</t>
  </si>
  <si>
    <t>Неустойка на эвакуатор</t>
  </si>
  <si>
    <t>У-20-7358</t>
  </si>
  <si>
    <t>У-20-9818</t>
  </si>
  <si>
    <t>У-20-14887</t>
  </si>
  <si>
    <t>У-20-14909</t>
  </si>
  <si>
    <t>У-20-15515</t>
  </si>
  <si>
    <t>У-20-15862</t>
  </si>
  <si>
    <t>У-20-16542</t>
  </si>
  <si>
    <t>У-20-22838</t>
  </si>
  <si>
    <t>У-20-23012</t>
  </si>
  <si>
    <t>У-20-23088</t>
  </si>
  <si>
    <t>У-20-23172</t>
  </si>
  <si>
    <t>У-20-23224</t>
  </si>
  <si>
    <t>У-20-23308</t>
  </si>
  <si>
    <t>У-20-23255</t>
  </si>
  <si>
    <t>У-20-23442</t>
  </si>
  <si>
    <t>У-20-23458</t>
  </si>
  <si>
    <t>У-20-23490</t>
  </si>
  <si>
    <t>У-20-23511</t>
  </si>
  <si>
    <t>У-20-23533</t>
  </si>
  <si>
    <t>У-20-23560</t>
  </si>
  <si>
    <t>У-20-23773</t>
  </si>
  <si>
    <t>У-20-23928</t>
  </si>
  <si>
    <t>У-20-23965</t>
  </si>
  <si>
    <t>У-20-24021</t>
  </si>
  <si>
    <t>У-20-24069</t>
  </si>
  <si>
    <t>У-20-24090</t>
  </si>
  <si>
    <t>У-20-24216</t>
  </si>
  <si>
    <t>У-20-24235</t>
  </si>
  <si>
    <t>У-20-24258</t>
  </si>
  <si>
    <t>У-20-24282</t>
  </si>
  <si>
    <t>У-20-24350</t>
  </si>
  <si>
    <t>У-20-24465</t>
  </si>
  <si>
    <t>У-20-24526</t>
  </si>
  <si>
    <t>У-20-24563</t>
  </si>
  <si>
    <t>У-20-24628</t>
  </si>
  <si>
    <t>У-20-24635</t>
  </si>
  <si>
    <t>У-20-24709</t>
  </si>
  <si>
    <t>У-20-24746</t>
  </si>
  <si>
    <t>У-20-24867</t>
  </si>
  <si>
    <t>У-20-24869</t>
  </si>
  <si>
    <t>У-20-24911</t>
  </si>
  <si>
    <t>У-20-25162</t>
  </si>
  <si>
    <t>У-20-25176</t>
  </si>
  <si>
    <t>У-20-25312</t>
  </si>
  <si>
    <t>У-20-25408</t>
  </si>
  <si>
    <t>У-20-25483</t>
  </si>
  <si>
    <t>У-20-25493</t>
  </si>
  <si>
    <t>У-20-25497</t>
  </si>
  <si>
    <t>У-20-25577</t>
  </si>
  <si>
    <t>У-20-25686</t>
  </si>
  <si>
    <t>У-20-25720</t>
  </si>
  <si>
    <t>У-20-25984</t>
  </si>
  <si>
    <t>У-20-26196</t>
  </si>
  <si>
    <t>Едиджи Нальбий Шехамович</t>
  </si>
  <si>
    <t>Осокина Вера Александровна</t>
  </si>
  <si>
    <t>Борискин Сергей Борисович</t>
  </si>
  <si>
    <t>Салко Сергей Юрьевич</t>
  </si>
  <si>
    <t>Мстоян Лиана Нугзаровна</t>
  </si>
  <si>
    <t>Волощук Анна Петровна</t>
  </si>
  <si>
    <t>Суслова Галина Сергеевна</t>
  </si>
  <si>
    <t>Асанов Ремзи Асанович</t>
  </si>
  <si>
    <t>Зинченко Евгений Васильевич</t>
  </si>
  <si>
    <t>Вахитова Альбина Маликовна</t>
  </si>
  <si>
    <t>Манукян Овик Каридонович</t>
  </si>
  <si>
    <t>Фролов Виталий Александрович</t>
  </si>
  <si>
    <t>Кусаева Марина Тамерлановна</t>
  </si>
  <si>
    <t>Максименко Валерий Васильевич</t>
  </si>
  <si>
    <t>Галеева Гульназ Мингараевна</t>
  </si>
  <si>
    <t>Кунижева Назик-Хан Магомедовна</t>
  </si>
  <si>
    <t>Касымов Ильдар Рауфович</t>
  </si>
  <si>
    <t>Джаджиев Петр Заликаевич</t>
  </si>
  <si>
    <t>Панин Владислав Николаевич</t>
  </si>
  <si>
    <t>Алексеев Артём Владимирович</t>
  </si>
  <si>
    <t>Алекнович Николай Станиславович</t>
  </si>
  <si>
    <t>Стрекашов Александр Васильевич</t>
  </si>
  <si>
    <t>Бортов Александр Сергеевич</t>
  </si>
  <si>
    <t>Антохи Евгений Петрович</t>
  </si>
  <si>
    <t>Задорожная Марина Владимировна</t>
  </si>
  <si>
    <t>Панченко Олег Михайлович</t>
  </si>
  <si>
    <t>Тимофеева Александра Евгеньевна</t>
  </si>
  <si>
    <t>Тебекин Денис Игоревич</t>
  </si>
  <si>
    <t>САО «Медэкспресс»</t>
  </si>
  <si>
    <t>Александрова Марина Александровна</t>
  </si>
  <si>
    <t>Адигюзелов Ростам Черкесович</t>
  </si>
  <si>
    <t>Харчилава Алхас Тенгизович</t>
  </si>
  <si>
    <t>Мамадалиев Бахтиёр Хамитджанович</t>
  </si>
  <si>
    <t>Бабаян Сейран Бабаевич</t>
  </si>
  <si>
    <t>МИХАИЛ ЛАПИН Дмитриевич</t>
  </si>
  <si>
    <t>Красильников Александр Николаевич</t>
  </si>
  <si>
    <t>Стукалов Станислав Олегович</t>
  </si>
  <si>
    <t>Заболотний Александр Алексеевич</t>
  </si>
  <si>
    <t>Морозова Татьяна Михайловна</t>
  </si>
  <si>
    <t>Нестеренко Юрий Викторович</t>
  </si>
  <si>
    <t>Галанова Татьяна Анатольевна</t>
  </si>
  <si>
    <t>Дубов Александр Евгеньевич</t>
  </si>
  <si>
    <t>Алексеев Павел Александрович</t>
  </si>
  <si>
    <t>Моромов Александр Иванович</t>
  </si>
  <si>
    <t>Маргарян Гегам Мурадович</t>
  </si>
  <si>
    <t>Крыжановская Юлия Александровна</t>
  </si>
  <si>
    <t>Дядченко Максим Александрович</t>
  </si>
  <si>
    <t>Хуснуллин Василий Владимирович</t>
  </si>
  <si>
    <t>Кичигин Евгений Александрович</t>
  </si>
  <si>
    <t>Коробко Дарья Владленовна</t>
  </si>
  <si>
    <t>Мнацаканян Мелине Артуриковна</t>
  </si>
  <si>
    <t>Скрыльников Владимир Васильевич</t>
  </si>
  <si>
    <t>Соломонов Игорь Васильевич</t>
  </si>
  <si>
    <t>НЕУСТОЙКА, ЦЕССИЯ</t>
  </si>
  <si>
    <t>Плата за рассмотрение дела</t>
  </si>
  <si>
    <t>Срок давности</t>
  </si>
  <si>
    <t>ПРЕКРАЩЕНИЕ (ПРОПУЩЕН СРОК)</t>
  </si>
  <si>
    <t>Таким образом, Заявитель узнал о нарушении своего права на получение страховой выплаты</t>
  </si>
  <si>
    <t>При этом, Заявитель обратился с Обращением к Финансовому уполномоченному только</t>
  </si>
  <si>
    <t>, то есть, по истечении трех лет со дня, когда узнал или должен был узнать о нарушении своего права.</t>
  </si>
  <si>
    <t xml:space="preserve">Согласно пункту 1 части 1 статьи 19 Закона № 123-ФЗ Финансовый уполномоченный не рассматривает обращение, если оно не соответствует части 1 статьи 15 Закона № 123-ФЗ.
Пунктом 1 части 1 статьи 27 Закона № 123-ФЗ установлено, что финансовый уполномоченный прекращает рассмотрение обращения в случае выявления в процессе рассмотрения обращения обстоятельств, указанных в части 1 статьи 19 Закона № 123-ФЗ.
Учитывая изложенное, рассмотрение Обращения подлежит прекращению Финансовым уполномоченным.
</t>
  </si>
  <si>
    <t>, последним днем принятия решения о выплате страхового возмещения является</t>
  </si>
  <si>
    <t>Согласно части 1 статьи 15 Закона № 123-ФЗ, Финансовый уполномоченный рассматривает обращения в отношении финансовых организаций, включенных в реестр, указанный в статье 29 Закона № 123-ФЗ (в отношении финансовых услуг, которые указаны в реестре), или перечень, указанный в статье 30 Закона № 123-ФЗ, если размер требований потребителя финансовых услуг о взыскании денежных сумм не превышает 500 тысяч рублей (за исключением обращений, указанных в статье 19 Закона № 123-ФЗ) либо если требования потребителя финансовых услуг вытекают из нарушения страховщиком порядка осуществления страхового возмещения, установленного Законом № 40-ФЗ, и если со дня, когда потребитель финансовых услуг узнал или должен был узнать о нарушении своего права, прошло не более трех лет.
В соответствии с пунктом 21 статьи 12 Закона № 40-ФЗ в течение 20 календарных дней, за исключением нерабочих праздничных дней, а в случае, предусмотренном пунктом 15.3 статьи 12 Закона № 40-ФЗ, 30 календарных дней, за исключением нерабочих праздничных дней, со дня принятия к рассмотрению заявления потерпевшего о страховом возмещении или прямом возмещении убытков и приложенных к нему документов, предусмотренных правилами обязательного страхования, страховщик обязан произвести страховую выплату потерпевшему или после осмотра и (или) независимой технической экспертизы поврежденного транспортного средства выдать потерпевшему направление на ремонт транспортного средства с указанием станции технического обслуживания, на которой будет отремонтировано его транспортное средство и которой страховщик оплатит восстановительный ремонт поврежденного транспортного средства, и срока ремонта либо направить потерпевшему мотивированный отказ в страховом возмещении.
Статьей 191 ГК РФ установлено, что течение срока, определённого периодом времени, начинается на следующий день после календарной даты или наступления события, которыми определено его начало.</t>
  </si>
  <si>
    <t>В части требований Заявителя о взыскании с</t>
  </si>
  <si>
    <t>Финансовым уполномоченным установлено следующее.
Пунктом 2 части 1 статьи 19 Закона № 123-ФЗ установлено, что финансовый уполномоченный не рассматривает обращения, в том числе, если потребитель финансовых услуг предварительно не обратился в финансовую организацию в порядке, установленном статьей 16 Закона № 123-ФЗ.
В соответствии с пунктом 1 статьи 16.1 Закона № 40-ФЗ, с 01.06.2019 при наличии разногласий между потерпевшим, являющимся потребителем финансовых услуг, определенным в соответствии с Законом № 123-ФЗ, и страховщиком относительно исполнения последним своих обязательств по договору обязательного страхования до предъявления к страховщику иска, вытекающего из неисполнения или ненадлежащего исполнения им обязательств по договору обязательного страхования, несогласия указанного потерпевшего с размером осуществленной страховщиком страховой выплаты, несоблюдения станцией технического обслуживания срока передачи указанному потерпевшему отремонтированного транспортного средства, нарушения иных обязательств по проведению восстановительного ремонта транспортного средства указанный потерпевший должен направить страховщику письменное заявление, а страховщик обязан рассмотреть его в порядке, установленном Законом № 123-ФЗ.
Согласно части 1 статьи 16 Закона № 123-ФЗ до направления финансовому уполномоченному обращения потребитель финансовых услуг должен направить в финансовую организацию заявление в письменной или электронной форме.
В соответствии с частью 4 статьи 16 Закона № 123-ФЗ потребитель финансовых услуг вправе направить обращение финансовому уполномоченному после получения ответа финансовой организации либо в случае неполучения ответа финансовой организации по истечении соответствующих сроков рассмотрения финансовой организацией заявления потребителя финансовых услуг, установленных частью 2 статьи 16 Закона № 123-ФЗ. 
Согласно пункту 5 части 1 статьи 17 Закона № 123-ФЗ обращение направляется в письменной или электронной форме и включает в себя сведения о направлении заявления в финансовую организацию, наличии ее ответа.
Таким образом, до направления финансовому уполномоченному обращения потребитель финансовых услуг должен направить в финансовую организацию заявление в письменной или электронной форме в установленном законом порядке. При направлении заявления в финансовую организацию следует учитывать, что финансовым уполномоченным подлежат рассмотрению требования имущественного характера, которые содержались в направленном финансовой организации заявлении.
Из Обращения не следует, что после 01.06.2019 Заявитель в порядке статьи 16 Закона № 123-ФЗ обращался в</t>
  </si>
  <si>
    <r>
      <t xml:space="preserve">(далее </t>
    </r>
    <r>
      <rPr>
        <sz val="11"/>
        <color theme="1"/>
        <rFont val="Calibri"/>
        <family val="2"/>
        <charset val="204"/>
      </rPr>
      <t>–</t>
    </r>
    <r>
      <rPr>
        <sz val="11"/>
        <color theme="1"/>
        <rFont val="Calibri"/>
        <family val="2"/>
        <charset val="204"/>
        <scheme val="minor"/>
      </rPr>
      <t xml:space="preserve"> Экспертное заключение)</t>
    </r>
  </si>
  <si>
    <t>Учитывая выводы Экспертного заключения и при отсутствии иных доказательств, Финансовый уполномоченный считает, что требование Заявителя о взыскании страхового возмещения по Договору ОСАГО удовлетворению не подлежит.</t>
  </si>
  <si>
    <t>В пункте 2 статьи 9 Закона Российской Федерации от 27.11.1992 № 4015-1 «Об организации страхового дела в Российской Федерации» (далее – Закон № 4015-1) определено, что страховым случаем является совершившееся событие, предусмотренное договором страхования или законом, с наступлением которого возникает обязанность страховщика произвести страховую выплату страхователю, застрахованному лицу, выгодоприобретателю или иным третьим лицам.
В соответствии с пунктом 1 статьи 929 Гражданского кодекса Российской Федерации и пунктом 2 статьи 9 Закона № 4015-1 основанием для выплаты страхового возмещения является наступление страхового события в период действия договора страхования.
Имущественное страхование носит компенсационный характер и призвано возмещать убытки, причиненные страхователю в результате страхового случая.
Учитывая выводы Экспертного заключения и при отсутствии иных доказательств, Финансовый уполномоченный приходит к выводу об отсутствии оснований для удовлетворения требования Заявителя о взыскании страхового возмещения в связи с ненаступлением страхового случая по Договору ОСАГО вследствие ДТП от</t>
  </si>
  <si>
    <t>ВОЗВРАТ ШИЛЯЕВ</t>
  </si>
  <si>
    <t>ВОЗВРАТ БОГАТОВА</t>
  </si>
  <si>
    <t>Предмет договора цессии указать как в договоре</t>
  </si>
  <si>
    <t>ФОРМУЛЫ</t>
  </si>
  <si>
    <t>Анализ срока давности</t>
  </si>
  <si>
    <t>ВОЗВРАТ ФИН</t>
  </si>
  <si>
    <t>с заявлением (претензией) о выплате</t>
  </si>
  <si>
    <t>рассмотрению не подлежат.</t>
  </si>
  <si>
    <t>, представленное Заявителем заявление (претензия) данные требования не содержит, таким образом, основания для рассмотрения указанных требований в порядке, предусмотренном Законом № 123-ФЗ, отсутствуют.
Таким образом, требования Заявителя о взыскании</t>
  </si>
  <si>
    <t>страхового возмещения по договору ОСАГО</t>
  </si>
  <si>
    <t>страхового возмещения по договору ОСАГО в части УТС</t>
  </si>
  <si>
    <t>страхового возмещения по договору ОСАГО в части УТС в размере</t>
  </si>
  <si>
    <t>страховое возмещение по договору ОСАГО в размере</t>
  </si>
  <si>
    <t>страховое возмещение по договору ОСАГО в части УТС в размере</t>
  </si>
  <si>
    <t>страховое возмещение по договору КАСКО в размере</t>
  </si>
  <si>
    <t>страховое возмещение по договору КАСКО в части УТС в размере</t>
  </si>
  <si>
    <t>Не соблюден досудебный порядок по УТС</t>
  </si>
  <si>
    <t>Не рассмотрен штраф, перепутаны поличы ОСАГО, юр услуги, телеграммы по нормативке, а не как производные</t>
  </si>
  <si>
    <t>Должен идти по ПВУ</t>
  </si>
  <si>
    <t>Уведомление об осмотре не в 5-дневный срок</t>
  </si>
  <si>
    <t>ФС БР, Неустойка как производная, выплаты не было, анализировать не нужно</t>
  </si>
  <si>
    <t>0411063374</t>
  </si>
  <si>
    <t>Невозможно определить период взысканной неустойки судом. Добровольно выплатили неустойку</t>
  </si>
  <si>
    <t>Юлькино</t>
  </si>
  <si>
    <t>Судом взыскана неустойка на день вынесения решения суда</t>
  </si>
  <si>
    <t>НЕ СТРАХОВОЙ СЛУЧАЙ</t>
  </si>
  <si>
    <t>Компенсационная выплата. Прекращение</t>
  </si>
  <si>
    <t>Потерпевший - водитель. Не 3-е лицо</t>
  </si>
  <si>
    <t>У-20-25747</t>
  </si>
  <si>
    <t>Ломакин Станислав Сергеевич</t>
  </si>
  <si>
    <t>НЕУСТОЙКА,ФУ</t>
  </si>
  <si>
    <t>Ждем доки от ФО. Отказ ННР не в срок</t>
  </si>
  <si>
    <t>У-20-10034</t>
  </si>
  <si>
    <t>У-20-17935</t>
  </si>
  <si>
    <t>У-20-18131</t>
  </si>
  <si>
    <t>У-20-18226</t>
  </si>
  <si>
    <t>У-20-19160</t>
  </si>
  <si>
    <t>У-20-20363</t>
  </si>
  <si>
    <t>У-20-21190</t>
  </si>
  <si>
    <t>У-20-21267</t>
  </si>
  <si>
    <t>У-20-26104</t>
  </si>
  <si>
    <t>У-20-26133</t>
  </si>
  <si>
    <t>У-20-26141</t>
  </si>
  <si>
    <t>У-20-26185</t>
  </si>
  <si>
    <t>У-20-26217</t>
  </si>
  <si>
    <t>У-20-26233</t>
  </si>
  <si>
    <t>У-20-26357</t>
  </si>
  <si>
    <t>У-20-26440</t>
  </si>
  <si>
    <t>У-20-26518</t>
  </si>
  <si>
    <t>У-20-26736</t>
  </si>
  <si>
    <t>У-20-26756</t>
  </si>
  <si>
    <t>У-20-26757</t>
  </si>
  <si>
    <t>У-20-26767</t>
  </si>
  <si>
    <t>У-20-26932</t>
  </si>
  <si>
    <t>У-20-27007</t>
  </si>
  <si>
    <t>У-20-26970</t>
  </si>
  <si>
    <t>У-20-27072</t>
  </si>
  <si>
    <t>У-20-27207</t>
  </si>
  <si>
    <t>У-20-27276</t>
  </si>
  <si>
    <t>У-20-27300</t>
  </si>
  <si>
    <t>У-20-27310</t>
  </si>
  <si>
    <t>У-20-27323</t>
  </si>
  <si>
    <t>У-20-27434</t>
  </si>
  <si>
    <t>У-20-27691</t>
  </si>
  <si>
    <t>У-20-27712</t>
  </si>
  <si>
    <t>У-20-27948</t>
  </si>
  <si>
    <t>У-20-27970</t>
  </si>
  <si>
    <t>У-20-27991</t>
  </si>
  <si>
    <t>У-20-28075</t>
  </si>
  <si>
    <t>У-20-28076</t>
  </si>
  <si>
    <t>У-20-28165</t>
  </si>
  <si>
    <t>У-20-28182</t>
  </si>
  <si>
    <t>У-20-28226</t>
  </si>
  <si>
    <t>У-20-28365</t>
  </si>
  <si>
    <t>У-20-28399</t>
  </si>
  <si>
    <t>У-20-28401</t>
  </si>
  <si>
    <t>У-20-28529</t>
  </si>
  <si>
    <t>У-20-28503</t>
  </si>
  <si>
    <t>У-20-28587</t>
  </si>
  <si>
    <t>У-20-28646</t>
  </si>
  <si>
    <t>У-20-28662</t>
  </si>
  <si>
    <t>У-20-28690</t>
  </si>
  <si>
    <t>У-20-28703</t>
  </si>
  <si>
    <t>У-20-28742</t>
  </si>
  <si>
    <t>У-20-28799</t>
  </si>
  <si>
    <t>У-20-28808</t>
  </si>
  <si>
    <t>У-20-28814</t>
  </si>
  <si>
    <t>У-20-28846</t>
  </si>
  <si>
    <t>У-20-28874</t>
  </si>
  <si>
    <t>У-20-29017</t>
  </si>
  <si>
    <t>У-20-29019</t>
  </si>
  <si>
    <t>У-20-29073</t>
  </si>
  <si>
    <t>У-20-29121</t>
  </si>
  <si>
    <t>У-20-29149</t>
  </si>
  <si>
    <t>У-20-29315</t>
  </si>
  <si>
    <t>У-20-29390</t>
  </si>
  <si>
    <t>У-20-29487</t>
  </si>
  <si>
    <t>У-20-29586</t>
  </si>
  <si>
    <t>У-20-29721</t>
  </si>
  <si>
    <t>У-20-29727</t>
  </si>
  <si>
    <t>У-20-29951</t>
  </si>
  <si>
    <t>У-20-30049</t>
  </si>
  <si>
    <t>У-20-30217</t>
  </si>
  <si>
    <t>У-20-30289</t>
  </si>
  <si>
    <t>У-20-30313</t>
  </si>
  <si>
    <t>У-20-30387</t>
  </si>
  <si>
    <t>У-20-30413</t>
  </si>
  <si>
    <t>У-20-30955</t>
  </si>
  <si>
    <t>Саакян Мисак Гамлетович</t>
  </si>
  <si>
    <t>Бондаренко Денис Олегович</t>
  </si>
  <si>
    <t>Ляшенко Юлия Евгеньевна</t>
  </si>
  <si>
    <t>Ивашкова Зоя Николаевна</t>
  </si>
  <si>
    <t>Островская Марина Владимировна</t>
  </si>
  <si>
    <t>Лушникова Юлия Николаевна</t>
  </si>
  <si>
    <t>Тарасов Константин Дмитриевич</t>
  </si>
  <si>
    <t>Писаренко Антон Сергеевич</t>
  </si>
  <si>
    <t>Карибов Замир Гамидулахович</t>
  </si>
  <si>
    <t>Пельтихин Юрий Николаевич</t>
  </si>
  <si>
    <t>Митин Андрей Александрович</t>
  </si>
  <si>
    <t>Шевердина Татьяна Валентиновна</t>
  </si>
  <si>
    <t>Эркинбек Уулу Болот</t>
  </si>
  <si>
    <t>Филимонова Алла Николаевна</t>
  </si>
  <si>
    <t>Алимирзаев Рамазан Омаргаджиевич</t>
  </si>
  <si>
    <t>Литвиненко Мария Филипповна</t>
  </si>
  <si>
    <t>Дадаян Санвел Робертович</t>
  </si>
  <si>
    <t>Литвинов Андрей Владимирович</t>
  </si>
  <si>
    <t>Гуданович Александр Николаевич</t>
  </si>
  <si>
    <t>Саарян Армен Ендрикович</t>
  </si>
  <si>
    <t>Зеленюк Ирина Михайловна</t>
  </si>
  <si>
    <t>Вишняков Александр Вениаминович</t>
  </si>
  <si>
    <t>Таранов Максим Александрович</t>
  </si>
  <si>
    <t>Карабанов Владимир Александрович</t>
  </si>
  <si>
    <t>Золотарева Альбина Игоревна</t>
  </si>
  <si>
    <t>Роде Ольга Сергеевна</t>
  </si>
  <si>
    <t>Полунин Евгений Сергеевич</t>
  </si>
  <si>
    <t>Аристов Алексей Юрьевич</t>
  </si>
  <si>
    <t>Сильвестров Александр Александрович</t>
  </si>
  <si>
    <t>Черных Елена Юрьевна</t>
  </si>
  <si>
    <t>Сластихин Сергей Александрович</t>
  </si>
  <si>
    <t>Гайгер Валентин Яковлевич</t>
  </si>
  <si>
    <t>АКБАЕВ АРТУР Шакманович</t>
  </si>
  <si>
    <t>Беликов Павел Владимирович</t>
  </si>
  <si>
    <t>Скачко Светлана Юрьевна</t>
  </si>
  <si>
    <t>Назаров Сабухи Гюльага Оглы</t>
  </si>
  <si>
    <t>Ларкова Александра Евгеньевна</t>
  </si>
  <si>
    <t>Михалев Алексей Анатольевич</t>
  </si>
  <si>
    <t>Рыбаков Григорий Геннадьевич</t>
  </si>
  <si>
    <t>Назаров Александр Владимирович</t>
  </si>
  <si>
    <t>Сельвян Руслан Юрьевич</t>
  </si>
  <si>
    <t>Насретдинов Ильгиз Хаерьянович</t>
  </si>
  <si>
    <t>Заяц Дмитрий Евгеньевич</t>
  </si>
  <si>
    <t>Чигин Дмитрий Юрьевич</t>
  </si>
  <si>
    <t>Хориков Николай Юрьевич</t>
  </si>
  <si>
    <t>Козлов Владимир Алексеевич</t>
  </si>
  <si>
    <t>Шишкин Алексей Иванович</t>
  </si>
  <si>
    <t>Петров Александр Сергеевич</t>
  </si>
  <si>
    <t>Зубайдуллин Рустам Ринатович</t>
  </si>
  <si>
    <t>Фёдорова Виктория Юрьевна</t>
  </si>
  <si>
    <t>Федоренко Любовь Анатольевна</t>
  </si>
  <si>
    <t>Генер Роман Иванович</t>
  </si>
  <si>
    <t>Кочергина Ольга Евгеньевна</t>
  </si>
  <si>
    <t>Теблоев Артур Олегович</t>
  </si>
  <si>
    <t>Вавренюк Галина Юльевна</t>
  </si>
  <si>
    <t>Горохов Михаил Гаврилович</t>
  </si>
  <si>
    <t>Засеев Гиви Заурбекович</t>
  </si>
  <si>
    <t>Порымов Константин Иванович</t>
  </si>
  <si>
    <t>Хорошавина Надежда Анатольевна</t>
  </si>
  <si>
    <t>Агамалян Сашик Грайрович</t>
  </si>
  <si>
    <t>Жохов Андрей Юрьевич</t>
  </si>
  <si>
    <t>Когут Анастасия Владимировна</t>
  </si>
  <si>
    <t>Нураева Айгуль Халифовна</t>
  </si>
  <si>
    <t>БОРОДИН НИКОЛАЙ Сергеевич</t>
  </si>
  <si>
    <t>Лычева Ирина Юрьевна</t>
  </si>
  <si>
    <t>Абросимов Андрей Викторович</t>
  </si>
  <si>
    <t>Санелин Владимир Андреевич</t>
  </si>
  <si>
    <t>Киселева Наталья Семеновна</t>
  </si>
  <si>
    <t>Леонтьева Елена Александровна</t>
  </si>
  <si>
    <t>Гаджиев Рашид Ровшан оглы</t>
  </si>
  <si>
    <t>Компанец Василий Николаевич</t>
  </si>
  <si>
    <t>Жуков Георгий Валентинович</t>
  </si>
  <si>
    <t>Титова Олеся Александровна</t>
  </si>
  <si>
    <t>Виктор Панитков Викторович</t>
  </si>
  <si>
    <t>Сафиуллин Мухаммад Рашидович</t>
  </si>
  <si>
    <t>Потапенко Сергей Викторович</t>
  </si>
  <si>
    <t>Отложенная неустойки по суду. Хочет неустойку за несвоевременное исполнение решения суда</t>
  </si>
  <si>
    <t>обязательства по выплате страхового возмещения, указанного в пункте 1 резолютивной части настоящего решения, исходя из ставки 1% (один процент) за каждый день просрочки, начисляя на сумму, указанную в пункте 1 резолютивной части настоящего решения, но</t>
  </si>
  <si>
    <t xml:space="preserve"> не более 400 000 (четырехсот тысяч) рублей 00 копеек.</t>
  </si>
  <si>
    <t>ХЗ почему не по ПВУ</t>
  </si>
  <si>
    <t>, совокупно с суммой неустойки,</t>
  </si>
  <si>
    <t>, а также</t>
  </si>
  <si>
    <t>добровольно выплаченной</t>
  </si>
  <si>
    <t>взысканной Финансовым уполномоченным в размере</t>
  </si>
  <si>
    <t>, исходя из ставки 1% за каждый день просрочки, но</t>
  </si>
  <si>
    <t xml:space="preserve"> не более 400 000 рублей 00 копеек.
Вместе с тем, в силу статьи 24 Закона № 123-ФЗ исполнение финансовой организацией вступившего в силу решения финансового уполномоченного признается надлежащим исполнением финансовой организацией обязанностей по соответствующему договору с потребителем финансовых услуг об оказании ему или в его пользу финансовой услуги.
Согласно части 5 статьи 16.1 Закона № 40-ФЗ страховщик освобождается от обязанности уплаты неустойки (пени), суммы финансовой санкции и (или) штрафа, если обязательства страховщика были исполнены в порядке и в сроки, которые установлены Законом № 40-ФЗ, Законом № 123-ФЗ, а также если страховщик докажет, что нарушение сроков произошло вследствие непреодолимой силы или по вине потерпевшего.
Таким образом, неустойка, начисляемая на сумму</t>
  </si>
  <si>
    <t>В ответ на Запрос Финансового уполномоченного</t>
  </si>
  <si>
    <t>не предоставило сведения и документы по страховому событию.
Ввиду отсутствия вышеуказанных сведений и документов рассмотрение Обращения Заявителя не представляется возможным.
Таким образом, основания для рассмотрения Обращения в порядке, предусмотренном Законом № 123-ФЗ, отсутствуют.
Учитывая изложенное, рассмотрение Обращения подлежит прекращению Финансовым уполномоченным.</t>
  </si>
  <si>
    <t>Документы ГИБДД</t>
  </si>
  <si>
    <t>Акт осмотра, фото</t>
  </si>
  <si>
    <t>Платежные документы</t>
  </si>
  <si>
    <t>Заявление о страховой выплате</t>
  </si>
  <si>
    <t>СРТС, ПТС, ДКП</t>
  </si>
  <si>
    <t>Срок исчисляется с момента предоставления реквизитов</t>
  </si>
  <si>
    <t>ДТП было оформлено в соответствии с пунктом 1 статьи 11.1 Закона № 40-ФЗ без участия уполномоченных на то сотрудников полиции.</t>
  </si>
  <si>
    <t>У-20-27009</t>
  </si>
  <si>
    <t>Тихомиров Георгий Владимирович</t>
  </si>
  <si>
    <t>У-20-26545</t>
  </si>
  <si>
    <t>Исмагилова Зиля Хатмуллиновна</t>
  </si>
  <si>
    <t>об удовлетворении исковых требований Заявителя, в соответствии с которым</t>
  </si>
  <si>
    <t>ВОЗВРАТ. Неверно определена сумма страхового возмщения, взысканная судом. Включили в нее расходы на экспертизу</t>
  </si>
  <si>
    <t>У-20-27724</t>
  </si>
  <si>
    <t>Григорьев Юрий Васильевич</t>
  </si>
  <si>
    <t>УЩЕРБ, НЕ ТОТАЛ</t>
  </si>
  <si>
    <t>Выпрлатили по ТОТАЛУ, но нет</t>
  </si>
  <si>
    <t>ЗЛОУПОТРЕБЛЕНИЕ</t>
  </si>
  <si>
    <t>Ходатайство о возобновлении</t>
  </si>
  <si>
    <t>Страховая сумма</t>
  </si>
  <si>
    <t>Срок вступления в силу</t>
  </si>
  <si>
    <t>Рассмотрев требование Заявителя о взыскании с</t>
  </si>
  <si>
    <t>Если документы о дорожно-транспортном происшествии оформлены без участия уполномоченных сотрудников полиции, то размер финансовой санкции за несоблюдение срока направления потерпевшему мотивированного отказа в страховой выплате определяется в размере 0,05 процента за каждый день просрочки от предельной суммы, установленной пунктами 4 и 5 статьи 111 Закона об ОСАГО.
Согласно пункту 4 статьи 11.1 Закона № 40-ФЗ (в редакции, действующей на момент заключения Договора ОСАГО) в случае оформления документов о дорожно-транспортном происшествии без участия уполномоченных на то сотрудников полиции размер страхового возмещения, причитающегося потерпевшему в счет возмещения вреда, причиненного его транспортному средству, не может превышать</t>
  </si>
  <si>
    <r>
      <t xml:space="preserve">Финансовая санкция исчисляется со дня, следующего за днем, установленным для принятия решения о выплате страхового возмещения, т.е. с 21-го дня после получения страховщиком заявления потерпевшего о страховой выплате и документов, предусмотренных Правилами ОСАГО, и до дня направления мотивированного отказа потерпевшему, а при его не направлении </t>
    </r>
    <r>
      <rPr>
        <sz val="11"/>
        <color theme="1"/>
        <rFont val="Calibri"/>
        <family val="2"/>
        <charset val="204"/>
      </rPr>
      <t>–</t>
    </r>
    <r>
      <rPr>
        <sz val="11"/>
        <color theme="1"/>
        <rFont val="Calibri"/>
        <family val="2"/>
        <charset val="204"/>
        <scheme val="minor"/>
      </rPr>
      <t xml:space="preserve"> до дня присуждения ее судом.
Если после начала начисления финансовой санкции страховщиком полностью или частично осуществлено страховое возмещение в пользу потерпевшего, финансовая санкция подлежит начислению до момента осуществления такого возмещения.</t>
    </r>
  </si>
  <si>
    <t>Поскольку Заявитель обратился в</t>
  </si>
  <si>
    <t>с Заявлением о выплате страхового возмещения</t>
  </si>
  <si>
    <t>(включительно), а финансовая санкция подлежит начислению с</t>
  </si>
  <si>
    <t>Таким образом, финансовая санкция подлежит расчету за период с</t>
  </si>
  <si>
    <t>дней) от суммы</t>
  </si>
  <si>
    <t>Хранение</t>
  </si>
  <si>
    <t>Анализ страховой суммы</t>
  </si>
  <si>
    <t>Требования в первоначальном Заявлении</t>
  </si>
  <si>
    <t>расходов на оплату услуг по эвакуации транспортного средства</t>
  </si>
  <si>
    <t>расходов на оплату услуг по эвакуации транспортного средства в размере</t>
  </si>
  <si>
    <t>расходы на оплату услуг по эвакуации транспортного средства в размере</t>
  </si>
  <si>
    <t>Отложенная неустойка на эвакуатор</t>
  </si>
  <si>
    <t>ТОТАЛ. Вычли стоимость предстраховых повреждений и неоплаченную часть страховой премии из страховой суммы. Годные передал</t>
  </si>
  <si>
    <t>Траса с выплатой</t>
  </si>
  <si>
    <t>Даты</t>
  </si>
  <si>
    <t>КБМ, ВОЗВРАТ ПРЕМИИ</t>
  </si>
  <si>
    <t>Цессия</t>
  </si>
  <si>
    <t>СРОК ДАВНОСТИ</t>
  </si>
  <si>
    <t>Выходные</t>
  </si>
  <si>
    <t>Заявление также содержало требования о выплате</t>
  </si>
  <si>
    <t>расходов на оплату услуг по хранению транспортного средства</t>
  </si>
  <si>
    <t>расходов на оплату услуг по хранению транспортного средства в размере</t>
  </si>
  <si>
    <t>расходы на оплату услуг по хранению транспортного средства в размере</t>
  </si>
  <si>
    <t>Стоимость НТЭ (01.07.2018 - 31.12.2018)</t>
  </si>
  <si>
    <t>Европротокол, отложная с учетом неустойки и ФС</t>
  </si>
  <si>
    <t>У-20-14146</t>
  </si>
  <si>
    <t>У-20-15346</t>
  </si>
  <si>
    <t>У-20-18660</t>
  </si>
  <si>
    <t>У-20-20182</t>
  </si>
  <si>
    <t>У-20-21680</t>
  </si>
  <si>
    <t>У-20-21746</t>
  </si>
  <si>
    <t>У-20-21923</t>
  </si>
  <si>
    <t>У-20-22168</t>
  </si>
  <si>
    <t>У-20-22321</t>
  </si>
  <si>
    <t>У-20-22684</t>
  </si>
  <si>
    <t>У-20-22894</t>
  </si>
  <si>
    <t>У-20-22982</t>
  </si>
  <si>
    <t>У-20-23444</t>
  </si>
  <si>
    <t>У-20-23643</t>
  </si>
  <si>
    <t>У-20-23780</t>
  </si>
  <si>
    <t>У-20-23946</t>
  </si>
  <si>
    <t>У-20-24006</t>
  </si>
  <si>
    <t>У-20-24120</t>
  </si>
  <si>
    <t>У-20-24259</t>
  </si>
  <si>
    <t>У-20-24410</t>
  </si>
  <si>
    <t>У-20-24849</t>
  </si>
  <si>
    <t>У-20-24850</t>
  </si>
  <si>
    <t>У-20-25400</t>
  </si>
  <si>
    <t>У-20-25404</t>
  </si>
  <si>
    <t>У-20-25467</t>
  </si>
  <si>
    <t>У-20-25621</t>
  </si>
  <si>
    <t>У-20-25684</t>
  </si>
  <si>
    <t>У-20-25846</t>
  </si>
  <si>
    <t>У-20-30598</t>
  </si>
  <si>
    <t>У-20-30647</t>
  </si>
  <si>
    <t>У-20-30659</t>
  </si>
  <si>
    <t>У-20-30767</t>
  </si>
  <si>
    <t>У-20-30815</t>
  </si>
  <si>
    <t>У-20-30825</t>
  </si>
  <si>
    <t>У-20-30928</t>
  </si>
  <si>
    <t>У-20-30951</t>
  </si>
  <si>
    <t>У-20-30979</t>
  </si>
  <si>
    <t>У-20-30984</t>
  </si>
  <si>
    <t>У-20-30991</t>
  </si>
  <si>
    <t>У-20-30994</t>
  </si>
  <si>
    <t>У-20-31016</t>
  </si>
  <si>
    <t>У-20-31140</t>
  </si>
  <si>
    <t>У-20-31215</t>
  </si>
  <si>
    <t>У-20-31252</t>
  </si>
  <si>
    <t>У-20-31379</t>
  </si>
  <si>
    <t>У-20-31445</t>
  </si>
  <si>
    <t>У-20-31455</t>
  </si>
  <si>
    <t>У-20-31544</t>
  </si>
  <si>
    <t>У-20-31571</t>
  </si>
  <si>
    <t>У-20-31856</t>
  </si>
  <si>
    <t>У-20-31967</t>
  </si>
  <si>
    <t>У-20-32000</t>
  </si>
  <si>
    <t>У-20-32016</t>
  </si>
  <si>
    <t>У-20-32068</t>
  </si>
  <si>
    <t>У-20-32147</t>
  </si>
  <si>
    <t>У-20-32330</t>
  </si>
  <si>
    <t>У-20-32338</t>
  </si>
  <si>
    <t>У-20-32456</t>
  </si>
  <si>
    <t>У-20-32474</t>
  </si>
  <si>
    <t>У-20-32583</t>
  </si>
  <si>
    <t>У-20-32591</t>
  </si>
  <si>
    <t>У-20-32667</t>
  </si>
  <si>
    <t>У-20-32669</t>
  </si>
  <si>
    <t>У-20-32725</t>
  </si>
  <si>
    <t>У-20-32819</t>
  </si>
  <si>
    <t>У-20-32838</t>
  </si>
  <si>
    <t>У-20-32915</t>
  </si>
  <si>
    <t>У-20-32917</t>
  </si>
  <si>
    <t>У-20-32922</t>
  </si>
  <si>
    <t>У-20-33030</t>
  </si>
  <si>
    <t>У-20-33039</t>
  </si>
  <si>
    <t>У-20-33097</t>
  </si>
  <si>
    <t>У-20-33148</t>
  </si>
  <si>
    <t>У-20-33156</t>
  </si>
  <si>
    <t>У-20-33208</t>
  </si>
  <si>
    <t>У-20-33217</t>
  </si>
  <si>
    <t>У-20-33242</t>
  </si>
  <si>
    <t>У-20-33385</t>
  </si>
  <si>
    <t>У-20-33392</t>
  </si>
  <si>
    <t>У-20-33449</t>
  </si>
  <si>
    <t>У-20-33479</t>
  </si>
  <si>
    <t>У-20-33637</t>
  </si>
  <si>
    <t>У-20-33592</t>
  </si>
  <si>
    <t>У-20-33770</t>
  </si>
  <si>
    <t>У-20-33800</t>
  </si>
  <si>
    <t>У-20-33846</t>
  </si>
  <si>
    <t>У-20-33856</t>
  </si>
  <si>
    <t>У-20-33910</t>
  </si>
  <si>
    <t>У-20-33937</t>
  </si>
  <si>
    <t>У-20-34075</t>
  </si>
  <si>
    <t>У-20-34147</t>
  </si>
  <si>
    <t>У-20-34161</t>
  </si>
  <si>
    <t>У-20-34291</t>
  </si>
  <si>
    <t>У-20-34346</t>
  </si>
  <si>
    <t>У-20-34351</t>
  </si>
  <si>
    <t>У-20-34438</t>
  </si>
  <si>
    <t>У-20-34416</t>
  </si>
  <si>
    <t>У-20-34547</t>
  </si>
  <si>
    <t>У-20-34639</t>
  </si>
  <si>
    <t>У-20-34702</t>
  </si>
  <si>
    <t>У-20-34761</t>
  </si>
  <si>
    <t>У-20-34763</t>
  </si>
  <si>
    <t>У-20-34809</t>
  </si>
  <si>
    <t>У-20-34891</t>
  </si>
  <si>
    <t>У-20-34996</t>
  </si>
  <si>
    <t>У-20-35013</t>
  </si>
  <si>
    <t>У-20-35080</t>
  </si>
  <si>
    <t>У-20-35197</t>
  </si>
  <si>
    <t>У-20-35256</t>
  </si>
  <si>
    <t>У-20-35426</t>
  </si>
  <si>
    <t>У-20-35805</t>
  </si>
  <si>
    <t>У-20-35950</t>
  </si>
  <si>
    <t>Ханафиева Резеда Талгатовна</t>
  </si>
  <si>
    <t>Лариновская Светлана Александровна</t>
  </si>
  <si>
    <t>Дерендяев Александр Усманович</t>
  </si>
  <si>
    <t>Аман Артем Владимирович</t>
  </si>
  <si>
    <t>Щербаков Иван Александрович</t>
  </si>
  <si>
    <t>Евтушенко Евгений Владимирович</t>
  </si>
  <si>
    <t>Ткачева Ольга Сергеевна</t>
  </si>
  <si>
    <t>Степыгин Сергей Иванович</t>
  </si>
  <si>
    <t>Годженов Мемет Юнусович</t>
  </si>
  <si>
    <t>Филатова Людмила Николаевна</t>
  </si>
  <si>
    <t>Ляшков Андрей Валерьевич</t>
  </si>
  <si>
    <t>Дробинин Роман Игоревич</t>
  </si>
  <si>
    <t>Байков Александр Николаевич</t>
  </si>
  <si>
    <t>Молотков Виталий Александрович</t>
  </si>
  <si>
    <t>Мингазов Рамис Раисович</t>
  </si>
  <si>
    <t>Рыбаков Евгений Александрович</t>
  </si>
  <si>
    <t>Богатырев Батыр Исаевич</t>
  </si>
  <si>
    <t>Волкова Екатерина Михайловна</t>
  </si>
  <si>
    <t>Календжан Гасмик Ефремовна</t>
  </si>
  <si>
    <t>Туманчин Дмитрий Витальевич</t>
  </si>
  <si>
    <t>Маркушин Юрий Владимирович</t>
  </si>
  <si>
    <t>Рычков Николай Сергеевич</t>
  </si>
  <si>
    <t>Еникеев Леонид Равильевич</t>
  </si>
  <si>
    <t>Булатов Александр Сергеевич</t>
  </si>
  <si>
    <t>Звонова Анна Вениаминовна</t>
  </si>
  <si>
    <t>Афанасьев Илья Павлович</t>
  </si>
  <si>
    <t>Мартиросьян Артём Алексеевич</t>
  </si>
  <si>
    <t>Севрюгин Владимир Викторович</t>
  </si>
  <si>
    <t>Сорокин Владимир Владимирович</t>
  </si>
  <si>
    <t>Новиков Евгений Александрович</t>
  </si>
  <si>
    <t>Олексенко Алексей Григорьевич</t>
  </si>
  <si>
    <t>Голубцов Артём Владимирович</t>
  </si>
  <si>
    <t>Кривошеев Олег Валентинович</t>
  </si>
  <si>
    <t>Якименко Дмитрий Васильевич</t>
  </si>
  <si>
    <t>Моторин Сергей Александрович</t>
  </si>
  <si>
    <t>Никулина Мария Валерьевна</t>
  </si>
  <si>
    <t>Сковородин Валерий Васильевич</t>
  </si>
  <si>
    <t>Липкин Сергей Сергеевич</t>
  </si>
  <si>
    <t>Дурнев Леонид Михайлович</t>
  </si>
  <si>
    <t>Иванов Максим Сергеевич</t>
  </si>
  <si>
    <t>Кузин Никита Александрович</t>
  </si>
  <si>
    <t>Евстафьев Михаил Викторович</t>
  </si>
  <si>
    <t>Яковлев Владислав Сергеевич</t>
  </si>
  <si>
    <t>Пахомов Антон Александрович</t>
  </si>
  <si>
    <t>Филиппов Алексей Олегович</t>
  </si>
  <si>
    <t>Маковеев Александр Геннадьевич</t>
  </si>
  <si>
    <t>Голубева Оксана Гаджиевна</t>
  </si>
  <si>
    <t>Лалиева Залина Сергеевна</t>
  </si>
  <si>
    <t>Романов Эдуард Викторович</t>
  </si>
  <si>
    <t>Андреякин Игорь Константинович</t>
  </si>
  <si>
    <t>Ахметзянов Заньфир Шарифзянович</t>
  </si>
  <si>
    <t>Мешалкин Александр Александрович</t>
  </si>
  <si>
    <t>Московцева Елена Юрьевна</t>
  </si>
  <si>
    <t>Костылев Александр Андреевич</t>
  </si>
  <si>
    <t>Нихти Иван Андреевич</t>
  </si>
  <si>
    <t>Сухих Роман Юрьевич</t>
  </si>
  <si>
    <t>Асатрян Ашот Карапетович</t>
  </si>
  <si>
    <t>Насыпов Евгений Вячеславович</t>
  </si>
  <si>
    <t>Одинцов Никита Витальевич</t>
  </si>
  <si>
    <t>Мархиев Азамат Ахметович</t>
  </si>
  <si>
    <t>Мещерякова Екатерина Витальевна</t>
  </si>
  <si>
    <t>Радченко Александр Иванович</t>
  </si>
  <si>
    <t>Куренков Виктор Васильевич</t>
  </si>
  <si>
    <t>Небыш Людмила Антоновна</t>
  </si>
  <si>
    <t>Созинов Игорь Анатольевич</t>
  </si>
  <si>
    <t>Бурганова Нина Александровна</t>
  </si>
  <si>
    <t>Ендонов Владислав Андреевич</t>
  </si>
  <si>
    <t>Вайс Нина Алексеевна</t>
  </si>
  <si>
    <t>Муратов Виктор Васильевич</t>
  </si>
  <si>
    <t>АТАЕВ МАГОМЕД МУГАЖИРОВИЧ</t>
  </si>
  <si>
    <t>Подольский Владимир Владимирович</t>
  </si>
  <si>
    <t>Волков Роман Валерьевич</t>
  </si>
  <si>
    <t>Тагиев Эльнур Магеррам Оглы</t>
  </si>
  <si>
    <t>Эккерман Дмитрий Александрович</t>
  </si>
  <si>
    <t>Бурцев Андрей Николаевич</t>
  </si>
  <si>
    <t>Желтобрюх Владислав Витальевич</t>
  </si>
  <si>
    <t>Манеев Альберт Равильевич</t>
  </si>
  <si>
    <t>Милякин Дмитрий Олегович</t>
  </si>
  <si>
    <t>Амирханова Сания Закиевна</t>
  </si>
  <si>
    <t>Семыкин Юрий Владимирович</t>
  </si>
  <si>
    <t>Моргачев Дмитрий Вениаминович</t>
  </si>
  <si>
    <t>Амирянц Раиса Гургеновна</t>
  </si>
  <si>
    <t>Курков Александр Николаевич</t>
  </si>
  <si>
    <t>Магомедов Магомед Амирханович</t>
  </si>
  <si>
    <t>Белоусова Екатерина Сергеевна</t>
  </si>
  <si>
    <t>Шевченко Олег Даниилович</t>
  </si>
  <si>
    <t>Куделькин Олег Викторович</t>
  </si>
  <si>
    <t>Чернов Владимир Алексеевич</t>
  </si>
  <si>
    <t>Высоцкий Станислав Игоревич</t>
  </si>
  <si>
    <t>Булатова Алсыу Шакировна</t>
  </si>
  <si>
    <t>Муллаянова Раузиля Рифгатовна</t>
  </si>
  <si>
    <t>Машков Вячеслав Александрович</t>
  </si>
  <si>
    <t>Скачкова Галина Алексеевна</t>
  </si>
  <si>
    <t>Абрамов Алексей Александрович</t>
  </si>
  <si>
    <t>Гусейнова Елена Валентиновна</t>
  </si>
  <si>
    <t>Дубро Антон Константинович</t>
  </si>
  <si>
    <t>Таран Иван Викторович</t>
  </si>
  <si>
    <t>Шафигуллина Юлия Валентиновна</t>
  </si>
  <si>
    <t>Подолин Сергей Александрович</t>
  </si>
  <si>
    <t>Федорова Татьяна Михайловна</t>
  </si>
  <si>
    <t>Сычев Кирилл Максимович</t>
  </si>
  <si>
    <t>Шульженко Владимир Владимирович</t>
  </si>
  <si>
    <t>Кузьмин Семен Михайлович</t>
  </si>
  <si>
    <t>Зубаирова Рида Габдрафиковна</t>
  </si>
  <si>
    <t>Абунагимов Фанис Мазгарович</t>
  </si>
  <si>
    <t>Папян Вардан Сейранович</t>
  </si>
  <si>
    <t>Петров Сергей Валерьевич</t>
  </si>
  <si>
    <t>Чмеленко Михаил Александрович</t>
  </si>
  <si>
    <t>МУСИНА РЕНАТА Рустамовна</t>
  </si>
  <si>
    <t>Черкезов Борис Михайлович</t>
  </si>
  <si>
    <t>Голубкова Екатерина Сергеевна</t>
  </si>
  <si>
    <t>Виновник не вписан или вписан (не понятно), взыскиваем</t>
  </si>
  <si>
    <t>Кроме того, Заявитель предоставил экспертное заключение</t>
  </si>
  <si>
    <t>C:\Users\Lenovo\Documents\Nextcloud\РАБОЧИЕ ФАЙЛЫ</t>
  </si>
  <si>
    <t>Адреса</t>
  </si>
  <si>
    <t>Пользователи</t>
  </si>
  <si>
    <t>Александра</t>
  </si>
  <si>
    <t>Максим</t>
  </si>
  <si>
    <t>Татьяна</t>
  </si>
  <si>
    <t>Эдуард</t>
  </si>
  <si>
    <t>Дом</t>
  </si>
  <si>
    <t>Работа</t>
  </si>
  <si>
    <t>Юлия</t>
  </si>
  <si>
    <t>, в соответствии с которым</t>
  </si>
  <si>
    <t>страхового возмещения по договору ОСАГО в размере</t>
  </si>
  <si>
    <t>Дата выдачи</t>
  </si>
  <si>
    <t>Доказательства выдачи Заявителю Направления на СТОА Финансовому уполномоченному не предоставлены</t>
  </si>
  <si>
    <r>
      <t xml:space="preserve">(далее </t>
    </r>
    <r>
      <rPr>
        <sz val="11"/>
        <color theme="1"/>
        <rFont val="Calibri"/>
        <family val="2"/>
        <charset val="204"/>
      </rPr>
      <t>–</t>
    </r>
    <r>
      <rPr>
        <sz val="11"/>
        <color theme="1"/>
        <rFont val="Calibri"/>
        <family val="2"/>
        <charset val="204"/>
        <scheme val="minor"/>
      </rPr>
      <t xml:space="preserve"> Направление) на станцию технического обслуживания автомобилей</t>
    </r>
  </si>
  <si>
    <t>Получение Направления на СТОА Заявителем не оспаривается</t>
  </si>
  <si>
    <t>Проверка</t>
  </si>
  <si>
    <t>Причина отказа</t>
  </si>
  <si>
    <t>Отсутствующие документы</t>
  </si>
  <si>
    <t>Формулировка в решении</t>
  </si>
  <si>
    <t>Следствие отсутствия документов</t>
  </si>
  <si>
    <t>акт осмотра Транспортного средство Заявителя с приложением фотоматериалов</t>
  </si>
  <si>
    <t>установить факт наступления страхового случая</t>
  </si>
  <si>
    <t>подтвердить право Заявителя на выплату страхового возмещения вреда</t>
  </si>
  <si>
    <t>документы, подтверждающие право собственности Заявителя на Транспортное средство</t>
  </si>
  <si>
    <t>определить обоснованный размер подлежащего выплате страхового возмещения в рамках проведения независимой технической экспертизы по инициативе Финансового уполномоченного</t>
  </si>
  <si>
    <t>осуществить расчет неустойки в связи с нарушением срока выплаты страхового возмещения по Договору ОСАГО</t>
  </si>
  <si>
    <t>, в связи с чем, не представляется возможным</t>
  </si>
  <si>
    <t>Заявителем не предоставлены</t>
  </si>
  <si>
    <t>расходов по оплате услуг независимой экспертизы в размере</t>
  </si>
  <si>
    <t>), при наличии разногласий между потерпевшим и страховщиком относительно исполнения последним своих обязательств по договору обязательного страхования до предъявления к страховщику иска, вытекающего из неисполнения или ненадлежащего исполнения им обязательств по договору обязательного страхования, несогласия потерпевшего с размером осуществленной страховщиком страховой выплаты, несоблюдения станцией технического обслуживания срока передачи потерпевшему отремонтированного транспортного средства, нарушения иных обязательств по проведению восстановительного ремонта транспортного средства потерпевший направляет страховщику претензию с документами, приложенными к ней и обосновывающими требование потерпевшего.
В соответствии с абзацем 3 пункта 3.12 Правил ОСАГО стоимость независимой технической экспертизы, независимой экспертизы (оценки), на основании которой осуществлено страховое возмещение, включается в состав убытков, подлежащих возмещению страховщиком по договору обязательного страхования.
Выплата страхового возмещения была осуществлена</t>
  </si>
  <si>
    <t>на основании экспертного заключения</t>
  </si>
  <si>
    <t>Приложенное Заявителем к претензии экспертное заключение</t>
  </si>
  <si>
    <t>не было использовано</t>
  </si>
  <si>
    <t>при осуществлении выплаты страхового возмещения. Кроме того, рассчитанная в экспертном заключении</t>
  </si>
  <si>
    <t>сумма причиненного Заявителю ущерба не была подтверждена результатами экспертизы, проведенной по инициативе Финансового уполномоченного.
Учитывая вышеизложенное, требование Заявителя о взыскании с</t>
  </si>
  <si>
    <t>, Финансовый уполномоченный приходит к следующему.
В соответствии с пунктом 1 статьи 12.1 Закона № 40-ФЗ в целях установления обстоятельств причинения вреда транспортному средству, установления повреждений транспортного средства и их причин, технологии, методов и стоимости его восстановительного ремонта проводится независимая техническая экспертиза. 
Согласно пункту 1 статьи 16.1 Закона № 40-ФЗ в редакции, действовавшей на дату проведения независимой экспертизы по инициативе Заявителя (</t>
  </si>
  <si>
    <t>НТЭ обоснование</t>
  </si>
  <si>
    <t>После 01.06.2019</t>
  </si>
  <si>
    <t>По среднему</t>
  </si>
  <si>
    <t>Не использованная</t>
  </si>
  <si>
    <t>расходов на оплату экспертизы удовлетворению не подлежит</t>
  </si>
  <si>
    <t>11-71217</t>
  </si>
  <si>
    <t>2600/0739</t>
  </si>
  <si>
    <t>полугодие</t>
  </si>
  <si>
    <t>года</t>
  </si>
  <si>
    <t>, в соответствии с которым на территории</t>
  </si>
  <si>
    <r>
      <t xml:space="preserve">В то же время, согласно пункту 3 статьи 1 Гражданского кодекса Российской Федерации (далее – ГК РФ) при установлении, осуществлении и защите гражданских прав и при исполнении гражданских обязанностей участники гражданских правоотношений должны действовать добросовестно.
Согласно пункту 3 статьи 393 ГК РФ, если иное не предусмотрено законом, иными правовыми актами или договором, при определении убытков принимаются во внимание цены, существовавшие в том месте, где обязательство должно было быть исполнено, в день добровольного удовлетворения должником требования кредитора, а если требование добровольно удовлетворено не было, </t>
    </r>
    <r>
      <rPr>
        <sz val="11"/>
        <color theme="1"/>
        <rFont val="Calibri"/>
        <family val="2"/>
        <charset val="204"/>
      </rPr>
      <t>–</t>
    </r>
    <r>
      <rPr>
        <sz val="11"/>
        <color theme="1"/>
        <rFont val="Calibri"/>
        <family val="2"/>
        <charset val="204"/>
        <scheme val="minor"/>
      </rPr>
      <t xml:space="preserve"> в день предъявления иска.
АНО «СОЮЗЭКСПЕРТИЗА» Торг</t>
    </r>
    <r>
      <rPr>
        <sz val="11"/>
        <rFont val="Calibri"/>
        <family val="2"/>
        <charset val="204"/>
        <scheme val="minor"/>
      </rPr>
      <t>ово-промышленной палаты Российской Федерации по заказу Российского Союза Автостраховщиков подготовлено заключение о среднерыночной стоимости услуг по проведению независимой технической экспертизы между страховщиками и потерпевшими в разрезе субъектов Российской Федерации</t>
    </r>
  </si>
  <si>
    <t>Взыскание неустойки</t>
  </si>
  <si>
    <t>, датой окончания срока направления Заявителю мотивированного отказа в страховом возмещении является</t>
  </si>
  <si>
    <t>направило в адрес Заявителя мотивированный отказ в выплате страхового возмещения</t>
  </si>
  <si>
    <t>собственноручной подписью Заявителя на указанном направлении</t>
  </si>
  <si>
    <t>Выдача Заявителю Направления на СТОА подтверждается</t>
  </si>
  <si>
    <t>реестром внутренних почтовых отправлений №</t>
  </si>
  <si>
    <t>В соответствии с требованиями, установленными пунктом 21 статьи 12 Закона № 40-ФЗ, размер финансовой санкции, подлежащей выплате за период с</t>
  </si>
  <si>
    <t>дней × 0,05%)</t>
  </si>
  <si>
    <t>Учитывая вышеизложенное, требования Заявителя о взыскании финансовой санкции за несоблюдение срока направления Заявителю мотивированного отказа в выплате страхового возмещения подлежат удовлетворению в размере</t>
  </si>
  <si>
    <t>финансовой санкции за несоблюдение срока направления Заявителю мотивированного отказа в выплате страхового возмещения, Финансовый уполномоченный приходит к следующему.
Пунктом 21 статьи 12 Закона № 40-ФЗ установлено, что в течение 20 календарных дней, за исключением нерабочих праздничных дней, а в случае, предусмотренном пунктом 15.3 статьи 12 Закона № 40-ФЗ, 30 календарных дней, за исключением нерабочих праздничных дней, со дня принятия к рассмотрению заявления потерпевшего о страховом возмещении или прямом возмещении убытков и приложенных к нему документов, предусмотренных Правилами ОСАГО, страховщик обязан произвести страховую выплату потерпевшему или после осмотра и (или) независимой технической экспертизы поврежденного транспортного средства выдать потерпевшему направление на ремонт транспортного средства с указанием станции технического обслуживания, на которой будет отремонтировано его транспортное средство и которой страховщик оплатит восстановительный ремонт поврежденного транспортного средства, и срока ремонта либо направить потерпевшему мотивированный отказ в страховом возмещении.
Согласно подпункту 3 пункта 21 статьи 12 Закона № 40-ФЗ при несоблюдении срока направления потерпевшему мотивированного отказа в страховом возмещении страховщик за каждый день просрочки уплачивает потерпевшему денежные средства в виде финансовой санкции в размере 0,05 процента от установленной Законом № 40-ФЗ страховой суммы по виду причиненного вреда каждому потерпевшему.
Согласно пункту 77 Постановления № 58 размер финансовой санкции за несоблюдение срока направления потерпевшему мотивированного отказа в страховой выплате определяется в размере 0,05 процента за каждый день просрочки от страховой суммы по виду причиненного вреда каждому потерпевшему, установленной статьей 7 Закона № 40-ФЗ.</t>
  </si>
  <si>
    <t>Согласно статье 7 Закона № 40-ФЗ (в редакции, действующей на момент заключения Договора ОСАГО) страховая сумма, в пределах которой страховщик при наступлении каждого страхового случая (независимо от их числа в течение срока действия договора обязательного страховая) обязуется возместить потерпевшим причиненный вред, составляет: в части возмещения вреда, причиненного имуществу каждого потерпевшего,</t>
  </si>
  <si>
    <t>Согласно статье 7 Закона № 40-ФЗ (в редакции, действующей на момент заключения Договора ОСАГО) страховая сумма, в пределах которой страховщик при наступлении каждого страхового случая (независимо от их числа в течение срока действия договора обязательного страховая) обязуется возместить потерпевшим причиненный вред, составляет: в части возмещения вреда, причиненного жизни или здоровью каждого потерпевшего,</t>
  </si>
  <si>
    <t>выдало Заявителю направление на ремонт от</t>
  </si>
  <si>
    <t>C:\Гурьянова\</t>
  </si>
  <si>
    <t>C:\Users\hahaleveo\ДЛЯ РАБОТЫ\_ЭДУАРД</t>
  </si>
  <si>
    <t>C:\!МаКсИм</t>
  </si>
  <si>
    <t>C:\ДЕЛА ТОЛИК\NextCloud\РАБОЧИЕ ФАЙЛЫ</t>
  </si>
  <si>
    <t>C:\ЮЛЯ ФУ</t>
  </si>
  <si>
    <t>C:\Дела</t>
  </si>
  <si>
    <t>Выплата по НТЭ Заявителя 50%</t>
  </si>
  <si>
    <t>Заявитель не оспаривает сумму по НТЭ ФО</t>
  </si>
  <si>
    <t>Нет доказательства выдачи ННР</t>
  </si>
  <si>
    <t>Осмотр организован в нарушение положений Закона № 40-ФЗ</t>
  </si>
  <si>
    <t>Бесконтактное ДТП</t>
  </si>
  <si>
    <t>БЕСКОНТАКТА</t>
  </si>
  <si>
    <t>Европротокол 50000</t>
  </si>
  <si>
    <t>НТЭ по УТС, бесконтактное ДТП</t>
  </si>
  <si>
    <t>Продление сроков рассмотрения на основании пункта 4.26 Правил ОСАГО</t>
  </si>
  <si>
    <t>ПРОДЛЕНИЕ СРОКОВ</t>
  </si>
  <si>
    <t>НЕУСТОЙКА, УТС</t>
  </si>
  <si>
    <t>Fiat Ducato</t>
  </si>
  <si>
    <t>Вина застрахованного в ВСК не установлена</t>
  </si>
  <si>
    <t>, с учетом невозможности установления, исходя из представленных Заявителем документов, степени вины участников в ДТП</t>
  </si>
  <si>
    <t>ПОДПИСАНТ</t>
  </si>
  <si>
    <t>Предоставил незавевернные копии документов</t>
  </si>
  <si>
    <t>По экспертизе Заявителю меньше, чем по экспертизе ФО</t>
  </si>
  <si>
    <t>ОТЗЫВ</t>
  </si>
  <si>
    <t>191186, г. Санкт-Петербург, ул. Гороховая, д. 14/26</t>
  </si>
  <si>
    <t>СМИРНОВ С.В.</t>
  </si>
  <si>
    <t>ВОЗВРАТ</t>
  </si>
  <si>
    <t>Причина</t>
  </si>
  <si>
    <t>Есть доказательство направления ННР</t>
  </si>
  <si>
    <t>Прописать точно выводы из НТЭ ФО и ответ. ПОВТОРНЫЙ ВОЗВРАТ. Не понятно прописан отказ ФО</t>
  </si>
  <si>
    <t>НТЭ БР. ВОЗВРАТ. Вместо БР отказала по нормативке</t>
  </si>
  <si>
    <t>Более подробно прописать про вызовы на осмотр</t>
  </si>
  <si>
    <t>Прописть подробнее про предоставление незаверенных копий документов</t>
  </si>
  <si>
    <t>Не верные данные по ФО, дата заявления в ФО</t>
  </si>
  <si>
    <t>Не рассмотрены ФС и Штраф</t>
  </si>
  <si>
    <t>Требования в претензии и дата заявлени (претензии)</t>
  </si>
  <si>
    <t>Лимит по европротоколу, не та дата обращения, юруслуги и НТЭ вместе</t>
  </si>
  <si>
    <t>Сумма по НТЭ Заявитял меньше, чем по НТЭ ФО. Экспертиза была не нужна</t>
  </si>
  <si>
    <t>Перепутаны ТС, неверное отчество</t>
  </si>
  <si>
    <t>Дата обращения по 123-ФЗ, сумма без износа не та, пункт части 1 статьи 27 не тот</t>
  </si>
  <si>
    <t>Уточнить, что неустойка на расходы на погребение</t>
  </si>
  <si>
    <t>Почта БР, ПОВТОРНЫЙ ВОЗВРАТ. БР по неустойке</t>
  </si>
  <si>
    <t>Не прописана осмотр, НТЭ и одно письмо от ФО</t>
  </si>
  <si>
    <t>Переделать на отказ. Начало срока неустойки определено судом</t>
  </si>
  <si>
    <t>Переделать на отказ, сведения об исполнении решения есть</t>
  </si>
  <si>
    <t>Нет спора по сумме, НТЭ не нужна</t>
  </si>
  <si>
    <t>Не согласовано предложение (первоначальный отказ ФО в выплате)</t>
  </si>
  <si>
    <t>Отказали, т.к. водитель ТС не вписан в полис</t>
  </si>
  <si>
    <t>НЕД 13</t>
  </si>
  <si>
    <t>ВОЗВРАТ. Заявлен срок исковой давности</t>
  </si>
  <si>
    <t>Пункты 2.1, 5.1, 5.5 Матрицы</t>
  </si>
  <si>
    <t>Прописать франшизу, выгодоприобретателя, премию, сумму, доводы ФО про франшизу, неустойка с суммы страховой премии, а не выплаты</t>
  </si>
  <si>
    <t>Доводы ФО о несоблюдении досудебного порядка</t>
  </si>
  <si>
    <t>ВОЗВРАТ. В резолютивной части моральный вред не без рассмотрения</t>
  </si>
  <si>
    <t>Есть ответ на претензию</t>
  </si>
  <si>
    <t>Бесконтактное ДТП. Наезд на гибкую сцепку</t>
  </si>
  <si>
    <t>ПРОПИСАТЬ ПРО ПРЕДСТРАХОВОЙ АКТ, ПРОПИСАТЬ ДТП, ПРОПИСАТЬ РЕМОНТ ЕСТЬ ЗАКАЗ НАРЯД, АКТ ВЫПОЛНЕННЫХ РАБОТ</t>
  </si>
  <si>
    <t>У-20-18736</t>
  </si>
  <si>
    <t>У-20-19208</t>
  </si>
  <si>
    <t>У-20-25388</t>
  </si>
  <si>
    <t>У-20-26265</t>
  </si>
  <si>
    <t>У-20-26304</t>
  </si>
  <si>
    <t>У-20-26735</t>
  </si>
  <si>
    <t>У-20-26821</t>
  </si>
  <si>
    <t>У-20-26926</t>
  </si>
  <si>
    <t>У-20-27673</t>
  </si>
  <si>
    <t>У-20-27701</t>
  </si>
  <si>
    <t>У-20-27707</t>
  </si>
  <si>
    <t>У-20-27772</t>
  </si>
  <si>
    <t>У-20-27877</t>
  </si>
  <si>
    <t>У-20-28072</t>
  </si>
  <si>
    <t>У-20-28262</t>
  </si>
  <si>
    <t>У-20-28306</t>
  </si>
  <si>
    <t>У-20-28382</t>
  </si>
  <si>
    <t>У-20-28389</t>
  </si>
  <si>
    <t>У-20-28781</t>
  </si>
  <si>
    <t>У-20-29222</t>
  </si>
  <si>
    <t>У-20-29317</t>
  </si>
  <si>
    <t>У-20-29542</t>
  </si>
  <si>
    <t>У-20-29607</t>
  </si>
  <si>
    <t>У-20-29981</t>
  </si>
  <si>
    <t>У-20-35309</t>
  </si>
  <si>
    <t>У-20-35383</t>
  </si>
  <si>
    <t>У-20-35388</t>
  </si>
  <si>
    <t>У-20-35702</t>
  </si>
  <si>
    <t>У-20-35732</t>
  </si>
  <si>
    <t>У-20-35734</t>
  </si>
  <si>
    <t>У-20-35865</t>
  </si>
  <si>
    <t>У-20-35869</t>
  </si>
  <si>
    <t>У-20-35883</t>
  </si>
  <si>
    <t>У-20-35886</t>
  </si>
  <si>
    <t>У-20-35897</t>
  </si>
  <si>
    <t>У-20-35934</t>
  </si>
  <si>
    <t>У-20-35958</t>
  </si>
  <si>
    <t>У-20-35995</t>
  </si>
  <si>
    <t>У-20-36005</t>
  </si>
  <si>
    <t>У-20-36208</t>
  </si>
  <si>
    <t>У-20-36216</t>
  </si>
  <si>
    <t>У-20-36237</t>
  </si>
  <si>
    <t>У-20-36238</t>
  </si>
  <si>
    <t>У-20-36270</t>
  </si>
  <si>
    <t>У-20-36277</t>
  </si>
  <si>
    <t>У-20-36302</t>
  </si>
  <si>
    <t>У-20-36339</t>
  </si>
  <si>
    <t>У-20-36382</t>
  </si>
  <si>
    <t>У-20-36409</t>
  </si>
  <si>
    <t>У-20-36423</t>
  </si>
  <si>
    <t>У-20-36508</t>
  </si>
  <si>
    <t>У-20-36529</t>
  </si>
  <si>
    <t>У-20-36549</t>
  </si>
  <si>
    <t>У-20-36575</t>
  </si>
  <si>
    <t>У-20-36589</t>
  </si>
  <si>
    <t>У-20-36629</t>
  </si>
  <si>
    <t>У-20-36773</t>
  </si>
  <si>
    <t>У-20-36818</t>
  </si>
  <si>
    <t>У-20-36920</t>
  </si>
  <si>
    <t>У-20-36975</t>
  </si>
  <si>
    <t>У-20-36938</t>
  </si>
  <si>
    <t>У-20-36941</t>
  </si>
  <si>
    <t>У-20-36986</t>
  </si>
  <si>
    <t>У-20-36950</t>
  </si>
  <si>
    <t>У-20-37022</t>
  </si>
  <si>
    <t>У-20-37089</t>
  </si>
  <si>
    <t>У-20-37150</t>
  </si>
  <si>
    <t>У-20-37251</t>
  </si>
  <si>
    <t>У-20-37284</t>
  </si>
  <si>
    <t>У-20-37393</t>
  </si>
  <si>
    <t>У-20-37410</t>
  </si>
  <si>
    <t>У-20-37447</t>
  </si>
  <si>
    <t>У-20-37454</t>
  </si>
  <si>
    <t>У-20-37546</t>
  </si>
  <si>
    <t>У-20-37550</t>
  </si>
  <si>
    <t>У-20-37561</t>
  </si>
  <si>
    <t>У-20-37625</t>
  </si>
  <si>
    <t>У-20-37764</t>
  </si>
  <si>
    <t>У-20-37879</t>
  </si>
  <si>
    <t>У-20-37884</t>
  </si>
  <si>
    <t>У-20-37955</t>
  </si>
  <si>
    <t>У-20-38108</t>
  </si>
  <si>
    <t>У-20-38119</t>
  </si>
  <si>
    <t>У-20-38142</t>
  </si>
  <si>
    <t>У-20-38146</t>
  </si>
  <si>
    <t>У-20-38233</t>
  </si>
  <si>
    <t>У-20-38285</t>
  </si>
  <si>
    <t>У-20-38309</t>
  </si>
  <si>
    <t>У-20-38407</t>
  </si>
  <si>
    <t>У-20-38425</t>
  </si>
  <si>
    <t>У-20-38442</t>
  </si>
  <si>
    <t>У-20-38492</t>
  </si>
  <si>
    <t>У-20-38505</t>
  </si>
  <si>
    <t>У-20-38595</t>
  </si>
  <si>
    <t>У-20-38597</t>
  </si>
  <si>
    <t>У-20-38692</t>
  </si>
  <si>
    <t>У-20-38770</t>
  </si>
  <si>
    <t>У-20-38895</t>
  </si>
  <si>
    <t>У-20-39047</t>
  </si>
  <si>
    <t>У-20-39137</t>
  </si>
  <si>
    <t>У-20-39155</t>
  </si>
  <si>
    <t>У-20-39160</t>
  </si>
  <si>
    <t>У-20-39174</t>
  </si>
  <si>
    <t>У-20-39265</t>
  </si>
  <si>
    <t>У-20-39325</t>
  </si>
  <si>
    <t>У-20-39326</t>
  </si>
  <si>
    <t>У-20-39363</t>
  </si>
  <si>
    <t>У-20-39410</t>
  </si>
  <si>
    <t>У-20-39515</t>
  </si>
  <si>
    <t>У-20-39518</t>
  </si>
  <si>
    <t>У-20-39537</t>
  </si>
  <si>
    <t>У-20-39579</t>
  </si>
  <si>
    <t>У-20-39636</t>
  </si>
  <si>
    <t>У-20-39644</t>
  </si>
  <si>
    <t>У-20-39696</t>
  </si>
  <si>
    <t>У-20-39719</t>
  </si>
  <si>
    <t>У-20-39809</t>
  </si>
  <si>
    <t>У-20-39822</t>
  </si>
  <si>
    <t>У-20-39826</t>
  </si>
  <si>
    <t>У-20-39862</t>
  </si>
  <si>
    <t>У-20-39870</t>
  </si>
  <si>
    <t>У-20-39980</t>
  </si>
  <si>
    <t>У-20-39925</t>
  </si>
  <si>
    <t>У-20-40148</t>
  </si>
  <si>
    <t>У-20-40163</t>
  </si>
  <si>
    <t>У-20-40204</t>
  </si>
  <si>
    <t>Хабуев Руслан Абдулкадерович</t>
  </si>
  <si>
    <t>Ларионова Наталья Александровна</t>
  </si>
  <si>
    <t>ООО "Дальневосточный центр страховых выплат""</t>
  </si>
  <si>
    <t>Приймак Наталья Иосифовна</t>
  </si>
  <si>
    <t>Сарханова Адила Джалил Кызы</t>
  </si>
  <si>
    <t>Кухтин Руслан Сергеевич</t>
  </si>
  <si>
    <t>Филин Алексей Анатольевич</t>
  </si>
  <si>
    <t>Панаратова Татьяна Викторовна</t>
  </si>
  <si>
    <t>Етимян Марат Серёжаевич</t>
  </si>
  <si>
    <t>Савченко Андрей Александрович</t>
  </si>
  <si>
    <t>Протасов Александр Сергеевич</t>
  </si>
  <si>
    <t>Соболев Сергей Игоревич</t>
  </si>
  <si>
    <t>Пашкевич Дмитрий Владимирович</t>
  </si>
  <si>
    <t>Хупсароков Схатбий Сафарбиевич</t>
  </si>
  <si>
    <t>Зайцев Александр Андреевич</t>
  </si>
  <si>
    <t>Идрисов Мурад Вячеславович</t>
  </si>
  <si>
    <t>Васин Дмитрий Алексеевич</t>
  </si>
  <si>
    <t>Левенец Виктор Дмитриевич</t>
  </si>
  <si>
    <t>Рындин Роман Николаевич</t>
  </si>
  <si>
    <t>Акбаев Алибек Ахматович</t>
  </si>
  <si>
    <t>Тодуа Дмитрий Джамбулович</t>
  </si>
  <si>
    <t>Хайруллин Айрат Флурович</t>
  </si>
  <si>
    <t>Абзалов Алик Радикович</t>
  </si>
  <si>
    <t>Сикора Николай Иосифович</t>
  </si>
  <si>
    <t>Абишев Денис Азретович</t>
  </si>
  <si>
    <t>Ефименко Оксана Владимировна</t>
  </si>
  <si>
    <t>Мытаркин Геннадий Терентьевич</t>
  </si>
  <si>
    <t>Джакавов Сайпутдин Сосуранович</t>
  </si>
  <si>
    <t>Власов Иван Владиславович</t>
  </si>
  <si>
    <t>Ильина Алевтина Эдуардовна</t>
  </si>
  <si>
    <t>Солонцов Илья Сергеевич</t>
  </si>
  <si>
    <t>Бордунова Наталья Витальевна</t>
  </si>
  <si>
    <t>Павлов Виталий Николаевич</t>
  </si>
  <si>
    <t>Глущенко Виктор Константинович</t>
  </si>
  <si>
    <t>Васильев Юрий Вячеславович</t>
  </si>
  <si>
    <t>Фролов Роман Ильич</t>
  </si>
  <si>
    <t>Отроков Максим Викторович</t>
  </si>
  <si>
    <t>Алексеев Роман Вячеславович</t>
  </si>
  <si>
    <t>Пермяков Владимир Михайлович</t>
  </si>
  <si>
    <t>Чиндин Вячеслав Львович</t>
  </si>
  <si>
    <t>Клещук Лидия Григорьевна</t>
  </si>
  <si>
    <t>Аксентьева Анна Вячеславовна</t>
  </si>
  <si>
    <t>Янбулатов Ленар Наилевич</t>
  </si>
  <si>
    <t>Козин Алексей Александрович</t>
  </si>
  <si>
    <t>Ибрагимов Рашит Варисович</t>
  </si>
  <si>
    <t>Юналиев Равиль Бяширович</t>
  </si>
  <si>
    <t>Лях Ульяна Игоревна</t>
  </si>
  <si>
    <t>Агаджанян Гагик Гарникович</t>
  </si>
  <si>
    <t>Остапов Александр Витальевич</t>
  </si>
  <si>
    <t>Колесников Андрей Викторович</t>
  </si>
  <si>
    <t>Бавеян Анжелика Арменовна</t>
  </si>
  <si>
    <t>Дудкин Сергей Александрович</t>
  </si>
  <si>
    <t>Жиляев Илья Геннадьевич</t>
  </si>
  <si>
    <t>Павлов Артем Александрович</t>
  </si>
  <si>
    <t>Алабугина Елена Владимировна</t>
  </si>
  <si>
    <t>Лебединская Вера Николаевна</t>
  </si>
  <si>
    <t>Гаджибабаева Каинат Гамидовна</t>
  </si>
  <si>
    <t>Ковшиков Павел Юрьевич</t>
  </si>
  <si>
    <t>Афанасьева Елена Валерьевна</t>
  </si>
  <si>
    <t>Костяев Александр Александрович</t>
  </si>
  <si>
    <t>Федирко Святослав Игоревич</t>
  </si>
  <si>
    <t>Иванова Елена Викторовна</t>
  </si>
  <si>
    <t>Зарипов Денис Николаевич</t>
  </si>
  <si>
    <t>Татаркулов Артур Султанхамитович</t>
  </si>
  <si>
    <t>Абдувахитов Махаматясын Нурматович</t>
  </si>
  <si>
    <t>Павленко Антон Константинович</t>
  </si>
  <si>
    <t>Соколов Сергей Вячеславович</t>
  </si>
  <si>
    <t>Кучеренко Дмитрий Павлович</t>
  </si>
  <si>
    <t>Канашенко Олег Сергеевич</t>
  </si>
  <si>
    <t>Трофимов Валерий Григорьевич</t>
  </si>
  <si>
    <t>Николаиди Иван Николаевич</t>
  </si>
  <si>
    <t>Ильин Павел Валерьевич</t>
  </si>
  <si>
    <t>Крепишев Андрей Александрович</t>
  </si>
  <si>
    <t>Меликян Эдуард Ованесович</t>
  </si>
  <si>
    <t>Яматин Владимир Юрьевич</t>
  </si>
  <si>
    <t>Тарасов Юрий Алексеевич</t>
  </si>
  <si>
    <t>Данилов Дмитрий Евгеньевич</t>
  </si>
  <si>
    <t>Гореничая Дарья Сергеевна</t>
  </si>
  <si>
    <t>Плеханова Елена Юрьевна</t>
  </si>
  <si>
    <t>Нескоромный Николай Николаевич</t>
  </si>
  <si>
    <t>Французова Карина Чопановна</t>
  </si>
  <si>
    <t>Иванов Александр Александрович</t>
  </si>
  <si>
    <t>Парталян Николай Карекинович</t>
  </si>
  <si>
    <t>Козлов Дмитрий Владимирович</t>
  </si>
  <si>
    <t>Бычкова Александра Андреевна</t>
  </si>
  <si>
    <t>Цурцумия Дарья Николаевна</t>
  </si>
  <si>
    <t>Мхитарян Артак Газарович</t>
  </si>
  <si>
    <t>Слободская Елена Владимировна</t>
  </si>
  <si>
    <t>Донченко Евгений Павлович</t>
  </si>
  <si>
    <t>Топоркова Галина Шамилевна</t>
  </si>
  <si>
    <t>Емельянова Марина Анатольевна</t>
  </si>
  <si>
    <t>Бондаренко Иван Сергеевич</t>
  </si>
  <si>
    <t>Городничая Екатерина Владимировна</t>
  </si>
  <si>
    <t>Нуриев Руслан Айратович</t>
  </si>
  <si>
    <t>Никифоров Данила Юрьевич</t>
  </si>
  <si>
    <t>Джамалуев Роман Вахитович</t>
  </si>
  <si>
    <t>Голубев Сергей Николаевич</t>
  </si>
  <si>
    <t>Дементьева Юлия Александровна</t>
  </si>
  <si>
    <t>Геннадий Токарев Петрович</t>
  </si>
  <si>
    <t>Пешехонова Ольга Николаевна</t>
  </si>
  <si>
    <t>Цыпленков Андрей Леонидович</t>
  </si>
  <si>
    <t>Сабиров Вениамин Махсудович</t>
  </si>
  <si>
    <t>Авдонькина Юлия Евгеньевна</t>
  </si>
  <si>
    <t>Бураков Дмитрий ПЕТРОВИЧ</t>
  </si>
  <si>
    <t>Байрамов Гюльали Михралиевич</t>
  </si>
  <si>
    <t>Казибекова Фарида Алихан Кызы</t>
  </si>
  <si>
    <t>Кульбульдин Ришат Каримович</t>
  </si>
  <si>
    <t>Чемова Евгения Юрьевна</t>
  </si>
  <si>
    <t>Цибин Денис Александрович</t>
  </si>
  <si>
    <t>Щеклеин Евгений Геннадьевич</t>
  </si>
  <si>
    <t>Нухкадиев Иби Хасаевич</t>
  </si>
  <si>
    <t>Бакеева Айгуль Ринатовна</t>
  </si>
  <si>
    <t>Захаров Алексей Федорович</t>
  </si>
  <si>
    <t>Романова Людмила Владимировна</t>
  </si>
  <si>
    <t>Юсупов Ильяс Гасангусейнович</t>
  </si>
  <si>
    <t>Анатольевич Сергей Кислый</t>
  </si>
  <si>
    <t>Рустамова Саидат Магомедовна</t>
  </si>
  <si>
    <t>Лунева Анастасия Сергеевна</t>
  </si>
  <si>
    <t>Крылов Эдуард Юрьевич</t>
  </si>
  <si>
    <t>Карел Давид Сержович</t>
  </si>
  <si>
    <t>Александрова Светлана Васильевна</t>
  </si>
  <si>
    <t>Кушу Тимур Юрьевич</t>
  </si>
  <si>
    <t>Рощин Иван Сергеевич</t>
  </si>
  <si>
    <t>Подоляко Лариса Николаевна</t>
  </si>
  <si>
    <t>Малахов Алексей Анатольевич</t>
  </si>
  <si>
    <t>По нормативам, утраченный заработок, доп расходы</t>
  </si>
  <si>
    <t>Из решения суда невозможно определить период взысканной неустойки</t>
  </si>
  <si>
    <t>Запрос</t>
  </si>
  <si>
    <t>Документы</t>
  </si>
  <si>
    <t>Извещение 1</t>
  </si>
  <si>
    <t>Дата осмотра</t>
  </si>
  <si>
    <t>Извещение 2</t>
  </si>
  <si>
    <t>ННР 1</t>
  </si>
  <si>
    <t>БР</t>
  </si>
  <si>
    <t>Выплаты</t>
  </si>
  <si>
    <t>Неустойка с</t>
  </si>
  <si>
    <t>Событие</t>
  </si>
  <si>
    <t>Прописью</t>
  </si>
  <si>
    <t>Без износа</t>
  </si>
  <si>
    <t>С износом</t>
  </si>
  <si>
    <t>Годники</t>
  </si>
  <si>
    <t>Имеет право</t>
  </si>
  <si>
    <t>Выплатили</t>
  </si>
  <si>
    <t>Неправильно определил дату обращения</t>
  </si>
  <si>
    <t>СУД с</t>
  </si>
  <si>
    <t>СУД по</t>
  </si>
  <si>
    <t>НАИМЕНОВАНИЕ</t>
  </si>
  <si>
    <t>Взыскание страхового возмещения</t>
  </si>
  <si>
    <t>1.1.</t>
  </si>
  <si>
    <t>Право требования как выгодоприобретателя/потребителя финансовых услуг не подтверждено</t>
  </si>
  <si>
    <t>1.2.</t>
  </si>
  <si>
    <t>По результатам трасологической экспертизы</t>
  </si>
  <si>
    <t>1.3.</t>
  </si>
  <si>
    <t>Заявитель не предоставил ТС на осмотр</t>
  </si>
  <si>
    <t>1.4.</t>
  </si>
  <si>
    <t>Предоставлен не полный комплект документов, предусмотренный Правилами ОСАГО</t>
  </si>
  <si>
    <t>1.5.</t>
  </si>
  <si>
    <t>Отказ в акцепте страховой компании причинителя вреда по причине того, что изменился собственник транспортного средства причинителя вреда, а новый договор ОСАГО не заключен</t>
  </si>
  <si>
    <t>1.6.</t>
  </si>
  <si>
    <t>СК согласовала, но не произвела выплату</t>
  </si>
  <si>
    <t>1.7.</t>
  </si>
  <si>
    <t>Нарушение требований обращения в порядке ПВУ</t>
  </si>
  <si>
    <t>1.8.</t>
  </si>
  <si>
    <t>Вина застрахованного лица не установлена/обоюдная вина в ДТП, с участием двух ТС</t>
  </si>
  <si>
    <t>1.9.</t>
  </si>
  <si>
    <t>Пропущен срок исковой давности</t>
  </si>
  <si>
    <t>1.10.</t>
  </si>
  <si>
    <t>Пропущен срок на обращение к финансовому уполномоченному</t>
  </si>
  <si>
    <t>Доплата страхового возмещения (по результатам экспертизы)</t>
  </si>
  <si>
    <t>2.1.</t>
  </si>
  <si>
    <t>Оснований для доплаты по результатам независимой экспертизы, проведенной заявителем, не имеется</t>
  </si>
  <si>
    <t>Взыскание и доплата страхового возмещения в части возмещения вреда, причиненного жизни или здоровью</t>
  </si>
  <si>
    <t>3.1.</t>
  </si>
  <si>
    <t>Заявление о страховой выплате в связи с причинением вреда жизни или здоровью потерпевшего пассажира (пешехода) направлено не в ту СК</t>
  </si>
  <si>
    <t>3.2.</t>
  </si>
  <si>
    <t>Оснований для доплаты по экспертизе не имеется</t>
  </si>
  <si>
    <t>3.3.</t>
  </si>
  <si>
    <t>Обоснование расходов на лечение и расчет утраты заработка</t>
  </si>
  <si>
    <t>3.4.</t>
  </si>
  <si>
    <t>Отказ в выплате расходов на погребение в связи с непредставлением документов, подтверждающих нахождение на иждивении у погибшего</t>
  </si>
  <si>
    <t>3.5.</t>
  </si>
  <si>
    <t>Отказ в выплате страхового возмещения при причинении вреда здоровью (установлена инвалидность)</t>
  </si>
  <si>
    <t>Натуральное возмещение</t>
  </si>
  <si>
    <t>(обязанность по организации осмотра и ремонта автомобиля)</t>
  </si>
  <si>
    <t>4.1.</t>
  </si>
  <si>
    <t>Изменение формы страхового возмещения (с натуральной на денежную)</t>
  </si>
  <si>
    <t>4.2.</t>
  </si>
  <si>
    <t>Отказ в выдаче направления на СТОА официального дилера (потребитель обратился к ФУ с требованием натурального возмещения)</t>
  </si>
  <si>
    <t>4.3.</t>
  </si>
  <si>
    <t>Несоответствие СТОА требованиям Закона № 40-ФЗ об организации и оплате восстановительного ремонта поврежденного транспортного средства на СТОА</t>
  </si>
  <si>
    <t>4.4.</t>
  </si>
  <si>
    <t>Соответствие качества произведенного ремонта</t>
  </si>
  <si>
    <t>(потребитель обратился к ФУ с требованием натурального возмещения)</t>
  </si>
  <si>
    <t>Взыскание неустойки и финансовой санкции</t>
  </si>
  <si>
    <t>5.1.</t>
  </si>
  <si>
    <t>Нарушение срока исполнения обязательств, в т.ч. по выплате УТС, возмещение расходов на эвакуацию и хранение</t>
  </si>
  <si>
    <t>5.2.</t>
  </si>
  <si>
    <t>Начисленной по решению суда</t>
  </si>
  <si>
    <t>5.3.</t>
  </si>
  <si>
    <t>Нарушение срока проведения восстановительного ремонта</t>
  </si>
  <si>
    <t>5.4.</t>
  </si>
  <si>
    <t>5.5.</t>
  </si>
  <si>
    <t>Условная неустойка</t>
  </si>
  <si>
    <t>5.6.</t>
  </si>
  <si>
    <t>Снижение неустойки, применение ст. 333 ГК РФ</t>
  </si>
  <si>
    <t>6.1.</t>
  </si>
  <si>
    <t>Доплата неустойки за иной период, начисленной по решению суда</t>
  </si>
  <si>
    <t>7.1.</t>
  </si>
  <si>
    <t>Выплата (доплата) УТС</t>
  </si>
  <si>
    <t>Возмещение расходов</t>
  </si>
  <si>
    <t>8.1.</t>
  </si>
  <si>
    <t>На проведение независимой  экспертизы, проведенной по инициативе потерпевшего</t>
  </si>
  <si>
    <t>8.2.</t>
  </si>
  <si>
    <t>Представительские расходы</t>
  </si>
  <si>
    <t>8.3.</t>
  </si>
  <si>
    <t>Почтовые</t>
  </si>
  <si>
    <t>8.4.</t>
  </si>
  <si>
    <t>Нотариальные</t>
  </si>
  <si>
    <t>8.5.</t>
  </si>
  <si>
    <t>На аварийного комиссара</t>
  </si>
  <si>
    <t>8.6.</t>
  </si>
  <si>
    <t>На эвакуацию ТС</t>
  </si>
  <si>
    <t>9.</t>
  </si>
  <si>
    <t>Взыскание штрафа в размере 50%</t>
  </si>
  <si>
    <t>10.</t>
  </si>
  <si>
    <t>Компенсация морального вреда</t>
  </si>
  <si>
    <t>Не рассмотрена часть требвоаний, нарушена хронология, не та дата первоначального заявления</t>
  </si>
  <si>
    <t>Не прописан полис ОСАГО Заявителя; Неверно указано наименование НТЭ Заявителя</t>
  </si>
  <si>
    <t>Не учтен европротокол; взыскана сумму без учета износа</t>
  </si>
  <si>
    <t>СМЕНА ФОРМЫ, УТС</t>
  </si>
  <si>
    <t>191119, г. Санкт-Петербург, Лиговский пр-кт, д. 108, лит. А</t>
  </si>
  <si>
    <t>Оформил без ГИБДД, выплатили 100000, но потом принес Определение об отказе в возбуждении. Но поздно, увы</t>
  </si>
  <si>
    <t>ЕВРОПРОТОКОЛ</t>
  </si>
  <si>
    <t>Соглашение о признании случая нестраховым</t>
  </si>
  <si>
    <t>Не рассмотрены экспертиза и неустойка</t>
  </si>
  <si>
    <t>ОПИСАТЕЛЬНАЯ ЧАСТЬ</t>
  </si>
  <si>
    <t>МОТИВИРОВОЧНАЯ ЧАСТЬ</t>
  </si>
  <si>
    <t>ДТП было оформлено в соответствии с пунктом 1 статьи 11.1 Федерального закона от 25.04.2002 № 40-ФЗ «Об обязательном страховании гражданской ответственности владельцев транспортных средств» (далее – Закон № 40-ФЗ) без участия уполномоченных на то сотрудников полиции.</t>
  </si>
  <si>
    <t>Европротокол</t>
  </si>
  <si>
    <t>НТЭ КАК НЕИСПОЛЬЗОВАННАЯ</t>
  </si>
  <si>
    <t>ПРЕЮДИЦИЯ НТЭ</t>
  </si>
  <si>
    <t>В соответствии с пунктом 9 статьи 14.1 Закона № 40-ФЗ потерпевший, имеющий в соответствии с Законом № 40-ФЗ право предъявить требование о возмещении причиненного его имуществу вреда непосредственно страховщику, который застраховал гражданскую ответственность потерпевшего, в случае принятия арбитражным судом решения о признании такого страховщика банкротом и об открытии конкурсного производства в соответствии с законодательством о несостоятельности (банкротстве) или в случае отзыва у него лицензии на осуществление страховой деятельности предъявляет требование о страховом возмещении страховщику, который застраховал гражданскую ответственность лица, причинившего вред.
Согласно абзацу 3 пункта 29 Постановления Пленума № 58, если решением суда в пользу потерпевшего со страховщика его ответственности взыскано страховое возмещение и это решение не исполнено, то при введении в отношении этого страховщика процедур, применяемых при банкротстве, или отзыве у него лицензии на осуществление страховой деятельности потерпевший вправе обратиться за выплатой к страховщику ответственности причинителя вреда.
Факт наступления страхового случая установлен Решением Суда, в соответствии с которым в пользу Заявителя, в том числе, взыскано страховое возмещение в размере</t>
  </si>
  <si>
    <t>преюдициальным, так как страховщик не был привлечен к участию в деле в качестве третьего лица, однако, у</t>
  </si>
  <si>
    <t>решения по заявленному событию. 
Таким образом, требование Заявителя к</t>
  </si>
  <si>
    <t>Согласно Решению суда, с</t>
  </si>
  <si>
    <t>в пользу Заявителя взысканы расходы на проведение независимой технической экспертизы в размере</t>
  </si>
  <si>
    <t>В соответствии со статьей 100 ГПК РФ стороне, в пользу которой состоялось решение суда, по ее письменному ходатайству суд присуждает с другой стороны расходы на оплату услуг представителя в разумных пределах.
Между тем, согласно требованиям пункта 9 статьи 14.1 Закона № 40-ФЗ потерпевший имеет право предъявить страховщику, который застраховал гражданскую ответственность лица, причинившего вред только требование о страховом возмещении. Право требовать возмещения иных расходов положениями пункта 9 статьи 14.1 Закона № 40-ФЗ не предусмотрено.
Таким образом требования Заявителя в части взыскания расходов на проведение независимой технической экспертизы не подлежат удовлетворению.</t>
  </si>
  <si>
    <t>Преюдиция</t>
  </si>
  <si>
    <t>о взыскании страхового возмещения по договору ОСАГО подлежит удовлетворению в размере</t>
  </si>
  <si>
    <t>Согласно абзацу 8 статьи 1 Закона № 40-ФЗ по договору ОСАГО страховщик обязуется за обусловленную договором плату (страховую премию) при наступлении предусмотренного в договоре события (страхового случая) возместить потерпевшим причиненный вследствие этого события вред их жизни, здоровью или имуществу (осуществить страховое возмещение в форме страховой выплаты или путем организации и (или) оплаты восстановительного ремонта поврежденного транспортного средства) в пределах определенной договором суммы (страховой суммы).
Согласно части 10 статьи 20 Закона № 123-ФЗ финансовый уполномоченный вправе организовывать проведение независимой экспертизы (оценки) по предмету спора для решения вопросов, связанных с рассмотрением обращения.</t>
  </si>
  <si>
    <r>
      <t xml:space="preserve">Согласно положениям статьи 61 Гражданского процессуального кодекса Российской Федерации (далее </t>
    </r>
    <r>
      <rPr>
        <sz val="11"/>
        <color theme="1"/>
        <rFont val="Calibri"/>
        <family val="2"/>
        <charset val="204"/>
      </rPr>
      <t>–</t>
    </r>
    <r>
      <rPr>
        <sz val="11"/>
        <color theme="1"/>
        <rFont val="Calibri"/>
        <family val="2"/>
        <charset val="204"/>
        <scheme val="minor"/>
      </rPr>
      <t xml:space="preserve"> </t>
    </r>
    <r>
      <rPr>
        <sz val="11"/>
        <color theme="1"/>
        <rFont val="Calibri"/>
        <family val="2"/>
        <charset val="204"/>
      </rPr>
      <t>ГПК РФ),</t>
    </r>
    <r>
      <rPr>
        <sz val="11"/>
        <color theme="1"/>
        <rFont val="Calibri"/>
        <family val="2"/>
        <charset val="204"/>
        <scheme val="minor"/>
      </rPr>
      <t xml:space="preserve"> обстоятельства, установленные вступившим в законную силу судебным постановлением по ранее рассмотренному делу, обязательны для суда. Указанные обстоятельства не доказываются вновь и не подлежат оспариванию при рассмотрении другого дела, в котором участвуют те же лица, а также в случаях, предусмотренных ГПК РФ.
Решение суда не является для</t>
    </r>
  </si>
  <si>
    <t>в соответствии с пунктом 9 статьи 14.1 Закона № 40-ФЗ, в связи с отзывом лицензии у</t>
  </si>
  <si>
    <t>, возникла обязанность по компенсации Заявителю причиненного ущерба. Наличие судебного акта, определившего размер подлежащего выплате Заявителю страхового возмещения, Финансовый уполномоченный считает достаточным для принятия</t>
  </si>
  <si>
    <t>Первая выплата включала сумму расходов на экспертизу, что не учтено при расчете неустойки</t>
  </si>
  <si>
    <t>Неверно определен срок оплаты по соглашению</t>
  </si>
  <si>
    <t>Юр услуги оставлены без рассмотрения, хотя досудебный порядок соблюден</t>
  </si>
  <si>
    <t>У-20-27668</t>
  </si>
  <si>
    <t>Прокудин Максим Александрович</t>
  </si>
  <si>
    <t>Доронин Роман Павлович</t>
  </si>
  <si>
    <t>У-20-26380</t>
  </si>
  <si>
    <t>У-20-26398</t>
  </si>
  <si>
    <t>Елагин Евгений Владимирович</t>
  </si>
  <si>
    <t>Направили письмо не в срок</t>
  </si>
  <si>
    <t>Не правильно определен Потерпевший (наезд совершен на несовершеннолетнего, а не на Заявителя, Заявитель - отец; не верная дата второй выплаты, как следствие неерный расчет неустойки; неправильная мотивировка)</t>
  </si>
  <si>
    <t>ЭВАКУАЦИЯ</t>
  </si>
  <si>
    <t>Неверная сумма выплаченной неустойки</t>
  </si>
  <si>
    <t>Не соблюден досудебный порядок. Письмо направлено на e-mail rgs1@rgs.ru</t>
  </si>
  <si>
    <t>Заявление (претензия) направлено не на тот e-mail</t>
  </si>
  <si>
    <t>Финсанкция на УТС</t>
  </si>
  <si>
    <t>196084, г. Санкт-Петербург, Московский пр-кт, д. 79а, лит. А</t>
  </si>
  <si>
    <t>rgs1@rgs.ru не на тот e-mail</t>
  </si>
  <si>
    <t>В соответствии с пунктом 20 Постановления Пленума Верховного Суда Российской Федерации от 26.12.2017 № 58 «О применении судами законодательства об обязательном страховании гражданской ответственности владельцев транспортных средств» при наступлении страхового случая потерпевший обязан не только уведомить страховщика о его наступлении в сроки, установленные Правилами, но и направить страховщику заявление о страховом возмещении и документы, предусмотренные Правилами (пункт 3 статьи 11 Закона № 40-ФЗ), а также представить на осмотр поврежденное в результате дорожно-транспортного происшествия транспортное средство и/или иное поврежденное имущество (пункт 10 статьи 12 Закона № 40-ФЗ).  В заявлении о страховом возмещении потерпевший должен также сообщить о другом известном ему на момент подачи заявления ущербе, кроме расходов на восстановление поврежденного имущества, который подлежит возмещению (например, об утрате товарной стоимости, о расходах на эвакуацию транспортного средства с места дорожно-транспортного происшествия и т.п.).</t>
  </si>
  <si>
    <t>ВРЕД ЗДОРОВЬЮ (не виновник)</t>
  </si>
  <si>
    <t>об отсутствии правовых оснований для выплаты страхового возмещения в связи с тем, что виновность водителя</t>
  </si>
  <si>
    <t>, чья гражданская ответственность застрахована в</t>
  </si>
  <si>
    <t>не установлена, не принимаются Финансовым уполномоченным, поскольку причинение вреда здоровью в результате взаимодействия источников повышенной опасности влечет наступление страхового случая для каждого владельца этих источников в рамках договора обязательного страхования, а размер причиненного вреда находится в пределах страховой суммы, предусмотренной статьей 7 Закона № 40-ФЗ.</t>
  </si>
  <si>
    <t>Согласно пункта 2 статьи 12 Закон № 40-ФЗ порядок расчета суммы страхового возмещения (страховой выплаты) при причинении вреда здоровью потерпевшего и нормативы для определения суммы страхового возмещения (страховой выплаты) при причинении вреда здоровью потерпевшего, а также для определения суммы компенсации в счет возмещения вреда, причиненного здоровью потерпевшего, исходя из характера и степени повреждения здоровья, согласно приложению (далее – Нормативы) установлены в Правилах расчета суммы страхового возмещения при причинении вреда здоровью потерпевшего, утвержденных постановлением Правительства Российской Федерации от 15.11.2012 № 1164 (далее –  Правила). 
Согласно пункту 3 Правил в случае, если полученные потерпевшим повреждения здоровья разного характера и локализации предусмотрены несколькими пунктами приложения к настоящим Правилам, размер страхового возмещения определяется путем суммирования нормативов и умножения полученной суммы на страховую сумму, указанную по риску гражданской ответственности за причинение вреда здоровью потерпевшего на одного потерпевшего в договоре.</t>
  </si>
  <si>
    <t>В соответствии с пунктом 4 Правил в случае, если понесенные потерпевшим дополнительные расходы на лечение и восстановление поврежденного в результате дорожно-транспортного происшествия здоровья потерпевшего (расходы на медицинскую реабилитацию, приобретение лекарственных препаратов, протезирование, ортезирование, посторонний уход, санаторно-курортное лечение и прочие расходы) и утраченный потерпевшим в связи с причинением вреда его здоровью в результате дорожно-транспортного происшествия заработок (доход) превысили сумму осуществленной потерпевшему в соответствии с пунктами 2 и 3 настоящей статьи страховой выплаты, страховщик возмещает указанные расходы и утраченный заработок (доход) при подтверждении того, что потерпевший нуждался в этих видах помощи, а также при документальном подтверждении размера утраченного заработка (дохода), который потерпевший имел или определенно мог иметь на момент наступления страхового случая. Размер осуществляемой в соответствии с настоящим пунктом страховой выплаты определяется страховщиком как разница между утраченным потерпевшим заработком (доходом), а также дополнительными расходами, подтвержденными документами, которые предусмотрены правилами обязательного страхования, и общей суммой осуществленной в соответствии с пунктами 2 и 3 настоящей статьи страховой выплаты за причинение вреда здоровью потерпевшего.</t>
  </si>
  <si>
    <t>Для решения вопросов, связанных с рассмотрением Обращения, Финансовым уполномоченным назначено проведение независимой экспертизы по исследованию документов медицинских и иных организаций, медико-социальных и судебно-медицинских экспертиз, свидетельствующих о причинении вреда жизни или здоровью (медицинской экспертизы), проводимой в соответствии с требованиями Закона № 40-ФЗ в</t>
  </si>
  <si>
    <t>(врач – судебно-медицинский эксперт</t>
  </si>
  <si>
    <t>). На разрешение специалисту поставлены следующие вопросы:</t>
  </si>
  <si>
    <t>Согласно Экспертному заключению</t>
  </si>
  <si>
    <t>, обоснованный размер страхового возмещения, рассчитанный в соответствии с Нормативами составляет</t>
  </si>
  <si>
    <t>% от установленной договором ОСАГО страховой суммы.
В соответствии с положением статьи 7 Закона № 40-ФЗ, страховая сумма, в пределах которой страховщик при наступлении каждого страхового случая (независимо от их числа в течение срока действия договора обязательного страхования) обязуется возместить потерпевшим причиненный вред, составляет, в части возмещения вреда, причиненного жизни или здоровью каждого потерпевшего, 500 000 рублей 00 копеек.
Итоговая обоснованная сумма страховых выплат в связи с причинением вреда здоровью Заявителя по Нормативам составляет</t>
  </si>
  <si>
    <t>(500 000 рублей 00 копеек × 5,05%)</t>
  </si>
  <si>
    <t>Частью 1 статьи 12 Закона № 40-ФЗ предусмотрено, что потерпевший вправе предъявить страховщику требование о возмещении вреда, причиненного его жизни, здоровью или имуществу при использовании транспортного средства, в пределах страховой суммы, установленной данным законом, путем предъявления страховщику заявления о страховом возмещении или прямом возмещении убытков и документов, предусмотренных правилами обязательного страхования.
Согласно части 1 статьи 1079 Гражданского кодекса Российской Федерации (далее - ГК РФ) юридические лица и граждане, деятельность которых связана с повышенной опасностью для окружающих (использование транспортных средств, механизмов, электрической энергии высокого напряжения, атомной энергии, взрывчатых веществ, сильнодействующих ядов и т.п.; осуществление строительной и иной, связанной с нею деятельности и др.), обязаны возместить вред, причиненный источником повышенной опасности, если не докажут, что вред возник вследствие непреодолимой силы или умысла потерпевшего.
Частью 3 статьи 1079 ГК РФ установлено, что владельцы источников повышенной опасности солидарно несут ответственность за вред, причиненный в результате взаимодействия этих источников (столкновения транспортных средств и т.п.) третьим лицам по основаниям, предусмотренным частью 1 статьи 1079 ГК РФ.
В пункте 47 Постановления Пленума Верховного Суда Российской Федерации от 26.12.2017 № 58 «О применении судами законодательства об обязательном страховании гражданской ответственности владельцев транспортных средств» (далее - Постановление Пленума ВС РФ от 26.12.2017 № 58) разъяснено, что страховое возмещение в связи с причинением вреда, возникшего в результате дорожно-транспортного происшествия вследствие взаимодействия двух источников повышенной опасности третьему лицу производится каждым страховщиком, у которых застрахована гражданская ответственность владельцев транспортных средств в пределах страховой суммы, установленной статьей 7 Закона № 40-ФЗ, по каждому договору страхования.
Таким образом, в последнем случае ответственность наступает для каждого из владельцев источников повышенной опасности.
В связи с вышеизложенным, а также учитывая, что страховым случаем по договору ОСАГО является наступление ответственности владельца транспортного средства, при причинении вреда третьим лицам взаимодействием транспортных средств, когда в силу пункта 3 статьи 1079 ГК РФ наступает ответственность для каждого из владельцев транспортных средств, имеет место не один страховой случай, а страховой случай для каждого договора ОСАГО.
Из Обзора судебной практики Верховного Суда Российской Федерации за второй квартал 2012 года, утвержденного Президиумом Верховного Суда Российской Федерации 10.10.2012, следует что, причинение вреда третьему лицу в результате взаимодействия источников повышенной опасности для каждого владельца этих источников влечет наступление страхового случая в рамках договора обязательного страхования, а размер причиненного каждым из них вреда находится в пределах страховой суммы, предусмотренной статьей 7 Закона № 40-ФЗ.
На основании изложенного, при причинении вреда третьему лицу взаимодействием источников повышенной опасности взыскание страховых выплат в максимальном размере, установленном Законом № 40-ФЗ производится одновременно с двух страховщиков, у которых застрахована гражданская ответственность владельцев транспортных средств, в том числе и в случае, если вина одного из владельцев в причинении вреда отсутствует.
На основании вышеизложенного, доводы</t>
  </si>
  <si>
    <t>ВРЕД ЗДОРОВЬЮ (спор по сумме)</t>
  </si>
  <si>
    <t>Частью 1 статьи 12 Закона № 40-ФЗ предусмотрено, что потерпевший вправе предъявить страховщику требование о возмещении вреда, причиненного его жизни, здоровью или имуществу при использовании транспортного средства, в пределах страховой суммы, установленной данным законом, путем предъявления страховщику заявления о страховом возмещении или прямом возмещении убытков и документов, предусмотренных правилами обязательного страхования.
Согласно пункту 2 статьи 12 Закона № 40-ФЗ порядок расчета суммы страхового возмещения (страховой выплаты) при причинении вреда здоровью потерпевшего и нормативы для определения суммы страхового возмещения (страховой выплаты) при причинении вреда здоровью потерпевшего, а также для определения суммы компенсации в счет возмещения вреда, причиненного здоровью потерпевшего, исходя из характера и степени повреждения здоровья, согласно приложению (далее – Нормативы) установлены в Правилах расчета суммы страхового возмещения при причинении вреда здоровью потерпевшего, утвержденных постановлением Правительства Российской Федерации от 15.11.2012 № 1164 (далее – Правила). 
Согласно пункту 3 Правил в случае если полученные потерпевшим повреждения здоровья разного характера и локализации предусмотрены несколькими пунктами приложения к настоящим Правилам, размер страхового возмещения определяется путем суммирования нормативов и умножения полученной суммы на страховую сумму, указанную по риску гражданской ответственности за причинение вреда здоровью потерпевшего на одного потерпевшего в договоре.
Согласно части 10 статьи 20 Закона № 123-ФЗ финансовый уполномоченный вправе организовывать проведение независимой экспертизы (оценки) по предмету спора для решения вопросов, связанных с рассмотрением обращения.</t>
  </si>
  <si>
    <t>%</t>
  </si>
  <si>
    <t>Спор по сумме</t>
  </si>
  <si>
    <t>Не виновник</t>
  </si>
  <si>
    <t>НЕ ЗАСТРАХОВАН</t>
  </si>
  <si>
    <t>У-20-28210</t>
  </si>
  <si>
    <t>Авакян Левон Сергеевич</t>
  </si>
  <si>
    <t>У-20-27275</t>
  </si>
  <si>
    <t>У-20-37291</t>
  </si>
  <si>
    <t>Давыдов Николай Николаевич</t>
  </si>
  <si>
    <t>У-20-30736</t>
  </si>
  <si>
    <t>У-20-31510</t>
  </si>
  <si>
    <t>У-20-32092</t>
  </si>
  <si>
    <t>У-20-32097</t>
  </si>
  <si>
    <t>У-20-32110</t>
  </si>
  <si>
    <t>У-20-40730</t>
  </si>
  <si>
    <t>У-20-40741</t>
  </si>
  <si>
    <t>У-20-40768</t>
  </si>
  <si>
    <t>У-20-40854</t>
  </si>
  <si>
    <t>У-20-40961</t>
  </si>
  <si>
    <t>У-20-40923</t>
  </si>
  <si>
    <t>У-20-41114</t>
  </si>
  <si>
    <t>У-20-41284</t>
  </si>
  <si>
    <t>У-20-41358</t>
  </si>
  <si>
    <t>У-20-41360</t>
  </si>
  <si>
    <t>У-20-41392</t>
  </si>
  <si>
    <t>У-20-41414</t>
  </si>
  <si>
    <t>У-20-41494</t>
  </si>
  <si>
    <t>У-20-41502</t>
  </si>
  <si>
    <t>У-20-41611</t>
  </si>
  <si>
    <t>У-20-41656</t>
  </si>
  <si>
    <t>У-20-41705</t>
  </si>
  <si>
    <t>У-20-41741</t>
  </si>
  <si>
    <t>У-20-41793</t>
  </si>
  <si>
    <t>У-20-41820</t>
  </si>
  <si>
    <t>У-20-41968</t>
  </si>
  <si>
    <t>У-20-42042</t>
  </si>
  <si>
    <t>У-20-42114</t>
  </si>
  <si>
    <t>У-20-42399</t>
  </si>
  <si>
    <t>У-20-42945</t>
  </si>
  <si>
    <t>Гаврилов Дмитрий Александрович</t>
  </si>
  <si>
    <t>Константинова Любовь Ивановна</t>
  </si>
  <si>
    <t>Карелина Алёна Игоревна</t>
  </si>
  <si>
    <t>Хваталин Александр Петрович</t>
  </si>
  <si>
    <t>Сенников Андрей Валерьевич</t>
  </si>
  <si>
    <t>Смирнова Зоя Николаевна</t>
  </si>
  <si>
    <t>Герасимов Дмитрий Николаевич</t>
  </si>
  <si>
    <t>Лоднев Николай Александрович</t>
  </si>
  <si>
    <t>Набиев Мелиг Абдулгалимович</t>
  </si>
  <si>
    <t>Петухова Гульнара Анваровна</t>
  </si>
  <si>
    <t>Батталов Алмаз Галинурович</t>
  </si>
  <si>
    <t>Хачиров Альберт Рамазанович</t>
  </si>
  <si>
    <t>Ольшевский Владимир Сигизмундович</t>
  </si>
  <si>
    <t>Грабельный Николай Иванович</t>
  </si>
  <si>
    <t>Немолчев Артем Александрович</t>
  </si>
  <si>
    <t>Титов Иван Валерьевич</t>
  </si>
  <si>
    <t>Дьяконов Алексей Геннадьевич</t>
  </si>
  <si>
    <t>Темников Владимир Максимович</t>
  </si>
  <si>
    <t>Безрук Алексей Михайлович</t>
  </si>
  <si>
    <t>Прыткова Ирина Павловна</t>
  </si>
  <si>
    <t>Шишков Андрей Георгиевич</t>
  </si>
  <si>
    <t>Магомедов Ромазан Магомедгабибович</t>
  </si>
  <si>
    <t>Гурбанов Сэймур Тельманович</t>
  </si>
  <si>
    <t>Омарова Нина Камиловна</t>
  </si>
  <si>
    <t>Драпова Екатерина Петровна</t>
  </si>
  <si>
    <t>Биярсланов Ахмед Шапиевич</t>
  </si>
  <si>
    <t>Шакиров Ильгам Ахнафович</t>
  </si>
  <si>
    <t>Зубкова Юлия Александровна</t>
  </si>
  <si>
    <t>Ларин Александр Сергеевич</t>
  </si>
  <si>
    <t>Аракелян Галина Сергеевна</t>
  </si>
  <si>
    <t>СРОК ПО 123-ФЗ</t>
  </si>
  <si>
    <t>Дата согласования</t>
  </si>
  <si>
    <t>Количество</t>
  </si>
  <si>
    <t>ВРЕМЯ</t>
  </si>
  <si>
    <t>Итого</t>
  </si>
  <si>
    <t>Время</t>
  </si>
  <si>
    <t>1. УТС в экспертизе, хотя БР; 2. Европротокол, но ограничение неустойки 400000, а не 100000;3. Неверная средняя стоимость НТЭ, т.к. НТЭ подготовлена 16.07.2018, а средняя стоимость взята за первое полугодие 2018;4. В резолютивной части УТС не БР, а отказ.</t>
  </si>
  <si>
    <t>Кассационная жалоба, не принимает эти доводы, т.к. есть вступившее в законную силу решение суда</t>
  </si>
  <si>
    <t>Прикреплено не то решение</t>
  </si>
  <si>
    <t>Среднее</t>
  </si>
  <si>
    <t>Прогноз</t>
  </si>
  <si>
    <t>Не прекращаем, одно требование БР, остальные рассматрвиаем</t>
  </si>
  <si>
    <t>Нет доказательств организации осмотра</t>
  </si>
  <si>
    <t>Осталось</t>
  </si>
  <si>
    <t>Взять мою версию. РОСГОС говорит, что оплатил неустойку, но платежки нет.</t>
  </si>
  <si>
    <t>ТОТАЛ, ВИНА</t>
  </si>
  <si>
    <t>Есть договор переуступки от цессионария к новому цессионарию</t>
  </si>
  <si>
    <t>1. Есть дкоументы, подтверждающие оплату экспертизы</t>
  </si>
  <si>
    <t>По договору КАСКО должны выдать ННР на дилера, но выдают не на дилера</t>
  </si>
  <si>
    <t>1. Просит неустойку на аварком; 2. Не те даты в полисе ОСАГО Заявителя; 3. Пропущена дата осмотра в формулировке о НТЭ ФО; 4. Неустойка не рассмотрена.</t>
  </si>
  <si>
    <t>НЕУСТОЙКА НА АВАРКОМА</t>
  </si>
  <si>
    <t>1. Рассмотрен не весь период начисления неустойки</t>
  </si>
  <si>
    <t>1. Наименование документа (удовлетворение вместо отказа); 2. Дата и номер уведомления о принятии к рассмотрению; 3. Лишнее требование (неустойка) в претензии/заявлении; 4. Дата и номер ответа на претензию/заявление</t>
  </si>
  <si>
    <t>1. Не тот виновник; 2. Не та страховая виновника; 3. Не тот номер машины Заявителя 4. В резолютивной части не согласованы падежи</t>
  </si>
  <si>
    <t>1. ФУ Вину не устанавливает, оснований для вызскания 100% нет; 2. Не прописаны выплаты с учетом обюдной вины; 3. Нет второй экспертизы ФО; 4. Не верная дата исчисления неустойки и расчет неустойки; 4. После правок не прописана экспертиза.</t>
  </si>
  <si>
    <t>1. Название НТЭ ФУ. 2. Средняя экспертиза не по тому субъекту РФ (Красноярск вместо Краснодара) 3. Дефектовка - другая мотивировка; 4. После правок дефектовка - не та мотивировка</t>
  </si>
  <si>
    <t>1. Не учтена одна выплата неустойки, поэтому вынесено удовлетворяющее решение вместо отказного</t>
  </si>
  <si>
    <t>САМ ВИНОВНИК</t>
  </si>
  <si>
    <t>НЕУСТОЙКА, СУДА</t>
  </si>
  <si>
    <t>1. У виновника указан не тот полис; 2. Не та дата 1й выплаты</t>
  </si>
  <si>
    <t>Заявление / претензия направлено не на тот адрес</t>
  </si>
  <si>
    <t>У-20-27789</t>
  </si>
  <si>
    <t>У-20-28255</t>
  </si>
  <si>
    <t>У-20-29724</t>
  </si>
  <si>
    <t>У-20-32433</t>
  </si>
  <si>
    <t>У-20-32496</t>
  </si>
  <si>
    <t>У-20-32828</t>
  </si>
  <si>
    <t>У-20-33288</t>
  </si>
  <si>
    <t>У-20-33374</t>
  </si>
  <si>
    <t>У-20-33541</t>
  </si>
  <si>
    <t>У-20-33626</t>
  </si>
  <si>
    <t>У-20-34169</t>
  </si>
  <si>
    <t>У-20-34319</t>
  </si>
  <si>
    <t>У-20-34600</t>
  </si>
  <si>
    <t>У-20-35589</t>
  </si>
  <si>
    <t>У-20-42226</t>
  </si>
  <si>
    <t>У-20-42241</t>
  </si>
  <si>
    <t>У-20-42292</t>
  </si>
  <si>
    <t>У-20-42345</t>
  </si>
  <si>
    <t>У-20-42372</t>
  </si>
  <si>
    <t>У-20-42460</t>
  </si>
  <si>
    <t>У-20-42475</t>
  </si>
  <si>
    <t>У-20-42553</t>
  </si>
  <si>
    <t>У-20-42634</t>
  </si>
  <si>
    <t>У-20-42748</t>
  </si>
  <si>
    <t>У-20-42918</t>
  </si>
  <si>
    <t>У-20-42939</t>
  </si>
  <si>
    <t>У-20-42957</t>
  </si>
  <si>
    <t>У-20-42991</t>
  </si>
  <si>
    <t>У-20-43132</t>
  </si>
  <si>
    <t>У-20-43135</t>
  </si>
  <si>
    <t>У-20-43197</t>
  </si>
  <si>
    <t>У-20-43231</t>
  </si>
  <si>
    <t>У-20-43300</t>
  </si>
  <si>
    <t>У-20-43321</t>
  </si>
  <si>
    <t>У-20-43359</t>
  </si>
  <si>
    <t>У-20-43447</t>
  </si>
  <si>
    <t>У-20-43461</t>
  </si>
  <si>
    <t>У-20-43475</t>
  </si>
  <si>
    <t>У-20-43508</t>
  </si>
  <si>
    <t>У-20-43516</t>
  </si>
  <si>
    <t>У-20-43624</t>
  </si>
  <si>
    <t>У-20-43650</t>
  </si>
  <si>
    <t>У-20-43694</t>
  </si>
  <si>
    <t>У-20-43915</t>
  </si>
  <si>
    <t>У-20-43942</t>
  </si>
  <si>
    <t>У-20-43951</t>
  </si>
  <si>
    <t>У-20-44033</t>
  </si>
  <si>
    <t>У-20-44054</t>
  </si>
  <si>
    <t>У-20-44071</t>
  </si>
  <si>
    <t>У-20-44004</t>
  </si>
  <si>
    <t>У-20-44137</t>
  </si>
  <si>
    <t>У-20-44217</t>
  </si>
  <si>
    <t>У-20-44238</t>
  </si>
  <si>
    <t>У-20-44244</t>
  </si>
  <si>
    <t>У-20-44247</t>
  </si>
  <si>
    <t>У-20-44269</t>
  </si>
  <si>
    <t>У-20-44289</t>
  </si>
  <si>
    <t>У-20-44403</t>
  </si>
  <si>
    <t>У-20-44467</t>
  </si>
  <si>
    <t>У-20-44519</t>
  </si>
  <si>
    <t>У-20-44626</t>
  </si>
  <si>
    <t>У-20-44642</t>
  </si>
  <si>
    <t>У-20-44691</t>
  </si>
  <si>
    <t>У-20-44704</t>
  </si>
  <si>
    <t>У-20-44788</t>
  </si>
  <si>
    <t>У-20-45166</t>
  </si>
  <si>
    <t>Самсонова Татьяна Ивановна</t>
  </si>
  <si>
    <t>Цветнов Виталий Николаевич</t>
  </si>
  <si>
    <t>Багиров Сергей Исрафилович</t>
  </si>
  <si>
    <t>Балахнин Сергей Владимирович</t>
  </si>
  <si>
    <t>Орлов Константин Иванович</t>
  </si>
  <si>
    <t>Арутюнян Армен Тигранович</t>
  </si>
  <si>
    <t>Акинина Ирина Николаевна</t>
  </si>
  <si>
    <t>Коков Батраз Феликсович</t>
  </si>
  <si>
    <t>Плакса Максим Сергеевич</t>
  </si>
  <si>
    <t>Пиндюрин Владимир Васильевич</t>
  </si>
  <si>
    <t>Лобан Дмитрий Анатольевич</t>
  </si>
  <si>
    <t>Шипарев Иван Александрович</t>
  </si>
  <si>
    <t>Донскова Наталья Николаевна</t>
  </si>
  <si>
    <t>Хамидуллин Артур Ануварович</t>
  </si>
  <si>
    <t>Дюдюкин Евгений Сергеевич</t>
  </si>
  <si>
    <t>Сологуб Егор Артёмович</t>
  </si>
  <si>
    <t>Пахомова Людмила Эвальдовна</t>
  </si>
  <si>
    <t>Чугуев Сослан Хсарбекович</t>
  </si>
  <si>
    <t>Попов Антон Андреевич</t>
  </si>
  <si>
    <t>Титов Владимир Анатольевич</t>
  </si>
  <si>
    <t>Морозов Иван Владимирович</t>
  </si>
  <si>
    <t>Хабибуллина Альфия Хоснулловна</t>
  </si>
  <si>
    <t>Керейтов Магомед Амербиевич</t>
  </si>
  <si>
    <t>Андреева Татьяна Васильевна</t>
  </si>
  <si>
    <t>Кремер Анатолий Александрович</t>
  </si>
  <si>
    <t>Сергиевская Екатерина Витальевна</t>
  </si>
  <si>
    <t>Жовтяк Дмитрий Евгеньевич</t>
  </si>
  <si>
    <t>Волков Станислав Валерьевич</t>
  </si>
  <si>
    <t>Зуйков Максим Андреевич</t>
  </si>
  <si>
    <t>Хадуев Аюб Шерипович</t>
  </si>
  <si>
    <t>Кадыралиева Алина Калметовна</t>
  </si>
  <si>
    <t>Каблов Максим Николаевич</t>
  </si>
  <si>
    <t>Смирнов Сергей Анатольевич</t>
  </si>
  <si>
    <t>Верещако Светлана Владимировна</t>
  </si>
  <si>
    <t>Членов Леонид Анатольевич</t>
  </si>
  <si>
    <t>Зульфигаров Адиль Вахаб Оглы</t>
  </si>
  <si>
    <t>Минрахимова Татьяна Сергеевна</t>
  </si>
  <si>
    <t>Кудряшов Алексей Алексеевич</t>
  </si>
  <si>
    <t>Садыков Рустам Ривальевич</t>
  </si>
  <si>
    <t>Булев Георгий Артурович</t>
  </si>
  <si>
    <t>Худякова Наталья Викторовна</t>
  </si>
  <si>
    <t>Шаймухаметов Вадим Рауфович</t>
  </si>
  <si>
    <t>Щербаков Александр Владимирович</t>
  </si>
  <si>
    <t>Трухачев Василий Викторович</t>
  </si>
  <si>
    <t>Буторин Сергей Николаевич</t>
  </si>
  <si>
    <t>Мушкин Андрей Анатольевич</t>
  </si>
  <si>
    <t>Григорьев Иван Иванович</t>
  </si>
  <si>
    <t>Алферова Татьяна Ивановна</t>
  </si>
  <si>
    <t>Журлов Сергей Сергеевич</t>
  </si>
  <si>
    <t>Щукина Елена Ивановна</t>
  </si>
  <si>
    <t>Лазарев Алексей Алексеевич</t>
  </si>
  <si>
    <t>Гребнева Ирина Анатольевна</t>
  </si>
  <si>
    <t>Чикина Елена Игоревна</t>
  </si>
  <si>
    <t>Валиахметова Наталия Андреевна</t>
  </si>
  <si>
    <t>Фоминова Лидия Алексеевна</t>
  </si>
  <si>
    <t>Аулов Павел Александрович</t>
  </si>
  <si>
    <t>Полюховский Никита Дмитриевич</t>
  </si>
  <si>
    <t>Юшманов Виталий Александрович</t>
  </si>
  <si>
    <t>Каримова Лилия Минихановна</t>
  </si>
  <si>
    <t>Неделько Валентина Владимировна</t>
  </si>
  <si>
    <t>Молоканова Ольга Алексеевна</t>
  </si>
  <si>
    <t>Мачульская Яна Александровна</t>
  </si>
  <si>
    <t>Пикалев Евгений Александрович</t>
  </si>
  <si>
    <t>Дьяконов Михаил Сергеевич</t>
  </si>
  <si>
    <t>Нечипорчук Вера Николаевна</t>
  </si>
  <si>
    <t>Прекращаем, т.к. был суд с цессионарием</t>
  </si>
  <si>
    <t>ФС, РЕШЕНИЕ ФУ</t>
  </si>
  <si>
    <t>1. Не учтено ранее вынесенное решение ФУ; 2. Не та дата ДТП; 3. Не то требование (страховое вместо неустойки); 4. ФС по момент выдачи ННР, а не выплаты</t>
  </si>
  <si>
    <t>Инвалид. Не доказал использование ТС в связи с инвалидностью</t>
  </si>
  <si>
    <t>Просит неустойку на неустойку</t>
  </si>
  <si>
    <t>1. Просит неустойку на неустойку, рассматриваем только те требования, которые заявлены, поэтому отказ</t>
  </si>
  <si>
    <t>1. Другая дата обращения с УТС; 2. НТЭ Заявтеля отказываем, т.к. квитанция на цессионария</t>
  </si>
  <si>
    <t>Иждивение устанавливает только суд</t>
  </si>
  <si>
    <t>1. Не прописан ремонт (когда сдали, когда приняли из ремонта); 2. Нет анализа сроко выполнения ремонта</t>
  </si>
  <si>
    <t>DONE</t>
  </si>
  <si>
    <t>ALL</t>
  </si>
  <si>
    <t>Эпов Евгений Яковлевич</t>
  </si>
  <si>
    <t>Харьковский Андрей Игоревич</t>
  </si>
  <si>
    <t>Зинатуллин Ильдар Рауфович</t>
  </si>
  <si>
    <t>12.05 - 15.05</t>
  </si>
  <si>
    <t>06.05 - 08.05</t>
  </si>
  <si>
    <t>18.05 - 22.05</t>
  </si>
  <si>
    <t>Эвакуатор, неустойка на эвакуатор</t>
  </si>
  <si>
    <t>1. Взыскиваем эвакуатор, т.к. с места ДТП</t>
  </si>
  <si>
    <t>Проверено, загружена моя версия, нужно только загрузить на верную дату (15.05.2020)</t>
  </si>
  <si>
    <t>У-20-35390</t>
  </si>
  <si>
    <t>У-20-35405</t>
  </si>
  <si>
    <t>У-20-36579</t>
  </si>
  <si>
    <t>У-20-36681</t>
  </si>
  <si>
    <t>У-20-44987</t>
  </si>
  <si>
    <t>У-20-45086</t>
  </si>
  <si>
    <t>У-20-45088</t>
  </si>
  <si>
    <t>У-20-45184</t>
  </si>
  <si>
    <t>У-20-45461</t>
  </si>
  <si>
    <t>У-20-45478</t>
  </si>
  <si>
    <t>У-20-45518</t>
  </si>
  <si>
    <t>У-20-45575</t>
  </si>
  <si>
    <t>У-20-45598</t>
  </si>
  <si>
    <t>У-20-45776</t>
  </si>
  <si>
    <t>У-20-45803</t>
  </si>
  <si>
    <t>У-20-45853</t>
  </si>
  <si>
    <t>У-20-45911</t>
  </si>
  <si>
    <t>У-20-46023</t>
  </si>
  <si>
    <t>У-20-46195</t>
  </si>
  <si>
    <t>У-20-46216</t>
  </si>
  <si>
    <t>У-20-46237</t>
  </si>
  <si>
    <t>У-20-46274</t>
  </si>
  <si>
    <t>У-20-46348</t>
  </si>
  <si>
    <t>У-20-46372</t>
  </si>
  <si>
    <t>У-20-46417</t>
  </si>
  <si>
    <t>У-20-46442</t>
  </si>
  <si>
    <t>У-20-46465</t>
  </si>
  <si>
    <t>У-20-46486</t>
  </si>
  <si>
    <t>У-20-46626</t>
  </si>
  <si>
    <t>У-20-46632</t>
  </si>
  <si>
    <t>У-20-46672</t>
  </si>
  <si>
    <t>У-20-46679</t>
  </si>
  <si>
    <t>У-20-46724</t>
  </si>
  <si>
    <t>У-20-46758</t>
  </si>
  <si>
    <t>У-20-46762</t>
  </si>
  <si>
    <t>У-20-46767</t>
  </si>
  <si>
    <t>У-20-46837</t>
  </si>
  <si>
    <t>У-20-46992</t>
  </si>
  <si>
    <t>У-20-47093</t>
  </si>
  <si>
    <t>У-20-47173</t>
  </si>
  <si>
    <t>У-20-47413</t>
  </si>
  <si>
    <t>У-20-47478</t>
  </si>
  <si>
    <t>Стародубов Владимир Анатольевич</t>
  </si>
  <si>
    <t>Дарбинян Норайр Арамович</t>
  </si>
  <si>
    <t>Попов Александр Владимирович</t>
  </si>
  <si>
    <t>Барабошин Владимир Анатольевич</t>
  </si>
  <si>
    <t>Чекалов Олег Викторович</t>
  </si>
  <si>
    <t>Мкртчян Арам Карапетович</t>
  </si>
  <si>
    <t>Евращенко Екатерина Вадимовна</t>
  </si>
  <si>
    <t>Минина Ольга Андреевна</t>
  </si>
  <si>
    <t>Крюков Федор Андреевич</t>
  </si>
  <si>
    <t>Иванов Николай Викторович</t>
  </si>
  <si>
    <t>Раленский Тимофей Константинович</t>
  </si>
  <si>
    <t>Шапошникова Елена Валерьевна</t>
  </si>
  <si>
    <t>Маркатюк Павел Иванович</t>
  </si>
  <si>
    <t>Вагнер Антон Сергеевич</t>
  </si>
  <si>
    <t>Заезжай Анатолий Владимирович</t>
  </si>
  <si>
    <t>Кулинич Владислав Викторович</t>
  </si>
  <si>
    <t>Буйлов Олег Васильевич</t>
  </si>
  <si>
    <t>Максименко Виктор Валерьевич</t>
  </si>
  <si>
    <t>Войтулевич Роман Анатольевич</t>
  </si>
  <si>
    <t>Устинов Станислав Александрович</t>
  </si>
  <si>
    <t>Семенов Захар Леонидович</t>
  </si>
  <si>
    <t>Кочиев Илья Георгиевич</t>
  </si>
  <si>
    <t>Ананьев Олег Михайлович</t>
  </si>
  <si>
    <t>Набиуллин Ринат Гафурович</t>
  </si>
  <si>
    <t>Илюшин Дмитрий Анатольевич</t>
  </si>
  <si>
    <t>Попова Елена Владимировна</t>
  </si>
  <si>
    <t>Крайнюк Андрей Емельянович</t>
  </si>
  <si>
    <t>Кожемякина Олеся Владимировна</t>
  </si>
  <si>
    <t>Антипов Дмитрий Александрович</t>
  </si>
  <si>
    <t>Крючко Валентина Степановна</t>
  </si>
  <si>
    <t>Забродин Павел Максимович</t>
  </si>
  <si>
    <t>Яров Денис Викторович</t>
  </si>
  <si>
    <t>Дементьева Юлия Валерьевна</t>
  </si>
  <si>
    <t>Воробьев Дмитрий Александрович</t>
  </si>
  <si>
    <t>Шаповалов Роман Олегович</t>
  </si>
  <si>
    <t>Болотов Геннадий Романович</t>
  </si>
  <si>
    <t>Соловьев Эдуард Георгиевич</t>
  </si>
  <si>
    <t>Козин Дмитрий Федорович</t>
  </si>
  <si>
    <t>Пекельдин Игорь Сергеевич</t>
  </si>
  <si>
    <t>Качмазов Чермен Славикович</t>
  </si>
  <si>
    <t>Рожок Михаил Анатольевич</t>
  </si>
  <si>
    <t>Буявчи Дамир Рахимзянович</t>
  </si>
  <si>
    <t>1. Выплата с учетом стоимости экспертизы</t>
  </si>
  <si>
    <t>1. Есть сведения о полисе виновника; 2. Неверно определена дата выплаты по решению суда</t>
  </si>
  <si>
    <t>БАНК</t>
  </si>
  <si>
    <t>1. Выгодоприобретатель - банк</t>
  </si>
  <si>
    <t>Выгодоприобретатель банк</t>
  </si>
  <si>
    <t>ТОТАЛ, нет распорядительного письма от банка. Выгодоприобретатель банк</t>
  </si>
  <si>
    <t>Отложенная неустойка. Выгодоприобретатель банк</t>
  </si>
  <si>
    <t>ННР в срок, но нарушены сроки ремонта. Обоснвоание хранения</t>
  </si>
  <si>
    <t>Спор по сумме. Выплатили с учетом неустойки</t>
  </si>
  <si>
    <t>Период до суда и после</t>
  </si>
  <si>
    <t>1. Нет спора по сумме, НТЭ не нужна; 2. Есть паспортные данные</t>
  </si>
  <si>
    <t>Недееспособная потерпевшая, опекунство. Не понятно жизнь или здоровье</t>
  </si>
  <si>
    <t>Соглашение о расторжении цессии не подписано</t>
  </si>
  <si>
    <t>1. Соглашение о расторжении цессии не подписано, основания для рассмотрения нет.</t>
  </si>
  <si>
    <t>Выплата приостановлена на основании 4.26 Правил. Зависит от уголовного дела</t>
  </si>
  <si>
    <t>ПРИОСТАНОВЛЕНИЕ</t>
  </si>
  <si>
    <t>1. Нет спора по сумме, НТЭ не нужна</t>
  </si>
  <si>
    <t>Соглашение подписано представителем. Заявитель утверждает, что ничего не подписывал</t>
  </si>
  <si>
    <t>Фара лежала на дороге, наехала фура, сломала. Но нет фото</t>
  </si>
  <si>
    <t>ДОКУМЕНТЫ</t>
  </si>
  <si>
    <t>Запрашивают надлежащим образом заверенные копии постановления (с синей печатью), но есть опись вложения, согласно которой документы предоставлены</t>
  </si>
  <si>
    <t>1. Неверно указана дата обращения, в силу чего произведен неравильный расчет неустойки</t>
  </si>
  <si>
    <t>Не правильно посчитали КБМ, но потом пересчитали, просит юриста, МВ, почту</t>
  </si>
  <si>
    <t>1. Экспертиза до 01.06.2019, но прописана как после. 2. Экспертиза не указана в описательной части</t>
  </si>
  <si>
    <t>1. Неверно определен период начисления неустойки, неверная дата выдачи ННР; 3. неправильные требования в претензии</t>
  </si>
  <si>
    <t>ЗАПРОС ДОКУМЕНТОВ</t>
  </si>
  <si>
    <t>Нарушен срок запроса документов</t>
  </si>
  <si>
    <t>1. Решение суда по другому предмету (другой участник ДТП)</t>
  </si>
  <si>
    <t>25.05 - 29.05</t>
  </si>
  <si>
    <t>РАСТОРЖЕНИЕ ОСАГО</t>
  </si>
  <si>
    <t>Требвоание о расторжении договора ОСАГО, изменении КБМ</t>
  </si>
  <si>
    <t>У-20-33213</t>
  </si>
  <si>
    <t>У-20-33502</t>
  </si>
  <si>
    <t>У-20-36990</t>
  </si>
  <si>
    <t>У-20-38345</t>
  </si>
  <si>
    <t>У-20-39052</t>
  </si>
  <si>
    <t>У-20-39302</t>
  </si>
  <si>
    <t>У-20-39995</t>
  </si>
  <si>
    <t>У-20-40437</t>
  </si>
  <si>
    <t>У-20-47067</t>
  </si>
  <si>
    <t>У-20-47097</t>
  </si>
  <si>
    <t>У-20-47150</t>
  </si>
  <si>
    <t>У-20-47165</t>
  </si>
  <si>
    <t>У-20-47198</t>
  </si>
  <si>
    <t>У-20-47241</t>
  </si>
  <si>
    <t>У-20-47297</t>
  </si>
  <si>
    <t>У-20-47602</t>
  </si>
  <si>
    <t>У-20-47607</t>
  </si>
  <si>
    <t>У-20-47630</t>
  </si>
  <si>
    <t>У-20-47788</t>
  </si>
  <si>
    <t>У-20-47816</t>
  </si>
  <si>
    <t>У-20-47873</t>
  </si>
  <si>
    <t>У-20-47931</t>
  </si>
  <si>
    <t>У-20-48054</t>
  </si>
  <si>
    <t>У-20-48057</t>
  </si>
  <si>
    <t>У-20-48077</t>
  </si>
  <si>
    <t>У-20-48201</t>
  </si>
  <si>
    <t>У-20-48255</t>
  </si>
  <si>
    <t>У-20-48257</t>
  </si>
  <si>
    <t>У-20-48368</t>
  </si>
  <si>
    <t>У-20-48387</t>
  </si>
  <si>
    <t>У-20-48433</t>
  </si>
  <si>
    <t>У-20-48618</t>
  </si>
  <si>
    <t>У-20-48708</t>
  </si>
  <si>
    <t>У-20-48732</t>
  </si>
  <si>
    <t>У-20-48837</t>
  </si>
  <si>
    <t>У-20-48882</t>
  </si>
  <si>
    <t>У-20-48885</t>
  </si>
  <si>
    <t>У-20-48933</t>
  </si>
  <si>
    <t>У-20-48966</t>
  </si>
  <si>
    <t>У-20-48985</t>
  </si>
  <si>
    <t>У-20-49005</t>
  </si>
  <si>
    <t>У-20-49014</t>
  </si>
  <si>
    <t>У-20-49065</t>
  </si>
  <si>
    <t>У-20-49289</t>
  </si>
  <si>
    <t>У-20-49302</t>
  </si>
  <si>
    <t>У-20-49375</t>
  </si>
  <si>
    <t>У-20-49381</t>
  </si>
  <si>
    <t>У-20-49388</t>
  </si>
  <si>
    <t>У-20-49400</t>
  </si>
  <si>
    <t>У-20-49407</t>
  </si>
  <si>
    <t>У-20-49432</t>
  </si>
  <si>
    <t>У-20-49482</t>
  </si>
  <si>
    <t>У-20-49489</t>
  </si>
  <si>
    <t>У-20-49548</t>
  </si>
  <si>
    <t>У-20-49561</t>
  </si>
  <si>
    <t>У-20-50414</t>
  </si>
  <si>
    <t>У-20-50436</t>
  </si>
  <si>
    <t>У-20-50466</t>
  </si>
  <si>
    <t>У-20-50558</t>
  </si>
  <si>
    <t>У-20-50566</t>
  </si>
  <si>
    <t>У-20-50569</t>
  </si>
  <si>
    <t>У-20-50590</t>
  </si>
  <si>
    <t>У-20-50647</t>
  </si>
  <si>
    <t>У-20-50675</t>
  </si>
  <si>
    <t>У-20-50682</t>
  </si>
  <si>
    <t>У-20-50721</t>
  </si>
  <si>
    <t>У-20-50790</t>
  </si>
  <si>
    <t>У-20-50808</t>
  </si>
  <si>
    <t>У-20-51000</t>
  </si>
  <si>
    <t>У-20-51011</t>
  </si>
  <si>
    <t>У-20-51062</t>
  </si>
  <si>
    <t>У-20-51066</t>
  </si>
  <si>
    <t>У-20-51103</t>
  </si>
  <si>
    <t>У-20-51128</t>
  </si>
  <si>
    <t>У-20-51192</t>
  </si>
  <si>
    <t>У-20-51244</t>
  </si>
  <si>
    <t>У-20-51255</t>
  </si>
  <si>
    <t>У-20-51286</t>
  </si>
  <si>
    <t>У-20-51305</t>
  </si>
  <si>
    <t>У-20-51313</t>
  </si>
  <si>
    <t>У-20-51335</t>
  </si>
  <si>
    <t>У-20-51354</t>
  </si>
  <si>
    <t>У-20-51374</t>
  </si>
  <si>
    <t>У-20-51454</t>
  </si>
  <si>
    <t>У-20-51488</t>
  </si>
  <si>
    <t>У-20-51548</t>
  </si>
  <si>
    <t>У-20-51559</t>
  </si>
  <si>
    <t>У-20-51573</t>
  </si>
  <si>
    <t>У-20-51603</t>
  </si>
  <si>
    <t>У-20-51607</t>
  </si>
  <si>
    <t>У-20-51610</t>
  </si>
  <si>
    <t>У-20-51641</t>
  </si>
  <si>
    <t>У-20-51653</t>
  </si>
  <si>
    <t>У-20-51661</t>
  </si>
  <si>
    <t>У-20-51682</t>
  </si>
  <si>
    <t>У-20-51786</t>
  </si>
  <si>
    <t>У-20-51857</t>
  </si>
  <si>
    <t>У-20-51869</t>
  </si>
  <si>
    <t>У-20-51911</t>
  </si>
  <si>
    <t>У-20-51945</t>
  </si>
  <si>
    <t>У-20-51946</t>
  </si>
  <si>
    <t>У-20-52029</t>
  </si>
  <si>
    <t>У-20-52050</t>
  </si>
  <si>
    <t>У-20-52066</t>
  </si>
  <si>
    <t>У-20-52075</t>
  </si>
  <si>
    <t>У-20-52244</t>
  </si>
  <si>
    <t>У-20-52281</t>
  </si>
  <si>
    <t>У-20-52326</t>
  </si>
  <si>
    <t>У-20-52371</t>
  </si>
  <si>
    <t>У-20-52431</t>
  </si>
  <si>
    <t>У-20-52514</t>
  </si>
  <si>
    <t>У-20-52537</t>
  </si>
  <si>
    <t>У-20-52546</t>
  </si>
  <si>
    <t>У-20-52553</t>
  </si>
  <si>
    <t>У-20-52566</t>
  </si>
  <si>
    <t>У-20-52628</t>
  </si>
  <si>
    <t>У-20-52630</t>
  </si>
  <si>
    <t>У-20-52642</t>
  </si>
  <si>
    <t>У-20-52643</t>
  </si>
  <si>
    <t>У-20-52735</t>
  </si>
  <si>
    <t>У-20-52759</t>
  </si>
  <si>
    <t>У-20-52897</t>
  </si>
  <si>
    <t>У-20-52960</t>
  </si>
  <si>
    <t>У-20-52963</t>
  </si>
  <si>
    <t>У-20-53014</t>
  </si>
  <si>
    <t>Заец Леонид Тадеушович</t>
  </si>
  <si>
    <t>Посунько Вадим Сергеевич</t>
  </si>
  <si>
    <t>Галочкин Иван Петрович</t>
  </si>
  <si>
    <t>Ягольник Денис Валентинович</t>
  </si>
  <si>
    <t>Долаков Руслан Аптийевич</t>
  </si>
  <si>
    <t>Дзюба Ольга Михайловна</t>
  </si>
  <si>
    <t>Фролов Кирилл Анатольевич</t>
  </si>
  <si>
    <t>Быкова Елена Владимировна</t>
  </si>
  <si>
    <t>Горбанева Людмила Николаевна</t>
  </si>
  <si>
    <t>Ситников Родион Эдуардович</t>
  </si>
  <si>
    <t>Акопян Сусанна Вагаршаковна</t>
  </si>
  <si>
    <t>Тасаев Николай Геннадьевич</t>
  </si>
  <si>
    <t>Андрианова Светлана Николаевна</t>
  </si>
  <si>
    <t>Алиханова Ольга Федоровна</t>
  </si>
  <si>
    <t>Февралев Вячеслав Валерьевич</t>
  </si>
  <si>
    <t>Артеменко Татьяна Александровна</t>
  </si>
  <si>
    <t>Губерниева Ирина Александровна</t>
  </si>
  <si>
    <t>Лукьянова Ирина Александровна</t>
  </si>
  <si>
    <t>Шамин Константин Васильевич</t>
  </si>
  <si>
    <t>Биктагиров Рифат Рафикович</t>
  </si>
  <si>
    <t>Крылов Олег Витальевич</t>
  </si>
  <si>
    <t>Ходжоян Вартан Грачикович</t>
  </si>
  <si>
    <t>Гирагосян Грачик Капрелович</t>
  </si>
  <si>
    <t>Пустов Евгений Сергеевич</t>
  </si>
  <si>
    <t>Смирнов Сергей Николаевич</t>
  </si>
  <si>
    <t>Суворов Сергей Николаевич</t>
  </si>
  <si>
    <t>Бурдыга Дмитрий Александрович</t>
  </si>
  <si>
    <t>Шакиров Артур Марсович</t>
  </si>
  <si>
    <t>Зозуля Нина Степановна</t>
  </si>
  <si>
    <t>Волков Антон Валерьевич</t>
  </si>
  <si>
    <t>Магомедов Махач Магомедович</t>
  </si>
  <si>
    <t>МАКУНИНА НАТАЛИЯ НИКОЛАЕВНА</t>
  </si>
  <si>
    <t>Ремизов Роман Сергеевич</t>
  </si>
  <si>
    <t>Кореев Олег Сергеевич</t>
  </si>
  <si>
    <t>Комаров Евгений Сергеевич</t>
  </si>
  <si>
    <t>Казиев Закиф Мирзабалаевич</t>
  </si>
  <si>
    <t>Гулаков Анатолий Александрович</t>
  </si>
  <si>
    <t>Рыбкин Дмитрий Сергеечич</t>
  </si>
  <si>
    <t>Апресян Лаура Николаевна</t>
  </si>
  <si>
    <t>Тугуз Тимур Байзетович</t>
  </si>
  <si>
    <t>Искужина Зифа Ягудовна</t>
  </si>
  <si>
    <t>Макарова Валентина Михайловна</t>
  </si>
  <si>
    <t>Власов Яков Анатольевич</t>
  </si>
  <si>
    <t>Эрзиманов Эдман Гаджиметович</t>
  </si>
  <si>
    <t>Казаков Павел Викторович</t>
  </si>
  <si>
    <t>Ханов Альберт Гависович</t>
  </si>
  <si>
    <t>Даниелян Артак Давидович</t>
  </si>
  <si>
    <t>Еремин Роман Александрович</t>
  </si>
  <si>
    <t>Набойченко Владимир Александрович</t>
  </si>
  <si>
    <t>Щеглов Александр Валерьевич</t>
  </si>
  <si>
    <t>Карев Антон Александрович</t>
  </si>
  <si>
    <t>Новиков Валентин Анатольевич</t>
  </si>
  <si>
    <t>Третьякова Анжелика Леонидовна</t>
  </si>
  <si>
    <t>Арутюнян Роман Арменович</t>
  </si>
  <si>
    <t>Лымарь Вячеслав Юрьевич</t>
  </si>
  <si>
    <t>Гасанов Телман Аскер Оглы</t>
  </si>
  <si>
    <t>Цыганов Владимир Владимирович</t>
  </si>
  <si>
    <t>Татьянина Анастасия Васильевна</t>
  </si>
  <si>
    <t>Панеш Саригат Махмудовна</t>
  </si>
  <si>
    <t>Хайми Антон Владмирович</t>
  </si>
  <si>
    <t>Волокитин Александр Леонидович</t>
  </si>
  <si>
    <t>Гурциев Сармат Владимирович</t>
  </si>
  <si>
    <t>Нурияхметов Роман Рустемович</t>
  </si>
  <si>
    <t>Матюшкина Юлия Витальевна</t>
  </si>
  <si>
    <t>Алексеенко Алиса Сергеевна</t>
  </si>
  <si>
    <t>Торощин Станислав Анатольевич</t>
  </si>
  <si>
    <t>Закиров Ринат Рафисович</t>
  </si>
  <si>
    <t>Несмеянов Александр Александрович</t>
  </si>
  <si>
    <t>Осипов Игорь Владимирович</t>
  </si>
  <si>
    <t>Зарецкая Светлана Вячеславовна</t>
  </si>
  <si>
    <t>Тер-Маркарьян Борис Мхитарович</t>
  </si>
  <si>
    <t>Шатц Лариса Юрьевна</t>
  </si>
  <si>
    <t>Крамаренко Иван Сергеевич</t>
  </si>
  <si>
    <t>Вагидов Нариман Назимович</t>
  </si>
  <si>
    <t>Асваров Руслан Ферзалиевич</t>
  </si>
  <si>
    <t>Сидоров Сергей Владимирович</t>
  </si>
  <si>
    <t>Лютов Андрей Владимирович</t>
  </si>
  <si>
    <t>Агабабян Геворг Ишханович</t>
  </si>
  <si>
    <t>Сугибин Руслан Александрович</t>
  </si>
  <si>
    <t>Мандрица Ольга Витальевна</t>
  </si>
  <si>
    <t>Головко Александр Александрович</t>
  </si>
  <si>
    <t>РЫЖОВА ЕВГЕНИЯ ВЛАДИМИРОВНА</t>
  </si>
  <si>
    <t>Сафронов Алексей Викторович</t>
  </si>
  <si>
    <t>Кузько Константин Александрович</t>
  </si>
  <si>
    <t>Авагян Сергей Маратович</t>
  </si>
  <si>
    <t>Романова Ирина Анатольевна</t>
  </si>
  <si>
    <t>Петикян Оганнес Назаретович</t>
  </si>
  <si>
    <t>Дмитриев Сергей Сергеевич</t>
  </si>
  <si>
    <t>Пятков Анатолий Геннадьевич</t>
  </si>
  <si>
    <t>Устюжанина Наталья Юрьевна</t>
  </si>
  <si>
    <t>Фидяев Евгений Петрович</t>
  </si>
  <si>
    <t>Дзкуя Астамур Сатбеевич</t>
  </si>
  <si>
    <t>Рыжкова Виктория Евгеньевна</t>
  </si>
  <si>
    <t>Колтыгин Евгений Михайлович</t>
  </si>
  <si>
    <t>Вереницин Денис Сергеевич</t>
  </si>
  <si>
    <t>Муртазалиева Савадат Хизбулаевна</t>
  </si>
  <si>
    <t>Хапаев Азамат Азретович</t>
  </si>
  <si>
    <t>Крашенинников Евгений Иванович</t>
  </si>
  <si>
    <t>Мкртчян Ваграм Юрикович</t>
  </si>
  <si>
    <t>Айдов Станислав Рудольфович</t>
  </si>
  <si>
    <t>Бахвалова Анна Викторовна</t>
  </si>
  <si>
    <t>Белявский Иван Георгиевич</t>
  </si>
  <si>
    <t>Ксенофонтова Ксения Викторовна</t>
  </si>
  <si>
    <t>Шихмагомедов Магомед Салимович</t>
  </si>
  <si>
    <t>Тапанов Кисметулла Гумарович</t>
  </si>
  <si>
    <t>Хрусталев Виктор Сергеевич</t>
  </si>
  <si>
    <t>Апасеев Алексей Сергеевич</t>
  </si>
  <si>
    <t>Боряков Андрей Васильевич</t>
  </si>
  <si>
    <t>Бачинин Валерий Ильич</t>
  </si>
  <si>
    <t>Курочкин Геннадий Васильевич</t>
  </si>
  <si>
    <t>Кузнецова Ольга Константиновна</t>
  </si>
  <si>
    <t>Магомедов Ислам Абдусаматович</t>
  </si>
  <si>
    <t>Жмыхова Светлана Егоровна</t>
  </si>
  <si>
    <t>АО "Страховая компания АСКО-Центр"</t>
  </si>
  <si>
    <t>Летаев Юрий Васильевич</t>
  </si>
  <si>
    <t>Владимирова Наталья Николаевна</t>
  </si>
  <si>
    <t>МИНАСЯН ГАРАГИН Якович</t>
  </si>
  <si>
    <t>Рыбин Эдуард Александрович</t>
  </si>
  <si>
    <t>Тишкин Александр Сергеевич</t>
  </si>
  <si>
    <t>Сыроваткина Валентина Петровна</t>
  </si>
  <si>
    <t>Каплина Евгения Олеговна</t>
  </si>
  <si>
    <t>Токарева Эльвира Сергеевна</t>
  </si>
  <si>
    <t>Апостолова Жанна Анатольевна</t>
  </si>
  <si>
    <t>Насыров Данила Викторович</t>
  </si>
  <si>
    <t>Алиев Артур Алиевич</t>
  </si>
  <si>
    <t>суд отказал во взыскании страхового возмещения, в силу того, что ТС не предоставлено на осмотр, потом предоставил, было выдано ННР, но не в срок, и мы взыскали</t>
  </si>
  <si>
    <t>1. Неверно расчитана ФС; 2. В отложенной неустойке не учтена сумма взысканной ФС</t>
  </si>
  <si>
    <t>Частичный отказ в повреждениях (ремонт)</t>
  </si>
  <si>
    <t>1. Экспертиза и юр услуги оставлены БР, хотя требования были заявлены в претензии</t>
  </si>
  <si>
    <t>1. Заявитель не застрахован; 2. Не начислена неустойка на расходы на погребение 3. Не прописана мотивировка почему взыскиваем (решение ФУ исполнено не в срок)</t>
  </si>
  <si>
    <t>Не предоставил документ о праве собственности на ТС</t>
  </si>
  <si>
    <t>1. Не прописан суд; 2. Когда прописала, указала, что суд взыскал, но он отказал..</t>
  </si>
  <si>
    <t>Last DOC</t>
  </si>
  <si>
    <t>Не возможно определить период неустойки, взысканной судом</t>
  </si>
  <si>
    <t>УТС, ДОБР ИСП</t>
  </si>
  <si>
    <t>1. Претензионный порядок соблюден; 2. Опечатка в дате выплаты неустойки</t>
  </si>
  <si>
    <t>1. Возврата комплекта документов не было</t>
  </si>
  <si>
    <t>CONTACT</t>
  </si>
  <si>
    <t>Выплата по системе контакт, но есть письмо от банка, что выплаты через contact не осуществляются</t>
  </si>
  <si>
    <t>1. Не дана оценка доводам Завителя о том, что банк не осуществляет выплаты по системе CONTACT</t>
  </si>
  <si>
    <t>НЕ ВПИСАН В ПОЛИС</t>
  </si>
  <si>
    <t>Водитель не вписан в полис</t>
  </si>
  <si>
    <t>1. Переписано вынесенное, решение, документы не анализировались; 2. Нет обращения к ФУ; 2. Нет досудебное претензии; 3. Нет выплаты неустойки; 4. неверная оценка по экспертизе (отказана как после 01.06, хотя по факту проведена в 2016 году)</t>
  </si>
  <si>
    <t>1. Не проанализирована первая выплата</t>
  </si>
  <si>
    <t>Неустйока на сроки выполнения ремонта</t>
  </si>
  <si>
    <t>1. Не тот виновник; 2. Указаны неверные даты, взяты из прошлого решения</t>
  </si>
  <si>
    <t>1. Не указана экспертиза ФО; 2. Не верные номер и дата обращения; 3. Неверно расчитана неустойка (неправильно посчитан период)</t>
  </si>
  <si>
    <t>НЕУСТОЙКА, ФС, СУД</t>
  </si>
  <si>
    <t>1. Неверно определена дата обращения в ФО; 2. Не прописан первый суд; 3. Не прописано второе обращение в ФО с заявлением</t>
  </si>
  <si>
    <t>1. Не указан полис Заявителя, хотя он есть</t>
  </si>
  <si>
    <t>Прописали, что нет сведений о получении ННР Заявителем, хотя он утверждает, что получил</t>
  </si>
  <si>
    <t>Нет сведений о выплате другой ФО, тогда как полис, по которому идет Заявитель заключен после 01.05.2019</t>
  </si>
  <si>
    <t>Неидентифицированные расходы</t>
  </si>
  <si>
    <t>1. Указано, что ДТП без участия, хотя есть справка и постановление 2. Нет абзаца про сроки рассмотрения претензии</t>
  </si>
  <si>
    <t>НЕУСТОЙКА, СУД, ФУ</t>
  </si>
  <si>
    <t>1. Не разобралась в требованиях; 2. Мотивировка не соответствует сути решения</t>
  </si>
  <si>
    <t>Просит неустойку на неустойку. Суд 1 взыскивает неустойку. Потом Суд 2 взыскивает страховое. Потом ФУ взыскивает неустойку в том чилсе за период, взысканный судом. Отказываем, т.к. общая сумма выплаченной неустойки уже превышает установленную законом</t>
  </si>
  <si>
    <t>1. Не тот паспорт; 2. Не та дата в претензии; 3. Ошибка в номере ТС виновника</t>
  </si>
  <si>
    <t>1. Не тот полис виновника; 2. Не тот виновник; 3. Не дана оценка доводам Заявителя о подписании соглашения</t>
  </si>
  <si>
    <t>1. Не тот виновник; 2. Не та дата ДТП, 3. Опечатка в марке ТС; 4. Опечатка в названии НТЭ Заявителя</t>
  </si>
  <si>
    <t>1. Потерпевшая не пассажир, а пешеход; 2. Опечатка в номере ТС виновника</t>
  </si>
  <si>
    <t>Договор цессии не расторгнут</t>
  </si>
  <si>
    <t>Выдали не в срок</t>
  </si>
  <si>
    <t>Проверил, версия годная. Ждем документы на оплату неустойки от ФО</t>
  </si>
  <si>
    <t>1. Неустойка начислена не на все выплаты и периоды</t>
  </si>
  <si>
    <t xml:space="preserve">НЕУСТОЙКА, </t>
  </si>
  <si>
    <t>Count</t>
  </si>
  <si>
    <t>В договоре цессии указана другая дата ДТП и другая ФО. Направил Эдуарду посмотреть, должен переложить и я согласую. Есть договор с ФО с перной датой и ФО, но не верный № договора ОСАГО</t>
  </si>
  <si>
    <t>ПОГРЕБЕНИЕ</t>
  </si>
  <si>
    <t>1. Взыскана сумма, превышающая расходы на погребение 2. Не верно определена начальная даты исчисления неустйоки; 3. Ограничение неустйоки 400000, хотя надо 500000</t>
  </si>
  <si>
    <t>1. Нужно прекращать, но решение на отказ</t>
  </si>
  <si>
    <t>Было два возврата документов, в третий раз Заявитель обращается без комплекта документов (нет приложении и описи)</t>
  </si>
  <si>
    <t>ИЗНОС</t>
  </si>
  <si>
    <t>С виновника судом взыскана разница между реальными расходами потерпевшего и выплатой по ОСАГО (взыскан износ). Решение суда исполнено. Виновник просит данную выплату взыскать со своей ФО</t>
  </si>
  <si>
    <t>1. Не верно определен период подлежащей взысканию неустойки</t>
  </si>
  <si>
    <t>Расходы на погребение с неустойкой, обращается виновник, согласно документам ГИБДД, однако решения суда об установления степени вины нет. Взыскиваем половину</t>
  </si>
  <si>
    <t>1. Отказала, но надо взыскивать, т.к. степень вины не установлена</t>
  </si>
  <si>
    <t>1. Нужно прекращать, т.к. был возврат документов, а решение на отказ</t>
  </si>
  <si>
    <t>Возврат премии с 23%</t>
  </si>
  <si>
    <t>1. Нужно вычесть 23%; 2. Не учтены доводы ФО о возврате премии</t>
  </si>
  <si>
    <t>Нужно взыскать, т.к. на часть срока неустойка не начислена. Не согалсен!</t>
  </si>
  <si>
    <t>Нет экспертизы, ждем, Экспертиза пришла 23.04.2020</t>
  </si>
  <si>
    <t>Запрос доп документов. Документы пришли 10.04.2020</t>
  </si>
  <si>
    <t>В шапке удовлетворение, в резолютивной части отказ</t>
  </si>
  <si>
    <t>Взыскание неустойки, а в резолютивке страховое возмещение</t>
  </si>
  <si>
    <t>ВСК или Росгострах? Срок исполнения решения проверяли по ВСК или по РГС?</t>
  </si>
  <si>
    <t>Запрос доп инфо</t>
  </si>
  <si>
    <t>неверное обоснование в части НТЭ. Было решение суда в отношении прямого страховщика в том числе в части возмещения расходов на НТЭ. В то же время по ст 14.1 в случае отзыва лицензии у прямого страховщика страховщик причинителя вреда возмещает только страховое возмещение, к которому не относятся расходы на НТЭ.
У нас есть выработанная позиция по этому вопросу</t>
  </si>
  <si>
    <t>Там очень тонко по датам, пусть прямо напишут последний день срока выдачи направления на ремонт</t>
  </si>
  <si>
    <t>У-20-50206</t>
  </si>
  <si>
    <t>У-20-53274</t>
  </si>
  <si>
    <t>У-20-53377</t>
  </si>
  <si>
    <t>У-20-53473</t>
  </si>
  <si>
    <t>У-20-53573</t>
  </si>
  <si>
    <t>У-20-53693</t>
  </si>
  <si>
    <t>У-20-53695</t>
  </si>
  <si>
    <t>У-20-53817</t>
  </si>
  <si>
    <t>У-20-53878</t>
  </si>
  <si>
    <t>У-20-54005</t>
  </si>
  <si>
    <t>У-20-54008</t>
  </si>
  <si>
    <t>У-20-54141</t>
  </si>
  <si>
    <t>У-20-54172</t>
  </si>
  <si>
    <t>У-20-54288</t>
  </si>
  <si>
    <t>У-20-54396</t>
  </si>
  <si>
    <t>У-20-54406</t>
  </si>
  <si>
    <t>У-20-54449</t>
  </si>
  <si>
    <t>У-20-54679</t>
  </si>
  <si>
    <t>У-20-54730</t>
  </si>
  <si>
    <t>У-20-54809</t>
  </si>
  <si>
    <t>У-20-54896</t>
  </si>
  <si>
    <t>У-20-54981</t>
  </si>
  <si>
    <t>У-20-55015</t>
  </si>
  <si>
    <t>У-20-55114</t>
  </si>
  <si>
    <t>У-20-55190</t>
  </si>
  <si>
    <t>У-20-55203</t>
  </si>
  <si>
    <t>У-20-55205</t>
  </si>
  <si>
    <t>Искоростенская Анна Васильевна</t>
  </si>
  <si>
    <t>Клинцова Лариса Анатольевна</t>
  </si>
  <si>
    <t xml:space="preserve">Гигаури Емзар </t>
  </si>
  <si>
    <t>Халиков Андрей Маратович</t>
  </si>
  <si>
    <t>Бойков Андрей Борисович</t>
  </si>
  <si>
    <t>Волнухин Дмитрий Юрьевич</t>
  </si>
  <si>
    <t>Шиляева Ирина Сергеевна</t>
  </si>
  <si>
    <t>Волоковая Светлана Васильевна</t>
  </si>
  <si>
    <t>Талятов Александр Юрьевич</t>
  </si>
  <si>
    <t>Хинейко Маргарита Игоревна</t>
  </si>
  <si>
    <t>Дрожжин Андрей Валентинович</t>
  </si>
  <si>
    <t>Яруллина Анжела Сергеевна</t>
  </si>
  <si>
    <t>Баранов Илья Алексеевич</t>
  </si>
  <si>
    <t>Эккерт Светлана Николаевна</t>
  </si>
  <si>
    <t>Булатова Зинаида Мартемьяновна</t>
  </si>
  <si>
    <t>Сайдуллаев Султан Багавдинович</t>
  </si>
  <si>
    <t>Вопян Бавакан Артаваздовна</t>
  </si>
  <si>
    <t>Полянский Константин Романович</t>
  </si>
  <si>
    <t>Козлова Марина Александровна</t>
  </si>
  <si>
    <t>Шакура Валерия Валериевна</t>
  </si>
  <si>
    <t>Петров Вадим Юрьевич</t>
  </si>
  <si>
    <t>Оставнова Елена Александровна</t>
  </si>
  <si>
    <t>Штепа Владислав Викторович</t>
  </si>
  <si>
    <t>Талицких Евгений Вячеславович</t>
  </si>
  <si>
    <t>Шлыкова Дарья Витальевна</t>
  </si>
  <si>
    <t>Бахтин Роман Александрович</t>
  </si>
  <si>
    <t>Деменюк Сергей Петрович</t>
  </si>
  <si>
    <t>1. Не прописана вторая выплата неустойки; 2. Не указан второй период неустойки, взысканной судом (со дня, следующего за днем вынесения решения и до исполнения)</t>
  </si>
  <si>
    <t>У-20-35483</t>
  </si>
  <si>
    <t>У-20-40373</t>
  </si>
  <si>
    <t>У-20-49257</t>
  </si>
  <si>
    <t>У-20-49762</t>
  </si>
  <si>
    <t>У-20-54757</t>
  </si>
  <si>
    <t>У-20-54844</t>
  </si>
  <si>
    <t>У-20-54874</t>
  </si>
  <si>
    <t>У-20-56206</t>
  </si>
  <si>
    <t>У-20-56240</t>
  </si>
  <si>
    <t>У-20-56556</t>
  </si>
  <si>
    <t>У-20-56566</t>
  </si>
  <si>
    <t>У-20-56585</t>
  </si>
  <si>
    <t>У-20-56661</t>
  </si>
  <si>
    <t>У-20-56662</t>
  </si>
  <si>
    <t>У-20-56667</t>
  </si>
  <si>
    <t>У-20-56709</t>
  </si>
  <si>
    <t>У-20-56754</t>
  </si>
  <si>
    <t>У-20-56763</t>
  </si>
  <si>
    <t>У-20-56822</t>
  </si>
  <si>
    <t>У-20-56968</t>
  </si>
  <si>
    <t>У-20-57008</t>
  </si>
  <si>
    <t>У-20-57094</t>
  </si>
  <si>
    <t>У-20-57133</t>
  </si>
  <si>
    <t>У-20-57148</t>
  </si>
  <si>
    <t>У-20-58170</t>
  </si>
  <si>
    <t>У-20-58192</t>
  </si>
  <si>
    <t>У-20-58256</t>
  </si>
  <si>
    <t>У-20-58263</t>
  </si>
  <si>
    <t>ИП Гаврилов Дмитрий Николаевич</t>
  </si>
  <si>
    <t>Магомедхабибов Магомедсалим Умахангаджиевич</t>
  </si>
  <si>
    <t>«Совкомбанк страхование» (АО)</t>
  </si>
  <si>
    <t>Моисеевцев Владимир Евгеньевич</t>
  </si>
  <si>
    <t>Аксёнов Никита Игоревич</t>
  </si>
  <si>
    <t>Кубов Алексей Александрович</t>
  </si>
  <si>
    <t>Гайдамович Евгений Анатольевич</t>
  </si>
  <si>
    <t>Кустов Андрей Евгеньевич</t>
  </si>
  <si>
    <t>Чекан Вадим Викторович</t>
  </si>
  <si>
    <t>Пашян Ирина Гришаевна</t>
  </si>
  <si>
    <t>Резвых Виталий Николаевич</t>
  </si>
  <si>
    <t>Малыгина Ирина Александровна</t>
  </si>
  <si>
    <t>Сайфутдинов Ришат Иршатович</t>
  </si>
  <si>
    <t>Аброськина Ольга Васильевна</t>
  </si>
  <si>
    <t>Рыбалченко Ольга Николаевна</t>
  </si>
  <si>
    <t>Угарина Ольга Николаевна</t>
  </si>
  <si>
    <t>Гранченко Алена Викторовна</t>
  </si>
  <si>
    <t>Чистякова Ирина Николаевна</t>
  </si>
  <si>
    <t>Зуев Дмитрий Николаевич</t>
  </si>
  <si>
    <t>Алексеева Евгения Алексеевна</t>
  </si>
  <si>
    <t>Яшин Андрей Вячеславович</t>
  </si>
  <si>
    <t>Абукова Светлана Амировна</t>
  </si>
  <si>
    <t>Зверева Анастасия Михайловна</t>
  </si>
  <si>
    <t>Оруджев Эльдар Исраил Оглы</t>
  </si>
  <si>
    <t>Шестакова Наталья Николаевна</t>
  </si>
  <si>
    <t>Бирдигулов Алик Вагизович</t>
  </si>
  <si>
    <t>Айрапетян Геворик Альбертович</t>
  </si>
  <si>
    <t>Ширяевский Алексей Александрович</t>
  </si>
  <si>
    <t>Романов Павел Владимирович</t>
  </si>
  <si>
    <t>Bз проекта решения нельзя сделать вывод об обоюдной вине. В действиях второго участника не зафиксировано никаких нарушений</t>
  </si>
  <si>
    <t>01.06 - 05.06</t>
  </si>
  <si>
    <t>08.06 - 12.06</t>
  </si>
  <si>
    <t>У-20-59556</t>
  </si>
  <si>
    <t>Гамзатова Фарида Газидибировна</t>
  </si>
  <si>
    <t>НАТУРАЛЬНАЯ ФОРМЫ</t>
  </si>
  <si>
    <t>У-20-59561</t>
  </si>
  <si>
    <t>У-20-59596</t>
  </si>
  <si>
    <t>У-20-59599</t>
  </si>
  <si>
    <t>У-20-59600</t>
  </si>
  <si>
    <t>У-20-59637</t>
  </si>
  <si>
    <t>У-20-59638</t>
  </si>
  <si>
    <t>У-20-59641</t>
  </si>
  <si>
    <t>У-20-59645</t>
  </si>
  <si>
    <t>У-20-59646</t>
  </si>
  <si>
    <t>У-20-59649</t>
  </si>
  <si>
    <t>У-20-59650</t>
  </si>
  <si>
    <t>У-20-59651</t>
  </si>
  <si>
    <t>У-20-59653</t>
  </si>
  <si>
    <t>У-20-59655</t>
  </si>
  <si>
    <t>У-20-59659</t>
  </si>
  <si>
    <t>У-20-59660</t>
  </si>
  <si>
    <t>У-20-59661</t>
  </si>
  <si>
    <t>У-20-59663</t>
  </si>
  <si>
    <t>У-20-59665</t>
  </si>
  <si>
    <t>Емелин Степан Александрович</t>
  </si>
  <si>
    <t>Сахно Татьяна Александровна</t>
  </si>
  <si>
    <t>Будаев Эльдар Русланович</t>
  </si>
  <si>
    <t>Мехралиева Айгун Ариф Кызы</t>
  </si>
  <si>
    <t>Самохина Марина Николаевна</t>
  </si>
  <si>
    <t>Исупов Сергей Васильевич</t>
  </si>
  <si>
    <t>НИКУЛИЧЕВ ЕВГЕНИЙ Андреевич</t>
  </si>
  <si>
    <t>Калугин Валентин Вячеславович</t>
  </si>
  <si>
    <t>Шихалиев Абдулмужид Абдулсамедович</t>
  </si>
  <si>
    <t>Шубин Юрий Анатольевич</t>
  </si>
  <si>
    <t>Семенов Алексей Сергеевич</t>
  </si>
  <si>
    <t>Ващенко Сергей Иванович</t>
  </si>
  <si>
    <t>Вдовин Константин Юрьевич</t>
  </si>
  <si>
    <t>Землянухин Сергей Николаевич</t>
  </si>
  <si>
    <t>Горбунов Андрей Анатольевич</t>
  </si>
  <si>
    <t>Абдулхаджиев Азамат Магомедович</t>
  </si>
  <si>
    <t>Подгорный Николай Анатольевич</t>
  </si>
  <si>
    <t>Коновалов Валерий Викторович</t>
  </si>
  <si>
    <t>Шаповалов Георгий Владимирович</t>
  </si>
  <si>
    <t>У-20-60719</t>
  </si>
  <si>
    <t>У-20-60838</t>
  </si>
  <si>
    <t>У-20-60869</t>
  </si>
  <si>
    <t>У-20-60870</t>
  </si>
  <si>
    <t>У-20-60871</t>
  </si>
  <si>
    <t>У-20-60872</t>
  </si>
  <si>
    <t>У-20-60873</t>
  </si>
  <si>
    <t>У-20-60876</t>
  </si>
  <si>
    <t>У-20-60878</t>
  </si>
  <si>
    <t>У-20-60880</t>
  </si>
  <si>
    <t>У-20-60881</t>
  </si>
  <si>
    <t>У-20-60883</t>
  </si>
  <si>
    <t>У-20-60885</t>
  </si>
  <si>
    <t>У-20-60887</t>
  </si>
  <si>
    <t>У-20-60889</t>
  </si>
  <si>
    <t>У-20-60890</t>
  </si>
  <si>
    <t>У-20-60893</t>
  </si>
  <si>
    <t>У-20-60895</t>
  </si>
  <si>
    <t>У-20-60896</t>
  </si>
  <si>
    <t>У-20-60897</t>
  </si>
  <si>
    <t>У-20-60898</t>
  </si>
  <si>
    <t>У-20-61558</t>
  </si>
  <si>
    <t>У-20-61559</t>
  </si>
  <si>
    <t>У-20-61560</t>
  </si>
  <si>
    <t>У-20-61563</t>
  </si>
  <si>
    <t>У-20-61565</t>
  </si>
  <si>
    <t>У-20-61567</t>
  </si>
  <si>
    <t>У-20-61568</t>
  </si>
  <si>
    <t>У-20-61569</t>
  </si>
  <si>
    <t>У-20-61570</t>
  </si>
  <si>
    <t>У-20-61571</t>
  </si>
  <si>
    <t>У-20-61574</t>
  </si>
  <si>
    <t>У-20-61575</t>
  </si>
  <si>
    <t>У-20-61576</t>
  </si>
  <si>
    <t>У-20-61577</t>
  </si>
  <si>
    <t>У-20-61579</t>
  </si>
  <si>
    <t>У-20-61581</t>
  </si>
  <si>
    <t>У-20-61583</t>
  </si>
  <si>
    <t>У-20-61584</t>
  </si>
  <si>
    <t>У-20-61586</t>
  </si>
  <si>
    <t>У-20-61587</t>
  </si>
  <si>
    <t>У-20-61590</t>
  </si>
  <si>
    <t>У-20-61592</t>
  </si>
  <si>
    <t>У-20-61593</t>
  </si>
  <si>
    <t>У-20-62312</t>
  </si>
  <si>
    <t>У-20-62314</t>
  </si>
  <si>
    <t>У-20-62315</t>
  </si>
  <si>
    <t>У-20-62316</t>
  </si>
  <si>
    <t>У-20-62319</t>
  </si>
  <si>
    <t>У-20-62323</t>
  </si>
  <si>
    <t>У-20-62324</t>
  </si>
  <si>
    <t>У-20-62325</t>
  </si>
  <si>
    <t>У-20-62326</t>
  </si>
  <si>
    <t>У-20-62327</t>
  </si>
  <si>
    <t>У-20-62329</t>
  </si>
  <si>
    <t>У-20-62333</t>
  </si>
  <si>
    <t>У-20-62334</t>
  </si>
  <si>
    <t>У-20-62335</t>
  </si>
  <si>
    <t>У-20-62336</t>
  </si>
  <si>
    <t>У-20-63248</t>
  </si>
  <si>
    <t>У-20-63258</t>
  </si>
  <si>
    <t>У-20-63264</t>
  </si>
  <si>
    <t>У-20-63267</t>
  </si>
  <si>
    <t>У-20-63279</t>
  </si>
  <si>
    <t>У-20-63290</t>
  </si>
  <si>
    <t>Миронов Дмитрий Васильевич</t>
  </si>
  <si>
    <t>Колесник Марина Викторовна</t>
  </si>
  <si>
    <t>АЛИЕВ СУРХАЙ Арзу Оглы</t>
  </si>
  <si>
    <t>Абакаров Тагиргаджи Сиражудинович</t>
  </si>
  <si>
    <t>Гараньков Андрей Юрьевич</t>
  </si>
  <si>
    <t>Адилов Нурутдин Мусакаевич</t>
  </si>
  <si>
    <t>Прокопов Герман Валерьевич</t>
  </si>
  <si>
    <t>Осенчугова Светлана Сергеевна</t>
  </si>
  <si>
    <t>Почанин Юрий Николаевич</t>
  </si>
  <si>
    <t>Арустамян Роман Александрович</t>
  </si>
  <si>
    <t>Аполлонов Илья Викторович</t>
  </si>
  <si>
    <t>Хисамутдинов Фаниль Фаимович</t>
  </si>
  <si>
    <t>Почанина Елена Владимировна</t>
  </si>
  <si>
    <t>Колесова Светлана Владимировна</t>
  </si>
  <si>
    <t>Исаева Татьяна Владимировна</t>
  </si>
  <si>
    <t>Захаров Алексей Александрович</t>
  </si>
  <si>
    <t>Бобрышева Евгения Дмитриевна</t>
  </si>
  <si>
    <t>Гайдарханова Зухра Солтанмурадовна</t>
  </si>
  <si>
    <t>Гареев Айнур Фаильевич</t>
  </si>
  <si>
    <t>Мастаков Кирилл Игоревич</t>
  </si>
  <si>
    <t>Навасардян Армен Григорьевич</t>
  </si>
  <si>
    <t>Ибоян Норайр Аликович</t>
  </si>
  <si>
    <t>Лоскутова Евгения Вадимовна</t>
  </si>
  <si>
    <t>Гущина Юлия Евгеньевна</t>
  </si>
  <si>
    <t>Паршин Игорь Викторович</t>
  </si>
  <si>
    <t>Сукиасян Армен Грачикович</t>
  </si>
  <si>
    <t>Баталов Александр Викторович</t>
  </si>
  <si>
    <t>Турк Аслан Довлетмизович</t>
  </si>
  <si>
    <t>Осенов Олег Николаевич</t>
  </si>
  <si>
    <t>Осин Дмитрий Сергеевич</t>
  </si>
  <si>
    <t>Кнышов Владимир Васильевич</t>
  </si>
  <si>
    <t>Усов Александр Викторович</t>
  </si>
  <si>
    <t>Малакеева Юлия Александровна</t>
  </si>
  <si>
    <t>Джиоев Байрам Григорьевич</t>
  </si>
  <si>
    <t>Майборода Степан Иванович</t>
  </si>
  <si>
    <t>Моисеев Дмитрий Павлович</t>
  </si>
  <si>
    <t>Малеев Максим Александрович</t>
  </si>
  <si>
    <t>Сметанин Александр Николаевич</t>
  </si>
  <si>
    <t>Беден Бенетта Резуановна</t>
  </si>
  <si>
    <t>Васильев Анатолий Александрович</t>
  </si>
  <si>
    <t>Попов Андрей Сергеевич</t>
  </si>
  <si>
    <t>Елизарова Ирина Александровна</t>
  </si>
  <si>
    <t>Кондакова Светлана Александровна</t>
  </si>
  <si>
    <t>Ситкин Аслан Умарович</t>
  </si>
  <si>
    <t>Карапетян Норик Вагаршакович</t>
  </si>
  <si>
    <t>Евдокимов Алексей Евгеньевич</t>
  </si>
  <si>
    <t>Боссерт Мария Викторовна</t>
  </si>
  <si>
    <t>Булатов Сергей Николаевич</t>
  </si>
  <si>
    <t>Мышкин Артем Александрович</t>
  </si>
  <si>
    <t>Хубаев Гела Гивиевич</t>
  </si>
  <si>
    <t>Гончарова Раиса Сергеевна</t>
  </si>
  <si>
    <t>Крестовский Генрих Валерьевич</t>
  </si>
  <si>
    <t>Лунев Валерий Александрович</t>
  </si>
  <si>
    <t>Матвеева Екатерина Владимировна</t>
  </si>
  <si>
    <t>Баркалова Наталья Семеновна</t>
  </si>
  <si>
    <t>Тарба Дамир Олегович</t>
  </si>
  <si>
    <t>Гарифьянов Артем Александрович</t>
  </si>
  <si>
    <t>Здорова Юлия Александровна</t>
  </si>
  <si>
    <t>Шестаков Олег Иванович</t>
  </si>
  <si>
    <t>Гужов Сергей Николаевич</t>
  </si>
  <si>
    <t>Кудра Валентина Геннадьевна</t>
  </si>
  <si>
    <t>Петров Юрий Михайлович</t>
  </si>
  <si>
    <t>Братко Светлана Сергеевна</t>
  </si>
  <si>
    <t>DIFF</t>
  </si>
  <si>
    <t>15.06 - 19.06</t>
  </si>
  <si>
    <t>TOTAL STAT</t>
  </si>
  <si>
    <t>1. Арифметическая ошибка в расчете неустойки</t>
  </si>
  <si>
    <t>1. Нужно прекращать по срокам давности</t>
  </si>
  <si>
    <t>1. Не учтены поступившие документы; 2. Не та дата решения; 3. Нет даты первоначального обращения в ФО; 4. Не верный расчет неустойки</t>
  </si>
  <si>
    <t>1. Не та дата выплаты; 2. Не верный расчет неустйоки</t>
  </si>
  <si>
    <t>У-20-58078</t>
  </si>
  <si>
    <t>Сурыгина Наталья Викторовна</t>
  </si>
  <si>
    <t>Киреев Алексей Владимирович</t>
  </si>
  <si>
    <t>У-20-58066</t>
  </si>
  <si>
    <t>Короленко Александр Сергеевич</t>
  </si>
  <si>
    <t>НЕД 19</t>
  </si>
  <si>
    <t>У-20-60451</t>
  </si>
  <si>
    <t>Сергеев Михаил Александрович</t>
  </si>
  <si>
    <t>У-20-58117</t>
  </si>
  <si>
    <t>Агарзаев Рустам Алиметович</t>
  </si>
  <si>
    <t>У-20-60449</t>
  </si>
  <si>
    <t>Морозова Елена Николаевна</t>
  </si>
  <si>
    <t>У-20-43678</t>
  </si>
  <si>
    <t>Пессериди Николай Евстафиевич</t>
  </si>
  <si>
    <t>1. Пропуск текста (кто обратился с претензией); 2. выносит решение не служба, а фин)</t>
  </si>
  <si>
    <t>1. По НТЭ ФУ ТОТАЛ, а не ущерб; 2. Выплата неустйоки вместе с ФС; 3. есть еще требование о выплате убытков</t>
  </si>
  <si>
    <t>1. Нет оснвоания для отказа, т.к. полис действовал на момент ДТП, смена собственника не имеет значения; 2. УТС БР. 3. В резолютивной части все требования отказаны, хотя часть БР.</t>
  </si>
  <si>
    <t>1. Не те сроки начисления неустойки; 2. Нет ограничения по сумме премии; 3. Нет учтена ранее взысканная судом неустойка</t>
  </si>
  <si>
    <t>ДТП 2014 года. Старые правила ОСАГО. Предоставил не все дкоументы, но запросили поздно
У-20-53012
https://smp.sfurf.office/sd/operator/#uuid:document$192739186</t>
  </si>
  <si>
    <t>У-20-60452</t>
  </si>
  <si>
    <t>Золотарев Иван Николаевич</t>
  </si>
  <si>
    <t>1. Юр услуги БР; 2. Нет платежного поручения</t>
  </si>
  <si>
    <t>Какие расходы на погребение?! И что значит "решением суда невозможно определить период"?</t>
  </si>
  <si>
    <t>У-20-60494</t>
  </si>
  <si>
    <t>Шатилов Андрей Николаевич</t>
  </si>
  <si>
    <t>1. По НТЭ Заявителя ТОТАЛ, нужно уходить на НТЭ, а не отказывать по смене формы</t>
  </si>
  <si>
    <t>1. Неверный расчет неустойки</t>
  </si>
  <si>
    <t>1. Неверное определена дата первоначального обращения; 2. Прописано первоначальное обращение не Заявителя, а другого лица</t>
  </si>
  <si>
    <t>1. Не описаны все документы по вине</t>
  </si>
  <si>
    <t>Нет документов. ФО ссылается на оакогольное опьянение, но оно от другого ДТП</t>
  </si>
  <si>
    <t>АЛКОГОЛЬ</t>
  </si>
  <si>
    <t>замечания в почте. С учетом ограничений 91 тыс, потом вычитаем из 77 тыс. Расчет правильный, слова плохо расставлены</t>
  </si>
  <si>
    <t>У-20-60485</t>
  </si>
  <si>
    <t>Рейш Татьяна Валерьевна</t>
  </si>
  <si>
    <t>У-20-50273</t>
  </si>
  <si>
    <t>Гундерцев Сергей Евгеньевич</t>
  </si>
  <si>
    <t>1. Делаем отложную неустойку до даты исполнения решения, а не прекращаем</t>
  </si>
  <si>
    <t>НЕУСТОЙКА, СУД, ПЕРИОД</t>
  </si>
  <si>
    <t>У-20-45846</t>
  </si>
  <si>
    <t>Митюшов Максим Петрович</t>
  </si>
  <si>
    <t>У-20-47027</t>
  </si>
  <si>
    <t>Двужилов Алексей Алексеевич</t>
  </si>
  <si>
    <t>1. Указаны не те суммы по Нтэ ФУ, поэтому вместо решения на отказ, вынеесено решение об удовлетворении</t>
  </si>
  <si>
    <t>1. Срок давности исчислен не с того обращения (в первую СК) , а с обращения в ФО виновника он не истек</t>
  </si>
  <si>
    <t>У-20-47045</t>
  </si>
  <si>
    <t>Шишкин Вадим Александрович</t>
  </si>
  <si>
    <t>У-20-61016</t>
  </si>
  <si>
    <t>Рязанов Виталий Юрьевич</t>
  </si>
  <si>
    <t>У-20-42667</t>
  </si>
  <si>
    <t>У-20-42737</t>
  </si>
  <si>
    <t>У-20-42833</t>
  </si>
  <si>
    <t>У-20-43530</t>
  </si>
  <si>
    <t>У-20-43611</t>
  </si>
  <si>
    <t>У-20-44723</t>
  </si>
  <si>
    <t>У-20-44959</t>
  </si>
  <si>
    <t>У-20-45105</t>
  </si>
  <si>
    <t>У-20-46385</t>
  </si>
  <si>
    <t>У-20-46468</t>
  </si>
  <si>
    <t>АО "ЮНИТИ СТРАХОВАНИЕ"</t>
  </si>
  <si>
    <t>Сафронов Андрей Евгеньевич</t>
  </si>
  <si>
    <t>Лапин Степан Александрович</t>
  </si>
  <si>
    <t>Моисеев Михаил Михайлович</t>
  </si>
  <si>
    <t>Ильичев Александр Алексеевич</t>
  </si>
  <si>
    <t>Борисов Александр Васильевич</t>
  </si>
  <si>
    <t>Трофимов Артемий Сергеевич</t>
  </si>
  <si>
    <t>Тимонин Виталий Викторович</t>
  </si>
  <si>
    <t>Довгаль Андрей Юрьевич</t>
  </si>
  <si>
    <t>Мусаев Усман Ахмедович</t>
  </si>
  <si>
    <t>Шебалина Ксения Сергеевна</t>
  </si>
  <si>
    <t>У-20-64117</t>
  </si>
  <si>
    <t>Григорьев Сергей Владимирович</t>
  </si>
  <si>
    <t>НЕ ТА ФО</t>
  </si>
  <si>
    <t>У-20-63071</t>
  </si>
  <si>
    <t>Ашихмин Сергей Алексеевич</t>
  </si>
  <si>
    <t>1. Не рассмотрена одна выплата по решению суда</t>
  </si>
  <si>
    <t>Дежурный ФУ</t>
  </si>
  <si>
    <t>Никитина С.В.</t>
  </si>
  <si>
    <t>Писаревский Е.Л.</t>
  </si>
  <si>
    <t>Климов В.В.</t>
  </si>
  <si>
    <t>1. Эвакуация БР; 2. Поплыла неустойка</t>
  </si>
  <si>
    <t>1. Нужно направлть на НТЭ, т.к. по НТЭ Заявителя ущерб более 400 000</t>
  </si>
  <si>
    <t>Частью 1 статьи 12 Закона № 40-ФЗ предусмотрено, что потерпевший вправе предъявить страховщику требование о возмещении вреда, причиненного его жизни, здоровью или имуществу при использовании транспортного средства, в пределах страховой суммы, установленной данным законом, путем предъявления страховщику заявления о страховом возмещении или прямом возмещении убытков и документов, предусмотренных правилами обязательного страхования.
Согласно пункту 1 статьи 1079 Гражданского кодекса Российской Федерации (далее – ГК РФ) юридические лица и граждане, деятельность которых связана с повышенной опасностью для окружающих (использование транспортных средств, механизмов, электрической энергии высокого напряжения, атомной энергии, взрывчатых веществ, сильнодействующих ядов и т.п. осуществление строительной и иной, связанной с нею деятельности и др.), обязаны возместить вред, причиненный источником повышенной опасности, если не докажут, что вред возник вследствие непреодолимой силы или умысла потерпевшего.
Пунктом 3 статьи 1079 ГК РФ установлено, что владельцы источников повышенной опасности солидарно несут ответственность за вред, причиненный в результате взаимодействия этих источников (столкновения транспортных средств и т.п.) третьим лицам по основаниям, предусмотренным пунктом 1 статьи 1079 ГК РФ.
В силу пункта 1 статьи 4 Закона № 40-ФЗ, владельцы транспортных средств обязаны на условиях и в порядке, которые установлены Законом № 40-ФЗ страховать риск своей гражданской ответственности, которая может наступить вследствие причинения вреда жизни, здоровью или имуществу других лиц при использовании транспортных средств.
В соответствии со статьей 1 Закона № 40-ФЗ страховым случаем является наступление гражданской ответственности владельца транспортного средства за причинение вреда жизни, здоровью или имуществу потерпевших при использовании транспортного средства, влекущее за собой в соответствии с договором обязательного страхования обязанность страховщика осуществить страховую выплату.
Из Обзора судебной практики Верховного Суда Российской Федерации за второй квартал 2012 года утвержденного Президиумом Верховного Суда Российской Федерации 10.10.2012 следует что, причинение вреда третьему лицу в результате взаимодействия источников повышенной опасности для каждого владельца этих источников влечет наступление страхового случая в рамках договора обязательного страхования, а размер причиненного каждым из них вреда находится в пределах страховой суммы, предусмотренной статьи 7 Закона № 40-ФЗ. 
На основании изложенного, при причинении вреда третьему лицу взаимодействием источников повышенной опасности взыскание страховых выплат в максимальном размере, установленном Законом № 40-ФЗ производится одновременно с двух страховщиков, у которых застрахована гражданская ответственность владельцев транспортных средств, в том числе и в случае, если вина одного из владельцев в причинении вреда отсутствует.
Согласно пункту 47 Постановления Пленума Верховного Суда Российской Федерации от 26.12.2017 № 58 «О применении судами законодательства об обязательном страховании гражданской ответственности владельцев транспортных средств» (далее – Постановление Пленума № 58) в случаях, когда ответственность каждого из солидарных должников по отношению к потерпевшему застрахована разными страховщиками, при причинении вреда вследствие взаимодействия источников повышенной опасности третьему лицу страховщики возмещают вред солидарно. Страховое возмещение в связи с причинением вреда, возникшего в результате дорожно транспортного происшествия вследствие взаимодействия двух источников повышенной опасности третьему лицу, производится каждым страховщиком, у которых застрахована гражданская ответственность владельцев транспортных средств в пределах страховой суммы, установленной статьей 7 Закона № 40-ФЗ, по каждому договору страхования.
Таким образом, в последнем случае ответственность наступает для каждого из владельцев источников повышенной опасности.
В связи с этим, а также учитывая, что страховым случаем по Договору ОСАГО является наступление ответственности владельца транспортного средства, при причинении вреда третьим лицам взаимодействием транспортных средств, когда в силу пункта 3 статьи 1079 ГК РФ наступает ответственность для каждого из владельцев транспортных средств, имеет место не один страховой случай, а страховой случай для каждого договора ОСАГО.
В соответствии с пунктом 7 статьи 12 Закона № 40-ФЗ установлено, что страховая сумма, в пределах которой страховщик при наступлении каждого страхового случая (независимо от их числа в течение срока действия договора обязательного страхования) обязуется возместить потерпевшим причиненный вред, в части возмещения вреда, причиненного жизни или здоровью каждого потерпевшего, составляет 500 000 рублей 00 копеек.
В силу части 1 статьи 422 ГК РФ договор должен соответствовать обязательным для сторон правилам, установленным законом и иными правовыми актами (императивным нормам), действующим в момент его заключения.
Если после заключения договора принят закон, устанавливающий обязательные для сторон правила иные, чем те, которые действовали при заключении договора, условия заключенного договора сохраняют силу, кроме случаев, когда в законе установлено, что его действие распространяется на отношения, возникшие из ранее заключенных договоров (часть 2 статьи 422 ГК РФ).
В пункте 7 Постановления Пленума ВС РФ от 26.12.2017 № 58 указано, что договор обязательного страхования является публичным и должен соответствовать Закону № 40-ФЗ, а также иным правовым актам, принятым в целях его реализации, действующим в момент заключения договора. Изменение положений Закона № 40-ФЗ, Правил после заключения договора не влечет изменения положений договора (в частности, о порядке исполнения, сроках действия, существенных условиях), за исключением случаев, когда закон распространяется на отношения, возникшие из ранее заключенных договоров (пункты 1 и 2 статьи 422 ГК РФ).
Федеральным законом от 01.05.2019 № 88-ФЗ статья 12 Закона № 40-ФЗ дополнена пунктом 9.1, согласно которому в случае, если ответственными за вред, причиненный жизни или здоровью потерпевшего при наступлении одного и того же страхового случая, признаны несколько участников дорожно транспортного происшествия, страховщики солидарно осуществляют страховую выплату потерпевшему в части возмещения указанного вреда в порядке, предусмотренном пунктом 22 статьи 12 Закона № 40-ФЗ. В этом случае общий размер страховой выплаты, осуществленной страховщиками, не может превышать размер страховой суммы, предусмотренной подпунктом «а» статьи 7 Закона № 40-ФЗ. Указанная норма вступила в силу 01.05.2019.</t>
  </si>
  <si>
    <t>1. Недоплата страхового</t>
  </si>
  <si>
    <t>ПРЕКРАЩЕНИЕ ОСАГО ВИНОВНИКА</t>
  </si>
  <si>
    <t>1. Штраф отказываем, хотя БР; 2. Неверно расчитаны сроки неустойки, не с соглашения, а с 21 дня</t>
  </si>
  <si>
    <t>У-20-63223</t>
  </si>
  <si>
    <t>Миргуй Любовь Федоровна</t>
  </si>
  <si>
    <t>НЕУСТОЙКА, СРОКИ РЕМОНТА</t>
  </si>
  <si>
    <t>1. Ограничение до 400000, хотя без ГИБДД</t>
  </si>
  <si>
    <t>прошу проверить даты: 24.12.2018 САО «ВСК» на расчетный счет Заявителя была произведена выплата расходов на погребение по договору ОСАГО в размере 25 000 рублей 00 копеек, что подтверждается платежным поручением от 19.02.2020 № 3338.</t>
  </si>
  <si>
    <t>У-20-63959</t>
  </si>
  <si>
    <t>Погосян Армен Ромикович</t>
  </si>
  <si>
    <t>1. Страховое 2. Неустойка 3. Экспертиза</t>
  </si>
  <si>
    <t>1. Страховое</t>
  </si>
  <si>
    <t>1. Прекращение по срокам давности</t>
  </si>
  <si>
    <t>Нужно проверить документы на НТЭ, в остальном норм</t>
  </si>
  <si>
    <t>Домашняя птица металась, поцарапала ТС</t>
  </si>
  <si>
    <t>У-20-64546</t>
  </si>
  <si>
    <t>Манафов Самир Афган оглы</t>
  </si>
  <si>
    <t>У-20-65041</t>
  </si>
  <si>
    <t>Костюнников Сергей Михайлович</t>
  </si>
  <si>
    <t>УТРАЧЕННЫЙ ЗАРАБОТОК</t>
  </si>
  <si>
    <t>У-20-63387</t>
  </si>
  <si>
    <t>Ярец Наталья Николаевна</t>
  </si>
  <si>
    <t>У-20-63647</t>
  </si>
  <si>
    <t>Провоторова Наталья Алексеевна</t>
  </si>
  <si>
    <t>1. В суде рассматривается дело</t>
  </si>
  <si>
    <t>Недоплата</t>
  </si>
  <si>
    <t>Прописать экспертизу, т.к. есть спор по сумме и обоснование почему с износом</t>
  </si>
  <si>
    <t>НЕД 20</t>
  </si>
  <si>
    <t>НЕД 21</t>
  </si>
  <si>
    <t>НЕД 22</t>
  </si>
  <si>
    <t>1. Не та экспертиза по средней стоимости НТЭ</t>
  </si>
  <si>
    <t>1. Не верно определена дата обращения (дата направления Заявителем, а не получения ФО) 2. Поплыла неустойка</t>
  </si>
  <si>
    <t>1. Другая сумма выплаты</t>
  </si>
  <si>
    <t>Много требований (8)</t>
  </si>
  <si>
    <t>1. Не верно указан полис Заявителя (он есть)</t>
  </si>
  <si>
    <t>Много требований (6)</t>
  </si>
  <si>
    <t>2.1., 8.1., 8.2.</t>
  </si>
  <si>
    <t>Пункты 2.1., 5.1.(БР), 8.1., 8.6., 9 Матрицы</t>
  </si>
  <si>
    <t>У-20-47999</t>
  </si>
  <si>
    <t>У-20-48079</t>
  </si>
  <si>
    <t>У-20-50640</t>
  </si>
  <si>
    <t>У-20-50751</t>
  </si>
  <si>
    <t>У-20-50760</t>
  </si>
  <si>
    <t>У-20-50780</t>
  </si>
  <si>
    <t>У-20-50930</t>
  </si>
  <si>
    <t>У-20-51342</t>
  </si>
  <si>
    <t>У-20-51376</t>
  </si>
  <si>
    <t>У-20-51502</t>
  </si>
  <si>
    <t>У-20-51528</t>
  </si>
  <si>
    <t>У-20-51761</t>
  </si>
  <si>
    <t>У-20-51776</t>
  </si>
  <si>
    <t>У-20-52667</t>
  </si>
  <si>
    <t>У-20-52845</t>
  </si>
  <si>
    <t>У-20-53048</t>
  </si>
  <si>
    <t>У-20-53244</t>
  </si>
  <si>
    <t>У-20-53596</t>
  </si>
  <si>
    <t>У-20-53898</t>
  </si>
  <si>
    <t>У-20-53938</t>
  </si>
  <si>
    <t>У-20-54058</t>
  </si>
  <si>
    <t>У-20-54143</t>
  </si>
  <si>
    <t>У-20-54529</t>
  </si>
  <si>
    <t>У-20-54636</t>
  </si>
  <si>
    <t>У-20-54766</t>
  </si>
  <si>
    <t>У-20-54770</t>
  </si>
  <si>
    <t>У-20-54952</t>
  </si>
  <si>
    <t>У-20-54955</t>
  </si>
  <si>
    <t>У-20-56549</t>
  </si>
  <si>
    <t>У-20-56552</t>
  </si>
  <si>
    <t>У-20-56574</t>
  </si>
  <si>
    <t>У-20-56627</t>
  </si>
  <si>
    <t>У-20-56897</t>
  </si>
  <si>
    <t>У-20-56899</t>
  </si>
  <si>
    <t>У-20-56948</t>
  </si>
  <si>
    <t>У-20-57041</t>
  </si>
  <si>
    <t>У-20-60666</t>
  </si>
  <si>
    <t>У-20-62628</t>
  </si>
  <si>
    <t>У-20-62633</t>
  </si>
  <si>
    <t>У-20-62635</t>
  </si>
  <si>
    <t>У-20-62932</t>
  </si>
  <si>
    <t>У-20-63081</t>
  </si>
  <si>
    <t>У-20-63092</t>
  </si>
  <si>
    <t>У-20-63120</t>
  </si>
  <si>
    <t>У-20-63339</t>
  </si>
  <si>
    <t>У-20-63424</t>
  </si>
  <si>
    <t>У-20-63441</t>
  </si>
  <si>
    <t>У-20-63537</t>
  </si>
  <si>
    <t>У-20-63638</t>
  </si>
  <si>
    <t>У-20-63652</t>
  </si>
  <si>
    <t>У-20-63665</t>
  </si>
  <si>
    <t>У-20-63882</t>
  </si>
  <si>
    <t>У-20-63891</t>
  </si>
  <si>
    <t>У-20-64052</t>
  </si>
  <si>
    <t>У-20-64111</t>
  </si>
  <si>
    <t>У-20-64121</t>
  </si>
  <si>
    <t>У-20-64132</t>
  </si>
  <si>
    <t>У-20-64135</t>
  </si>
  <si>
    <t>У-20-64165</t>
  </si>
  <si>
    <t>У-20-64252</t>
  </si>
  <si>
    <t>У-20-64321</t>
  </si>
  <si>
    <t>У-20-64402</t>
  </si>
  <si>
    <t>У-20-64445</t>
  </si>
  <si>
    <t>У-20-64455</t>
  </si>
  <si>
    <t>У-20-64461</t>
  </si>
  <si>
    <t>У-20-64467</t>
  </si>
  <si>
    <t>У-20-64468</t>
  </si>
  <si>
    <t>У-20-64513</t>
  </si>
  <si>
    <t>У-20-64574</t>
  </si>
  <si>
    <t>У-20-64624</t>
  </si>
  <si>
    <t>У-20-64630</t>
  </si>
  <si>
    <t>У-20-64655</t>
  </si>
  <si>
    <t>У-20-64680</t>
  </si>
  <si>
    <t>У-20-64780</t>
  </si>
  <si>
    <t>У-20-64821</t>
  </si>
  <si>
    <t>У-20-64969</t>
  </si>
  <si>
    <t>У-20-64985</t>
  </si>
  <si>
    <t>У-20-65125</t>
  </si>
  <si>
    <t>У-20-65227</t>
  </si>
  <si>
    <t>У-20-65263</t>
  </si>
  <si>
    <t>У-20-65280</t>
  </si>
  <si>
    <t>У-20-65281</t>
  </si>
  <si>
    <t>У-20-65337</t>
  </si>
  <si>
    <t>У-20-65343</t>
  </si>
  <si>
    <t>У-20-65428</t>
  </si>
  <si>
    <t>У-20-65439</t>
  </si>
  <si>
    <t>У-20-65531</t>
  </si>
  <si>
    <t>У-20-65624</t>
  </si>
  <si>
    <t>У-20-65630</t>
  </si>
  <si>
    <t>У-20-65725</t>
  </si>
  <si>
    <t>У-20-65747</t>
  </si>
  <si>
    <t>У-20-65780</t>
  </si>
  <si>
    <t>У-20-65916</t>
  </si>
  <si>
    <t>У-20-66295</t>
  </si>
  <si>
    <t>У-20-66330</t>
  </si>
  <si>
    <t>У-20-66343</t>
  </si>
  <si>
    <t>У-20-66357</t>
  </si>
  <si>
    <t>У-20-66437</t>
  </si>
  <si>
    <t>У-20-66475</t>
  </si>
  <si>
    <t>У-20-66477</t>
  </si>
  <si>
    <t>У-20-66572</t>
  </si>
  <si>
    <t>У-20-66581</t>
  </si>
  <si>
    <t>У-20-66595</t>
  </si>
  <si>
    <t>У-20-66688</t>
  </si>
  <si>
    <t>У-20-66713</t>
  </si>
  <si>
    <t>У-20-66723</t>
  </si>
  <si>
    <t>У-20-66732</t>
  </si>
  <si>
    <t>У-20-66747</t>
  </si>
  <si>
    <t>У-20-66752</t>
  </si>
  <si>
    <t>У-20-66822</t>
  </si>
  <si>
    <t>У-20-66828</t>
  </si>
  <si>
    <t>У-20-66870</t>
  </si>
  <si>
    <t>У-20-66891</t>
  </si>
  <si>
    <t>У-20-66985</t>
  </si>
  <si>
    <t>У-20-67062</t>
  </si>
  <si>
    <t>У-20-67063</t>
  </si>
  <si>
    <t>У-20-67103</t>
  </si>
  <si>
    <t>У-20-67139</t>
  </si>
  <si>
    <t>У-20-67306</t>
  </si>
  <si>
    <t>У-20-67486</t>
  </si>
  <si>
    <t>Алиев Али Аббаса Оглы</t>
  </si>
  <si>
    <t>Зассеев Батрадз Робертович</t>
  </si>
  <si>
    <t>Мацнева Оксана Сергеевна</t>
  </si>
  <si>
    <t>Ударцева Олеся Александровна</t>
  </si>
  <si>
    <t>Царев Максим Викторович</t>
  </si>
  <si>
    <t>Долгов Олег Борисович</t>
  </si>
  <si>
    <t>Евдокимова Анна Павловна</t>
  </si>
  <si>
    <t>Джинджолия Наур Ревазович</t>
  </si>
  <si>
    <t>Пархимович Никита Дмитриевич</t>
  </si>
  <si>
    <t>Карлин Иван Григорьевич</t>
  </si>
  <si>
    <t>Мусинян Гор Варужанович</t>
  </si>
  <si>
    <t>Дербок Рустам Нальбиевич</t>
  </si>
  <si>
    <t>Кузьмин Руслан Геннадьевич</t>
  </si>
  <si>
    <t>Данелян Роза Владимировна</t>
  </si>
  <si>
    <t>Иванова Мария Александровна</t>
  </si>
  <si>
    <t>Каширская Светлана Владимировна</t>
  </si>
  <si>
    <t>Кудзиева Алана Владимировна</t>
  </si>
  <si>
    <t>Хутова Эльмира Нуралиевна</t>
  </si>
  <si>
    <t>Калашников Дмитрий Сергеевич</t>
  </si>
  <si>
    <t>Дерманский Сергей Николаевич</t>
  </si>
  <si>
    <t>Петроченко Сергей Николаевич</t>
  </si>
  <si>
    <t>Казиев Гаврил Цициевич</t>
  </si>
  <si>
    <t>Кузичев Дмитрий Валентинович</t>
  </si>
  <si>
    <t>Байсаров Руслан Адамович</t>
  </si>
  <si>
    <t>Горшков Роман Александрович</t>
  </si>
  <si>
    <t>Кривоус Олег Андреевич</t>
  </si>
  <si>
    <t>Пашков Сергей Петрович</t>
  </si>
  <si>
    <t>Коломийчук Николай Владимирович</t>
  </si>
  <si>
    <t>Гринько Евгений Олегович</t>
  </si>
  <si>
    <t>Омельченко Арсен Сергеевич</t>
  </si>
  <si>
    <t>Денисов Арсений Борисович</t>
  </si>
  <si>
    <t>Малахов Никита Максимович</t>
  </si>
  <si>
    <t>Азнагулов Радмир Амирович</t>
  </si>
  <si>
    <t>Новичихин Максим Владимирович</t>
  </si>
  <si>
    <t>Исаев Михаил Васильевич</t>
  </si>
  <si>
    <t>Сулейманов Джаваншир Рамазан Оглы</t>
  </si>
  <si>
    <t>Балянов Виталий Евгеньевич</t>
  </si>
  <si>
    <t>Нестеренко Николай Иванович</t>
  </si>
  <si>
    <t>Сорокина Светлана Анатольевна</t>
  </si>
  <si>
    <t>Исалаев Муслим Мусаевич</t>
  </si>
  <si>
    <t>Авдеева Елизавета Борисовна</t>
  </si>
  <si>
    <t>Тер-Геворгян Радик Григоревич</t>
  </si>
  <si>
    <t>Сырчин Сергей Васильевич</t>
  </si>
  <si>
    <t>Хизриев Мухтар Багандович</t>
  </si>
  <si>
    <t>Каменский Евгений Александрович</t>
  </si>
  <si>
    <t>Казанцева Ирина Сергеевна</t>
  </si>
  <si>
    <t>Цыганова Галина Викторовна</t>
  </si>
  <si>
    <t>Корнилина Ирина Владимировна</t>
  </si>
  <si>
    <t>Мошнин Юрий Сергеевич</t>
  </si>
  <si>
    <t>Харченко Инна Владимировна</t>
  </si>
  <si>
    <t>Луньшин Георгий Борисович</t>
  </si>
  <si>
    <t>Коваленко Евгений Федорович</t>
  </si>
  <si>
    <t>Петранин Роман Андреевич</t>
  </si>
  <si>
    <t>Жихарев Виктор Николаевич</t>
  </si>
  <si>
    <t>Кочиев Альберт Алексеевич</t>
  </si>
  <si>
    <t>Дарбинян Серго Ашотович</t>
  </si>
  <si>
    <t>Малухин Александр Викторович</t>
  </si>
  <si>
    <t>Старыгина Татьяна Викторовна</t>
  </si>
  <si>
    <t>Шипулина Мария Васильевна</t>
  </si>
  <si>
    <t>Троцан Виктория Андреевна</t>
  </si>
  <si>
    <t>Коротаев Антон Сергеевич</t>
  </si>
  <si>
    <t>Оголь Алексей Викторович</t>
  </si>
  <si>
    <t>Юрьев Денис Владимирович</t>
  </si>
  <si>
    <t>Расулов Баходур Шокирджонович</t>
  </si>
  <si>
    <t>Донцов Аркадий Игорьевич</t>
  </si>
  <si>
    <t>Черкасских Алексей Сергеевич</t>
  </si>
  <si>
    <t>Ситжанов Алпамыс Булатович</t>
  </si>
  <si>
    <t>Багдасарян Карен Михайлович</t>
  </si>
  <si>
    <t>Заборовский Никита Юрьевич</t>
  </si>
  <si>
    <t>Соломко Бела Александровна</t>
  </si>
  <si>
    <t>Жирков Александр Федорович</t>
  </si>
  <si>
    <t>Лобанов Александр Алексеевич</t>
  </si>
  <si>
    <t>Трофимов Александр Сергеевич</t>
  </si>
  <si>
    <t>Нелюбов Михаил Валерьевич</t>
  </si>
  <si>
    <t>Одинаев Джамшед Мирзорахимович</t>
  </si>
  <si>
    <t>Саркисян Кристина Эдуардовна</t>
  </si>
  <si>
    <t>Князев Дмитрий Николаевич</t>
  </si>
  <si>
    <t>Гаспранова Алина Рустамовна</t>
  </si>
  <si>
    <t>Коперсакова Анастасия Викторовна</t>
  </si>
  <si>
    <t>Чамбаев Валерий Мадиевич</t>
  </si>
  <si>
    <t>Татаринов Григорий Владимирович</t>
  </si>
  <si>
    <t>Варданян Николай Вачаганович</t>
  </si>
  <si>
    <t>Гарашова Дарья Александровна</t>
  </si>
  <si>
    <t>Хориков Дмитрий Николаевич</t>
  </si>
  <si>
    <t>Петросян Эмма Вагифовна</t>
  </si>
  <si>
    <t>Керимова Гюлнабат Алисултановна</t>
  </si>
  <si>
    <t>Хаценко Александр Николаевич</t>
  </si>
  <si>
    <t>Можар Сергей Николаевич</t>
  </si>
  <si>
    <t>Выростков Николай Алексеевич</t>
  </si>
  <si>
    <t>Стародубцев Евгений Николаевич</t>
  </si>
  <si>
    <t>Иванов Сергей Владимирович</t>
  </si>
  <si>
    <t>Абузаров Алмаз Хисматович</t>
  </si>
  <si>
    <t>Бикбулатова Анна Ранифовна</t>
  </si>
  <si>
    <t>Псарев Сергей Александрович</t>
  </si>
  <si>
    <t>ТАМБОВЦЕВ АЛЕКСАНДР Николаевич</t>
  </si>
  <si>
    <t>Сафронов Владислав Олегович</t>
  </si>
  <si>
    <t>Белоглазов Николай Александрович</t>
  </si>
  <si>
    <t>Миличкин Максим Олегович</t>
  </si>
  <si>
    <t>Павлова Мария Сергеевна</t>
  </si>
  <si>
    <t>Косячков Дмитрий Иванович</t>
  </si>
  <si>
    <t>Валиев Марат Гилимханович</t>
  </si>
  <si>
    <t>Желудкова Наталья Юрьевна</t>
  </si>
  <si>
    <t>Попов Евгений Владимирович</t>
  </si>
  <si>
    <t>Соболева Анна Валериевна</t>
  </si>
  <si>
    <t>Верин Денис Николаевич</t>
  </si>
  <si>
    <t>Белов Данил Вячеславович</t>
  </si>
  <si>
    <t>Зазуля Павел Сергеевич</t>
  </si>
  <si>
    <t>Бракоренко Евгений Андреевич</t>
  </si>
  <si>
    <t>Желонкина Светлана Валентиновна</t>
  </si>
  <si>
    <t>Храчков Евгений Юрьевич</t>
  </si>
  <si>
    <t>Севрюгин Александр Иванович</t>
  </si>
  <si>
    <t>Садыхов Нурлан Али Оглы</t>
  </si>
  <si>
    <t>Комиссарова Людмила Петровна</t>
  </si>
  <si>
    <t>Кабиров Эмиль Альбертович</t>
  </si>
  <si>
    <t>Комарова Кристина Сергеевна</t>
  </si>
  <si>
    <t>Псеунов Шухрат Мухадинович</t>
  </si>
  <si>
    <t>Соловьева Елена Юрьевна</t>
  </si>
  <si>
    <t>Баязитов Радик Эдуардович</t>
  </si>
  <si>
    <t>Уcсуббаев Умид Хасанбаевич</t>
  </si>
  <si>
    <t>Пункты 2.1., 5.1. Матрицы</t>
  </si>
  <si>
    <t>Пункты 1.2., 8.1.(БР) Матрицы</t>
  </si>
  <si>
    <t>Пункт 6.1. Матрицы</t>
  </si>
  <si>
    <t>Пункты 5.1., 8.1., 8.2., 8.3. Матрицы</t>
  </si>
  <si>
    <t>Пункты 1.4., 8.4., 8.6. Матрицы</t>
  </si>
  <si>
    <t>Пункты 2.1., 7.1. Матрицы</t>
  </si>
  <si>
    <t>Пункты 4.3., 5.5., 8.1. Матрицы</t>
  </si>
  <si>
    <t>Пункт 5.2. Матрицы</t>
  </si>
  <si>
    <t>Пункты 1.2., 5.1., 8.1. Матрицы</t>
  </si>
  <si>
    <t>Пункты 2.1., 5.1., 8.1., 8.2., 8.3. Матрицы</t>
  </si>
  <si>
    <t>1. Нет анализа 10%</t>
  </si>
  <si>
    <t>Пункты 1.2., 5.1. Матрицы</t>
  </si>
  <si>
    <t>Пункты 2.1., 5.1., 8.1., 8.2., 8.4. Матрицы</t>
  </si>
  <si>
    <t>Пункты 2.1., 8.1. Матрицы</t>
  </si>
  <si>
    <t>Пункт 2.1. Матрицы</t>
  </si>
  <si>
    <t>Пункт 1.1. Матрицы</t>
  </si>
  <si>
    <t>Пункты 4.1., 5.1., 8.1. Матрицы + дефектовка, инвалид без справки</t>
  </si>
  <si>
    <t>Пункт 5.2. Матрицы (неустойка после суда, выплата по соглашению)</t>
  </si>
  <si>
    <t>Пункт 1.1. Матрицы (Заявителем не предоставлены в ФО документы о виновности лица, причинившего вред, само лицо также не установлено)</t>
  </si>
  <si>
    <t>ВИНОВНИК НЕ УСТАНОВЛЕН</t>
  </si>
  <si>
    <t>Пункты 4.1.(БР), 5.1.(на  8.2., 8.4., 8.5.), 8.2., 8.4., 8.5. Матрицы</t>
  </si>
  <si>
    <t>Пункты 3.1., 5.5. Матрицы</t>
  </si>
  <si>
    <t>Пункты 4.1., 8.1., 8.2. Матрицы</t>
  </si>
  <si>
    <t>Пункты 4.1., 8.1., 8.2., 8.5. Матрицы</t>
  </si>
  <si>
    <t>Пункты 5.1., 8.2. Матрицы</t>
  </si>
  <si>
    <t>Пункт 1.1. (срок давности) Матрицы</t>
  </si>
  <si>
    <t>Пункты 5.1., 8.1., 8.2., 10 Матрицы</t>
  </si>
  <si>
    <t>Пункты 5.1., 8.1.(БР), 8.3., 9., 10. Матрицы После решения ФУ</t>
  </si>
  <si>
    <t>Из предоставленных Заявителем и АО «АльфаСтрахование» документов следует, что при оформлении документов по ДТП Урушанов М.Х. указал договор ОСАГО серии ХХХ № 0098780234, заключенный с АО «АльфаСтрахование».
Вместе с тем, согласно сведениям, указанным на сайте Российского Союза Автостраховщиков (www.autoins.ru), договор ОСАГО серии ХХХ № 0098780234 заключен с АО «СО «Талисман» в отношении транспортного средства LАDА 219110 государственный регистрационный номер Х515ВА116, идентификационный номер (VIN) XTA219110FY197580. В отношении транспортного средства Chevrolet Captiva, государственный регистрационный номер В779КА41, идентификационный номер (VIN) XUFCD263593000389 на дату ДТП (24.01.2020) сведений о заключении договора ОСАГО не имеется.</t>
  </si>
  <si>
    <t>1.4., 5.1. Матрицы - отказ в акцепте (полис виновника не представлен, согласно сайту РСА, ТС виновника не застраховано)</t>
  </si>
  <si>
    <t>Пункт 1.1. (коммерческое авто - грузовая газель с рекламой) Матрицы</t>
  </si>
  <si>
    <t>Пункт 5.1. Матрицы</t>
  </si>
  <si>
    <t>1. Описание ДТП не как при обоюдной вине; 2. Не указаны адм материалы</t>
  </si>
  <si>
    <t>Банк выгодоприобретатель, требование о неустойке. Пункт 5.1. Матрицы</t>
  </si>
  <si>
    <t>Пункты 5.1., 8.1. Матрицы</t>
  </si>
  <si>
    <t>Пункт 1.1. (претензионный порядок) Матрицы</t>
  </si>
  <si>
    <t>в удовлетворении требований Сырчина Сергея Васильевича о взыскании... расходов на нотариальные услуги. 
Отказать?
Прошу перепроверить решение.
С Уважением</t>
  </si>
  <si>
    <t>1. Неверная оценка необходимости предоставления договора согласно п. 3.10. Его предоставление не предусмотрено ФЗ-40</t>
  </si>
  <si>
    <t>Пункты 2.1., 5.5., 8.2. Матрицы</t>
  </si>
  <si>
    <t>Пункты 1.2., 5.1.(БР) Матрицы</t>
  </si>
  <si>
    <t>Пункты 3.3., 5.1. (на 3.3.) Матрицы. Утраченный заработок</t>
  </si>
  <si>
    <t>Из проекта решения следует, что ВСК выступал представителем РСА по компвыплате. Другое основание для прекращения</t>
  </si>
  <si>
    <t>Пункт 4.1., 5.1., 7.1. Матрицы</t>
  </si>
  <si>
    <t>Коммерческое использование по Договору КАСКО и ОГРНИП (вид деятельности такси)</t>
  </si>
  <si>
    <t>Пункт 2.1. Матрицы. ТОТАЛ ФО не подтвердился</t>
  </si>
  <si>
    <t>1. По НТЭФУ ТОТАЛ, по нашей нет, нет оснований для анализа 10%, нужно взыскивать</t>
  </si>
  <si>
    <t>Пункты 5.1.(на 8.5.), 8.2., 8.4., 8.5. Матрицы</t>
  </si>
  <si>
    <t>Пункты 1.4., 5.5., 8.1. Матрицы. Отказали, т.к. не предоставил Договор Цессии</t>
  </si>
  <si>
    <t>Пункт 1.8., 8.2. Матрицы</t>
  </si>
  <si>
    <t>1. Не соблюден досудебный порядок</t>
  </si>
  <si>
    <t>Пункты 1.2., 8.1. Матрицы</t>
  </si>
  <si>
    <t>Пункты 1.2., 5.1.(БР), 5.4.(БР), 8.1.(БР), 8.3.(БР) Матрицы</t>
  </si>
  <si>
    <t>Пункт 1.2. Матрицы</t>
  </si>
  <si>
    <t>Пункты 1.2., 8.1., 8.3. Матрицы</t>
  </si>
  <si>
    <t>Пункты 2.1., 5.5., 8.1., 8.2., 8.5. Матрицы</t>
  </si>
  <si>
    <t>1. Эвакуация БР</t>
  </si>
  <si>
    <t>Пункты 2.1., 5.1., 8.1.(БР), 8.2.(БР), 10. Матрицы. Хочет ремонт, выплатили деньгами, но деньги не вернул</t>
  </si>
  <si>
    <t>Пункты 2.1., 8.1., 8.6. Матрицы</t>
  </si>
  <si>
    <t>Пункты 1.2., 5.4.(БР), 8.1., Матрицы</t>
  </si>
  <si>
    <t>Пункт 3.2. Матрицы</t>
  </si>
  <si>
    <t>Пункт 4.1. Матрицы + демонтаж.</t>
  </si>
  <si>
    <t>1. Очень много фактологических ошибок; 2. Не прописано первое ННР, которое в срок; 3. Прописано второе, которое не в срок, но вывод о том, что в срок. 4. Нет описания ДТП</t>
  </si>
  <si>
    <t>Пункт 1.5. Матрицы</t>
  </si>
  <si>
    <t>У-20-37752</t>
  </si>
  <si>
    <t>У-20-41725</t>
  </si>
  <si>
    <t>У-20-67226</t>
  </si>
  <si>
    <t>У-20-67277</t>
  </si>
  <si>
    <t>У-20-67330</t>
  </si>
  <si>
    <t>У-20-67343</t>
  </si>
  <si>
    <t>У-20-67380</t>
  </si>
  <si>
    <t>У-20-67448</t>
  </si>
  <si>
    <t>У-20-67611</t>
  </si>
  <si>
    <t>У-20-67623</t>
  </si>
  <si>
    <t>У-20-67692</t>
  </si>
  <si>
    <t>У-20-67728</t>
  </si>
  <si>
    <t>У-20-67731</t>
  </si>
  <si>
    <t>У-20-67740</t>
  </si>
  <si>
    <t>У-20-67747</t>
  </si>
  <si>
    <t>У-20-67804</t>
  </si>
  <si>
    <t>У-20-67807</t>
  </si>
  <si>
    <t>У-20-67938</t>
  </si>
  <si>
    <t>У-20-67971</t>
  </si>
  <si>
    <t>У-20-67985</t>
  </si>
  <si>
    <t>У-20-68226</t>
  </si>
  <si>
    <t>У-20-68257</t>
  </si>
  <si>
    <t>У-20-68401</t>
  </si>
  <si>
    <t>У-20-68443</t>
  </si>
  <si>
    <t>У-20-68461</t>
  </si>
  <si>
    <t>У-20-68665</t>
  </si>
  <si>
    <t>У-20-68697</t>
  </si>
  <si>
    <t>У-20-68699</t>
  </si>
  <si>
    <t>У-20-68722</t>
  </si>
  <si>
    <t>У-20-68777</t>
  </si>
  <si>
    <t>У-20-68904</t>
  </si>
  <si>
    <t>У-20-68965</t>
  </si>
  <si>
    <t>У-20-69016</t>
  </si>
  <si>
    <t>У-20-69042</t>
  </si>
  <si>
    <t>У-20-69043</t>
  </si>
  <si>
    <t>У-20-69183</t>
  </si>
  <si>
    <t>У-20-69252</t>
  </si>
  <si>
    <t>У-20-69190</t>
  </si>
  <si>
    <t>У-20-69265</t>
  </si>
  <si>
    <t>У-20-69274</t>
  </si>
  <si>
    <t>У-20-69312</t>
  </si>
  <si>
    <t>У-20-69324</t>
  </si>
  <si>
    <t>У-20-69350</t>
  </si>
  <si>
    <t>У-20-69372</t>
  </si>
  <si>
    <t>У-20-69441</t>
  </si>
  <si>
    <t>У-20-69590</t>
  </si>
  <si>
    <t>У-20-69601</t>
  </si>
  <si>
    <t>У-20-69628</t>
  </si>
  <si>
    <t>У-20-69713</t>
  </si>
  <si>
    <t>У-20-69727</t>
  </si>
  <si>
    <t>У-20-69774</t>
  </si>
  <si>
    <t>У-20-69777</t>
  </si>
  <si>
    <t>У-20-69860</t>
  </si>
  <si>
    <t>У-20-69868</t>
  </si>
  <si>
    <t>У-20-69873</t>
  </si>
  <si>
    <t>У-20-69945</t>
  </si>
  <si>
    <t>У-20-69950</t>
  </si>
  <si>
    <t>У-20-70036</t>
  </si>
  <si>
    <t>У-20-70132</t>
  </si>
  <si>
    <t>У-20-70225</t>
  </si>
  <si>
    <t>У-20-70287</t>
  </si>
  <si>
    <t>У-20-70302</t>
  </si>
  <si>
    <t>У-20-70450</t>
  </si>
  <si>
    <t>У-20-70454</t>
  </si>
  <si>
    <t>У-20-70502</t>
  </si>
  <si>
    <t>У-20-70525</t>
  </si>
  <si>
    <t>У-20-70541</t>
  </si>
  <si>
    <t>У-20-70555</t>
  </si>
  <si>
    <t>У-20-70635</t>
  </si>
  <si>
    <t>У-20-70659</t>
  </si>
  <si>
    <t>У-20-70693</t>
  </si>
  <si>
    <t>У-20-70757</t>
  </si>
  <si>
    <t>У-20-70761</t>
  </si>
  <si>
    <t>У-20-70793</t>
  </si>
  <si>
    <t>У-20-70847</t>
  </si>
  <si>
    <t>У-20-70895</t>
  </si>
  <si>
    <t>У-20-71117</t>
  </si>
  <si>
    <t>У-20-71207</t>
  </si>
  <si>
    <t>У-20-71325</t>
  </si>
  <si>
    <t>У-20-71344</t>
  </si>
  <si>
    <t>У-20-71530</t>
  </si>
  <si>
    <t>У-20-71681</t>
  </si>
  <si>
    <t>У-20-71846</t>
  </si>
  <si>
    <t>У-20-71896</t>
  </si>
  <si>
    <t>У-20-71909</t>
  </si>
  <si>
    <t>У-20-71988</t>
  </si>
  <si>
    <t>У-20-72060</t>
  </si>
  <si>
    <t>У-20-72062</t>
  </si>
  <si>
    <t>У-20-72113</t>
  </si>
  <si>
    <t>Донцов Руслан Евгеньевич</t>
  </si>
  <si>
    <t>Роденков Виктор Викторович</t>
  </si>
  <si>
    <t>Лавров Анатолий Михайлович</t>
  </si>
  <si>
    <t>Сафронов Данила Николаевич</t>
  </si>
  <si>
    <t>Шевчук Дарья Анатольевна</t>
  </si>
  <si>
    <t>Кокорин Константин Олегович</t>
  </si>
  <si>
    <t>Истомин Алексей Юрьевич</t>
  </si>
  <si>
    <t>Шахнин Максим Анатольевич</t>
  </si>
  <si>
    <t>Литвиненко Светлана Евгеньевна</t>
  </si>
  <si>
    <t>Мадиров Леонид Николаевич</t>
  </si>
  <si>
    <t>Мацукатов Панделис Георгиевич</t>
  </si>
  <si>
    <t>Сайгаченко Галина Владимировна</t>
  </si>
  <si>
    <t>Каленов Василий Александрович</t>
  </si>
  <si>
    <t>Дайтаева Лиля Мансуровна</t>
  </si>
  <si>
    <t>Сорокин Артём Сергеевич</t>
  </si>
  <si>
    <t>Леонова Светлана Анатольевна</t>
  </si>
  <si>
    <t>Малхасян Арминак Рубенович</t>
  </si>
  <si>
    <t>Бастырев Максим Александрович</t>
  </si>
  <si>
    <t>Будалин Александр Викторович</t>
  </si>
  <si>
    <t>Иванченко Елена Александровна</t>
  </si>
  <si>
    <t>Севец Максим Евгеньевич</t>
  </si>
  <si>
    <t>Бабаев Фахраддин Абумуслюм Оглы</t>
  </si>
  <si>
    <t>Шарипов Руслан Аксанович</t>
  </si>
  <si>
    <t>Петикян Багдасар Юванович</t>
  </si>
  <si>
    <t>Алоян Самвел Мамиконович</t>
  </si>
  <si>
    <t>Саутенко Алексей Константинович</t>
  </si>
  <si>
    <t>Морозов Сергей Борисович</t>
  </si>
  <si>
    <t>Аглетдинов Фаил Альтафович</t>
  </si>
  <si>
    <t>Медведева Анастасия Викторовна</t>
  </si>
  <si>
    <t>Миглеева Татьяна Павловна</t>
  </si>
  <si>
    <t>Рыбкина Екатерина Валерьевна</t>
  </si>
  <si>
    <t>Павлов Виктор Александрович</t>
  </si>
  <si>
    <t>Анкваб Вадик Викторович</t>
  </si>
  <si>
    <t>Шишкина Наталья Павловна</t>
  </si>
  <si>
    <t>Томилина Анна Николаевна</t>
  </si>
  <si>
    <t>Мардикян Наира Сергеевна</t>
  </si>
  <si>
    <t>Хабаров Алексей Николаевич</t>
  </si>
  <si>
    <t>Соколова Елена Михайловна</t>
  </si>
  <si>
    <t>Маслов Роман Юрьевич</t>
  </si>
  <si>
    <t>Меретукова Зарема Еристемовна</t>
  </si>
  <si>
    <t>Наурузов Азамат Юрьевич</t>
  </si>
  <si>
    <t>Рахманов Борис Павлович</t>
  </si>
  <si>
    <t>Равичев Андрей Сергеевич</t>
  </si>
  <si>
    <t>Парасовченко Николай Владимирович</t>
  </si>
  <si>
    <t>Махинов Алексей Вячеславович</t>
  </si>
  <si>
    <t>Кожухова Мария Александровна</t>
  </si>
  <si>
    <t>Лисицын Алексей Александрович</t>
  </si>
  <si>
    <t>Аскерханов Руслан Заирханович</t>
  </si>
  <si>
    <t>Джелилов Ниязбек Тагирмагомедович</t>
  </si>
  <si>
    <t>Демидов Сергей Иванович</t>
  </si>
  <si>
    <t>Каиров Лев Георгиевич</t>
  </si>
  <si>
    <t>Салбиев Алихан Тимурович</t>
  </si>
  <si>
    <t>Байхина Татьяна Игоревна</t>
  </si>
  <si>
    <t>Агапов Сергей Валерьевич</t>
  </si>
  <si>
    <t>Дубинский Андрей Вадимович</t>
  </si>
  <si>
    <t>Туркав Шамсудин Даудович</t>
  </si>
  <si>
    <t>Жук Станислав Сергеевич</t>
  </si>
  <si>
    <t>Пруидзе Давид Михайлович</t>
  </si>
  <si>
    <t>Логунов Вячеслав Игоревич</t>
  </si>
  <si>
    <t>Гилева Галина Михайловна</t>
  </si>
  <si>
    <t>Бурцева-Малыгина Марина Валентиновна</t>
  </si>
  <si>
    <t>Иванова Лариса Семеновна</t>
  </si>
  <si>
    <t>Гадельшин Руслан Рафкатович</t>
  </si>
  <si>
    <t>Кулешов Илья Анатольевич</t>
  </si>
  <si>
    <t>Власова Таисия Валерьевна</t>
  </si>
  <si>
    <t>Тырин Сергей Валерьевич</t>
  </si>
  <si>
    <t>Плотников Дмитрий Александрович</t>
  </si>
  <si>
    <t>Нестеренко Илья Сергеевич</t>
  </si>
  <si>
    <t>Пушкова Татьяна Михайловна</t>
  </si>
  <si>
    <t>Муртазалиев Гасан Расулович</t>
  </si>
  <si>
    <t>Киселев Виктор Валентинович</t>
  </si>
  <si>
    <t>Кадыров Сулейман Салманович</t>
  </si>
  <si>
    <t>Лихачев Максим Эдуардович</t>
  </si>
  <si>
    <t>Яхьяев Шамиль Аминуллаевич</t>
  </si>
  <si>
    <t>Лемпинин Андрей Викторович</t>
  </si>
  <si>
    <t>Шуманов Станислав Дмитриевич</t>
  </si>
  <si>
    <t>Иванов Вячеслав Александрович</t>
  </si>
  <si>
    <t>Агаев Григорий Джафарович</t>
  </si>
  <si>
    <t>Русецкий Дмитрий Юрьевич</t>
  </si>
  <si>
    <t>Койчуева Мариям Рамазановна</t>
  </si>
  <si>
    <t>Искалов Карпат Маратович</t>
  </si>
  <si>
    <t>Шамбуров Дмитрий Анатольевич</t>
  </si>
  <si>
    <t>Шестов Виталий Вадимович</t>
  </si>
  <si>
    <t>Милютин Александр Валерьевич</t>
  </si>
  <si>
    <t>Антипова Ольга Николаевна</t>
  </si>
  <si>
    <t>Утекешева Карлгаш Асылбековна</t>
  </si>
  <si>
    <t>Сибиряков Даниил Максимович</t>
  </si>
  <si>
    <t>Шутов Дмитрий Васильевич</t>
  </si>
  <si>
    <t>Бенусов Рудольф Валерьевич</t>
  </si>
  <si>
    <t>Пункт 1.8. Матрицы</t>
  </si>
  <si>
    <t>ПВУ/
К ВИНОВНИКУ</t>
  </si>
  <si>
    <t>Выплачено ФО</t>
  </si>
  <si>
    <t>ТРЕБОВАНИЯ В СУД</t>
  </si>
  <si>
    <t>Регион</t>
  </si>
  <si>
    <t>Федеральный /
Мировой</t>
  </si>
  <si>
    <t>Наименование</t>
  </si>
  <si>
    <t>РЕШЕНИЕ СУД</t>
  </si>
  <si>
    <t>ОСНОВАНИЕ</t>
  </si>
  <si>
    <t>РЕШЕНИЕ СУДА</t>
  </si>
  <si>
    <t>Основание</t>
  </si>
  <si>
    <t>Евдокимовой Анны Павловны</t>
  </si>
  <si>
    <t>Пункты 5.1., 8.1., 8.3.(БР), 8.4. Матрицы</t>
  </si>
  <si>
    <t>Пункт 3.2., 5.1.(БР) Матрицы</t>
  </si>
  <si>
    <t>Пункт 1.1. (несоблюдение претензионного порядка) Матрицы</t>
  </si>
  <si>
    <t>Пункты 3.2., 5.1. Матрицы</t>
  </si>
  <si>
    <t>Пункты 1.8., 2.1. Матрицы</t>
  </si>
  <si>
    <t>Пункт 5.1. Матрицы (на утраченный заработок)</t>
  </si>
  <si>
    <t xml:space="preserve">Пункт 1.1. Матрицы (нет фотоматериалов, на осмотр ТС не предоставлено) </t>
  </si>
  <si>
    <t>Пункт 2.1., 5.1.(БР), 8.1 Матрицы</t>
  </si>
  <si>
    <t>8.7.</t>
  </si>
  <si>
    <t>На хранение ТС</t>
  </si>
  <si>
    <t>Пункты 2.1., 8.1., 8.7. Матрицы</t>
  </si>
  <si>
    <t>Пункт 4.1. Матрицы</t>
  </si>
  <si>
    <t>Пункты 2.1., 7.1., 8.1. Матрицы</t>
  </si>
  <si>
    <t>Утраченный заработок. Пункт 1.1. Матрицы (несоблюдение претензионного порядка)</t>
  </si>
  <si>
    <t>Пункт 5.1., 8.1. Матрицы</t>
  </si>
  <si>
    <t>Пункт 1.1. Матрицы (претензионный порядок). После возврата документов не обратился заново</t>
  </si>
  <si>
    <t>1. Отказ вместо прекращения</t>
  </si>
  <si>
    <t>Пункт 1.1. Матрицы (нет документов). Неустойка после 5и судов</t>
  </si>
  <si>
    <t>Пункты 6.1., 8.2. Матрицы</t>
  </si>
  <si>
    <t>1. Просит утраченный заработок, рассматрвиается выплата по нормативам; 2. Неверно указаны суммы выплаты; 3. Не принимаем доводы ФО о выплате в равных долях.</t>
  </si>
  <si>
    <t>Пункт 1.1. Матрицы (нет документов). Заявитель подал одновременно два обращения: 1. О взыскании неустойки; 2. О взыскании страхового. По второму решение принято о взыскании, первое прекращаем, т.к. если исполнят в срок, от отказ, а если не в срок, то взыскание с 21 дня.</t>
  </si>
  <si>
    <t>Пункты 2.1., 5.5. Матрицы</t>
  </si>
  <si>
    <t>Пункты 2.1., 8.1., 8.3.(БР) Матрицы</t>
  </si>
  <si>
    <t>Пункты 2.1., 5.1.(БР), 8.1. Матрицы</t>
  </si>
  <si>
    <t>Пункты 2.1., 5.1.(БР), 7.1., 8.1. Матрицы</t>
  </si>
  <si>
    <t>Пункты 2.1., 5.1., 8.1. Матрицы</t>
  </si>
  <si>
    <t>1. Есть анализ 10%, хотя тотал</t>
  </si>
  <si>
    <t>Пункт 3.1., 5.5. Матрицы</t>
  </si>
  <si>
    <t>1. Не проанализированы сроки давности по неустойке по новому подходу</t>
  </si>
  <si>
    <t>Пункт 4.1., 5.5. Матрицы</t>
  </si>
  <si>
    <t>Нет.
По новому порядку, считаем неустойку по дням
Там были выплаты в ноябре 17. За консультацией к Хусяиновой, хотя образец решения был разослан</t>
  </si>
  <si>
    <t>Пункты 1.2., 8.1., 8.2. Матрицы</t>
  </si>
  <si>
    <t>Пункты 1.8., 2.1., 8.1. Матрицы</t>
  </si>
  <si>
    <t>Пункт 5.1. Матрицы. Неустйока после решения ФУ</t>
  </si>
  <si>
    <t>1. Нет анализа сроков добровольный выплаты</t>
  </si>
  <si>
    <t>Пункты 8.2., 8.3., 8.4., 8.5. Матрицы</t>
  </si>
  <si>
    <t>Какая связь между осмотром и хранением? Разве это следует из нормативки?
Если бы после выплаты, еще бы было понятно.
Связь есть в п 4.13 правил ОСАГО. Но надо учитывать сроки, указанные в направлении на осмотр.</t>
  </si>
  <si>
    <t>Пункты 2.1., 8.1., 9. Матрицы</t>
  </si>
  <si>
    <t>Пункты 2.1., 5.5., 8.1. Матрицы</t>
  </si>
  <si>
    <t>Пункты 2.1., 5.1., 8.1., 8.2. Матрицы + дефектовка</t>
  </si>
  <si>
    <t>Пункты 4.1., 5.1.(БР), 8.1. Матрицы</t>
  </si>
  <si>
    <t>Пункты 1.5., 8.7.(БР) Матрицы</t>
  </si>
  <si>
    <t>1. Расходы на хранение БР (просил только один раз)</t>
  </si>
  <si>
    <t>1. Не разобралась. Не верна мотивировка, нет оснований для прекращения</t>
  </si>
  <si>
    <t>У-20-61347</t>
  </si>
  <si>
    <t>Пузаткин Иван Сергеевич</t>
  </si>
  <si>
    <t>КАТЕГОРИЯ</t>
  </si>
  <si>
    <t>Пункты 4.1., 8.1. Матрицы</t>
  </si>
  <si>
    <t>Пункты 3.3., 5.1., 5.5. Матрицы. Утраченный заработок. Одна страховая старая, вторая новая. Вина не установлена, ФО ссылается на 22 пункт о выплате в равных долях. Обе ФО выплатили по 50%, каждая по своему расчету. Есть спор по сумме. Просит со старой, поэтому взыскиваем в полном объеме.</t>
  </si>
  <si>
    <t>Пункт 5.3. Матрицы</t>
  </si>
  <si>
    <t>Н</t>
  </si>
  <si>
    <t>Ж</t>
  </si>
  <si>
    <t>1. Сроки по неустойке расчитаны до осмотра, а не до даты выдачи повторного ННР; 2. Не проанализированы сроки ремонта</t>
  </si>
  <si>
    <t>Пункт 5.1. Матрицы. Неустойка на жизнь. Доводы Заявител о том, что положения об освобождении ФО от неустойки в случае исполнения решения ФУ в срок не применимы, т.к. норма ч. 5 ст. 16.1 Об ОСАГО вступила после заключения договора ОСАГО</t>
  </si>
  <si>
    <t>1. Решение ФУ в срок, оснований для начисления неустойки нет</t>
  </si>
  <si>
    <t>Пункт 5.1. Матрицы. Неустйока как добровольное исполнение</t>
  </si>
  <si>
    <t>Пункт 1.1. Матрицы (нет документов о  праве собственности и фотографий)</t>
  </si>
  <si>
    <t>1. Не написана половина решения</t>
  </si>
  <si>
    <t>Пункт 5.1. Матрицы (неустойка за нарушение сроков выдачи направления на ремонт, ранее (У-20-55152) рассматривались требования о нарушении срока проведения ремонта).</t>
  </si>
  <si>
    <t>Пункты 1.2., 5.1., 8.6. Матрицы</t>
  </si>
  <si>
    <t>У-20-55939</t>
  </si>
  <si>
    <t>Сидорова Галина Петровна</t>
  </si>
  <si>
    <t>Пункт 2.1., 7.1. Матрицы</t>
  </si>
  <si>
    <t>Пункт 4.4. Матрицы</t>
  </si>
  <si>
    <t>1. Нет анализа сроков выдачи ННР</t>
  </si>
  <si>
    <t>Пункт 5.1., 8.1., 8.2. Матрицы. Отказ во взыскании НТЭ по УТС как неиспользованной, т.к. выплата была на оснвоании НТЭ ФО, а не Заявителя</t>
  </si>
  <si>
    <t>1. Отказ во взыскании НТЭ по УТС как неиспользованной, т.к. выплата была на оснвоании НТЭ ФО, а не Заявителя</t>
  </si>
  <si>
    <t>Пункты 2.1., 5.1., 8.1., 8.2., 8.4. Матрицы. Неустойка на ущерб, УТС и эвакуатор</t>
  </si>
  <si>
    <t>Пункты 2.1., 5.1., 8.1. Матрицы + дефектовка (БР)</t>
  </si>
  <si>
    <t>Пункты 1.2., 5.5., 8.1. Матрицы</t>
  </si>
  <si>
    <t>Пункты 4.1., 8.1. Матрицы + дефектовка</t>
  </si>
  <si>
    <t>1. Расходы на НТЭ БР, хотя надо отказывать</t>
  </si>
  <si>
    <t>Пункт 7.1. Матрицы</t>
  </si>
  <si>
    <t>расчет возмещения</t>
  </si>
  <si>
    <t>1. Взыскание НТЭ после 01.06.2020 по новому подходу</t>
  </si>
  <si>
    <t>У-20-45813</t>
  </si>
  <si>
    <t>У-20-61349</t>
  </si>
  <si>
    <t>У-20-64887</t>
  </si>
  <si>
    <t>У-20-65714</t>
  </si>
  <si>
    <t>У-20-65970</t>
  </si>
  <si>
    <t>У-20-66365</t>
  </si>
  <si>
    <t>У-20-66416</t>
  </si>
  <si>
    <t>У-20-67335</t>
  </si>
  <si>
    <t>У-20-67823</t>
  </si>
  <si>
    <t>У-20-68144</t>
  </si>
  <si>
    <t>У-20-71710</t>
  </si>
  <si>
    <t>У-20-72042</t>
  </si>
  <si>
    <t>У-20-72146</t>
  </si>
  <si>
    <t>У-20-72222</t>
  </si>
  <si>
    <t>У-20-72240</t>
  </si>
  <si>
    <t>У-20-72249</t>
  </si>
  <si>
    <t>У-20-72295</t>
  </si>
  <si>
    <t>У-20-72524</t>
  </si>
  <si>
    <t>У-20-72665</t>
  </si>
  <si>
    <t>У-20-72874</t>
  </si>
  <si>
    <t>У-20-72922</t>
  </si>
  <si>
    <t>У-20-72958</t>
  </si>
  <si>
    <t>У-20-73020</t>
  </si>
  <si>
    <t>У-20-73042</t>
  </si>
  <si>
    <t>У-20-73051</t>
  </si>
  <si>
    <t>У-20-73117</t>
  </si>
  <si>
    <t>У-20-73147</t>
  </si>
  <si>
    <t>У-20-73151</t>
  </si>
  <si>
    <t>У-20-73292</t>
  </si>
  <si>
    <t>У-20-73301</t>
  </si>
  <si>
    <t>У-20-73330</t>
  </si>
  <si>
    <t>У-20-73372</t>
  </si>
  <si>
    <t>У-20-73464</t>
  </si>
  <si>
    <t>У-20-73592</t>
  </si>
  <si>
    <t>У-20-73684</t>
  </si>
  <si>
    <t>У-20-73687</t>
  </si>
  <si>
    <t>У-20-73688</t>
  </si>
  <si>
    <t>У-20-73693</t>
  </si>
  <si>
    <t>У-20-73750</t>
  </si>
  <si>
    <t>У-20-73775</t>
  </si>
  <si>
    <t>У-20-73777</t>
  </si>
  <si>
    <t>У-20-73868</t>
  </si>
  <si>
    <t>У-20-73882</t>
  </si>
  <si>
    <t>У-20-73905</t>
  </si>
  <si>
    <t>У-20-73966</t>
  </si>
  <si>
    <t>У-20-74018</t>
  </si>
  <si>
    <t>У-20-74090</t>
  </si>
  <si>
    <t>У-20-74094</t>
  </si>
  <si>
    <t>У-20-74117</t>
  </si>
  <si>
    <t>У-20-74158</t>
  </si>
  <si>
    <t>У-20-74210</t>
  </si>
  <si>
    <t>У-20-74322</t>
  </si>
  <si>
    <t>У-20-74402</t>
  </si>
  <si>
    <t>У-20-74430</t>
  </si>
  <si>
    <t>У-20-74539</t>
  </si>
  <si>
    <t>У-20-74638</t>
  </si>
  <si>
    <t>У-20-74722</t>
  </si>
  <si>
    <t>У-20-74724</t>
  </si>
  <si>
    <t>У-20-74811</t>
  </si>
  <si>
    <t>У-20-74864</t>
  </si>
  <si>
    <t>У-20-74949</t>
  </si>
  <si>
    <t>У-20-75006</t>
  </si>
  <si>
    <t>У-20-75027</t>
  </si>
  <si>
    <t>У-20-75046</t>
  </si>
  <si>
    <t>У-20-75144</t>
  </si>
  <si>
    <t>У-20-75423</t>
  </si>
  <si>
    <t>У-20-75576</t>
  </si>
  <si>
    <t>У-20-75658</t>
  </si>
  <si>
    <t>ИП Пороховский Павел Владимирович</t>
  </si>
  <si>
    <t>Бабарыкин Никита Андреевич</t>
  </si>
  <si>
    <t>Наумова Виктория Александровна</t>
  </si>
  <si>
    <t>Файрушина Айгуль Зуфаровна</t>
  </si>
  <si>
    <t>Доценко Даниил Александрович</t>
  </si>
  <si>
    <t>Китов Вячеслав Валерьевич</t>
  </si>
  <si>
    <t>Мирхазов Динар Маратович</t>
  </si>
  <si>
    <t>Решетникова Екатерина Олеговна</t>
  </si>
  <si>
    <t>Багаутдинова Эльвира Ильдусовна</t>
  </si>
  <si>
    <t>Сердюк Евгений Игоревич</t>
  </si>
  <si>
    <t>Ивченков Сергей Владимирович</t>
  </si>
  <si>
    <t>Колесникова Ольга Анатольевна</t>
  </si>
  <si>
    <t>Степанов Сергей Викторович</t>
  </si>
  <si>
    <t>Кертанов Марат Рамазанович</t>
  </si>
  <si>
    <t>Первичко Вячеслав Валерьевич</t>
  </si>
  <si>
    <t>Ихсанов Рустем Ахсянович</t>
  </si>
  <si>
    <t>Абдуллаев Амирхан Магомедович</t>
  </si>
  <si>
    <t>Волков Вячеслав Петрович</t>
  </si>
  <si>
    <t>Ишмухаметов Вадим Рамильевич</t>
  </si>
  <si>
    <t>Бондарев Алексей Иванович</t>
  </si>
  <si>
    <t>Романова Ирина Петровна</t>
  </si>
  <si>
    <t>Волкова Мария Владимировна</t>
  </si>
  <si>
    <t>Богач Дмитрий Дмитриевич</t>
  </si>
  <si>
    <t>Елисеев Александр Анатольевич</t>
  </si>
  <si>
    <t>Орехов Иван Антонович</t>
  </si>
  <si>
    <t>Борсов Астемир Бесланович</t>
  </si>
  <si>
    <t>Мусукаев Шамиль Хизирович</t>
  </si>
  <si>
    <t>Петухов Павел Евгеньевич</t>
  </si>
  <si>
    <t>Королев Николай Александрович</t>
  </si>
  <si>
    <t>Кочиева Арина Борисовна</t>
  </si>
  <si>
    <t>Горбунов Валерий Викторович</t>
  </si>
  <si>
    <t>Паршина Виктория Александровна</t>
  </si>
  <si>
    <t>Первухина Нина Петровна</t>
  </si>
  <si>
    <t>Панкрашов Владимир Михайлович</t>
  </si>
  <si>
    <t>Сашин Антон Павлович</t>
  </si>
  <si>
    <t>Земцов Андрей Владимирович</t>
  </si>
  <si>
    <t>Зензина Евгения Сергеевна</t>
  </si>
  <si>
    <t>Амоев Исмаил Романович</t>
  </si>
  <si>
    <t>Торопова Ольга Сергеевна</t>
  </si>
  <si>
    <t>Палаганова Патимат Магомедшапиевна</t>
  </si>
  <si>
    <t>Васенев Артем Сергеевич</t>
  </si>
  <si>
    <t>Олейникова Ольга Вячеславович</t>
  </si>
  <si>
    <t>Поляков Евгений Александрович</t>
  </si>
  <si>
    <t>Хохлачев Андрей Владимирович</t>
  </si>
  <si>
    <t>Лабинцев Дмитрий Александрович</t>
  </si>
  <si>
    <t>Тумкин Александр Иванович</t>
  </si>
  <si>
    <t>Давлетбаева Юлия Муратовна</t>
  </si>
  <si>
    <t>Щеглов Сергей Александрович</t>
  </si>
  <si>
    <t>Иваненко Дмитрий Витальевич</t>
  </si>
  <si>
    <t>Герман Юлия Анатольевна</t>
  </si>
  <si>
    <t>Шаяхметов Динар Фанузович</t>
  </si>
  <si>
    <t>Кунусова Светлана Жекшеновна</t>
  </si>
  <si>
    <t>Акиньшин Александр Алексеевич</t>
  </si>
  <si>
    <t>Цагурия Георгий Раулиевич</t>
  </si>
  <si>
    <t>Мухамеджанов Бахриддин Захидович</t>
  </si>
  <si>
    <t>Попова Любовь Филипповна</t>
  </si>
  <si>
    <t>Замятин Вадим Владимирович</t>
  </si>
  <si>
    <t>Даскал Игорь Гаврилович</t>
  </si>
  <si>
    <t>Харитонова Эльвира Ивановна</t>
  </si>
  <si>
    <t>Шаяхметов Марат Ильдарович</t>
  </si>
  <si>
    <t>Афанасьев Алексей Валерьевич</t>
  </si>
  <si>
    <t>ООО «ПРОМИНСТРАХ»</t>
  </si>
  <si>
    <t>Петухова Дарья Алексеевна</t>
  </si>
  <si>
    <t>Петросян Геннадий Грантович</t>
  </si>
  <si>
    <t>Змеу Михаил Васильевич</t>
  </si>
  <si>
    <t>Дудка Антон Сергеевич</t>
  </si>
  <si>
    <t>Вергун Виктор Леонидович</t>
  </si>
  <si>
    <t>Логинов Юрий Иванович</t>
  </si>
  <si>
    <t>Пункты 1.8., 2.1., 5.5., 8.1. Матрицы</t>
  </si>
  <si>
    <t>Пункты 2.1., 5.1.(БР), 9. Матрицы</t>
  </si>
  <si>
    <t>Пункты 4.1., 5.5. Матрицы</t>
  </si>
  <si>
    <t>Пункт 1.2., 8.1. Матрицы</t>
  </si>
  <si>
    <t>1. Не тот виновник</t>
  </si>
  <si>
    <t>1. Не перечислены недостающие документы; 2. ДТП описано не по форме (обоюдка)</t>
  </si>
  <si>
    <t>Пункты 2.1., 5.1., 5.5., 8.1. Матрицы</t>
  </si>
  <si>
    <t>1. Ошибки по тексту</t>
  </si>
  <si>
    <t>Пункты 2.1., 5.1., 8.1., 9., 10. Матрицы</t>
  </si>
  <si>
    <t>Переназначил на Макса. Потерпевшая (водитель) не 3-е лицо. В интересах себя и двух детей. Решение по уголовному делу влияет на выплату</t>
  </si>
  <si>
    <t>Пункты 2.1., 5.1.(БР) Матрицы</t>
  </si>
  <si>
    <t>Пункты 1.2., 8.1.(БР) Матрицы. Доводы ФО о досрочном прекращении договора ОСАГО не принимаются, т.к. нет фактической гибели ТС</t>
  </si>
  <si>
    <t>Пункт 4.4., 8.1., 8.2., 8.5. Матрицы</t>
  </si>
  <si>
    <t>Пункты 5.1., 5.4., 8.2. Матрицы</t>
  </si>
  <si>
    <t>Пункты 4.1., 7.1.(БР) Матрицы</t>
  </si>
  <si>
    <t>Пункт 5.1. Матрицы. Неустойка на жизнь и погребение</t>
  </si>
  <si>
    <t>Пункты 5.1., 8.1., 9., 10. Матрицы. Взыскание расходов по НТЭ после 01.06.2020, выплата на оснвоании НТЭ Заявителя</t>
  </si>
  <si>
    <t>1. Не взысканы расходы на НТЭ по новым правилам</t>
  </si>
  <si>
    <t>Пункт 1.1. Матрицы (не собственник на момент ДТП)</t>
  </si>
  <si>
    <t>22.06 - 26.06</t>
  </si>
  <si>
    <t>TOTAL</t>
  </si>
  <si>
    <t>1. Не прописан полис Заявителя</t>
  </si>
  <si>
    <t>1. Не прописана передача портеля от ЖАСО к СОГАЗ; 2. Прекращено в отношении неустойки без учета нового подхода</t>
  </si>
  <si>
    <t>Пункт 1.1. Матрицы (претензионный порядок)</t>
  </si>
  <si>
    <t>Пункты 1.8., 2.1. Матрицы. Три участника. Вина не установлена, взыскиваем 2/3</t>
  </si>
  <si>
    <t>Пункт 2.1., 8.1. Матрицы</t>
  </si>
  <si>
    <t>У-20-65328</t>
  </si>
  <si>
    <t>У-20-65563</t>
  </si>
  <si>
    <t>У-20-66188</t>
  </si>
  <si>
    <t>У-20-72476</t>
  </si>
  <si>
    <t>Хорошавина Мария Геннадьевна</t>
  </si>
  <si>
    <t>Саргсян Армен Алексеевич</t>
  </si>
  <si>
    <t>Субботин Роман Викторович</t>
  </si>
  <si>
    <t>Чеботарева Надежда Владимировна</t>
  </si>
  <si>
    <t>Пункты 4.1., 5.5., 8.1.(БР), 8.2.(БР), 8.3. Матрицы</t>
  </si>
  <si>
    <t>РАСТОРЖЕНИЕ ДОГОВОРА</t>
  </si>
  <si>
    <t>Пункты 8.1., 8.2. Матрицы. ФО уведомила о расторжении договора виновника на основании сообщения им ложных сведений, но не указала что это за сведения и каквлияют на степень страхового риска.</t>
  </si>
  <si>
    <t>1. Не рассмотрено требование о страховом возмещении в натуральной форме</t>
  </si>
  <si>
    <t>Отзыв обращения</t>
  </si>
  <si>
    <t>Пункт 1.1. Матрицы (коммерческое ТС)</t>
  </si>
  <si>
    <t>Пункты 4.1., 5.1., 7.1.(БР), 8.1. Матрицы</t>
  </si>
  <si>
    <t>ЮРИДИЧЕСКОЕ ЛИЦО</t>
  </si>
  <si>
    <t>Собственник ТС - Юридическое лицо</t>
  </si>
  <si>
    <t>Пункт 1.1. Матрицы (не собственник)</t>
  </si>
  <si>
    <t>Пункты 4.1., 5.5., 8.1. Матрицы. СТОА не дилер</t>
  </si>
  <si>
    <t>Пункты 2.1., 5.1., 5.4., 8.1. Матрицы</t>
  </si>
  <si>
    <t>Пункты 1.2., 5.1., 5.4., 9. Матрицы</t>
  </si>
  <si>
    <t>Пункты 1.2., 5.1.(БР), 8.1. (БР) Матрицы</t>
  </si>
  <si>
    <t>Пункты 5.1., 8.1., 8.2. Матрицы + добровольное исполнение</t>
  </si>
  <si>
    <t>Пункты 2.1., 7.1.(БР), 8.1. Матрицы</t>
  </si>
  <si>
    <t>1. УТС нужно оставлять БР</t>
  </si>
  <si>
    <t>Пункты 2.1.(ОСАГО), 2.1.(ДСАГО)(БР), 5.1.(ДСАГО)(БР), 5.4.(ОСАГО)(БР), 5.5.(ОСАГО) Матрицы</t>
  </si>
  <si>
    <t>Пункты 2.1., 5.1., 5.5., 8.1., 9. Матрицы</t>
  </si>
  <si>
    <t>Пункт 1.8., 2.1. Матрицы</t>
  </si>
  <si>
    <t>Пункты 2.1., 5.5., 8.1., 8.2. Матрицы. Велосипед</t>
  </si>
  <si>
    <t>Пункт 1.5., 5.5. Матрицы</t>
  </si>
  <si>
    <t>Пункт 1.1. Матрицы (срок давности)</t>
  </si>
  <si>
    <t>Пункты 3.1., 5.5., 8.1. Матрицы</t>
  </si>
  <si>
    <t>Пункт 3.1. Матрицы</t>
  </si>
  <si>
    <t>29.06 - 03.07</t>
  </si>
  <si>
    <t>Пункты 3.2., 3.3. Матрицы</t>
  </si>
  <si>
    <t>1. Решение об удовлетворении, но в шапке и резолютивке отказ</t>
  </si>
  <si>
    <t/>
  </si>
  <si>
    <t>1. Не прописано соглашение между ФО и Заявителем</t>
  </si>
  <si>
    <t>Натуральная форма возмещения</t>
  </si>
  <si>
    <t>1. Рассмотрено отсутствующее требование - денежная форма возмещения</t>
  </si>
  <si>
    <t>Пункт 5.1. Матрицы (пролонгация сроков урегулирования страхового случая на основании запроса в компетентные органы)</t>
  </si>
  <si>
    <t>Пункты 5.1., 8.1.(БР) Матрицы + добровольное исполнение</t>
  </si>
  <si>
    <t>Пункты 4.1., 8.1., 9 Матрицы</t>
  </si>
  <si>
    <t>Пункты 2.1., 5.1., 5.5., 8.1., 10. Матрицы</t>
  </si>
  <si>
    <t>Пункт 1.8., 5.4., 5.5., 8.1. Матрицы</t>
  </si>
  <si>
    <t>Пункты 2.1., 5.5., 8.1., 8.2., 8.3., 8.4., 8.5. Матрицы</t>
  </si>
  <si>
    <t>Пункты 5.1.,(БР), 8.1.(БР). Матрицы + добровольное исполнение</t>
  </si>
  <si>
    <t>Пункты 1.2., 5.1., 8.1., 8.2., 8.4. Матрицы</t>
  </si>
  <si>
    <t>Пункты 4.1., 5.4., 5.5., 7.1. Матрицы</t>
  </si>
  <si>
    <t>1. УТС не БР; 2. Поползла неустойка</t>
  </si>
  <si>
    <t>Пункты 3.1., 5.1. Матрицы</t>
  </si>
  <si>
    <t>1. Неверный расчет неустойки (количество дней)</t>
  </si>
  <si>
    <t>1. Не та мотивировка по тоталу; 2. Нет вопросов НТЭ по трасе</t>
  </si>
  <si>
    <t>Пункты 4.1., 5.5., 8.1., 8.2. Матрицы</t>
  </si>
  <si>
    <t>1. Неустойку не заявляет; 2. Не та мотивировка по тоталу; 3. Нет вопросов НТЭ по трасе</t>
  </si>
  <si>
    <t>1. Не прописан ответ от экспертов о невозможности проведения экспертизы</t>
  </si>
  <si>
    <t>НЕ ВСЕ ДОКУМЕНТЫ</t>
  </si>
  <si>
    <t>1. Нет доказательства направления ФО запроса документов</t>
  </si>
  <si>
    <t>Пункты 4.4., 5.5., 8.1., 8.3., 8.4., 8.6. Матрицы</t>
  </si>
  <si>
    <t>Пункты 2.1., 5.5., 8.1., 8.5. Матрицы</t>
  </si>
  <si>
    <t>Добровольное исполнение + пункт 8.1. Матрицы</t>
  </si>
  <si>
    <t>Пункт 1.4. Матрицы</t>
  </si>
  <si>
    <t>Пункты 5.1.(БР), 8.2., 8.3., 8.4., 8.5. Матрицы</t>
  </si>
  <si>
    <t>Пункты 2.1., 5.1., 8.1., 8.2. Матрицы</t>
  </si>
  <si>
    <t>1. По НТЭ Заявитель больше 100000 Европротокол</t>
  </si>
  <si>
    <t>1. Другие суммы по НТЭ Заявителя ; 2. ННР Заявитель получил, но пишем, что доказательств выдачи нет</t>
  </si>
  <si>
    <t>Пункты 2.1., 5.1., 5.5., 8.2., 8.5. Матрицы. Взыскание франшизы, оплаченной Заявителем в рамках договора КАСКО по договору ОСАГО</t>
  </si>
  <si>
    <t>Пункты 4.1., 5.1., 7.1.(БР) Матрицы. Спор по дилеру с запросом дилерского договора и гарантийных обязательств</t>
  </si>
  <si>
    <t>Пункты 8.2., 8.3., 8.4., 8.5. и 5.1.(на 8.2., 8.3., 8.4., 8.5.)(БР) Матрицы</t>
  </si>
  <si>
    <t>Пункты 5.1.(БР), 8.1., 8.3. Матрицы + дефектовка</t>
  </si>
  <si>
    <t>Пункты 2.1., 5.1., 5.4., 5.5. Матрицы. Была выплата по КАСКО по тоталу. По нашей НТЭ не тотал, хпросит доплату по ОСАГО. Взыскиваем разницу между суммы с учетом износа и выплатой по КАСКО</t>
  </si>
  <si>
    <t>Пункт 3.4. Матрицы. Расходы на памятник не относятся к ритуальным расходам</t>
  </si>
  <si>
    <t>Пункт 1.1. Матрицы. Прекращение ОСАГО виновника в связи с тотальной гибелью</t>
  </si>
  <si>
    <t>Пункты 5.1., 8.1. Матрицы. Заключено соглашение, но неустойку взыскиваем, т.к. по условиям соглашения, срок выплаты страхового возмещения исчисляется с момента первоначального обращения, а отказ от претензий прописан только в части размера страхового возмещения.</t>
  </si>
  <si>
    <t>Пункт 2.1. Матрицы. По НТЭ ФО тотал, выплата с удержанием франшизы. Также выплата по GAP/</t>
  </si>
  <si>
    <t>1. Неверно указаны суммы по НТЭ ФУ; 2. Решение отказное, а не удовлетворительное</t>
  </si>
  <si>
    <t>Пункты 2.1., 5.4., 5.5., 8.2., 9., 10. Матрицы</t>
  </si>
  <si>
    <t>Пункт 8.1. Матрицы + комиссия банка</t>
  </si>
  <si>
    <t>У-20-48169</t>
  </si>
  <si>
    <t>У-20-49262</t>
  </si>
  <si>
    <t>У-20-50256</t>
  </si>
  <si>
    <t>У-20-55183</t>
  </si>
  <si>
    <t>У-20-55266</t>
  </si>
  <si>
    <t>У-20-55521</t>
  </si>
  <si>
    <t>У-20-55952</t>
  </si>
  <si>
    <t>У-20-59149</t>
  </si>
  <si>
    <t>У-20-62652</t>
  </si>
  <si>
    <t>У-20-64259</t>
  </si>
  <si>
    <t>У-20-64264</t>
  </si>
  <si>
    <t>У-20-64292</t>
  </si>
  <si>
    <t>У-20-64324</t>
  </si>
  <si>
    <t>У-20-64362</t>
  </si>
  <si>
    <t>У-20-67989</t>
  </si>
  <si>
    <t>У-20-68902</t>
  </si>
  <si>
    <t>У-20-75094</t>
  </si>
  <si>
    <t>У-20-75467</t>
  </si>
  <si>
    <t>У-20-75506</t>
  </si>
  <si>
    <t>У-20-75592</t>
  </si>
  <si>
    <t>У-20-75625</t>
  </si>
  <si>
    <t>У-20-75631</t>
  </si>
  <si>
    <t>У-20-75677</t>
  </si>
  <si>
    <t>У-20-75715</t>
  </si>
  <si>
    <t>У-20-75856</t>
  </si>
  <si>
    <t>У-20-75770</t>
  </si>
  <si>
    <t>У-20-75965</t>
  </si>
  <si>
    <t>У-20-76037</t>
  </si>
  <si>
    <t>У-20-76049</t>
  </si>
  <si>
    <t>У-20-76204</t>
  </si>
  <si>
    <t>У-20-76206</t>
  </si>
  <si>
    <t>У-20-76239</t>
  </si>
  <si>
    <t>У-20-76312</t>
  </si>
  <si>
    <t>У-20-76519</t>
  </si>
  <si>
    <t>У-20-76589</t>
  </si>
  <si>
    <t>У-20-76640</t>
  </si>
  <si>
    <t>У-20-76745</t>
  </si>
  <si>
    <t>У-20-76814</t>
  </si>
  <si>
    <t>У-20-76852</t>
  </si>
  <si>
    <t>У-20-76939</t>
  </si>
  <si>
    <t>У-20-76976</t>
  </si>
  <si>
    <t>У-20-77173</t>
  </si>
  <si>
    <t>У-20-77188</t>
  </si>
  <si>
    <t>У-20-77297</t>
  </si>
  <si>
    <t>У-20-77492</t>
  </si>
  <si>
    <t>У-20-77495</t>
  </si>
  <si>
    <t>У-20-77636</t>
  </si>
  <si>
    <t>У-20-77731</t>
  </si>
  <si>
    <t>Лепешинский Александр Владимирович</t>
  </si>
  <si>
    <t>Панин Андрей Николаевич</t>
  </si>
  <si>
    <t>ИП Тюрморезов Артем Игоревич</t>
  </si>
  <si>
    <t>Худяков Максим Андреевич</t>
  </si>
  <si>
    <t>Аванесян Сергей Каренович</t>
  </si>
  <si>
    <t>Амирасланов Нариман Германович</t>
  </si>
  <si>
    <t>Добров Сергей Гичунович</t>
  </si>
  <si>
    <t>Баин Еремей Еремеевич</t>
  </si>
  <si>
    <t>Бурик Сергей Михайлович</t>
  </si>
  <si>
    <t>Рахимзянова Валентина Станиславовна</t>
  </si>
  <si>
    <t>Болдырев Игорь Викторович</t>
  </si>
  <si>
    <t>Савчук Сергей Викторович</t>
  </si>
  <si>
    <t>Кузнецов Владимир Алексеевич</t>
  </si>
  <si>
    <t>Дедиков Олег Иванович</t>
  </si>
  <si>
    <t>Аликин Александр Иванович</t>
  </si>
  <si>
    <t>Гаспарян Хачатур Арменович</t>
  </si>
  <si>
    <t>Мирзоев Иосиф Гегамович</t>
  </si>
  <si>
    <t>Овсянников Роман Александрович</t>
  </si>
  <si>
    <t>Петросян Андраник Акопович</t>
  </si>
  <si>
    <t>Муртазалиев Магамед Эскарханович</t>
  </si>
  <si>
    <t>Хорчев Кирилл Викторович</t>
  </si>
  <si>
    <t>Садыкова Фарида Раисовна</t>
  </si>
  <si>
    <t>Яшметова Валентина Геннадьевна</t>
  </si>
  <si>
    <t>Калиновский Виталий Витальевич</t>
  </si>
  <si>
    <t>Меграбян Армен Рафикович</t>
  </si>
  <si>
    <t>Краева Людмила Михайлова</t>
  </si>
  <si>
    <t>Хачемизова Светлана Сальбиевна</t>
  </si>
  <si>
    <t>Петров Алексей Павлович</t>
  </si>
  <si>
    <t>Нурмагомедов Муса Омарович</t>
  </si>
  <si>
    <t>Кузенко Антон Викторович</t>
  </si>
  <si>
    <t>Эседулаева Марьяна Шайдабековна</t>
  </si>
  <si>
    <t>Колмаков Александр Александрович</t>
  </si>
  <si>
    <t>Фейгин Сергей Сергеевич</t>
  </si>
  <si>
    <t>Минченко Сергей Николаевич</t>
  </si>
  <si>
    <t>Бжассо Джэнет Мугдиновна</t>
  </si>
  <si>
    <t>Мансуров Артур Равкатович</t>
  </si>
  <si>
    <t>Насыров Радмир Раисович</t>
  </si>
  <si>
    <t>из проекта решения, что утраченным заработком обращался только один раз. Это так? если так, то без рассмотрения</t>
  </si>
  <si>
    <t>Пункты 2.1., 8.1. Матрицы + диагностика</t>
  </si>
  <si>
    <t>Пункт 1.1. Матрицы. Имущество. 10 предметов</t>
  </si>
  <si>
    <t>Пункты 5.1., 8.1., 8.3., 8.4. Матрицы</t>
  </si>
  <si>
    <t>Пункты 2.1., 5.1., 8.2. Матрицы</t>
  </si>
  <si>
    <t>Пункт 1.2. Матрицы. Есть объяснения от виновника ДТП о том, что ДТП подставное</t>
  </si>
  <si>
    <t>Т.к. Заявитель обращался в суд, то течение срока исковой давности приостанавливалось</t>
  </si>
  <si>
    <t>Пункты 1.4., 5.1. Матрицы. Не предоставлен паспорт Заявителя</t>
  </si>
  <si>
    <t>Пунты 1.3., 8.1. Матрицы</t>
  </si>
  <si>
    <t>Пункты 6.1., 8.3.(БР) Матрицы</t>
  </si>
  <si>
    <t>Пункты 1.2., 5.1., 7.1.(БР) Матрицы</t>
  </si>
  <si>
    <t>Пункты 4.1., 5.1., 8.1., 9. Матрицы</t>
  </si>
  <si>
    <t>Пункты 2.1., 5.1.(БР), 8.1.(БР), 9. Матрицы</t>
  </si>
  <si>
    <t>Пункты 8.2., 8.3., 8.4., 8.5. и 5.1.(на 8.2., 8.3., 8.4., 8.5.) Матрицы</t>
  </si>
  <si>
    <t>ПВУ НЕ ПВУ</t>
  </si>
  <si>
    <t>1. Неверно установила фактические обстоятельства дела (время заключения полиса ОСАГО Заявителя)</t>
  </si>
  <si>
    <t>Пункты 8.2.(БР), 8.3., 8.5. + 5.1. (на 8.5.)(БР) Матрицы</t>
  </si>
  <si>
    <t>Выплата по соглашению</t>
  </si>
  <si>
    <t>Пункты 2.1., 5.1., 5.5., 8.1., 8.2. Матрицы</t>
  </si>
  <si>
    <t>ЗАПРОС</t>
  </si>
  <si>
    <t>ОТВЕТ</t>
  </si>
  <si>
    <t>Пункт 5.1. Матрицы + истечение сроков давности по требованиям о взыскании страхового возмещения, УТС, расходов на экспертизу. Поденная неустойка</t>
  </si>
  <si>
    <t>Пункт 6.1. Матрицы. Выплата в пределах срока исковой давности, с учетом его приостановки на период суда. Поденная неустойка</t>
  </si>
  <si>
    <t>1. Неверный расчет неустойки; 2. Платежка фигурирует в другом деле</t>
  </si>
  <si>
    <t>1. Не учтен суд по неустйоке</t>
  </si>
  <si>
    <t>Пункт 1.1. Матрицы (есть решение ФУ и суда)</t>
  </si>
  <si>
    <t>Пункты 2.1., 8.1., 8.2., 8.3.(БР), 10. Матрицы</t>
  </si>
  <si>
    <t>06.07 - 10.07</t>
  </si>
  <si>
    <t>13.07 - 17.07</t>
  </si>
  <si>
    <t>Пункты 5.1., 7.1., 8.1., 8.2., 8.4., 8.5. Матрицы</t>
  </si>
  <si>
    <t>Пункты 2.1., 8.1. Матрицы + дефектовка</t>
  </si>
  <si>
    <t>Пункты 4.1., 5.1. Матрицы</t>
  </si>
  <si>
    <t>Пункт 1.1. Матрицы (дело в производстве суда)</t>
  </si>
  <si>
    <t>Пункт 1.8., 8.1. Матрицы. ДТП произошло в 19:04, а полис Заявителя начал действовать с 21:00.</t>
  </si>
  <si>
    <t>У-20-65776</t>
  </si>
  <si>
    <t>У-20-66220</t>
  </si>
  <si>
    <t>У-20-66832</t>
  </si>
  <si>
    <t>У-20-67437</t>
  </si>
  <si>
    <t>У-20-71180</t>
  </si>
  <si>
    <t>У-20-76736</t>
  </si>
  <si>
    <t>У-20-76812</t>
  </si>
  <si>
    <t>У-20-76846</t>
  </si>
  <si>
    <t>У-20-76974</t>
  </si>
  <si>
    <t>У-20-77030</t>
  </si>
  <si>
    <t>У-20-77165</t>
  </si>
  <si>
    <t>У-20-77210</t>
  </si>
  <si>
    <t>У-20-77232</t>
  </si>
  <si>
    <t>У-20-77497</t>
  </si>
  <si>
    <t>У-20-77523</t>
  </si>
  <si>
    <t>У-20-77574</t>
  </si>
  <si>
    <t>У-20-77580</t>
  </si>
  <si>
    <t>У-20-77646</t>
  </si>
  <si>
    <t>У-20-77695</t>
  </si>
  <si>
    <t>У-20-77788</t>
  </si>
  <si>
    <t>У-20-77789</t>
  </si>
  <si>
    <t>У-20-77838</t>
  </si>
  <si>
    <t>У-20-77901</t>
  </si>
  <si>
    <t>У-20-77980</t>
  </si>
  <si>
    <t>У-20-78000</t>
  </si>
  <si>
    <t>У-20-78002</t>
  </si>
  <si>
    <t>У-20-78042</t>
  </si>
  <si>
    <t>У-20-78072</t>
  </si>
  <si>
    <t>У-20-78092</t>
  </si>
  <si>
    <t>У-20-78108</t>
  </si>
  <si>
    <t>У-20-78167</t>
  </si>
  <si>
    <t>У-20-78205</t>
  </si>
  <si>
    <t>У-20-78221</t>
  </si>
  <si>
    <t>У-20-78304</t>
  </si>
  <si>
    <t>У-20-78312</t>
  </si>
  <si>
    <t>У-20-78349</t>
  </si>
  <si>
    <t>У-20-78381</t>
  </si>
  <si>
    <t>У-20-78394</t>
  </si>
  <si>
    <t>У-20-78463</t>
  </si>
  <si>
    <t>У-20-78464</t>
  </si>
  <si>
    <t>У-20-78498</t>
  </si>
  <si>
    <t>У-20-78513</t>
  </si>
  <si>
    <t>У-20-78627</t>
  </si>
  <si>
    <t>У-20-78631</t>
  </si>
  <si>
    <t>У-20-78801</t>
  </si>
  <si>
    <t>У-20-78809</t>
  </si>
  <si>
    <t>У-20-78818</t>
  </si>
  <si>
    <t>У-20-78878</t>
  </si>
  <si>
    <t>У-20-78897</t>
  </si>
  <si>
    <t>У-20-79096</t>
  </si>
  <si>
    <t>У-20-79077</t>
  </si>
  <si>
    <t>У-20-79081</t>
  </si>
  <si>
    <t>У-20-79183</t>
  </si>
  <si>
    <t>У-20-79338</t>
  </si>
  <si>
    <t>У-20-79504</t>
  </si>
  <si>
    <t>У-20-79790</t>
  </si>
  <si>
    <t>У-20-79792</t>
  </si>
  <si>
    <t>Ратанов Даниил Никитич</t>
  </si>
  <si>
    <t>ИП Юсибов Самир Видади оглы</t>
  </si>
  <si>
    <t>Казанков Дмитрий Владимирович</t>
  </si>
  <si>
    <t>Заводчиков Николай Александрович</t>
  </si>
  <si>
    <t>Удычак Адам Юрьевич</t>
  </si>
  <si>
    <t>Лаврухина Елена Юрьевна</t>
  </si>
  <si>
    <t>Сазонов Сергей Романович</t>
  </si>
  <si>
    <t>Курбатова Айсылу Альбертовна</t>
  </si>
  <si>
    <t>Шабанов Руслан Икрамжанович</t>
  </si>
  <si>
    <t>Коряковцева Полина Валерьевна</t>
  </si>
  <si>
    <t>Колоколов Евгений Алексеевич</t>
  </si>
  <si>
    <t>Ермаков Олег Васильевич</t>
  </si>
  <si>
    <t>Кушель Анна Михайловна</t>
  </si>
  <si>
    <t>Красноруцкая Наталья Владимировна</t>
  </si>
  <si>
    <t>Комарова Яна Александровна</t>
  </si>
  <si>
    <t>Сергейчик Олег Владимирович</t>
  </si>
  <si>
    <t>Щербаков Сергей Владимирович</t>
  </si>
  <si>
    <t>Оконенко Дмитрий Сергеевич</t>
  </si>
  <si>
    <t>Стравняк Ирина Юрьевна</t>
  </si>
  <si>
    <t>Мичкаев Кирилл Евгеньевич</t>
  </si>
  <si>
    <t>Иванов Александр Сергеевич</t>
  </si>
  <si>
    <t>Мусохранов Павел Анатольевич</t>
  </si>
  <si>
    <t>Мельникова Анастасия Сергеевна</t>
  </si>
  <si>
    <t>Ведерникова Юлия Игоревна</t>
  </si>
  <si>
    <t>Сергеев Александр Андреевич</t>
  </si>
  <si>
    <t>Городецкая Ирина Игорьена</t>
  </si>
  <si>
    <t>Зинина Екатерина Александровна</t>
  </si>
  <si>
    <t>Саакян Армен Коляевич</t>
  </si>
  <si>
    <t>Бильдяков Артем Владимирович</t>
  </si>
  <si>
    <t>Арутюнян Роберт Артурович</t>
  </si>
  <si>
    <t>Самойлов Вячеслав Леонидович</t>
  </si>
  <si>
    <t>Шитюк Елена Владиславовна</t>
  </si>
  <si>
    <t>Чепрасова Людмила Алексеевна</t>
  </si>
  <si>
    <t>Вакуленко Марина Викторовна</t>
  </si>
  <si>
    <t>Злобина Татьяна Ивановна</t>
  </si>
  <si>
    <t>Мензиев Мурат Хусейнович</t>
  </si>
  <si>
    <t>Акулов Александр Александрович</t>
  </si>
  <si>
    <t>Гостева Лидия Петровна</t>
  </si>
  <si>
    <t>Печиннова Елена Николаевна</t>
  </si>
  <si>
    <t>Алоян Карине Арутюновна</t>
  </si>
  <si>
    <t>Когай Владислав Олегович</t>
  </si>
  <si>
    <t>Киреева Надежда Сергеевна</t>
  </si>
  <si>
    <t>Шабрин Анатолий Петрович</t>
  </si>
  <si>
    <t>Куликов Никита Александрович</t>
  </si>
  <si>
    <t>Алферов Геннадий Дмитриевич</t>
  </si>
  <si>
    <t>Денисов Евгений Васильевич</t>
  </si>
  <si>
    <t>Бовыкин Роман Александрович</t>
  </si>
  <si>
    <t>Махмудов Данил Борисович</t>
  </si>
  <si>
    <t>Муравьева Ольга Сергеевна</t>
  </si>
  <si>
    <t>Тихомиров Александр Александрович</t>
  </si>
  <si>
    <t>Щепетова Ольга Александровна</t>
  </si>
  <si>
    <t>Саркиев Юрий Сайниевич</t>
  </si>
  <si>
    <t>Шефер Владимир Федорович</t>
  </si>
  <si>
    <t>Дуванов Ричард Анатольевич</t>
  </si>
  <si>
    <t>ПРЕТЕНЗИОННЫЙ ПОРЯДОК</t>
  </si>
  <si>
    <t>1. Другое ТС виновника; 2. Другой Потребитель; 3. Ошибка в последнем абзаце (указаны другие требования из заявления/претензии.</t>
  </si>
  <si>
    <t>Пункт 1.1. Матрицы (досудебный порядок, возврат дкоументов)</t>
  </si>
  <si>
    <t>Пункт 1.1. Матрицы (нет документа об исполнении решения суда). Анализ сроков давности. ДТП 2015 года. Поденная неустойка</t>
  </si>
  <si>
    <t>1. Неверная мотивировка. 2. УТС взыскана решением суда, мы не можем мотикировать отказ во взыскании неустойки тем фактом, что УТС не положено согласно правилам КАСКО</t>
  </si>
  <si>
    <t>Пункты 4.1., 5.1., 8.6.(БР) Матрицы</t>
  </si>
  <si>
    <t xml:space="preserve">Заявитель считает, что выдано направление на ремонт, не соответствующее закону. Необходимо исследовать этот вопрос. </t>
  </si>
  <si>
    <t>Пункты 8.2.(БР), 8.3., 8.5., 5.1.(на 8.5.)(БР) Матрицы</t>
  </si>
  <si>
    <t>1. Ошибки в реквизитах договорах цессии</t>
  </si>
  <si>
    <t>Пункты 6.1., 8.2., 8.3.(БР) Матрицы</t>
  </si>
  <si>
    <t>Пункт 2.1. Матрицы + диагностика</t>
  </si>
  <si>
    <t>Пункты 5.2., 5.4., 8.2., 8.3. Матрицы</t>
  </si>
  <si>
    <t>1. Неверно исчислены сроки давности, т.к. исчислялись с первого обращения, до возврата документов, необходимо исчислять со второго</t>
  </si>
  <si>
    <t>В связи с тем, что данная заявка на проведение экспертизы создана не ошибочно, экспертизу по данному обращению проводить целесообразно!
Согласно пункту 2 Протокола Методического комитета от 23.04.2020, с учетом презентации к заседанию МК от 23.04.2020, Ford Transit (разрешенная масса 2800 тонн) без нанесенных на кузов рекламных надписей, с белыми гос номерами, и в связи с отсутствием иных признаков коммерческого транспорта не является ТС, используемым в коммерческих целях.
Заявитель в качестве ИП не зарегистрирован уже 7 лет.</t>
  </si>
  <si>
    <t>НЕПРЕДОСТАВЛЕНИЕ ДОКУМЕНТОВ</t>
  </si>
  <si>
    <t>Пункты 1.4., 5.5., 8.1.(БР), 8.3.(БР), 10. Матрицы</t>
  </si>
  <si>
    <t>Пункт 8.1. Матрицы</t>
  </si>
  <si>
    <t>Пункт 8.2. Матрицы</t>
  </si>
  <si>
    <t>Пункт 2.1. Матрицы (вред имуществу - квартира)</t>
  </si>
  <si>
    <t>Пункты 8.1., 8.6.(БР) Матрицы</t>
  </si>
  <si>
    <t>Пункты 4.1., 5.1.(БР) Матрицы</t>
  </si>
  <si>
    <t>Выброс щебенки из-под колес</t>
  </si>
  <si>
    <t>Пункты 1.8., 8.1. Матрицы. Выброс гравия из-под колес ТС</t>
  </si>
  <si>
    <t>Пункты 5.2., 5.4. Матрицы</t>
  </si>
  <si>
    <t>1. Экспертизу нужно взыскивать по среднему</t>
  </si>
  <si>
    <t>ВИНОВНИК</t>
  </si>
  <si>
    <t>Пункт 1.8., 5.1.(БР) Матрицы. Заявитель является виновником ДТП</t>
  </si>
  <si>
    <t>1. Неустойка БР</t>
  </si>
  <si>
    <t>Пункты 4.1., 7.6.(БР), 8.1. Матрицы</t>
  </si>
  <si>
    <t>Пункты 7.1.(БР), 8.1. Матрицы</t>
  </si>
  <si>
    <t>Пункты 5.1., 7.1., 8.1., 8.2., 8.3., 8.4., 8.5. Матрицы</t>
  </si>
  <si>
    <t>1. По НТЭ Заявителя сумма УТС меньше, чем выплатила ФО, оснований для проведений нашей нет</t>
  </si>
  <si>
    <t>1. ТОТАЛ, нужно уходить в НТЭ, а не отказывать</t>
  </si>
  <si>
    <t>1. Не учтена выплата неустойки</t>
  </si>
  <si>
    <t>1. Неверная причина отказа в выплате, согласно ответу ФО</t>
  </si>
  <si>
    <t>Пункты 2.1., 8.1., 8.4. Матрицы</t>
  </si>
  <si>
    <t>Пункты 2.1., 5.1., 8.1., 10. Матрицы</t>
  </si>
  <si>
    <t>Пункты 4.1., 5.5., 8.1. Матрицы</t>
  </si>
  <si>
    <t>1. ДТП без ГИБДД, ограничение по неустойке до 100000, а не до 400000</t>
  </si>
  <si>
    <t>НЕД 23</t>
  </si>
  <si>
    <t>Пункты 5.1. Матрицы</t>
  </si>
  <si>
    <t>1. Не начислена неустойка на эвакуатор</t>
  </si>
  <si>
    <t>Пункт 5.2. Матрицы. Поденная неустойка</t>
  </si>
  <si>
    <t>Пункты 1.8., 2.1., 5.1., 8.3., 9., 10. Матрицы</t>
  </si>
  <si>
    <t>1. Перепутаны суммы по НТЭ ФУ с износом и без</t>
  </si>
  <si>
    <t>НА ДР</t>
  </si>
  <si>
    <t>1. Не прописан 2ой договор цессии; 2. С первоначальным заявлением обращался не заявитель</t>
  </si>
  <si>
    <t>Пункт 1.1. Матрицы (не представлено решение суда о взыскании неустйоки)</t>
  </si>
  <si>
    <t>Пункты 5.4., 8.7.(БР) Матрицы</t>
  </si>
  <si>
    <t>1. Хранение БР; 2. Не та дата направления ННР, неправильный расчет ФС</t>
  </si>
  <si>
    <t>Пункты 5.1., 7.1., 8.1. Матрицы</t>
  </si>
  <si>
    <t>1. УТС выплатили добровольно, Заявитель размер УТС не оспорил (сумма по НТЭ Заявителя меньше, чем по НТЭ ФО), в нашу НТЭ не уходим, отказываем как добровольное исполнение</t>
  </si>
  <si>
    <t>Пункт 3.1., 5.1.(БР) Матрицы. Мать в интересах ребенка. Всего 3 выгодоприобретателя. Взыскиваем 158333,33</t>
  </si>
  <si>
    <t>1. Заявитель обращается только в интересах одного ребенка; 2. Взыскание 1/3, а не 100%</t>
  </si>
  <si>
    <t>1. Неверный расчет неустойки (не учтен период до суда)</t>
  </si>
  <si>
    <t>1. Нет расчета неустойки</t>
  </si>
  <si>
    <t>Пункты 1.8., 8.1.(БР) Матрицы</t>
  </si>
  <si>
    <t>1. Нет мотивировки по ограничению неустойки по КАСКО; 2. Не та дата обращения в ФО; 3. Нет расчета неустойки</t>
  </si>
  <si>
    <t>Пункты 1.8., 5.1. Матрицы. Расторжение ОСАГО виновника, но нет, т.к. тотал не подтвердился, уведомление не направили, премию не вернули. Но в этом случае получается надо по ПВУ идти</t>
  </si>
  <si>
    <t>Пункт 6.1. Матрицы. Поденная неустойка</t>
  </si>
  <si>
    <t>НЕ ИМУЩЕСТВЕННОЕ ТРЕБОВАНИЕ</t>
  </si>
  <si>
    <t>Не имущественное требование</t>
  </si>
  <si>
    <t>У-20-70267</t>
  </si>
  <si>
    <t>У-20-71788</t>
  </si>
  <si>
    <t>У-20-72053</t>
  </si>
  <si>
    <t>У-20-72190</t>
  </si>
  <si>
    <t>У-20-73581</t>
  </si>
  <si>
    <t>У-20-73847</t>
  </si>
  <si>
    <t>У-20-79165</t>
  </si>
  <si>
    <t>У-20-79377</t>
  </si>
  <si>
    <t>У-20-79436</t>
  </si>
  <si>
    <t>У-20-79487</t>
  </si>
  <si>
    <t>У-20-79516</t>
  </si>
  <si>
    <t>У-20-79521</t>
  </si>
  <si>
    <t>У-20-79525</t>
  </si>
  <si>
    <t>У-20-79537</t>
  </si>
  <si>
    <t>У-20-79611</t>
  </si>
  <si>
    <t>У-20-79734</t>
  </si>
  <si>
    <t>У-20-79757</t>
  </si>
  <si>
    <t>У-20-79809</t>
  </si>
  <si>
    <t>У-20-79920</t>
  </si>
  <si>
    <t>У-20-80039</t>
  </si>
  <si>
    <t>У-20-80115</t>
  </si>
  <si>
    <t>У-20-80158</t>
  </si>
  <si>
    <t>У-20-80218</t>
  </si>
  <si>
    <t>У-20-80227</t>
  </si>
  <si>
    <t>У-20-80232</t>
  </si>
  <si>
    <t>У-20-80339</t>
  </si>
  <si>
    <t>У-20-80386</t>
  </si>
  <si>
    <t>У-20-80387</t>
  </si>
  <si>
    <t>У-20-80462</t>
  </si>
  <si>
    <t>У-20-80472</t>
  </si>
  <si>
    <t>У-20-80589</t>
  </si>
  <si>
    <t>У-20-80718</t>
  </si>
  <si>
    <t>У-20-80749</t>
  </si>
  <si>
    <t>У-20-80750</t>
  </si>
  <si>
    <t>У-20-80765</t>
  </si>
  <si>
    <t>У-20-80823</t>
  </si>
  <si>
    <t>У-20-80850</t>
  </si>
  <si>
    <t>У-20-80885</t>
  </si>
  <si>
    <t>У-20-80893</t>
  </si>
  <si>
    <t>У-20-80945</t>
  </si>
  <si>
    <t>У-20-81007</t>
  </si>
  <si>
    <t>У-20-81073</t>
  </si>
  <si>
    <t>У-20-81151</t>
  </si>
  <si>
    <t>У-20-81155</t>
  </si>
  <si>
    <t>У-20-81287</t>
  </si>
  <si>
    <t>У-20-81301</t>
  </si>
  <si>
    <t>У-20-81382</t>
  </si>
  <si>
    <t>У-20-81404</t>
  </si>
  <si>
    <t>У-20-81532</t>
  </si>
  <si>
    <t>У-20-81572</t>
  </si>
  <si>
    <t>У-20-81606</t>
  </si>
  <si>
    <t>У-20-81689</t>
  </si>
  <si>
    <t>У-20-81889</t>
  </si>
  <si>
    <t>У-20-81901</t>
  </si>
  <si>
    <t>У-20-81918</t>
  </si>
  <si>
    <t>У-20-82012</t>
  </si>
  <si>
    <t>У-20-82474</t>
  </si>
  <si>
    <t>Горьковская Людмила Петровна</t>
  </si>
  <si>
    <t>Сапрыкин Владимир Александрович</t>
  </si>
  <si>
    <t>Герасимов Александр Сергеевич</t>
  </si>
  <si>
    <t>Малов Евгений Александрович</t>
  </si>
  <si>
    <t>Сайдуллин Владислав Фаукатович</t>
  </si>
  <si>
    <t>Завьялов Сергей Станиславович</t>
  </si>
  <si>
    <t>Андреев Александр Анатольевич</t>
  </si>
  <si>
    <t>Вахрушев Артем Алексеевич</t>
  </si>
  <si>
    <t>Лекомцева Мария Анатольевна</t>
  </si>
  <si>
    <t>Каргин Александр Геннадьевич</t>
  </si>
  <si>
    <t>Нигматуллин Ренат Эдуардович</t>
  </si>
  <si>
    <t>Шведов Михаил Анатольевич</t>
  </si>
  <si>
    <t>Карпова Светлана Владимировна</t>
  </si>
  <si>
    <t>Подборнов Денис Антонович</t>
  </si>
  <si>
    <t>Мухин Сергей Юрьевич</t>
  </si>
  <si>
    <t>НАЗУКИНА АНАСТАСИЯ Витальевна</t>
  </si>
  <si>
    <t>Петрова Агнея Леонидовна</t>
  </si>
  <si>
    <t>Курилов Александр Аркадьевич</t>
  </si>
  <si>
    <t>Барамидзе Рауль Отарович</t>
  </si>
  <si>
    <t>Хозиева Римма Сергеевна</t>
  </si>
  <si>
    <t>Москалева Татьяна Александровна</t>
  </si>
  <si>
    <t>Атаян Альберт Александрович</t>
  </si>
  <si>
    <t>Лоскутов Юрий Александрович</t>
  </si>
  <si>
    <t>Морозова Екатерина Николаевна</t>
  </si>
  <si>
    <t>Рудов Вячеслав Сергеевич</t>
  </si>
  <si>
    <t>Чантурия Екатерина Андреевна</t>
  </si>
  <si>
    <t>Гербеков Рамазан Хаджи-Даутович</t>
  </si>
  <si>
    <t>Зубков Артем Викторович</t>
  </si>
  <si>
    <t>Мамонова Светлана Александровна</t>
  </si>
  <si>
    <t>Асоян Роланд Абасович</t>
  </si>
  <si>
    <t>Асроров Амирджон Аброрович</t>
  </si>
  <si>
    <t>Серебренников Алексей Сергеевич</t>
  </si>
  <si>
    <t>Рощин Сергей Валерьевич</t>
  </si>
  <si>
    <t>Тадтаев Марек Хсарбегович</t>
  </si>
  <si>
    <t>Гарин Виктор Михайлович</t>
  </si>
  <si>
    <t>Орлицкий Алексей Михайлович</t>
  </si>
  <si>
    <t>Дубовая Валентина Дмитриевна</t>
  </si>
  <si>
    <t>Машкович Ирина Сергеевна</t>
  </si>
  <si>
    <t>Верясов Святослав Александрович</t>
  </si>
  <si>
    <t>Ставров Павел Константинович</t>
  </si>
  <si>
    <t>Трубников Андрей Сергеевич</t>
  </si>
  <si>
    <t>Долов Тимур Геланиевич</t>
  </si>
  <si>
    <t xml:space="preserve">Унгуряну Дорин </t>
  </si>
  <si>
    <t>Муртазин Ильгиз Ирекович</t>
  </si>
  <si>
    <t>Муллааслан Жамал Мамадалиевич</t>
  </si>
  <si>
    <t>Никитин Александр Дмитриевич</t>
  </si>
  <si>
    <t>Шарафетдинов Андрей Игоревич</t>
  </si>
  <si>
    <t>Дедов Константин Иванович</t>
  </si>
  <si>
    <t>Валиев Ильяс Евгеньевич</t>
  </si>
  <si>
    <t>Музыкантова Татьяна Алексеевна</t>
  </si>
  <si>
    <t>Байрамкулов Артур Баширович</t>
  </si>
  <si>
    <t>Климин Сергей Михайлович</t>
  </si>
  <si>
    <t>Дыгов Заур Биболович</t>
  </si>
  <si>
    <t>Вавилова Галина Аркадьевна</t>
  </si>
  <si>
    <t>Ахмедов Нурлан Абдулалиевич</t>
  </si>
  <si>
    <t>Карпенков Максим Владимирович</t>
  </si>
  <si>
    <t>Пункты 2.1., 5.1., 8.1., 8.3. Матрицы + расходы на услуги автотехнической станции</t>
  </si>
  <si>
    <t>Пункт 1.2. Матрицы. Велосипед</t>
  </si>
  <si>
    <t>Пункт 2.1., 8.2. Матрицы</t>
  </si>
  <si>
    <t>1. ДТП без ГИБДД, лимит 100000</t>
  </si>
  <si>
    <t>Пункты 1.2., 5.1., 8.1.(БР) Матрицы</t>
  </si>
  <si>
    <t>1. Не рассмотрены неустойка и НТЭ</t>
  </si>
  <si>
    <t>Пункт 1.1. Матрицы. ДТП оформлено по европротоколу, однако на момент ДТП полис Заявителя прекратил действие</t>
  </si>
  <si>
    <t>НЕУСТОЙКА (ПОДЕННАЯ) С ПРИМЕНЕНИЕМ ИСКОВОЙ ДАВНОСТИ</t>
  </si>
  <si>
    <t>, а Заявитель узнал о нарушении своего права</t>
  </si>
  <si>
    <t>что подтверждается платежным поручением от</t>
  </si>
  <si>
    <t>В ответе на Запрос</t>
  </si>
  <si>
    <t>просит прекратить рассмотрение Обращения в связи с тем, что Заявитель обратился к Финансовому уполномоченному по истечении трех лет со дня, когда узнал или должен был узнать о нарушении своего права</t>
  </si>
  <si>
    <t>Кроме того,</t>
  </si>
  <si>
    <t>ссылается на истечение исковой давности</t>
  </si>
  <si>
    <t xml:space="preserve">В соответствии со статьей 195 ГК РФ исковой давностью признается срок для защиты права по иску лица, право которого нарушено. 
Согласно пункту 1 статьи 196 ГК РФ общий срок исковой давности составляет три года со дня, определяемого в соответствии со статьей 200 ГК РФ.
В соответствии с пунктом 1 статьи 200 ГК РФ, если законом не установлено иное, течение срока исковой давности начинается со дня, когда лицо узнало или должно было узнать о нарушении своего права и о том, кто является надлежащим ответчиком по иску о защите этого права.
Пунктами 24, 25 Постановления Пленума Верховного Суда Российской Федерации от 29.09.2015 № 43 «О некоторых вопросах, связанных с применением норм Гражданского кодекса Российской Федерации об исковой давности» определено, что по смыслу пункта 1 статьи 200 ГК РФ течение срока давности по иску, вытекающему из нарушения одной стороной договора условия об оплате товара (работ, услуг) по частям, начинается в отношении каждой отдельной части. Срок давности по искам о просроченных повременных платежах (проценты за пользование заемными средствами, арендная плата и т.п.) исчисляется отдельно по каждому просроченному платежу.
Срок исковой давности по требованию о взыскании неустойки (статья 330 ГК РФ) или процентов, подлежащих уплате по правилам статьи 395 ГК РФ, исчисляется отдельно по каждому просроченному платежу, определяемому применительно к каждому дню просрочки.
В силу пункта 1 статьи 207 ГК РФ с истечением срока исковой давности по главному требованию считается истекшим срок исковой давности и по дополнительным требованиям (проценты, неустойка, залог, поручительство и т.п.), в том числе возникшим после истечения срока исковой давности по главному требованию.
Вместе с тем, в соответствии с позицией, изложенной в пункте 25 Обзора судебной практики Верховного Суда Российской Федерации № 3 (2019), утвержденного 27.11.2019 Президиумом Верховного Суда Российской Федерации, положения пункта 1 статьи 207 ГК РФ не применяются к дополнительным требованиям в случае, когда основное обязательство исполнено должником с просрочкой, но в пределах срока исковой давности.
</t>
  </si>
  <si>
    <t>В рамках рассмотрения Обращения Финансовым уполномоченным установлено, что</t>
  </si>
  <si>
    <t>Заявителем подано в АО «СОГАЗ» Заявление о страховом возмещении.</t>
  </si>
  <si>
    <t>Поскольку выплата страхового возмещения осуществлена</t>
  </si>
  <si>
    <t>, страховое возмещение по Договору ОСАГО выплачено</t>
  </si>
  <si>
    <t>с просрочкой, но в пределах срока исковой давности.</t>
  </si>
  <si>
    <t>Поскольку Решение суда, в том числе в части выплаты взысканного страхового возмещения, исполнено</t>
  </si>
  <si>
    <t>Следовательно, к заявленному требованию о взыскании неустойки не может быть применено правило статьи 207 ГК РФ, а исковая давность подлежит исчислению по правилам, указанным в пунктах 24, 25 Постановления Пленума Верховного Суда Российской Федерации от 29.09.2015 № 43 «О некоторых вопросах, связанных с применением норм Гражданского кодекса Российской Федерации об исковой давности».</t>
  </si>
  <si>
    <t>Ссылка</t>
  </si>
  <si>
    <t>на истечение срока для направления обращения финансовому уполномоченному, установленного статьей 15 Закона № 123-ФЗ, также подлежит отклонению финансовым уполномоченным по следующим причинам.</t>
  </si>
  <si>
    <t xml:space="preserve">Согласно пункту 1 статьи 15 Закона № 123-ФЗ финансовый уполномоченный рассматривает обращения в отношении финансовых организаций, если со дня, когда потребитель финансовых услуг узнал или должен был узнать о нарушении своего права, прошло не более трех лет.
Поскольку неустойка является мерой ответственности за нарушение гражданского-правового обязательства и ее возникновение само по себе связано с нарушением права, установленный статьей 15 Закона № 123-ФЗ срок следует исчислять со дня, когда у Заявителя появилось право требования неустойки или ее соответствующей части (при повременном начислении неустойки).
В связи с тем, что неустойка, предусмотренная Законом № 40-ФЗ, начисляется поденно, срок, установленный статьей 15 Закона № 123-ФЗ, подлежит отдельному исчислению применительно к каждому дню, за который начислена неустойка (в части суммы неустойки, начисленной за соответствующий день).
</t>
  </si>
  <si>
    <t>Со дня начала периода начисления неустойки и до обращения Заявителя к Финансовому уполномоченному (</t>
  </si>
  <si>
    <t>) прошло более 3 лет, Финансовый уполномоченный приходит к выводу об истечении сроков на предъявление Заявителем исковых требований и о необходимости применения к заявленному требованию о взыскании неустойки правило статьи 207 ГК РФ.</t>
  </si>
  <si>
    <t>Следовательно, Финансовым уполномоченным подлежит рассмотрению требование Заявителя в части взыскания неустойки за период с</t>
  </si>
  <si>
    <t>(дата начала указанного трехгодичного периода) по</t>
  </si>
  <si>
    <t>(дата исполнения обязательства по выплате страхового возмещения), начисляемой на сумму</t>
  </si>
  <si>
    <t>взысканного по Решению суда</t>
  </si>
  <si>
    <t>выплаченного</t>
  </si>
  <si>
    <t>страхового возмещения в размере</t>
  </si>
  <si>
    <t>Требование Заявителя в части взыскания неустойки за период, предшествующий</t>
  </si>
  <si>
    <t>, не подлежит рассмотрению Финансовым уполномоченным на основании пункта 1 части 1 статьи 19 Закона № 123-ФЗ.</t>
  </si>
  <si>
    <t>В соответствии с требованиями, установленными пунктом 21 статьи 12 Закона № 40-ФЗ, размер неустойки за нарушение срока выплаты страхового возмещения, начисленной за период с</t>
  </si>
  <si>
    <t>на сумму</t>
  </si>
  <si>
    <t>, составляет</t>
  </si>
  <si>
    <t>× 1% ×</t>
  </si>
  <si>
    <t>дней)</t>
  </si>
  <si>
    <t>Поскольку указанный период находится в пределах срока, установленного в пункте 2 статьи 966 ГК РФ (3 года), основания для применения при рассмотрении настоящего Обращения исковой давности отсутствуют.</t>
  </si>
  <si>
    <t>Таким образом, требование Заявителя в части взыскания неустойки за период с</t>
  </si>
  <si>
    <t>подлежит удовлетворению размере</t>
  </si>
  <si>
    <t>Пунктом 21 статьи 12 Закона № 40-ФЗ установлено, что в течение 20 календарных дней, за исключением нерабочих праздничных дней, а в случае, предусмотренном пунктом 15.3 статьи 12 Закона № 40-ФЗ, 30 календарных дней, за исключением нерабочих праздничных дней, со дня принятия к рассмотрению заявления потерпевшего о страховом возмещении или прямом возмещении убытков и приложенных к нему документов, предусмотренных правилами обязательного страхования, страховщик обязан произвести страховую выплату потерпевшему или после осмотра и (или) независимой технической экспертизы поврежденного транспортного средства выдать потерпевшему направление на ремонт транспортного средства с указанием станции технического обслуживания, на которой будет отремонтировано его транспортное средство и которой страховщик оплатит восстановительный ремонт поврежденного транспортного средства, и срока ремонта либо направить потерпевшему мотивированный отказ в страховом возмещении.
При несоблюдении срока осуществления страховой выплаты или срока выдачи потерпевшему направления на ремонт транспортного средства страховщик за каждый день просрочки уплачивает потерпевшему неустойку (пеню) в размере одного процента от определенного в соответствии с Законом № 40-ФЗ размера страхового возмещения по виду причиненного вреда каждому потерпевшему. 
Пунктом 78 Постановления Пленума Верховного Суда Российской Федерации от 26.12.2017 № 58 «О применении судами законодательства об обязательном страховании гражданской ответственности владельцев транспортных средств» установлено, что неустойка исчисляется со дня, следующего за днем, установленным для принятия решения о выплате страхового возмещения, то есть с 21 дня после получения страховщиком заявления потерпевшего о страховой выплате и документов, предусмотренных Правилами ОСАГО, и до дня фактического исполнения страховщиком обязательства по договору включительно.
Статьей 191 Гражданского кодекса Российской Федерации (далее – ГК РФ) установлено, что течение срока, определённого периодом времени, начинается на следующий день после календарной даты или наступления события, которыми определено его начало.</t>
  </si>
  <si>
    <t>Пункт 1.1. Матрицы (описка в решении суда, даже с учетом ее "устранения", не позволяет достоверно установить период взысканной неустойки)</t>
  </si>
  <si>
    <t>Пункты 2.1., 5.5., 8.1., 8.2. Матрицы</t>
  </si>
  <si>
    <t>Пункт 1.5., 7.1,(БР), 8.1., 8.2., 8.3., 8.4.(БР) Матрицы</t>
  </si>
  <si>
    <t>Пункты 1.2., 7.1.(БР), 8.1., 8.6. Матрицы</t>
  </si>
  <si>
    <t>Не страховой случай по КАСКО</t>
  </si>
  <si>
    <t>1. Не та страховая сумма; 2. Не та страховая премия; 3. Не то обоснование для отказа (формулировка)</t>
  </si>
  <si>
    <t>Пункт 1.2., 5.1., 8.1. Матрицы</t>
  </si>
  <si>
    <t>1. Нет анализа сроков по неустойке</t>
  </si>
  <si>
    <t>Пункты 1.4., 5.5. Матрицы</t>
  </si>
  <si>
    <t>Пункт 1.1. Матрицы (ФО вернула документы)</t>
  </si>
  <si>
    <t>Пункты 1.2., 5.1., 8.2., 10 Матрицы</t>
  </si>
  <si>
    <t>Пункты 5.1., 8.1., 10. Матрицы + диагностика</t>
  </si>
  <si>
    <t>Пункты 7.1.(БР), 8.1., 8.2., 8.3., 8.4.(БР) Матрицы + дефектовка, расходы на изготовление гос.рег.номера(БР)</t>
  </si>
  <si>
    <t>Пункты 2.1., 8.2., 8.4. Матрицы</t>
  </si>
  <si>
    <t>Пункты 2.1., 5.1., 8.1., 9. Матрицы</t>
  </si>
  <si>
    <t>Пункты 2.1., 8.2., 8.3.(БР), 8.4. Матрицы</t>
  </si>
  <si>
    <t>1. Мотивировка с пропусками; 2. Ограничение по тексту до 400000</t>
  </si>
  <si>
    <t>125-ФЗ</t>
  </si>
  <si>
    <t>Пункт 1.1 Матрицы. Следовала к месту работы на корпоративном автобусе. Нет документов о выплате по 125-ФЗ</t>
  </si>
  <si>
    <t>Не надо второй раз прекращать. Недостаточно документов, значит отказ</t>
  </si>
  <si>
    <t>Пункт 5.2. Матрицы. Отложная поденная неустойка</t>
  </si>
  <si>
    <t>Пункты 1.2., 5.1., 8.1., 8.4. Матрицы</t>
  </si>
  <si>
    <t>1. Неверно определена дата обращения в ФО</t>
  </si>
  <si>
    <t>Пункты 2.1., 5.1.(БР), 8.1., 9. Матрицы</t>
  </si>
  <si>
    <t>название и содержание проекта решения?</t>
  </si>
  <si>
    <t>1. ДТП без справок, ограничение 100 000, а не 400 000</t>
  </si>
  <si>
    <t>1. Загружено другое решение</t>
  </si>
  <si>
    <t>Пункты 4.1., 5.1. Матрицы + иные расходы (БР)</t>
  </si>
  <si>
    <t>Пункты 5.1., 8.1.(БР) Матрицы + комиссия банка (БР)</t>
  </si>
  <si>
    <t>Пункты 3.1., 5.5. Матрицы. Посмотреть Банк России</t>
  </si>
  <si>
    <t>Пункт 5.1. Матрицы. Поденная неустойка</t>
  </si>
  <si>
    <t>1. Вынесено решение о прекращении без учета нового подхода</t>
  </si>
  <si>
    <t>Пункты 5.1.(БР), 8.2.(БР), 8.3., 8.5. Матрицы</t>
  </si>
  <si>
    <t>Была выплата</t>
  </si>
  <si>
    <t>Неакцепт</t>
  </si>
  <si>
    <t>КАЧЕСТВО. На момент заключения Договора КАСКО был поврежден бампер. Составлен представховой акт о том, что повреждений на ТС нет. Однако есть фото, на которых повреждения есть, проведена НТЭ, согласно которой на момент заключения Договора КАСКО повреждения есть</t>
  </si>
  <si>
    <t>Тотал</t>
  </si>
  <si>
    <t>Суд</t>
  </si>
  <si>
    <t>УЩЕРБ взыскание, Здоровье БР, т.к. нет документов</t>
  </si>
  <si>
    <t>Утраченный заработок</t>
  </si>
  <si>
    <t>Погребение</t>
  </si>
  <si>
    <t>Выплата в срок по решению ФУ, поэтому отказ. НЕУСТОЙКА НА РЕШ ФУ ЖИЗНЬ</t>
  </si>
  <si>
    <t>Исполнили решение ФУ с нарушением сроков. Неустойка</t>
  </si>
  <si>
    <t>Выплатили добровольно. Неустойка</t>
  </si>
  <si>
    <t>Нет заявления о пропуске срока, хотя срок "исковой давности" пропущен. Неустойка</t>
  </si>
  <si>
    <t>Три полиса ОСАГО в РГС. СРОК ДАВНОСТИ</t>
  </si>
  <si>
    <t>Нет даты выдачи повторного направления на ремонт. Неустойка</t>
  </si>
  <si>
    <t>Два раза ремонтировалась, хотела третий раз, но ФО выплатила деньгами. Неустойка</t>
  </si>
  <si>
    <t>ФО пишет, что выдало повторное ННР точно в срок (в день вторичного осмотра), но документов не прикладывает. Нужно позвонить Илоне и уточнить, есть ли документы. Если представят, то отказать, если нет, то на НТЭ по качеству. Документы дослали. Также факт выдачи повторного ННР в день осмотра не оспаривается Заявителем. Неустойка</t>
  </si>
  <si>
    <t>САМ. Направил повторно. Пришла, но не та что нужна (обычная комплексная). После ремонта обратился с претензией по качеству ремонта. ФО ТС осмотрело, составили акт о том, что повреждения не относятся к ДТП. Прекращение, т.к. сам заявитель обратился в суд, недождавшись вынесения решения ФУ. СУД</t>
  </si>
  <si>
    <t>Отказ (предоставил в отремонтированном состоянии)</t>
  </si>
  <si>
    <t>сообщило Заявителю, что Транспортное средство было предоставлено в отремонтированном состоянии, в силу чего у</t>
  </si>
  <si>
    <t>отсутствует возможность оценить размер убытков, причиненных Транспортному средству в результате ДТП, а также определить относимость соответствующих повреждений заявленному событию</t>
  </si>
  <si>
    <t>Отремонтировал</t>
  </si>
  <si>
    <t>Пункты 1.1., 8.1.(БР) Матрицы. Предоставил на осмотр в отремонтированном виде</t>
  </si>
  <si>
    <t>ОТКАЗ (ПРЕДОСТАВИЛ НА ОСМОТР В ОТРЕМОНТИРОВАННОМ ВИДЕ)</t>
  </si>
  <si>
    <t>документов следует, что Транспортное средство было предоставлено Заявителем на осмотр в</t>
  </si>
  <si>
    <t>в восстановленном виде, что не позволяет</t>
  </si>
  <si>
    <t>достоверно определить наличие страхового случая и размер убытков, подлежащих возмещению по Договору ОСАГО.
Таким образом, у</t>
  </si>
  <si>
    <t xml:space="preserve">отсутствуют правовые основания для осуществления страхового возмещения в рамках Договора ОСАГО, а требование Заявителя о взыскании страхового возмещения удовлетворению не подлежит.
</t>
  </si>
  <si>
    <t>Отремонтировал до осмотра</t>
  </si>
  <si>
    <t>В соответствии с пунктом 1 статьи 1064 Гражданского кодекса Российского Федерации (далее – ГК РФ) вред, причиненный личности или имуществу гражданина, а также вред, причиненный имуществу юридического лица, подлежит возмещению в полном объеме лицом, причинившим вред.
Согласно части 4 статьи 931 ГК РФ в случае, когда ответственность за причинение вреда застрахована в силу того, что ее страхование обязательно, а также в других случаях, предусмотренных законом или договором страхования такой ответственности, лицо, в пользу которого считается заключенным договор страхования, вправе предъявить непосредственно страховщику требование о возмещении вреда в пределах страховой суммы.
В соответствии с абзацем 11 статьи 1 Закона № 40-ФЗ под страховым случаем понимается наступление гражданской ответственности страхователя, иных лиц, риск ответственности которых застрахован по договору обязательного страхования, за причинение вреда жизни, здоровью или имуществу потерпевших при использовании транспортного средства, которое влечет за собой обязанность страховщика произвести страховую выплату.
При предъявлении требования о страховой выплате факт наступления страхового случая подлежит доказыванию, бремя доказывания этого факта лежит на лице, предъявившем требование о страховой выплате, при этом страховщик вправе доказывать, что имели место обстоятельства, освобождающие его от обязанности произвести страховую выплату.
В соответствии с пунктом 10 статьи 12 Закона № 40-ФЗ при причинении вреда имуществу в целях выяснения обстоятельств причинения вреда и определения размера подлежащих возмещению страховщиком убытков потерпевший, намеренный воспользоваться своим правом на страховое возмещение или прямое возмещение убытков, в течение пяти рабочих дней с даты подачи заявления о страховом возмещении и прилагаемых к нему в соответствии с правилами обязательного страхования документов обязан представить поврежденное транспортное средство или его остатки для осмотра и (или) независимой технической экспертизы, проводимой в порядке, установленном статьей 12.1  Закона № 40-ФЗ, иное имущество для осмотра и (или) независимой экспертизы (оценки), проводимой в порядке, установленном законодательством Российской Федерации с учетом особенностей, установленных настоящим Федеральным законом.
Согласно пункту 11 статьи 12 Закона № 40-ФЗ страховщик обязан осмотреть поврежденное транспортное средство, иное имущество или его остатки и (или) организовать их независимую техническую экспертизу, независимую экспертизу (оценку) в срок не более чем пять рабочих дней со дня поступления заявления о страховом возмещении или прямом возмещении убытков с приложенными документами, предусмотренными Правилами ОСАГО.
Согласно пункту 20 статьи 12 Закона № 40-ФЗ Страховщик отказывает потерпевшему в страховом возмещении или его части, если ремонт поврежденного имущества или утилизация его остатков, осуществленные до осмотра страховщиком и (или) проведения независимой технической экспертизы, независимой экспертизы (оценки) поврежденного имущества в соответствии с требованиями настоящей статьи, не позволяют достоверно установить наличие страхового случая и размер убытков, подлежащих возмещению по договору обязательного страхования. 
Из предоставленных Заявителем и</t>
  </si>
  <si>
    <t>Доводы ПАО СК «Росгосстрах» о наличии оснований для прекращения рассмотрения Обращения на том основании, что в производстве Октябрьского районного суда г. Ижевска находится гражданское дело № М-1394/20 по иску Заявителя к ПАО СК «Росгосстрах» о том же предмете и по тем же основаниям, что и в Обращении, не принимаются Финансовым уполномоченным в силу того, что согласно представленному Заявителем Определению от 21.04.2020, вынесенному по гражданскому делу № М 1394/20, исковое заявление Заявителя было возвращено в связи с несоблюдением Заявителем досудебного порядка урегулирования спора.</t>
  </si>
  <si>
    <t>ДОВОДЫ (ФО ССЫЛАЕТСЯ НА ДЕЛО В ПРОИЗВОДСТВЕ СУДА)</t>
  </si>
  <si>
    <t>У-20-48306</t>
  </si>
  <si>
    <t>У-20-61970</t>
  </si>
  <si>
    <t>У-20-62843</t>
  </si>
  <si>
    <t>У-20-71356</t>
  </si>
  <si>
    <t>У-20-73560</t>
  </si>
  <si>
    <t>У-20-75830</t>
  </si>
  <si>
    <t>У-20-76559</t>
  </si>
  <si>
    <t>У-20-76627</t>
  </si>
  <si>
    <t>У-20-77231</t>
  </si>
  <si>
    <t>У-20-82435</t>
  </si>
  <si>
    <t>У-20-82590</t>
  </si>
  <si>
    <t>У-20-82838</t>
  </si>
  <si>
    <t>У-20-83272</t>
  </si>
  <si>
    <t>У-20-83370</t>
  </si>
  <si>
    <t>У-20-83415</t>
  </si>
  <si>
    <t>У-20-83433</t>
  </si>
  <si>
    <t>У-20-83669</t>
  </si>
  <si>
    <t>У-20-83755</t>
  </si>
  <si>
    <t>У-20-83957</t>
  </si>
  <si>
    <t>У-20-83983</t>
  </si>
  <si>
    <t>У-20-84020</t>
  </si>
  <si>
    <t>У-20-84124</t>
  </si>
  <si>
    <t>У-20-84229</t>
  </si>
  <si>
    <t>У-20-84339</t>
  </si>
  <si>
    <t>У-20-84361</t>
  </si>
  <si>
    <t>У-20-84453</t>
  </si>
  <si>
    <t>У-20-84466</t>
  </si>
  <si>
    <t>У-20-84542</t>
  </si>
  <si>
    <t>У-20-84613</t>
  </si>
  <si>
    <t>У-20-84763</t>
  </si>
  <si>
    <t>У-20-84983</t>
  </si>
  <si>
    <t>У-20-85062</t>
  </si>
  <si>
    <t>У-20-85063</t>
  </si>
  <si>
    <t>У-20-85153</t>
  </si>
  <si>
    <t>У-20-85180</t>
  </si>
  <si>
    <t>У-20-85480</t>
  </si>
  <si>
    <t>У-20-85525</t>
  </si>
  <si>
    <t>У-20-85684</t>
  </si>
  <si>
    <t>У-20-85708</t>
  </si>
  <si>
    <t>У-20-85728</t>
  </si>
  <si>
    <t>У-20-85825</t>
  </si>
  <si>
    <t>У-20-85968</t>
  </si>
  <si>
    <t>ООО Центр Автоуслуг</t>
  </si>
  <si>
    <t>ИП Туш Екатерина Игоревна</t>
  </si>
  <si>
    <t>Сердюков Максим Павлович</t>
  </si>
  <si>
    <t>Пылунина Светлана Дмитриевна</t>
  </si>
  <si>
    <t>Дьякова Лидия Васильевна</t>
  </si>
  <si>
    <t>Князев Александр Игоревич</t>
  </si>
  <si>
    <t>Аббасов Роман Фаррухович</t>
  </si>
  <si>
    <t>Заболотная Наталья Анатольевна</t>
  </si>
  <si>
    <t>Забродина Ольга Игоревна</t>
  </si>
  <si>
    <t>Белова Ольга Юрьевна</t>
  </si>
  <si>
    <t>Хатылев Алексей Олегович</t>
  </si>
  <si>
    <t>Еськов Евгений Александрович</t>
  </si>
  <si>
    <t>Маклов Денис Валерьевич</t>
  </si>
  <si>
    <t>Родина Ирина Васильевна</t>
  </si>
  <si>
    <t>Тониян Константин Александрович</t>
  </si>
  <si>
    <t>Мартынова Инна Викторовна</t>
  </si>
  <si>
    <t>Абдурахманов Юсуп Ахмедович</t>
  </si>
  <si>
    <t>Бабенко Виктор Алексеевич</t>
  </si>
  <si>
    <t>Краскина Анна Александровна</t>
  </si>
  <si>
    <t>Пестерев Алексей Алексеевич</t>
  </si>
  <si>
    <t>Андрейченко Сергей Николаевич</t>
  </si>
  <si>
    <t>Лысенко Дарья Александровна</t>
  </si>
  <si>
    <t>Крючкова Светлана Владимировна</t>
  </si>
  <si>
    <t>Игнатов Игорь Викторович</t>
  </si>
  <si>
    <t>Чки Эльвира Энверовна</t>
  </si>
  <si>
    <t>Мелконян Любовь Сергеевна</t>
  </si>
  <si>
    <t>Бигильдеева Светлана Анатольевна</t>
  </si>
  <si>
    <t>Заварзин Антон Валерьевич</t>
  </si>
  <si>
    <t>Курбаналиев Тимур Нуралиевич</t>
  </si>
  <si>
    <t>Челышев Александр Валерьевич</t>
  </si>
  <si>
    <t>Симоненко Сергей Иванович</t>
  </si>
  <si>
    <t>Леонова Эльвира Рафаэльевна</t>
  </si>
  <si>
    <t>Ирсаев Марсель Минахматович</t>
  </si>
  <si>
    <t>Семерикова Светлана Алексеевна</t>
  </si>
  <si>
    <t>Перетока Никита Александрович</t>
  </si>
  <si>
    <t>Джаджиев Артик Федорович</t>
  </si>
  <si>
    <t>Фирсов Александр Викторович</t>
  </si>
  <si>
    <t>Шутиков Константин Юрьевич</t>
  </si>
  <si>
    <t>Изиков Константин Владимирович</t>
  </si>
  <si>
    <t>Павлова Людмила Алексеевна</t>
  </si>
  <si>
    <t>Невечеря Сергей Иванович</t>
  </si>
  <si>
    <t>Решение</t>
  </si>
  <si>
    <t>Данные</t>
  </si>
  <si>
    <t>Результат</t>
  </si>
  <si>
    <t>№ Обращения</t>
  </si>
  <si>
    <t>Дата Обращения</t>
  </si>
  <si>
    <t>Заявитель</t>
  </si>
  <si>
    <t>Место жительства</t>
  </si>
  <si>
    <t>Почтовый адрес</t>
  </si>
  <si>
    <t>Дата регистрации</t>
  </si>
  <si>
    <t>Место нахождения</t>
  </si>
  <si>
    <t>Длина строки</t>
  </si>
  <si>
    <t xml:space="preserve">№ </t>
  </si>
  <si>
    <t xml:space="preserve"> (</t>
  </si>
  <si>
    <t xml:space="preserve">(паспорт серия </t>
  </si>
  <si>
    <t>,</t>
  </si>
  <si>
    <t xml:space="preserve">в отношении </t>
  </si>
  <si>
    <t>Требование 1</t>
  </si>
  <si>
    <t>Требование 2</t>
  </si>
  <si>
    <t>Требование 3</t>
  </si>
  <si>
    <t>Требование 4</t>
  </si>
  <si>
    <t>Требование 5</t>
  </si>
  <si>
    <t>Требование 6</t>
  </si>
  <si>
    <t>Требование 7</t>
  </si>
  <si>
    <t>Требование 8</t>
  </si>
  <si>
    <t>Требование 9</t>
  </si>
  <si>
    <t>Требование 10</t>
  </si>
  <si>
    <t xml:space="preserve">Размер </t>
  </si>
  <si>
    <t>Размер</t>
  </si>
  <si>
    <t>страхового возмещения по договору обязательного страхования гражданской ответственности владельцев транспортных средств (далее – ОСАГО)</t>
  </si>
  <si>
    <t>страхового возмещения по договору обязательного страхования гражданской ответственности владельцев транспортных средств (далее – ОСАГО) в части утраты товарной стоимости (далее – УТС)</t>
  </si>
  <si>
    <t>страхового возмещения по договору добровольного страхования транспортных средств (далее – КАСКО)</t>
  </si>
  <si>
    <t>страхового возмещения по договору добровольного страхования транспортных средств (далее – КАСКО) в части утраты товарной стоимости (далее – УТС)</t>
  </si>
  <si>
    <t>неустойки за несоблюдение срока выплаты страхового возмещения по договору обязательного страхования гражданской ответственности владельцев транспортных средств (далее – ОСАГО)</t>
  </si>
  <si>
    <t>неустойки за несоблюдение срока выплаты страхового возмещения по договору добровольного страхования транспортных средств (далее – КАСКО)</t>
  </si>
  <si>
    <t>неустойки за несоблюдение срока выплаты страхового возмещения по договору обязательного страхования гражданской ответственности владельцев транспортных средств (далее – ОСАГО) в части утраты товарной стоимости (далее – УТС)</t>
  </si>
  <si>
    <t>неустойки за несоблюдение срока выплаты страхового возмещения по договору добровольного страхования транспортных средств (далее – КАСКО) в части утраты товарной стоимости (далее – УТС)</t>
  </si>
  <si>
    <t>неустойки за несоблюдение срока выплаты страхового возмещения по договору добровольного страхования транспортных (далее – КАСКО)</t>
  </si>
  <si>
    <t>страхового возмещения вследствие причинения вреда здоровью по договору обязательного страхования гражданской ответственности владельцев транспортных средств (далее – ОСАГО)</t>
  </si>
  <si>
    <t>страхового возмещения вследствие причинения вреда жизни по договору обязательного страхования гражданской ответственности владельцев транспортных средств (далее – ОСАГО)</t>
  </si>
  <si>
    <t>штрафа</t>
  </si>
  <si>
    <t>Вред здоровью</t>
  </si>
  <si>
    <t>Вред жизни</t>
  </si>
  <si>
    <t>ВИД Обращения</t>
  </si>
  <si>
    <t>Требование 11</t>
  </si>
  <si>
    <t>Требование 12</t>
  </si>
  <si>
    <t>Требование 13</t>
  </si>
  <si>
    <t>Требование 14</t>
  </si>
  <si>
    <t>Требование 15</t>
  </si>
  <si>
    <t>Уведомление дата</t>
  </si>
  <si>
    <t>Уведомление №</t>
  </si>
  <si>
    <t>Сведения предоставлены / не предоставлены</t>
  </si>
  <si>
    <t>.</t>
  </si>
  <si>
    <t>Пункт 1.1. Матрицы (в суда рассматривается дело о взыскании страхового возмещения, требования неразрывно связаны)</t>
  </si>
  <si>
    <t>страхового возмещения в части устранения недостатков качества проведенного ремонта транспортного средства по договору обязательного страхования гражданской ответственности владельцев транспортных средств (далее – ОСАГО)</t>
  </si>
  <si>
    <t>Качество</t>
  </si>
  <si>
    <t>Пункт 4.4., 5.1.(БР) Матрицы</t>
  </si>
  <si>
    <t>Пункт 1.1. Матрицы (есть решение суда)</t>
  </si>
  <si>
    <t>неустойки за несоблюдение срока выплаты страхового возмещения в части утраты товарной стоимости (далее – УТС) по договору обязательного страхования гражданской ответственности владельцев транспортных средств (далее – ОСАГО)</t>
  </si>
  <si>
    <t>Неустойка на УТС</t>
  </si>
  <si>
    <t>Пункты 5.2., 5.4., 8.2.(БР), 8.3.(БР) Матрицы</t>
  </si>
  <si>
    <t>1. Неверный расчет неустойки (ошибка в определении даты, с которой исчисляется неустойка; 2. Юр услуги и почта взысканы судом - БР; 3. На ННР есть подписать Заявителя; 4. ФС - отказываем, т.к. ННР выдано в срок</t>
  </si>
  <si>
    <t>1. Не проанализированы доводы ФО о непредоставлении документов; 2. Экспертиза - как неиспользованная№ 3. Неустойка как производная</t>
  </si>
  <si>
    <t>1. Неверный расчет неустойки (неустойка расчитана с 21го дня, хотя должна рассчитаываться в пределах 3х годичного срока)</t>
  </si>
  <si>
    <t>115114, г. Москва, 2-й Павелецкий пр-д, д. 5, стр. 1, пом. V, ком. 4</t>
  </si>
  <si>
    <t>Пункты 1.2., 5.1., 9. Матрицы</t>
  </si>
  <si>
    <t>Пункты 2.1., 5.4., 5.5., 8.1., 8.2. Матрицы</t>
  </si>
  <si>
    <t>Пункты 1.5., 5.1., 8.1., 10. Матрицы</t>
  </si>
  <si>
    <t>ФИН (начало)</t>
  </si>
  <si>
    <t>ФИН (конец)</t>
  </si>
  <si>
    <t>Должность (начало)</t>
  </si>
  <si>
    <t>Должность (конец)</t>
  </si>
  <si>
    <t>Уполномоченный по правам потребителей финансовых услуг в сферах страхования, микрофинансирования, кредитной кооперации и деятельности кредитных организаций</t>
  </si>
  <si>
    <t>Финансовый уполномоченный по правам потребителей финансовых услуг в сфере страхования</t>
  </si>
  <si>
    <t>РЕШИЛ</t>
  </si>
  <si>
    <t>Решение (начало)</t>
  </si>
  <si>
    <t>Решение (конец)</t>
  </si>
  <si>
    <t>Решение (середина)</t>
  </si>
  <si>
    <t xml:space="preserve">документы, Финансовый уполномоченный считает, что </t>
  </si>
  <si>
    <t>ДОЛЖНО БЫТЬ</t>
  </si>
  <si>
    <t>расходов на проведение независимой экспертизы</t>
  </si>
  <si>
    <t>Пункты 1.2., 5.1.(БР), 8.1., 9. Матрицы</t>
  </si>
  <si>
    <t>Почтой</t>
  </si>
  <si>
    <t>Согласно пункту 1 статьи 12 Закона № 40-ФЗ, при недостаточности документов, подтверждающих факт наступления страхового случая и размер подлежащего возмещению страховщиком вреда, страховщик в течение трех рабочих дней со дня их получения по почте, а при личном обращении к страховщику в день обращения с заявлением о страховом возмещении или прямом возмещении убытков обязан сообщить об этом потерпевшему с указанием полного перечня недостающих и (или) неправильно оформленных документов.</t>
  </si>
  <si>
    <t>лично обратился в</t>
  </si>
  <si>
    <t>заявление о страховом возмещении по Договору ОСАГО</t>
  </si>
  <si>
    <t>заявление о прямом возмещении убытков</t>
  </si>
  <si>
    <t>направил по почте в</t>
  </si>
  <si>
    <t>, таким образом, при недостаточности документов</t>
  </si>
  <si>
    <t>было обязано запросить недостающие документы</t>
  </si>
  <si>
    <t>в день обращения</t>
  </si>
  <si>
    <t>в течение трех рабочих дней с даты их получения</t>
  </si>
  <si>
    <t>, то есть</t>
  </si>
  <si>
    <t>в нарушении срока, установленного пунктом 1 статьи 12 Закона № 40-ФЗ, письмом №</t>
  </si>
  <si>
    <t>уведомило Заявителя о необходимости предоставления</t>
  </si>
  <si>
    <t>Таким образом, доводы</t>
  </si>
  <si>
    <t>о непредоставлении Заявителем</t>
  </si>
  <si>
    <t>не принимаются Финансовым уполномоченным.</t>
  </si>
  <si>
    <t>платы за рассмотрения обращения финансовым уполномоченным</t>
  </si>
  <si>
    <t>Плата ФУ</t>
  </si>
  <si>
    <t>ОСАГО З дата</t>
  </si>
  <si>
    <t>ОСАГО З серия</t>
  </si>
  <si>
    <t>ОСАГО З №</t>
  </si>
  <si>
    <t xml:space="preserve">серия </t>
  </si>
  <si>
    <t>ОСАГО З начало</t>
  </si>
  <si>
    <t>ОСАГО З конец</t>
  </si>
  <si>
    <t>ОСАГО З терм</t>
  </si>
  <si>
    <t>ДТП дата</t>
  </si>
  <si>
    <t xml:space="preserve">вследствие действий </t>
  </si>
  <si>
    <t>ДТП ВИН ТС ММ</t>
  </si>
  <si>
    <t>ДТП ВИН ТС ГРН</t>
  </si>
  <si>
    <t>ДТП З ТС ММ</t>
  </si>
  <si>
    <t>ДТП З ТС ГРН</t>
  </si>
  <si>
    <t>ДТП З ТС ГОД</t>
  </si>
  <si>
    <t xml:space="preserve">год выпуска </t>
  </si>
  <si>
    <t>ОСАГО ВИН ФО</t>
  </si>
  <si>
    <t>ОСАГО ВИН серия</t>
  </si>
  <si>
    <t>ОСАГО ВИН №</t>
  </si>
  <si>
    <t>ЗАЯВЛЕНИЕ дата</t>
  </si>
  <si>
    <t>ЗАЯВЛЕНИЕ ФО</t>
  </si>
  <si>
    <t xml:space="preserve">в </t>
  </si>
  <si>
    <t>прямом возмещении убытков</t>
  </si>
  <si>
    <t>ЗАЯВЛЕНИЕ ПВУ</t>
  </si>
  <si>
    <t>З/П 123-ФЗ дата</t>
  </si>
  <si>
    <t>страхового возмещения в части устранения недостатков качества проведенного ремонта Транспортного средства по Договору ОСАГО</t>
  </si>
  <si>
    <t>Пункты 4.4., 5.5., 8.1., 8.2. Матрицы + плата за рассмотрение Обращения ФУ</t>
  </si>
  <si>
    <t>идентификационный номер налогоплательщика</t>
  </si>
  <si>
    <t xml:space="preserve"> по договору</t>
  </si>
  <si>
    <t>ДТП европротокол</t>
  </si>
  <si>
    <t>требование Заявителя не подлежит удовлетворению на основании следующего</t>
  </si>
  <si>
    <t xml:space="preserve"> страхового возмещения по договору ОСАГО</t>
  </si>
  <si>
    <t>Вред здоровью. Вред подлежит возмещению по договору страхования ответственности перевозчика. ОСГОП</t>
  </si>
  <si>
    <t>Причинен вред частному дому. Добровольное исполнение + пункт 8.3. Матрицы</t>
  </si>
  <si>
    <t>Вхождение КП</t>
  </si>
  <si>
    <t>НП</t>
  </si>
  <si>
    <t>КП</t>
  </si>
  <si>
    <t>Значение</t>
  </si>
  <si>
    <t>Текст</t>
  </si>
  <si>
    <t>Сопоставление</t>
  </si>
  <si>
    <t>ИТОГ</t>
  </si>
  <si>
    <t>прекратить</t>
  </si>
  <si>
    <t>удовлетворить частично</t>
  </si>
  <si>
    <t>ЦИТАТА</t>
  </si>
  <si>
    <t>Пункты 2.1., 5.1., 8.1., 8.2., 8.4., 8.6. Матрицы</t>
  </si>
  <si>
    <t>1. Нет анализа сроков запроса документов; 2. Нет анализа представленного акта выполненных работ на эвакуацию ТС</t>
  </si>
  <si>
    <t>Пункт 1.7., 5.1., 7.1.(БР) Матрицы</t>
  </si>
  <si>
    <t xml:space="preserve">(паспорт серии </t>
  </si>
  <si>
    <t>Пункты 2.1., 5.1., 5.5., 5.4. Матрицы</t>
  </si>
  <si>
    <t>требование Заявителя не подлежит удовлетворению в связи со следующим</t>
  </si>
  <si>
    <t>Пункты 2.1., 5.1., 8.2., 8.3.(БР) Матрицы</t>
  </si>
  <si>
    <t>Пункты 2.1., 5.1., 5.5. Матрицы</t>
  </si>
  <si>
    <t>Пункты 3.2., 5.5. Матрицы</t>
  </si>
  <si>
    <t>МАРКЕР</t>
  </si>
  <si>
    <t>ИСКОМОЕ</t>
  </si>
  <si>
    <t>НАЙДЕНО</t>
  </si>
  <si>
    <t>ВАРИАНТЫ</t>
  </si>
  <si>
    <t>ПОДСТРОКИ</t>
  </si>
  <si>
    <t>ПРЕАМБУЛА</t>
  </si>
  <si>
    <t>РЕЗОЛЮТИВКА</t>
  </si>
  <si>
    <t>МАРКЕРЫ</t>
  </si>
  <si>
    <t>НАЧАЛО</t>
  </si>
  <si>
    <t>ДОЛЖНОСТЬ</t>
  </si>
  <si>
    <t>РЕЗОЛЮТИВКА 1</t>
  </si>
  <si>
    <t>Искомое</t>
  </si>
  <si>
    <t>СООТВЕТСТВИЕ</t>
  </si>
  <si>
    <t>ПЕРЕХОД К МОТИВИРОВКЕ</t>
  </si>
  <si>
    <t>(сведения о документе, удостоверяющем личность, не предоставлены</t>
  </si>
  <si>
    <t>Пункты 4.1., 5.1., 8.1. Матрицы + диагностика</t>
  </si>
  <si>
    <t>Пункты 1.2., 5.1.(БР), 8.1. Матрицы</t>
  </si>
  <si>
    <t xml:space="preserve">по результатам рассмотрения обращения от </t>
  </si>
  <si>
    <t>ОБРАЩЕНИЕ (Дата)</t>
  </si>
  <si>
    <t>START</t>
  </si>
  <si>
    <t>END</t>
  </si>
  <si>
    <t>LENGTH</t>
  </si>
  <si>
    <t>ОБРАЩЕНИЕ (№)</t>
  </si>
  <si>
    <t>ЗАЯВИТЕЛЬ (ФИО)</t>
  </si>
  <si>
    <t>ЗАЯВИТЕЛЬ (Паспорт)</t>
  </si>
  <si>
    <t>S'CHECK</t>
  </si>
  <si>
    <t>ЗАЯВИТЕЛЬ (МЖ)</t>
  </si>
  <si>
    <t>место жительства</t>
  </si>
  <si>
    <t>почтовый адрес</t>
  </si>
  <si>
    <t>ЗАЯВИТЕЛЬ (Адрес)</t>
  </si>
  <si>
    <t>ПРОТИВОРЕЧИЕ</t>
  </si>
  <si>
    <t>Пункты 3.2., 5.1., 5.5. Матрицы</t>
  </si>
  <si>
    <t>Пункт 1.9., 5.1., 8.3.(БР) Матрицы. Поденная неустойка. Решение суда на текущий момент не исполнено. Отказ, т.к. не исполнено в пределах срока исковой давности</t>
  </si>
  <si>
    <t>1. Не рассмотрены УТС и НТЭ</t>
  </si>
  <si>
    <t>Пункты 8.1., 8.3., 8.4. Матрицы</t>
  </si>
  <si>
    <t>Пункты 5.1., 8.2., 8.4., 8.5., 5.1.(на 8.5.) Матрицы + дефектовка. Есть соглашение с ФО о возможной пролонгации сроков ремонта</t>
  </si>
  <si>
    <t>1. Не рассмотрены доводы ФО о согласии на пролонгацию сроков; 2. Взыскание дефектовки вместо отказа</t>
  </si>
  <si>
    <t>107031, г. Москва, Рождественский б-р, д. 14, стр. 2</t>
  </si>
  <si>
    <t>Не страховой случай по КАСКО. Передача ТС третьему лицу без согласования в ФО</t>
  </si>
  <si>
    <t>Исполнение признается ненадлежащим, т.к. Заявитель просил выплатить на реквизиты, приложил реквизиты и доверенность на представителя. Оплата по системе CONTACT, сумма не оспаривается. Согласно сайту CONTACT платеж готов к выдаче.</t>
  </si>
  <si>
    <t>Паспорт есть</t>
  </si>
  <si>
    <t>Паспорта нет</t>
  </si>
  <si>
    <t>ЗНАЧЕНИЕ</t>
  </si>
  <si>
    <t>ФО (Наименование)</t>
  </si>
  <si>
    <t xml:space="preserve"> (место нахождения</t>
  </si>
  <si>
    <t>ФО (МН)</t>
  </si>
  <si>
    <t>ФО (Адрес)</t>
  </si>
  <si>
    <t>дата государственной регистрации</t>
  </si>
  <si>
    <t>ФО (Дата)</t>
  </si>
  <si>
    <t>ФО (ИНН)</t>
  </si>
  <si>
    <t>Должность</t>
  </si>
  <si>
    <t>УСТАНОВИЛ</t>
  </si>
  <si>
    <t>ТРЕБОВАНИЯ К ФУ</t>
  </si>
  <si>
    <t>Ремонт</t>
  </si>
  <si>
    <t>Неустойка 395</t>
  </si>
  <si>
    <t>Экспертиза траса</t>
  </si>
  <si>
    <t>СОПОСТАВЛЕНИЕ</t>
  </si>
  <si>
    <t xml:space="preserve">о взыскании </t>
  </si>
  <si>
    <t xml:space="preserve"> руб</t>
  </si>
  <si>
    <t xml:space="preserve"> коп</t>
  </si>
  <si>
    <t>Имя</t>
  </si>
  <si>
    <t xml:space="preserve"> по</t>
  </si>
  <si>
    <t>Период с</t>
  </si>
  <si>
    <t>Период по</t>
  </si>
  <si>
    <t xml:space="preserve">, </t>
  </si>
  <si>
    <t xml:space="preserve">паспорт иностранного гражданина серия </t>
  </si>
  <si>
    <t>РЕЗИДЕНТ</t>
  </si>
  <si>
    <t>ДА</t>
  </si>
  <si>
    <t>?</t>
  </si>
  <si>
    <t>Уведомление (Дата)</t>
  </si>
  <si>
    <t>УВЕДОМЛЕНИЕ</t>
  </si>
  <si>
    <t xml:space="preserve">от </t>
  </si>
  <si>
    <t>Уведомление (№)</t>
  </si>
  <si>
    <t>Предоставлены</t>
  </si>
  <si>
    <t>Не предоставлены</t>
  </si>
  <si>
    <t>документы предоставлены</t>
  </si>
  <si>
    <t>документы не предоставлены</t>
  </si>
  <si>
    <t>документы предоставлены не были</t>
  </si>
  <si>
    <t>START2</t>
  </si>
  <si>
    <t>ДТП (абзац)</t>
  </si>
  <si>
    <t>ДТП (дата)</t>
  </si>
  <si>
    <t xml:space="preserve">произошедшего </t>
  </si>
  <si>
    <t>ДТП (виновник ФИО)</t>
  </si>
  <si>
    <t xml:space="preserve">транспортным средством </t>
  </si>
  <si>
    <t xml:space="preserve">номер </t>
  </si>
  <si>
    <t>ДТП (заявитель ТС год)</t>
  </si>
  <si>
    <t>ОСАГО виновник (ФО)</t>
  </si>
  <si>
    <t>ОСАГО виновник (абзац)</t>
  </si>
  <si>
    <t xml:space="preserve"> в рамках договора</t>
  </si>
  <si>
    <t>ОСАГО виновник (серия)</t>
  </si>
  <si>
    <t>ОСАГО виновник (№)</t>
  </si>
  <si>
    <t xml:space="preserve"> с </t>
  </si>
  <si>
    <t>ОСАГО виновник (начало)</t>
  </si>
  <si>
    <t>ОСАГО виновник (конец)</t>
  </si>
  <si>
    <t xml:space="preserve"> до </t>
  </si>
  <si>
    <t xml:space="preserve"> по </t>
  </si>
  <si>
    <t>ОСАГО Заявитель (абзац)</t>
  </si>
  <si>
    <t>Сведений о заключении Заявителем договора ОСАГО Финансовому уполномоченному не предоставлено.</t>
  </si>
  <si>
    <t>ОСАГО Заявитель (ФО)</t>
  </si>
  <si>
    <t xml:space="preserve"> заключен договор</t>
  </si>
  <si>
    <t>ОСАГО Заявитель (дата)</t>
  </si>
  <si>
    <t xml:space="preserve">серии </t>
  </si>
  <si>
    <t>ОСАГО Заявитель (серия)</t>
  </si>
  <si>
    <t>ОСАГО Заявитель (№)</t>
  </si>
  <si>
    <t>ОСАГО Заявитель (начало)</t>
  </si>
  <si>
    <t>ОСАГО Заявитель (конец)</t>
  </si>
  <si>
    <t>ИСКОМОЕ2</t>
  </si>
  <si>
    <t>страховом возмещении по Договору ОСАГО</t>
  </si>
  <si>
    <t>ДТП (европротокол)</t>
  </si>
  <si>
    <t>ДТП было оформлено в соответствии с пунктом 1 статьи 11.1</t>
  </si>
  <si>
    <t>СРЕД</t>
  </si>
  <si>
    <t>Мужской</t>
  </si>
  <si>
    <t>Женский</t>
  </si>
  <si>
    <t>Средний</t>
  </si>
  <si>
    <t>ИСКОМОЕ3</t>
  </si>
  <si>
    <t xml:space="preserve">обратился в </t>
  </si>
  <si>
    <t xml:space="preserve">обратилась в </t>
  </si>
  <si>
    <t>ЗАЯВЛЕНИЕ В ФО (абзац)</t>
  </si>
  <si>
    <t>ЗАЯВЛЕНИЕ В ФО (пву / к виновнику)</t>
  </si>
  <si>
    <t>К ВИНОВНИКУ</t>
  </si>
  <si>
    <t>ЗАЯВЛЕНИЕ В ФО (пол)</t>
  </si>
  <si>
    <t>ОСМОТРЫ (даты)</t>
  </si>
  <si>
    <t>ПРЕТЕНЗИИ (абзац)</t>
  </si>
  <si>
    <t>ПРЕТЕНЗИИ (дата)</t>
  </si>
  <si>
    <t>ПРЕТЕНЗИЯ 1 (требования)</t>
  </si>
  <si>
    <t xml:space="preserve">о выплате </t>
  </si>
  <si>
    <t>ПРЕТЕНЗИЯ 2 (требования)</t>
  </si>
  <si>
    <t>в отношении</t>
  </si>
  <si>
    <t>расходов на диагностику системы пассивной безопасности Транспортного средства</t>
  </si>
  <si>
    <t>Диагностика системы безопасности</t>
  </si>
  <si>
    <t>ПРЕТЕНЗИЯ 3 (требования)</t>
  </si>
  <si>
    <t>ДТП (виновник пол)</t>
  </si>
  <si>
    <t>управлявшего</t>
  </si>
  <si>
    <t>управлявшей</t>
  </si>
  <si>
    <t>ДТП (ТС грн)</t>
  </si>
  <si>
    <t>ДТП (ТС марка)</t>
  </si>
  <si>
    <t>ТС</t>
  </si>
  <si>
    <t>Виновника</t>
  </si>
  <si>
    <t>Заявителя</t>
  </si>
  <si>
    <t>транспортного средства</t>
  </si>
  <si>
    <t>$$$$</t>
  </si>
  <si>
    <t>страховом возмещении вследствие причинения вреда здоровью</t>
  </si>
  <si>
    <t>страховом возмещении вследствие причинения вреда жизни</t>
  </si>
  <si>
    <t>ПРЕТЕНЗИИ (пол)</t>
  </si>
  <si>
    <t xml:space="preserve">о доплате </t>
  </si>
  <si>
    <t>ДТП виновник пол</t>
  </si>
  <si>
    <t>ДТП виновник ФИО</t>
  </si>
  <si>
    <t>ОСАГО З ФО</t>
  </si>
  <si>
    <t xml:space="preserve">под управлением </t>
  </si>
  <si>
    <t>ДТП (ТС водитель)</t>
  </si>
  <si>
    <t>ВЫПЛАТЫ (абзац)</t>
  </si>
  <si>
    <t>ВЫПЛАТА 1</t>
  </si>
  <si>
    <t xml:space="preserve">доплата </t>
  </si>
  <si>
    <t xml:space="preserve">выплата </t>
  </si>
  <si>
    <t>ВЫПЛАТА 2</t>
  </si>
  <si>
    <t>ВЫПЛАТА 3</t>
  </si>
  <si>
    <t>ПРЕТЕНЗИЯ 4 (требования)</t>
  </si>
  <si>
    <t>ПРЕТЕНЗИЯ 5 (требования)</t>
  </si>
  <si>
    <t>ИМЯ</t>
  </si>
  <si>
    <t>РАЗМЕР</t>
  </si>
  <si>
    <t>ПО</t>
  </si>
  <si>
    <t>ПРЕТЕНЗИЯ 1</t>
  </si>
  <si>
    <t>ДАТА</t>
  </si>
  <si>
    <t>ПРЕТЕНЗИЯ 2</t>
  </si>
  <si>
    <t>ФЗ-123</t>
  </si>
  <si>
    <t>неустойки за несоблюдение сроков выплаты страхового возмещения</t>
  </si>
  <si>
    <t>ПРЕТЕНЗИЯ 3</t>
  </si>
  <si>
    <t>ПРЕТЕНЗИЯ 4</t>
  </si>
  <si>
    <t>ПРЕТЕНЗИЯ 5</t>
  </si>
  <si>
    <t xml:space="preserve">причинен вред принадлежащему Заявителю транспортному средству </t>
  </si>
  <si>
    <t xml:space="preserve">транспортного средства </t>
  </si>
  <si>
    <t>Гражданская ответственность Заявителя</t>
  </si>
  <si>
    <t xml:space="preserve">застрахована в </t>
  </si>
  <si>
    <t>END2</t>
  </si>
  <si>
    <t>START3</t>
  </si>
  <si>
    <t xml:space="preserve">перечислило в пользу Заявителя </t>
  </si>
  <si>
    <t>страховое возмещение</t>
  </si>
  <si>
    <t>неустойку</t>
  </si>
  <si>
    <t>ВЫПЛАТА 4</t>
  </si>
  <si>
    <t>ВЫПЛАТА 5</t>
  </si>
  <si>
    <t>ВЫПЛАТЫ (дата)</t>
  </si>
  <si>
    <t>неустойки за несоблюдение срока выплаты расходов на аварийного комиссара</t>
  </si>
  <si>
    <t>Неустойка на Аваркома</t>
  </si>
  <si>
    <t>далее – Договор ОСАГО</t>
  </si>
  <si>
    <t>неустойки за несоблюдение срока выплаты страхового возмещения вследствие причинения вреда здоровью по договору ОСАГО</t>
  </si>
  <si>
    <t>Неустойка здоровье</t>
  </si>
  <si>
    <t>неустойки за несоблюдение срока выплаты страхового возмещения в связи с причинением вреда здоровью по договору обязательного страхования гражданской ответственности владельцев транспортных средств (далее – ОСАГО)</t>
  </si>
  <si>
    <t>Праздничные дни (без переносов)</t>
  </si>
  <si>
    <t>Праздничные дни (с переносами)</t>
  </si>
  <si>
    <t>страхового возмещения вследствие причинения вреда имуществу по договору обязательного страхования гражданской ответственности владельцев транспортных средств (далее – ОСАГО)</t>
  </si>
  <si>
    <t>Имущество</t>
  </si>
  <si>
    <t xml:space="preserve">произведена выплата </t>
  </si>
  <si>
    <t xml:space="preserve">перечислило </t>
  </si>
  <si>
    <t xml:space="preserve">осуществлена выплата </t>
  </si>
  <si>
    <t>произведена доплата</t>
  </si>
  <si>
    <t>ДАТЫ</t>
  </si>
  <si>
    <t>20й день</t>
  </si>
  <si>
    <t>ННР 2</t>
  </si>
  <si>
    <t>ННР 3</t>
  </si>
  <si>
    <t>ВЫПЛАТЫ</t>
  </si>
  <si>
    <t xml:space="preserve">было перечислено </t>
  </si>
  <si>
    <t xml:space="preserve">независимой экспертной организацией </t>
  </si>
  <si>
    <t>ЭКСПЕРТИЗЫ ФО (абзац)</t>
  </si>
  <si>
    <t>На основании результатов осмотра</t>
  </si>
  <si>
    <t>По инициативе</t>
  </si>
  <si>
    <t>ЭКСПЕРТИЗЫ ФО (наименование)</t>
  </si>
  <si>
    <t xml:space="preserve"> подготовлено</t>
  </si>
  <si>
    <t>ЭКСПЕРТИЗЫ ФО (дата)</t>
  </si>
  <si>
    <t xml:space="preserve"> от </t>
  </si>
  <si>
    <t xml:space="preserve"> № </t>
  </si>
  <si>
    <t>ЭКСПЕРТИЗЫ ФО (№)</t>
  </si>
  <si>
    <t xml:space="preserve">без учета износа составила </t>
  </si>
  <si>
    <t>Без</t>
  </si>
  <si>
    <t>РУБ</t>
  </si>
  <si>
    <t>ЭКСПЕРТИЗЫ ФО (Сумма БЕЗ)</t>
  </si>
  <si>
    <t xml:space="preserve">с учетом износа составила </t>
  </si>
  <si>
    <t xml:space="preserve">средняя рыночная стоимость Транспортного средства до повреждения по состоянию на дату ДТП составляла </t>
  </si>
  <si>
    <t xml:space="preserve">стоимость годных остатков поврежденного Транспортного средства составила </t>
  </si>
  <si>
    <t>ЭКСПЕРТИЗЫ ФО (Сумма С)</t>
  </si>
  <si>
    <t>ЭКСПЕРТИЗЫ ФО (Сумма РЫНОК)</t>
  </si>
  <si>
    <t>ЭКСПЕРТИЗЫ ФО</t>
  </si>
  <si>
    <t>НТЭО</t>
  </si>
  <si>
    <t>ЭКСПЕРТИЗЫ ФО (Сумма ГОДНИКИ)</t>
  </si>
  <si>
    <t>ЭКСПЕРТИЗЫ Заявитель (абзац)</t>
  </si>
  <si>
    <t>В обоснование своих требований Заявитель предоставил</t>
  </si>
  <si>
    <t>ЭКСПЕРТИЗЫ Заявитель (наименование)</t>
  </si>
  <si>
    <t xml:space="preserve">экспертное заключение </t>
  </si>
  <si>
    <t>ЭКСПЕРТИЗЫ Заявитель (дата)</t>
  </si>
  <si>
    <t>ЭКСПЕРТИЗЫ Заявитель (№)</t>
  </si>
  <si>
    <t>РУБ/КОП</t>
  </si>
  <si>
    <t>ЭКСПЕРТИЗЫ Заявитель (БЕЗ)</t>
  </si>
  <si>
    <t>ЭКСПЕРТИЗЫ Заявитель (С)</t>
  </si>
  <si>
    <t xml:space="preserve">рыночная стоимость Транспортного средства до повреждения по состоянию на дату ДТП составляла </t>
  </si>
  <si>
    <t>ЭКСПЕРТИЗЫ Заявитель (РЫНОК)</t>
  </si>
  <si>
    <t>ЭКСПЕРТИЗЫ Заявитель (ГОДНИКИ)</t>
  </si>
  <si>
    <t>ЭКСПЕРТИЗЫ ЗАЯВИТЕЛЯ</t>
  </si>
  <si>
    <t>Заявитель ФИО</t>
  </si>
  <si>
    <t>Заявитель паспорт</t>
  </si>
  <si>
    <t>Заявитель МЖ</t>
  </si>
  <si>
    <t>Заявитель адрес</t>
  </si>
  <si>
    <t xml:space="preserve"> подготовлена</t>
  </si>
  <si>
    <t>ТС 1</t>
  </si>
  <si>
    <t>ТС 2</t>
  </si>
  <si>
    <t>ТС 3</t>
  </si>
  <si>
    <t>Оформление</t>
  </si>
  <si>
    <t>ОСАГО ВИНОВНИК</t>
  </si>
  <si>
    <t>ОСАГО ЗАЯВИТЕЛЬ</t>
  </si>
  <si>
    <t>ЗАЯВЛЕНИЕ</t>
  </si>
  <si>
    <t>ОСМОТРЫ</t>
  </si>
  <si>
    <t xml:space="preserve">осмотр </t>
  </si>
  <si>
    <t>судьей</t>
  </si>
  <si>
    <t>СУДЫ (абзац)</t>
  </si>
  <si>
    <t>СУДЫ (Наименование)</t>
  </si>
  <si>
    <t xml:space="preserve">по делу </t>
  </si>
  <si>
    <t>СУДЫ (дата)</t>
  </si>
  <si>
    <t>СУДЫ (Номер)</t>
  </si>
  <si>
    <t xml:space="preserve"> по делу</t>
  </si>
  <si>
    <t>решение об удовлетворении</t>
  </si>
  <si>
    <t xml:space="preserve">взыскано </t>
  </si>
  <si>
    <t>страховое возмещение по договору ОСАГО</t>
  </si>
  <si>
    <t>неустойка за несоблюдение срока выплаты страхового возмещения по договору ОСАГО</t>
  </si>
  <si>
    <t>иные расходы (далее – Решение Суда)</t>
  </si>
  <si>
    <t>СУД 3</t>
  </si>
  <si>
    <t>СУД 4</t>
  </si>
  <si>
    <t>СУД 5</t>
  </si>
  <si>
    <t>СУДЫ</t>
  </si>
  <si>
    <t>СУДЫ ИСПОЛНЕНИЕ (абзац)</t>
  </si>
  <si>
    <t>Решение Суда было исполнено</t>
  </si>
  <si>
    <t>СУДЫ ИСПОЛНЕНИЕ (дата)</t>
  </si>
  <si>
    <t>должно рассмотреть</t>
  </si>
  <si>
    <t>СРОК ОТВЕТА (абзац)</t>
  </si>
  <si>
    <t xml:space="preserve">не позднее </t>
  </si>
  <si>
    <t>СРОК ОТВЕТА (Дата)</t>
  </si>
  <si>
    <t>СРОК ОТВЕТА</t>
  </si>
  <si>
    <t>Требования</t>
  </si>
  <si>
    <t>МОТИВИРОВКА</t>
  </si>
  <si>
    <t>В соответствии с пунктом 1 статьи 12.1</t>
  </si>
  <si>
    <t>Учитывая вышеизложенное</t>
  </si>
  <si>
    <t>Согласно абзацу 8 статьи 1</t>
  </si>
  <si>
    <t>Учитывая выводы</t>
  </si>
  <si>
    <t>END3</t>
  </si>
  <si>
    <t>В части требования Заявителя о взыскании расходов на проведение независимой экспертизы</t>
  </si>
  <si>
    <t>требования Заявителя о взыскании неустойки</t>
  </si>
  <si>
    <t>МОТИВИРОВКА УЩЕРБ</t>
  </si>
  <si>
    <t>назначено проведение</t>
  </si>
  <si>
    <t xml:space="preserve">эксперт </t>
  </si>
  <si>
    <t>АБЗАЦЫ (описательная часть)</t>
  </si>
  <si>
    <t>АБЗАЦЫ (мотивировочная часть)</t>
  </si>
  <si>
    <t>не застрахована</t>
  </si>
  <si>
    <t>ОСАГО Заявитель (НЕТ)</t>
  </si>
  <si>
    <t>ОСАГО виновник (НЕТ)</t>
  </si>
  <si>
    <t xml:space="preserve">паспорт № </t>
  </si>
  <si>
    <t>расходов на оплату юридических услуг</t>
  </si>
  <si>
    <t>в результате</t>
  </si>
  <si>
    <t xml:space="preserve">виновным признан </t>
  </si>
  <si>
    <t xml:space="preserve">виновным в ДТП признан </t>
  </si>
  <si>
    <t xml:space="preserve">без учета износа составляет </t>
  </si>
  <si>
    <t xml:space="preserve">с учетом износа – </t>
  </si>
  <si>
    <t xml:space="preserve">между Заявителем и </t>
  </si>
  <si>
    <t xml:space="preserve">с учетом износа </t>
  </si>
  <si>
    <t>требование Заявителя о взыскании неустойки</t>
  </si>
  <si>
    <t>МОТИВИРОВКА НЕУСТОЙКА</t>
  </si>
  <si>
    <t>АБЗАЦ</t>
  </si>
  <si>
    <t>МОТИВИРОВКА сумма взыскания</t>
  </si>
  <si>
    <t xml:space="preserve">подлежит удовлетворению в размере </t>
  </si>
  <si>
    <t>НЕУСТОЙКА (сумма взыскания)</t>
  </si>
  <si>
    <t xml:space="preserve">Для решения вопросов, связанных с рассмотрением Обращения, Финансовым уполномоченным </t>
  </si>
  <si>
    <t>Таким образом</t>
  </si>
  <si>
    <t>МОТИВИРОВКА ЭКСПЕРТИЗА</t>
  </si>
  <si>
    <t>ЭКСПЕРТИЗА ФУ (Сумма БЕЗ)</t>
  </si>
  <si>
    <t>ЭКСПЕРТИЗА ФУ (Сумма С)</t>
  </si>
  <si>
    <t>ЭКСПЕРТИЗА ФУ (Сумма Рынок)</t>
  </si>
  <si>
    <t>ЭКСПЕРТИЗА ФУ (Сумма Годники)</t>
  </si>
  <si>
    <t>НОРМАТИВКА</t>
  </si>
  <si>
    <t>ВОПРОСЫ</t>
  </si>
  <si>
    <t>СУММЫ</t>
  </si>
  <si>
    <t>СРАВНЕНИЕ</t>
  </si>
  <si>
    <t>ВЫВОД</t>
  </si>
  <si>
    <t xml:space="preserve">заключению </t>
  </si>
  <si>
    <t xml:space="preserve"> от</t>
  </si>
  <si>
    <t xml:space="preserve"> №</t>
  </si>
  <si>
    <t>ВЫВОД (наименование ФО)</t>
  </si>
  <si>
    <t>ВЫВОД (дата)</t>
  </si>
  <si>
    <t>ВЫВОД (№)</t>
  </si>
  <si>
    <t>ВЫВОД (ТРАСА)</t>
  </si>
  <si>
    <t>не могли</t>
  </si>
  <si>
    <t>не соответствуют</t>
  </si>
  <si>
    <t>ВЫВОД (эксперт)</t>
  </si>
  <si>
    <t xml:space="preserve">техник </t>
  </si>
  <si>
    <t>ВЫВОД (вопросы)</t>
  </si>
  <si>
    <t xml:space="preserve">следующие вопросы:
</t>
  </si>
  <si>
    <t xml:space="preserve"> стоимость</t>
  </si>
  <si>
    <t>ОСМОТРЫ (абзац)</t>
  </si>
  <si>
    <t>ДОП ТРЕБОВАНИЯ (абзац)</t>
  </si>
  <si>
    <t xml:space="preserve">Заявление также содержало </t>
  </si>
  <si>
    <t xml:space="preserve">выплате </t>
  </si>
  <si>
    <t>ДОП ТРЕБОВАНИЯ</t>
  </si>
  <si>
    <t>ДОП ТРЕБОВАНИЯ (Требования)</t>
  </si>
  <si>
    <t xml:space="preserve">экспертные заключения </t>
  </si>
  <si>
    <t>КОП</t>
  </si>
  <si>
    <t>В части требований Заявителя о взыскании расходов на проведение независимой экспертизы</t>
  </si>
  <si>
    <t>расходы Заявителя на проведение независимой экспертизы</t>
  </si>
  <si>
    <t>расходы на проведение независимой экспертизы</t>
  </si>
  <si>
    <t>RES</t>
  </si>
  <si>
    <t>RES 1</t>
  </si>
  <si>
    <t>RES 2</t>
  </si>
  <si>
    <t>взыскать</t>
  </si>
  <si>
    <t>RES 2.1 (суммы)</t>
  </si>
  <si>
    <t>неустойку в связи с нарушением срока выплаты страхового возмещения по Договору ОСАГО</t>
  </si>
  <si>
    <t>нотариальных расходов</t>
  </si>
  <si>
    <t>не была застрахована</t>
  </si>
  <si>
    <t>Учитывая произведенную страховой компанией</t>
  </si>
  <si>
    <t xml:space="preserve"> размер</t>
  </si>
  <si>
    <t xml:space="preserve">без учета износа составил </t>
  </si>
  <si>
    <t>ОТВЕТ ФО</t>
  </si>
  <si>
    <t xml:space="preserve">в том числе </t>
  </si>
  <si>
    <t xml:space="preserve">выплата в размере </t>
  </si>
  <si>
    <t>Общий размер</t>
  </si>
  <si>
    <t xml:space="preserve">в счет </t>
  </si>
  <si>
    <t>возврата страховой премии</t>
  </si>
  <si>
    <t>Премия</t>
  </si>
  <si>
    <t>У-20-77400</t>
  </si>
  <si>
    <t>У-20-83472</t>
  </si>
  <si>
    <t>У-20-83598</t>
  </si>
  <si>
    <t>У-20-85082</t>
  </si>
  <si>
    <t>У-20-85201</t>
  </si>
  <si>
    <t>У-20-85202</t>
  </si>
  <si>
    <t>У-20-85471</t>
  </si>
  <si>
    <t>У-20-91493</t>
  </si>
  <si>
    <t>У-20-92065</t>
  </si>
  <si>
    <t>У-20-92244</t>
  </si>
  <si>
    <t>У-20-92311</t>
  </si>
  <si>
    <t>У-20-92459</t>
  </si>
  <si>
    <t>У-20-92763</t>
  </si>
  <si>
    <t>У-20-92851</t>
  </si>
  <si>
    <t>У-20-92885</t>
  </si>
  <si>
    <t>У-20-93146</t>
  </si>
  <si>
    <t>У-20-93272</t>
  </si>
  <si>
    <t>У-20-93403</t>
  </si>
  <si>
    <t>У-20-93563</t>
  </si>
  <si>
    <t>У-20-93631</t>
  </si>
  <si>
    <t>У-20-93643</t>
  </si>
  <si>
    <t>У-20-93987</t>
  </si>
  <si>
    <t>У-20-94024</t>
  </si>
  <si>
    <t>У-20-94383</t>
  </si>
  <si>
    <t>У-20-94488</t>
  </si>
  <si>
    <t>Шумкова Нина Ивановна</t>
  </si>
  <si>
    <t>Боташев Хамид Султанович</t>
  </si>
  <si>
    <t>Коношенко Алексей Петрович</t>
  </si>
  <si>
    <t>Кутелия Роза Николаевна</t>
  </si>
  <si>
    <t>Мурская Елена Анатольевна</t>
  </si>
  <si>
    <t>Андреева Мария Дмитриевна</t>
  </si>
  <si>
    <t>Стипура Валентина Семеновна</t>
  </si>
  <si>
    <t>Калюта Владимир Игоревич</t>
  </si>
  <si>
    <t>Клементьев Артем Викторович</t>
  </si>
  <si>
    <t>Костромин Евгений Сергеевич</t>
  </si>
  <si>
    <t>Корытов Михаил Николаевич</t>
  </si>
  <si>
    <t>Серебренников Роман Васильевич</t>
  </si>
  <si>
    <t>Шакиров Мухамед Отсутствует</t>
  </si>
  <si>
    <t>Товмасян Вардан Гегамович</t>
  </si>
  <si>
    <t>Курбанов Насир Надирович</t>
  </si>
  <si>
    <t>Павлов Михаил Викторович</t>
  </si>
  <si>
    <t>Ключиков Вадим Вадимович</t>
  </si>
  <si>
    <t>Копьев Михаил Игоревич</t>
  </si>
  <si>
    <t>Гончарова Елена Николаевна</t>
  </si>
  <si>
    <t>Мохнаткина Анна Сергеевна</t>
  </si>
  <si>
    <t>Никонов Дмитрий Сергеевич</t>
  </si>
  <si>
    <t>Пырма Андрей Александрович</t>
  </si>
  <si>
    <t>Нуртдинов Гадель Гумерович</t>
  </si>
  <si>
    <t>Сальников Михаил Сергеевич</t>
  </si>
  <si>
    <t>У-20-85286</t>
  </si>
  <si>
    <t>У-20-85987</t>
  </si>
  <si>
    <t>У-20-86324</t>
  </si>
  <si>
    <t>У-20-86340</t>
  </si>
  <si>
    <t>У-20-86393</t>
  </si>
  <si>
    <t>У-20-86430</t>
  </si>
  <si>
    <t>У-20-86482</t>
  </si>
  <si>
    <t>У-20-86490</t>
  </si>
  <si>
    <t>У-20-86673</t>
  </si>
  <si>
    <t>У-20-86689</t>
  </si>
  <si>
    <t>У-20-87113</t>
  </si>
  <si>
    <t>У-20-87185</t>
  </si>
  <si>
    <t>У-20-87378</t>
  </si>
  <si>
    <t>У-20-87565</t>
  </si>
  <si>
    <t>У-20-87652</t>
  </si>
  <si>
    <t>У-20-87998</t>
  </si>
  <si>
    <t>У-20-88000</t>
  </si>
  <si>
    <t>У-20-88160</t>
  </si>
  <si>
    <t>У-20-88270</t>
  </si>
  <si>
    <t>У-20-88744</t>
  </si>
  <si>
    <t>У-20-88876</t>
  </si>
  <si>
    <t>У-20-88924</t>
  </si>
  <si>
    <t>У-20-88974</t>
  </si>
  <si>
    <t>У-20-89256</t>
  </si>
  <si>
    <t>У-20-89262</t>
  </si>
  <si>
    <t>У-20-89429</t>
  </si>
  <si>
    <t>У-20-90272</t>
  </si>
  <si>
    <t>У-20-90511</t>
  </si>
  <si>
    <t>У-20-94422</t>
  </si>
  <si>
    <t>У-20-94629</t>
  </si>
  <si>
    <t>У-20-94666</t>
  </si>
  <si>
    <t>У-20-94736</t>
  </si>
  <si>
    <t>У-20-94821</t>
  </si>
  <si>
    <t>У-20-94830</t>
  </si>
  <si>
    <t>У-20-95253</t>
  </si>
  <si>
    <t>У-20-95522</t>
  </si>
  <si>
    <t>У-20-95608</t>
  </si>
  <si>
    <t>У-20-95902</t>
  </si>
  <si>
    <t>У-20-96139</t>
  </si>
  <si>
    <t>У-20-96355</t>
  </si>
  <si>
    <t>У-20-96714</t>
  </si>
  <si>
    <t>У-20-96854</t>
  </si>
  <si>
    <t>У-20-97057</t>
  </si>
  <si>
    <t>У-20-97222</t>
  </si>
  <si>
    <t>У-20-97372</t>
  </si>
  <si>
    <t>У-20-97392</t>
  </si>
  <si>
    <t>У-20-97546</t>
  </si>
  <si>
    <t>У-20-98446</t>
  </si>
  <si>
    <t>Попова Светлана Николаевна</t>
  </si>
  <si>
    <t>Ананикян Давид Сергеевич</t>
  </si>
  <si>
    <t>Нагай Евгения Константиновна</t>
  </si>
  <si>
    <t>Гаджиев Закир Гаджибудаевич</t>
  </si>
  <si>
    <t>Лицов Александр Михайлович</t>
  </si>
  <si>
    <t>Меджидов Рзахан Рафи оглы</t>
  </si>
  <si>
    <t>Матрошилов Игорь Владимирович</t>
  </si>
  <si>
    <t>Саидова Зухра Аминовна</t>
  </si>
  <si>
    <t>Созинова Анна Анатольевна</t>
  </si>
  <si>
    <t>Авилов Максим Викторович</t>
  </si>
  <si>
    <t>Калашник Дмитрий Александрович</t>
  </si>
  <si>
    <t>Пестерников Сергей Николаевич</t>
  </si>
  <si>
    <t>Арзуманян Григорий Сергеевич</t>
  </si>
  <si>
    <t>Прокопчук Денис Сергеевич</t>
  </si>
  <si>
    <t>Лапицкий Максим Викторович</t>
  </si>
  <si>
    <t>Голоднов Владимир Владимирович</t>
  </si>
  <si>
    <t>Агирджанова Алина Владимировна</t>
  </si>
  <si>
    <t>Буйнякова Любовь Васильевна</t>
  </si>
  <si>
    <t>Петухов Евгений Николаевич</t>
  </si>
  <si>
    <t>Персиянов Иван Владимирович</t>
  </si>
  <si>
    <t>Павленко Василий Васильевич</t>
  </si>
  <si>
    <t>Соломатов Александр Александрович</t>
  </si>
  <si>
    <t>Безгодкова Оксана Юрьевна</t>
  </si>
  <si>
    <t>Сергиенко Татьяна Валентиновна</t>
  </si>
  <si>
    <t>Пуртоян Геворг Рудикович</t>
  </si>
  <si>
    <t>Кротов Александр Сергеевич</t>
  </si>
  <si>
    <t>Сидоренко Владимир Ильич</t>
  </si>
  <si>
    <t>Куртасанов Эдем Эскендерович</t>
  </si>
  <si>
    <t>Журина Анна Сергеевна</t>
  </si>
  <si>
    <t>Манджавидзе Филимон Титикоевич</t>
  </si>
  <si>
    <t>Ерисов Станислав Владимирович</t>
  </si>
  <si>
    <t>Ерманчонок Валентина Владимировна</t>
  </si>
  <si>
    <t>Гаджиев Зиявутдин Набиевич</t>
  </si>
  <si>
    <t>Торшин Александр Владимирович</t>
  </si>
  <si>
    <t>Казаков Александр Евгеньевич</t>
  </si>
  <si>
    <t>Сорокина Дарья Петровна</t>
  </si>
  <si>
    <t>Поляков Леонид Викторович</t>
  </si>
  <si>
    <t>Бушмакина Татьяна Валентиновна</t>
  </si>
  <si>
    <t>Царегородцева Елена Валерьевна</t>
  </si>
  <si>
    <t>Палкин Евгений Александрович</t>
  </si>
  <si>
    <t>Тесленко Алексей Витальевич</t>
  </si>
  <si>
    <t>Каун Роман Викторович</t>
  </si>
  <si>
    <t>Малинин Сергей Семенович</t>
  </si>
  <si>
    <t>Бабаев Наил Мардан Оглы</t>
  </si>
  <si>
    <t>Сивакова Татьяна Альбертовна</t>
  </si>
  <si>
    <t>Воронов Олег Юрьевич</t>
  </si>
  <si>
    <t>Гайфулин Тимур Закирович</t>
  </si>
  <si>
    <t>Скорев Роман Георгиевич</t>
  </si>
  <si>
    <t xml:space="preserve">заключения </t>
  </si>
  <si>
    <t>Вопросы, подлежащие разрешению экспертом в рамках проводимого им исследования:</t>
  </si>
  <si>
    <t>ВЫПЛАТА 1.1</t>
  </si>
  <si>
    <t>ТИП Обращения</t>
  </si>
  <si>
    <t>При составлении заявления потребитель может использовать стандартную форму заявления в финансовую организацию, утвержденную решением Совета Службы финансового уполномоченного от 12.04.2019</t>
  </si>
  <si>
    <t>ВЫПЛАТА 2.1</t>
  </si>
  <si>
    <t>ВЫПЛАТА 3.1</t>
  </si>
  <si>
    <t>ВЫПЛАТА 4.1</t>
  </si>
  <si>
    <t>ВЫПЛАТА 5.1</t>
  </si>
  <si>
    <t>ОБОСНОВАНИЕ</t>
  </si>
  <si>
    <t>Для решения вопросов</t>
  </si>
  <si>
    <t>Учитывая указанные выводы</t>
  </si>
  <si>
    <t>не мог быть получен</t>
  </si>
  <si>
    <t>ЗАЯВЛЕНИЕ В ФО (представитель)</t>
  </si>
  <si>
    <t>представитель</t>
  </si>
  <si>
    <t>страхового возмещения по договору обязательного страхования гражданской ответственности владельцев транспортных средств (далее – ОСАГО) путем организации и оплаты восстановительного ремонта поврежденного транспортного средства</t>
  </si>
  <si>
    <t>либо взыскании страхового возмещения по договору ОСАГО в денежной форме</t>
  </si>
  <si>
    <t>выдало Заявителю направление</t>
  </si>
  <si>
    <t>ННР (абзац)</t>
  </si>
  <si>
    <t>ННР (дата)</t>
  </si>
  <si>
    <t>ННР (дата выдачи)</t>
  </si>
  <si>
    <t>ННР (СТОА)</t>
  </si>
  <si>
    <t xml:space="preserve">автомобилей </t>
  </si>
  <si>
    <t xml:space="preserve"> (далее</t>
  </si>
  <si>
    <t xml:space="preserve">подтверждается </t>
  </si>
  <si>
    <t>ННР</t>
  </si>
  <si>
    <t>страхового возмещения по договору ОСАГО в части утраты товарной стоимости (далее – УТС)</t>
  </si>
  <si>
    <t>неустойку за несоблюдение срока выплаты страхового возмещения по договору ОСАГО</t>
  </si>
  <si>
    <t>ВЗЫСКАНО</t>
  </si>
  <si>
    <t>Пункты 2.1., 5.1., 5.5., 7.1.(БР), 8.1., 8.2., 8.3., 8.4. Матрицы</t>
  </si>
  <si>
    <t>АО «ЮНИТИ СТРАХОВАНИЕ»</t>
  </si>
  <si>
    <t>109028, г. Москва, Серебряническая наб., д. 29, эт. 5, к. № 97-139; 153-164</t>
  </si>
  <si>
    <t>расходов на оплату услуг по дефектовке</t>
  </si>
  <si>
    <t>Пункты 1.2., 5.1., 8.1. Матрицы + дефектовка</t>
  </si>
  <si>
    <t>требования Заявителя подлежат частичному удовлетворению на основании следующего</t>
  </si>
  <si>
    <t>документы и сведения предоставлены</t>
  </si>
  <si>
    <t>доплаты страхового возмещения по договору обязательного страхования гражданской ответственности владельцев транспортных средств (далее – ОСАГО)</t>
  </si>
  <si>
    <t>расходов на юридические услуги</t>
  </si>
  <si>
    <t>расходов на услуги нотариуса</t>
  </si>
  <si>
    <t>расходов на услуги эвакуатора</t>
  </si>
  <si>
    <t>финансовой санкции</t>
  </si>
  <si>
    <t>расходов на оплату независимой экспертизы</t>
  </si>
  <si>
    <t>ПРАВКИ</t>
  </si>
  <si>
    <t>1. Неверное указание ФО Заявителя; 2. Неверный номер ТС Заявителя; 3. Неверный полис ОСАГО Виновника; 4. Не прописаны суммы без износа и с износом НТЭ ФО и Заявителя; 5. Лишняя запятая в рез части</t>
  </si>
  <si>
    <t>1. Не проверена выплата НДФЛ; 2. Взыскано страховое возмещение, хотя надо неустойку</t>
  </si>
  <si>
    <t>У-20-81043</t>
  </si>
  <si>
    <t>У-20-87745</t>
  </si>
  <si>
    <t>У-20-87922</t>
  </si>
  <si>
    <t>У-20-88291</t>
  </si>
  <si>
    <t>У-20-88583</t>
  </si>
  <si>
    <t>У-20-88806</t>
  </si>
  <si>
    <t>У-20-89365</t>
  </si>
  <si>
    <t>У-20-90290</t>
  </si>
  <si>
    <t>У-20-93783</t>
  </si>
  <si>
    <t>У-20-95435</t>
  </si>
  <si>
    <t>У-20-96281</t>
  </si>
  <si>
    <t>У-20-96579</t>
  </si>
  <si>
    <t>У-20-96586</t>
  </si>
  <si>
    <t>Тотоева Манана Андреевна</t>
  </si>
  <si>
    <t>Закарян Норайр Самвелович</t>
  </si>
  <si>
    <t>Завалишина Наталья Юрьевна</t>
  </si>
  <si>
    <t>Палий Виктор Николаевич</t>
  </si>
  <si>
    <t>Гатиятуллин Сергей Рифович</t>
  </si>
  <si>
    <t>Семенова Татьяна Александровна</t>
  </si>
  <si>
    <t>Шестакова Марина Сергеевна</t>
  </si>
  <si>
    <t>Зязикова Фатима Вахаевна</t>
  </si>
  <si>
    <t>Маргарян Геворг Еремович</t>
  </si>
  <si>
    <t>Пазынин Евгений Александрович</t>
  </si>
  <si>
    <t>Сафонов Виктор Иванович</t>
  </si>
  <si>
    <t>Ярцев Сергей Анатольевич</t>
  </si>
  <si>
    <t>Григорьева Елена Дмитриевна</t>
  </si>
  <si>
    <t>Цыплакова Татьяна Викторовна</t>
  </si>
  <si>
    <t>ЗЕЛЕНАЯ КАРТА</t>
  </si>
  <si>
    <t>Пункт 5.1. Матрицы. Европротокол при зеленой карте</t>
  </si>
  <si>
    <t>1. Закон обратной силы не имеет; 2. Пол Заявителя; 3. Полное описание основания для отказа</t>
  </si>
  <si>
    <t>20.07 - 24.07</t>
  </si>
  <si>
    <t>27.07 - 31.07</t>
  </si>
  <si>
    <t>произвело выплату</t>
  </si>
  <si>
    <t>произвело доплату</t>
  </si>
  <si>
    <t xml:space="preserve">выплату </t>
  </si>
  <si>
    <t xml:space="preserve">доплату </t>
  </si>
  <si>
    <t>неустойки по Договору ОСАГО</t>
  </si>
  <si>
    <t>Пункты 5.4., 5.5. Матрицы</t>
  </si>
  <si>
    <t>Пункты 4.4., 5.1. Матрицы</t>
  </si>
  <si>
    <t>1. Неверный расчет периода начисления неустойки; 2. ФО частично отказала в устранении недостатков ремонта, а не полностью удовлетворила.</t>
  </si>
  <si>
    <t>1. Опечатки в номере полиса ОСАГО; 2. Опечатки в датах по тексту (2020 вместо 2019); 3. НТЭ после 01.06, взыскана по среднему, хотя нужно отказывать; 4. Европротокол, однако ограничение неустйоки до 400000</t>
  </si>
  <si>
    <t>Пункты 2.1., 5.1.(БР), 8.1., 10. Матрицы</t>
  </si>
  <si>
    <t>1. Экспертиза после 01.06.2019 взыскана по среднему</t>
  </si>
  <si>
    <t>по гражданскому делу</t>
  </si>
  <si>
    <t>исполнило Решение суда</t>
  </si>
  <si>
    <t>взыскано</t>
  </si>
  <si>
    <t>Пункты 5.4., 6.1. Матрицы</t>
  </si>
  <si>
    <t>направило Заявителю письмо</t>
  </si>
  <si>
    <t>Марка / модель</t>
  </si>
  <si>
    <t>ГРН</t>
  </si>
  <si>
    <t>год</t>
  </si>
  <si>
    <t>серия, №</t>
  </si>
  <si>
    <t>Пункт 5.1. Матрицы. Неустойка на жизнь. Выплата по решению ФУ в срок</t>
  </si>
  <si>
    <t xml:space="preserve">вид на жительство иностранного гражданина серия </t>
  </si>
  <si>
    <t>ВЖ</t>
  </si>
  <si>
    <t xml:space="preserve">транспортных средств </t>
  </si>
  <si>
    <t>Пункты 1.4., 3.2., 5.5., 10. Матрицы</t>
  </si>
  <si>
    <t>1. Не проанализированы все запрошенные документы; 2. Неверно определена дата, с которой начисляется неустойка.</t>
  </si>
  <si>
    <t>Пункты 5.2., 10. Матрицы. Неустойка на здоровье. Судом установлен факт злоупотребления правом.</t>
  </si>
  <si>
    <t xml:space="preserve"> представитель Заявителя обратилась в</t>
  </si>
  <si>
    <t>Пункт 1.1. Матрицы. Нет соглашения о расторжении договора цессии</t>
  </si>
  <si>
    <t>ДТП было оформлено по правилам статьи 11.1</t>
  </si>
  <si>
    <t>расходов на независимую оценку</t>
  </si>
  <si>
    <t>Пункты 5.5., 8.1. Матрицы + необоснованный возврат документов</t>
  </si>
  <si>
    <t>Согласно выводам, изложенным в экспертном заключении</t>
  </si>
  <si>
    <t xml:space="preserve">Согласно выводам, изложенным в экспертном заключении </t>
  </si>
  <si>
    <t>ОШИБКИ</t>
  </si>
  <si>
    <t>101000, г. Москва, б-р Покровский, д. 4/17, стр. 3</t>
  </si>
  <si>
    <t>Пункт 1.1. Матрицы. Нужно уточнить, что без осмотра провести НТЭ нельзя</t>
  </si>
  <si>
    <t>1. Нет полного анализа обстоятельств ДТП; 2. Дана не верная правовая оценка обстоятельствам</t>
  </si>
  <si>
    <t>Пункты 4.4., 5.5. Матрицы</t>
  </si>
  <si>
    <t>1. Не верно определена дата направления претензии по качеству; 2. Неправильная мотивировка по качеству; 3. Нет анализа сроков выдачи направления на осмотра после претензии по качеству</t>
  </si>
  <si>
    <t>Пункты 4.4., 8.1. Матрицы</t>
  </si>
  <si>
    <t>1. Не тот номер полиса ОСАГО Заявителя; 2. Не тот виновник; 3. Не то наименование НТЭ Заявителя; 4. Не все результаты НТЭ Заявителя</t>
  </si>
  <si>
    <t>неустойки за несоблюдение срока выплаты расходов на оплату услуг аварийного комиссара</t>
  </si>
  <si>
    <t>Пункты 8.4., 8.5., 5.1.(на 8.5.) Матрицы</t>
  </si>
  <si>
    <t>отправило Заявителю направление</t>
  </si>
  <si>
    <t>Пункты 4.1., 5.1., 8.1. Матрицы</t>
  </si>
  <si>
    <t>Пункты 2.1., 5.5., 7.1.(БР), 8.1. Матрицы</t>
  </si>
  <si>
    <t xml:space="preserve"> заявитель обратилась в</t>
  </si>
  <si>
    <t xml:space="preserve"> заявитель обратился в</t>
  </si>
  <si>
    <t>произвело Заявителю выплату</t>
  </si>
  <si>
    <t>страхового возмещения в связи с причинением вреда здоровью по Договору ОСАГО</t>
  </si>
  <si>
    <t>дополнительных расходов в связи с причинением вреда здоровью по Договору ОСАГО</t>
  </si>
  <si>
    <t>Доп расходы</t>
  </si>
  <si>
    <t>Пункт 3.1. Матрицы. Сначала столкновение с одним троллейбусом, потом причинение вреда жизни, потом с другим. РГС платит по полису второго, но говорит, что столкновение с первым не находится в причинно-следственной связи с причинением вреда</t>
  </si>
  <si>
    <t>У-20-89262/2040-002</t>
  </si>
  <si>
    <t>AS0448274</t>
  </si>
  <si>
    <t>603138, г. Н.Новгород, ул. Ватутина, д. 19, кв. 43</t>
  </si>
  <si>
    <t>BMW328i</t>
  </si>
  <si>
    <t>52GP052</t>
  </si>
  <si>
    <t>Колесниченко А.В.</t>
  </si>
  <si>
    <t>Москвич 2141-01</t>
  </si>
  <si>
    <t>Т193МЕ52</t>
  </si>
  <si>
    <t>МММ № 5028763845</t>
  </si>
  <si>
    <t>ООО «Приволжская экспертная компания»</t>
  </si>
  <si>
    <t>ООО «АНЭКС»</t>
  </si>
  <si>
    <t>661843-51СН</t>
  </si>
  <si>
    <t>2920</t>
  </si>
  <si>
    <t>3343</t>
  </si>
  <si>
    <t>055/2020</t>
  </si>
  <si>
    <t>ООО «Кстовская оценочная палата»</t>
  </si>
  <si>
    <t>17/20И (661843-51СН)</t>
  </si>
  <si>
    <t>494С/У</t>
  </si>
  <si>
    <t>026121/2020</t>
  </si>
  <si>
    <t>ООО «КАР-ЭКС»</t>
  </si>
  <si>
    <t>Малыгин И.С.</t>
  </si>
  <si>
    <t>факт возникновения каких-либо повреждений Транспортного средства в результате рассматриваемого ДТП с технической точки зрения не подтверждается. Повреждения Транспортного средства не соответствуют заявленным обстоятельствам ДТП.</t>
  </si>
  <si>
    <t xml:space="preserve"> представитель Цессионария обратилась в</t>
  </si>
  <si>
    <t>Пункты 2.1., 5.4., 5.5., 8.1., 8.3.(БР), 8.4., 8.5. Матрицы</t>
  </si>
  <si>
    <t>Пункты 8.5., 5.1.(на 8.5.), 8.4. Матрицы</t>
  </si>
  <si>
    <t>Прекращаем, т.к. невозможно односзначно установить обстоятельства ДТП</t>
  </si>
  <si>
    <t>У-20-84075</t>
  </si>
  <si>
    <t>У-20-84282</t>
  </si>
  <si>
    <t>У-20-85839</t>
  </si>
  <si>
    <t>У-20-87204</t>
  </si>
  <si>
    <t>У-20-89556</t>
  </si>
  <si>
    <t>У-20-89889</t>
  </si>
  <si>
    <t>У-20-89929</t>
  </si>
  <si>
    <t>У-20-89975</t>
  </si>
  <si>
    <t>У-20-89999</t>
  </si>
  <si>
    <t>У-20-90044</t>
  </si>
  <si>
    <t>У-20-90201</t>
  </si>
  <si>
    <t>У-20-90396</t>
  </si>
  <si>
    <t>У-20-90619</t>
  </si>
  <si>
    <t>У-20-90620</t>
  </si>
  <si>
    <t>У-20-90641</t>
  </si>
  <si>
    <t>У-20-90815</t>
  </si>
  <si>
    <t>У-20-90834</t>
  </si>
  <si>
    <t>У-20-90924</t>
  </si>
  <si>
    <t>У-20-91010</t>
  </si>
  <si>
    <t>У-20-91165</t>
  </si>
  <si>
    <t>У-20-91233</t>
  </si>
  <si>
    <t>У-20-91291</t>
  </si>
  <si>
    <t>У-20-91316</t>
  </si>
  <si>
    <t>У-20-91341</t>
  </si>
  <si>
    <t>У-20-91482</t>
  </si>
  <si>
    <t>У-20-91491</t>
  </si>
  <si>
    <t>У-20-91879</t>
  </si>
  <si>
    <t>У-20-91970</t>
  </si>
  <si>
    <t>У-20-92089</t>
  </si>
  <si>
    <t>У-20-92103</t>
  </si>
  <si>
    <t>У-20-92107</t>
  </si>
  <si>
    <t>У-20-92122</t>
  </si>
  <si>
    <t>У-20-92224</t>
  </si>
  <si>
    <t>У-20-92229</t>
  </si>
  <si>
    <t>У-20-92240</t>
  </si>
  <si>
    <t>У-20-92463</t>
  </si>
  <si>
    <t>У-20-92678</t>
  </si>
  <si>
    <t>У-20-92936</t>
  </si>
  <si>
    <t>У-20-93017</t>
  </si>
  <si>
    <t>У-20-93038</t>
  </si>
  <si>
    <t>У-20-93082</t>
  </si>
  <si>
    <t>У-20-93095</t>
  </si>
  <si>
    <t>У-20-93221</t>
  </si>
  <si>
    <t>У-20-93332</t>
  </si>
  <si>
    <t>У-20-93450</t>
  </si>
  <si>
    <t>У-20-93520</t>
  </si>
  <si>
    <t>У-20-93747</t>
  </si>
  <si>
    <t>У-20-93805</t>
  </si>
  <si>
    <t>У-20-93852</t>
  </si>
  <si>
    <t>У-20-94291</t>
  </si>
  <si>
    <t>У-20-98013</t>
  </si>
  <si>
    <t>У-20-98089</t>
  </si>
  <si>
    <t>У-20-98431</t>
  </si>
  <si>
    <t>У-20-98516</t>
  </si>
  <si>
    <t>У-20-98572</t>
  </si>
  <si>
    <t>У-20-98933</t>
  </si>
  <si>
    <t>У-20-98973</t>
  </si>
  <si>
    <t>У-20-99097</t>
  </si>
  <si>
    <t>У-20-99265</t>
  </si>
  <si>
    <t>У-20-99275</t>
  </si>
  <si>
    <t>У-20-99438</t>
  </si>
  <si>
    <t>У-20-99727</t>
  </si>
  <si>
    <t>У-20-99771</t>
  </si>
  <si>
    <t>У-20-99789</t>
  </si>
  <si>
    <t>У-20-99867</t>
  </si>
  <si>
    <t>У-20-99870</t>
  </si>
  <si>
    <t>У-20-100108</t>
  </si>
  <si>
    <t>У-20-100392</t>
  </si>
  <si>
    <t>У-20-100396</t>
  </si>
  <si>
    <t>У-20-100573</t>
  </si>
  <si>
    <t>У-20-100694</t>
  </si>
  <si>
    <t>У-20-100716</t>
  </si>
  <si>
    <t>У-20-100771</t>
  </si>
  <si>
    <t>У-20-100986</t>
  </si>
  <si>
    <t>У-20-101113</t>
  </si>
  <si>
    <t>У-20-101527</t>
  </si>
  <si>
    <t>Джафаров Равиз Мислимович</t>
  </si>
  <si>
    <t>Абрамян Рудольф Гагикович</t>
  </si>
  <si>
    <t>Хрипунов Антон Игоревич</t>
  </si>
  <si>
    <t>Жилин Илья Владимирович</t>
  </si>
  <si>
    <t>Попов Роберт Валерьевич</t>
  </si>
  <si>
    <t>Канищев Игорь Викторович</t>
  </si>
  <si>
    <t>Демидов Евгений Олегович</t>
  </si>
  <si>
    <t>САО «РЕСО-Гарантия»</t>
  </si>
  <si>
    <t>Расковалов Виталий Александрович</t>
  </si>
  <si>
    <t>Сотиев Нодар Варденович</t>
  </si>
  <si>
    <t>КУРБАНОВА ПАТИМАТ Омарасхабовна</t>
  </si>
  <si>
    <t>Шибкий Илья Алексеевич</t>
  </si>
  <si>
    <t>Исаков Вячеслав Сергеевич</t>
  </si>
  <si>
    <t>Хоненко Андрей Дмитриевич</t>
  </si>
  <si>
    <t>Герасимова Юлия Борисовна</t>
  </si>
  <si>
    <t>Шатохина Наталья Викторовна</t>
  </si>
  <si>
    <t>Соколенко Руслан Мурадович</t>
  </si>
  <si>
    <t>Анищева Суфия Адильшовна</t>
  </si>
  <si>
    <t>Олейник Виктор Валерьевич</t>
  </si>
  <si>
    <t>Ливанов Сергей Алексеевич</t>
  </si>
  <si>
    <t>Калтахчян Гамлет Цолакович</t>
  </si>
  <si>
    <t>Ситников Игорь Константинович</t>
  </si>
  <si>
    <t>Бобушкин Сергей Алексеевич</t>
  </si>
  <si>
    <t>Константинов Антон Александрович</t>
  </si>
  <si>
    <t>Ачмиз Нух Гиссович</t>
  </si>
  <si>
    <t>Луцкая Анна Александровна</t>
  </si>
  <si>
    <t>Мищенко Михаил Валерьевич</t>
  </si>
  <si>
    <t>Шеметов Николай Сергеевич</t>
  </si>
  <si>
    <t>Оганесян Ашот Перчович</t>
  </si>
  <si>
    <t>Морозов Сергей Алексеевич</t>
  </si>
  <si>
    <t>Антонова Тамара Геннадьевна</t>
  </si>
  <si>
    <t>Бутаков Дмитрий Андреевич</t>
  </si>
  <si>
    <t>Борзова Тамара Дзантемировна</t>
  </si>
  <si>
    <t>Соколовский Евгений Сергеевич</t>
  </si>
  <si>
    <t>Погуляев Егор Евгеньевич</t>
  </si>
  <si>
    <t>Хворостянов Дмитрий Александрович</t>
  </si>
  <si>
    <t>Хандога Никита Олегович</t>
  </si>
  <si>
    <t>Семенов Роман Львович</t>
  </si>
  <si>
    <t>Китов Сергей Викторович</t>
  </si>
  <si>
    <t>Нечаева Надежда Ивановна</t>
  </si>
  <si>
    <t>Икаев Руслан Роинович</t>
  </si>
  <si>
    <t>Филимонова Наталья Алексеевна</t>
  </si>
  <si>
    <t>Дзкуя Бадра Варламович</t>
  </si>
  <si>
    <t>Митякин Денис Викторович</t>
  </si>
  <si>
    <t>Умаров Султан Калимуллаевич</t>
  </si>
  <si>
    <t>Степаненков Артур Романович</t>
  </si>
  <si>
    <t>Ребров Кирилл Романович</t>
  </si>
  <si>
    <t>Гусова Валентина Гатагазовна</t>
  </si>
  <si>
    <t>Степанов Дмитрий Владимирович</t>
  </si>
  <si>
    <t>Пляшкин Иван Николаевич</t>
  </si>
  <si>
    <t>Цапаев Игорь Александрович</t>
  </si>
  <si>
    <t>Крюковская Марина Сергеевна</t>
  </si>
  <si>
    <t>Халилова Рафиля Галимьяновна</t>
  </si>
  <si>
    <t>Луговых Юрий Николаевич</t>
  </si>
  <si>
    <t>Маслий Павел Алексеевич</t>
  </si>
  <si>
    <t>Семенов Денис Алексеевич</t>
  </si>
  <si>
    <t>Герасименко Игорь Викторович</t>
  </si>
  <si>
    <t>Манишев Салават Ахметханович</t>
  </si>
  <si>
    <t>Чистяков Виктор Леонидович</t>
  </si>
  <si>
    <t>Яковлева Марина Георгиевна</t>
  </si>
  <si>
    <t>Руднев Денис Андреевич</t>
  </si>
  <si>
    <t>Гасанов Шамиль Курбанович</t>
  </si>
  <si>
    <t>Полетаева Екатерина Дмитриевна</t>
  </si>
  <si>
    <t>Жириков Константин Федорович</t>
  </si>
  <si>
    <t>Новиков Алексей Вячеславович</t>
  </si>
  <si>
    <t>Раднаева Любовь Аюровна</t>
  </si>
  <si>
    <t>Тютюнник Александр Владимирович</t>
  </si>
  <si>
    <t>Тайгиров Расул Минатулаевич</t>
  </si>
  <si>
    <t>Кочнев Алексей Валерьевич</t>
  </si>
  <si>
    <t>Смирнов Денис Валерьевич</t>
  </si>
  <si>
    <t>Тучков Сергей Александрович</t>
  </si>
  <si>
    <t>Крупченко Михаил Михайлович</t>
  </si>
  <si>
    <t>Милитинский Александр Викторович</t>
  </si>
  <si>
    <t>Рожкова Светлана Семеновна</t>
  </si>
  <si>
    <t>Саакян Лусвард Шаликовна</t>
  </si>
  <si>
    <t>Жалилова Гульнара Шамильевна</t>
  </si>
  <si>
    <t>Пункт 8.5. Матрицы</t>
  </si>
  <si>
    <t xml:space="preserve"> Заявитель обратился в </t>
  </si>
  <si>
    <t xml:space="preserve"> Цессионарий обратился в</t>
  </si>
  <si>
    <t>Пункт 1.1. Матрицы (Такси UBER)</t>
  </si>
  <si>
    <t>расходов на оплату услуг независимого эксперта</t>
  </si>
  <si>
    <t>страхового возмещения по договору обязательного страхования гражданской ответственности владельцев транспортных средств (далее - ОСАГО)</t>
  </si>
  <si>
    <t>расходов на оплату услуг нотариуса</t>
  </si>
  <si>
    <t>расходов на почтовые услуги</t>
  </si>
  <si>
    <t>расходов на оплату независимой технической экспертизы</t>
  </si>
  <si>
    <t>Пункты 1.4., 5.4., 5.5., 8.2, 8.3., 8.4. Матрицы</t>
  </si>
  <si>
    <t xml:space="preserve">без учёта износа составляет </t>
  </si>
  <si>
    <t xml:space="preserve">с учётом износа </t>
  </si>
  <si>
    <t xml:space="preserve">рыночная стоимость Транспортного средства – </t>
  </si>
  <si>
    <t xml:space="preserve">стоимость годных остатков – </t>
  </si>
  <si>
    <t xml:space="preserve">– </t>
  </si>
  <si>
    <t>расходов на оплат юридических услуг</t>
  </si>
  <si>
    <t>Пункты 2.1., 8.1., 8.2. Матрицы</t>
  </si>
  <si>
    <t>Пункт 1.1. Матрицы (решение суда по тому же предмету и основанию)</t>
  </si>
  <si>
    <t>резолютивка 1 абзац</t>
  </si>
  <si>
    <t>Пункты 1.2., 5.1., 8.1. Матрицы + диагностика</t>
  </si>
  <si>
    <t>Оформление ДТП по системе европротокол через мобильное приложение. На запрос ФО РСА ответил, что данных о ДТП в системе нет.</t>
  </si>
  <si>
    <t>GLONAS</t>
  </si>
  <si>
    <t>от Заявителя поступило заявление</t>
  </si>
  <si>
    <t>Пункт 1.1. Матрицы (учебное ТС)</t>
  </si>
  <si>
    <t>направило Представителю направление на ремонт</t>
  </si>
  <si>
    <t>страхового возмещения в пользу Заявителя</t>
  </si>
  <si>
    <t>Пункт 2.1., 5.1., 10. Матрицы</t>
  </si>
  <si>
    <t>Неверно заполнен Европротокол</t>
  </si>
  <si>
    <t>1. В резолютивной части штраф не БР, а отказано</t>
  </si>
  <si>
    <t>Представитель Заявителя по доверенности</t>
  </si>
  <si>
    <t>Пункты 4.1., 5.1., 8.1., 8.3. Матрицы</t>
  </si>
  <si>
    <t>расходов на проведение независимой экспертизы по определению величины утраты товарной стоимости (далее – УТС)</t>
  </si>
  <si>
    <t>Экспертиза УТС</t>
  </si>
  <si>
    <t>Пункты 2.1., 5.5., 8.1., 9. Матрицы. Экспертиза УТС взыскана в полном размере</t>
  </si>
  <si>
    <t>03.08 - 07.08</t>
  </si>
  <si>
    <t>расходы на оплату услуг независимого эксперта</t>
  </si>
  <si>
    <t>Пункты 2.1., 5.4., 5.5., 8.1., 8.2., 10. Матрицы</t>
  </si>
  <si>
    <t>Выплата в размере лимита по европротоколу</t>
  </si>
  <si>
    <t>неустойки в связи с нарушением срока выплаты страхового возмещения по договору обязательного страхования гражданской ответственности владельцев транспортных средств (далее – ОСАГО)</t>
  </si>
  <si>
    <t>неустойки в связи с нарушением срока выплаты расходов на услуги аварийного комиссара</t>
  </si>
  <si>
    <t>Пункты 5.1., 8.5., 5.1.(на 8.5.), 8.4. Матрицы</t>
  </si>
  <si>
    <t>платы за рассмотрение Обращения</t>
  </si>
  <si>
    <t>Пункты 6.1. Матрицы + плата ха рассмотрение дела</t>
  </si>
  <si>
    <t>1. Нет пропуска сроков исковой давности; 2. Не начислена неустойка за период до суда</t>
  </si>
  <si>
    <t>У-20-99999</t>
  </si>
  <si>
    <t>Мартынова Елена Николаевна</t>
  </si>
  <si>
    <t>Пункты 1.3., 5.1.(БР), 8.1. Матрицы</t>
  </si>
  <si>
    <t>от Заявителя в адрес</t>
  </si>
  <si>
    <t>Вред здоровью. Вред подлежит возмещению по договору страхования ответственности перевозчика</t>
  </si>
  <si>
    <t>Пункты 1.7., 5.1., 8.1. Матрицы</t>
  </si>
  <si>
    <t>расходов по оплате услуг дефектовки транспортного средства</t>
  </si>
  <si>
    <t>Пункты 2.1., 8.1., 8.2. Матрицы + дефектовка</t>
  </si>
  <si>
    <t>Пункт 1.1. Матрицы. Претензия направлена на другой e-mail</t>
  </si>
  <si>
    <t>1. Судом установлено, что лимит составляет 50000, сумма ущерба взыскана 50000 с учетом лимита. неустойку тоже взыскиваем с учетом лимита 50000, а не 100000.</t>
  </si>
  <si>
    <t>Пункты 1.8., 8.1. Матрицы</t>
  </si>
  <si>
    <t>Пункты 5.1., 10. Матрицы + не страховой случай (вынесено постановление об отказе в возбуждении уголовного дела в отношении самого Заявителя, а не третьих лиц)</t>
  </si>
  <si>
    <t>страхового возмещения в связи с причинением вреда здоровью по договору обязательного страхования гражданской ответственности владельцев транспортных средств (далее – ОСАГО)</t>
  </si>
  <si>
    <t>Пункт 1.1. Матрицы (непредоставление фотоматериалов)</t>
  </si>
  <si>
    <t>неустойки за несоблюдение срока выплаты величины утраты товарной стоимости (далее – величины УТС) по договору обязательного страхования гражданской ответственности владельцев транспортных средств (далее – ОСАГО)</t>
  </si>
  <si>
    <t>доплаты страхового возмещения</t>
  </si>
  <si>
    <t>Потерпевший обратился в</t>
  </si>
  <si>
    <t>Согласно пункту 46</t>
  </si>
  <si>
    <t>В обоснование своих требований</t>
  </si>
  <si>
    <t>НАСЛЕДСТВО</t>
  </si>
  <si>
    <t>Пункты 1.1. Матрицы. Прекращено, т.к. не предоставлено свидетельство о праве на наследство в части страхового возмещения и связанных с ним прав требования, в представленных свидетельствах такие права отсутствуют</t>
  </si>
  <si>
    <t>неустойки за несоблюдение срока выплаты расходов на проведение независимой технической экспертизы</t>
  </si>
  <si>
    <t>неустойки за несоблюдение срока выплаты расходов на составление досудебной претензии</t>
  </si>
  <si>
    <t>Неустойка Юрист</t>
  </si>
  <si>
    <t>неустойки за несоблюдение срока выплаты почтовых расходов</t>
  </si>
  <si>
    <t>Неустойка Почта</t>
  </si>
  <si>
    <t>Пункты 5.1., 8.1., 8.2., 8.3., 5.1.(на  8.1., 8.2., 8.3.) Матрицы</t>
  </si>
  <si>
    <t>Пункты 2.1., 5.1., 5.4., 8.1., 8.2., 8.3., 9., 10. Матрицы</t>
  </si>
  <si>
    <t xml:space="preserve">1. Описка в требованиях (неверно прописана экспертиза); 2. ФС нужно оставлять БР; 3. Почта оставлена БР, хотя нужно отказывать (в резолютивной части) </t>
  </si>
  <si>
    <t>Пункты 4.1., 5.1., 9. Матрицы</t>
  </si>
  <si>
    <t>У-20-87599</t>
  </si>
  <si>
    <t>У-20-87915</t>
  </si>
  <si>
    <t>У-20-94214</t>
  </si>
  <si>
    <t>У-20-94838</t>
  </si>
  <si>
    <t>У-20-94861</t>
  </si>
  <si>
    <t>У-20-94901</t>
  </si>
  <si>
    <t>У-20-94907</t>
  </si>
  <si>
    <t>У-20-95044</t>
  </si>
  <si>
    <t>У-20-95046</t>
  </si>
  <si>
    <t>У-20-95140</t>
  </si>
  <si>
    <t>У-20-95160</t>
  </si>
  <si>
    <t>У-20-95203</t>
  </si>
  <si>
    <t>У-20-95316</t>
  </si>
  <si>
    <t>У-20-95391</t>
  </si>
  <si>
    <t>У-20-95487</t>
  </si>
  <si>
    <t>У-20-95542</t>
  </si>
  <si>
    <t>У-20-95613</t>
  </si>
  <si>
    <t>У-20-95650</t>
  </si>
  <si>
    <t>У-20-95699</t>
  </si>
  <si>
    <t>У-20-95963</t>
  </si>
  <si>
    <t>У-20-95972</t>
  </si>
  <si>
    <t>У-20-95987</t>
  </si>
  <si>
    <t>У-20-96085</t>
  </si>
  <si>
    <t>У-20-96198</t>
  </si>
  <si>
    <t>У-20-96310</t>
  </si>
  <si>
    <t>У-20-96399</t>
  </si>
  <si>
    <t>У-20-96413</t>
  </si>
  <si>
    <t>У-20-96612</t>
  </si>
  <si>
    <t>У-20-96696</t>
  </si>
  <si>
    <t>У-20-96844</t>
  </si>
  <si>
    <t>У-20-96872</t>
  </si>
  <si>
    <t>У-20-97006</t>
  </si>
  <si>
    <t>У-20-97202</t>
  </si>
  <si>
    <t>У-20-97297</t>
  </si>
  <si>
    <t>У-20-97326</t>
  </si>
  <si>
    <t>У-20-97349</t>
  </si>
  <si>
    <t>У-20-97477</t>
  </si>
  <si>
    <t>У-20-97553</t>
  </si>
  <si>
    <t>У-20-97630</t>
  </si>
  <si>
    <t>У-20-97660</t>
  </si>
  <si>
    <t>У-20-97823</t>
  </si>
  <si>
    <t>У-20-97850</t>
  </si>
  <si>
    <t>У-20-97884</t>
  </si>
  <si>
    <t>У-20-98333</t>
  </si>
  <si>
    <t>У-20-98401</t>
  </si>
  <si>
    <t>У-20-98416</t>
  </si>
  <si>
    <t>У-20-101960</t>
  </si>
  <si>
    <t>У-20-102020</t>
  </si>
  <si>
    <t>У-20-102048</t>
  </si>
  <si>
    <t>У-20-102151</t>
  </si>
  <si>
    <t>У-20-102232</t>
  </si>
  <si>
    <t>У-20-102393</t>
  </si>
  <si>
    <t>У-20-102417</t>
  </si>
  <si>
    <t>У-20-102705</t>
  </si>
  <si>
    <t>У-20-102818</t>
  </si>
  <si>
    <t>У-20-102823</t>
  </si>
  <si>
    <t>У-20-102874</t>
  </si>
  <si>
    <t>У-20-102951</t>
  </si>
  <si>
    <t>У-20-103068</t>
  </si>
  <si>
    <t>У-20-103300</t>
  </si>
  <si>
    <t>У-20-103343</t>
  </si>
  <si>
    <t>У-20-103426</t>
  </si>
  <si>
    <t>У-20-103428</t>
  </si>
  <si>
    <t>У-20-103528</t>
  </si>
  <si>
    <t>У-20-103540</t>
  </si>
  <si>
    <t>У-20-103746</t>
  </si>
  <si>
    <t>У-20-104131</t>
  </si>
  <si>
    <t>У-20-104180</t>
  </si>
  <si>
    <t>У-20-104189</t>
  </si>
  <si>
    <t>У-20-104362</t>
  </si>
  <si>
    <t>У-20-104728</t>
  </si>
  <si>
    <t>У-20-104758</t>
  </si>
  <si>
    <t>У-20-104815</t>
  </si>
  <si>
    <t>У-20-105000</t>
  </si>
  <si>
    <t>У-20-105037</t>
  </si>
  <si>
    <t>У-20-105095</t>
  </si>
  <si>
    <t>У-20-105303</t>
  </si>
  <si>
    <t>У-20-105600</t>
  </si>
  <si>
    <t>У-20-105675</t>
  </si>
  <si>
    <t>У-20-105992</t>
  </si>
  <si>
    <t>У-20-105993</t>
  </si>
  <si>
    <t>У-20-106301</t>
  </si>
  <si>
    <t>У-20-106393</t>
  </si>
  <si>
    <t>У-20-106613</t>
  </si>
  <si>
    <t>Сагиров Эльдар Решатович</t>
  </si>
  <si>
    <t>Цыденова Саяна Галсановна</t>
  </si>
  <si>
    <t>Яшин Антон Игоревич</t>
  </si>
  <si>
    <t>Костин Сергей Сергеевич</t>
  </si>
  <si>
    <t>Зиневич Антон Станиславович</t>
  </si>
  <si>
    <t>Атакишиев Джалил Атакиши Оглы</t>
  </si>
  <si>
    <t>Миронова Елена Владимировна</t>
  </si>
  <si>
    <t>Гаврилов Владимир Георгиевич</t>
  </si>
  <si>
    <t>Шульмин Олег Николаевич</t>
  </si>
  <si>
    <t>Грачев Андрей Германович</t>
  </si>
  <si>
    <t>Соколов Дмитрий Павлович</t>
  </si>
  <si>
    <t>Семенов Вадим Александрович</t>
  </si>
  <si>
    <t>Фомина Юлия Александровна</t>
  </si>
  <si>
    <t>Зубков Александр Александрович</t>
  </si>
  <si>
    <t>Чугин Виктор Михайлович</t>
  </si>
  <si>
    <t>Шюрко Вадим Альфонсович</t>
  </si>
  <si>
    <t>Калинин Дмитрий Васильевич</t>
  </si>
  <si>
    <t>Сергеев Станислав Юрьевич</t>
  </si>
  <si>
    <t>Колесов Кирилл Олегович</t>
  </si>
  <si>
    <t>Сальникова Наталья Валерьевна</t>
  </si>
  <si>
    <t>Козлов Александр Юрьевич</t>
  </si>
  <si>
    <t>Карташов Олег Анатольевич</t>
  </si>
  <si>
    <t>Асадуллаев Руслан Магомедович</t>
  </si>
  <si>
    <t>Назаров Юрий Сергеевич</t>
  </si>
  <si>
    <t>Серенький Александр Андреевич</t>
  </si>
  <si>
    <t>Протопопова Елизавета Владимировна</t>
  </si>
  <si>
    <t>Мухтарова Роза Хадымовна</t>
  </si>
  <si>
    <t>Рашидова Любовь Николаевна</t>
  </si>
  <si>
    <t>Иньков Валерий Аркадьевич</t>
  </si>
  <si>
    <t>Габдуллина Александра Рустемовна</t>
  </si>
  <si>
    <t>Царенко Галина Николаевна</t>
  </si>
  <si>
    <t>Гончаров Сергей Александрович</t>
  </si>
  <si>
    <t>Шиянов Юрий Яковлевич</t>
  </si>
  <si>
    <t>Кошарный Владимир Викторович</t>
  </si>
  <si>
    <t>Мирзоян Гаяне Гришовна</t>
  </si>
  <si>
    <t>Озонов Роман Герасимович</t>
  </si>
  <si>
    <t>Торгунов Павел Владимирович</t>
  </si>
  <si>
    <t>Марков Антон Игоревич</t>
  </si>
  <si>
    <t>Рощина Анастасия Александровна</t>
  </si>
  <si>
    <t>Черепков Юрий Игоревич</t>
  </si>
  <si>
    <t>Мрыков Берд Ибрагимович</t>
  </si>
  <si>
    <t>Турунин Иван Анатольевич</t>
  </si>
  <si>
    <t>Свенян Владик Давидович</t>
  </si>
  <si>
    <t>Смирнов Михаил Николаевич</t>
  </si>
  <si>
    <t>Хачатурьянц Арам Андриасович</t>
  </si>
  <si>
    <t>Степанов Денис Андреевич</t>
  </si>
  <si>
    <t>Карпов Сергей Михайлович</t>
  </si>
  <si>
    <t>Горовецкий Леонид Алексеевич</t>
  </si>
  <si>
    <t>Калинина Марина Сергеевна</t>
  </si>
  <si>
    <t>Дехтерев Иван Сергеевич</t>
  </si>
  <si>
    <t>Алиев Али Гебекович</t>
  </si>
  <si>
    <t>Казаков Константин Юрьевич</t>
  </si>
  <si>
    <t>Магомедов Абдулкадыр Магомедович</t>
  </si>
  <si>
    <t>Макарова Нина Алексеевна</t>
  </si>
  <si>
    <t>Баю Ильяс Алибиевич</t>
  </si>
  <si>
    <t>Наумов Геннадий Владимирович</t>
  </si>
  <si>
    <t>Нитц Вера Дмитриевна</t>
  </si>
  <si>
    <t>Башкайкина Светлана Леонидовна</t>
  </si>
  <si>
    <t>Дедушенко Игорь Александрович</t>
  </si>
  <si>
    <t>Федорова Ирина Андреевна</t>
  </si>
  <si>
    <t>Степанова Людмила Михайловна</t>
  </si>
  <si>
    <t>Посохова Жанна Викторовна</t>
  </si>
  <si>
    <t>Злосчастьева Татьяна Николаевна</t>
  </si>
  <si>
    <t>Данильченко Сергей Валерьевич</t>
  </si>
  <si>
    <t>Жуковский Владислав Витальевич</t>
  </si>
  <si>
    <t>Акпаев Алексей Валентинович</t>
  </si>
  <si>
    <t>Рябенко Павел Павлович</t>
  </si>
  <si>
    <t>Иванов Дмитрий Юрьевич</t>
  </si>
  <si>
    <t>Романов Геннадий Васильевич</t>
  </si>
  <si>
    <t>Лобза Анна Александровна</t>
  </si>
  <si>
    <t>Жирноклеев Виталий Анатольевич</t>
  </si>
  <si>
    <t>Бодялкин Андрей Викторович</t>
  </si>
  <si>
    <t>Гаджиарсланов Атцы Нажмутдинович</t>
  </si>
  <si>
    <t>Петров Дмитрий Сергеевич</t>
  </si>
  <si>
    <t>Диганов Игорь Игоревич</t>
  </si>
  <si>
    <t>Ромодан Игорь Русланович</t>
  </si>
  <si>
    <t>Зеленцова Софья Алексеевна</t>
  </si>
  <si>
    <t>Полтаев Сергей Николаевич</t>
  </si>
  <si>
    <t>Козлов Андрей Сергеевич</t>
  </si>
  <si>
    <t>Ухова Любовь Викторовна</t>
  </si>
  <si>
    <t>Левичева Татьяна Олеговна</t>
  </si>
  <si>
    <t>Левщанов Алексей Вячеславович</t>
  </si>
  <si>
    <t>Жеглов Артем Вячеславович</t>
  </si>
  <si>
    <t xml:space="preserve"> от представителя Заявителя</t>
  </si>
  <si>
    <t>Пункты 2.1., 7.1.(БР) Матрицы</t>
  </si>
  <si>
    <t>Пункт 2.1., 8.1., 8.2. Матрицы</t>
  </si>
  <si>
    <t>Пункты 2.1., 8.1., 8.2., 8.3., 8.4., 8.5. Матрицы</t>
  </si>
  <si>
    <t>расходов по хранению транспортного средства</t>
  </si>
  <si>
    <t>возмещения расходов на эвакуацию Транспортного средства</t>
  </si>
  <si>
    <t>1. Эвакуация не БР, т.к. документы предоставил вместе с первоначальным заявлением</t>
  </si>
  <si>
    <t>Пункты 2.1., 8.1., 8.3., 8.6., 8.7.(БР) Матрицы + дефектовка</t>
  </si>
  <si>
    <t>Пункты 5.1., 8.1. Матрицы + добровольное исполнение</t>
  </si>
  <si>
    <t>Требование об организации ремонта на конкретной СТОА + 5.1. Матрицы</t>
  </si>
  <si>
    <t>Пункты 2.1., 5.1., 5.4., 5.5., 8.1., 8.2., 8.3., 10. Матрицы + дефектовка</t>
  </si>
  <si>
    <t>отсутствуют</t>
  </si>
  <si>
    <t>У-20-92203</t>
  </si>
  <si>
    <t>Ашинова Милана Нальбиевна</t>
  </si>
  <si>
    <t>величина УТС</t>
  </si>
  <si>
    <t>расходов на проведение экспертизы</t>
  </si>
  <si>
    <t>Пункт 5.1. Матрицы. Исполнение решения ФУ в срок. Неустойка на жизнь</t>
  </si>
  <si>
    <t>Пункт 1.4., 3.4., 5.1. Матрицы. В качестве документа, подтверждающего несение расходов на погребение предсталена накладная на оказанные услуги, платежных документов не представлено</t>
  </si>
  <si>
    <t>осуществило Заявителю выплату</t>
  </si>
  <si>
    <t>осуществило Заявителю доплату</t>
  </si>
  <si>
    <t xml:space="preserve">с учетом износа - </t>
  </si>
  <si>
    <t>В обоснование заявленных требований Заявителем предоставлено</t>
  </si>
  <si>
    <t>неустойки за нарушение срока выплаты страхового возмещения по договору обязательного страхования гражданской ответственности владельцев транспортных средств (далее – ОСАГО)</t>
  </si>
  <si>
    <t>Неустойка Экспертиза</t>
  </si>
  <si>
    <t>представитель Заявителя</t>
  </si>
  <si>
    <t>осуществило Представителю выплату</t>
  </si>
  <si>
    <t>неустойки за нарушение срока выплаты страхового возмещения по Договору ОСАГО</t>
  </si>
  <si>
    <t xml:space="preserve">По результатам рассмотрения Заявления, </t>
  </si>
  <si>
    <t>застрахована не была</t>
  </si>
  <si>
    <t>дорожно-транспортное происшествие</t>
  </si>
  <si>
    <t>сообщило Заявителю</t>
  </si>
  <si>
    <t>Пункт 1.1. Матрицы. Противоречия между сведениями в базе РСА, административными материалами и документами, предоставленными Заявителем</t>
  </si>
  <si>
    <t>Пункт 1.1. Матрицы (есть дело в производстве суда)</t>
  </si>
  <si>
    <t>расходы по оплате юридических услуг</t>
  </si>
  <si>
    <t>осуществило Представителю доплату</t>
  </si>
  <si>
    <t xml:space="preserve"> Заявитель обратилась в </t>
  </si>
  <si>
    <t xml:space="preserve"> представитель обратилась в</t>
  </si>
  <si>
    <t xml:space="preserve"> представитель обратился в</t>
  </si>
  <si>
    <t xml:space="preserve"> представитель Заявителя обратился в</t>
  </si>
  <si>
    <t xml:space="preserve"> от Представителя поступило заявление</t>
  </si>
  <si>
    <t>неустойки за нарушение срока выплаты страхового возмещения</t>
  </si>
  <si>
    <t>расходы на оплату юридических услуг</t>
  </si>
  <si>
    <t>расходов на оплату нотариальных услуг</t>
  </si>
  <si>
    <t>Пункты 5.1., 8.1., 8.2. Матрицы</t>
  </si>
  <si>
    <t>1. Перепутал при расчете неустойки дату обращения в ФО (вместо нее указал дату ДТП), поплыла неустойка</t>
  </si>
  <si>
    <t>Пункты 1.3., 8.1. Матрицы</t>
  </si>
  <si>
    <t>сформировано направление на восстановительный ремонт</t>
  </si>
  <si>
    <t>Согласно заключению</t>
  </si>
  <si>
    <t>1. НТЭ до 01.06.2019, не подтвердилась нашей НТЭ, поэтому нужно отказывать, а не взыскивать</t>
  </si>
  <si>
    <t>Пункт 1.1. Матрицы (Такси)</t>
  </si>
  <si>
    <t>расходов на оказание услуг аварийного комиссара по договору обязательного страхования гражданской ответственности владельцев транспортных средств (далее – ОСАГО)</t>
  </si>
  <si>
    <t xml:space="preserve">о возмещении </t>
  </si>
  <si>
    <t>расходов на услуги аварийного комиссара</t>
  </si>
  <si>
    <t>Пункты 5.1.(на 8.5.), 8.4., 8.5., 10. Матрицы</t>
  </si>
  <si>
    <t>расходов по оплате почтовых услуг</t>
  </si>
  <si>
    <t>расходов на оказание услуг аварийного комиссара по Договору ОСАГО</t>
  </si>
  <si>
    <t>расходов на оплату почтовых услуг</t>
  </si>
  <si>
    <t>Пункты 5.1. (на 8.5.), 8.2., 8.3., 8.4., 8.5. Матрицы</t>
  </si>
  <si>
    <t>Пунктом 21 статьи 12</t>
  </si>
  <si>
    <t>Пункты 5.1., 8.1., 8.2., 8.3.(БР), 8.4. Матрицы</t>
  </si>
  <si>
    <t>1. Почта БР</t>
  </si>
  <si>
    <t>1. Почта БР; 2. Не рассмотрены доводы Заявителя о направлении направления на СТОА не на адрес, указанный в заявлении</t>
  </si>
  <si>
    <t>Пункты 4.1., 5.1.(БР), 8.3.(БР) Матрицы. Направление направлено на адрес регистрации, но Заявитель указывал другой адрес для корреспонденции</t>
  </si>
  <si>
    <t>Пункты 2.1., 5.1.(БР), 7.1.(БР), 8.1. Матрицы</t>
  </si>
  <si>
    <t>394018, Воронежская обл., г. Воронеж, ул. Платонова, д. 16</t>
  </si>
  <si>
    <t xml:space="preserve">экспертное заключение, составленное </t>
  </si>
  <si>
    <t>РЫНОК</t>
  </si>
  <si>
    <t>ГОДНИКИ</t>
  </si>
  <si>
    <t>НТЭ ФО 1</t>
  </si>
  <si>
    <t>НТЭ ФО 2</t>
  </si>
  <si>
    <t>НТЭ ФО 3</t>
  </si>
  <si>
    <t>неустойки за нарушение сроков выплаты страхового возмещения</t>
  </si>
  <si>
    <t>В обоснование заявленных требований Представителем предоставлено экспертное заключение</t>
  </si>
  <si>
    <t>страховой выплаты в связи с заменой формы страхового возмещения с организации и оплаты восстановительного ремонта поврежденного транспортного средства на выдачу суммы страховой выплаты по договору обязательного страхования гражданской ответственности владельцев транспортных средств (далее – ОСАГО)</t>
  </si>
  <si>
    <t>расходов на оплату услуг аварийного комиссара по договору обязательного страхования гражданской ответственности владельцев транспортных средств (далее – ОСАГО)</t>
  </si>
  <si>
    <t>неустойки за нарушение срока выплаты расходов по Договору ОСАГО</t>
  </si>
  <si>
    <t>Неустойка Расходы</t>
  </si>
  <si>
    <t>Пункты 5.1.(на 8.5. и дефектовку), 8.5., Матрицы + дефектовка</t>
  </si>
  <si>
    <t>расходов на оплату проведения независимой экспертизы</t>
  </si>
  <si>
    <t>Пункты 5.1., 8.2. Матрицы. Неустойка после решения ФУ</t>
  </si>
  <si>
    <t>страхового возмещения вследствие причинения вреда жизни по договору обязательного страхования гражданской ответственности владельцев транспортных средств (далее – Договор ОСАГО)</t>
  </si>
  <si>
    <t>неустойки за несоблюдение срока выплаты страхового возмещения вследствие причинения вреда жизни по Договору ОСАГО</t>
  </si>
  <si>
    <t>уведомило Представителя</t>
  </si>
  <si>
    <t>Пункты 5.1., 8.2., 8.3. (БР) Матрицы</t>
  </si>
  <si>
    <t>Пункты 4.4., 8.1. Матрицы + дефектовка. Спор по повреждениям, указанным в акте осмотра</t>
  </si>
  <si>
    <t>ОБРАЩЕНИЕ (Паспорт)</t>
  </si>
  <si>
    <t>СЕРИЯ</t>
  </si>
  <si>
    <t>ОБРАЩЕНИЕ (МЖ)</t>
  </si>
  <si>
    <t xml:space="preserve">Почтовый адрес </t>
  </si>
  <si>
    <t xml:space="preserve">номер и дата выдачи документа, удостоверяющего личность </t>
  </si>
  <si>
    <t xml:space="preserve">Место жительства или пребывания </t>
  </si>
  <si>
    <t xml:space="preserve"> Почтовый адрес </t>
  </si>
  <si>
    <t xml:space="preserve"> 3. Потребитель финансовой услуги</t>
  </si>
  <si>
    <t>ИНДЕКС</t>
  </si>
  <si>
    <t>ГОРОД</t>
  </si>
  <si>
    <t>УЛИЦА</t>
  </si>
  <si>
    <t>ДОМ</t>
  </si>
  <si>
    <t>КВАРТИРА</t>
  </si>
  <si>
    <t xml:space="preserve"> г </t>
  </si>
  <si>
    <t xml:space="preserve"> ул </t>
  </si>
  <si>
    <t xml:space="preserve"> пер </t>
  </si>
  <si>
    <t xml:space="preserve"> ул. </t>
  </si>
  <si>
    <t xml:space="preserve"> пер. </t>
  </si>
  <si>
    <t xml:space="preserve"> д </t>
  </si>
  <si>
    <t xml:space="preserve"> д. </t>
  </si>
  <si>
    <t xml:space="preserve"> дом </t>
  </si>
  <si>
    <t xml:space="preserve"> кв </t>
  </si>
  <si>
    <t xml:space="preserve"> кв. </t>
  </si>
  <si>
    <t xml:space="preserve"> г. </t>
  </si>
  <si>
    <t>СОВПАДЕНИЯ</t>
  </si>
  <si>
    <t xml:space="preserve">г. </t>
  </si>
  <si>
    <t xml:space="preserve">ул. </t>
  </si>
  <si>
    <t xml:space="preserve">пер. </t>
  </si>
  <si>
    <t xml:space="preserve">д. </t>
  </si>
  <si>
    <t xml:space="preserve">кв. </t>
  </si>
  <si>
    <t>ОБРАЩЕНИЕ (Адрес)</t>
  </si>
  <si>
    <t>Пункты 2.1., 5.1., 8.3.(БР), 10. Матрицы</t>
  </si>
  <si>
    <t>КОРПУС</t>
  </si>
  <si>
    <t xml:space="preserve"> к </t>
  </si>
  <si>
    <t xml:space="preserve"> корп</t>
  </si>
  <si>
    <t xml:space="preserve">к. </t>
  </si>
  <si>
    <t xml:space="preserve"> к. </t>
  </si>
  <si>
    <t xml:space="preserve"> корп. </t>
  </si>
  <si>
    <t xml:space="preserve">Из материалов Обращения следует, что </t>
  </si>
  <si>
    <t>ВЫЛЕТ ГРАВИЯ</t>
  </si>
  <si>
    <t xml:space="preserve"> село </t>
  </si>
  <si>
    <t xml:space="preserve">с. </t>
  </si>
  <si>
    <t>РАЙОН</t>
  </si>
  <si>
    <t xml:space="preserve"> р-н </t>
  </si>
  <si>
    <t xml:space="preserve"> р-н,</t>
  </si>
  <si>
    <t>LENGTH2</t>
  </si>
  <si>
    <t xml:space="preserve"> р-н</t>
  </si>
  <si>
    <t>Респ Крым</t>
  </si>
  <si>
    <t>представитель Заявителя на основании нотариальной доверенности</t>
  </si>
  <si>
    <t>расходов по оплате услуг нотариуса</t>
  </si>
  <si>
    <t xml:space="preserve">о взыскании доплаты </t>
  </si>
  <si>
    <t>выплаты неустойки</t>
  </si>
  <si>
    <t>расходов по оплате независимой технической экспертизы</t>
  </si>
  <si>
    <t>страхового возмещения по договору добровольного страхования транспортного средства (далее – КАСКО)</t>
  </si>
  <si>
    <t xml:space="preserve"> (далее </t>
  </si>
  <si>
    <t>Пункт 2.1. Матрицы. Оспаривается порядок расчета страховой выплаты при тотальной гибели ТС. КАСКО</t>
  </si>
  <si>
    <t>Пункты 4.1., 5.1., 8.1., 8.2. Матрицы</t>
  </si>
  <si>
    <t>У-20-104956</t>
  </si>
  <si>
    <t>Газизова Ирина Уралисовна</t>
  </si>
  <si>
    <t>, ул</t>
  </si>
  <si>
    <t xml:space="preserve"> ул</t>
  </si>
  <si>
    <t>Респ Башкортостан</t>
  </si>
  <si>
    <t>выплаты страхового возмещения в связи с причинением вреда здоровью по договору обязательного страхования гражданской ответственности владельцев транспортных средств (далее – Договор ОСАГО)</t>
  </si>
  <si>
    <t>Добровольное исполнение. Ребенок-инвалид</t>
  </si>
  <si>
    <t xml:space="preserve">без учета износа составляет – </t>
  </si>
  <si>
    <t xml:space="preserve">экспертом </t>
  </si>
  <si>
    <t xml:space="preserve">Рыночная стоимость Транспортного средства Заявителя на дату ДТП составляет </t>
  </si>
  <si>
    <t xml:space="preserve">рыночная стоимость Транспортного средства Заявителя на дату ДТП составляет </t>
  </si>
  <si>
    <t xml:space="preserve">стоимость годных остатков составляет </t>
  </si>
  <si>
    <t>, пр</t>
  </si>
  <si>
    <t xml:space="preserve">пр-кт </t>
  </si>
  <si>
    <t xml:space="preserve"> пр-кт </t>
  </si>
  <si>
    <t>Респ Марий Эл</t>
  </si>
  <si>
    <t xml:space="preserve">пос. </t>
  </si>
  <si>
    <t>РМЭ</t>
  </si>
  <si>
    <t xml:space="preserve">,ул. </t>
  </si>
  <si>
    <t xml:space="preserve">,ул </t>
  </si>
  <si>
    <t>а/я</t>
  </si>
  <si>
    <t xml:space="preserve">а/я </t>
  </si>
  <si>
    <t>Пункты 5.1., 8.2.(БР), 5.1.(на 8.5.) Матрицы</t>
  </si>
  <si>
    <t>Заявитель не исполнил обязанность по оформлению ДТП с привлечением компетентных органов, установленную правилами КАСКО. Не оформил вылет гравия в ГИБДД. Заявитель ссылается на базовый стандарт совершения страховыми организациями операций на финансовом рынке</t>
  </si>
  <si>
    <t>Ростовская обл</t>
  </si>
  <si>
    <t>ст-ца</t>
  </si>
  <si>
    <t xml:space="preserve">ст-ца </t>
  </si>
  <si>
    <t>Ростовская обл.</t>
  </si>
  <si>
    <t>1. Выплата была осуществлена Стерхом, а неустойку за нее начисляем СОГАЗу</t>
  </si>
  <si>
    <t xml:space="preserve"> оф </t>
  </si>
  <si>
    <t xml:space="preserve">оф. </t>
  </si>
  <si>
    <t>Пункты 8.5., 5.1.(на 8.5.) Матрицы</t>
  </si>
  <si>
    <t>, д</t>
  </si>
  <si>
    <t xml:space="preserve">перечислило в пользу Представителя </t>
  </si>
  <si>
    <t>неустойки в связи с нарушением срока выплаты страхового возмещения по Договору ОСАГО</t>
  </si>
  <si>
    <t>ДТП оформлено без участия уполномоченных сотрудников полиции (оформлен Европротокол)</t>
  </si>
  <si>
    <t>расходов по изготовлению копий документов</t>
  </si>
  <si>
    <t>Копирование</t>
  </si>
  <si>
    <t>Пункты 4.4., 5.5., 8.1., 8.2. Матрицы + копирование(БР)</t>
  </si>
  <si>
    <t xml:space="preserve"> район</t>
  </si>
  <si>
    <t xml:space="preserve"> п.</t>
  </si>
  <si>
    <t>ул.</t>
  </si>
  <si>
    <t>д.</t>
  </si>
  <si>
    <t>в.п.</t>
  </si>
  <si>
    <t xml:space="preserve">в.п. </t>
  </si>
  <si>
    <t>, мкр</t>
  </si>
  <si>
    <t>, пер</t>
  </si>
  <si>
    <t>страхового возмещения по Договору КАСКО</t>
  </si>
  <si>
    <t>Ущерб не превышает франшизу</t>
  </si>
  <si>
    <t>Сокращения</t>
  </si>
  <si>
    <t>г.</t>
  </si>
  <si>
    <t>р-н</t>
  </si>
  <si>
    <t>пос.</t>
  </si>
  <si>
    <t>обл.</t>
  </si>
  <si>
    <t>кв.</t>
  </si>
  <si>
    <t>пр-кт</t>
  </si>
  <si>
    <t xml:space="preserve"> подготовило</t>
  </si>
  <si>
    <t xml:space="preserve"> составлено</t>
  </si>
  <si>
    <t xml:space="preserve">исследования в </t>
  </si>
  <si>
    <t>1. Нужно добавить про решение суда и его отмену в апелляции с оставлением БР</t>
  </si>
  <si>
    <t>ГИБДД</t>
  </si>
  <si>
    <t>1. Решение ФУ о прекращении не может быть самостоятельным основанием для повторного прекращения</t>
  </si>
  <si>
    <t>107078, г. Москва, пр-кт Академика Сахарова, д. 10</t>
  </si>
  <si>
    <t>Оренбургская обл</t>
  </si>
  <si>
    <t>Оренбургская обл.</t>
  </si>
  <si>
    <t>Респ Дагестан</t>
  </si>
  <si>
    <t>Пункт 5.1.(БР), 8.1.(БР), Матрицы + добровольное исполнение</t>
  </si>
  <si>
    <t>Пункт 5.1. Матрицы После решения ФУ</t>
  </si>
  <si>
    <t>Чикулаев Владимир Васильевич</t>
  </si>
  <si>
    <t>Пункты 5.1.(на 8.5.), 8.4., 8.5. Матрицы</t>
  </si>
  <si>
    <t>величины утраты товарной стоимости (далее – величина УТС)</t>
  </si>
  <si>
    <t>Кемеровская область - Кузбасс</t>
  </si>
  <si>
    <t>Кемеровская обл. - Кузбасс</t>
  </si>
  <si>
    <t>в том числе страхового возмещения в виде величины утраты товарной стоимости (далее – УТС)</t>
  </si>
  <si>
    <t>Согласно пункту 3.5 Положения</t>
  </si>
  <si>
    <t>1. Опечатка в сумме выплаты; 2. Не прописан претензионный порядок в части требований (почта, нотариус, аварком)</t>
  </si>
  <si>
    <t>Пункты 4.4., 5.1.(просит только на срок проведения ремонта), 8.1., 8.6. Матрицы</t>
  </si>
  <si>
    <t>Пункты 5.1.(на 8.5.), 8.5. Матрицы</t>
  </si>
  <si>
    <t>Пункты 2.1., 5.5., 7.1., 8.1., 8.2., 8.3.(БР), 8.4.(БР), 8.5.(БР) Матрицы</t>
  </si>
  <si>
    <t xml:space="preserve">, дп </t>
  </si>
  <si>
    <t>Московская обл</t>
  </si>
  <si>
    <t>Московская обл.</t>
  </si>
  <si>
    <t>Пункты 1.2., 5.1., 8.1., 9. Матрицы</t>
  </si>
  <si>
    <t>Пункты 1.2., 5.1., 8.1., 10. Матрицы</t>
  </si>
  <si>
    <r>
      <t xml:space="preserve">Уполномоченный по правам потребителей финансовых услуг в сферах страхования, микрофинансирования, кредитной кооперации и деятельности кредитных организаций С.В. Никитина (далее – Финансовый уполномоченный) по результатам рассмотрения обращения от 09.07.2020 № У-20-97553 (далее – Обращение) Маркова Антона Игоревича (паспорт серия </t>
    </r>
    <r>
      <rPr>
        <sz val="11"/>
        <color rgb="FFFF0000"/>
        <rFont val="Calibri"/>
        <family val="2"/>
        <charset val="204"/>
        <scheme val="minor"/>
      </rPr>
      <t>НЕТ; место жительства: 630136, г.</t>
    </r>
    <r>
      <rPr>
        <sz val="11"/>
        <color rgb="FF00FF00"/>
        <rFont val="Calibri"/>
        <family val="2"/>
        <charset val="204"/>
        <scheme val="minor"/>
      </rPr>
      <t xml:space="preserve"> </t>
    </r>
    <r>
      <rPr>
        <sz val="11"/>
        <color rgb="FFFF0000"/>
        <rFont val="Calibri"/>
        <family val="2"/>
        <charset val="204"/>
        <scheme val="minor"/>
      </rPr>
      <t>Новосибирск, ул. Па</t>
    </r>
    <r>
      <rPr>
        <sz val="11"/>
        <color rgb="FF00FF00"/>
        <rFont val="Calibri"/>
        <family val="2"/>
        <charset val="204"/>
        <scheme val="minor"/>
      </rPr>
      <t>р</t>
    </r>
    <r>
      <rPr>
        <sz val="11"/>
        <color rgb="FFFF0000"/>
        <rFont val="Calibri"/>
        <family val="2"/>
        <charset val="204"/>
        <scheme val="minor"/>
      </rPr>
      <t xml:space="preserve">хоменко, д. 72, </t>
    </r>
    <r>
      <rPr>
        <sz val="11"/>
        <color rgb="FF00FF00"/>
        <rFont val="Calibri"/>
        <family val="2"/>
        <charset val="204"/>
        <scheme val="minor"/>
      </rPr>
      <t>к</t>
    </r>
    <r>
      <rPr>
        <sz val="11"/>
        <color rgb="FFFF0000"/>
        <rFont val="Calibri"/>
        <family val="2"/>
        <charset val="204"/>
        <scheme val="minor"/>
      </rPr>
      <t>в.</t>
    </r>
    <r>
      <rPr>
        <sz val="11"/>
        <color rgb="FF00FF00"/>
        <rFont val="Calibri"/>
        <family val="2"/>
        <charset val="204"/>
        <scheme val="minor"/>
      </rPr>
      <t xml:space="preserve"> </t>
    </r>
    <r>
      <rPr>
        <sz val="11"/>
        <color rgb="FFFF0000"/>
        <rFont val="Calibri"/>
        <family val="2"/>
        <charset val="204"/>
        <scheme val="minor"/>
      </rPr>
      <t>185; почтовый адрес: 630136, г.</t>
    </r>
    <r>
      <rPr>
        <sz val="11"/>
        <color rgb="FF00FF00"/>
        <rFont val="Calibri"/>
        <family val="2"/>
        <charset val="204"/>
        <scheme val="minor"/>
      </rPr>
      <t xml:space="preserve"> </t>
    </r>
    <r>
      <rPr>
        <sz val="11"/>
        <color rgb="FFFF0000"/>
        <rFont val="Calibri"/>
        <family val="2"/>
        <charset val="204"/>
        <scheme val="minor"/>
      </rPr>
      <t>Новосибирск, ул. Па</t>
    </r>
    <r>
      <rPr>
        <sz val="11"/>
        <color rgb="FF00FF00"/>
        <rFont val="Calibri"/>
        <family val="2"/>
        <charset val="204"/>
        <scheme val="minor"/>
      </rPr>
      <t>р</t>
    </r>
    <r>
      <rPr>
        <sz val="11"/>
        <color rgb="FFFF0000"/>
        <rFont val="Calibri"/>
        <family val="2"/>
        <charset val="204"/>
        <scheme val="minor"/>
      </rPr>
      <t xml:space="preserve">хоменко, д. 72, </t>
    </r>
    <r>
      <rPr>
        <sz val="11"/>
        <color rgb="FF00FF00"/>
        <rFont val="Calibri"/>
        <family val="2"/>
        <charset val="204"/>
        <scheme val="minor"/>
      </rPr>
      <t>к</t>
    </r>
    <r>
      <rPr>
        <sz val="11"/>
        <color rgb="FFFF0000"/>
        <rFont val="Calibri"/>
        <family val="2"/>
        <charset val="204"/>
        <scheme val="minor"/>
      </rPr>
      <t>в.</t>
    </r>
    <r>
      <rPr>
        <sz val="11"/>
        <color rgb="FF00FF00"/>
        <rFont val="Calibri"/>
        <family val="2"/>
        <charset val="204"/>
        <scheme val="minor"/>
      </rPr>
      <t xml:space="preserve"> </t>
    </r>
    <r>
      <rPr>
        <sz val="11"/>
        <color rgb="FFFF0000"/>
        <rFont val="Calibri"/>
        <family val="2"/>
        <charset val="204"/>
        <scheme val="minor"/>
      </rPr>
      <t>185) (далее – Заявит</t>
    </r>
    <r>
      <rPr>
        <sz val="11"/>
        <color rgb="FF00FF00"/>
        <rFont val="Calibri"/>
        <family val="2"/>
        <charset val="204"/>
        <scheme val="minor"/>
      </rPr>
      <t>е</t>
    </r>
    <r>
      <rPr>
        <sz val="11"/>
        <color rgb="FFFF0000"/>
        <rFont val="Calibri"/>
        <family val="2"/>
        <charset val="204"/>
        <scheme val="minor"/>
      </rPr>
      <t>ль)</t>
    </r>
    <r>
      <rPr>
        <sz val="11"/>
        <color rgb="FF00FF00"/>
        <rFont val="Calibri"/>
        <family val="2"/>
        <charset val="204"/>
        <scheme val="minor"/>
      </rPr>
      <t xml:space="preserve"> </t>
    </r>
    <r>
      <rPr>
        <sz val="11"/>
        <color rgb="FFFF0000"/>
        <rFont val="Calibri"/>
        <family val="2"/>
        <charset val="204"/>
        <scheme val="minor"/>
      </rPr>
      <t>в отношении ПАО СК «Росгосстрах» (ме</t>
    </r>
    <r>
      <rPr>
        <sz val="11"/>
        <color rgb="FF00FF00"/>
        <rFont val="Calibri"/>
        <family val="2"/>
        <charset val="204"/>
        <scheme val="minor"/>
      </rPr>
      <t>с</t>
    </r>
    <r>
      <rPr>
        <sz val="11"/>
        <color rgb="FFFF0000"/>
        <rFont val="Calibri"/>
        <family val="2"/>
        <charset val="204"/>
        <scheme val="minor"/>
      </rPr>
      <t>то нахожд</t>
    </r>
    <r>
      <rPr>
        <sz val="11"/>
        <color rgb="FF00FF00"/>
        <rFont val="Calibri"/>
        <family val="2"/>
        <charset val="204"/>
        <scheme val="minor"/>
      </rPr>
      <t>е</t>
    </r>
    <r>
      <rPr>
        <sz val="11"/>
        <color rgb="FFFF0000"/>
        <rFont val="Calibri"/>
        <family val="2"/>
        <charset val="204"/>
        <scheme val="minor"/>
      </rPr>
      <t>ния: 140002, Московская</t>
    </r>
    <r>
      <rPr>
        <sz val="11"/>
        <color rgb="FF00FF00"/>
        <rFont val="Calibri"/>
        <family val="2"/>
        <charset val="204"/>
        <scheme val="minor"/>
      </rPr>
      <t xml:space="preserve"> </t>
    </r>
    <r>
      <rPr>
        <sz val="11"/>
        <color rgb="FFFF0000"/>
        <rFont val="Calibri"/>
        <family val="2"/>
        <charset val="204"/>
        <scheme val="minor"/>
      </rPr>
      <t>область, Люберцы, ул. Па</t>
    </r>
    <r>
      <rPr>
        <sz val="11"/>
        <color rgb="FF00FF00"/>
        <rFont val="Calibri"/>
        <family val="2"/>
        <charset val="204"/>
        <scheme val="minor"/>
      </rPr>
      <t>р</t>
    </r>
    <r>
      <rPr>
        <sz val="11"/>
        <color rgb="FFFF0000"/>
        <rFont val="Calibri"/>
        <family val="2"/>
        <charset val="204"/>
        <scheme val="minor"/>
      </rPr>
      <t>ковая, д. 3; почтовый адрес: 140002, Московская</t>
    </r>
    <r>
      <rPr>
        <sz val="11"/>
        <color rgb="FF00FF00"/>
        <rFont val="Calibri"/>
        <family val="2"/>
        <charset val="204"/>
        <scheme val="minor"/>
      </rPr>
      <t xml:space="preserve"> </t>
    </r>
    <r>
      <rPr>
        <sz val="11"/>
        <color rgb="FFFF0000"/>
        <rFont val="Calibri"/>
        <family val="2"/>
        <charset val="204"/>
        <scheme val="minor"/>
      </rPr>
      <t>область, Люберцы, ул. Па</t>
    </r>
    <r>
      <rPr>
        <sz val="11"/>
        <color rgb="FF00FF00"/>
        <rFont val="Calibri"/>
        <family val="2"/>
        <charset val="204"/>
        <scheme val="minor"/>
      </rPr>
      <t>р</t>
    </r>
    <r>
      <rPr>
        <sz val="11"/>
        <color rgb="FFFF0000"/>
        <rFont val="Calibri"/>
        <family val="2"/>
        <charset val="204"/>
        <scheme val="minor"/>
      </rPr>
      <t>ковая, д. 3; д</t>
    </r>
    <r>
      <rPr>
        <sz val="11"/>
        <color rgb="FF00FF00"/>
        <rFont val="Calibri"/>
        <family val="2"/>
        <charset val="204"/>
        <scheme val="minor"/>
      </rPr>
      <t>а</t>
    </r>
    <r>
      <rPr>
        <sz val="11"/>
        <color rgb="FFFF0000"/>
        <rFont val="Calibri"/>
        <family val="2"/>
        <charset val="204"/>
        <scheme val="minor"/>
      </rPr>
      <t>та</t>
    </r>
    <r>
      <rPr>
        <sz val="11"/>
        <color rgb="FF00FF00"/>
        <rFont val="Calibri"/>
        <family val="2"/>
        <charset val="204"/>
        <scheme val="minor"/>
      </rPr>
      <t xml:space="preserve"> </t>
    </r>
    <r>
      <rPr>
        <sz val="11"/>
        <color rgb="FFFF0000"/>
        <rFont val="Calibri"/>
        <family val="2"/>
        <charset val="204"/>
        <scheme val="minor"/>
      </rPr>
      <t>государс</t>
    </r>
    <r>
      <rPr>
        <sz val="11"/>
        <color rgb="FF00FF00"/>
        <rFont val="Calibri"/>
        <family val="2"/>
        <charset val="204"/>
        <scheme val="minor"/>
      </rPr>
      <t>т</t>
    </r>
    <r>
      <rPr>
        <sz val="11"/>
        <color rgb="FFFF0000"/>
        <rFont val="Calibri"/>
        <family val="2"/>
        <charset val="204"/>
        <scheme val="minor"/>
      </rPr>
      <t>венной регистрации: 19.08.1992; идентификац</t>
    </r>
    <r>
      <rPr>
        <sz val="11"/>
        <color rgb="FF00FF00"/>
        <rFont val="Calibri"/>
        <family val="2"/>
        <charset val="204"/>
        <scheme val="minor"/>
      </rPr>
      <t>и</t>
    </r>
    <r>
      <rPr>
        <sz val="11"/>
        <color rgb="FFFF0000"/>
        <rFont val="Calibri"/>
        <family val="2"/>
        <charset val="204"/>
        <scheme val="minor"/>
      </rPr>
      <t>он</t>
    </r>
    <r>
      <rPr>
        <sz val="11"/>
        <color rgb="FF00FF00"/>
        <rFont val="Calibri"/>
        <family val="2"/>
        <charset val="204"/>
        <scheme val="minor"/>
      </rPr>
      <t>н</t>
    </r>
    <r>
      <rPr>
        <sz val="11"/>
        <color rgb="FFFF0000"/>
        <rFont val="Calibri"/>
        <family val="2"/>
        <charset val="204"/>
        <scheme val="minor"/>
      </rPr>
      <t xml:space="preserve">ый номер </t>
    </r>
    <r>
      <rPr>
        <sz val="11"/>
        <color rgb="FF00FF00"/>
        <rFont val="Calibri"/>
        <family val="2"/>
        <charset val="204"/>
        <scheme val="minor"/>
      </rPr>
      <t>н</t>
    </r>
    <r>
      <rPr>
        <sz val="11"/>
        <color rgb="FFFF0000"/>
        <rFont val="Calibri"/>
        <family val="2"/>
        <charset val="204"/>
        <scheme val="minor"/>
      </rPr>
      <t>алогоплательщика: 7707067683),
УСТАНОВИЛ
Финансовому уполн</t>
    </r>
    <r>
      <rPr>
        <sz val="11"/>
        <color rgb="FF00FF00"/>
        <rFont val="Calibri"/>
        <family val="2"/>
        <charset val="204"/>
        <scheme val="minor"/>
      </rPr>
      <t>о</t>
    </r>
    <r>
      <rPr>
        <sz val="11"/>
        <color rgb="FFFF0000"/>
        <rFont val="Calibri"/>
        <family val="2"/>
        <charset val="204"/>
        <scheme val="minor"/>
      </rPr>
      <t>м</t>
    </r>
    <r>
      <rPr>
        <sz val="11"/>
        <color rgb="FF00FF00"/>
        <rFont val="Calibri"/>
        <family val="2"/>
        <charset val="204"/>
        <scheme val="minor"/>
      </rPr>
      <t>о</t>
    </r>
    <r>
      <rPr>
        <sz val="11"/>
        <color rgb="FFFF0000"/>
        <rFont val="Calibri"/>
        <family val="2"/>
        <charset val="204"/>
        <scheme val="minor"/>
      </rPr>
      <t>ченному на рассмотрение поступило Обращен</t>
    </r>
    <r>
      <rPr>
        <sz val="11"/>
        <color rgb="FF00FF00"/>
        <rFont val="Calibri"/>
        <family val="2"/>
        <charset val="204"/>
        <scheme val="minor"/>
      </rPr>
      <t>и</t>
    </r>
    <r>
      <rPr>
        <sz val="11"/>
        <color rgb="FFFF0000"/>
        <rFont val="Calibri"/>
        <family val="2"/>
        <charset val="204"/>
        <scheme val="minor"/>
      </rPr>
      <t xml:space="preserve">е в отношении ПАО СК «Росгосстрах» </t>
    </r>
    <r>
      <rPr>
        <sz val="11"/>
        <color rgb="FF00FF00"/>
        <rFont val="Calibri"/>
        <family val="2"/>
        <charset val="204"/>
        <scheme val="minor"/>
      </rPr>
      <t>с</t>
    </r>
    <r>
      <rPr>
        <sz val="11"/>
        <color rgb="FFFF0000"/>
        <rFont val="Calibri"/>
        <family val="2"/>
        <charset val="204"/>
        <scheme val="minor"/>
      </rPr>
      <t xml:space="preserve"> требованием о взыскании </t>
    </r>
  </si>
  <si>
    <t>Пункты 1.2., 5.1., 10. Матрицы</t>
  </si>
  <si>
    <t xml:space="preserve">паспорт </t>
  </si>
  <si>
    <t>, тер</t>
  </si>
  <si>
    <t xml:space="preserve">тер. </t>
  </si>
  <si>
    <t>У-20-92527</t>
  </si>
  <si>
    <t>У-20-95481</t>
  </si>
  <si>
    <t>У-20-95656</t>
  </si>
  <si>
    <t>У-20-95749</t>
  </si>
  <si>
    <t>У-20-97991</t>
  </si>
  <si>
    <t>У-20-98064</t>
  </si>
  <si>
    <t>У-20-98347</t>
  </si>
  <si>
    <t>У-20-98423</t>
  </si>
  <si>
    <t>У-20-98695</t>
  </si>
  <si>
    <t>У-20-98698</t>
  </si>
  <si>
    <t>У-20-98836</t>
  </si>
  <si>
    <t>У-20-98863</t>
  </si>
  <si>
    <t>У-20-98870</t>
  </si>
  <si>
    <t>У-20-99027</t>
  </si>
  <si>
    <t>У-20-99197</t>
  </si>
  <si>
    <t>У-20-99466</t>
  </si>
  <si>
    <t>У-20-99482</t>
  </si>
  <si>
    <t>У-20-99542</t>
  </si>
  <si>
    <t>У-20-99760</t>
  </si>
  <si>
    <t>У-20-99792</t>
  </si>
  <si>
    <t>У-20-99837</t>
  </si>
  <si>
    <t>У-20-99979</t>
  </si>
  <si>
    <t>У-20-100007</t>
  </si>
  <si>
    <t>У-20-100111</t>
  </si>
  <si>
    <t>У-20-100127</t>
  </si>
  <si>
    <t>У-20-100149</t>
  </si>
  <si>
    <t>У-20-100198</t>
  </si>
  <si>
    <t>У-20-100343</t>
  </si>
  <si>
    <t>У-20-100368</t>
  </si>
  <si>
    <t>У-20-100390</t>
  </si>
  <si>
    <t>У-20-100444</t>
  </si>
  <si>
    <t>У-20-100454</t>
  </si>
  <si>
    <t>У-20-100457</t>
  </si>
  <si>
    <t>У-20-100524</t>
  </si>
  <si>
    <t>У-20-100586</t>
  </si>
  <si>
    <t>У-20-100852</t>
  </si>
  <si>
    <t>У-20-100906</t>
  </si>
  <si>
    <t>У-20-100924</t>
  </si>
  <si>
    <t>У-20-100930</t>
  </si>
  <si>
    <t>У-20-101211</t>
  </si>
  <si>
    <t>У-20-101384</t>
  </si>
  <si>
    <t>У-20-101386</t>
  </si>
  <si>
    <t>У-20-101450</t>
  </si>
  <si>
    <t>У-20-101492</t>
  </si>
  <si>
    <t>У-20-101701</t>
  </si>
  <si>
    <t>У-20-101738</t>
  </si>
  <si>
    <t>У-20-101796</t>
  </si>
  <si>
    <t>У-20-102013</t>
  </si>
  <si>
    <t>У-20-102332</t>
  </si>
  <si>
    <t>У-20-102425</t>
  </si>
  <si>
    <t>У-20-102436</t>
  </si>
  <si>
    <t>У-20-102547</t>
  </si>
  <si>
    <t>У-20-106534</t>
  </si>
  <si>
    <t>У-20-106844</t>
  </si>
  <si>
    <t>У-20-106861</t>
  </si>
  <si>
    <t>У-20-107089</t>
  </si>
  <si>
    <t>У-20-107182</t>
  </si>
  <si>
    <t>У-20-107208</t>
  </si>
  <si>
    <t>У-20-107553</t>
  </si>
  <si>
    <t>У-20-108102</t>
  </si>
  <si>
    <t>У-20-108245</t>
  </si>
  <si>
    <t>У-20-108352</t>
  </si>
  <si>
    <t>У-20-108489</t>
  </si>
  <si>
    <t>У-20-108788</t>
  </si>
  <si>
    <t>У-20-108983</t>
  </si>
  <si>
    <t>У-20-109547</t>
  </si>
  <si>
    <t>У-20-110225</t>
  </si>
  <si>
    <t>Михеев Сергей Вячеславович</t>
  </si>
  <si>
    <t>Муравьева Валентина Владимировна</t>
  </si>
  <si>
    <t>Охтиенко Лилия Ашотовна</t>
  </si>
  <si>
    <t>Мамонтов Николай Сергеевич</t>
  </si>
  <si>
    <t>Шишелова Анна Николаевна</t>
  </si>
  <si>
    <t>Барыло Эдгарт Андреевич</t>
  </si>
  <si>
    <t>Евдокимов Андрей Владимирович</t>
  </si>
  <si>
    <t>Зорькин Сергей Олегович</t>
  </si>
  <si>
    <t>Попова Елена Валерьевна</t>
  </si>
  <si>
    <t>КУЛЧАЕВ АРАФАТ АУБЕКИРОВИЧ</t>
  </si>
  <si>
    <t>Дьячек Александр Васильевич</t>
  </si>
  <si>
    <t>Мамедова Лариса Давудовна</t>
  </si>
  <si>
    <t>Мальцева Анжелика Сергеевна</t>
  </si>
  <si>
    <t>Селиванов Игорь Яковлевич</t>
  </si>
  <si>
    <t>Юркина Анна Вячеславовна</t>
  </si>
  <si>
    <t>Голомедов Евгений Владимирович</t>
  </si>
  <si>
    <t>Чуркина Евгения Ивановна</t>
  </si>
  <si>
    <t>Железникова Анастасия Владимировна</t>
  </si>
  <si>
    <t>Польдяева Ирина Алексеевна</t>
  </si>
  <si>
    <t>Костенко Наталья Сергеевна</t>
  </si>
  <si>
    <t>Толмачев Алексей Вячеславович</t>
  </si>
  <si>
    <t>Шишкина Виктория Сергеевна</t>
  </si>
  <si>
    <t>Артамонова Елена Владимировна</t>
  </si>
  <si>
    <t>Сеферян Лаура Самвеловна</t>
  </si>
  <si>
    <t>Подчалимов Денис Николаевич</t>
  </si>
  <si>
    <t>Краснов Денис Викторович</t>
  </si>
  <si>
    <t>Логинов Сергей Викторович</t>
  </si>
  <si>
    <t>Туков Николай Алексеевич</t>
  </si>
  <si>
    <t>Меликов Батраз Казбекович</t>
  </si>
  <si>
    <t>Степанов Виктор Николаевич</t>
  </si>
  <si>
    <t>Долматов Денис Андреевич</t>
  </si>
  <si>
    <t>Корчин Дмитрий Павлович</t>
  </si>
  <si>
    <t>Айдемиров Джамал Серажутдинович</t>
  </si>
  <si>
    <t>Щеглов Кирилл Геннадьевич</t>
  </si>
  <si>
    <t>Никитина Елена Александровна</t>
  </si>
  <si>
    <t>Гончарова Ольга Сергеевна</t>
  </si>
  <si>
    <t>Лачугина Наталья Ивановна</t>
  </si>
  <si>
    <t>Трофимов Александр Анатольевич</t>
  </si>
  <si>
    <t>Джабиев Талех Зинхарович</t>
  </si>
  <si>
    <t>САВИЦКАЯ ЕЛЕНА НИКОЛАЕВНА</t>
  </si>
  <si>
    <t>Николюк Александр Сергеевич</t>
  </si>
  <si>
    <t>Гаймакова Ильвира Рафисовна</t>
  </si>
  <si>
    <t>Христоев Роман Сергеевич</t>
  </si>
  <si>
    <t>Белова Ольга Андреевна</t>
  </si>
  <si>
    <t>Зульфугаров Мушвиг Исаханович</t>
  </si>
  <si>
    <t>Рудов Сергей Петрович</t>
  </si>
  <si>
    <t>Медоева Алана Георгиевна</t>
  </si>
  <si>
    <t>Савельева Анжела Тимуровна</t>
  </si>
  <si>
    <t>Селиванова Наталья Юрьевна</t>
  </si>
  <si>
    <t>Захаров Сергей Алексеевич</t>
  </si>
  <si>
    <t>Мухаметрахимов Рамиль Саляхович</t>
  </si>
  <si>
    <t>Джингезов Исмаил Асабали Оглы</t>
  </si>
  <si>
    <t>Беляков Владимир Юрьевич</t>
  </si>
  <si>
    <t>Лобанова Наталья Николаевна</t>
  </si>
  <si>
    <t>Бондаренко Павел Владимирович</t>
  </si>
  <si>
    <t>Торопов Сергей Иванович</t>
  </si>
  <si>
    <t>Юсин Андрей Владимирович</t>
  </si>
  <si>
    <t>Шудиров Давид Габитович</t>
  </si>
  <si>
    <t>Хабаров Денис Геннадьевич</t>
  </si>
  <si>
    <t>Ганин Андрей Николаевич</t>
  </si>
  <si>
    <t>Цакоев Арсен Гурамович</t>
  </si>
  <si>
    <t>Пестов Василий Александрович</t>
  </si>
  <si>
    <t>Бармен Александр Юрьевич</t>
  </si>
  <si>
    <t>Зислина Елена Владимировна</t>
  </si>
  <si>
    <t>Петухов Павел Алексеевич</t>
  </si>
  <si>
    <t>ООО «ДЕ ЮРЕ»</t>
  </si>
  <si>
    <t>ООО «РЦУУ по Кировской области»</t>
  </si>
  <si>
    <t>10.08 - 14.08</t>
  </si>
  <si>
    <t>НЕД 24</t>
  </si>
  <si>
    <t>НЕД 25</t>
  </si>
  <si>
    <t>НЕД 26</t>
  </si>
  <si>
    <t>НЕД 27</t>
  </si>
  <si>
    <t>НЕД 28</t>
  </si>
  <si>
    <t>НЕД 29</t>
  </si>
  <si>
    <t>НЕД 30</t>
  </si>
  <si>
    <t>направило Заявителю направление на ремонт</t>
  </si>
  <si>
    <t>1. Взыскано из расчета 3/5, но нужно 3/4, поплыла неустойка</t>
  </si>
  <si>
    <t>Ивановская обл</t>
  </si>
  <si>
    <t>Ивановская обл.</t>
  </si>
  <si>
    <t>, дер</t>
  </si>
  <si>
    <t>В обоснование заявленных требований, Заявитель предоставил в</t>
  </si>
  <si>
    <t xml:space="preserve">взыскано в пользу Заявителя, в том числе, </t>
  </si>
  <si>
    <t>решением мирового судьи</t>
  </si>
  <si>
    <t>требования Заявителя не подлежат удовлетворению на основании следующего</t>
  </si>
  <si>
    <t>расходов на проведение осмотра транспортного средства</t>
  </si>
  <si>
    <t>Пункты 1.2., 5.1., 8.1. Матрицы + расходы на осмотр</t>
  </si>
  <si>
    <t>требование Заявителя подлежит частичному удовлетворению в силу следующего</t>
  </si>
  <si>
    <t>Пункты 5.1., 8.1., 8.2., 8.3., 8.4. Матрицы</t>
  </si>
  <si>
    <t>Волгоградская обл</t>
  </si>
  <si>
    <t>Волгоградская обл.</t>
  </si>
  <si>
    <t>, СНТ</t>
  </si>
  <si>
    <t>Пункты 1.2., 5.1.(БР), 8.1., 9., 10. Матрицы</t>
  </si>
  <si>
    <t>расходов на оплату услуг эвакуатора</t>
  </si>
  <si>
    <t>Пункты 1.2., 8.1., 8.6. Матрицы</t>
  </si>
  <si>
    <t>Пункты 1.8., 2.1., 5.5., 8.1. Матрицы. 5 участников ДТП, 1 не виноват, в отношении 4х вина не установлена, ФО выплатила 1/4 от ущерба, взыскиваем из расчета 3/4</t>
  </si>
  <si>
    <t>пр.</t>
  </si>
  <si>
    <t xml:space="preserve">пр. </t>
  </si>
  <si>
    <t>кор.</t>
  </si>
  <si>
    <t>1. Опечатка в сумме выплаты; 2. на эвакуатор нужно начислять, т.к. он взыскан судом</t>
  </si>
  <si>
    <t>Выплата на основании соглашения + пункты 5.1., 8.1. Матрицы. Отказ в неустойке и экспертизе на основании соглашения</t>
  </si>
  <si>
    <t>в счет возмещения расходов на эвакуацию Транспортного средства</t>
  </si>
  <si>
    <t>Вологодская обл</t>
  </si>
  <si>
    <t>Вологодская обл.</t>
  </si>
  <si>
    <t>Карачаево</t>
  </si>
  <si>
    <t>аул</t>
  </si>
  <si>
    <t xml:space="preserve">аул </t>
  </si>
  <si>
    <t>214000, Смоленская обл., г. Смоленск, ул. Глинки, д. 7, эт. 2, пом. 9</t>
  </si>
  <si>
    <t>Пункты 2.1. Матрицы</t>
  </si>
  <si>
    <t>МИКРОРАЙОН</t>
  </si>
  <si>
    <t xml:space="preserve">поселок </t>
  </si>
  <si>
    <t>ОБРАЩЕНИЕ (Общая сумма)</t>
  </si>
  <si>
    <t xml:space="preserve">Размер требования </t>
  </si>
  <si>
    <t>Пункты 2.1., 5.1., 8.1., 8.2.(БР), 9. Матрицы</t>
  </si>
  <si>
    <t>Ханты-Мансийский</t>
  </si>
  <si>
    <t>Ханты-Мансийский Автономный округ - Югра</t>
  </si>
  <si>
    <t xml:space="preserve">,г </t>
  </si>
  <si>
    <t>возмещения расходов на оплату услуг по эвакуации Транспортного средства</t>
  </si>
  <si>
    <t>У-20-107976</t>
  </si>
  <si>
    <t>Каменских Александр Игоревич</t>
  </si>
  <si>
    <t>Пункт 5.1. Матрицы. После решения ФУ</t>
  </si>
  <si>
    <t>1. Не начислена неустойка на одну сумму выплаты</t>
  </si>
  <si>
    <t>районным судом</t>
  </si>
  <si>
    <t>Пункт 6.1. Матрицы + плата за рассмотрения дела ФУ</t>
  </si>
  <si>
    <t>Пункт 8.7. Матрицы + дефектовка</t>
  </si>
  <si>
    <t>Пункт 1.4., 5.1.(БР), 8.1., 8.2., 10., Матрицы + неидентифицируемые убытки</t>
  </si>
  <si>
    <t>организовало перечисление страхового возмещения</t>
  </si>
  <si>
    <t xml:space="preserve">организовало перечисление </t>
  </si>
  <si>
    <t>Пункты 5.1., 8.4. Матрицы</t>
  </si>
  <si>
    <t xml:space="preserve">пгт </t>
  </si>
  <si>
    <t xml:space="preserve">Пункты 5.1.(на 8.5.), 8.1., 8.2., 8.4., 8.5. Матрицы </t>
  </si>
  <si>
    <t>Калининградская обл</t>
  </si>
  <si>
    <t>Калининградская обл.</t>
  </si>
  <si>
    <t>Оспаривание уменьшение страховой суммы при тотальной гибели ТС</t>
  </si>
  <si>
    <t xml:space="preserve"> Потребитель обратился в</t>
  </si>
  <si>
    <t>Пункты 5.1., 8.3. Матрицы + плата за рассмотрение дела ФУ</t>
  </si>
  <si>
    <t>1. Неверный расчет 20-дневного срока, исключил карантинные длни</t>
  </si>
  <si>
    <t>суммы утраченного заработка при причинении вреда здоровью по договору обязательного страхования гражданской ответственности владельцев транспортных средств (далее   ОСАГО)</t>
  </si>
  <si>
    <t>Пункты 3.3., 5.1., 8.4. Матрицы. Новая позиция по 9.1</t>
  </si>
  <si>
    <t>Пункты 4.1., 8.2., 8.3.(БР) Матрицы. Хочет на дилера, но машина 2016 года, а ДТП 2019.</t>
  </si>
  <si>
    <t>1. Опечатка в полиса ОСАГО; 2. Не дана оценка доводам Заявителя о том, что ННР выдали не на дилера; 3. Курьера нужно БР; 4. Юр услуги по нормативке, а не как производные; 5. лишняя ссылка на 165.1, т.к. ННР получено Заявителем; 6. Неверный почтовый адрес</t>
  </si>
  <si>
    <t>доплаты страхового возмещения по договору добровольного страхования транспортных средств (далее – КАСКО)</t>
  </si>
  <si>
    <t>Пункты 2.1., 8.1. Матрицы. Определение годников по торгам на основании НТЭ ФУ. В правилах каско нет алгоритма определения стоимости ГО</t>
  </si>
  <si>
    <t>У-19-57702</t>
  </si>
  <si>
    <t>Абросимов Михаил Михайлович</t>
  </si>
  <si>
    <t>Определение стоимости ГО на основании торгов. В правилах КАСКО нет алгоритма определения стоимости ГО. Взыскиваем на основании экспертизы ФУ не по торгам</t>
  </si>
  <si>
    <t>Сотникова Лариса Викторовна</t>
  </si>
  <si>
    <t>Тульская обл</t>
  </si>
  <si>
    <t>Тульская обл.</t>
  </si>
  <si>
    <t>Архангельская обл</t>
  </si>
  <si>
    <t>Архангельская обл.</t>
  </si>
  <si>
    <t>1. Неверно определена дата направления претензии по качеству</t>
  </si>
  <si>
    <t>Пункт 1.1. Матрицы. Противоречение</t>
  </si>
  <si>
    <t>1. ФО пишет, что претензию не получала, данный довод не проанализирован</t>
  </si>
  <si>
    <t>порядок возмещения экспертизы устанавливается правилами КАСКО. Приведенный шаблон для ОСАГО</t>
  </si>
  <si>
    <t>Пункты 5.1., 8.1., 8.2., 8.3.(БР), 10. Матрицы + выплата СВ была осуществлена АО СК «Подмосковье» в размере лимита по европротоколу</t>
  </si>
  <si>
    <t>Выдали повторное ННР, но от подписи отказался, т.к. нет даты в ННР и надлежащим образом не зафиксировали отказ от подписи, ушли в НТЭ</t>
  </si>
  <si>
    <t>Пункты 4.4., 8.1., 8.3. Матрицы + дефектовка</t>
  </si>
  <si>
    <t>1. ФС отказана как производная, хотя нужно анализировать сроки; 2. Юр услуги нужнго отказывать по нормативке; 3. Прописано, что виновник застрахован, хотя по факту нет</t>
  </si>
  <si>
    <t>Нижегородская обл</t>
  </si>
  <si>
    <t>Нижегородская обл.</t>
  </si>
  <si>
    <t>страхового возмещения в связи с причинением вреда здоровью по договору обязательного страхования гражданской ответственности владельцев транспортных средств (далее – Договор ОСАГО)</t>
  </si>
  <si>
    <t>Пункты 3.2., 3.3., 5.1. Матрицы</t>
  </si>
  <si>
    <t>1. Не рассмотрены расходы на лечение</t>
  </si>
  <si>
    <t>страхового возмещения по ОСАГО в части утраты товарной стоимости (далее – УТС)</t>
  </si>
  <si>
    <t>Пункты 1.8., 2.1., 7.1.(БР), 8.1. Матрицы</t>
  </si>
  <si>
    <t>Пункты 1.3., 5.4., 5.5., 8.1., 8.2., 8.3. Матрицы</t>
  </si>
  <si>
    <t>Виновник не застрахованПункты 5.1., 5.4., 8.1., 8.2. Матрицы + плата за рассмотрение дела ФУ</t>
  </si>
  <si>
    <t>«РЕСОГарантия» Прошу перепроверить все решение С Уважением</t>
  </si>
  <si>
    <t>Пункт 5.2. Матрицы. Фо пишет, что подала иск в суд о снижении неустойки, но рассматриваем</t>
  </si>
  <si>
    <t>1. Неверно расчитан период начисления неустойки и ФС (21 день с учетом ковидных дней); 2. Ошибка в дате НТЭ Заявителя; 3. При отложенной неустойке не учтена ФС; 4. ПОВТОРНЫЙ ВОЗВРАТ: не учтена 193 ст ГК РФ, неверно определен 21й день</t>
  </si>
  <si>
    <t>Прошу перечислить повреждения тс, которые соответствуют дтп</t>
  </si>
  <si>
    <t>Пункты 2.1., 5.1., 7.1., 8.1. Матрицы</t>
  </si>
  <si>
    <t>1. Нужно рассматривать, а не прекращать</t>
  </si>
  <si>
    <t>1. Не европротокол; 2. Лишний абзац (переходный к мотивировочной части)</t>
  </si>
  <si>
    <t>1. Не то отчество виновника; 2. Неверное наименование НТЭ ФУ; 3. Нет анализа 10%; 4. Не устен лимит европротокола при отложенной неустойке; 5. Запятая в резолютивке</t>
  </si>
  <si>
    <t>неустойки за нарушение сроков выплаты страхового возмещения по договору КАСКО</t>
  </si>
  <si>
    <t>Пункты 1.4., 5.5., 8.1. Матрицы. Некорректно оформленные документы от ГИБДД. ФО говорит, что в Определении нет сведений о дате события</t>
  </si>
  <si>
    <t>Свердловская обл</t>
  </si>
  <si>
    <t>Свердловская обл.</t>
  </si>
  <si>
    <t>Пункт 6.1. Матрицы. Поденная неустойка. Исполнено после решения суда по истечении 3х лет с момент аобращения в ФО</t>
  </si>
  <si>
    <t>1. Не прописано про НДФЛ; 2. Не прописано частичное удовлетворение; 3. Не прописана норма о приостановке сроков исковой давности на преиод рассмотрения дела</t>
  </si>
  <si>
    <t>У-20-91225</t>
  </si>
  <si>
    <t>У-20-95219</t>
  </si>
  <si>
    <t>У-20-102474</t>
  </si>
  <si>
    <t>У-20-102831</t>
  </si>
  <si>
    <t>У-20-102984</t>
  </si>
  <si>
    <t>У-20-103005</t>
  </si>
  <si>
    <t>У-20-103025</t>
  </si>
  <si>
    <t>У-20-103188</t>
  </si>
  <si>
    <t>У-20-103235</t>
  </si>
  <si>
    <t>У-20-103252</t>
  </si>
  <si>
    <t>У-20-103339</t>
  </si>
  <si>
    <t>У-20-103393</t>
  </si>
  <si>
    <t>У-20-103473</t>
  </si>
  <si>
    <t>У-20-103474</t>
  </si>
  <si>
    <t>У-20-103533</t>
  </si>
  <si>
    <t>У-20-103537</t>
  </si>
  <si>
    <t>У-20-103564</t>
  </si>
  <si>
    <t>У-20-103619</t>
  </si>
  <si>
    <t>У-20-103718</t>
  </si>
  <si>
    <t>У-20-103770</t>
  </si>
  <si>
    <t>У-20-103827</t>
  </si>
  <si>
    <t>У-20-103889</t>
  </si>
  <si>
    <t>У-20-103927</t>
  </si>
  <si>
    <t>У-20-103976</t>
  </si>
  <si>
    <t>У-20-104082</t>
  </si>
  <si>
    <t>У-20-104253</t>
  </si>
  <si>
    <t>У-20-104307</t>
  </si>
  <si>
    <t>У-20-104421</t>
  </si>
  <si>
    <t>У-20-104599</t>
  </si>
  <si>
    <t>У-20-104726</t>
  </si>
  <si>
    <t>У-20-104765</t>
  </si>
  <si>
    <t>У-20-104814</t>
  </si>
  <si>
    <t>У-20-104859</t>
  </si>
  <si>
    <t>У-20-104986</t>
  </si>
  <si>
    <t>У-20-104987</t>
  </si>
  <si>
    <t>У-20-105093</t>
  </si>
  <si>
    <t>У-20-105226</t>
  </si>
  <si>
    <t>У-20-105241</t>
  </si>
  <si>
    <t>У-20-105250</t>
  </si>
  <si>
    <t>У-20-105539</t>
  </si>
  <si>
    <t>У-20-105707</t>
  </si>
  <si>
    <t>У-20-106001</t>
  </si>
  <si>
    <t>У-20-106024</t>
  </si>
  <si>
    <t>У-20-106070</t>
  </si>
  <si>
    <t>У-20-106258</t>
  </si>
  <si>
    <t>У-20-106307</t>
  </si>
  <si>
    <t>У-20-106368</t>
  </si>
  <si>
    <t>У-20-106398</t>
  </si>
  <si>
    <t>У-20-106517</t>
  </si>
  <si>
    <t>У-20-109966</t>
  </si>
  <si>
    <t>У-20-110550</t>
  </si>
  <si>
    <t>У-20-110551</t>
  </si>
  <si>
    <t>У-20-111091</t>
  </si>
  <si>
    <t>У-20-111368</t>
  </si>
  <si>
    <t>У-20-111426</t>
  </si>
  <si>
    <t>У-20-111441</t>
  </si>
  <si>
    <t>У-20-111915</t>
  </si>
  <si>
    <t>У-20-112201</t>
  </si>
  <si>
    <t>У-20-112862</t>
  </si>
  <si>
    <t>У-20-113174</t>
  </si>
  <si>
    <t>У-20-113194</t>
  </si>
  <si>
    <t>У-20-113431</t>
  </si>
  <si>
    <t>У-20-113450</t>
  </si>
  <si>
    <t>У-20-113510</t>
  </si>
  <si>
    <t>У-20-114073</t>
  </si>
  <si>
    <t>Галинин Павел Евгеньевич</t>
  </si>
  <si>
    <t>Акаев Данила Бахаевич</t>
  </si>
  <si>
    <t>Молчан Татьяна Сергеевна</t>
  </si>
  <si>
    <t>Чуев Александр Васильевич</t>
  </si>
  <si>
    <t>Бурдыкин Николай Николаевич</t>
  </si>
  <si>
    <t>Магомедов Хабиб Магомедрасулович</t>
  </si>
  <si>
    <t>Хвостова Наталья Яковлевна</t>
  </si>
  <si>
    <t>Киселев Александр Владимирович</t>
  </si>
  <si>
    <t>Трегубов Павел Васильевич</t>
  </si>
  <si>
    <t>Джабборов Улугбек Рустамович</t>
  </si>
  <si>
    <t>Железнов Евгений Андреевич</t>
  </si>
  <si>
    <t>Кривец Александр Степанович</t>
  </si>
  <si>
    <t>Баталов Алхас Сайгидулбаталович</t>
  </si>
  <si>
    <t>Нигай Ксения Геннадьевна</t>
  </si>
  <si>
    <t>Хутаба Рустам Валериевич</t>
  </si>
  <si>
    <t>Дитятина Лолита Александровна</t>
  </si>
  <si>
    <t>Харзу Михаил Андреевич</t>
  </si>
  <si>
    <t>Битиев Яков Бегларович</t>
  </si>
  <si>
    <t>Чуева Виктория Евгеньевна</t>
  </si>
  <si>
    <t>Гаврилова Ольга Владимировна</t>
  </si>
  <si>
    <t>Преснецов Никита Евгеньевич</t>
  </si>
  <si>
    <t>Родионов Иван Васильевич</t>
  </si>
  <si>
    <t>Будаев Бэлигто Хэшэгтуевич</t>
  </si>
  <si>
    <t>Ярымджанян Григорий Миерович</t>
  </si>
  <si>
    <t>Мамедов Вагиф Ханага Оглы</t>
  </si>
  <si>
    <t>Пухов Николай Владимирович</t>
  </si>
  <si>
    <t>Карамышев Илья Геннадьевич</t>
  </si>
  <si>
    <t>Петракова Оксана Ивановна</t>
  </si>
  <si>
    <t>Гарифуллин Газинур Галимуллович</t>
  </si>
  <si>
    <t>Донская Радислава Дмитриевна</t>
  </si>
  <si>
    <t>Машкин Игорь Вячеславович</t>
  </si>
  <si>
    <t>Сотирова Тамара Игнатьевна</t>
  </si>
  <si>
    <t>Епихин Александр Юрьевич</t>
  </si>
  <si>
    <t>Мартыненко Сергей Владимирович</t>
  </si>
  <si>
    <t>Енокян Сурен Оганесович</t>
  </si>
  <si>
    <t>Хлебопашенко Сергей Юрьевич</t>
  </si>
  <si>
    <t>Фельк Ярослав Викторович</t>
  </si>
  <si>
    <t>Павленко Юлия Андреевна</t>
  </si>
  <si>
    <t>Даньшин Дмитрий Андреевич</t>
  </si>
  <si>
    <t>Панарин Николай Георгиевич</t>
  </si>
  <si>
    <t>Ложкин Роман Вячеславович</t>
  </si>
  <si>
    <t>Лаврова Ирина Ильгизаровна</t>
  </si>
  <si>
    <t>Зотова Олеся Романовна</t>
  </si>
  <si>
    <t>Геженко Михаил Сергеевич</t>
  </si>
  <si>
    <t>Семенцов Юрий Олегович</t>
  </si>
  <si>
    <t>Салихов Тимур Серинбаевич</t>
  </si>
  <si>
    <t>Давыдов Олег Олегович</t>
  </si>
  <si>
    <t>Кортиашвили Георгий Давидович</t>
  </si>
  <si>
    <t>Трошкин Андрей Олегович</t>
  </si>
  <si>
    <t>Магомедов Изамутдин Тагирович</t>
  </si>
  <si>
    <t>Хабибуллин Зинур Рафитович</t>
  </si>
  <si>
    <t>Строева Алия Минигалимовна</t>
  </si>
  <si>
    <t>Захарянц Зураб Акопович</t>
  </si>
  <si>
    <t>Бояринцев Константин Витальевич</t>
  </si>
  <si>
    <t>Фирсова Ирина Алексеевна</t>
  </si>
  <si>
    <t>Зарифуллина Фания Сабировна</t>
  </si>
  <si>
    <t>Годомич Валентина Александровна</t>
  </si>
  <si>
    <t>Шитикова Кристина Сергеевна</t>
  </si>
  <si>
    <t>Федорцов Денис Александрович</t>
  </si>
  <si>
    <t>Ибрагимов Сархан Ариф Оглы</t>
  </si>
  <si>
    <t>Витвицкая Лидия Николаевна</t>
  </si>
  <si>
    <t>Васенёв Владимир Витальевич</t>
  </si>
  <si>
    <t>1. Неверно определена сумма неустойки (ошибка в умножении)</t>
  </si>
  <si>
    <t xml:space="preserve"> кт </t>
  </si>
  <si>
    <t>Пункты 1.2., 5.1.(БР), 7.1.(БР) Матрицы</t>
  </si>
  <si>
    <t>1. Не рассмотрена неустойка; 2. УТС не оставлено БР</t>
  </si>
  <si>
    <t xml:space="preserve">б-р </t>
  </si>
  <si>
    <t>Тюменская обл</t>
  </si>
  <si>
    <t>Тюменская обл.</t>
  </si>
  <si>
    <t>АО «Страховая Компания  «ПОЛИС-ГАРАНТ»</t>
  </si>
  <si>
    <t>7736203789</t>
  </si>
  <si>
    <t>17.08 - 21.08</t>
  </si>
  <si>
    <t>24.08 - 28.08</t>
  </si>
  <si>
    <t>расходов на оплату телеграфных услуг</t>
  </si>
  <si>
    <t>1. Нет мотивировки по юр услугам</t>
  </si>
  <si>
    <t>неустойки в связи с нарушением срока выплаты страхового возмещения</t>
  </si>
  <si>
    <t>Респ Коми</t>
  </si>
  <si>
    <t>выплатило Заявителю</t>
  </si>
  <si>
    <t xml:space="preserve">выплатило Заявителю </t>
  </si>
  <si>
    <t xml:space="preserve">с учетом износа составил </t>
  </si>
  <si>
    <t>расходов на оплату услуг по диагностике</t>
  </si>
  <si>
    <t>страховой выплаты в связи с заменой формы страхового возмещения с натуральной (восстановительный ремонт поврежденного транспортного средства) на выдачу суммы страховой выплаты по договору обязательного страхования гражданской ответственности владельцев транспортных средств (далее – ОСАГО)</t>
  </si>
  <si>
    <t>В обоснование заявленных требований Заявитель предоставил</t>
  </si>
  <si>
    <t xml:space="preserve">заключение </t>
  </si>
  <si>
    <t>Пункты 4.1., 8.1. Матрицы + диагностика</t>
  </si>
  <si>
    <t>неустойки в связи с нарушением срока выплаты расходов на оплату услуг аварийного комиссара</t>
  </si>
  <si>
    <t>выплате неустойки в связи с нарушением срока выплаты страхового возмещения и расходов на оплату услуг аварийного комиссара</t>
  </si>
  <si>
    <t>Неустойка на Ущерб и Аваркома</t>
  </si>
  <si>
    <t>Респ Северная Осетия - Алания</t>
  </si>
  <si>
    <t>Определение суда</t>
  </si>
  <si>
    <t>Нерабочие дни (для определения суда)</t>
  </si>
  <si>
    <t>Пункты 1.2., 5.1., 8.2., 8.3.(БР) Матрицы</t>
  </si>
  <si>
    <t>1. Почта не БР в резолютичной части; 2. Опечатка в адресе Заявтеля 20 летия Октяб#я; 3. Производные включают расходы на НТЭ, хотя не заявлялась</t>
  </si>
  <si>
    <t>1. Ошибка в номере паспорта; 2. Ошибка в номере ТС Заявителя; 3. Не прописано расстояние от МЖ Заявителя до адреса СТОА</t>
  </si>
  <si>
    <t xml:space="preserve">шоссе </t>
  </si>
  <si>
    <t>1. Ошибка в ФО Заявителя; 2. Ошибочно прописана выплата неустойки</t>
  </si>
  <si>
    <t xml:space="preserve">с учетом износа составляет </t>
  </si>
  <si>
    <t xml:space="preserve">рыночная стоимость Транспортного средства составляет </t>
  </si>
  <si>
    <t xml:space="preserve">величина годных остатков составляет </t>
  </si>
  <si>
    <t>Пункты 2.1., 5.1., 8.1., 8.6.(БР), Матрицы</t>
  </si>
  <si>
    <t>утраты товарной стоимости (далее – УТС) транспортного средства</t>
  </si>
  <si>
    <t>Пункты 2.1., 5.1., 8.1., 8.2., 8.6. Матрицы</t>
  </si>
  <si>
    <t>1. Ошибка в номере полиса ОСАГО; 2. Не начислена неустойка на эвакуатор; 3. ошибка в расчетах суммы неустйоки</t>
  </si>
  <si>
    <t>ЗАЯВЛЕНИЕ В ФО (дата)</t>
  </si>
  <si>
    <t>1. Не дана оценка доводам ФО о запросе реквизитов; 2. Неверная дата обращения в ФО, поплыл срок неустойки</t>
  </si>
  <si>
    <t>Пункты 4.1., 5.1., 8.2., 8.4. Матрицы</t>
  </si>
  <si>
    <t>Пункты 8.3., 8.7. Матрицы</t>
  </si>
  <si>
    <t>1. Неверный расчет по хранению; 2. Не учтена выплата 1000</t>
  </si>
  <si>
    <t>Пункт 5.1. Матрицы. Неустойка на срок ремонта</t>
  </si>
  <si>
    <t>1. Неверный адрес МЖ; 2. Не дана оценка доводам Заявителя о датах передачи ТС на ремонт и даты окончания ремонта; 3. Нет мотивировки по срокам ремонта</t>
  </si>
  <si>
    <t>1. Не можем выносить решение без платежки по решению суда, когда была выплата неустойки на сумму, взысканную по решению суда</t>
  </si>
  <si>
    <t>Пункты 4.1., 8.1., 8.3., 8.5. Матрицы</t>
  </si>
  <si>
    <t>Пункты 3.1., 5.1.(БР), 9. Матрицы</t>
  </si>
  <si>
    <t>1. Неверная дата направления претензии; 2. Не проанализирован адрес направления претензии</t>
  </si>
  <si>
    <t>1. Не учтен европротокол; 2. Перепуталн полис, который расторгался; 3. Не проанализирован факт направления уведомления о возврата страховой премии; 4. Иное обоснвоание для отказа в выплате СВ; 5. Неверный падеж у НТЭ ФУ; 6. Неверный расчет сроков 21го дня</t>
  </si>
  <si>
    <t>1. Не рассмотрено требование о взыскании расходов на экспертизу</t>
  </si>
  <si>
    <t>Пункты 1.8., 2.1., 5.1., 8.1. Матрицы</t>
  </si>
  <si>
    <t>1. Нет платежки по НДФЛ; 2. Неверная мотивировка по НТЭ (признали, после 01.06.2019)</t>
  </si>
  <si>
    <t>1. Не рассмотрены доп расходы и утраченный заработок. 2. Повторный возврат: неверный расчет общей суммы страхового возмещения</t>
  </si>
  <si>
    <t>Требование об организации ремонта по КАСКО. ФО отказала на том основании, что полученные повреждения указаны в предстраховом акте осмотра. Однако данная позиция не подтвердилась в рамках проведенной НТЭ по инициативе ФУ.</t>
  </si>
  <si>
    <t>не согласна с неучетом смс запроса доп документа. Телефон был указан в заявлении, этого достаточно</t>
  </si>
  <si>
    <t>Пункты 5.1., 7.1.(БР), 8.1. Матрицы</t>
  </si>
  <si>
    <t>неустойки за несоблюдение срока выплаты по оплате услуг аварийного комиссара по договору ОСАГО</t>
  </si>
  <si>
    <t>У-20-95908</t>
  </si>
  <si>
    <t>У-20-101801</t>
  </si>
  <si>
    <t>У-20-106210</t>
  </si>
  <si>
    <t>У-20-106222</t>
  </si>
  <si>
    <t>У-20-106246</t>
  </si>
  <si>
    <t>У-20-106438</t>
  </si>
  <si>
    <t>У-20-106651</t>
  </si>
  <si>
    <t>У-20-106731</t>
  </si>
  <si>
    <t>У-20-106805</t>
  </si>
  <si>
    <t>У-20-106898</t>
  </si>
  <si>
    <t>У-20-107090</t>
  </si>
  <si>
    <t>У-20-107329</t>
  </si>
  <si>
    <t>У-20-107336</t>
  </si>
  <si>
    <t>У-20-107482</t>
  </si>
  <si>
    <t>У-20-107536</t>
  </si>
  <si>
    <t>У-20-107667</t>
  </si>
  <si>
    <t>У-20-108037</t>
  </si>
  <si>
    <t>У-20-108067</t>
  </si>
  <si>
    <t>У-20-108110</t>
  </si>
  <si>
    <t>У-20-108502</t>
  </si>
  <si>
    <t>У-20-108839</t>
  </si>
  <si>
    <t>У-20-108958</t>
  </si>
  <si>
    <t>У-20-108991</t>
  </si>
  <si>
    <t>У-20-108998</t>
  </si>
  <si>
    <t>У-20-109183</t>
  </si>
  <si>
    <t>У-20-109491</t>
  </si>
  <si>
    <t>У-20-109598</t>
  </si>
  <si>
    <t>У-20-109691</t>
  </si>
  <si>
    <t>У-20-109760</t>
  </si>
  <si>
    <t>У-20-109805</t>
  </si>
  <si>
    <t>У-20-109885</t>
  </si>
  <si>
    <t>У-20-109900</t>
  </si>
  <si>
    <t>У-20-110018</t>
  </si>
  <si>
    <t>У-20-110206</t>
  </si>
  <si>
    <t>У-20-113938</t>
  </si>
  <si>
    <t>У-20-114415</t>
  </si>
  <si>
    <t>У-20-115036</t>
  </si>
  <si>
    <t>У-20-115252</t>
  </si>
  <si>
    <t>У-20-115261</t>
  </si>
  <si>
    <t>У-20-115341</t>
  </si>
  <si>
    <t>У-20-115357</t>
  </si>
  <si>
    <t>У-20-115380</t>
  </si>
  <si>
    <t>У-20-115521</t>
  </si>
  <si>
    <t>У-20-115636</t>
  </si>
  <si>
    <t>У-20-115789</t>
  </si>
  <si>
    <t>У-20-115968</t>
  </si>
  <si>
    <t>У-20-116258</t>
  </si>
  <si>
    <t>У-20-116387</t>
  </si>
  <si>
    <t>У-20-116395</t>
  </si>
  <si>
    <t>У-20-116636</t>
  </si>
  <si>
    <t>У-20-116764</t>
  </si>
  <si>
    <t>У-20-116833</t>
  </si>
  <si>
    <t>У-20-117668</t>
  </si>
  <si>
    <t>У-20-117705</t>
  </si>
  <si>
    <t>ООО "Липецкая правовая компания"</t>
  </si>
  <si>
    <t>Чаткин Евгений Сергеевич</t>
  </si>
  <si>
    <t>Животиков Антон Романович</t>
  </si>
  <si>
    <t>Амирчупанов Ахмед Амирчупанович</t>
  </si>
  <si>
    <t>Старыгина Ирина Андреевна</t>
  </si>
  <si>
    <t>Ефимова Татьяна Ивановна</t>
  </si>
  <si>
    <t>Цыганков Антон Михайлович</t>
  </si>
  <si>
    <t>Мусаэлян Ирина Гургеновна</t>
  </si>
  <si>
    <t>Ивантеев Дмитрий Михайлович</t>
  </si>
  <si>
    <t>Лысов Александр Алексеевич</t>
  </si>
  <si>
    <t>Коновалов Артем Андреевич</t>
  </si>
  <si>
    <t>Картоев Исмаил Асхабович</t>
  </si>
  <si>
    <t>Шинкарев Максим Сергеевич</t>
  </si>
  <si>
    <t>Нигматзянов Алмаз Фаилевич</t>
  </si>
  <si>
    <t>Стасенко Владислав Владимирович</t>
  </si>
  <si>
    <t>Ненашев Сергей Викторович</t>
  </si>
  <si>
    <t>Глазкова Елена Юрьевна</t>
  </si>
  <si>
    <t>Габуев Вадим Ахсарбекович</t>
  </si>
  <si>
    <t>Боцманов Андрей Александрович</t>
  </si>
  <si>
    <t>Колесова Марина Петровна</t>
  </si>
  <si>
    <t>Самохин Евгений Витальевич</t>
  </si>
  <si>
    <t>Джомартова Ирина Алексеевна</t>
  </si>
  <si>
    <t>Пахтанов Павел Евгеньевич</t>
  </si>
  <si>
    <t>Ильин Алексей Сергеевич</t>
  </si>
  <si>
    <t>Кочитова Наталья Анатольевна</t>
  </si>
  <si>
    <t>Ужахова Мовлатхан Гирихановна</t>
  </si>
  <si>
    <t>Фельдман Александр Эрнестович</t>
  </si>
  <si>
    <t>Дьяконов Иван Дмитриевич</t>
  </si>
  <si>
    <t>Минасян Хачатур Рудикович</t>
  </si>
  <si>
    <t>Гасимов Фарит Халитович</t>
  </si>
  <si>
    <t>Карпинская Валерия Николаевна</t>
  </si>
  <si>
    <t>Даллакян Мгер Гурамиевич</t>
  </si>
  <si>
    <t>Кабалова Тамара Газизовна</t>
  </si>
  <si>
    <t>Полищук Андрей Леонидович</t>
  </si>
  <si>
    <t>Сенченко Геннадий Николаевич</t>
  </si>
  <si>
    <t>Михайловский Игорь Анатольевич</t>
  </si>
  <si>
    <t>Бикетов Александр Ефимович</t>
  </si>
  <si>
    <t>Шавдей Семен Иванович</t>
  </si>
  <si>
    <t>Магомедова Лейла Абдуловна</t>
  </si>
  <si>
    <t>Шустиков Андрей Владимирович</t>
  </si>
  <si>
    <t>Гетман Игорь Александрович</t>
  </si>
  <si>
    <t>Шералиев Равшан Нематжонович</t>
  </si>
  <si>
    <t>Старнышевская Нина Петровна</t>
  </si>
  <si>
    <t>Ращупкин Вячеслав Гаврилович</t>
  </si>
  <si>
    <t>Вечирко Андрей Владимирович</t>
  </si>
  <si>
    <t>Николян Карине Робертовна</t>
  </si>
  <si>
    <t>Кусаева Кристина Аслановна</t>
  </si>
  <si>
    <t>Павлов Павел Алексеевич</t>
  </si>
  <si>
    <t>Кубов Мурат Измаилович</t>
  </si>
  <si>
    <t>Мегрикян Арам Артурович</t>
  </si>
  <si>
    <t>Иванов Сергей Евгеньевич</t>
  </si>
  <si>
    <t>Саргсян Арпине Самвеловна</t>
  </si>
  <si>
    <t>Пункты 2.1., 8.1., 8.6.(БР) Матрицы</t>
  </si>
  <si>
    <t>Пункты 2.1., 5.5., 8.1., 8.2., 8.3.(БР) Матрицы + плата за рассмотрение обращения</t>
  </si>
  <si>
    <t>Пункты 5.1., 5.4. Матрицы</t>
  </si>
  <si>
    <t>Пункты 2.1., 5.1., 5.4., 5.5., 8.1. Матрицы</t>
  </si>
  <si>
    <t>Пункты 1.2., 8.1. Матрицы + диагностика</t>
  </si>
  <si>
    <t>Пункты 2.1., 5.1., 8.1. Матрицы + дефектовка</t>
  </si>
  <si>
    <t>Пункты 1.2. Матрицы</t>
  </si>
  <si>
    <t>неустойки в связи с нарушением срока выплаты утраты товарной стоимости (далее – УТС) транспортного средства по договору обязательного страхования гражданской ответственности владельцев транспортных средств (далее – ОСАГО)</t>
  </si>
  <si>
    <t>Пункт 5.2. (на 7.1.) Матрицы</t>
  </si>
  <si>
    <t>Пункт 5.2. Матрицы. Ошибка в расчетах ФО, видно из ответа (с 14.02.2019 г. по 18.02.2019 г. (4 дн.)) и (с 14.02.2019 г. по 09.10.2019 г. (237 дн.))</t>
  </si>
  <si>
    <t>31.08 - 04.09</t>
  </si>
  <si>
    <t>Пункты 3.2., 3.3. Матрицы. Сложный расчет страхового по здоровью</t>
  </si>
  <si>
    <t>1. Не прописано возбуждение уголовного дела</t>
  </si>
  <si>
    <t>прошу указать сумму ремонта,с износом, без износа?</t>
  </si>
  <si>
    <t>НЕ ОБОСНОВАННЫЙ ВОЗВРАТ
в проекте содержатся взаимоисключающие тезисы:
Сведения о наличии вины в ДТП водителя транспортного средства ГАЗ 31105, государственный регистрационный номер А063НО93, Гайченцева С.И. материалы Обращения не содержат.
Предоставленные в материалы дела документы компетентных органов, а именно, Постановление от 26.01.2020, Определение от 26.01.2020, не позволяют сделать однозначный вывод о степени вины водителей Павленко А.Г и Мельника Е.Н. в связи с причинением вреда Транспортному средству.
прошу дополнительно рассмотреть</t>
  </si>
  <si>
    <t>Пункты 5.1., 8.1., 8.2., 8.5. Матрицы</t>
  </si>
  <si>
    <t>1. Мотивировка по НТЭ - отказ после 01.06.2019</t>
  </si>
  <si>
    <t>НЕД 31</t>
  </si>
  <si>
    <t>НЕД 32</t>
  </si>
  <si>
    <t>НЕД 35</t>
  </si>
  <si>
    <t>НЕД 36</t>
  </si>
  <si>
    <t>НЕД 34</t>
  </si>
  <si>
    <t>НЕД 33</t>
  </si>
  <si>
    <t>НЕД 15</t>
  </si>
  <si>
    <t>КАСКО. Не представлены фотоматериалы предстрахового осмотра (СВ - без рассмотрения) + отказ во взыскании неустойки на основании п. 21 ст. 12 ОСАГО</t>
  </si>
  <si>
    <t>Пункты 1.8., 5.1. Матрицы</t>
  </si>
  <si>
    <t>1. Проводить НТЭ не нужно, т.к. сумма ущерба не оспаривается, просит вторую половину</t>
  </si>
  <si>
    <t>Преюдиция + пункты 1.8., 8.1., 8.6. Матрицы + диагностика</t>
  </si>
  <si>
    <t>109544, г. Москва, б-р Энтузиастов, д. 2</t>
  </si>
  <si>
    <t>Пункт 3.3. Матрицы</t>
  </si>
  <si>
    <t>Пункты 1.8., 3.2., 3.3., 5.5. Матрицы</t>
  </si>
  <si>
    <t>1. Не рассмотрена неустойка; 2. Лишняя мотивировка про 3х лиц; 3. Другое требование в претензии</t>
  </si>
  <si>
    <t>Пункт 1.1. Матрицы. Три договора цессии, первый расторгнут, два других нет</t>
  </si>
  <si>
    <t>1. Неверная мотивировка и основание для прекращения: досудебный порядок соблюден, т.к. обращался один из цессионариев; 2. Указаны неверные обстоятельства - другое содержание ответов от ФО</t>
  </si>
  <si>
    <t>Пункты 3.1., 5.5. Матрицы. Была выплата по полису, заключенному до 01.05.2019, в Обращении заявлены требования по полису, заключенному после 01.05.2019</t>
  </si>
  <si>
    <t>Пункты 4.1., 8.1.(БР) Матрицы</t>
  </si>
  <si>
    <t>1. Смена собственника на стороне виновника не оснвоание для отказа</t>
  </si>
  <si>
    <t>1. Нет оснований для прекращений, т.к. обращался за утраченным заработком 2 раза. ПОВТОРНЫЙ ВОЗВРАТ 1. Неверная сумма утраченного заработка, по НТЭ другая; 2. Неверная мотивировка (нормативы вместо пунктов 2-4 ст.12). ВОЗВРАТ В ТРЕТИЙ РАЗ. 1. Неверная сумма утраченного заработка</t>
  </si>
  <si>
    <t>Пункт 1.1., 8.6.(БР) Матрицы. Договор цессии заключен в отношении иного полиса страхования.</t>
  </si>
  <si>
    <t>Пункт 1.8. Матрицы. Сам виновник</t>
  </si>
  <si>
    <t>1. Досудебный порядок по эвакуации, диагностики, НТЭ; 2. Взыскание диагностики, хотя нужно отказывать (если ДС соблюден); 3. Неверно проанализирован запрос документов, есть запрос в срок СМС уведомлением. ПОВТОРНЫЙ ВОЗВРАТ 1. Рассматриваем только страховое, все остальное БР</t>
  </si>
  <si>
    <t>1. Не прописано решение суда</t>
  </si>
  <si>
    <t>Пункты 4.1., 5.1., 8.2. Матрицы</t>
  </si>
  <si>
    <t>У-20-103337</t>
  </si>
  <si>
    <t>У-20-104898</t>
  </si>
  <si>
    <t>У-20-109971</t>
  </si>
  <si>
    <t>У-20-109975</t>
  </si>
  <si>
    <t>У-20-110416</t>
  </si>
  <si>
    <t>У-20-110585</t>
  </si>
  <si>
    <t>У-20-110586</t>
  </si>
  <si>
    <t>У-20-110663</t>
  </si>
  <si>
    <t>У-20-110934</t>
  </si>
  <si>
    <t>У-20-110985</t>
  </si>
  <si>
    <t>У-20-111320</t>
  </si>
  <si>
    <t>У-20-111373</t>
  </si>
  <si>
    <t>У-20-111428</t>
  </si>
  <si>
    <t>У-20-111429</t>
  </si>
  <si>
    <t>У-20-111438</t>
  </si>
  <si>
    <t>У-20-111528</t>
  </si>
  <si>
    <t>У-20-111882</t>
  </si>
  <si>
    <t>У-20-111928</t>
  </si>
  <si>
    <t>У-20-112223</t>
  </si>
  <si>
    <t>У-20-112520</t>
  </si>
  <si>
    <t>У-20-112843</t>
  </si>
  <si>
    <t>У-20-112977</t>
  </si>
  <si>
    <t>У-20-113076</t>
  </si>
  <si>
    <t>У-20-113124</t>
  </si>
  <si>
    <t>У-20-113183</t>
  </si>
  <si>
    <t>У-20-113189</t>
  </si>
  <si>
    <t>У-20-113358</t>
  </si>
  <si>
    <t>У-20-113448</t>
  </si>
  <si>
    <t>У-20-113615</t>
  </si>
  <si>
    <t>У-20-114041</t>
  </si>
  <si>
    <t>У-20-114045</t>
  </si>
  <si>
    <t>У-20-114267</t>
  </si>
  <si>
    <t>У-20-118047</t>
  </si>
  <si>
    <t>У-20-118516</t>
  </si>
  <si>
    <t>У-20-118522</t>
  </si>
  <si>
    <t>У-20-118601</t>
  </si>
  <si>
    <t>У-20-118767</t>
  </si>
  <si>
    <t>У-20-118980</t>
  </si>
  <si>
    <t>У-20-119019</t>
  </si>
  <si>
    <t>У-20-119087</t>
  </si>
  <si>
    <t>У-20-119201</t>
  </si>
  <si>
    <t>У-20-119417</t>
  </si>
  <si>
    <t>У-20-119675</t>
  </si>
  <si>
    <t>У-20-120028</t>
  </si>
  <si>
    <t>У-20-120252</t>
  </si>
  <si>
    <t>У-20-120299</t>
  </si>
  <si>
    <t>У-20-120315</t>
  </si>
  <si>
    <t>У-20-120374</t>
  </si>
  <si>
    <t>У-20-120412</t>
  </si>
  <si>
    <t>У-20-120757</t>
  </si>
  <si>
    <t>У-20-120798</t>
  </si>
  <si>
    <t>У-20-120923</t>
  </si>
  <si>
    <t>У-20-120958</t>
  </si>
  <si>
    <t>У-20-121038</t>
  </si>
  <si>
    <t>У-20-121532</t>
  </si>
  <si>
    <t>У-20-121617</t>
  </si>
  <si>
    <t>У-20-121936</t>
  </si>
  <si>
    <t>У-20-121956</t>
  </si>
  <si>
    <t>Гороховский Рустам Александрович</t>
  </si>
  <si>
    <t>Задворный Сергей Александрович</t>
  </si>
  <si>
    <t>Добрицкий Алексей Михайлович</t>
  </si>
  <si>
    <t>Мамаев Илья Викторович</t>
  </si>
  <si>
    <t>Вотинцев Денис Викторович</t>
  </si>
  <si>
    <t>Сандалова Светлана Игоревна</t>
  </si>
  <si>
    <t>Филатов Олег Валерьевич</t>
  </si>
  <si>
    <t>Пилипчак Евгений Александрович</t>
  </si>
  <si>
    <t>Муравский Александр Станиславович</t>
  </si>
  <si>
    <t>Могилевцева Надежда Дмитриевна</t>
  </si>
  <si>
    <t>Неткачев Андрей Александрович</t>
  </si>
  <si>
    <t>Хугаев Эрик Марикович</t>
  </si>
  <si>
    <t>Шибилов Лорс Исраилович</t>
  </si>
  <si>
    <t>Человеков Серафим Бокасанович</t>
  </si>
  <si>
    <t>Лесных Ольга Олеговна</t>
  </si>
  <si>
    <t>Рулькевич Ирина Геннадьевна</t>
  </si>
  <si>
    <t>Султангужин Азамат Фагимович</t>
  </si>
  <si>
    <t>Евтушенко Дмитрий Геннадьевич</t>
  </si>
  <si>
    <t>Бурмистрова Татьяна Леонидовна</t>
  </si>
  <si>
    <t>Коверник Александр Александрович</t>
  </si>
  <si>
    <t>Малюгина Ксения Владимировна</t>
  </si>
  <si>
    <t>Фриц Наталья Викторовна</t>
  </si>
  <si>
    <t>Мазитова Иралья Тагировна</t>
  </si>
  <si>
    <t>Смирнов Илья Алексеевич</t>
  </si>
  <si>
    <t>Евлоев Илез Даудович</t>
  </si>
  <si>
    <t>Сабурова Галина Михайловна</t>
  </si>
  <si>
    <t>Лобанков Сергей Александрович</t>
  </si>
  <si>
    <t>Азнаворян Артак Юрьевич</t>
  </si>
  <si>
    <t>Салтыков Алексей Владимирович</t>
  </si>
  <si>
    <t>Романова Анжелика Михайлвна</t>
  </si>
  <si>
    <t>ПРИВАЛОВА ЛЮДМИЛА Викторовна</t>
  </si>
  <si>
    <t>Самойлова Евгения Викторовна</t>
  </si>
  <si>
    <t>Максин Евгений Сергеевич</t>
  </si>
  <si>
    <t>Гончаров Юрий Юрьевич</t>
  </si>
  <si>
    <t>Родичев Олег Игоревич</t>
  </si>
  <si>
    <t>Плисов Дмитрий Михайлович</t>
  </si>
  <si>
    <t>Бабаян Арарат Сергеевич</t>
  </si>
  <si>
    <t>Вахитова Екатерина Геннадьевна</t>
  </si>
  <si>
    <t>Зеленская Дарья Евгеньевна</t>
  </si>
  <si>
    <t>Дьяченко Денис Андреевич</t>
  </si>
  <si>
    <t>Федорова Оксана Петровна</t>
  </si>
  <si>
    <t>Мещеряков Дмитрий Олегович</t>
  </si>
  <si>
    <t>Мовсесян Гарик Гагикович</t>
  </si>
  <si>
    <t>Расторгуев Эдуард Сергеевич</t>
  </si>
  <si>
    <t>Канунникова Марина Сергеевна</t>
  </si>
  <si>
    <t>Галкин Андрей Викторович</t>
  </si>
  <si>
    <t>Подшивалов Павел Вячеславович</t>
  </si>
  <si>
    <t>Семякин Олег Васильевич</t>
  </si>
  <si>
    <t>Цисинский Михаил Иосифович</t>
  </si>
  <si>
    <t xml:space="preserve">БАТ-ЭРДЭНЭ БАТСАЙХАН </t>
  </si>
  <si>
    <t>Вештемова Юлия Алексеевна</t>
  </si>
  <si>
    <t>Бархатов Владимир Викторович</t>
  </si>
  <si>
    <t>Евдокимова Александра Сергеевна</t>
  </si>
  <si>
    <t>Мхитарян Артур Гегамович</t>
  </si>
  <si>
    <t>Столяров Алексей Васильевич</t>
  </si>
  <si>
    <t>Семенов Александр Сергеевич</t>
  </si>
  <si>
    <t>Галкова Эльвира Ринатовна</t>
  </si>
  <si>
    <t>Шваков Леонид Николаевич</t>
  </si>
  <si>
    <t>Пункты 5.1., 8.1. + добровольное исполнение, иные расходы (БР)</t>
  </si>
  <si>
    <t>1. Невернавя мотивирока НТЭ (нужно после 01.06.2019)</t>
  </si>
  <si>
    <t>Респ Адыгея</t>
  </si>
  <si>
    <t>Республика Адыгея</t>
  </si>
  <si>
    <t>Пункты 4.1., 5.5., 8.1.(БР), 8.5.(БР) Матрицы</t>
  </si>
  <si>
    <t>Пункты 4.1., 5.1.(БР), 8.1.(БР) Матрицы</t>
  </si>
  <si>
    <t>1. НТЭ, неустойка БР</t>
  </si>
  <si>
    <t>КАСКО. Пункты 4.4., 5.1.(БР), 8.1., 8.2.(БР) Матрицы</t>
  </si>
  <si>
    <t>Пункты 1.1. Матрицы. Есть Решение суда</t>
  </si>
  <si>
    <t>1. Нет основания для прекращения, другой предмет иска</t>
  </si>
  <si>
    <t>Пункт 1.1. Матрицы. Невозможно однозначно идентифицировать ТС, участвовавшее в ДТП (в протоколе нет VIN, а в полисе нет гос номера).</t>
  </si>
  <si>
    <t>1. Неверно произведено вычисление (разница между НТЭ ФУ и НТЭ ФО)</t>
  </si>
  <si>
    <t>Пункты 4.1., 5.4., 5.5., 9., 10. Матрицы + неидентифицируемые убытки (БР)</t>
  </si>
  <si>
    <t>1. Убытки БР</t>
  </si>
  <si>
    <t>Пункты 2.1., 3.2., 5.5., 8.1. Матрицы</t>
  </si>
  <si>
    <t>1. Выплата неустойки по здоровью, а не по ТС</t>
  </si>
  <si>
    <t>Прошу дополнительно исследовать. Решение суда состоялось за пределами 3-х летнего срока, но вступление в силу этого решения в пределах. Прошу исследовать именно эти сроки</t>
  </si>
  <si>
    <t>Пункт 1.8. Матрицы. Требование о взыскании страхового возмещения по ТС и здоровью</t>
  </si>
  <si>
    <t>1. Нет основания для НТЭ ФУ, т.к. результаты НТЭ ФО не оспорены</t>
  </si>
  <si>
    <t>из проекта решения неясно, что же все-таки указано в правилах по поводу исправления недостатков восстановительного ремонта. В какой срок страховщик должен был отреагировать на претензию? Вывод о наличии у заявителя формы возмещения только на основании ст 15 ГК звучит неубедительно</t>
  </si>
  <si>
    <t>Пункт 1.1. Матрицы. Поденная неустойка. Нет докуменгтов, подтверждающих исполнение решения суда, в связи с чем не представляется возможным установить юыло ли исполнено решение суда в течение исковой давности или нет.
Пункт 6.1. Матрицы</t>
  </si>
  <si>
    <t>Пункты 3.2., 8.2., 8.3. Матрицы</t>
  </si>
  <si>
    <t>расходов на проведение независимой экспертизы по определению величины утраты товарной стоимости транспортного средства (далее – УТС)</t>
  </si>
  <si>
    <t>Пункт 1.1. Матрицы. Представлены два полиса ОСАГО виновника (разные марки ТС), при этом в адм документах, указан другой VIN код</t>
  </si>
  <si>
    <t>Пункт 5.1., 8.1. Матрицы + соглашение</t>
  </si>
  <si>
    <t>07.09 - 11.09</t>
  </si>
  <si>
    <t>Пункт 1.1. Матрицы. Нет соглашения о расторжении договора цессии. Пункты 1.1., 5.1., 8.1., 8.2., 8.3., 8.4. Матрицы. Право требования на СВ перешло к цессионарию на основании договора цессии.</t>
  </si>
  <si>
    <t>отказ в связи с отсутствием оснований для получения СВ</t>
  </si>
  <si>
    <t>Пункты 5.1., 8.2., 8.3.(БР), 10. Матрицы + 395 ГК РФ(БР)</t>
  </si>
  <si>
    <t>Пункты 2.1., 8.1., 8.5. Матрицы</t>
  </si>
  <si>
    <t>Пункты 2.1., 5.1., 8.1., 8.2., 8.3., 8.4., 10. Матрицы</t>
  </si>
  <si>
    <t>Пункты 1.7., 1.8. Матрицы</t>
  </si>
  <si>
    <t>Пункт 5.2. Матрицы. Неустойка по некачественному ремонту после суда</t>
  </si>
  <si>
    <t>Ильичева. Коллеги, в данном решении можно посчитать всю сумму возмещения и УТС, общий размер выплаты учесть и отказать в выплате. Спасибо</t>
  </si>
  <si>
    <t>Ильичева. При рассмотрении требования нтэ в решении необходимо указывать на основании какой нтэ были произведены доплаты и указывать суммы. В данном случае, доплата была произведена после повторной нтэ ск, а потом еще доплата была и не ясно на основании чего? Какая сумма ремонта по нтэ Заявителя?
Шиляев. Экспертиза Заявителя в материалы обращения не представлена, есть только упоминание в претензии (сумма с износом 16 900). Выплата была осуществлена на основании 3й калькуляции ФО, согласно которой сумма с износом 18 000. Ее не прописали, сейчас добавим, выложим новую версию.</t>
  </si>
  <si>
    <t>Никитина. Коллеги, прошу посмотреть это дело еще раз. В отношении заявителя исключено упоминание о нарушении ПДД. А в отношении других участников установлено нарушение ПДД?
Богатова. С учетом замечаний и вопросов ниже, проект Решения 103337 доработан, переложили версию. ДТП с участием четырех ТС, в  отношении двоих участников документы компетентных органов о нарушении ПДД и в подтверждение вины отсутствуют (уточнили в проекте), в отношении водителя Ходякова и Заявителя постановления о прекращении (подробно указали), в отношении Заявителя плюс определение об отказе в возбуждении дела об АП, измененное Решением Суда по процессуальным основаниям (исключили п. 10.1 ПДД). Решением суда степень вины участников не установлена (уточнили в проекте). Определенный ВСК размер ущерба и размер выплаты по вреду здоровью Заявителем не оспаривается, требования о возмещении в полном объеме.</t>
  </si>
  <si>
    <t>Пункты 2.1., 5.5., 7.1., 8.1., 8.2. Матрицы</t>
  </si>
  <si>
    <t>Пункты 5.1., 8.1., 8.2., 8.3.(БР) Матрицы</t>
  </si>
  <si>
    <t>У-20-114062</t>
  </si>
  <si>
    <t>Колосов Рафаил Николаевич</t>
  </si>
  <si>
    <t>Устинов Кирилл Владимирович</t>
  </si>
  <si>
    <t>1. Не прописана сумма по НТЭ Заявителя; 2. Не указан адрес ДТП</t>
  </si>
  <si>
    <t>1. Нет анализа неустойки на эвакуатор</t>
  </si>
  <si>
    <t>Пункт 1.1. Матрицы. Нечитаемые документы</t>
  </si>
  <si>
    <t>Пункты 2.1., 5.5., 8.1. Матрицы. Заявлены требования о взыскании неустойки только на СВ, неустойку на эвакуатор не просит (сведений о дате обращения за расходами на эвакуацию в материалах обращения не имеется)</t>
  </si>
  <si>
    <t>У-20-109984</t>
  </si>
  <si>
    <t>Кузнецов Сергей Иннокентьевич</t>
  </si>
  <si>
    <t>Пункт 1.1. Матрицы. Суд рассмотрел в том числе требование Заявителя о взыскании неустойки по день исполнения обязательства (отказал, т.к. невозможно применить 333 ГК РФ)</t>
  </si>
  <si>
    <t>Суд рассмотрел в том числе требование Заявителя о взыскании неустойки по день исполнения обязательства (отказал, т.к. невозможно применить 333 ГК РФ)</t>
  </si>
  <si>
    <t>1. Другое основание для прекращения - осмотр организован надлежащим образом, возврат документов.</t>
  </si>
  <si>
    <t>Пункты 1.7., 5.1.(БР), 8.1. Матрицы</t>
  </si>
  <si>
    <t>У-20-121566</t>
  </si>
  <si>
    <t>Кострова Екатерина Михайловна</t>
  </si>
  <si>
    <t>АСКО</t>
  </si>
  <si>
    <t>Пункты 4.4., 5.5., 8.1. Матрицы. Спор по повреждениям, с указанием конкретных деталей</t>
  </si>
  <si>
    <t>1. экспертиза не по правилам Страхования 2. Нужно подробнее расписывать про повреждения</t>
  </si>
  <si>
    <t>Пункты 5.1., 5.4., 8.2.(БР), 8.3.(БР) Матрицы</t>
  </si>
  <si>
    <t>1. Почта, Юр расходы БР; 2. Ошибка в наименовании решения</t>
  </si>
  <si>
    <t>У-20-113496</t>
  </si>
  <si>
    <t>Причинно следственная связь</t>
  </si>
  <si>
    <t xml:space="preserve">Добрый день!
Посмотрите, пожалуйста, решение..доплата была по нтэ заявителя? 
Если да,то нужно взыскивать 
Спасибо </t>
  </si>
  <si>
    <t>Пункт 1.1. Матрицы (возврат документов в связи с непредоставлением на осмотр)</t>
  </si>
  <si>
    <t>У-20-103388</t>
  </si>
  <si>
    <t>У-20-105003</t>
  </si>
  <si>
    <t>У-20-106863</t>
  </si>
  <si>
    <t>У-20-107032</t>
  </si>
  <si>
    <t>У-20-107630</t>
  </si>
  <si>
    <t>У-20-109074</t>
  </si>
  <si>
    <t>У-20-110183</t>
  </si>
  <si>
    <t>У-20-110243</t>
  </si>
  <si>
    <t>У-20-110303</t>
  </si>
  <si>
    <t>У-20-111772</t>
  </si>
  <si>
    <t>У-20-112115</t>
  </si>
  <si>
    <t>У-20-112405</t>
  </si>
  <si>
    <t>У-20-112517</t>
  </si>
  <si>
    <t>У-20-113732</t>
  </si>
  <si>
    <t>У-20-114100</t>
  </si>
  <si>
    <t>У-20-114278</t>
  </si>
  <si>
    <t>У-20-114367</t>
  </si>
  <si>
    <t>У-20-114397</t>
  </si>
  <si>
    <t>У-20-114463</t>
  </si>
  <si>
    <t>У-20-114464</t>
  </si>
  <si>
    <t>У-20-114499</t>
  </si>
  <si>
    <t>У-20-114518</t>
  </si>
  <si>
    <t>У-20-114581</t>
  </si>
  <si>
    <t>У-20-114684</t>
  </si>
  <si>
    <t>У-20-114916</t>
  </si>
  <si>
    <t>У-20-114931</t>
  </si>
  <si>
    <t>У-20-114953</t>
  </si>
  <si>
    <t>У-20-115056</t>
  </si>
  <si>
    <t>У-20-115109</t>
  </si>
  <si>
    <t>У-20-115160</t>
  </si>
  <si>
    <t>У-20-115317</t>
  </si>
  <si>
    <t>У-20-115467</t>
  </si>
  <si>
    <t>У-20-115482</t>
  </si>
  <si>
    <t>У-20-115519</t>
  </si>
  <si>
    <t>У-20-115524</t>
  </si>
  <si>
    <t>У-20-115551</t>
  </si>
  <si>
    <t>У-20-115824</t>
  </si>
  <si>
    <t>У-20-115871</t>
  </si>
  <si>
    <t>У-20-115877</t>
  </si>
  <si>
    <t>У-20-116030</t>
  </si>
  <si>
    <t>У-20-116078</t>
  </si>
  <si>
    <t>У-20-116249</t>
  </si>
  <si>
    <t>У-20-116305</t>
  </si>
  <si>
    <t>У-20-116474</t>
  </si>
  <si>
    <t>У-20-116501</t>
  </si>
  <si>
    <t>У-20-116614</t>
  </si>
  <si>
    <t>У-20-116649</t>
  </si>
  <si>
    <t>У-20-116674</t>
  </si>
  <si>
    <t>У-20-116854</t>
  </si>
  <si>
    <t>У-20-116876</t>
  </si>
  <si>
    <t>У-20-116912</t>
  </si>
  <si>
    <t>У-20-116915</t>
  </si>
  <si>
    <t>У-20-116927</t>
  </si>
  <si>
    <t>У-20-116990</t>
  </si>
  <si>
    <t>У-20-117010</t>
  </si>
  <si>
    <t>У-20-117035</t>
  </si>
  <si>
    <t>У-20-117183</t>
  </si>
  <si>
    <t>У-20-117430</t>
  </si>
  <si>
    <t>У-20-117454</t>
  </si>
  <si>
    <t>У-20-117674</t>
  </si>
  <si>
    <t>У-20-117798</t>
  </si>
  <si>
    <t>У-20-117961</t>
  </si>
  <si>
    <t>У-20-122024</t>
  </si>
  <si>
    <t>У-20-122339</t>
  </si>
  <si>
    <t>У-20-122470</t>
  </si>
  <si>
    <t>У-20-122579</t>
  </si>
  <si>
    <t>У-20-122781</t>
  </si>
  <si>
    <t>У-20-122787</t>
  </si>
  <si>
    <t>У-20-122919</t>
  </si>
  <si>
    <t>У-20-123097</t>
  </si>
  <si>
    <t>У-20-123136</t>
  </si>
  <si>
    <t>У-20-123186</t>
  </si>
  <si>
    <t>У-20-123189</t>
  </si>
  <si>
    <t>У-20-123514</t>
  </si>
  <si>
    <t>У-20-123583</t>
  </si>
  <si>
    <t>У-20-123617</t>
  </si>
  <si>
    <t>У-20-123674</t>
  </si>
  <si>
    <t>У-20-123725</t>
  </si>
  <si>
    <t>У-20-123926</t>
  </si>
  <si>
    <t>У-20-124051</t>
  </si>
  <si>
    <t>У-20-124074</t>
  </si>
  <si>
    <t>У-20-124521</t>
  </si>
  <si>
    <t>У-20-124610</t>
  </si>
  <si>
    <t>У-20-124624</t>
  </si>
  <si>
    <t>У-20-124666</t>
  </si>
  <si>
    <t>У-20-124683</t>
  </si>
  <si>
    <t>У-20-124733</t>
  </si>
  <si>
    <t>У-20-124849</t>
  </si>
  <si>
    <t>У-20-124973</t>
  </si>
  <si>
    <t>У-20-125036</t>
  </si>
  <si>
    <t>У-20-125068</t>
  </si>
  <si>
    <t>У-20-124997</t>
  </si>
  <si>
    <t>У-20-125286</t>
  </si>
  <si>
    <t>У-20-125410</t>
  </si>
  <si>
    <t>У-20-125508</t>
  </si>
  <si>
    <t>У-20-125511</t>
  </si>
  <si>
    <t>У-20-125623</t>
  </si>
  <si>
    <t>Котариди Екатерина Станиславовна</t>
  </si>
  <si>
    <t>Захваткина Екатерина Евгеньевна</t>
  </si>
  <si>
    <t>Сабанеев Александр Александрович</t>
  </si>
  <si>
    <t xml:space="preserve">Минасян Кристина </t>
  </si>
  <si>
    <t>Ахмедов Тагир Гарунович</t>
  </si>
  <si>
    <t>Сигида Виктор Александрович</t>
  </si>
  <si>
    <t>Авагимян Армине Шагеновна</t>
  </si>
  <si>
    <t>Музыченко Ольга Владимировна</t>
  </si>
  <si>
    <t>Эскерова Юлия Сергеевна</t>
  </si>
  <si>
    <t>Кузнецов Андрей Анатольевич</t>
  </si>
  <si>
    <t>Чемышев Артур Альбертович</t>
  </si>
  <si>
    <t>Гладилин Сергей Анатольевич</t>
  </si>
  <si>
    <t>Комлев Николай Анатольевич</t>
  </si>
  <si>
    <t>Бурнацев Владимир Русланович</t>
  </si>
  <si>
    <t>Загвоздкин Олег Александрович</t>
  </si>
  <si>
    <t>Акберов Эльчин Акиф Оглы</t>
  </si>
  <si>
    <t>Абакаров Хизри Курбанович</t>
  </si>
  <si>
    <t>Чеботарев Георгий Юрьевич</t>
  </si>
  <si>
    <t>Мыльников Александр Иванович</t>
  </si>
  <si>
    <t>Мишина Юлия Александровна</t>
  </si>
  <si>
    <t>Сопка Оксана Владимировна</t>
  </si>
  <si>
    <t>Николаев Николай Федорович</t>
  </si>
  <si>
    <t>Гладько Сергей Михайлович</t>
  </si>
  <si>
    <t>Галиякберов Виталий Дамирович</t>
  </si>
  <si>
    <t>Мануилов Александр Юрьевич</t>
  </si>
  <si>
    <t>Алешин Александр Михайлович</t>
  </si>
  <si>
    <t>Лафишев Артур Магометович</t>
  </si>
  <si>
    <t>Сааков Юрий Владимирович</t>
  </si>
  <si>
    <t>Алексеев Сергей Михайлович</t>
  </si>
  <si>
    <t>Сардарян Сос Юурьевич</t>
  </si>
  <si>
    <t>Литовка Виктор Алексеевич</t>
  </si>
  <si>
    <t>Макаренко Сергей Александрович</t>
  </si>
  <si>
    <t>Гвоздев Александр Анатольевич</t>
  </si>
  <si>
    <t>Заболотнея Анна Андреевна</t>
  </si>
  <si>
    <t>Попов Андрей Михайлович</t>
  </si>
  <si>
    <t>Варданян Мгер Славович</t>
  </si>
  <si>
    <t>Кузьмин Андрей Владимирович</t>
  </si>
  <si>
    <t>Корнышева Жанна Геннадьевна</t>
  </si>
  <si>
    <t>Юсупов Рамис Рамилевич</t>
  </si>
  <si>
    <t>Султанкин Алексей Евгеньевич</t>
  </si>
  <si>
    <t>Якупова Диана Олеговна</t>
  </si>
  <si>
    <t>Кравцов Сергей Владимирович</t>
  </si>
  <si>
    <t>Пономаренко Артем Витальевич</t>
  </si>
  <si>
    <t>Ашарина Татьяна Алексеевна</t>
  </si>
  <si>
    <t>Сакидзе Годердзи Викторович</t>
  </si>
  <si>
    <t>Макеева Ирина Николаевна</t>
  </si>
  <si>
    <t>Карманов Антон Константинович</t>
  </si>
  <si>
    <t>Бочкарев Александр Александрович</t>
  </si>
  <si>
    <t>Зайцев Алексей Алексеевич</t>
  </si>
  <si>
    <t>Рахматуллин Руслан Радикович</t>
  </si>
  <si>
    <t>Глушак Владимир Константинович</t>
  </si>
  <si>
    <t>Зуйко Артем Сергеевич</t>
  </si>
  <si>
    <t>Кувайцев Владимир Александрович</t>
  </si>
  <si>
    <t>Сергеев Сергей Сергеевич</t>
  </si>
  <si>
    <t>Романов Виктор Юрьевич</t>
  </si>
  <si>
    <t>Кравченко Лилия Анатольевна</t>
  </si>
  <si>
    <t>Атпанова Карина Султановна</t>
  </si>
  <si>
    <t>Шелудкова Наталья Николаевна</t>
  </si>
  <si>
    <t>Савосина Светлана Николаевна</t>
  </si>
  <si>
    <t>Тетерин Сергей Геннадьевич</t>
  </si>
  <si>
    <t>Лихачев Валерий Валерьевич</t>
  </si>
  <si>
    <t>Гаар Елена Михайловна</t>
  </si>
  <si>
    <t>Чочиев Богдан Феликсович</t>
  </si>
  <si>
    <t>Мухлатипов Евгений Эдуардович</t>
  </si>
  <si>
    <t>Александров Олег Иванович</t>
  </si>
  <si>
    <t>Скрипников Сергей Валерьевич</t>
  </si>
  <si>
    <t>Бурлуцкий Виктор Владимирович</t>
  </si>
  <si>
    <t>Волынец Александр Васильевич</t>
  </si>
  <si>
    <t>Биджиев Набий Джамбулатович</t>
  </si>
  <si>
    <t>Коваль Виктор Дмитриевич</t>
  </si>
  <si>
    <t>Чугунов Евгений Алексеевич</t>
  </si>
  <si>
    <t>Сидоров Дмитрий Владимирович</t>
  </si>
  <si>
    <t>Третьяков Александр Юрьевич</t>
  </si>
  <si>
    <t>Бурдули Вахтанг Отарович</t>
  </si>
  <si>
    <t>Рыбаков Роман Геннадьевич</t>
  </si>
  <si>
    <t>Лыков Александр Николаевич</t>
  </si>
  <si>
    <t>Уразов Ринат Раизович</t>
  </si>
  <si>
    <t>Лысов Андрей Петрович</t>
  </si>
  <si>
    <t>Ферцак Юлия Владимировна</t>
  </si>
  <si>
    <t>Серик Дарья Владимировна</t>
  </si>
  <si>
    <t>Волкова Валентина Николаевна</t>
  </si>
  <si>
    <t>Макеев Евгений Романович</t>
  </si>
  <si>
    <t>Шалеева Нина Васильевна</t>
  </si>
  <si>
    <t>Гуртова Наталья Евгеньевна</t>
  </si>
  <si>
    <t>Бутиков Александр Владимирович</t>
  </si>
  <si>
    <t>Махмутов Наиль Аскатович</t>
  </si>
  <si>
    <t>Мелкозёрова Юлия Валентиновна</t>
  </si>
  <si>
    <t>Анисимов Алексей Викторович</t>
  </si>
  <si>
    <t>Зубков Николай Васильевич</t>
  </si>
  <si>
    <t>Бутакова Ирина Олеговна</t>
  </si>
  <si>
    <t>ООО «АВАНГАРД»</t>
  </si>
  <si>
    <t>115-ФЗ</t>
  </si>
  <si>
    <t>1. Не дана оценка доводам ФО о запросе информации на основании 115-ФЗ</t>
  </si>
  <si>
    <t>Пункты 1.5., 5.5., 8.1. Матрицы</t>
  </si>
  <si>
    <t>1. Разный размер шрифта; 2. Неверный номер файла</t>
  </si>
  <si>
    <t>Пункты 2.1., 5.1., 8.1., 8.2., 8.4., 8.5. Матрицы</t>
  </si>
  <si>
    <t>Пункты 5.1., 9. Матрицы</t>
  </si>
  <si>
    <t>Пункты 5.2., 8.2., Матрицы + плата за рассмотрение обращения. Запрос информации по 115-ФЗ</t>
  </si>
  <si>
    <t>14.09 - 18.09</t>
  </si>
  <si>
    <t>У-20-120516</t>
  </si>
  <si>
    <t>Шумилов Андрей Станиславович</t>
  </si>
  <si>
    <t>Пункты 5.1.(на 8.5. и 8.6.), 8.4., 8.5., 8.6. Матрицы</t>
  </si>
  <si>
    <t>Пункт 1.1. Матрицы. Наличие судебного спора к виновнику ДТП о взыскании ущерба, по которому ФО привлечена третьим лицом. Заседание назначено на 22.09.2020</t>
  </si>
  <si>
    <t>1. Выплата по соглашению, оснований для начисления нестойки нет</t>
  </si>
  <si>
    <t>Пункты 1.5., 5.5., 8.3.(БР) Матрицы</t>
  </si>
  <si>
    <t>Пункт 2.1. Матрицы. По экспертизе ФУ стоимость годных остатков совпадает со стоимостью годных остатков, по экспертизе ФО. Повторный аукцион экспертами ФУ на проводился. Начало эксплуатации ТС</t>
  </si>
  <si>
    <t>1. Дополнить мотивировкой про начало эксплуатации</t>
  </si>
  <si>
    <t>Пункты 5.1., 8.1., 8.3., 10. Матрицы. Выплата на основании соглашения</t>
  </si>
  <si>
    <t>1. Не указан пункт соглашения про 408 ст.</t>
  </si>
  <si>
    <t>Пункты 2.1., 5.1., 8.6., 10. Матрицы</t>
  </si>
  <si>
    <t>1. Запуталась в армянских друзьях</t>
  </si>
  <si>
    <t>1. Дописать мотивировку; 2. указан другое лицо по полису ОСАГО; 2. Ошибка при расчете неустойки</t>
  </si>
  <si>
    <t>Пункты 2.1., 5.1., 5.5., 7.1., 8.1., 8.2.(БР), 8.3. Матрицы</t>
  </si>
  <si>
    <t>1. Неверный расчет неутойки</t>
  </si>
  <si>
    <t>Пункты 5.1.(на 8.5.)(БР), 8.2.(БР), 8.3., 8.5. Матрицы</t>
  </si>
  <si>
    <t>1. Другой предмет договора цессии №2</t>
  </si>
  <si>
    <t>У-20-63525</t>
  </si>
  <si>
    <t>УТС 35 рублей 44 копейки</t>
  </si>
  <si>
    <t>Барышник Татьяна Анатольевна</t>
  </si>
  <si>
    <t>Пункты 2.1., 5.1., 8.1., 9. Матрицы. Ошибаемся</t>
  </si>
  <si>
    <t>Пункт 5.1. Матрицы. Исчисление сроков по разным повреждениям отдельно (с даты предоставления соответствующих документов)</t>
  </si>
  <si>
    <t>1. Неверная дата обращения в ФО; 2. Поплыла неустойка</t>
  </si>
  <si>
    <t>Пункты 1.2., 8.1. Матрицы + плата за рассмотрения обращения (БР)</t>
  </si>
  <si>
    <t>Пункты 8.1., 8.2.(БР), 8.3. Матрицы + плата за рассмотрение обращения</t>
  </si>
  <si>
    <t>Пункт 3.1. Матрицы. Два новых полиса</t>
  </si>
  <si>
    <t>Пункт 1.1. Матрицы. Претензионный порядок</t>
  </si>
  <si>
    <t>осуществило выплату</t>
  </si>
  <si>
    <t>осуществило доплату</t>
  </si>
  <si>
    <t>выплату УТС</t>
  </si>
  <si>
    <t>возместило расходы на составление экспертных заключений</t>
  </si>
  <si>
    <t>В обоснование заявленных требований Представитель предоставил</t>
  </si>
  <si>
    <t>1. НТЭ по УТС в полном объеме</t>
  </si>
  <si>
    <t>Пункты 5.1., 8.1. Матрицы. УТС тоже по среднему, т.к. в материалы представлена одна квитанция на общую сумму расходов (стоимость ремонта и УТС = 12000), выделить стоимость экспертизы по УТС не представляется возможным.</t>
  </si>
  <si>
    <t>Пункт 1.1. Матрицы (возврат документов)</t>
  </si>
  <si>
    <t>расходов на составление экспертного заключения</t>
  </si>
  <si>
    <t>Пункт 1.1. Матрицы (нет фотоматериалов)</t>
  </si>
  <si>
    <t xml:space="preserve">г </t>
  </si>
  <si>
    <t>Пункты 2.1., 5.1., 8.1., 8.5. Матрицы</t>
  </si>
  <si>
    <t>Пункты 2.1., 7.1., 8.1., 8.2., 8.3., 9. Матрицы</t>
  </si>
  <si>
    <t>Пункты 5.2., 5.4., 9. Матрицы</t>
  </si>
  <si>
    <t>расходов по составлению копии досудебной претензии</t>
  </si>
  <si>
    <t>Копия досудебной претензии</t>
  </si>
  <si>
    <t>Пункты 1.2., 5.1., 8.1., 8.2. Матрицы + копировальные услуги</t>
  </si>
  <si>
    <t>Пункт 2.1., 8.1. (БР) Матрицы</t>
  </si>
  <si>
    <t>Пункты 1.2., 5.5., 8.1., 8.3., 10. Матрицы</t>
  </si>
  <si>
    <t>Пункт 2.1. Матрицы. Применяем 10%, т.к. согласно правилам ДСАГО методика по ОСАГО применяется</t>
  </si>
  <si>
    <t>1. Не применены 10%</t>
  </si>
  <si>
    <t>возмещении расходов на составление экспертного заключения</t>
  </si>
  <si>
    <t>Пункты 1.2., 4.1., 5.1., 8.1. Матрицы</t>
  </si>
  <si>
    <t>1. Неверная дата первоначального обращения; 2. несогласованный абзац</t>
  </si>
  <si>
    <t>Пункт 1.8. Матрицы + добровольное исполнение</t>
  </si>
  <si>
    <t>21.09 - 25.09</t>
  </si>
  <si>
    <t>У-20-115786</t>
  </si>
  <si>
    <t>У-20-116183</t>
  </si>
  <si>
    <t>У-20-117227</t>
  </si>
  <si>
    <t>У-20-117786</t>
  </si>
  <si>
    <t>У-20-118052</t>
  </si>
  <si>
    <t>У-20-118089</t>
  </si>
  <si>
    <t>У-20-118096</t>
  </si>
  <si>
    <t>У-20-118143</t>
  </si>
  <si>
    <t>У-20-118154</t>
  </si>
  <si>
    <t>У-20-118190</t>
  </si>
  <si>
    <t>У-20-118219</t>
  </si>
  <si>
    <t>У-20-118510</t>
  </si>
  <si>
    <t>У-20-118559</t>
  </si>
  <si>
    <t>У-20-118590</t>
  </si>
  <si>
    <t>У-20-118642</t>
  </si>
  <si>
    <t>У-20-118663</t>
  </si>
  <si>
    <t>У-20-118701</t>
  </si>
  <si>
    <t>У-20-118797</t>
  </si>
  <si>
    <t>У-20-118870</t>
  </si>
  <si>
    <t>У-20-118915</t>
  </si>
  <si>
    <t>У-20-118962</t>
  </si>
  <si>
    <t>У-20-119012</t>
  </si>
  <si>
    <t>У-20-119023</t>
  </si>
  <si>
    <t>У-20-119123</t>
  </si>
  <si>
    <t>У-20-119151</t>
  </si>
  <si>
    <t>У-20-119165</t>
  </si>
  <si>
    <t>У-20-119193</t>
  </si>
  <si>
    <t>У-20-119330</t>
  </si>
  <si>
    <t>У-20-119363</t>
  </si>
  <si>
    <t>У-20-119473</t>
  </si>
  <si>
    <t>У-20-119524</t>
  </si>
  <si>
    <t>У-20-119529</t>
  </si>
  <si>
    <t>У-20-119539</t>
  </si>
  <si>
    <t>У-20-119611</t>
  </si>
  <si>
    <t>У-20-119625</t>
  </si>
  <si>
    <t>У-20-119750</t>
  </si>
  <si>
    <t>У-20-119776</t>
  </si>
  <si>
    <t>У-20-119871</t>
  </si>
  <si>
    <t>У-20-120055</t>
  </si>
  <si>
    <t>У-20-120128</t>
  </si>
  <si>
    <t>У-20-120129</t>
  </si>
  <si>
    <t>У-20-120186</t>
  </si>
  <si>
    <t>У-20-120204</t>
  </si>
  <si>
    <t>У-20-120214</t>
  </si>
  <si>
    <t>У-20-120232</t>
  </si>
  <si>
    <t>У-20-120265</t>
  </si>
  <si>
    <t>У-20-120288</t>
  </si>
  <si>
    <t>У-20-120329</t>
  </si>
  <si>
    <t>У-20-120345</t>
  </si>
  <si>
    <t>У-20-120368</t>
  </si>
  <si>
    <t>У-20-120371</t>
  </si>
  <si>
    <t>У-20-120418</t>
  </si>
  <si>
    <t>У-20-120658</t>
  </si>
  <si>
    <t>У-20-120739</t>
  </si>
  <si>
    <t>У-20-120766</t>
  </si>
  <si>
    <t>У-20-120914</t>
  </si>
  <si>
    <t>У-20-120969</t>
  </si>
  <si>
    <t>У-20-121119</t>
  </si>
  <si>
    <t>У-20-121244</t>
  </si>
  <si>
    <t>У-20-121299</t>
  </si>
  <si>
    <t>У-20-121482</t>
  </si>
  <si>
    <t>У-20-121526</t>
  </si>
  <si>
    <t>У-20-121585</t>
  </si>
  <si>
    <t>У-20-121618</t>
  </si>
  <si>
    <t>У-20-121659</t>
  </si>
  <si>
    <t>У-20-121708</t>
  </si>
  <si>
    <t>У-20-121784</t>
  </si>
  <si>
    <t>У-20-125098</t>
  </si>
  <si>
    <t>У-20-125675</t>
  </si>
  <si>
    <t>У-20-125725</t>
  </si>
  <si>
    <t>У-20-125742</t>
  </si>
  <si>
    <t>У-20-125886</t>
  </si>
  <si>
    <t>У-20-126086</t>
  </si>
  <si>
    <t>У-20-126175</t>
  </si>
  <si>
    <t>У-20-126282</t>
  </si>
  <si>
    <t>У-20-126285</t>
  </si>
  <si>
    <t>У-20-126298</t>
  </si>
  <si>
    <t>У-20-126442</t>
  </si>
  <si>
    <t>У-20-126492</t>
  </si>
  <si>
    <t>У-20-126559</t>
  </si>
  <si>
    <t>У-20-126622</t>
  </si>
  <si>
    <t>У-20-126795</t>
  </si>
  <si>
    <t>У-20-126822</t>
  </si>
  <si>
    <t>У-20-126925</t>
  </si>
  <si>
    <t>У-20-126956</t>
  </si>
  <si>
    <t>У-20-127017</t>
  </si>
  <si>
    <t>У-20-127119</t>
  </si>
  <si>
    <t>У-20-127292</t>
  </si>
  <si>
    <t>У-20-127338</t>
  </si>
  <si>
    <t>У-20-127412</t>
  </si>
  <si>
    <t>У-20-127413</t>
  </si>
  <si>
    <t>У-20-127478</t>
  </si>
  <si>
    <t>У-20-127508</t>
  </si>
  <si>
    <t>У-20-127538</t>
  </si>
  <si>
    <t>У-20-127565</t>
  </si>
  <si>
    <t>У-20-127583</t>
  </si>
  <si>
    <t>У-20-127629</t>
  </si>
  <si>
    <t>У-20-127736</t>
  </si>
  <si>
    <t>У-20-127757</t>
  </si>
  <si>
    <t>У-20-127941</t>
  </si>
  <si>
    <t>У-20-127943</t>
  </si>
  <si>
    <t>У-20-127962</t>
  </si>
  <si>
    <t>У-20-127979</t>
  </si>
  <si>
    <t>У-20-128069</t>
  </si>
  <si>
    <t>У-20-128296</t>
  </si>
  <si>
    <t>У-20-128378</t>
  </si>
  <si>
    <t>У-20-128740</t>
  </si>
  <si>
    <t>У-20-128911</t>
  </si>
  <si>
    <t>У-20-129110</t>
  </si>
  <si>
    <t>У-20-129187</t>
  </si>
  <si>
    <t>У-20-129237</t>
  </si>
  <si>
    <t>У-20-129307</t>
  </si>
  <si>
    <t>ИП Кузнецов Александр Александрович</t>
  </si>
  <si>
    <t>МАНУКЯН НОРА РОМАНОВНА</t>
  </si>
  <si>
    <t>Туаев Заури Альбертович</t>
  </si>
  <si>
    <t>Калинина Анна Леонидовна</t>
  </si>
  <si>
    <t>Гамзатов Зураб Русланович</t>
  </si>
  <si>
    <t>Агузаров Владимир Николаевич</t>
  </si>
  <si>
    <t>Зиновьева Дарья Андреевна</t>
  </si>
  <si>
    <t>Шиян Станислав Германович</t>
  </si>
  <si>
    <t>Сулейманян Зармик Вачикович</t>
  </si>
  <si>
    <t>Цыганов Иван Александрович</t>
  </si>
  <si>
    <t>Зезюков Александр Егорович</t>
  </si>
  <si>
    <t>Багмет Игорь Викторович</t>
  </si>
  <si>
    <t>Качиев Айдер Джелилевич</t>
  </si>
  <si>
    <t>Сидорова Ольга Викторовна</t>
  </si>
  <si>
    <t>Потанин Андрей Сергеевич</t>
  </si>
  <si>
    <t>Джаборова Инфира Рафкатовна</t>
  </si>
  <si>
    <t>Вачугова Людмила Павловна</t>
  </si>
  <si>
    <t>Исангулова Надежда Викторовна</t>
  </si>
  <si>
    <t>Белоусов Денис Сергеевич</t>
  </si>
  <si>
    <t>Артемьев Геннадий Анатольевич</t>
  </si>
  <si>
    <t>Ванюшкин Иван Викторович</t>
  </si>
  <si>
    <t>Лищеновский Виталий Александрович</t>
  </si>
  <si>
    <t>Ганичкин Александр Вячеславович</t>
  </si>
  <si>
    <t>Шугаев Александр Игоревич</t>
  </si>
  <si>
    <t>Ермолин Рустам Адхамович</t>
  </si>
  <si>
    <t>Коновалов Иван Сергеевич</t>
  </si>
  <si>
    <t>Бородин Владимир Александрович</t>
  </si>
  <si>
    <t>СМИРНОВА ЕКАТЕРИНА Евгеньевна</t>
  </si>
  <si>
    <t>Крячко Наталья Владимировна</t>
  </si>
  <si>
    <t>Кузнецова Эльмаз Шевкиевна</t>
  </si>
  <si>
    <t>Мясникова Олеся Валерьевна</t>
  </si>
  <si>
    <t>Янин Сергей Николаевич</t>
  </si>
  <si>
    <t>Кундрюцкий Александр Алексеевич</t>
  </si>
  <si>
    <t>Чалян Эдгар Валерьевич</t>
  </si>
  <si>
    <t>Корычева Оксана Ивановна</t>
  </si>
  <si>
    <t>Дудник Юрий Вячеславович</t>
  </si>
  <si>
    <t>Пупко Демид Александрович</t>
  </si>
  <si>
    <t>Махмудова Хава Алиевна</t>
  </si>
  <si>
    <t>Мамиева Лариса Александровна</t>
  </si>
  <si>
    <t>Шалашнева Анна Владимировна</t>
  </si>
  <si>
    <t>Гадаева Хава Сайд-Ахмедовна</t>
  </si>
  <si>
    <t>Гимазов Ильназ Абударович</t>
  </si>
  <si>
    <t>Дзукаев Алан Таймуразович</t>
  </si>
  <si>
    <t>Бурдзиева Фатима Касполатовна</t>
  </si>
  <si>
    <t>Чернятина Раиса Сергеевна</t>
  </si>
  <si>
    <t>Ситников Александр Владимирович</t>
  </si>
  <si>
    <t>Титов Петр Васильевич</t>
  </si>
  <si>
    <t>Куклин Юрий Александрович</t>
  </si>
  <si>
    <t>Дзебисов Аслан Зурабович</t>
  </si>
  <si>
    <t>Туманян Маис Анатольевич</t>
  </si>
  <si>
    <t>Белоножков Андрей Игоревич</t>
  </si>
  <si>
    <t>Коренев Артём Александрович</t>
  </si>
  <si>
    <t>Гюрджиян Арутюн Мовсесович</t>
  </si>
  <si>
    <t>Уханова Вера Геннадьевна</t>
  </si>
  <si>
    <t>Вахошкин Антон Николаевич</t>
  </si>
  <si>
    <t>Минатуллаев Асельдер Ниматуллаевич</t>
  </si>
  <si>
    <t>Семенец Эдуард Юрьевич</t>
  </si>
  <si>
    <t>Масалов Константин Валерьевич</t>
  </si>
  <si>
    <t>Рулёва Карина Александровна</t>
  </si>
  <si>
    <t>Прокопенко Мария Александровна</t>
  </si>
  <si>
    <t>Баженов Руслан Андреевич</t>
  </si>
  <si>
    <t>Стрюков Алексей Николаевич</t>
  </si>
  <si>
    <t>Бубнова Светлана Павловна</t>
  </si>
  <si>
    <t>Феофанов Владимир Васильевич</t>
  </si>
  <si>
    <t>Ефименко Евгений Владимирович</t>
  </si>
  <si>
    <t>Исламов Наил Нуриманович</t>
  </si>
  <si>
    <t>Дмитренко Инна Виталиевна</t>
  </si>
  <si>
    <t>Анисимов Андрей Иванович</t>
  </si>
  <si>
    <t>Никулин Владимир Константинович</t>
  </si>
  <si>
    <t>Файзуллин Ишбулды Зуфарович</t>
  </si>
  <si>
    <t>Шайхутдинов Марс Ривальович</t>
  </si>
  <si>
    <t>Кондратьев Егор Михайлович</t>
  </si>
  <si>
    <t>Симоненко Никита Сергеевич</t>
  </si>
  <si>
    <t>Кулаков Иван Александрович</t>
  </si>
  <si>
    <t>Малания Георгий Мерабиевич</t>
  </si>
  <si>
    <t>Цыбин Роман Владимирович</t>
  </si>
  <si>
    <t>Лесников Евгений Владимирович</t>
  </si>
  <si>
    <t>Дудин Сергей Александрович</t>
  </si>
  <si>
    <t>Мишин Антон Игоревич</t>
  </si>
  <si>
    <t>Гейн Станислав Викторович</t>
  </si>
  <si>
    <t>Виноградова Елена Михайловна</t>
  </si>
  <si>
    <t>Попова Елена Георгиевна</t>
  </si>
  <si>
    <t>Псеуш Заур Сафербиевич</t>
  </si>
  <si>
    <t>Татаринов Максим Андреевич</t>
  </si>
  <si>
    <t>Хачатурян Галина Сергеевна</t>
  </si>
  <si>
    <t>Ефремова Татьяна Николаевна</t>
  </si>
  <si>
    <t>Ришко Юлия Борисовна</t>
  </si>
  <si>
    <t>Петров Владимир Иванович</t>
  </si>
  <si>
    <t>Гиш Назели Шираковна</t>
  </si>
  <si>
    <t>Меньшикова Людмила Иосифовна</t>
  </si>
  <si>
    <t>Романов Николай Иванович</t>
  </si>
  <si>
    <t>Гадзева Дарья Евгеньевна</t>
  </si>
  <si>
    <t>Кушхов Зулим Хамидович</t>
  </si>
  <si>
    <t>Росподнюк Юрий Васильевич</t>
  </si>
  <si>
    <t>Хмелев Иван Сергеевич</t>
  </si>
  <si>
    <t>Турчина Ксения Дмитриевна</t>
  </si>
  <si>
    <t>Беляцкий Дмитрий Сергеевич</t>
  </si>
  <si>
    <t>Ашихмит Юрий Николаевич</t>
  </si>
  <si>
    <t>Казаков Андрей Владимирович</t>
  </si>
  <si>
    <t>Сорокин Роман Владимирович</t>
  </si>
  <si>
    <t>Кусков Николай Иванович</t>
  </si>
  <si>
    <t>Алексеев Евгений Александрович</t>
  </si>
  <si>
    <t>Ухарских Данил Иванович</t>
  </si>
  <si>
    <t>Катанаев Сергей Васильевич</t>
  </si>
  <si>
    <t>Давидюк Ольга Ильинична</t>
  </si>
  <si>
    <t>Ивченко Екатерина Олеговна</t>
  </si>
  <si>
    <t>Овчаренко Евгений Вячеславович</t>
  </si>
  <si>
    <t>Говорина Наталья Валентиновна</t>
  </si>
  <si>
    <t>Кузина Елена Анатольевна</t>
  </si>
  <si>
    <t>Пункты 5.1., 8.2., 8.3.(БР) Матрицы</t>
  </si>
  <si>
    <t>доплаты страхового возмещения в связи с причинением вреда жизни по договору обязательного страхования гражданской ответственности владельцев транспортных средств (далее – ОСАГО)</t>
  </si>
  <si>
    <t>неустойки в связи с нарушением срока выплаты страхового возмещения в связи с причинением вреда жизни по договору ОСАГО</t>
  </si>
  <si>
    <t>Пункты 3.1., 5.1.(БР) Матрицы</t>
  </si>
  <si>
    <t>Пункт 1.1. Матрицы. В материалах ГИБДД нет сведений о полисе ОСАГО Заявителя, тогда как на сайте РСА сведения есть</t>
  </si>
  <si>
    <t>Пункт 1.1. Матрицы. Нет фотоматериалов. Запрос ПТС с отметками предыдущего и нового собственника, нет подтверждения второго непредоставления ТС на осмотр</t>
  </si>
  <si>
    <t>Требование Бутикова Александра Владимировичак (резолютивная часть решения)</t>
  </si>
  <si>
    <t>ХХХ</t>
  </si>
  <si>
    <t>Пункт 5.1. Матрицы. Ошибка в расчетах</t>
  </si>
  <si>
    <t>У-20-124453</t>
  </si>
  <si>
    <t>Омелик Людмила Шотовна</t>
  </si>
  <si>
    <t>Пункты 1.2., 4.1. Матрицы. Исчисление 20 дней с момента осмотра</t>
  </si>
  <si>
    <t>Пункт 1.1. Матрицы. Разная дата ДТП в определении (08.04.2019) и дополнении к определению (12.04.2019)</t>
  </si>
  <si>
    <t>Пункты 4.1., 5.5., 7.1., 8.1., 8.3., 8.4., 8.5. Матрицы</t>
  </si>
  <si>
    <t>Пункты 1.2., 5.1., 8.1., 8.2., 8.3., 8.4. Матрицы + телеграммы (БР)</t>
  </si>
  <si>
    <t>1. другое обоснвоание для прекращения. ПОВТОРНЫЙ ВОЗВРАТ: 1. Неверная мотивировка; 2. другие последствия непредоставления документов</t>
  </si>
  <si>
    <t>Пункт 1.1. Матрицы. Коммерческое ТС</t>
  </si>
  <si>
    <t>1. Коммерческое ТС, нужно прекращаться</t>
  </si>
  <si>
    <t>1. Не дана оценка доводам ФО о несоблюдении претензионного порядка</t>
  </si>
  <si>
    <t>Пункты 5.1., 5.4.(БР), 8.3.(БР), 9., 10. Матрицы. Выплата по соглашению</t>
  </si>
  <si>
    <t>1. Не указано решение ФУ; 2. МВ и штраф не по нормативке</t>
  </si>
  <si>
    <t>Пункт 1.1. Матрицы. Нет документов, подтверждающих внесение платы за рассмотрение обращения</t>
  </si>
  <si>
    <t>Пункт 1.1. Матрицы. Такси. Регистрация ИП ОВД - такси, лицензия на деятельность такси</t>
  </si>
  <si>
    <t>Пункты 2.1., 5.1., 8.1., 8.2., 8.4. Матрицы + иные расходы(БР)</t>
  </si>
  <si>
    <t>Ярославская обл</t>
  </si>
  <si>
    <t>Ярославская обл.</t>
  </si>
  <si>
    <t>Отсутствие действий со стороны ФО</t>
  </si>
  <si>
    <t>Выплата ФО виновника на основании решения суда о взыскании страхового возмещения с ФО Заявителя. Расходы на экспертизу отказываем на основании п. 9 ст. 14.1</t>
  </si>
  <si>
    <t>1. Ошибка в наименовании суда и номере дела; 2. Изменить мотивировку в части преюдиции</t>
  </si>
  <si>
    <t>1. Дать оценку доводам ФО о подаче искового заявления с требованием о снижении размера неустойки на основании ст. 333</t>
  </si>
  <si>
    <t>Пункты 2.1., 5.1.(БР) Матрицы. Оформление ДТП через приложение, но нет спора, т.к. выплатили больше, чем по НТЭ ФУ. Обращение с претензией и к ФУ в один день</t>
  </si>
  <si>
    <t>1. Дополнить сведениями про суд</t>
  </si>
  <si>
    <t>Пункты 1.4., 5.1. Матрицы. ДТП с двумя последовательными наездами на ТС Заявителя. Судом с виновника № 1 взыскан ущерб от первого наезда. В обращении требование к ФО виновника № 2. Отказ, т.к. Определение об отказе в возб. адм. дела предоставлено в фотокопии.</t>
  </si>
  <si>
    <t>У-20-117899</t>
  </si>
  <si>
    <t>Заболотин Игорь Александрович</t>
  </si>
  <si>
    <t>Пункты 2.1., 5.1., 5.4., 8.2., 9., 10. Матрицы. Ненадлежащее исполнение через систему CONTACT, т.к. в доверенности представителя есть право на получение присужденного имущества или денег</t>
  </si>
  <si>
    <t>Пункты 2.1., 5.1. Матрицы. 10% к тоталу. Ислисляем сроки с момента предоставления реквизитов, хотя запрос с нарушением сроков</t>
  </si>
  <si>
    <t>Несоблюдение претензионного порядка. Требование о возврате излишне уплаченной части страховой премии</t>
  </si>
  <si>
    <t>СОГЛАШЕНИЕ, ВИНА</t>
  </si>
  <si>
    <t>Пункты 1.8., 5.1., 8.1. Матрицы. Выплата на основании соглашения</t>
  </si>
  <si>
    <t>1. Неверный расчет неустойки; 2. Неверное указания лица, управлявшего ТС Заявителя</t>
  </si>
  <si>
    <t>Пункты 1.4., 5.1.(БР), 8.1. Матрицы</t>
  </si>
  <si>
    <t>Пункт 1.1. Матрицы. В адм. материалах нет сведений о № кузова ТС, полиса ОСАГО нет</t>
  </si>
  <si>
    <t>1. Дополнить про документ "сведения о ДТП"</t>
  </si>
  <si>
    <t>Копии адм документов можно незаверенные</t>
  </si>
  <si>
    <t>Пункты 5.1., 8.1., 8.2., 10. Матрицы</t>
  </si>
  <si>
    <t>Пункт 1.7. Матрицы</t>
  </si>
  <si>
    <t>АО «Страховая Компания «СОЛИДАРНОСТЬ»</t>
  </si>
  <si>
    <t>3801013896</t>
  </si>
  <si>
    <t>665832, Иркутская обл., г. Ангарск, мкр. 7-й, д. 15, кв. 294</t>
  </si>
  <si>
    <t>НЕД 37</t>
  </si>
  <si>
    <t>НЕД 38</t>
  </si>
  <si>
    <t>1. Получилось на день раньше 21-й день наступил (22.01.2018 – 20й, 23.01.2018 – 21й)</t>
  </si>
  <si>
    <t>1. Рассматриваем. Решение суда вступило в законную силу и исполнено. Кроме того, ФО добровольно выплатила часть неустойки</t>
  </si>
  <si>
    <t>Пункт 5.2. Матрицы. Есть кассационная жалоба на решение о взыскании СВ. решение исполнено</t>
  </si>
  <si>
    <t>1. Прекратилась по документам, которые есть; 2. Не разобралась</t>
  </si>
  <si>
    <t>Отзыв Обращения</t>
  </si>
  <si>
    <t>Пункты 1.8., 3.2. Матрицы. Заявитель - водитель, вина не установлена</t>
  </si>
  <si>
    <t>1. Неь указания на нарушения ПДД участникам ДТП</t>
  </si>
  <si>
    <t>Пункты 7.1., 8.1., 8.2., 8.3., 8.4. Матрицы + дефектовка и осмотр</t>
  </si>
  <si>
    <t>Пункт 1.1. Матрицы. Есть решение ФУ</t>
  </si>
  <si>
    <t>У-20-120239</t>
  </si>
  <si>
    <t>Банных Александр Валерьевич</t>
  </si>
  <si>
    <t>Возврат страховой премии. Обратился с заявлением о расторжении в срок 14 дней с момента начала действия договора КАСКО (с учетом 193 ГК РФ). Также подписано соглашение о расторжении договора.</t>
  </si>
  <si>
    <t>Пункты 3.2., 5.5. Матрицы. Размер вреда установлен решением суда</t>
  </si>
  <si>
    <t>Пункт 1.2., 5.1. Матрицы</t>
  </si>
  <si>
    <t>Добровольное исполнение посредством почтового перевода (в назначении платежа указаны ФИО Заявителя)</t>
  </si>
  <si>
    <t>В ДТП отсутствует контактное взаимодействие, при этом был оформлен европротокол, сотрудники ГИБДД не вызывались</t>
  </si>
  <si>
    <t>Пункты 5.1.(на 8.5.), 8.2.(БР), 8.3., 8.5. Матрицы</t>
  </si>
  <si>
    <t>1. Не до конца рассмотрено</t>
  </si>
  <si>
    <t>Пункт 1.8., 5.5. Матрицы. Наследница идет за страховым возмещением по ТС. Вина не установлена. Есть свидетельство о праве на наследство в отношении ТС. Поздно запросили документы, при этом почтового доказательства направления запрос не предоставлено</t>
  </si>
  <si>
    <t>1. Отсутствуют сведения о передаче ТС на СТОА, согласно двум претензиям, Заявителем в том числе заявлено требование о выплате СВ, в Обращении Заявитель также указывает на сумму СВ, Нужно рассмотреть требование о взыскании СВ (проверить сроки выдачи ННР)</t>
  </si>
  <si>
    <t>Пункт 1.1. Матрицы. Сначала наезд на пешехода фуры, потом на лежачего пешехода наезд ТС. Заявитель идет за возмещение вреда с полиса ОСАГО второго ТС</t>
  </si>
  <si>
    <t>Пункты 1.2., 5.5., 8.1.(БР) Матрицы</t>
  </si>
  <si>
    <t>Пункты 4.1., 5.1., 8.1., 8.5. Матрицы</t>
  </si>
  <si>
    <t>Пункт 1.1. Матрицы. Нет документов о праве собственности на ТС</t>
  </si>
  <si>
    <t>Выплата на основании соглашения</t>
  </si>
  <si>
    <t>1. Ответственность Заявителя застрахована, сведения есть</t>
  </si>
  <si>
    <t>Пункты 1.2., 5.1.(БР), 9. Матрицы</t>
  </si>
  <si>
    <t>Пункты 4.1., 7.1. Матрицы</t>
  </si>
  <si>
    <t>123-ФЗ АО СК «Чулпан» вправе в течение</t>
  </si>
  <si>
    <t>1. Прописать более подробно обстоятельнства дейтвия полиса ОСАГО и купли-продажи ТС Заявителя</t>
  </si>
  <si>
    <t>Пункты 2.1., 5.1.(БР), 8.1.(БР) Матрицы</t>
  </si>
  <si>
    <t>Пункт 6.1. Матрицы. Взыскана неустойка за период, начиная со следующего дня, после судебного взыскания неустойки и до периода, взысканного решением ФУ. Доводы ФО о прекращении не принимаем, т.к. на момент вынесения предыдущего обращения, определение об устранении описки не было вынесено судом, таким образом, на момент рассмотрения настоящего обращения имеется новое основание, с учетом чего в настоящем обращении заявлено требование хотя и о том же предмете, но по новым основаниям.</t>
  </si>
  <si>
    <t>1. Не рассмотрены доводы ФО о прекращении</t>
  </si>
  <si>
    <t>Пункт 5.2. Матрицы + плата за рассмотрение обращения (БР)</t>
  </si>
  <si>
    <t>Пункты 1.5., 8.1. Матрицы</t>
  </si>
  <si>
    <t>1. Смена собственника на стороне виновника не основание для отказа</t>
  </si>
  <si>
    <t xml:space="preserve">Пункты 1.7., 5.5. Матрицы. Смена собственника на стороне Заявителя. Есть полис на старого собственника ТС Заявителя, срок действия полиса на момент ДТП не прошел. ФО виновника отказывает на том основании, что ответственность Заявителя застрахована. </t>
  </si>
  <si>
    <t>Пункт 5.4. Матрицы Поденная финсанкция</t>
  </si>
  <si>
    <t>ФС</t>
  </si>
  <si>
    <t>1. Прекращение без основания. Исчислять сроки по каждому дню отдельно</t>
  </si>
  <si>
    <t>1. Ошибки по тексту (несогласованы предложения)</t>
  </si>
  <si>
    <t>Пункты 2.1., 8.1., 8.3., 10. Матрицы + осмотр</t>
  </si>
  <si>
    <t>1. Моральный вред не БР в резолютивке</t>
  </si>
  <si>
    <t>Пункты 4.4., 5.1., 8.2. Матрицы. Выплата деньгами, деньги не вернул</t>
  </si>
  <si>
    <t>1. В более раннем обращении требование о взыскании в денежной форме, в настоящем - в натуральной, разные предметы</t>
  </si>
  <si>
    <t>ОСГОП</t>
  </si>
  <si>
    <t>Пункт 3.3. Матрицы. Пассажир рабочего автобуса, полиса ОСГОП на автобус нет. Основания для отказа - пункт 3 части 5 ФЗ-67 (в случае отсутствия полиса, вред возмещается перевозчиком)</t>
  </si>
  <si>
    <t>У-20-112407</t>
  </si>
  <si>
    <t>У-20-116303</t>
  </si>
  <si>
    <t>У-20-120283</t>
  </si>
  <si>
    <t>У-20-120434</t>
  </si>
  <si>
    <t>У-20-120624</t>
  </si>
  <si>
    <t>У-20-122103</t>
  </si>
  <si>
    <t>У-20-122187</t>
  </si>
  <si>
    <t>У-20-122218</t>
  </si>
  <si>
    <t>У-20-122334</t>
  </si>
  <si>
    <t>У-20-122452</t>
  </si>
  <si>
    <t>У-20-122483</t>
  </si>
  <si>
    <t>У-20-122502</t>
  </si>
  <si>
    <t>У-20-122537</t>
  </si>
  <si>
    <t>У-20-122565</t>
  </si>
  <si>
    <t>У-20-122609</t>
  </si>
  <si>
    <t>У-20-122615</t>
  </si>
  <si>
    <t>У-20-122681</t>
  </si>
  <si>
    <t>У-20-122683</t>
  </si>
  <si>
    <t>У-20-122849</t>
  </si>
  <si>
    <t>У-20-122934</t>
  </si>
  <si>
    <t>У-20-123199</t>
  </si>
  <si>
    <t>У-20-123368</t>
  </si>
  <si>
    <t>У-20-123383</t>
  </si>
  <si>
    <t>У-20-123399</t>
  </si>
  <si>
    <t>У-20-123599</t>
  </si>
  <si>
    <t>У-20-123541</t>
  </si>
  <si>
    <t>У-20-123707</t>
  </si>
  <si>
    <t>У-20-123848</t>
  </si>
  <si>
    <t>У-20-123871</t>
  </si>
  <si>
    <t>У-20-124084</t>
  </si>
  <si>
    <t>У-20-124090</t>
  </si>
  <si>
    <t>У-20-124124</t>
  </si>
  <si>
    <t>У-20-124200</t>
  </si>
  <si>
    <t>У-20-124241</t>
  </si>
  <si>
    <t>У-20-124287</t>
  </si>
  <si>
    <t>У-20-124397</t>
  </si>
  <si>
    <t>У-20-124408</t>
  </si>
  <si>
    <t>У-20-124748</t>
  </si>
  <si>
    <t>У-20-124846</t>
  </si>
  <si>
    <t>У-20-124891</t>
  </si>
  <si>
    <t>У-20-124979</t>
  </si>
  <si>
    <t>У-20-125049</t>
  </si>
  <si>
    <t>У-20-124990</t>
  </si>
  <si>
    <t>У-20-125378</t>
  </si>
  <si>
    <t>У-20-125420</t>
  </si>
  <si>
    <t>У-20-125445</t>
  </si>
  <si>
    <t>У-20-125490</t>
  </si>
  <si>
    <t>У-20-125607</t>
  </si>
  <si>
    <t>У-20-129512</t>
  </si>
  <si>
    <t>У-20-129474</t>
  </si>
  <si>
    <t>У-20-129666</t>
  </si>
  <si>
    <t>У-20-130151</t>
  </si>
  <si>
    <t>У-20-130180</t>
  </si>
  <si>
    <t>У-20-130492</t>
  </si>
  <si>
    <t>У-20-130692</t>
  </si>
  <si>
    <t>У-20-130799</t>
  </si>
  <si>
    <t>У-20-130800</t>
  </si>
  <si>
    <t>У-20-130869</t>
  </si>
  <si>
    <t>У-20-130916</t>
  </si>
  <si>
    <t>У-20-131082</t>
  </si>
  <si>
    <t>У-20-131156</t>
  </si>
  <si>
    <t>У-20-131236</t>
  </si>
  <si>
    <t>У-20-131415</t>
  </si>
  <si>
    <t>У-20-131452</t>
  </si>
  <si>
    <t>У-20-131684</t>
  </si>
  <si>
    <t>У-20-131916</t>
  </si>
  <si>
    <t>У-20-131931</t>
  </si>
  <si>
    <t>У-20-131988</t>
  </si>
  <si>
    <t>У-20-132008</t>
  </si>
  <si>
    <t>У-20-132119</t>
  </si>
  <si>
    <t>У-20-132169</t>
  </si>
  <si>
    <t>У-20-132171</t>
  </si>
  <si>
    <t>У-20-132239</t>
  </si>
  <si>
    <t>У-20-132420</t>
  </si>
  <si>
    <t>У-20-132637</t>
  </si>
  <si>
    <t>У-20-132823</t>
  </si>
  <si>
    <t>У-20-132918</t>
  </si>
  <si>
    <t>У-20-132936</t>
  </si>
  <si>
    <t>У-20-132937</t>
  </si>
  <si>
    <t>У-20-133048</t>
  </si>
  <si>
    <t>У-20-133100</t>
  </si>
  <si>
    <t>Пономарев Кирилл Александрович</t>
  </si>
  <si>
    <t>Линков Дмитрий Евгеньевич</t>
  </si>
  <si>
    <t>Михайлова Сабрина Арутюновна</t>
  </si>
  <si>
    <t>Павленко Сергей Александрович</t>
  </si>
  <si>
    <t>Архагов Мурат Рауфович</t>
  </si>
  <si>
    <t>Захарян Лиана Арамаисовна</t>
  </si>
  <si>
    <t>Михелев Андрей Васильевич</t>
  </si>
  <si>
    <t>Ленин Константин Сергеевич</t>
  </si>
  <si>
    <t>Попов Роман Игоревич</t>
  </si>
  <si>
    <t>Харисов Тимур Салихзянович</t>
  </si>
  <si>
    <t>Симанюк Николай Петрович</t>
  </si>
  <si>
    <t>Мартынов Александр Сергеевич</t>
  </si>
  <si>
    <t>Вотяков Василий Алексеевич</t>
  </si>
  <si>
    <t>Хутиев Геннадий Борисович</t>
  </si>
  <si>
    <t>Пупынин Константин Александрович</t>
  </si>
  <si>
    <t>Кузин Артём Гайкович</t>
  </si>
  <si>
    <t>Багаев Марат Игоревич</t>
  </si>
  <si>
    <t>Загороднюк Федор Афанасьевич</t>
  </si>
  <si>
    <t>Петров Марк Викторович</t>
  </si>
  <si>
    <t>Кондрашова Ольга Петровна</t>
  </si>
  <si>
    <t>Широков Владимир Александрович</t>
  </si>
  <si>
    <t>Асваров Фридман Асварович</t>
  </si>
  <si>
    <t>Савочкин Сергей Николаевич</t>
  </si>
  <si>
    <t>Логуа Венори Жорович</t>
  </si>
  <si>
    <t>Ищенко Алексей Николаевич</t>
  </si>
  <si>
    <t>Мурзаев Анатолий Владимирович</t>
  </si>
  <si>
    <t>Орлов Артем Павлович</t>
  </si>
  <si>
    <t>Смирнов Евгений Михайлович</t>
  </si>
  <si>
    <t>Корнилов Олег Владимирович</t>
  </si>
  <si>
    <t>Новиков Михаил Андреевич</t>
  </si>
  <si>
    <t>Кремлев Кирилл Владимирович</t>
  </si>
  <si>
    <t>РАХМАТУЛАЕВ ДЖАБРАИЛ АВБАКАРОВИЧ</t>
  </si>
  <si>
    <t>Пирмагомедов Пирмагомед Агаевич</t>
  </si>
  <si>
    <t>Чурманов Дмитрий Витальевич</t>
  </si>
  <si>
    <t>Воронина Ольга Николаевна</t>
  </si>
  <si>
    <t>Нелькенбаум Савелий Яковлевич</t>
  </si>
  <si>
    <t>Лукьянов Сергей Викторович</t>
  </si>
  <si>
    <t>Плигин Илья Юрьевич</t>
  </si>
  <si>
    <t>Бабак Владимир Владимирович</t>
  </si>
  <si>
    <t>Вуль Игорь Владимирович</t>
  </si>
  <si>
    <t>Лаптев Валентин Иванович</t>
  </si>
  <si>
    <t>Петрова Алена Николаевна</t>
  </si>
  <si>
    <t>Рябуха Юлия Александровна</t>
  </si>
  <si>
    <t>Бакоян Армен Валерикович</t>
  </si>
  <si>
    <t>Крапивина Елена Александровна</t>
  </si>
  <si>
    <t>Подмосковнова Юлия Алексеевна</t>
  </si>
  <si>
    <t>Бизякина Валентина Андреевна</t>
  </si>
  <si>
    <t>Аксенов Николай Александрович</t>
  </si>
  <si>
    <t>Недорезова Мария Сергеевна</t>
  </si>
  <si>
    <t>Самсонов Андрей МИХАЙЛОВИЧ</t>
  </si>
  <si>
    <t>Переворочаев Геннадий Александрович</t>
  </si>
  <si>
    <t>Константинова Екатерина Николаевна</t>
  </si>
  <si>
    <t>Сидорова Ольга Александровна</t>
  </si>
  <si>
    <t>Степанова Елена Дмитриевна</t>
  </si>
  <si>
    <t>Трушков Леонид Сергеевич</t>
  </si>
  <si>
    <t>Мусаева Альбина Руслановна</t>
  </si>
  <si>
    <t>Игонина Людмила Александровна</t>
  </si>
  <si>
    <t>Тихонский Иван Владимирович</t>
  </si>
  <si>
    <t>Андреев Владислав Игоревич</t>
  </si>
  <si>
    <t>Томберг Эльмира Тельмановна</t>
  </si>
  <si>
    <t>Федоров Иван Владимирович</t>
  </si>
  <si>
    <t>Бычков Борис Борисович</t>
  </si>
  <si>
    <t>Гаев Андрей Валерьевич</t>
  </si>
  <si>
    <t>Свитин Александр Геннадьевич</t>
  </si>
  <si>
    <t>Чемоданов Александр Александрович</t>
  </si>
  <si>
    <t>Маньков Максим Валерьевич</t>
  </si>
  <si>
    <t>Семенов Олег Владиславович</t>
  </si>
  <si>
    <t>Ахмиров Герман Олегович</t>
  </si>
  <si>
    <t>Негуч Азамат Адамович</t>
  </si>
  <si>
    <t>Кузина Наталья Петровна</t>
  </si>
  <si>
    <t>Абрамов Владимир Константинович</t>
  </si>
  <si>
    <t>Рич Ангелина Айдаровна</t>
  </si>
  <si>
    <t>Домолазов Николай Иванович</t>
  </si>
  <si>
    <t>Воробьев Захар Владимирович</t>
  </si>
  <si>
    <t>Байрамуков Али-Мурат Джанганович</t>
  </si>
  <si>
    <t>Пункты 2.1., 5.5., 8.1. Матрицы + иные расходы(БР)</t>
  </si>
  <si>
    <t>1. Оснований для проведения НТЭ ФУ нет, т.к. судом установлен размер ущерба</t>
  </si>
  <si>
    <t>Пункты 2.1., 5.1., 5.5. Матрицы. Результаты экспертизы взяты из решения суда. Заявитель взыскал величину износа с виновника ДТП</t>
  </si>
  <si>
    <t>Пункт 1.1. Матрицы. Нет апелляционного определения, которым снижен размер взысканной судом неустойки</t>
  </si>
  <si>
    <t>1. Нужно прекращать, т.к. нет данных о дате передачи ТС на СТОА и окончания срока ремонта</t>
  </si>
  <si>
    <t>У-20-120576</t>
  </si>
  <si>
    <t>Корепанова Екатерина Михайловна</t>
  </si>
  <si>
    <t>1. Есть инициалы в постановлении, время  и дата ДТП, повреждения Заявителя совпадают, идентифицировать Заявителя можно</t>
  </si>
  <si>
    <t>Пункт 5.1. Матрицы. Нет документов о передачи ТС на СТОА, а также документов, подтверждающих осуществление ремонта</t>
  </si>
  <si>
    <t>Пассажир открывал дверь, нанес ущерб проезжавшему ТС + пункты 5.1.(БР), 5.4.(БР), 9., 10. Матрицы</t>
  </si>
  <si>
    <t>ФО отказывает в выплате 1/2 от страхового возмещения на том основании, что есть брат Заявителя. Однако заявления о страховом случае от брата не послупало, поэтому на основании ч. 8 ст. 12 взыскиваем</t>
  </si>
  <si>
    <t>Пункты 1.1., 8.1., 9., 10. Матрицы. Виновник в ДТП не установлен.</t>
  </si>
  <si>
    <t>ВИНОВНИКНЕ УСТАНОВЛЕН</t>
  </si>
  <si>
    <t>Пункт 5.1. (на 8.6.) Матрицы</t>
  </si>
  <si>
    <t>1. Неверный расчет сроков; 2. Нет подтверждения выплаты НДФЛ</t>
  </si>
  <si>
    <t>1. Выплата не на основании НТЭ Заявителя</t>
  </si>
  <si>
    <t>Пункты 1.4., 5.5. Матрицы. В постановлении есть только инициалы Заявителя, вместе с тем, дата, время ДТП, а также повреждения Заявителя совпадают</t>
  </si>
  <si>
    <t>Пунктом 21 статьи 12 Закона № 40-ФЗ установлено, что в течение 20 календарных дней, за исключением нерабочих праздничных дней, а в случае, предусмотренном пунктом 15.3 статьи 12 Закона № 40-ФЗ, 30 календарных дней, за исключением нерабочих праздничных дней, со дня принятия к рассмотрению заявления потерпевшего о страховом возмещении или прямом возмещении убытков и приложенных к нему документов, предусмотренных Правилами ОСАГО, страховщик обязан произвести страховую выплату потерпевшему или после осмотра и (или) независимой технической экспертизы поврежденного транспортного средства выдать потерпевшему направление на ремонт транспортного средства с указанием станции технического обслуживания, на которой будет отремонтировано его транспортное средство и которой страховщик оплатит восстановительный ремонт поврежденного транспортного средства, и срока ремонта либо направить потерпевшему мотивированный отказ в страховом возмещении.
Согласно пункту 46 Постановления Пленума Верховного Суда РФ от 26 декабря 2017 г. № 58 «О применении судами законодательства об обязательном страховании гражданской ответственности владельцев транспортных средств» если из документов, составленных сотрудниками полиции, невозможно установить вину застраховавшего ответственность лица в наступлении страхового случая или определить степень вины каждого из водителей - участников дорожно-транспортного происшествия, лицо, обратившееся за страховой выплатой, не лишается права на ее получение.
В таком случае страховые организации производят страховые выплаты в равных долях от размера ущерба, понесенного каждым потерпевшим (абзац четвертый пункта 22 статьи 12 Закона № 40-ФЗ.
Страховщик освобождается от обязанности уплаты неустойки, суммы финансовой санкции, штрафа и компенсации морального вреда, если обязательства по выплате страхового возмещения в равных долях от размера, понесенного каждым из водителей – участников дорожно-транспортного происшествия ущерба им исполнены.
В случае несогласия с такой выплатой лицо, получившее страховое возмещение, вправе обратиться в суд с иском о взыскании страхового возмещения в недостающей части. При рассмотрении спора суд обязан установить степень вины лиц, признанных ответственными за причиненный вред, и взыскать со страховой организации страховую выплату с учетом установленной судом степени вины лиц, гражданская ответственность которых застрахована. Обращение с самостоятельным заявлением об установлении степени вины законодательством не предусмотрено.
Согласно документам о ДТП, составленным сотрудниками ГИБДД, невозможно установить вину кого-либо из участников ДТП.</t>
  </si>
  <si>
    <t>Пункт 1.4., 7.1., 8.2. Матрицы + дефектовка (БР)</t>
  </si>
  <si>
    <t>взыскании утраченного заработка (дохода) вследствие причинения вреда здоровью по договору ОСАГО</t>
  </si>
  <si>
    <t>Пункты 3.2., 3.3., 5.1.(БР), 9., 10. Матрицы</t>
  </si>
  <si>
    <t>Пункты 4.1., 5.4.(БР), 5.5., 8.1.(БР), 8.3., 9., 10. Матрицы</t>
  </si>
  <si>
    <t>Возврат части страховой премии пропорционально неистекшему периоду действия полиса. Отказ, т.к. направил уведомление о расторжении по истечении 14 дней</t>
  </si>
  <si>
    <t>Пункты 2.1., 8.1., 8.2.(БР), 8.3. Матрицы + плата за рассмотрение обращения (БР)</t>
  </si>
  <si>
    <t>Пункт 5.1. Матрицы. Не принимаем CONTACT, НДФЛ 30%, выплатили неустойку больше, чем положено</t>
  </si>
  <si>
    <t>ФО отказывает в выплате не том основании, что отсутствует причинно-следственная связь между действиями водителя и причинением вреда пешеходу. Однако Поставновлением об отказе в возбуждении установлен факт наезда на пешехода</t>
  </si>
  <si>
    <t>1. Есть суд, прекращаемся</t>
  </si>
  <si>
    <t>Пункты 7.1., 8.1., 8.2., 8.3. Матрицы</t>
  </si>
  <si>
    <t>Пункт 5.1. Матрицы. Наследство неустойки</t>
  </si>
  <si>
    <t>Пункты 4.1., 5.1., 8.1. Матрицы. Выплата на основании соглашения с нарушением срока</t>
  </si>
  <si>
    <t>Пункт 1.1. Матрицы. По юр услугам не соблюден претензионный порядок. По неутсойке нет соглашения о расторжении договора цессии № 2, по НТЭ и почте, нет уведомления ФО о расторжении договора цессии № 1</t>
  </si>
  <si>
    <t>Пункт 5.1. Матрицы. Исполнение решения ФУ не в срок.</t>
  </si>
  <si>
    <t>Пункт 3.1. Матрицы. Наезд на пешехода 3х ТС</t>
  </si>
  <si>
    <t>Пункт 1.1. Матрицы (грузовой фургон)</t>
  </si>
  <si>
    <t>Пункт 1.1. Матрицы. В суде рассматривается дело по тому же предмету и основаниям (апелляционная инстанция)</t>
  </si>
  <si>
    <t>Пункты 2.1., 5.1., 8.1., 8.4., 8.7. Матрицы</t>
  </si>
  <si>
    <t>Пункт 6.1. Матицы</t>
  </si>
  <si>
    <t>У-20-118221</t>
  </si>
  <si>
    <t>У-20-118732</t>
  </si>
  <si>
    <t>У-20-123075</t>
  </si>
  <si>
    <t>У-20-123896</t>
  </si>
  <si>
    <t>У-20-124221</t>
  </si>
  <si>
    <t>У-20-124388</t>
  </si>
  <si>
    <t>У-20-125417</t>
  </si>
  <si>
    <t>У-20-125574</t>
  </si>
  <si>
    <t>У-20-125791</t>
  </si>
  <si>
    <t>У-20-125822</t>
  </si>
  <si>
    <t>У-20-125893</t>
  </si>
  <si>
    <t>У-20-125903</t>
  </si>
  <si>
    <t>У-20-126149</t>
  </si>
  <si>
    <t>У-20-126172</t>
  </si>
  <si>
    <t>У-20-126350</t>
  </si>
  <si>
    <t>У-20-126453</t>
  </si>
  <si>
    <t>У-20-126576</t>
  </si>
  <si>
    <t>У-20-126594</t>
  </si>
  <si>
    <t>У-20-126637</t>
  </si>
  <si>
    <t>У-20-126918</t>
  </si>
  <si>
    <t>У-20-126943</t>
  </si>
  <si>
    <t>У-20-126947</t>
  </si>
  <si>
    <t>У-20-126957</t>
  </si>
  <si>
    <t>У-20-126966</t>
  </si>
  <si>
    <t>У-20-126970</t>
  </si>
  <si>
    <t>У-20-127180</t>
  </si>
  <si>
    <t>У-20-127244</t>
  </si>
  <si>
    <t>У-20-127466</t>
  </si>
  <si>
    <t>У-20-127642</t>
  </si>
  <si>
    <t>У-20-127692</t>
  </si>
  <si>
    <t>У-20-127713</t>
  </si>
  <si>
    <t>У-20-127734</t>
  </si>
  <si>
    <t>У-20-127848</t>
  </si>
  <si>
    <t>У-20-128379</t>
  </si>
  <si>
    <t>У-20-128397</t>
  </si>
  <si>
    <t>У-20-128481</t>
  </si>
  <si>
    <t>У-20-128548</t>
  </si>
  <si>
    <t>У-20-128551</t>
  </si>
  <si>
    <t>У-20-128563</t>
  </si>
  <si>
    <t>У-20-128673</t>
  </si>
  <si>
    <t>У-20-128774</t>
  </si>
  <si>
    <t>У-20-128800</t>
  </si>
  <si>
    <t>У-20-128826</t>
  </si>
  <si>
    <t>У-20-128856</t>
  </si>
  <si>
    <t>У-20-128869</t>
  </si>
  <si>
    <t>У-20-129005</t>
  </si>
  <si>
    <t>У-20-129113</t>
  </si>
  <si>
    <t>У-20-129156</t>
  </si>
  <si>
    <t>У-20-129176</t>
  </si>
  <si>
    <t>У-20-129239</t>
  </si>
  <si>
    <t>У-20-129356</t>
  </si>
  <si>
    <t>У-20-129357</t>
  </si>
  <si>
    <t>У-20-129464</t>
  </si>
  <si>
    <t>У-20-133219</t>
  </si>
  <si>
    <t>У-20-133235</t>
  </si>
  <si>
    <t>У-20-133273</t>
  </si>
  <si>
    <t>У-20-133516</t>
  </si>
  <si>
    <t>У-20-133695</t>
  </si>
  <si>
    <t>У-20-134099</t>
  </si>
  <si>
    <t>У-20-134270</t>
  </si>
  <si>
    <t>У-20-134440</t>
  </si>
  <si>
    <t>У-20-134616</t>
  </si>
  <si>
    <t>У-20-134866</t>
  </si>
  <si>
    <t>У-20-134980</t>
  </si>
  <si>
    <t>У-20-135028</t>
  </si>
  <si>
    <t>У-20-135041</t>
  </si>
  <si>
    <t>У-20-135067</t>
  </si>
  <si>
    <t>У-20-135255</t>
  </si>
  <si>
    <t>У-20-135310</t>
  </si>
  <si>
    <t>У-20-135333</t>
  </si>
  <si>
    <t>У-20-135664</t>
  </si>
  <si>
    <t>У-20-135693</t>
  </si>
  <si>
    <t>У-20-135821</t>
  </si>
  <si>
    <t>У-20-135911</t>
  </si>
  <si>
    <t>У-20-136013</t>
  </si>
  <si>
    <t>У-20-136356</t>
  </si>
  <si>
    <t>У-20-136627</t>
  </si>
  <si>
    <t>У-20-136707</t>
  </si>
  <si>
    <t>У-20-136880</t>
  </si>
  <si>
    <t>У-20-136987</t>
  </si>
  <si>
    <t>У-20-137100</t>
  </si>
  <si>
    <t>Казанбекова Аминат Гаджибубаевна</t>
  </si>
  <si>
    <t>Власов Кирилл Михайлович</t>
  </si>
  <si>
    <t>Андрющенко Владислав Александрович</t>
  </si>
  <si>
    <t>Любин Алексей Николаевич</t>
  </si>
  <si>
    <t>Кондратьев Антон Юрьевич</t>
  </si>
  <si>
    <t>Холопова Елена Александровна</t>
  </si>
  <si>
    <t>Рыбкина Елена Юрьевна</t>
  </si>
  <si>
    <t>Иванов Роман Владимирович</t>
  </si>
  <si>
    <t>Слюсарев Алексей Станиславович</t>
  </si>
  <si>
    <t>Фатин Денис Александрович</t>
  </si>
  <si>
    <t>Коваленко Вероника Игоревна</t>
  </si>
  <si>
    <t>Овчинникова Анастасия Сергеевна</t>
  </si>
  <si>
    <t>Дзебисов Казбек Хасанбекович</t>
  </si>
  <si>
    <t>Митин Александр Васильевич</t>
  </si>
  <si>
    <t>Сайпанов Василий Ринатович</t>
  </si>
  <si>
    <t>Гояев Георгий Ираклиевич</t>
  </si>
  <si>
    <t>Захаров Дмитрий Романович</t>
  </si>
  <si>
    <t>Мартыновский Александр Николаевич</t>
  </si>
  <si>
    <t>Сардарьянц Валерий Юрьевич</t>
  </si>
  <si>
    <t>Ходаков Сергей Александрович</t>
  </si>
  <si>
    <t>Чупраков Владислав Леонидович</t>
  </si>
  <si>
    <t>Лавренов Владимир Николаевич</t>
  </si>
  <si>
    <t>Самоуков Владимир Александрович</t>
  </si>
  <si>
    <t>Гаспарян Арсен Сергеевич</t>
  </si>
  <si>
    <t>Назиров Мухтор Бахридинович</t>
  </si>
  <si>
    <t>Запличко Максим Викторович</t>
  </si>
  <si>
    <t>Прохоренко Лидия Александровна</t>
  </si>
  <si>
    <t>Корнеева Яна Петровна</t>
  </si>
  <si>
    <t>Алешечкин Алексей Григорьевич</t>
  </si>
  <si>
    <t>Савельев Игорь Валерьевич</t>
  </si>
  <si>
    <t>Алексиянов Эдуард Евгеньевич</t>
  </si>
  <si>
    <t>Можаев Дмитрий Геннадьевич</t>
  </si>
  <si>
    <t>Бережной Сергей Михайлович</t>
  </si>
  <si>
    <t>Емельяненко Вячеслав Михайлович</t>
  </si>
  <si>
    <t>Лапина Любовь Ивановна</t>
  </si>
  <si>
    <t>Левитская Екатерина Александровна</t>
  </si>
  <si>
    <t>Ишбирдин Фидан Фоатович</t>
  </si>
  <si>
    <t>Бирюков Александр Сергеевич</t>
  </si>
  <si>
    <t>Романчук Наталья Викторовна</t>
  </si>
  <si>
    <t>Хижняк Ольга Васильевна</t>
  </si>
  <si>
    <t>Микрюков Юрий Владимирович</t>
  </si>
  <si>
    <t>Зопунян Гарик Георгиевич</t>
  </si>
  <si>
    <t>Биккулов Рифат Тальгатович</t>
  </si>
  <si>
    <t>Клименкова Елена Юрьевна</t>
  </si>
  <si>
    <t>Соловьев Дмитрий Александрович</t>
  </si>
  <si>
    <t>Гусейнов Ровшан Исламович</t>
  </si>
  <si>
    <t>Казарян Маргарита Размиковна</t>
  </si>
  <si>
    <t>Карпунькин Андрей Владимирович</t>
  </si>
  <si>
    <t>Золотов Юрий Михайлович</t>
  </si>
  <si>
    <t>Норин Алексей Николаевич</t>
  </si>
  <si>
    <t>Хрушкова Наталья Юрьевна</t>
  </si>
  <si>
    <t>Власюк Дмитрий Владимирович</t>
  </si>
  <si>
    <t>Чернова Марианна Юрьевна</t>
  </si>
  <si>
    <t>Скачков Александр Юрьевич</t>
  </si>
  <si>
    <t>Ситникова Наталья Юрьевна</t>
  </si>
  <si>
    <t>Зыгин Дмитрий Иванович</t>
  </si>
  <si>
    <t>Федорова Татьяна Викторовна</t>
  </si>
  <si>
    <t>Гришин Сергей Сергеевич</t>
  </si>
  <si>
    <t>Беляева Ксения Игоревна</t>
  </si>
  <si>
    <t>Прудникова Татьяна Анатольевна</t>
  </si>
  <si>
    <t>Рожин Василий Васильевич</t>
  </si>
  <si>
    <t>Кобелев Андрей Сергеевич</t>
  </si>
  <si>
    <t>Прокопенко Андрей Иванович</t>
  </si>
  <si>
    <t>Мирзаева Зайнаб Максудбековна</t>
  </si>
  <si>
    <t>Зверев Валерий Викторович</t>
  </si>
  <si>
    <t>Кузьмичева Евгения Михайловна</t>
  </si>
  <si>
    <t>Ананьина Юлия Олеговна</t>
  </si>
  <si>
    <t>Бадаев Андрей Касимович</t>
  </si>
  <si>
    <t>Эмирасанов Абкерим Серверович</t>
  </si>
  <si>
    <t>Баранов Алексей Владимирович</t>
  </si>
  <si>
    <t>Манкаев Арсланали Нугуманович</t>
  </si>
  <si>
    <t>Проскурин Максим Игоревич</t>
  </si>
  <si>
    <t>Нестерова Елена Валерьевна</t>
  </si>
  <si>
    <t>Яцук Наталья Пантелеевна</t>
  </si>
  <si>
    <t>Нарожный Виталий Николаевич</t>
  </si>
  <si>
    <t>Переденко Юрий Викторович</t>
  </si>
  <si>
    <t>Маров Иван Евгеньевич</t>
  </si>
  <si>
    <t>28.09 - 02.10</t>
  </si>
  <si>
    <t>05.10 - 09.10</t>
  </si>
  <si>
    <t>НЕД 39</t>
  </si>
  <si>
    <t>Пункт 1.1. Матрицы. Нет сведений о расторжении договора цессии</t>
  </si>
  <si>
    <t>Пункты 2.1., 5.1., 5.5. Матрицы + иные расходы(БР)</t>
  </si>
  <si>
    <t>Пункты 2.1., 8.1., 8.3.(Р) Матрицы. Не принимаем соглашение, т.к. оно подписано не уполномоченным лицом (в доверенности нет полномочий на подписание соглашения)</t>
  </si>
  <si>
    <t>1. Добавить про соглашение; 2. Убрать лишнюю выплату</t>
  </si>
  <si>
    <t>Пункт 5.1.(БР), Матрицы. + страховое возмещение (отказ). Оформление ДТП по системе европротокол через мобильное приложение. На запрос ФО РСА ответил, что данных о ДТП в системе нет.</t>
  </si>
  <si>
    <t>Пункт 1.1. Матрицы (грузовое ТС)</t>
  </si>
  <si>
    <t>Пункты 1.2., 8.1., 8.2.(БР) Матрицы</t>
  </si>
  <si>
    <t>1. Отказываем, т.к. есть ответ от РСА об отсутствии сведений. ТРИ ВОЗВРАТА</t>
  </si>
  <si>
    <t>Ответственность виновника не застрахована</t>
  </si>
  <si>
    <t>Пункты 8.2., 8.3., 8.5. Матрицы</t>
  </si>
  <si>
    <t>Пункты 2.1., 5.1., 5.5., 8.1., 8.3. Матрицы + повреждения датчика круиз-контроля, дефектовка</t>
  </si>
  <si>
    <t>Пункты 1.2., 5.1., 5.4.(БР), 8.1., 8.2.(БР) Матрицы</t>
  </si>
  <si>
    <t>Пункт 6.1. Матрицы. С учетом сроков давности</t>
  </si>
  <si>
    <t>Пункты 2.1., 5.5., 8.1., 8.2., 8.4. Матрицы</t>
  </si>
  <si>
    <t>У-20-130512</t>
  </si>
  <si>
    <t>Теунаев Темирлан Пушкинович</t>
  </si>
  <si>
    <t>1. Не дана оценка доводам ФО о выплате по повреждениям по другому страховому случаю</t>
  </si>
  <si>
    <t>Пункты 8.1., 8.6.(БР), Матрицы + страховое возмещение. Доводы ФО по тексту решения. ФО говорит о том, что выплатила за повреждения по данному ДТП по другому страховому случаю.</t>
  </si>
  <si>
    <t>У-20-124570</t>
  </si>
  <si>
    <t>Балявина Анастасия Александровна</t>
  </si>
  <si>
    <t xml:space="preserve">Пункты 1.8., 8.1., 8.2. Матрицы. Выплата СВ на основании НТЭ Заявителя. ФО выплатила 50% от стоимости НТЭ. </t>
  </si>
  <si>
    <t>Пункты 4.4., 5.5., 8.1., 8.2. Матрицы</t>
  </si>
  <si>
    <t>Пункт 5.2. Матрицы. Неустойка после решения ФУ и суда</t>
  </si>
  <si>
    <t>Пункты 4.1., 5.1.(БР), Матрицы</t>
  </si>
  <si>
    <t>1. Не дана оценка доводам Заявителя о расстоянии до СТОА</t>
  </si>
  <si>
    <t>1. Нужна мотивировка про исполнение решения ФУ в срок, а не стандартная</t>
  </si>
  <si>
    <t>Пункты 1.2., 4.1. Матрицы</t>
  </si>
  <si>
    <t>Пункты 4.1., 7.1., 8.1., 8.2. Матрицы. Не официальный дилер</t>
  </si>
  <si>
    <t>Пункты 2.1., 5.5., 7.1., 8.1. Матрицы</t>
  </si>
  <si>
    <t>Пункты 4.1., 8.4.(БР), 8.5.(БР) Матрицы</t>
  </si>
  <si>
    <t>Пункты 4.1., 8.5. Матрицы</t>
  </si>
  <si>
    <t>Отбить доводы ФО о досрочном прекращении</t>
  </si>
  <si>
    <t>1. Прошел сок давности, прекращаемся</t>
  </si>
  <si>
    <t>Удержание франшизы и уменьшение страховой суммы</t>
  </si>
  <si>
    <t>1. Не рассмотрены доводы ФО об обоюдной вине; 2. Не проанализированы сроки выдачи сторого ННР; 3. Ошибки в формативаронии текста (разные отступы первой строки); 4. Другой почтовый адрес. ПОВТОРНЫЙ ВОЗВРАТ: 6 км получилось больше 50 км</t>
  </si>
  <si>
    <t>Пункты 4.1., 5.5., 7.1., 8.1., 8.2. Матрицы + дефектовка Дилер не дилер</t>
  </si>
  <si>
    <t>1. Возраст ТС больше 2х лет; 2. Не рассмотрена НТЭ</t>
  </si>
  <si>
    <t>Пункты 3.1., 3.2., 3.3. Матрицы. Новые полисы</t>
  </si>
  <si>
    <t>Пункты 4.4., 8.1., 8.2., 8.3., 8.4. Матрицы</t>
  </si>
  <si>
    <t>Пункт 1.1. Матрицы. По юр услугам не соблюден претензионный порядок. По неустойке нет соглашения о расторжении договора цессии № 3, по НТЭ и почте, нет уведомления ФО о расторжении договора цессии № 2</t>
  </si>
  <si>
    <t>1. Не разобралась с договорами цессии</t>
  </si>
  <si>
    <t>Пункты 2.1., 8.1., 8.2., 8.3., 8.4.(БР) Матрицы. Не принимаем выплату по системе CONTACT(КОНТАКТ), но взыскиваем экспертизу после 01.06, т.к. выплата по системе КОНТАКТ была сделана на основании НТЭ Заявителя</t>
  </si>
  <si>
    <t>Пункты 1.2., 8.1., 8.2. Матрицы + диагностика (БР)</t>
  </si>
  <si>
    <t>Пункты 5.1., 5.5., 7.1., 8.1. Матрицы</t>
  </si>
  <si>
    <t>1. Неверный расчет неустойки (в части сроков)</t>
  </si>
  <si>
    <t>Пункт 5.1. Матрицы. Неустойка после решения ФУ</t>
  </si>
  <si>
    <t>Пункт 1.1. Матрицы (разные даты ДТП в адм материалах, заявлении в ФО, договоре цессии)</t>
  </si>
  <si>
    <t>Пункты 5.1.(на 8.4. и 8.5.), 8.4., 8.5., 10. Матрицы</t>
  </si>
  <si>
    <t>1. Не правильно оценила платежные документы на оплату расходов Заявителя (посчитала, что это выплата со стороны ФО)</t>
  </si>
  <si>
    <t>Пункт 1.5. Матрицы. Смена собственника на стороне виновника</t>
  </si>
  <si>
    <t>Не страховой случай. Заявитель ссылается на стихийное бедствие</t>
  </si>
  <si>
    <t>Не заполнено извещение о ДТП (пункт 14) повреждения ТС виновника</t>
  </si>
  <si>
    <t>1. Написано по аналогии с делом, когда не заполнен пункт 18 Извещения, а это другие обстоятельства</t>
  </si>
  <si>
    <t>Пункты 4.4., 8.1. Матрицы. Заявитель не предоставил ТС на 3-х сторонний осмотр</t>
  </si>
  <si>
    <t>1. Не заполнены реквизиты ФО</t>
  </si>
  <si>
    <t>Пункты 1.3., 8.1., 8.3., 8.6.(БР), 8.7.(БР) Матрицы + дефектовка</t>
  </si>
  <si>
    <t>У-20-119176</t>
  </si>
  <si>
    <t>У-20-122630</t>
  </si>
  <si>
    <t>У-20-124701</t>
  </si>
  <si>
    <t>У-20-125883</t>
  </si>
  <si>
    <t>У-20-127107</t>
  </si>
  <si>
    <t>У-20-127423</t>
  </si>
  <si>
    <t>У-20-127626</t>
  </si>
  <si>
    <t>У-20-129322</t>
  </si>
  <si>
    <t>У-20-129360</t>
  </si>
  <si>
    <t>У-20-129419</t>
  </si>
  <si>
    <t>У-20-129465</t>
  </si>
  <si>
    <t>У-20-129743</t>
  </si>
  <si>
    <t>У-20-129829</t>
  </si>
  <si>
    <t>У-20-129972</t>
  </si>
  <si>
    <t>У-20-129995</t>
  </si>
  <si>
    <t>У-20-130080</t>
  </si>
  <si>
    <t>У-20-130110</t>
  </si>
  <si>
    <t>У-20-130112</t>
  </si>
  <si>
    <t>У-20-130219</t>
  </si>
  <si>
    <t>У-20-130314</t>
  </si>
  <si>
    <t>У-20-130343</t>
  </si>
  <si>
    <t>У-20-130414</t>
  </si>
  <si>
    <t>У-20-130581</t>
  </si>
  <si>
    <t>У-20-130610</t>
  </si>
  <si>
    <t>У-20-130677</t>
  </si>
  <si>
    <t>У-20-130704</t>
  </si>
  <si>
    <t>У-20-130770</t>
  </si>
  <si>
    <t>У-20-130806</t>
  </si>
  <si>
    <t>У-20-130857</t>
  </si>
  <si>
    <t>У-20-130873</t>
  </si>
  <si>
    <t>У-20-130885</t>
  </si>
  <si>
    <t>У-20-130909</t>
  </si>
  <si>
    <t>У-20-130974</t>
  </si>
  <si>
    <t>У-20-131049</t>
  </si>
  <si>
    <t>У-20-131243</t>
  </si>
  <si>
    <t>У-20-131252</t>
  </si>
  <si>
    <t>У-20-131331</t>
  </si>
  <si>
    <t>У-20-131393</t>
  </si>
  <si>
    <t>У-20-131468</t>
  </si>
  <si>
    <t>У-20-131473</t>
  </si>
  <si>
    <t>У-20-131532</t>
  </si>
  <si>
    <t>У-20-131540</t>
  </si>
  <si>
    <t>У-20-131633</t>
  </si>
  <si>
    <t>У-20-131685</t>
  </si>
  <si>
    <t>У-20-131963</t>
  </si>
  <si>
    <t>У-20-132050</t>
  </si>
  <si>
    <t>У-20-132060</t>
  </si>
  <si>
    <t>У-20-132181</t>
  </si>
  <si>
    <t>У-20-132210</t>
  </si>
  <si>
    <t>У-20-132384</t>
  </si>
  <si>
    <t>У-20-132553</t>
  </si>
  <si>
    <t>У-20-132590</t>
  </si>
  <si>
    <t>У-20-132783</t>
  </si>
  <si>
    <t>У-20-132811</t>
  </si>
  <si>
    <t>У-20-132898</t>
  </si>
  <si>
    <t>У-20-132982</t>
  </si>
  <si>
    <t>У-20-133005</t>
  </si>
  <si>
    <t>У-20-136542</t>
  </si>
  <si>
    <t>У-20-137294</t>
  </si>
  <si>
    <t>У-20-137403</t>
  </si>
  <si>
    <t>У-20-137415</t>
  </si>
  <si>
    <t>У-20-137441</t>
  </si>
  <si>
    <t>У-20-137713</t>
  </si>
  <si>
    <t>У-20-137749</t>
  </si>
  <si>
    <t>У-20-137805</t>
  </si>
  <si>
    <t>У-20-138022</t>
  </si>
  <si>
    <t>У-20-138130</t>
  </si>
  <si>
    <t>У-20-138134</t>
  </si>
  <si>
    <t>У-20-138178</t>
  </si>
  <si>
    <t>У-20-138187</t>
  </si>
  <si>
    <t>У-20-138262</t>
  </si>
  <si>
    <t>У-20-138381</t>
  </si>
  <si>
    <t>У-20-138615</t>
  </si>
  <si>
    <t>У-20-138765</t>
  </si>
  <si>
    <t>У-20-138872</t>
  </si>
  <si>
    <t>У-20-138875</t>
  </si>
  <si>
    <t>У-20-139040</t>
  </si>
  <si>
    <t>У-20-139202</t>
  </si>
  <si>
    <t>У-20-139280</t>
  </si>
  <si>
    <t>У-20-139364</t>
  </si>
  <si>
    <t>У-20-139454</t>
  </si>
  <si>
    <t>У-20-139695</t>
  </si>
  <si>
    <t>У-20-139698</t>
  </si>
  <si>
    <t>У-20-140018</t>
  </si>
  <si>
    <t>У-20-140085</t>
  </si>
  <si>
    <t>У-20-140293</t>
  </si>
  <si>
    <t>У-20-140506</t>
  </si>
  <si>
    <t>У-20-140520</t>
  </si>
  <si>
    <t>У-20-140524</t>
  </si>
  <si>
    <t>У-20-140616</t>
  </si>
  <si>
    <t>У-20-140718</t>
  </si>
  <si>
    <t>У-20-141087</t>
  </si>
  <si>
    <t>У-20-141170</t>
  </si>
  <si>
    <t>ООО "Гарант Сервис"</t>
  </si>
  <si>
    <t>Муромцев Вениамин Эдуардович</t>
  </si>
  <si>
    <t>Дулькин Михаил Васильевич</t>
  </si>
  <si>
    <t>Ивашкин Алексей Иванович</t>
  </si>
  <si>
    <t>Богомолов Николай Александрович</t>
  </si>
  <si>
    <t>Чернов Илья Андреевич</t>
  </si>
  <si>
    <t>Сабуров Сергей Леонидович</t>
  </si>
  <si>
    <t>Папазян Ирина Олеговна</t>
  </si>
  <si>
    <t>Волкова Наталья Ивановна</t>
  </si>
  <si>
    <t>Сенцов Евгений Альбертович</t>
  </si>
  <si>
    <t>Волков Константин Сергеевич</t>
  </si>
  <si>
    <t>Горбунова Оксана Валерьевна</t>
  </si>
  <si>
    <t>Самородов Валерий Николаевич</t>
  </si>
  <si>
    <t>Глазов Максим Александрович</t>
  </si>
  <si>
    <t>Александров Роман Олегович</t>
  </si>
  <si>
    <t>Хачатрян Гор Вирапович</t>
  </si>
  <si>
    <t>Никифорова Венера Фаритовна</t>
  </si>
  <si>
    <t>Сидоров Михаил Александрович</t>
  </si>
  <si>
    <t>Шустов Валентин Владимирович</t>
  </si>
  <si>
    <t>Кошелев Владимир Васильевич</t>
  </si>
  <si>
    <t>Чубыкин Евгений Геннадьевич</t>
  </si>
  <si>
    <t>Мельников Тимофей Витальевич</t>
  </si>
  <si>
    <t>Сидорова Инна Сергеевна</t>
  </si>
  <si>
    <t>Курчиков Анатолий Витальевич</t>
  </si>
  <si>
    <t>Моралова Наталья Валерьевна</t>
  </si>
  <si>
    <t>Синельников Данила Андреевич</t>
  </si>
  <si>
    <t>Кривов Валерий Сергеевич</t>
  </si>
  <si>
    <t>Рыжкова Галина Викторовна</t>
  </si>
  <si>
    <t>Нурдинов Руслан Лерманович</t>
  </si>
  <si>
    <t>Казачкова Дарья Игоревна</t>
  </si>
  <si>
    <t>Галустян Амлет Гришаевич</t>
  </si>
  <si>
    <t>Чистяков Александр Николаевич</t>
  </si>
  <si>
    <t>Ермоленко Юлия Сергеевна</t>
  </si>
  <si>
    <t>Гречушкин Дмитрий Александрович</t>
  </si>
  <si>
    <t>Еприкян Оник Епремович</t>
  </si>
  <si>
    <t>Закраева Хава Таусовна</t>
  </si>
  <si>
    <t>Лепшеева Елена Михайловна</t>
  </si>
  <si>
    <t>Крапивин Виктор Викторович</t>
  </si>
  <si>
    <t>Галина Юлия Владимировна</t>
  </si>
  <si>
    <t>Кармазин Даниил Олегович</t>
  </si>
  <si>
    <t>Гиголаева Алиса Вадимовна</t>
  </si>
  <si>
    <t>Евдокименко Татьяна Сергеевна</t>
  </si>
  <si>
    <t>Иванилов Антон Владимирович</t>
  </si>
  <si>
    <t>Кибизов Алексей Витальевич</t>
  </si>
  <si>
    <t>Соколов Дмитрий Витальевич</t>
  </si>
  <si>
    <t>Калачев Денис Александрович</t>
  </si>
  <si>
    <t>Тарасов Илья Сергеевич</t>
  </si>
  <si>
    <t>Дигурова Светлана Олеговна</t>
  </si>
  <si>
    <t>Смирнова Яна Алексеевна</t>
  </si>
  <si>
    <t>Васильчук Евгений Владимирович</t>
  </si>
  <si>
    <t>Алихаджиев Аслан Романович</t>
  </si>
  <si>
    <t>Королёва Оксана Александровна</t>
  </si>
  <si>
    <t>Сарварова Дарья Валерьевна</t>
  </si>
  <si>
    <t>Хачегогу Султан Асланович</t>
  </si>
  <si>
    <t>Ковалев Александр Викторович</t>
  </si>
  <si>
    <t>Шалито Геннадий Николаевич</t>
  </si>
  <si>
    <t>Кропачева Мария Александровна</t>
  </si>
  <si>
    <t>Ахалая Лариса Сергеевна</t>
  </si>
  <si>
    <t>Швечикова Анна Анатольевна</t>
  </si>
  <si>
    <t>Сагадиев Ильфат Рифатович</t>
  </si>
  <si>
    <t>Ахметова Энже Завдатовна</t>
  </si>
  <si>
    <t>Левшин Дмитрий Вадимович</t>
  </si>
  <si>
    <t>Редько Семен Эдуардович</t>
  </si>
  <si>
    <t>Рахманов Бабамурат Шерипович</t>
  </si>
  <si>
    <t>Лазутина Анна Викторовна</t>
  </si>
  <si>
    <t>Мануйленко Надежда Михайловна</t>
  </si>
  <si>
    <t>Чемоданова Мария Сергеевна</t>
  </si>
  <si>
    <t>Орловский Вячеслав Юрьевич</t>
  </si>
  <si>
    <t>Подлегаев Андрей Михайлович</t>
  </si>
  <si>
    <t>Петров Александр Витальевич</t>
  </si>
  <si>
    <t>Желетежев Аскер Арсенович</t>
  </si>
  <si>
    <t>Александр Боженков Викторович</t>
  </si>
  <si>
    <t>Арутюнян Арутюн Норайрович</t>
  </si>
  <si>
    <t>Гаврюшова Анна Сергеевна</t>
  </si>
  <si>
    <t>Дедова Ирина Павловна</t>
  </si>
  <si>
    <t>Чадранцев Василий Васильевич</t>
  </si>
  <si>
    <t>Смирнова Мария Николаевна</t>
  </si>
  <si>
    <t>Дмитренко Елена Сергеевна</t>
  </si>
  <si>
    <t>Маковеев Владимир Петрович</t>
  </si>
  <si>
    <t>Усачев Денис Игоревич</t>
  </si>
  <si>
    <t>Умеров Амет Умерович</t>
  </si>
  <si>
    <t>Румянцева Екатерина Александровна</t>
  </si>
  <si>
    <t>Антия Валери Давидович</t>
  </si>
  <si>
    <t>Фатцаров Батрадз Артурович</t>
  </si>
  <si>
    <t>Ханмагомедов Нежмутдин Ханмагомедович</t>
  </si>
  <si>
    <t>Колотушкина Наталья Юрьевна</t>
  </si>
  <si>
    <t>Пункты 2.1., 5.5., 9. Матрицы</t>
  </si>
  <si>
    <t>1. Нужно отказывать, т.к. потерпевший водитель, а не 3е лицо</t>
  </si>
  <si>
    <t>Пункты 3.1., 5.1.(БР) Матрицы. Потерпевший - водитель. Не 3-е лицо</t>
  </si>
  <si>
    <t>Ненадлежащее оформления ДТП (гражданская ответсвтенность Заявителя не застрахована)</t>
  </si>
  <si>
    <t>Пункты 4.4., 5.5., 8.1., 8.3., 8.4. Матрицы + дефектовка</t>
  </si>
  <si>
    <t>Пункты 4.1., 8.1., 9. Матрицы</t>
  </si>
  <si>
    <t>Пункт 1.1. Матрицы (нет решения суда)</t>
  </si>
  <si>
    <t>Пункты 3.2., 5.1. Матрицы. Не рассматрвиаем, ОСГОП, переназнгачили на другое подразделение</t>
  </si>
  <si>
    <t>1. Рассмотрено как ОСАГО, но ОСГОП</t>
  </si>
  <si>
    <t>Пункты 5.5.(на 8.6.), 8.6., 9., 10. Матрицы</t>
  </si>
  <si>
    <t>1. Неверная мотивировка. Решение суда после решения ФУ</t>
  </si>
  <si>
    <t>Пункты 1.8., 2.1. Матрицы. Четыре участника. Вина не установлена, взыскиваем 3/4</t>
  </si>
  <si>
    <t>Пункт 4.1., 5.5., 8.1., 8.2., 8.3., 8.4., 8.5. Матрицы</t>
  </si>
  <si>
    <t>Пункт 5.1. Матрицы. Неустойка на УТС</t>
  </si>
  <si>
    <t>Пункты 2.1., 5.1. Матрицы. Осуществлена выплата в размере лимита 400000</t>
  </si>
  <si>
    <t>1. Оснований для проведения НТЭ ФУ нет, т.к. ФО произведена выплата в пределах лимита</t>
  </si>
  <si>
    <t>Пункты 7.1., 8.1. Матрицы</t>
  </si>
  <si>
    <t>Пункты 5.1., 8.2., 8.4., 8.5., 5.1.(на 8.5.)(БР) Матрицы</t>
  </si>
  <si>
    <t>Пункты 2.1., 5.1., 8.6. Матрицы</t>
  </si>
  <si>
    <t>Пункт 5.2. Матрицы. С учетом сроков давности</t>
  </si>
  <si>
    <t>1. Подробнее расписать про страховое и доп расходы</t>
  </si>
  <si>
    <t>Пункт 1.1. Матрицы (невозможно точно установить собственника ТС, противоречивые документы)</t>
  </si>
  <si>
    <t>Пункт 6.1. Матрицы. Решение ФУ изменено решением суда</t>
  </si>
  <si>
    <t xml:space="preserve">не можем отказать в неустойке как в производном требовании. т.к. ск признала случай страховым и выдала направление на стоа. также в связи с этим, мы не можем ссылаться на то, что страховой случай не наступил. указываем, что на основании экспертизы оснований для удовлетворения нет. </t>
  </si>
  <si>
    <t xml:space="preserve">1. Принято решение без учета степени вины </t>
  </si>
  <si>
    <t>1. Нужно прекращать, т.к. грузовой фургон</t>
  </si>
  <si>
    <t>Пункты 2.1., 8.2. Матрицы + плата за рассмотрение обращения (БР)</t>
  </si>
  <si>
    <t>ООО «СК «Надежда»</t>
  </si>
  <si>
    <t>2466284979</t>
  </si>
  <si>
    <t>2466035034</t>
  </si>
  <si>
    <t>1. Отказываем как добровольное, а не на основании НТЭ</t>
  </si>
  <si>
    <t>1. Неверный расчет неустойки. Не верно определена дата обращения в ФО. ПОВТОРНЫЙ ВОЗВРАТ. 1. Неверная сумма в резолютивной части</t>
  </si>
  <si>
    <t>Пункт 4.4. Матрицы. Отказ, т.к. предоставление адм документов после обращения в ФО с извещением не увеличивает страховую сумму. Увеличение лимита</t>
  </si>
  <si>
    <t>1. Взысканы расходы на НТЭ в большем рамзере, чем заявлены требования</t>
  </si>
  <si>
    <t>НА 1 ДЕЛО</t>
  </si>
  <si>
    <t>1. Описание ДТП без учета вины. Вина не установлена</t>
  </si>
  <si>
    <t>12.10 - 16.10</t>
  </si>
  <si>
    <t>Пункты 2.1., 5.1., 8.6. Матрицы + дефектовка</t>
  </si>
  <si>
    <t>Пункты 5.2., 9. Матрицы</t>
  </si>
  <si>
    <t>Пункты 2.1., 5.1., 8.1., 8.2.(БР), 8.4.(БР) Матрицы</t>
  </si>
  <si>
    <t>1. Не учтен лимит 100000 при взыскании неустойки; 2. В резолютивной части другая ФО; 3. Другая мотивировка при отказе в выплате НТЭ; 4. Юр услуги и нотариус БР</t>
  </si>
  <si>
    <t>Пункты 5.1.(на 8.5.), 8.2., 8.3., 8.4., 8.5. Матрицы</t>
  </si>
  <si>
    <t>1. Нет анализа сроков выплаты расходов на эвакуатор</t>
  </si>
  <si>
    <t>1. Не проанализированы сроки по неутсойке</t>
  </si>
  <si>
    <t>Пункты 3.1., 5.4., 5.5. Матрицы. Выплата по полису ОСАГО полису 01.05.2019. Два новых, два старых</t>
  </si>
  <si>
    <t>Пункты 1.2., 8.1. Матрицы + дефектовка и иные расходы(БР)</t>
  </si>
  <si>
    <t>Повреждено более одного элемента, что не оспаривается Заявителем, в силу чего обращение с заявлением о страховом случае возможно только со справками из компетентных органов</t>
  </si>
  <si>
    <t>БЕЗ СПРАВОК</t>
  </si>
  <si>
    <t>Пункт 1.1. Матрицы (суд)</t>
  </si>
  <si>
    <t>Пункт 5.1. Матрицы + расходы на составление акта осмотра</t>
  </si>
  <si>
    <t>Пункты 1.8., 5.5., 8.1., 8.2.(БР), 9. Матрицы</t>
  </si>
  <si>
    <t>Пункт 5.2. Матрицы. Суд взыскал сумму страхового возмещения без учета суммы страхового возмещения, взысканного решением ФУ</t>
  </si>
  <si>
    <t>Пункты 1.2., 5.1., 8.1., 9., 10. Матрицы</t>
  </si>
  <si>
    <t>Пункт 1.1. Матрицы (Грузовое ТС)</t>
  </si>
  <si>
    <t>У-20-135192</t>
  </si>
  <si>
    <t>У-20-135515</t>
  </si>
  <si>
    <t>У-20-137737</t>
  </si>
  <si>
    <t>У-20-141179</t>
  </si>
  <si>
    <t>У-20-141256</t>
  </si>
  <si>
    <t>У-20-141432</t>
  </si>
  <si>
    <t>У-20-141471</t>
  </si>
  <si>
    <t>У-20-141552</t>
  </si>
  <si>
    <t>У-20-141732</t>
  </si>
  <si>
    <t>У-20-141880</t>
  </si>
  <si>
    <t>У-20-141898</t>
  </si>
  <si>
    <t>У-20-142280</t>
  </si>
  <si>
    <t>У-20-142410</t>
  </si>
  <si>
    <t>У-20-142423</t>
  </si>
  <si>
    <t>У-20-142453</t>
  </si>
  <si>
    <t>У-20-142530</t>
  </si>
  <si>
    <t>У-20-142820</t>
  </si>
  <si>
    <t>У-20-142869</t>
  </si>
  <si>
    <t>У-20-142894</t>
  </si>
  <si>
    <t>У-20-142964</t>
  </si>
  <si>
    <t>У-20-143065</t>
  </si>
  <si>
    <t>У-20-143524</t>
  </si>
  <si>
    <t>У-20-143656</t>
  </si>
  <si>
    <t>У-20-143700</t>
  </si>
  <si>
    <t>У-20-143701</t>
  </si>
  <si>
    <t>У-20-143705</t>
  </si>
  <si>
    <t>У-20-143794</t>
  </si>
  <si>
    <t>У-20-143897</t>
  </si>
  <si>
    <t>У-20-144012</t>
  </si>
  <si>
    <t>У-20-144115</t>
  </si>
  <si>
    <t>У-20-144121</t>
  </si>
  <si>
    <t>У-20-144148</t>
  </si>
  <si>
    <t>У-20-144241</t>
  </si>
  <si>
    <t>У-20-148646</t>
  </si>
  <si>
    <t>У-20-148688</t>
  </si>
  <si>
    <t>У-20-148898</t>
  </si>
  <si>
    <t>У-20-148939</t>
  </si>
  <si>
    <t>У-20-148954</t>
  </si>
  <si>
    <t>У-20-148962</t>
  </si>
  <si>
    <t>У-20-149272</t>
  </si>
  <si>
    <t>У-20-149412</t>
  </si>
  <si>
    <t>У-20-149844</t>
  </si>
  <si>
    <t>У-20-149991</t>
  </si>
  <si>
    <t>У-20-149993</t>
  </si>
  <si>
    <t>У-20-150142</t>
  </si>
  <si>
    <t>У-20-150307</t>
  </si>
  <si>
    <t>У-20-150601</t>
  </si>
  <si>
    <t>У-20-150869</t>
  </si>
  <si>
    <t>У-20-151046</t>
  </si>
  <si>
    <t>У-20-151176</t>
  </si>
  <si>
    <t>У-20-151191</t>
  </si>
  <si>
    <t>У-20-151206</t>
  </si>
  <si>
    <t>У-20-151433</t>
  </si>
  <si>
    <t>У-20-151442</t>
  </si>
  <si>
    <t>У-20-151646</t>
  </si>
  <si>
    <t>У-20-151722</t>
  </si>
  <si>
    <t>У-20-151765</t>
  </si>
  <si>
    <t>У-20-151919</t>
  </si>
  <si>
    <t>Язиков Владимир Викторович</t>
  </si>
  <si>
    <t>Эралиев Ариет Абдираимович</t>
  </si>
  <si>
    <t>Гареев Артемий Ильдарович</t>
  </si>
  <si>
    <t>Павлов Михаил Евгеньевич</t>
  </si>
  <si>
    <t>Шадижев Адам Салманович</t>
  </si>
  <si>
    <t>Салаев Намир Иман оглы</t>
  </si>
  <si>
    <t>Хмелевский Николай Николаевич</t>
  </si>
  <si>
    <t>Хомутинникова Наталья Олеговна</t>
  </si>
  <si>
    <t>Ливада Марина Васильевна</t>
  </si>
  <si>
    <t>Клочан Александр Павлович</t>
  </si>
  <si>
    <t>Алиев Мурад Насирович</t>
  </si>
  <si>
    <t>Тулупов Александр Анатольевич</t>
  </si>
  <si>
    <t>Ахкубеков Асхат Алимович</t>
  </si>
  <si>
    <t>Гортинский Денис Романович</t>
  </si>
  <si>
    <t>Еременко Дмитрий Юрьевич</t>
  </si>
  <si>
    <t>Моллерова Ольга Петровна</t>
  </si>
  <si>
    <t>Алиев Марат Аздарович</t>
  </si>
  <si>
    <t>Гордиевский Кирилл Сергеевич</t>
  </si>
  <si>
    <t>Галяутдинов Ильшат Ильдарович</t>
  </si>
  <si>
    <t>Абдулхамидов Курбан Абдусаламович</t>
  </si>
  <si>
    <t>Трашков Евгений Валерьевич</t>
  </si>
  <si>
    <t>Овчарова Элеонора Павловна</t>
  </si>
  <si>
    <t>Клыков Александр Алексеевич</t>
  </si>
  <si>
    <t>Кузнецова Инна Петровна</t>
  </si>
  <si>
    <t>Сергеева Татьяна Юрьевна</t>
  </si>
  <si>
    <t>Калистратова Елена Витальевна</t>
  </si>
  <si>
    <t>Карасько Елена Антоновна</t>
  </si>
  <si>
    <t>Блинов Павел Геннадьевич</t>
  </si>
  <si>
    <t>Пиманов Игорь Анатольевич</t>
  </si>
  <si>
    <t>Щавелев Олег Иванович</t>
  </si>
  <si>
    <t>Гаранцева Зоя Дмитриевна</t>
  </si>
  <si>
    <t>Федянина Евгения Ивановна</t>
  </si>
  <si>
    <t>Арзуманян Гаврош Гарикович</t>
  </si>
  <si>
    <t>Пшидаток Аскер Байзетович</t>
  </si>
  <si>
    <t>Хаперский Никита Максимович</t>
  </si>
  <si>
    <t>Дидоренко Владимир Борисович</t>
  </si>
  <si>
    <t>Закиров Дамир Динардович</t>
  </si>
  <si>
    <t>Шамсиев Вагиз Музакирович</t>
  </si>
  <si>
    <t>Шушпанов Антон Сергеевич</t>
  </si>
  <si>
    <t>Сидоров Станислав Валерьевич</t>
  </si>
  <si>
    <t>Норкин Александр Владимирович</t>
  </si>
  <si>
    <t>Шефатов Владислав Андреевич</t>
  </si>
  <si>
    <t>Гордиенко Ольга Алексеевна</t>
  </si>
  <si>
    <t>Шарыкалова Анна Викторовна</t>
  </si>
  <si>
    <t>Акобян Армен Арутикович</t>
  </si>
  <si>
    <t>Макаров Александр Владимирович</t>
  </si>
  <si>
    <t>Котов Александр Владимирович</t>
  </si>
  <si>
    <t>Маркова Наталья Юрьевна</t>
  </si>
  <si>
    <t>Пивоваров Вадим Петрович</t>
  </si>
  <si>
    <t>Майер Илья Николаевич</t>
  </si>
  <si>
    <t>Давидьян Давид Альбертович</t>
  </si>
  <si>
    <t>Алтухов Анатолий Николаевич</t>
  </si>
  <si>
    <t>Половной Сергей Владимирович</t>
  </si>
  <si>
    <t>Монаков Сергей Анатольевич</t>
  </si>
  <si>
    <t>Иванов Павел Владимирович</t>
  </si>
  <si>
    <t>Фролова Анна Васильевна</t>
  </si>
  <si>
    <t>Елизаров Вячеслав Александрович</t>
  </si>
  <si>
    <t>Восканян Артем Галустович</t>
  </si>
  <si>
    <t>Рыбакова Ольга Владимировна</t>
  </si>
  <si>
    <t>02.11 - 06.11</t>
  </si>
  <si>
    <t>1. Не рассмотрена неустойка</t>
  </si>
  <si>
    <t>У-20-147356</t>
  </si>
  <si>
    <t>Андреев Валерий Павлович</t>
  </si>
  <si>
    <t>Пункт 1.1. Матрицы (суд). Связанные обращения: У-20-147180 и У-20-147306 (два других брата)</t>
  </si>
  <si>
    <t>У-20-140187</t>
  </si>
  <si>
    <t>Лукьянов Иван Вячеславович</t>
  </si>
  <si>
    <t>Пункт 2.1. Матрицы. Ущерб вазе БР</t>
  </si>
  <si>
    <t>У-20-147433</t>
  </si>
  <si>
    <t>Перминов Даниил Андреевич</t>
  </si>
  <si>
    <t>У-20-140811</t>
  </si>
  <si>
    <t>Наумов Дмитрий Николаевич</t>
  </si>
  <si>
    <t>Пункт 1.1. Матрицы (такси)</t>
  </si>
  <si>
    <t>Пункты 5.1., 5.1.(на 8.5.), 8.2., 8.5. Матрицы</t>
  </si>
  <si>
    <t>Пункт 5.1. Матрицы. Неустойка после решения ФУ. ННР выдано в срок 123-ФЗ</t>
  </si>
  <si>
    <t>Пункты 1.8., 2.1., 5.4., 5.5., 8.2. Матрицы. Заявитель полагает, что ФО выплатила 50%, но ФО выплатила 100%. Взыскали разницу по НТЭ ФУ</t>
  </si>
  <si>
    <t>1. Удалить лишнюю моотивировку (3.10); 2. Опечатка ФС вместо нестойки; 3. Подробнее прописать про запрос реквизитов</t>
  </si>
  <si>
    <t>Пункт 1.7., 5.5., 8.1. Матрицы. ФО заявляет о расторжении договора ОСАГО в связи с сообщением Заявителем ложных сведений. Однако, фактически Заявитель в заявлении о заключении договора ОСАГО указал не полностью свой адрес, что не является оснвоанием для расторжения договора ОСАГО</t>
  </si>
  <si>
    <t>Пункты 1.2., 5.1.(БР), 8.1.(БР), 9. Матрицы</t>
  </si>
  <si>
    <t>Пункты 1.3., 5.1., 8.1. Матрицы</t>
  </si>
  <si>
    <t>115114, г. Москва, Дербеневская наб., д. 11, эт. 10, пом. 12</t>
  </si>
  <si>
    <t>Пункты 4.1.(БР), 8.1. Матрицы + дефектовка</t>
  </si>
  <si>
    <t>Где используется</t>
  </si>
  <si>
    <t>Шаблон подстановки</t>
  </si>
  <si>
    <t>Маска поиска</t>
  </si>
  <si>
    <t>маша</t>
  </si>
  <si>
    <t>имя листа</t>
  </si>
  <si>
    <t xml:space="preserve"> диапазон</t>
  </si>
  <si>
    <t>диапазон</t>
  </si>
  <si>
    <t>*request*</t>
  </si>
  <si>
    <t>ясень</t>
  </si>
  <si>
    <t>вася</t>
  </si>
  <si>
    <t>где request - искомая строка</t>
  </si>
  <si>
    <t>каша</t>
  </si>
  <si>
    <t>паша</t>
  </si>
  <si>
    <t>request* - начинается со строки</t>
  </si>
  <si>
    <t>*request - заканчивается строкой</t>
  </si>
  <si>
    <t>*request* - содержится в строке</t>
  </si>
  <si>
    <t>В случае отсутствия ключевого слова request, маской</t>
  </si>
  <si>
    <t>поиска будет считаться *request*.</t>
  </si>
  <si>
    <t>Поиск по уже введенному в ячейку значению</t>
  </si>
  <si>
    <t>ИСТИНА - да</t>
  </si>
  <si>
    <t>ЛОЖЬ - нет</t>
  </si>
  <si>
    <t>При наличии значений, отличных от вышеупомянутых</t>
  </si>
  <si>
    <t>будет использовано значение ИСТИНА.</t>
  </si>
  <si>
    <t>Сравнение с учетом регистра</t>
  </si>
  <si>
    <t>будет использовано значение ЛОЖЬ.</t>
  </si>
  <si>
    <t>Заголовок формирования списка</t>
  </si>
  <si>
    <t xml:space="preserve">Всего уникальных записей: </t>
  </si>
  <si>
    <t>При отсутствии значения, будет использовано</t>
  </si>
  <si>
    <t>значение "Unique records: "</t>
  </si>
  <si>
    <t>Заголовок поиска</t>
  </si>
  <si>
    <t xml:space="preserve">Найдено по запросу: </t>
  </si>
  <si>
    <t>значение "Search result: "</t>
  </si>
  <si>
    <t>Ширина формы</t>
  </si>
  <si>
    <t>При наличии значений, отличных от положительных</t>
  </si>
  <si>
    <t>чисел или чисел меньше 100, или числа больше</t>
  </si>
  <si>
    <t>половины ширина приложения, будет использовано</t>
  </si>
  <si>
    <t>значение 210.</t>
  </si>
  <si>
    <t>FILLING</t>
  </si>
  <si>
    <t>D11</t>
  </si>
  <si>
    <t>D15</t>
  </si>
  <si>
    <t>A3:A9999</t>
  </si>
  <si>
    <t>АО «АИГ»</t>
  </si>
  <si>
    <t>АО «ГУТА-Страхование»</t>
  </si>
  <si>
    <t>АО «Д2 Страхование»</t>
  </si>
  <si>
    <t>АО «ДальЖАСО»</t>
  </si>
  <si>
    <t>АО «ЕРВ Туристическое Страхование»</t>
  </si>
  <si>
    <t>АО «МетЛайф»</t>
  </si>
  <si>
    <t>АО «Русский Стандарт Страхование»</t>
  </si>
  <si>
    <t>АО «СГ «ПРЕСТИЖ-ПОЛИС»</t>
  </si>
  <si>
    <t>АО СК «Альянс»</t>
  </si>
  <si>
    <t>АО СК «Ингвар»</t>
  </si>
  <si>
    <t>АО «СК «Колымская»</t>
  </si>
  <si>
    <t>АО «СК «Резерв»</t>
  </si>
  <si>
    <t>АО СК «Ренессанс здоровье»</t>
  </si>
  <si>
    <t>АО СК «РСХБ-Страхование»</t>
  </si>
  <si>
    <t>АО «СК «Югория-Жизнь»</t>
  </si>
  <si>
    <t>АО «СМК «Сахамедстрах»</t>
  </si>
  <si>
    <t>АО «Страховая группа  АВАНГАРД - ГАРАНТ»</t>
  </si>
  <si>
    <t>АО «Страховая группа «УралСиб»</t>
  </si>
  <si>
    <t>АО «Страховая компания АСКО-Центр»</t>
  </si>
  <si>
    <t>АО  «Страховая компания «СОГАЗ-Мед»</t>
  </si>
  <si>
    <t>АО «УРАЛСИБ Жизнь»</t>
  </si>
  <si>
    <t>АО  «Цюрих надежное страхование»</t>
  </si>
  <si>
    <t>ОАО «ЧСК»</t>
  </si>
  <si>
    <t>ООО «АК БАРС СТРАХОВАНИЕ»</t>
  </si>
  <si>
    <t>ООО «АльфаСтрахование-Жизнь»</t>
  </si>
  <si>
    <t>ООО «АМТ Страхование»</t>
  </si>
  <si>
    <t>ООО «Атрадиус Рус Кредитное Страхование»</t>
  </si>
  <si>
    <t>ООО «БИН Страхование»</t>
  </si>
  <si>
    <t>ООО «БСД»</t>
  </si>
  <si>
    <t>ООО «Вита-страхование»</t>
  </si>
  <si>
    <t>ООО «ВСК-Линия жизни»</t>
  </si>
  <si>
    <t>ООО «ВСК-Милосердие»</t>
  </si>
  <si>
    <t>ООО «Капитал Лайф Страхование Жизни»</t>
  </si>
  <si>
    <t>ООО «Кофас Рус Страховая Компания»</t>
  </si>
  <si>
    <t>ООО «КПСК»</t>
  </si>
  <si>
    <t>ООО «МАКС-ЖИЗНЬ»</t>
  </si>
  <si>
    <t>ООО «МСГ»</t>
  </si>
  <si>
    <t>ООО «МСК «АйАйСи»</t>
  </si>
  <si>
    <t>ООО «МСК «ИНКО-МЕД»</t>
  </si>
  <si>
    <t>ООО «МСК «МЕДСТРАХ»</t>
  </si>
  <si>
    <t>ООО «ОСЖ РЕСО-Гарантия»</t>
  </si>
  <si>
    <t>ООО «ППФ Страхование жизни»</t>
  </si>
  <si>
    <t>ООО «РИКС»</t>
  </si>
  <si>
    <t>ООО «РСХБ-Страхование жизни»</t>
  </si>
  <si>
    <t>ООО «СК «АК БАРС-Мед»</t>
  </si>
  <si>
    <t>ООО СК «Альянс Жизнь»</t>
  </si>
  <si>
    <t>ООО СК «АСКОР»</t>
  </si>
  <si>
    <t>ООО СК «БКС Страхование жизни»</t>
  </si>
  <si>
    <t>ООО СК «ВТБ Страхование»</t>
  </si>
  <si>
    <t>ООО «СК «Гранта»</t>
  </si>
  <si>
    <t>ООО СК «ДЕЛО ЖИЗНИ»</t>
  </si>
  <si>
    <t>ООО «СК «Доминанта»</t>
  </si>
  <si>
    <t>ООО «СК «ИНГОССТРАХ - ЖИЗНЬ»</t>
  </si>
  <si>
    <t>ООО «СК «Ингосстрах-М»</t>
  </si>
  <si>
    <t>ООО «СК «Инертек»</t>
  </si>
  <si>
    <t>ООО «СК «ИНСАЙТ»</t>
  </si>
  <si>
    <t>ООО «СК ИНТЕРИ»</t>
  </si>
  <si>
    <t>ООО «СК «Капитал-полис»</t>
  </si>
  <si>
    <t>ООО «СК КАРДИФ»</t>
  </si>
  <si>
    <t>ООО «СК НИК»</t>
  </si>
  <si>
    <t>ООО СК «НСГ»</t>
  </si>
  <si>
    <t>ООО «СК «Ойлер Гермес Ру»</t>
  </si>
  <si>
    <t>ООО «СК «Райффайзен Лайф»</t>
  </si>
  <si>
    <t>ООО «СК «Ренессанс Жизнь»</t>
  </si>
  <si>
    <t>ООО СК «РЕСО-Шанс»</t>
  </si>
  <si>
    <t>ООО СК «Росгосстрах Жизнь»</t>
  </si>
  <si>
    <t>ООО СК «СБЕРБАНК СТРАХОВАНИЕ»</t>
  </si>
  <si>
    <t>ООО СК «Сбербанк страхование жизни»</t>
  </si>
  <si>
    <t>ООО «СК СОГАЗ-ЖИЗНЬ»</t>
  </si>
  <si>
    <t>ООО СК «Согласие-Вита»</t>
  </si>
  <si>
    <t>ООО «СК «ТИТ»</t>
  </si>
  <si>
    <t>ООО СК «Тюмень-Полис»</t>
  </si>
  <si>
    <t>ООО СК «УРАЛСИБ СТРАХОВАНИЕ»</t>
  </si>
  <si>
    <t>ООО «СК «ЧАББ»</t>
  </si>
  <si>
    <t>ООО «СК Чабб Жизнь»</t>
  </si>
  <si>
    <t>ООО СК «Чулпан-Жизнь»</t>
  </si>
  <si>
    <t>ООО «СК «Экспресс-страхование»</t>
  </si>
  <si>
    <t>ООО СК ЭчДиАй Глобал</t>
  </si>
  <si>
    <t>ООО СМК «АСТРА-МЕТАЛЛ»</t>
  </si>
  <si>
    <t>ООО «СМК РЕСО-МЕД»</t>
  </si>
  <si>
    <t>ООО СМК «УГМК-Медицина»</t>
  </si>
  <si>
    <t>ООО «СМО «Спасение»</t>
  </si>
  <si>
    <t>ООО «СМП-Страхование»</t>
  </si>
  <si>
    <t>ООО СО «Геополис»</t>
  </si>
  <si>
    <t>ООО «СОСЬЕТЕ ЖЕНЕРАЛЬ Страхование»</t>
  </si>
  <si>
    <t>ООО  «СОСЬЕТЕ ЖЕНЕРАЛЬ Страхование Жизни»</t>
  </si>
  <si>
    <t>ООО СПК «Юнити Ре»</t>
  </si>
  <si>
    <t>ООО «СТРАХОВАЯ КОМПАНИЯ «АРСЕНАЛЪ»</t>
  </si>
  <si>
    <t>ООО «Страховая компания «ВИТАЛ-Полис»</t>
  </si>
  <si>
    <t>ООО «Страховая компания «Кредит Европа Лайф»</t>
  </si>
  <si>
    <t>ООО «Страховая компания «Манго»</t>
  </si>
  <si>
    <t>ООО «Страховая компания «СиВ Лайф»</t>
  </si>
  <si>
    <t>ООО «Страховое общество «Помощь»</t>
  </si>
  <si>
    <t>ООО «ТСК»</t>
  </si>
  <si>
    <t>ООО «Хоум Кредит Страхование»</t>
  </si>
  <si>
    <t>САО «Геополис»</t>
  </si>
  <si>
    <t>САО «ЛЕКСГАРАНТ»</t>
  </si>
  <si>
    <t>СМК «АСТРАМЕД-МС» (АО)</t>
  </si>
  <si>
    <t>7710541631</t>
  </si>
  <si>
    <t>7710006391</t>
  </si>
  <si>
    <t>5407197984</t>
  </si>
  <si>
    <t>2721009356</t>
  </si>
  <si>
    <t>7706628777</t>
  </si>
  <si>
    <t>7730058711</t>
  </si>
  <si>
    <t>7703370086</t>
  </si>
  <si>
    <t>7733500790</t>
  </si>
  <si>
    <t>7702073683</t>
  </si>
  <si>
    <t>7714103893</t>
  </si>
  <si>
    <t>2702030521</t>
  </si>
  <si>
    <t>7704041020</t>
  </si>
  <si>
    <t>2722015673</t>
  </si>
  <si>
    <t>7710601270</t>
  </si>
  <si>
    <t>3328409738</t>
  </si>
  <si>
    <t>8601027509</t>
  </si>
  <si>
    <t>1435079008</t>
  </si>
  <si>
    <t>7708020007</t>
  </si>
  <si>
    <t>7703032986</t>
  </si>
  <si>
    <t>4629047723</t>
  </si>
  <si>
    <t>7728170427</t>
  </si>
  <si>
    <t>7728534829</t>
  </si>
  <si>
    <t>7707062854</t>
  </si>
  <si>
    <t>7707050464</t>
  </si>
  <si>
    <t>1658131075</t>
  </si>
  <si>
    <t>7715228310</t>
  </si>
  <si>
    <t>6317021441</t>
  </si>
  <si>
    <t>7709931612</t>
  </si>
  <si>
    <t>7717115093</t>
  </si>
  <si>
    <t>7734249643</t>
  </si>
  <si>
    <t>7727257435</t>
  </si>
  <si>
    <t>7730175542</t>
  </si>
  <si>
    <t>7730519137</t>
  </si>
  <si>
    <t>7706548313</t>
  </si>
  <si>
    <t>9710075134</t>
  </si>
  <si>
    <t>9102006047</t>
  </si>
  <si>
    <t>7724510200</t>
  </si>
  <si>
    <t>7713291235</t>
  </si>
  <si>
    <t>4207046506</t>
  </si>
  <si>
    <t>3666114486</t>
  </si>
  <si>
    <t>7744003688</t>
  </si>
  <si>
    <t>7726539162</t>
  </si>
  <si>
    <t>7744001803</t>
  </si>
  <si>
    <t>7604305400</t>
  </si>
  <si>
    <t>7704447253</t>
  </si>
  <si>
    <t>1657049646</t>
  </si>
  <si>
    <t>7727257386</t>
  </si>
  <si>
    <t>7714829011</t>
  </si>
  <si>
    <t>7702427967</t>
  </si>
  <si>
    <t>7702263726</t>
  </si>
  <si>
    <t>1655230261</t>
  </si>
  <si>
    <t>7713326777</t>
  </si>
  <si>
    <t>7708215214</t>
  </si>
  <si>
    <t>7702501628</t>
  </si>
  <si>
    <t>5256048032</t>
  </si>
  <si>
    <t>7835003420</t>
  </si>
  <si>
    <t>7704449282</t>
  </si>
  <si>
    <t>1655034323</t>
  </si>
  <si>
    <t>7838066700</t>
  </si>
  <si>
    <t>7714701780</t>
  </si>
  <si>
    <t>7328081081</t>
  </si>
  <si>
    <t>7716227728</t>
  </si>
  <si>
    <t>7706767530</t>
  </si>
  <si>
    <t>7704719732</t>
  </si>
  <si>
    <t>7725520440</t>
  </si>
  <si>
    <t>4825002743</t>
  </si>
  <si>
    <t>7743504307</t>
  </si>
  <si>
    <t>7706810747</t>
  </si>
  <si>
    <t>7744002123</t>
  </si>
  <si>
    <t>7729503816</t>
  </si>
  <si>
    <t>7706217093</t>
  </si>
  <si>
    <t>7714819895</t>
  </si>
  <si>
    <t>7203139882</t>
  </si>
  <si>
    <t>7606001534</t>
  </si>
  <si>
    <t>7704311252</t>
  </si>
  <si>
    <t>7704798036</t>
  </si>
  <si>
    <t>1644039560</t>
  </si>
  <si>
    <t>7703354951</t>
  </si>
  <si>
    <t>7710634156</t>
  </si>
  <si>
    <t>7414006585</t>
  </si>
  <si>
    <t>5035000265</t>
  </si>
  <si>
    <t>6661087851</t>
  </si>
  <si>
    <t>1659148586</t>
  </si>
  <si>
    <t>7728306068</t>
  </si>
  <si>
    <t>7711023801</t>
  </si>
  <si>
    <t>7709927260</t>
  </si>
  <si>
    <t>7706625952</t>
  </si>
  <si>
    <t>7803034240</t>
  </si>
  <si>
    <t>7705512995</t>
  </si>
  <si>
    <t>7713286644</t>
  </si>
  <si>
    <t>7705784734</t>
  </si>
  <si>
    <t>7725496861</t>
  </si>
  <si>
    <t>7702639270</t>
  </si>
  <si>
    <t>7825508140</t>
  </si>
  <si>
    <t>7709217038</t>
  </si>
  <si>
    <t>7709323491</t>
  </si>
  <si>
    <t>7704059892</t>
  </si>
  <si>
    <t>7707086608</t>
  </si>
  <si>
    <t>6685000585</t>
  </si>
  <si>
    <t>125315, город Москва, проспект Ленинградский, дом 72, корпус 2</t>
  </si>
  <si>
    <t>107078, город Москва, переулок Орликов, дом 5, стр.3</t>
  </si>
  <si>
    <t>630099, Новосибирская область, Новосибирск, улица Советская, дом 33, этаж 4</t>
  </si>
  <si>
    <t>680000, Хабаровский край, город Хабаровск, улица Пушкина, дом 38а</t>
  </si>
  <si>
    <t>119049, город Москва, переулок Добрынинский 4-й, д. 8, помещение с14-I, комната 21-26</t>
  </si>
  <si>
    <t>127015, г. Москва, ул. Бутырская, д. 76, стр. 1</t>
  </si>
  <si>
    <t>107023, город Москва, улица Семеновская М., 9, стр. 1</t>
  </si>
  <si>
    <t>123308, город Москва, улица Мневники, дом 13, помещение 3, комнаты 1-16</t>
  </si>
  <si>
    <t>115184, город Москва, набережная Озерковская, дом 30</t>
  </si>
  <si>
    <t>101000, город Москва, улица Мясницкая, дом 46/2, строение 3</t>
  </si>
  <si>
    <t>680051, Хабаровский край, город Хабаровск, улица Суворова, 45</t>
  </si>
  <si>
    <t>127015, город Москва, улица Расковой, дом 34, стр.14</t>
  </si>
  <si>
    <t>680030, Хабаровский край, город Хабаровск, улица Постышева, дом 22а</t>
  </si>
  <si>
    <t>115114, город Москва, набережная Дербеневская, дом 7, строение 22, этаж/пом 3/XI</t>
  </si>
  <si>
    <t>119034, город Москва, переулок Гагаринский, дом 3</t>
  </si>
  <si>
    <t>127055, город Москва, улица Бутырский вал, дом 68/70, строение 7, эт 3 каб 308</t>
  </si>
  <si>
    <t>677005, Республика Саха (Якутия),  город Якутск , улица Курашова, дом 44, корпус А</t>
  </si>
  <si>
    <t>129090, город Москва, переулок Грохольский, дом 29, корпус 1</t>
  </si>
  <si>
    <t>117342, город Москва, улица Обручева, дом 36, корпус 1, этаж 2, пом. 202</t>
  </si>
  <si>
    <t>305004, Курская область, Курск, улица Челюскинцев, дом 14</t>
  </si>
  <si>
    <t>107045, город Москва, переулок Уланский, дом 26, помещение 3.01</t>
  </si>
  <si>
    <t>117342, город Москва, улица Профсоюзная, дом 65, корпус 1</t>
  </si>
  <si>
    <t>115054, город Москва, набережная Космодамианская, дом 52, строение 3, этаж 8, офис 44</t>
  </si>
  <si>
    <t>127006, город Москва, улица Садовая-Триумфальная, дом 20, строение 2</t>
  </si>
  <si>
    <t>420124, Республика Татарстан (Татарстан), Казань, улица Меридианная, дом 1, корпус А, офис 82</t>
  </si>
  <si>
    <t>125040, город Москва, улица Ямского поля 3-я, дом 2, корпус 26, эт/пом/ком3/ VIII /59</t>
  </si>
  <si>
    <t>105120, город Москва, переулок Сыромятнический 2-й, дом 1, эт 4, пом 1, ком 33-40</t>
  </si>
  <si>
    <t>121552, город Москва, улица Островная, дом 4, помещение 22В</t>
  </si>
  <si>
    <t>129626, город Москва, переулок Графский, дом 12А, строение 2, комната 201</t>
  </si>
  <si>
    <t>628404, Ханты-Мансийский  автономный округ- Югра, город Сургут, улица Григория Кукуевицкого, дом 18</t>
  </si>
  <si>
    <t>121552, город Москва, Островная улица, 4</t>
  </si>
  <si>
    <t>121552, город Москва, улица Островная,  4</t>
  </si>
  <si>
    <t>115035, г. Москва, Кадашёвская набережная, д. 30</t>
  </si>
  <si>
    <t>125047, город Москва, улица Брестская 2-я, дом 8, эт 9</t>
  </si>
  <si>
    <t>295006, Республика Крым, город Симферополь, улица Карла Маркса, дом 29</t>
  </si>
  <si>
    <t>115184, город Москва, улица Ордынка М., дом 50</t>
  </si>
  <si>
    <t>119002, город Москва, переулок Сивцев Вражек, д. 29/16, эт. 1, пом. III, ком 4А, 4Б, 5</t>
  </si>
  <si>
    <t>109004, город Москва, улица Земляной Вал, дом 59, строение 2, этаж 5, пом. 12</t>
  </si>
  <si>
    <t>394018, Воронежская область, город Воронеж, улица Платонова, дом  14</t>
  </si>
  <si>
    <t>107140, город Москва, улица Красносельская верхн., 20, стр. 1</t>
  </si>
  <si>
    <t>117105, город Москва, проезд  Нагорный, 6, стр.8</t>
  </si>
  <si>
    <t>километр Киевское шоссе 22 (п. Московский), домовл. 6, стр. 1, Москва, 108811</t>
  </si>
  <si>
    <t>119334, город Москва, проезд Донской 5-й, дом 21Б, корпус 10, этаж антр. 6, пом. I, ком. 46</t>
  </si>
  <si>
    <t>119034, город Москва, переулок Гагаринский, дом 3, эт/пом/ком 1/ II / 18</t>
  </si>
  <si>
    <t>420124,  Республика Татарстан, город Казань, улица Меридианная, дом 1, корпус А, офис 85</t>
  </si>
  <si>
    <t>115184, город Москва,  набережная Озерковская, дом 30</t>
  </si>
  <si>
    <t>109263, город Москва, улица Чистова, дом 24А, помещение 7</t>
  </si>
  <si>
    <t>129110, город Москва, проспект Мира, дом 69, строение 1, этаж 9 помещ XV ком 1</t>
  </si>
  <si>
    <t>101000, город Москва, бульвар Чистопрудный, дом 8, строение 1</t>
  </si>
  <si>
    <t>420126, Республика Татарстан (Татарстан), Казань, улица Фатыха Амирхана, дом 21, помещение 1011</t>
  </si>
  <si>
    <t>125252, город  Москва, улица Зорге, дом 22А, офис 811</t>
  </si>
  <si>
    <t>109028, город Москва, переулок Подколокольный, дом 13, строение 1, офис 611</t>
  </si>
  <si>
    <t>125171, г. Москва, Ленинградское шоссе, д. 16, стр. 9</t>
  </si>
  <si>
    <t>117997, город Москва, улица Пятницкая, 12, стр. 2</t>
  </si>
  <si>
    <t>190031, город Санкт-Петербург, Спасский переулок, дом 14/35, литера А, офис 605</t>
  </si>
  <si>
    <t>143420, Московская область, город Красногорск, деревня Михалково, дорога Балтия, дом 25 км, литера 11Б, эт/пом/ком 3/1/84</t>
  </si>
  <si>
    <t>127051, город Москва, площадь Сухаревская М., дом 12</t>
  </si>
  <si>
    <t>190013, город Санкт-Петербург, проспект Московский, дом 22, лит. 3, кабинет 516</t>
  </si>
  <si>
    <t>127015, город Москва, улица Новодмитровская, дом 2, корпус 1, этаж 18, пом. СХ</t>
  </si>
  <si>
    <t>432072, Ульяновская область, Ульяновск, улица 40-летия Победы, дом 29</t>
  </si>
  <si>
    <t>117209, город Москва, проспект Севастопольский, дом 28, корпус 1</t>
  </si>
  <si>
    <t>115184, город Москва, набережная Озерковская, дом 30, эт/пом/ком 3/ VII / 5</t>
  </si>
  <si>
    <t>115230, город Москва, проезд Нагатинский 1-й, дом 10, строение 1</t>
  </si>
  <si>
    <t>115114, город Москва, набережная Дербеневская, дом 7, строение 22, эт 4 пом XIII, ком 11</t>
  </si>
  <si>
    <t>117105, г. Москва, Нагорный проезд, д. 6, строение 3</t>
  </si>
  <si>
    <t>109028, город Москва, набережная Серебряническая, дом 29, этаж 4 к.№ 47-71</t>
  </si>
  <si>
    <t>115093, город Москва, улица Павловская, дом 7</t>
  </si>
  <si>
    <t>115162, город Москва, улица Шаболовка, 31Г</t>
  </si>
  <si>
    <t>107078, город Москва, проспект Академика Сахарова, дом 10</t>
  </si>
  <si>
    <t>129110, город Москва, улица Гиляровского, 42</t>
  </si>
  <si>
    <t>115088, город Москва, проезд Южнопортовый 2-й, дом 18, строение 8</t>
  </si>
  <si>
    <t>625026, Тюменская область, Тюмень, улица Малыгина, дом 84</t>
  </si>
  <si>
    <t>117342, город Москва, улица Профсоюзная, дом 65, корпус 1, этаж 14, пом. 1401</t>
  </si>
  <si>
    <t>119034, город Москва, переулок Барыковский, дом 2</t>
  </si>
  <si>
    <t>119034, город Москва, переулок Барыковский, 2</t>
  </si>
  <si>
    <t>423462,Республика Татарстан, Альметьевский район, город Альметьевск, улица Советская, 178</t>
  </si>
  <si>
    <t>192012, город Санкт-Петербург, переулок 3-й Рабфаковский, дом 5, корпус 4, лит. А, помещение 4.11</t>
  </si>
  <si>
    <t>117485, город Москва, улица Обручева, дом 30/1, стр. 1</t>
  </si>
  <si>
    <t>455045, Челябинская  область, город Магнитогорск, улица Завенягина, 1, 2</t>
  </si>
  <si>
    <t>142500, Московская область, город Павловский Посад, улица Урицкого, 26</t>
  </si>
  <si>
    <t>620075, Свердловская область, город Екатеринбург, улица Первомайская,15</t>
  </si>
  <si>
    <t>420059, Республика Татарстан, город Казань, улица Хади Такташа, дом 121, помещение 1006</t>
  </si>
  <si>
    <t>115035, город Москва, улица Садовническая, дом 71, стр. 3</t>
  </si>
  <si>
    <t>119017, город Москва, переулок Толмачевский М., дом 10, эт./каб. 2/17</t>
  </si>
  <si>
    <t>105064, город Москва, улица Земляной Вал, дом 9, эт. 6, пом. 1, ком. 1-6</t>
  </si>
  <si>
    <t>117105, город Москва, проезд Нагорный, дом 6, строение 3</t>
  </si>
  <si>
    <t>111020, город Москва, улица Синичкина 2-я, дом 9а, стр.10</t>
  </si>
  <si>
    <t>115114, город Москва, переулок Кожевнический 2-й, дом 12, строение 2</t>
  </si>
  <si>
    <t>129090, город Москва, Олимпийский проспект,  14</t>
  </si>
  <si>
    <t>115035, город Москва, набережная Садовническая, дом 9, пом III ком 9</t>
  </si>
  <si>
    <t>117485, город Москва, улица Обручева, дом 30/1, строение 2</t>
  </si>
  <si>
    <t>191124, Город Санкт-Петербург, Санкт-Петербург, Синопская набережная, дом 50а, литер А</t>
  </si>
  <si>
    <t>141070, Московская область, Королев, улица Богомолова, дом 3 А, офис XXV</t>
  </si>
  <si>
    <t>125040, город Москва, улица Правды, дом 8, корпус 7, эт. 3, пом. I, ком. 1, 2, 9</t>
  </si>
  <si>
    <t>119017,город Москва,  переулок  Толмачевский М., 10</t>
  </si>
  <si>
    <t>101000, город Москва, переулок Златоустинский М., дом 10, строение 2</t>
  </si>
  <si>
    <t>620073, Свердловская область, город Екатеринбург, улица Крестинского, 46 А, офис 303</t>
  </si>
  <si>
    <t>115035, город Москва, набережная Кадашевская, дом 30</t>
  </si>
  <si>
    <t>Пункты 4.1., 5.5., 8.1.(БР) Матрицы</t>
  </si>
  <si>
    <t>Пункты 2.1., 5.1., 8.1., 8.2., 8.3.(БР) Матрицы</t>
  </si>
  <si>
    <t>Пункты 1.3., 8.1., 8.3., 8.4. Матрицы</t>
  </si>
  <si>
    <t>Пункты 4.1., 5.5. Матрицы + неидентифицированные расходы (БР)</t>
  </si>
  <si>
    <t>1. Неверный расчет сроков неустойки; 2. Нет анализа сроков выдачи ННР</t>
  </si>
  <si>
    <t>1. ФС нужно взыскать в фиксированной сумме на дату решения; 2. Описки в резолютивной части (лишние абзацы)</t>
  </si>
  <si>
    <t>Пункты 1.4., 5.4., 5.5. Матрицы (здоровье). Согласовать 30.10.2020</t>
  </si>
  <si>
    <t>Вред здоровью. Заявитель являлся пассажиром автобуса, выплата производится в соответствии с ФЗ-67 + пункт 5.1.(БР) Матрицы</t>
  </si>
  <si>
    <t>Пункты 4.1.(БР), 5.1., 8.1. Матрицы</t>
  </si>
  <si>
    <t>Пункт 1.1. Матрицы (досудебный порядок)</t>
  </si>
  <si>
    <t>Пункты 1.2., 5.1., 8.1., 8.3.(БР) Матрицы</t>
  </si>
  <si>
    <t>1. Два договора цессии (1й и 3й) предоставил, нужно написать только про 2й</t>
  </si>
  <si>
    <t>Заявитель не предоставил в ФО доказательство перехода права требования по Договору Цессии № 2 (всего 3 договора цессии) + пункты 5.1., 8.1. Матрицы</t>
  </si>
  <si>
    <t>У-20-144571</t>
  </si>
  <si>
    <t>У-20-144612</t>
  </si>
  <si>
    <t>У-20-144693</t>
  </si>
  <si>
    <t>У-20-152342</t>
  </si>
  <si>
    <t>У-20-132887</t>
  </si>
  <si>
    <t>У-20-137014</t>
  </si>
  <si>
    <t>У-20-144294</t>
  </si>
  <si>
    <t>У-20-144410</t>
  </si>
  <si>
    <t>У-20-144605</t>
  </si>
  <si>
    <t>У-20-144665</t>
  </si>
  <si>
    <t>У-20-152175</t>
  </si>
  <si>
    <t>У-20-152253</t>
  </si>
  <si>
    <t>Попович Артем Павлович</t>
  </si>
  <si>
    <t>Кенжев Иналь Ахметович</t>
  </si>
  <si>
    <t>Степанова Галина Станиславовна</t>
  </si>
  <si>
    <t>Ветров Сергей Михайлович</t>
  </si>
  <si>
    <t>Чабров Денис Викторович</t>
  </si>
  <si>
    <t>Айтенбекова Аселя Сергеевна</t>
  </si>
  <si>
    <t>Газарян Саяд Азатович</t>
  </si>
  <si>
    <t>Григорян Араик Иванович</t>
  </si>
  <si>
    <t>Абдулаев Исмаил Магомедович</t>
  </si>
  <si>
    <t>Хандохин Андрей Семенович</t>
  </si>
  <si>
    <t>Бзнуни Армен Суренович</t>
  </si>
  <si>
    <t>Газизова Гульзифа Кутдусовна</t>
  </si>
  <si>
    <t>1. Неустойку нужно оставлять БР</t>
  </si>
  <si>
    <t>Выплата на основании соглашения + пункт 8.1. Матрицы + услуги автосервиса</t>
  </si>
  <si>
    <t>Пункты 4.1., 5.1., 8.1. Матрицы. Не принимаем фотоматериалы заявителя о предоставлении ТС на СТОА, т.к. они сделаны не по координатам СТОА.</t>
  </si>
  <si>
    <t>Пункты 6.1., 9. Матрицы. Решение суда было исполнено раньше, чем вступило в законную силу (с учетом апелляционного обжалования)</t>
  </si>
  <si>
    <t>1. Решение суда, в случае его обжаловани, вступает в силу в день вынесения апелляционного определения</t>
  </si>
  <si>
    <t>У-20-137962</t>
  </si>
  <si>
    <t>У-20-139813</t>
  </si>
  <si>
    <t>У-20-145004</t>
  </si>
  <si>
    <t>У-20-145092</t>
  </si>
  <si>
    <t>У-20-145107</t>
  </si>
  <si>
    <t>У-20-145245</t>
  </si>
  <si>
    <t>У-20-145348</t>
  </si>
  <si>
    <t>У-20-145402</t>
  </si>
  <si>
    <t>У-20-145498</t>
  </si>
  <si>
    <t>У-20-145515</t>
  </si>
  <si>
    <t>У-20-145695</t>
  </si>
  <si>
    <t>У-20-145731</t>
  </si>
  <si>
    <t>У-20-145780</t>
  </si>
  <si>
    <t>У-20-145976</t>
  </si>
  <si>
    <t>У-20-145980</t>
  </si>
  <si>
    <t>У-20-146143</t>
  </si>
  <si>
    <t>У-20-146207</t>
  </si>
  <si>
    <t>У-20-146271</t>
  </si>
  <si>
    <t>У-20-146337</t>
  </si>
  <si>
    <t>У-20-146422</t>
  </si>
  <si>
    <t>У-20-146531</t>
  </si>
  <si>
    <t>У-20-146609</t>
  </si>
  <si>
    <t>У-20-146880</t>
  </si>
  <si>
    <t>У-20-146892</t>
  </si>
  <si>
    <t>У-20-146974</t>
  </si>
  <si>
    <t>У-20-147029</t>
  </si>
  <si>
    <t>У-20-147304</t>
  </si>
  <si>
    <t>У-20-147678</t>
  </si>
  <si>
    <t>У-20-147832</t>
  </si>
  <si>
    <t>У-20-148185</t>
  </si>
  <si>
    <t>У-20-152873</t>
  </si>
  <si>
    <t>У-20-152909</t>
  </si>
  <si>
    <t>У-20-153059</t>
  </si>
  <si>
    <t>У-20-153126</t>
  </si>
  <si>
    <t>У-20-153335</t>
  </si>
  <si>
    <t>У-20-153366</t>
  </si>
  <si>
    <t>У-20-153565</t>
  </si>
  <si>
    <t>У-20-153708</t>
  </si>
  <si>
    <t>У-20-153730</t>
  </si>
  <si>
    <t>У-20-154002</t>
  </si>
  <si>
    <t>У-20-154271</t>
  </si>
  <si>
    <t>У-20-154648</t>
  </si>
  <si>
    <t>У-20-154890</t>
  </si>
  <si>
    <t>У-20-155246</t>
  </si>
  <si>
    <t>У-20-155397</t>
  </si>
  <si>
    <t>У-20-155488</t>
  </si>
  <si>
    <t>У-20-155717</t>
  </si>
  <si>
    <t>У-20-155896</t>
  </si>
  <si>
    <t>У-20-156032</t>
  </si>
  <si>
    <t>Янушко Марина Михайловна</t>
  </si>
  <si>
    <t>Псеунова Мадина Мурадиновна</t>
  </si>
  <si>
    <t>Горелова Наталья Николаевна</t>
  </si>
  <si>
    <t>Хазиахметов Денис Камилевич</t>
  </si>
  <si>
    <t>Кочеткова Ксения Игоревна</t>
  </si>
  <si>
    <t>Буторина Ольга Викторовна</t>
  </si>
  <si>
    <t>Точиев Билан Якубович</t>
  </si>
  <si>
    <t>Бердникова Марина Николаевна</t>
  </si>
  <si>
    <t>Тамашев Константин Геннадьевич</t>
  </si>
  <si>
    <t>Расулов Асильдер Шамильевич</t>
  </si>
  <si>
    <t>Сапун Данил Михайлович</t>
  </si>
  <si>
    <t>Андреева Елена Андреевна</t>
  </si>
  <si>
    <t>Горбенко Сергей Валерьевич</t>
  </si>
  <si>
    <t>Плужников Илья Владимирович</t>
  </si>
  <si>
    <t>Гамзиков Сергей Геннадьевич</t>
  </si>
  <si>
    <t>Агулова Дарья Сергеевна</t>
  </si>
  <si>
    <t>Ефремов Василий Владимирович</t>
  </si>
  <si>
    <t>Лунев Андрей Сергеевич</t>
  </si>
  <si>
    <t>Полынцева Елена Андреевна</t>
  </si>
  <si>
    <t>Алимова Жанна Владимировна</t>
  </si>
  <si>
    <t>Бауэр Кристина Сергеевна</t>
  </si>
  <si>
    <t>Журавлев Владимир Александрович</t>
  </si>
  <si>
    <t>Белоусов Николай Николаевич</t>
  </si>
  <si>
    <t>Мурадов Гачай Вугар Оглы</t>
  </si>
  <si>
    <t>Темирханов Дагир Зубаирович</t>
  </si>
  <si>
    <t>Шахов Николай Васильевич</t>
  </si>
  <si>
    <t>Максимова Евгения Павловна</t>
  </si>
  <si>
    <t>Шамков Алексей Вячеславович</t>
  </si>
  <si>
    <t>Орехов Станислав Андреевич</t>
  </si>
  <si>
    <t>Агафонов Андрей Николаевич</t>
  </si>
  <si>
    <t>Кораблин Александр Сергеевич</t>
  </si>
  <si>
    <t>Гиголаев Алан Вахтангович</t>
  </si>
  <si>
    <t>Комахина Илона Михайловна</t>
  </si>
  <si>
    <t>Цветков Антон Владимирович</t>
  </si>
  <si>
    <t>Акопян Вануни Сурикович</t>
  </si>
  <si>
    <t>Саргсян Марта Борисовна</t>
  </si>
  <si>
    <t>Злобин Александр Александрович</t>
  </si>
  <si>
    <t>Курдюков Антон Александрович</t>
  </si>
  <si>
    <t>Рослая Оксана Игоревна</t>
  </si>
  <si>
    <t>Кольга Оксана Александровна</t>
  </si>
  <si>
    <t>Ковалев Даниил Даниилович</t>
  </si>
  <si>
    <t>Гайтаев Лом-Али Саит-Хусайнович</t>
  </si>
  <si>
    <t>Салмин Роман Александрович</t>
  </si>
  <si>
    <t>Омайри Мохамед Бассель</t>
  </si>
  <si>
    <t>Шевчук Федор Сергеевич</t>
  </si>
  <si>
    <t>Богданов Александр Петрович</t>
  </si>
  <si>
    <t>Вартанесян Вартан Самвелович</t>
  </si>
  <si>
    <t>Потапова Наталия Михайловна</t>
  </si>
  <si>
    <t>1. НТЭ нужно взыскивать по среднему</t>
  </si>
  <si>
    <t>1. Неверный адрес ФО; 2. Неверный расчет неустойки</t>
  </si>
  <si>
    <t>1. Неверный расчет неустойки; 2. Ошибка в № обращения</t>
  </si>
  <si>
    <t>1. Не применен подход поденного начисления неустойки</t>
  </si>
  <si>
    <t>Взыскание на основании соглашения + пункты 5.5., 8.1. Матрицы + плата за рассмотрение обращения (БР) Цессия</t>
  </si>
  <si>
    <t>Пункты 1.7., 8.1. Матрицы (ответственность виновника не застрахована)</t>
  </si>
  <si>
    <t>Пункты 1.7., 5.1., 8.1., 8.2. Матрицы</t>
  </si>
  <si>
    <t>Пункты 3.1., 5.5., 8.2. Матрицы</t>
  </si>
  <si>
    <t>Пункты 5.2., 8.3.(БР) Матрицы</t>
  </si>
  <si>
    <t>Пункты 2.1., 8.2., 8.3., 8.4. Матрицы</t>
  </si>
  <si>
    <t>Пункты 1.10., 6.1. Матрицы. Поденная неустойка</t>
  </si>
  <si>
    <t>Отказ, т.к. после решения суда будут новые обстоятельства, что не мешает расмотрению нового дела</t>
  </si>
  <si>
    <t>Пункты 5.1., 8.1.(БР) Матрицы</t>
  </si>
  <si>
    <t>1. Из документов однозначно не понятно кто виноват</t>
  </si>
  <si>
    <t>Пункты 2.1., 5.1., 8.1.(БР) Матрицы</t>
  </si>
  <si>
    <t>1. Не начислила неустойку на УТС</t>
  </si>
  <si>
    <t>1. Отказать по экспертизе, а не по соглашениею</t>
  </si>
  <si>
    <t>1. Не вписала результаты НТЭ, согласно данным Заявителя стоимость ремонта больше 100000</t>
  </si>
  <si>
    <t>ФО заявляет о расторжении договора ОСАГО Заявителя (нет уведомления о расторжении, нет доказательства возврата части страховой премии) + пункт 5.5. Матрицы</t>
  </si>
  <si>
    <t>ФО заявляет о расторжении договора ОСАГО Заявителя (есть уведомление о расторжении, но нет доказательства возврата части страховой премии) + пункт 5.5. Матрицы</t>
  </si>
  <si>
    <t>Пункт 5.2. Матрицы. После решения ФУ и суда</t>
  </si>
  <si>
    <t>1. Неверная мотивировка (нужна решение суда после ФУ; 2. Неверный расчет сроков вступлени в силу решения ФУ</t>
  </si>
  <si>
    <t>1. Ошибка в дате решения ФУ; 2. Ошибка в склонении суда; 3. Неполное предложение (отсутствует описание довода ФО)</t>
  </si>
  <si>
    <t>Пункт 1.1. Матрицы (претензия направлена на неизвестный e-mail)</t>
  </si>
  <si>
    <t>Пункт 6.1. Матрицы. Изрешения невозможно определить период</t>
  </si>
  <si>
    <t>Пункт 2.1. Матрицы. Заявитель просит возместить доплату за ремонт ТС, необходимость которой возникала в связи с желанием Заявителя установить оригинальные детали и проведением доп работ по полировке кузова</t>
  </si>
  <si>
    <t>Пункты 1.8., 5.1., 8.1. Матрицы. Есть протокол на виновника, но никаких сведений о наличии либо отсутствии вины Заявителя нет</t>
  </si>
  <si>
    <t>Пункт 1.1. Матрицы (компенсационная выплата)</t>
  </si>
  <si>
    <t>Пункты 2.1., 5.1., 7.1., 8.1., 8.2., 8.3., 8.4., 8.5., 10. Матрицы + дефектовка, проценты за пользование ДС. Неустойка на суммы по НТЭ ФУ</t>
  </si>
  <si>
    <t>Пункт 6.1. Матрицы. Из решения суда невозможно определить период</t>
  </si>
  <si>
    <t>Пункты 2.1., 5.1., 8.4., 8.5. Матрицы</t>
  </si>
  <si>
    <t>Пункты 1.2., 5.1., 8.1., 8.2., 8.3.(БР) Матрицы</t>
  </si>
  <si>
    <t>У-20-138370</t>
  </si>
  <si>
    <t>У-20-145456</t>
  </si>
  <si>
    <t>У-20-146111</t>
  </si>
  <si>
    <t>У-20-146550</t>
  </si>
  <si>
    <t>У-20-148249</t>
  </si>
  <si>
    <t>У-20-148311</t>
  </si>
  <si>
    <t>У-20-148348</t>
  </si>
  <si>
    <t>У-20-148500</t>
  </si>
  <si>
    <t>У-20-148536</t>
  </si>
  <si>
    <t>У-20-148582</t>
  </si>
  <si>
    <t>У-20-148702</t>
  </si>
  <si>
    <t>У-20-148774</t>
  </si>
  <si>
    <t>У-20-148851</t>
  </si>
  <si>
    <t>У-20-148905</t>
  </si>
  <si>
    <t>У-20-149086</t>
  </si>
  <si>
    <t>У-20-149187</t>
  </si>
  <si>
    <t>У-20-149188</t>
  </si>
  <si>
    <t>У-20-149189</t>
  </si>
  <si>
    <t>У-20-149208</t>
  </si>
  <si>
    <t>У-20-149265</t>
  </si>
  <si>
    <t>У-20-149359</t>
  </si>
  <si>
    <t>У-20-149376</t>
  </si>
  <si>
    <t>У-20-149540</t>
  </si>
  <si>
    <t>У-20-149634</t>
  </si>
  <si>
    <t>У-20-149730</t>
  </si>
  <si>
    <t>У-20-149707</t>
  </si>
  <si>
    <t>У-20-149880</t>
  </si>
  <si>
    <t>У-20-149910</t>
  </si>
  <si>
    <t>У-20-150065</t>
  </si>
  <si>
    <t>У-20-150163</t>
  </si>
  <si>
    <t>У-20-150282</t>
  </si>
  <si>
    <t>У-20-150327</t>
  </si>
  <si>
    <t>У-20-150681</t>
  </si>
  <si>
    <t>У-20-150787</t>
  </si>
  <si>
    <t>У-20-150821</t>
  </si>
  <si>
    <t>У-20-150860</t>
  </si>
  <si>
    <t>У-20-150974</t>
  </si>
  <si>
    <t>У-20-151028</t>
  </si>
  <si>
    <t>У-20-151092</t>
  </si>
  <si>
    <t>У-20-151100</t>
  </si>
  <si>
    <t>У-20-151218</t>
  </si>
  <si>
    <t>У-20-151268</t>
  </si>
  <si>
    <t>У-20-151250</t>
  </si>
  <si>
    <t>У-20-151343</t>
  </si>
  <si>
    <t>У-20-151724</t>
  </si>
  <si>
    <t>У-20-151850</t>
  </si>
  <si>
    <t>У-20-151878</t>
  </si>
  <si>
    <t>У-20-151920</t>
  </si>
  <si>
    <t>У-20-156210</t>
  </si>
  <si>
    <t>У-20-156537</t>
  </si>
  <si>
    <t>У-20-156571</t>
  </si>
  <si>
    <t>У-20-156757</t>
  </si>
  <si>
    <t>У-20-156764</t>
  </si>
  <si>
    <t>У-20-156898</t>
  </si>
  <si>
    <t>У-20-156956</t>
  </si>
  <si>
    <t>У-20-157070</t>
  </si>
  <si>
    <t>У-20-157351</t>
  </si>
  <si>
    <t>У-20-157567</t>
  </si>
  <si>
    <t>У-20-157602</t>
  </si>
  <si>
    <t>У-20-157605</t>
  </si>
  <si>
    <t>У-20-157852</t>
  </si>
  <si>
    <t>У-20-157937</t>
  </si>
  <si>
    <t>У-20-158253</t>
  </si>
  <si>
    <t>У-20-158781</t>
  </si>
  <si>
    <t>У-20-158796</t>
  </si>
  <si>
    <t>У-20-158934</t>
  </si>
  <si>
    <t>У-20-159061</t>
  </si>
  <si>
    <t>У-20-159126</t>
  </si>
  <si>
    <t>У-20-159236</t>
  </si>
  <si>
    <t>У-20-159604</t>
  </si>
  <si>
    <t>У-20-159862</t>
  </si>
  <si>
    <t>У-20-159934</t>
  </si>
  <si>
    <t>У-20-160043</t>
  </si>
  <si>
    <t>Говорков Михаил Николаевич</t>
  </si>
  <si>
    <t>Стуженко Иван Александрович</t>
  </si>
  <si>
    <t>Стрижакова Екатерина Андреевна</t>
  </si>
  <si>
    <t>Сивец Светлана Павловна</t>
  </si>
  <si>
    <t>Рахимов Эльмир Тауфикович</t>
  </si>
  <si>
    <t>Коновалова Ирина Олеговна</t>
  </si>
  <si>
    <t>Джабаров Али Таусович</t>
  </si>
  <si>
    <t>Вафоева Наталья Анатольевна</t>
  </si>
  <si>
    <t>Жуйков Сергей Андреевич</t>
  </si>
  <si>
    <t>Маковский Олег Федорович</t>
  </si>
  <si>
    <t>Парафесь Юрий Анатольевич</t>
  </si>
  <si>
    <t>Бабаян Григор Врежович</t>
  </si>
  <si>
    <t>Шершнева Марина Владимировна</t>
  </si>
  <si>
    <t>Каплун Ольга Васильевна</t>
  </si>
  <si>
    <t>Кодзоев Исраил Магометович</t>
  </si>
  <si>
    <t>Молчанова Мария Сергеевна</t>
  </si>
  <si>
    <t>Чередов Владислав Васильевич</t>
  </si>
  <si>
    <t>Бариева Ирина Каримовна</t>
  </si>
  <si>
    <t>ХАМЗАТОВ АНЗОР ИСМАИЛОВИЧ</t>
  </si>
  <si>
    <t>Томерг Анастасия Александровна</t>
  </si>
  <si>
    <t>Филатов Владимир Викторович</t>
  </si>
  <si>
    <t>Арутюнян Вардгес Башхикович</t>
  </si>
  <si>
    <t>Рудакова Альбина Олеговна</t>
  </si>
  <si>
    <t>Григорян Маис Гарегинович</t>
  </si>
  <si>
    <t>Фоменко Вера Васильевна</t>
  </si>
  <si>
    <t>Мокина Екатерина Александровна</t>
  </si>
  <si>
    <t>Дресвянский Артем Сергеевич</t>
  </si>
  <si>
    <t>Алборов Алан Маирович</t>
  </si>
  <si>
    <t>Воротников Дмитрий Вячеславович</t>
  </si>
  <si>
    <t>Осокина Марина Анатольевна</t>
  </si>
  <si>
    <t>Куликов Данил Сергеевич</t>
  </si>
  <si>
    <t>Салахидинов Хаким Мухтардинович</t>
  </si>
  <si>
    <t>Барахтаев Николай Юрьевич</t>
  </si>
  <si>
    <t>Мирзоян Тевос Владимирович</t>
  </si>
  <si>
    <t>Деник Юрий Витальевич</t>
  </si>
  <si>
    <t>Григорян Роман Михайлович</t>
  </si>
  <si>
    <t>Макаренко Данил Константинович</t>
  </si>
  <si>
    <t>Гайнетдинов Артур Шамилевич</t>
  </si>
  <si>
    <t>Крылов Сергей Геннадьевич</t>
  </si>
  <si>
    <t>Норошкин Максим Сергеевич</t>
  </si>
  <si>
    <t>Шепелев Евгений Николаевич</t>
  </si>
  <si>
    <t>Павлова Людмила Ивановна</t>
  </si>
  <si>
    <t>Панькова Ольга Васильевна</t>
  </si>
  <si>
    <t>Бадалуцев Александр Юрьевич</t>
  </si>
  <si>
    <t>Швецов Никита Андреевич</t>
  </si>
  <si>
    <t>Селистровский Евгений Александрович</t>
  </si>
  <si>
    <t>Турсумбаев Евгений Николаевич</t>
  </si>
  <si>
    <t>Корнуков Антон Анатольевич</t>
  </si>
  <si>
    <t>Манюхин Сергей Анатольевич</t>
  </si>
  <si>
    <t>Магомедов Умалат Анварбекович</t>
  </si>
  <si>
    <t>Забегалина Анна Юрьевна</t>
  </si>
  <si>
    <t>Кононова Наталия Вадимовна</t>
  </si>
  <si>
    <t>Чернецкая Ирина Павловна</t>
  </si>
  <si>
    <t>Чебодаева Татьяна Васильевна</t>
  </si>
  <si>
    <t>Хижняков Сергей Николаевич</t>
  </si>
  <si>
    <t>Лялякин Дмитрий Александрович</t>
  </si>
  <si>
    <t>Рябов Евгений Анатольевич</t>
  </si>
  <si>
    <t>Юданов Кирилл Александрович</t>
  </si>
  <si>
    <t>Малов Иван Михайлович</t>
  </si>
  <si>
    <t>Дыльнова Екатерина Андреевна</t>
  </si>
  <si>
    <t>Брусницын Иван Алексндрович</t>
  </si>
  <si>
    <t>Федоров Александр Викторович</t>
  </si>
  <si>
    <t>Пантюшенко Сергей Анатольевич</t>
  </si>
  <si>
    <t>Бондаренко Эдуард Борисович</t>
  </si>
  <si>
    <t>Хабаху Аслан Даутович</t>
  </si>
  <si>
    <t>Евтодьев Станислав Савельевич</t>
  </si>
  <si>
    <t>Тарарака Игорь Михайлович</t>
  </si>
  <si>
    <t>Золотухин Роман Владимирович</t>
  </si>
  <si>
    <t>Шаблатов Василий Геннадьевич</t>
  </si>
  <si>
    <t>Меджидов Умар Абакарович</t>
  </si>
  <si>
    <t>Лебедев Станислав Олегович</t>
  </si>
  <si>
    <t>Пункты 5.1., 10. Матрицы</t>
  </si>
  <si>
    <t>1. Кавычки в названии Юнити страхование; 2. Переписать повреждения через запятую с маленькой буквы</t>
  </si>
  <si>
    <t>Пункты 1.8., 2.1., 5.1. Матрицы</t>
  </si>
  <si>
    <t>Пункты 4.1., 8.2.(БР), 8.4. Матрицы. Взыскиваем, т.к. есть доказательство передачи ТС на СТОА. Информационный акт</t>
  </si>
  <si>
    <t>1. Не проанализировала причину возврата решения предыдущим согласовантов.</t>
  </si>
  <si>
    <t>1. Взыскананеустойка без ограничения по сумме страховой премии; 2. Указан неверный выгодоприобретатель; 3. Часть страховой премии не выплачена</t>
  </si>
  <si>
    <t>Пункты 1.5., 8.1. Матрицы. Судом установлен факт действия полиса ОСАГО виновника</t>
  </si>
  <si>
    <t xml:space="preserve">Проект решения неправильный по существу. Лимит ответственности СК 400 т р, вне зависимости от степени вины </t>
  </si>
  <si>
    <t>Пункт 1.1. Матрицы (суд, нет документов о собственности)</t>
  </si>
  <si>
    <t>1. Неверная мотивировка, без учета взыскания неустойки с даты вступления в силу решения суда. ПОВТОРНЫЙ ВОЗВРАТ. Неверная мотивировка. ТРЕТИЙ ВОЗВРАТ. Неверная мотивировка</t>
  </si>
  <si>
    <t>Пункты 5.1., 8.1.(БР), 8.2. Матрицы</t>
  </si>
  <si>
    <t>1. Не дана оценка доводам ФО об осуществлении выплаты неустойки</t>
  </si>
  <si>
    <t>Пункт 5.1. Матрицы. Выплата на основании соглашения</t>
  </si>
  <si>
    <t>Пункты 2.1., 5.1., 10. Матрицы</t>
  </si>
  <si>
    <t>Пункты 2.1., 8.1. Матрицы. Часть страхового возмещения была перечислена на счет ФССП по постановлению о взыскании дебиторской задолженности с Заявителя</t>
  </si>
  <si>
    <t>Пункты 2.1., 8.1., 8.2., 8.5. Матрицы</t>
  </si>
  <si>
    <t>1. Указан другой виновник в ДТП</t>
  </si>
  <si>
    <t>1. Неверное наименование ФО</t>
  </si>
  <si>
    <t>решение об удовлетворении, а в наименовании -  "отказное"</t>
  </si>
  <si>
    <t>Пункт 5.2. Матрицы. Отказное решение ФУ, судом СВ взыскано</t>
  </si>
  <si>
    <t>1. Не дождалась служебной записки от аналитиков. ДВА ПОВТОРНЫХ ВОЗВРАТА. Не решен вопрос с удержанием части страховой премии. ТРЕТИЙ ВОЗВРАТ.  Не решен вопрос с удержанием части страховой премии. ЧЕТВЕРТЫЙ ВОЗВРАТ. Нет полного анализа по вопросу удержания части страховой премии</t>
  </si>
  <si>
    <t>Пункты 2.1., 5.1. Матрицы. Выплата на условиях конструктивной гибели, но по нашей НТЭ тотал не подтвердился. Анализ правомерности удержания очередного взноса (части страховой премии) из суммы страховой выплаты. Анализ зачета</t>
  </si>
  <si>
    <t>Пункт 1.1. Матрицы (есть акты осмотра территории как от ФО, так и от Заявителя, но для НТЭ ФУ Заявитель ТС на осмотр не предоставил)</t>
  </si>
  <si>
    <t>Пункт 1.1. Матрицы (автобус)</t>
  </si>
  <si>
    <t>НЕД 40</t>
  </si>
  <si>
    <t>НЕД 41</t>
  </si>
  <si>
    <t>НЕД 42</t>
  </si>
  <si>
    <t>НЕД 43</t>
  </si>
  <si>
    <t>НЕД 44</t>
  </si>
  <si>
    <t>НЕД 45</t>
  </si>
  <si>
    <t>НЕД 46</t>
  </si>
  <si>
    <t>Пункт 6.1. Матрицы. Срок давности. Обязательство не исполнено на дату вынесения решения ФУ</t>
  </si>
  <si>
    <t>Пункты 4.1., 8.1. Матрицы. Нет доказательства выачи Заявителю направления на ремонт</t>
  </si>
  <si>
    <t>1. Возможно нужно прекращаться</t>
  </si>
  <si>
    <t>Пункты 5.1.(БР), 8.1., 8.3.(БР) Матрицы</t>
  </si>
  <si>
    <t>Пункт 4.1. Матрицы. ННР выдано не в срок. Был запрос документов, но не в срок, хотя Заявитель впоследствие предоставил ФО запрашиваемые документы</t>
  </si>
  <si>
    <t>Пункты 4.1., 5.5., 8.1., 8.2., 8.4., 8.5. Матрицы. Первое ННР выдано в срок, но есть тех отках. Второе ННР выдано с нарушением срока</t>
  </si>
  <si>
    <t>Пункт 1.1. Матрицы. Нет документов, подтверждающих дату первоначального обращения в ФО</t>
  </si>
  <si>
    <t>Пункты 5.2., 8.2. Матрицы. С учетом пункта 15 Информационного письма ВАС РФ от 30.10.2007 № 120 и Обзора практики ВС РФ 2015 года № 3. При уступке основного права, право на неустойку переходит автоматически, при отсутствии иного в договоре цессии.</t>
  </si>
  <si>
    <t>Пункты 2.1., 5.1., 5.4., 8.1., 8.4., 8.5. Матрицы. Расхождение в пределах 10%</t>
  </si>
  <si>
    <t>Пункты 1.2., 5.5. Матрицы</t>
  </si>
  <si>
    <t>Пункт 4.1. Матрицы. ННР выдано в срок. Доводы об отсутствии СТОА по адресу, указанному в ННР; ФО исключила часть повреждений из ННР</t>
  </si>
  <si>
    <t>Пункт 1.1. Матрицы. Нет документа о праве собственности на ТС</t>
  </si>
  <si>
    <t>Пункт 2.1. Матрицы. Недоплата более 10%</t>
  </si>
  <si>
    <t>Пункты 1.2., 5.1. Матрицы. ФО отказала, мы отказали</t>
  </si>
  <si>
    <t>Пункты 1.2., 5.1., 8.1. Матрицы. ФО отказала, мы отказали</t>
  </si>
  <si>
    <t>Пункт 1.1. Матрицы (судом уже рассмотрены требования о взыскании неустойки)</t>
  </si>
  <si>
    <t>Пункты 1.4., 5.5., 8.1., 8.3., 8.4. Матрицы. ФО запросила реквизиты не в срок</t>
  </si>
  <si>
    <t>1. Нужно рассмотреть вопрос об исключении из выплаты неотносящихся повреждений</t>
  </si>
  <si>
    <t>Пункты 5.1.(БР), 8.1. Матрицы + ФО заявляет о расторжении договора ОСАГО виновника, но согласно п. 9 ПП РФ 58, сообщение ложных сведений - основание для регресса, а не для отказа в выплате. Уведомление о прекращении договора ОСАГО считается доставленным в случае, если направлено по верному адресу, но не получено страхователем (Постановление Десятого арбитражного апелляционного суда от 31.08.2020 N 10АП-9528/2020 по делу N А41-99028/2019)</t>
  </si>
  <si>
    <t>ФО отказала не по причине смены собственника, а по причине другого ТС в полисе ОСАГО</t>
  </si>
  <si>
    <t>ФО отказала по причине другого ТС в полисе ОСАГО, полиса в материалы дела не предоставлено, но согласно адм материалам и данным с сайта РСА ТС совпадают</t>
  </si>
  <si>
    <t>Пункт 1.1. Матрицы. (нет решения суда, которым взыскано страховое возмещение и неустойка)</t>
  </si>
  <si>
    <t>Пункты 2.1., 5.5., 8.1. Матрицы. 2 цессии, недоплата более 10%</t>
  </si>
  <si>
    <t>Пункты 4.1., 8.1., 8.2. Матрицы. ННР выдано не в срок</t>
  </si>
  <si>
    <t>Пункт 5.2. Матрицы. Европротокол, лимит 50000₽</t>
  </si>
  <si>
    <t>Пункт 5.2. Матрицы. Неустйока после решения ФУ, с учетом его приостановления. Исполнили не в срок</t>
  </si>
  <si>
    <t>1. Вина не установлена</t>
  </si>
  <si>
    <t>1. Решение ФУ исполнено не в срок, неустойку исчисляем с 21го дня, а не с даты окончания срока на исполнение</t>
  </si>
  <si>
    <t>Пункт 5.1. Матрицы Решение ФУ исполнено не в срок</t>
  </si>
  <si>
    <t>Пункты 1.3., 5.1.(БР), 8.1.(БР) Матрицы</t>
  </si>
  <si>
    <t>Пункты 2.1., 8.1. Матрицы. ФО вычитает из страхового возмещения стоимость устранения повреждений, не относящихся к ДТП, однако никаких доказательств наличия данных повреждений (или перечисления элементов ТС) не предоставляет. Повторная НТЭ, т.к. Необходимо проведение повторной экспертизы (с учетом проведенной по обращению У-20-100135), со следующим вопросом: "Какова стоимость устранения повреждений, имеющихся на ТС на момент обращения в ФО с заявлением о страховом случае, но не относящихся к ДТП". Это обусловлено тем фактом, что ФО вычитает из суммы страховой выплаты стоимость повреждений, не относящихся к ДТП. В настоящее время данный вопрос в проекте решения не проанализирован. Из имеющейся экспертизы данную сумму установить не возможно.</t>
  </si>
  <si>
    <t>1. Неверная расчет неустойки</t>
  </si>
  <si>
    <t>1. Запросить у ФО подтверждение выплаты неустойки. ПОВТОРНЫЙ ВОЗВРАТ. Неверная сумма неустойки. ТРЕТИЙ ВОЗВРАТ не ту сумму вычла</t>
  </si>
  <si>
    <t>1. Не применила 165.1; 2. Неверная мотивировка по прекращению договора ОСАГО</t>
  </si>
  <si>
    <t>Преюдиция (есть решение суда о взыскании СВ с ПАО «СК «ХОСКА») + пункты 8.1., 8.2., 8.3. Матрицы + плата за рассмотрение обращения</t>
  </si>
  <si>
    <t>Пункты 2.1., 8.1., 8.3., 8.6.(БР), 8.7.(БР) Матрицы</t>
  </si>
  <si>
    <t>Пункт 1.1. Матрицы (нет первоначального заявления и претензии по ущербу ТС)</t>
  </si>
  <si>
    <t>1. Пропущено наименовнаие ФО в шапке; 2. разный размер шрифта по тексту</t>
  </si>
  <si>
    <t>Пункты 4.4., 5.5., 8.1. Матрицы + дефектовка. Выдали ННР на устранение недостатков не в день осмотра</t>
  </si>
  <si>
    <t>1. Неустойка с 21 дня, а не с 6го; 2. Ограничение по европротоколу</t>
  </si>
  <si>
    <t>ДСАГО. Сумма страхового возмещения установлена решением суда</t>
  </si>
  <si>
    <t>1. Решения суда достаточно для установления факт перехода прав требования; 2. Оснований для прекращения нет</t>
  </si>
  <si>
    <t>Преюдиция + пункты 8.1., 8.2., 8.3. Матрицы + плата за рссмотрение обращения (БР)</t>
  </si>
  <si>
    <t>Пункт 1.2. Матрицы. Соответствует один элемент (бампер), но он на момент ДТП уже требовал окраски</t>
  </si>
  <si>
    <t>Пункты 2.1., 5.1., 5.5., 8.6. Матрицы</t>
  </si>
  <si>
    <t>1. Не правильно определила размер выплаченного страхового возмещения</t>
  </si>
  <si>
    <t>Пункт 1.1. Матрицы (противоречие)</t>
  </si>
  <si>
    <t>1. Не разобралась в обстоятельствах дела (совсем)</t>
  </si>
  <si>
    <t>09.11 - 13.11</t>
  </si>
  <si>
    <t>Пункты 2.1., 5.1. Матрицы + расходы (БР)</t>
  </si>
  <si>
    <t>Пункты 5.1.(БР), 5.1.(на 8.5.), 8.2., 8.4., 8.5. Матрицы</t>
  </si>
  <si>
    <t>У-20-162954</t>
  </si>
  <si>
    <t>У-20-162958</t>
  </si>
  <si>
    <t>У-20-163054</t>
  </si>
  <si>
    <t>У-20-163134</t>
  </si>
  <si>
    <t>У-20-170184</t>
  </si>
  <si>
    <t>У-20-170764</t>
  </si>
  <si>
    <t>У-20-171085</t>
  </si>
  <si>
    <t>Огурцов Сергей Александрович</t>
  </si>
  <si>
    <t>Гасинов Сослан Артурович</t>
  </si>
  <si>
    <t>Салимов Денис Викторович</t>
  </si>
  <si>
    <t>Пятченко Есения Александровна</t>
  </si>
  <si>
    <t>Панфилов Александр Анатольевич</t>
  </si>
  <si>
    <t>Худдыева Зарина Сайыпжановна</t>
  </si>
  <si>
    <t>Абдеева Аэлита Маратовна</t>
  </si>
  <si>
    <t>У-20-159497</t>
  </si>
  <si>
    <t>У-20-163216</t>
  </si>
  <si>
    <t>У-20-163556</t>
  </si>
  <si>
    <t>У-20-163760</t>
  </si>
  <si>
    <t>У-20-163816</t>
  </si>
  <si>
    <t>У-20-163818</t>
  </si>
  <si>
    <t>У-20-164252</t>
  </si>
  <si>
    <t>У-20-171291</t>
  </si>
  <si>
    <t>У-20-171648</t>
  </si>
  <si>
    <t>У-20-171801</t>
  </si>
  <si>
    <t>У-20-171889</t>
  </si>
  <si>
    <t>Круподеров Сергей Владимирович</t>
  </si>
  <si>
    <t>Бредихина Наталья Николаевна</t>
  </si>
  <si>
    <t>Джаббаров Абдурасул Абдуганиевич</t>
  </si>
  <si>
    <t>Ильина Светлана Николаевна</t>
  </si>
  <si>
    <t>Алексахина Юлия Валерьевна</t>
  </si>
  <si>
    <t>Ржавина Юлия Валентиновна</t>
  </si>
  <si>
    <t>Туманов Андрей Владимирович</t>
  </si>
  <si>
    <t>Русанова Екатерина Александровна</t>
  </si>
  <si>
    <t>Изосимов Юрий Борисович</t>
  </si>
  <si>
    <t>У-20-160383</t>
  </si>
  <si>
    <t>У-20-163769</t>
  </si>
  <si>
    <t>У-20-164398</t>
  </si>
  <si>
    <t>У-20-164851</t>
  </si>
  <si>
    <t>У-20-165056</t>
  </si>
  <si>
    <t>У-20-165062</t>
  </si>
  <si>
    <t>У-20-165223</t>
  </si>
  <si>
    <t>У-20-165409</t>
  </si>
  <si>
    <t>У-20-165689</t>
  </si>
  <si>
    <t>У-20-165741</t>
  </si>
  <si>
    <t>У-20-166322</t>
  </si>
  <si>
    <t>У-20-166406</t>
  </si>
  <si>
    <t>У-20-166486</t>
  </si>
  <si>
    <t>У-20-166735</t>
  </si>
  <si>
    <t>У-20-167277</t>
  </si>
  <si>
    <t>У-20-167568</t>
  </si>
  <si>
    <t>У-20-167638</t>
  </si>
  <si>
    <t>У-20-172079</t>
  </si>
  <si>
    <t>У-20-172136</t>
  </si>
  <si>
    <t>У-20-172637</t>
  </si>
  <si>
    <t>У-20-173556</t>
  </si>
  <si>
    <t>У-20-173585</t>
  </si>
  <si>
    <t>У-20-174044</t>
  </si>
  <si>
    <t>У-20-174109</t>
  </si>
  <si>
    <t>У-20-174181</t>
  </si>
  <si>
    <t>У-20-174338</t>
  </si>
  <si>
    <t>У-20-174570</t>
  </si>
  <si>
    <t>У-20-174916</t>
  </si>
  <si>
    <t>У-20-174972</t>
  </si>
  <si>
    <t>У-20-175129</t>
  </si>
  <si>
    <t>У-20-175174</t>
  </si>
  <si>
    <t>У-20-175204</t>
  </si>
  <si>
    <t>У-20-175423</t>
  </si>
  <si>
    <t>У-20-175589</t>
  </si>
  <si>
    <t>У-20-175652</t>
  </si>
  <si>
    <t>У-20-175907</t>
  </si>
  <si>
    <t>Усков Сергей Александрович</t>
  </si>
  <si>
    <t>Басарыгин Александр Александрович</t>
  </si>
  <si>
    <t>Трещев Виктор Евгеньевич</t>
  </si>
  <si>
    <t>Зубенко Юрий Александрович</t>
  </si>
  <si>
    <t>Буряков Андрей Александрович</t>
  </si>
  <si>
    <t>Махмудов Ахмед Джалалудинович</t>
  </si>
  <si>
    <t>Крячок Виталий Сергеевич</t>
  </si>
  <si>
    <t>Ветюгов Дмитрий Александрович</t>
  </si>
  <si>
    <t>Малинина Мария Дмитриевна</t>
  </si>
  <si>
    <t>Зарипова Лида Витальевна</t>
  </si>
  <si>
    <t>Уланов Тимур Евгеньевич</t>
  </si>
  <si>
    <t>Аджигов Руслан Макшарипович</t>
  </si>
  <si>
    <t>Лозянов Александр Сергеевич</t>
  </si>
  <si>
    <t>Исаев Михаил Сергеевич</t>
  </si>
  <si>
    <t>Ковалев Денис Сергеевич</t>
  </si>
  <si>
    <t>Мазаев Таус Хасбулатович</t>
  </si>
  <si>
    <t>Пилиев Гоча Шотаевич</t>
  </si>
  <si>
    <t>Осипов Сурен Сергеевич</t>
  </si>
  <si>
    <t>Шаванова Вера Алексеевна</t>
  </si>
  <si>
    <t>Бутенин Денис Владимирович</t>
  </si>
  <si>
    <t>Дарнопых Светлана Ивановна</t>
  </si>
  <si>
    <t>Русак Наталья Михайловна</t>
  </si>
  <si>
    <t>Малько Андрей Леонидович</t>
  </si>
  <si>
    <t>Бунин Александр Сергеевич</t>
  </si>
  <si>
    <t>Шашков Алексей Николаевич</t>
  </si>
  <si>
    <t>Арсоев Алексей Садулович</t>
  </si>
  <si>
    <t>Колонтаев Дмитрий Викторович</t>
  </si>
  <si>
    <t>Санников Олег Артемьевич</t>
  </si>
  <si>
    <t>Ковалева Ирина Борисовна</t>
  </si>
  <si>
    <t>Истомин Владимир Васильевич</t>
  </si>
  <si>
    <t>Смирнов Андрей Юрьевич</t>
  </si>
  <si>
    <t>Чащин Сергей Леонидович</t>
  </si>
  <si>
    <t>Полех Андрей Вячеславович</t>
  </si>
  <si>
    <t>Перервин Иван Петрович</t>
  </si>
  <si>
    <t>Архипова Елена Геннадьевна</t>
  </si>
  <si>
    <t>1. Опечатка в сумме выплаты, нужно добавить про 10%</t>
  </si>
  <si>
    <t>Пункт 1.1. Матрицы. Отзыв лицензии у ФО</t>
  </si>
  <si>
    <t>ОТЗЫВ ЛИЦЕНЗИИ</t>
  </si>
  <si>
    <t>У-20-161570</t>
  </si>
  <si>
    <t>Ратников Максим Юрьевич</t>
  </si>
  <si>
    <t>Пункты 5.1., 7.1., 8.1.(БР) Матрицы</t>
  </si>
  <si>
    <t>1. Не учтена выплата части неустойки</t>
  </si>
  <si>
    <t>У-20-169685</t>
  </si>
  <si>
    <t>Галимов Раушан Раянович</t>
  </si>
  <si>
    <t>Пункты 1.5., 8.1.(БР) Матрицы + курьер. ДТП произошло до начала действия договора ОСАГО виновника (на 37 минут раньше)</t>
  </si>
  <si>
    <t>У-20-169193</t>
  </si>
  <si>
    <t>Кочетов Григорий Сергеевич</t>
  </si>
  <si>
    <t>Пункт 1.1. Матрицы (претензионный порядок).</t>
  </si>
  <si>
    <t>У-20-160960</t>
  </si>
  <si>
    <t>Захаров Юрий Борисович</t>
  </si>
  <si>
    <t>Пункт 4.1. Матрицы. ННР выдано по адресу регистрации, а не по адресу, указанному в заявлении</t>
  </si>
  <si>
    <t>У-20-160801</t>
  </si>
  <si>
    <t>Харин Антон Владимирович</t>
  </si>
  <si>
    <t>Пункты 8.2.(БР), 8.3., 8.5.(БР) Матрицы</t>
  </si>
  <si>
    <t>Пункты 1.5., 5.1.(БР) Матрицы. Разные собственники в полисе и документах ГИБДД</t>
  </si>
  <si>
    <t>У-20-160768</t>
  </si>
  <si>
    <t>Перехода Алексей Валерьевич</t>
  </si>
  <si>
    <t>У-20-156963</t>
  </si>
  <si>
    <t>Назарова Валерия Валерьевна</t>
  </si>
  <si>
    <t>на рулем виновника было невписанное лицо. Это не причина для отказа, причина для регресса, ст 14.1. Прошу доработать</t>
  </si>
  <si>
    <t>У-20-161864</t>
  </si>
  <si>
    <t>Аспан-Оол Артем Баян-Оолович</t>
  </si>
  <si>
    <t>ФО отказывает на том основании, что в полисе ОСАГО указано другое ТС, а не то, которое участвовало в ДТП, однако VIN ТС в полисе ОСАГО и в адм материалах совпадают.</t>
  </si>
  <si>
    <t>ДРУГОЕ ТС</t>
  </si>
  <si>
    <t>У-20-162278</t>
  </si>
  <si>
    <t>Галабурда Андрей Николаевич</t>
  </si>
  <si>
    <t>1. Вылет гравия - отказ</t>
  </si>
  <si>
    <t>Добровольное исполнение + пункты 8.4., 8.5. Матрицы</t>
  </si>
  <si>
    <t>1. Нет оснований для НТЭ</t>
  </si>
  <si>
    <t>Вылет гравия + пункт 5.1. Матрицы</t>
  </si>
  <si>
    <t>1. Взыскиваем отложную неустойку</t>
  </si>
  <si>
    <t>Пункт 6.1. Матрицы. Отложная неустойка</t>
  </si>
  <si>
    <t>Пункты 2.1., 8.1. Матрицы 10%. НТЭ после 01.06.2019</t>
  </si>
  <si>
    <t>Пункты 2.1., 5.1., 8.1., 8.2., 10. Матрицы</t>
  </si>
  <si>
    <t>Пункты 2.1., 5.5., 8.1., 10. Матрицы</t>
  </si>
  <si>
    <t>Пункты 1.7., 5.1., 8.1., 8.2.(БР) Матрицы. Обращается по ОСАГО, но ФО платит по КАСКО</t>
  </si>
  <si>
    <t>Пункт 6.1. Матрицы. Решением суда период не определен. Отложенная неустойка, т.к. не известна дата исполнения решения суда</t>
  </si>
  <si>
    <t>Пункт 6.1. Матрицы. Доводы ФО о не уведомлении о переходе права требования</t>
  </si>
  <si>
    <t>1. Довод ФО о не уведомлении о переходе права требования</t>
  </si>
  <si>
    <t>Пункты 4.1., 8.1. Матрицы. Есть письмо от Заявителя на СТОА, с просьбой принять ТС в ремонт. Ответа от СТОА нет</t>
  </si>
  <si>
    <t>Пункты 5.1., 8.1., 8.3. Матрицы. НТЭ ФО как неиспользованная, 207 неустойка 9 дней просрочка</t>
  </si>
  <si>
    <r>
      <t>У</t>
    </r>
    <r>
      <rPr>
        <sz val="11"/>
        <color rgb="FFFF0000"/>
        <rFont val="Calibri"/>
        <family val="2"/>
        <charset val="204"/>
        <scheme val="minor"/>
      </rPr>
      <t xml:space="preserve"> </t>
    </r>
    <r>
      <rPr>
        <sz val="11"/>
        <color rgb="FF00FF00"/>
        <rFont val="Calibri"/>
        <family val="2"/>
        <charset val="204"/>
        <scheme val="minor"/>
      </rPr>
      <t>20-166735</t>
    </r>
  </si>
  <si>
    <t>Лозянова Александра Сергеевича</t>
  </si>
  <si>
    <r>
      <t>24</t>
    </r>
    <r>
      <rPr>
        <sz val="11"/>
        <color rgb="FFFF0000"/>
        <rFont val="Calibri"/>
        <family val="2"/>
        <charset val="204"/>
        <scheme val="minor"/>
      </rPr>
      <t>06 № 314862</t>
    </r>
  </si>
  <si>
    <t>153022, Ивановская обл., г. Иваново, ул. Ташкентская, д. 79А, кв. 84</t>
  </si>
  <si>
    <t>У-20-166735/2040-002 о предоставлении сведений и документов по предмету спора</t>
  </si>
  <si>
    <t>Ягодки А.В.</t>
  </si>
  <si>
    <t>Renault Kangoo</t>
  </si>
  <si>
    <t>О772АК37</t>
  </si>
  <si>
    <t>МММ</t>
  </si>
  <si>
    <t>Пункты 4.1., 5.1., 5.5., 8.1. Матрицы. Опоздали с выдачей ННР на 1 день</t>
  </si>
  <si>
    <t>1. Регион для НТЭ - регион регистрации заявителя</t>
  </si>
  <si>
    <t>Пункт 1.1. Матрицы (неразрывно связанное с судом)</t>
  </si>
  <si>
    <t>Пункты 5.1., 8.2., 10. Матрицы. Первоначально был предоставлен пакет документов без документов из ГИБДД, но было повреждено более одного элемента, поэтмоу срок исчисляем с момента предоставления определения об отказе</t>
  </si>
  <si>
    <t>Пункт 6.1. Матрицы. Ограничение до 400000, выплата части неустойки с учетом НДФЛ</t>
  </si>
  <si>
    <t>1. Прекращаем как неразрывно связанное</t>
  </si>
  <si>
    <t>Выплата на основании соглашения + пункт 8.1. Матрицы</t>
  </si>
  <si>
    <t>Отзыв лицензии у ФО</t>
  </si>
  <si>
    <t>Забанова Антонида Станиславовна</t>
  </si>
  <si>
    <t>Черникина Нина Ивановна</t>
  </si>
  <si>
    <t>У-20-167840</t>
  </si>
  <si>
    <t>Юдкин Дмитрий Валерьевич</t>
  </si>
  <si>
    <t>У-20-168104</t>
  </si>
  <si>
    <t>Фомичев Владислав Николаевич</t>
  </si>
  <si>
    <t xml:space="preserve"> 
СЛУЖБА ФИНАНСОВОГО УПОЛНОМОЧЕННОГО
РЕШЕНИЕ
«_____» _______________20____ г. 
  дата подписания
№ 
г. Москва
ОБ УДОВЛЕТВОРЕНИИ ТРЕБОВАНИЙ
Уполномоченный по правам потребителей финансовых услуг в сферах страхования, микрофинансирования, кредитной кооперации и деятельности кредитных организаций Е.Л. Писаревский (далее – Финансовый уполномоченный) по результатам рассмотрения обращения от 26.11.2020 № У-20-175174 (далее – Обращение) Истомина Владимира Васильевича (паспорт серия 60 03 № 672915; место жительства: 344092, г. Ростов-на-Дону, ул. Верная, д. 17/88; почтовый адрес: 344092, г. Ростов-на-Дону, ул. Верная, д. 17/88) (далее – Заявитель) в отношении АО СК «БАСК» (место нахождения: 652600, Кемеровская область, г. Белово, пер. Цинкзаводской, д. 8 А; почтовый адрес: 652600, Кемеровская область, г. Белово, пер. Цинкзаводской, д. 8 А; дата государственной регистрации: 07.05.1993; идентификационный номер налогоплательщика: 4202000716) (далее – Финансовая организация),
УСТАНОВИЛ
Финансовому уполномоченному на рассмотрение поступило Обращение в отношении Финансовой организации с требованием о взыскании неустойки за несоблюдение срока выплаты страхового возмещения по договору обязательного страхования гражданской ответственности владельцев транспортных средств (далее – ОСАГО) в размере 100 000 рублей 00 копеек.
В рамках рассмотрения Обращения в адрес Финансовой организации направлено уведомление о принятии Обращения к рассмотрению от 26.11.2020 № У-20-175174/2040-002, содержащее требование о предоставлении сведений и документов по предмету спора, указанному в Обращении.
Финансовой организацией запрошенные сведения и документы предоставлены.
Рассмотрев имеющиеся в деле документы, Финансовый уполномоченный установил следующее.
05.04.2019 между Заявителем и Финансовой организацией заключен договор ОСАГО серия ККК № 3002162227 со сроком страхования с 05.04.2019 до 04.04.2020 (далее – Договор ОСАГО).
В результате дорожно-транспортного происшествия, произошедшего 10.06.2019 (далее – ДТП), вследствие действий Женишбека Бекназара, управлявшего транспортным средством ВАЗ 2106, государственный регистрационный номер А086НТ61, был причинен вред принадлежащему Заявителю транспортному средству Toyota Camry, государственный регистрационный номер Е718ТР161, год выпуска 2016 (далее – Транспортное средство).
Гражданская ответственность Женишбека Бекназара застрахована в СПАО «РЕСО-Гарантия» в рамках договора ОСАГО серия ККК № 3001108454.
11.06.2019 Заявитель обратился в Финансовую организацию с заявлением о прямом возмещении убытков, предоставив все документы, предусмотренные Правилами обязательного страхования гражданской ответственности владельцев транспортных средств, утвержденными Положением Банка России от 19.09.2014 № 431-П (далее – Правила ОСАГО).
Заявление также содержало требования о выплате расходов на проведение независимой технической экспертизы.
11.06.2019 Финансовой организацей проведен осмотр принадлежащего Заявителю Транспортного средства с привлечением независимой экспертной организации ООО «Альянс».
На основании результатов осмотра от 11.06.2019 независимой экспертной организацией ООО «Сибирская Ассистанская Компания» подготовлено экспертное заключение от 28.06.2019 № 45/06/19, согласно которому стоимость восстановительного ремонта Транспортного средства Повреждения на Транспортном средстве возникли вне заявленных обстоятельств дорожно-транспортного происшествия от 10.06.2019.
Финансовая организация направила Заявителю письмо от 08.07.2019 № 757/19, в котором сообщалось, что согласно выводам проведенной экспертизы, все повреждения Транспортного средства Заявителя не могли образоваться при заявленных обстоятельствах ДТП, в связи с чем, правовых оснований для урегулирования данного убытка у Финансовой организации не имеется.
02.08.2019 Заявитель обратился в Финансовую организацию с заявлением (претензией) о несогласии с отказом Финансовой организации в выплате страхового возмещения, содержащим требование о выплате страхового возмещения по Договору ОСАГО, неустойки за несоблюдение срока выплаты страхового возмещения по Договору ОСАГО.
Финансовая организация в ответ на заявление (претензию) от 02.08.2019 письмом от 05.08.2019 № 902/19 отказала Заявителю в удовлетворении заявленных требований.
Не согласившись с отказом в выплате страхового возмещения, Заявитель 02.09.2019 обратился в порядке, установленным Федеральным законом от 04.06.2018 № 123-ФЗ «Об уполномоченном по правам потребителей финансовых услуг» (далее – Закон № 123-ФЗ), с обращением к Финансовому уполномоченному с требованиями о взыскании с Финансовой организации страхового возмещения по Договору ОСАГО в размере 400 000 рублей 00 копеек.
Руководствуясь частью 4 статьи 18 Закона № 123-ФЗ, Финансовым уполномоченным Обращение Заявителя от 02.09.2019 принято к рассмотрению, Обращению от 02.09.2019 присвоен № У-19-24659.
22.10.2019 Финансовым уполномоченным по Обращению от 02.09.2019 № У-19-24659 вынесено решение об отказе в удовлетворении требований № У-19-24659/5010-010 (далее – Решение от 22.10.2019 № У-19-24659/5010-010). Требования о взыскании неустойки при рассмотрении Обращения от 22.10.2019 № У-19-24659 не заявлялись и не рассматривались.
Решение от 22.10.2019 № У-19-24659/5010-010 вступило в силу 07.11.2019.
Не согласившись с Решением от 22.10.2019 № У-19-24659/5010-010, Заявитель обратился в суд с исковыми требованиями к Финансовой организации о взыскании страхового возмещения по Договору ОСАГО в размере 400 000 рублей 00 копеек, неустойки за несоблюдение срока выплаты страхового возмещения по Договору ОСАГО за период с 02.07.2019 по 30.12.2019 в размере 400 000 рублей 00 копеек, расходов на проведение независимой технической экспертизы в размере 7 000 рублей 00 копеек и иных расходов.
20.02.2020 Ворошиловским районным судом города Ростова-на-Дону по делу № 2-129/2020 вынесено решение об удовлетворении исковых требований Заявителя (далее – Решение Суда), в соответствии с которым с Финансовой организации в пользу Заявителя взыскано страховое возмещение по Договору ОСАГО в размере 400 000 рублей 00 копеек, неустойка за несоблюдение срока выплаты страхового возмещения по Договору ОСАГО за период с 02.07.2019 по 30.12.2019 в размере 300 000 рублей 00 копеек, расходы на проведение независимой технической экспертизы в размере 7 000 рублей 00 копеек и иные расходы.
Решением Суда установлено, что Решение Суда вступило в силу 27.03.2020.
25.05.2020 Решение Суда было исполнено в полном объеме, что подтверждается инкассовым поручением от 22.05.2020 № 7856.
19.10.2020 Заявитель обратился в Финансовую организацию с заявлением (претензией), содержащим требование о выплате неустойки за несоблюдение срока выплаты страхового возмещения по Договору ОСАГО за период с 08.01.2020 по 20.02.2020 в размере 100 000 рублей 00 копеек.
В соответствии со статьей 16 Закона № 123-ФЗ Финансовая организация должна рассмотреть заявление (претензию) и направить Заявителю ответ не позднее 18.11.2020.
Финансовая организация в ответ на заявление (претензию) от 19.10.2020 письмом от 09.11.2020 № 1560/20 отказала Заявителю в удовлетворении заявленных требований.
Рассмотрев требования Заявителя о взыскании с Финансовой организации неустойки за несоблюдение срока выплаты страхового возмещения по Договору ОСАГО, Финансовый уполномоченный приходит к следующему.
Согласно статье 12 Гражданского кодекса Российской Федерации (далее – ГК РФ) взыскание неустойки является одним из способов защиты нарушенного гражданского права.
По смыслу статьи 330 ГК РФ неустойкой (штрафом, пеней) признается определенная законом или договором денежная сумма, которую должник обязан уплатить кредитору в случае неисполнения или ненадлежащего исполнения обязательства, в частности в случае просрочки исполнения. По требованию об уплате неустойки кредитор не обязан доказывать причинение ему убытков.
Положения пункта 21 статьи 12 Федерального закона от 25.04.2002 № 40-ФЗ «Об обязательном страховании гражданской ответственности владельцев транспортных средств» (далее – Закон № 40-ФЗ) предусматривают выплату страховщиком потерпевшему неустойки за нарушение сроков исполнения обязательств.
Таким образом, требования о взыскании неустойки по правилам статьи 12 Закона № 40-ФЗ подлежат рассмотрению финансовым уполномоченным, поскольку обязанность страховщика по выплате неустойки в случае нарушения срока исполнения обязательств прямо предусмотрена Законом № 40-ФЗ, не связана с вопросами взыскания обязательных платежей и санкций. 
Пунктом 21 статьи 12 Федерального закона от 25.04.2002 № 40-ФЗ «Об обязательном страховании гражданской ответственности владельцев транспортных средств» (далее – Закон № 40-ФЗ) установлено, что в течение 20 календарных дней, за исключением нерабочих праздничных дней, а в случае, предусмотренном пунктом 15.3 статьи 12 Закона № 40-ФЗ, 30 календарных дней, за исключением нерабочих праздничных дней, со дня принятия к рассмотрению заявления потерпевшего о страховом возмещении или прямом возмещении убытков и приложенных к нему документов, предусмотренных Правилами ОСАГО, страховщик обязан произвести страховую выплату потерпевшему или после осмотра и (или) независимой технической экспертизы поврежденного транспортного средства выдать потерпевшему направление на ремонт транспортного средства с указанием станции технического обслуживания, на которой будет отремонтировано его транспортное средство и которой страховщик оплатит восстановительный ремонт поврежденного транспортного средства, и срока ремонта либо направить потерпевшему мотивированный отказ в страховом возмещении.
При несоблюдении срока осуществления страховой выплаты или срока выдачи потерпевшему направления на ремонт транспортного средства страховщик за каждый день просрочки уплачивает потерпевшему неустойку (пеню) в размере одного процента от определенного в соответствии с Законом № 40-ФЗ размера страхового возмещения по виду причиненного вреда каждому потерпевшему.
В пункте 78 постановления Пленума Верховного Суда Российской Федерации от 26.12.2017 № 58 «О применении судами законодательства об обязательном страховании гражданской ответственности владельцев транспортных средств» указано, что неустойка исчисляется со дня, следующего за днем, установленным для принятия решения о выплате страхового возмещения, то есть с 21-го дня после получения страховщиком заявления потерпевшего о страховой выплате и документов, предусмотренных Правилами ОСАГО, и до дня фактического исполнения страховщиком обязательства по договору включительно.
Следовательно, неустойка является мерой гражданско-правовой ответственности, которая при наличии условий, необходимых для наступления гражданско-правовой ответственности, подлежит взысканию в случае неисполнения или ненадлежащего исполнения обязательства, то есть при наличии противоправного поведения.
В силу части 1 статьи 2 Закона № 123-ФЗ должность финансового уполномоченного учреждена для рассмотрения обращений потребителей финансовых услуг об удовлетворении требований имущественного характера, предъявляемых к финансовым организациям, оказавшим им финансовые услуги.
Финансовая организация, являясь участником обязательного взаимодействия с финансовым уполномоченным, в силу пункта 4 части 3 статьи 28 Закона № 123-ФЗ обязана добровольно исполнять решения финансового уполномоченного.
В силу статьи 24 Закона № 123-ФЗ исполнение финансовой организацией вступившего в силу решения финансового уполномоченного признается надлежащим исполнением финансовой организацией обязанностей по соответствующему договору с потребителем финансовых услуг об оказании ему или в его пользу финансовой услуги.
В случае неисполнения финансовой организацией вступившего в силу решения финансового уполномоченного либо условий соглашения финансовый уполномоченный выдает потребителю финансовых услуг удостоверение, являющееся исполнительным документом, форма которого устанавливается Правительством Российской Федерации (часть 3 статьи 23 Закона № 123-ФЗ).
Принимая Решение от 22.10.2019 № У-19-24659/5010-010 об отказе Заявителю во взыскании страхового возмещения, финансовый уполномоченный исходил из отсутствия обязательства по выплате страхового возмещения.
Учитывая, что данное решение вынесено официальным должностным лицом в рамках предоставленных ему публичных полномочий, финансовая организация была вправе разумно полагаться на содержащиеся в нем выводы и ссылаться на них в своих взаимоотношениях с потребителем финансовых услуг.
При таких обстоятельствах Финансовый уполномоченный приходит к выводу, что в рассматриваемом случае взыскание неустойки в связи с невыплатой Заявителю страхового возмещения, не основано на законе.
Вместе с тем, Решением Суда частично удовлетворены требования Заявителя к Финансовой организации.
Согласно части 2 статьи 13 Гражданского процессуального кодекса Российской Федерации (далее – ГПК РФ), вступившие в законную силу судебные постановления, а также законные распоряжения, требования, поручения, вызовы и обращения судов являются обязательными для всех без исключения органов государственной власти, органов местного самоуправления, общественных объединений, должностных лиц, граждан, организаций и подлежат неукоснительному исполнению на всей территории Российской Федерации.
По смыслу положений части 1 статьи 209, части 2 статьи 321, части 5 статьи 329 ГПК РФ решение суда вступает в законную силу по истечении месячного срока на апелляционное обжалование со дня принятия решения суда в окончательной форме, если оно не было обжаловано; апелляционное определение вступает в законную силу со дня его принятия.
В соответствии с частью 1 статьи 108 ГПК РФ срок, исчисляемый месяцами, истекает в соответствующее число последнего месяца срока.
Таким образом, обязанность по возмещению взысканного Решением Суда ущерба, причиненного Заявителю, возникла у Финансовой организации с момента вступления Решения Суда в законную силу – 27.03.2020.
20.02.2020 Решением Суда с Финансовой организации в пользу Заявителя взыскано страховое возмещение по Договору ОСАГО в размере 400 000 рублей 00 копеек, неустойка за несоблюдение срока выплаты страхового возмещения по Договору ОСАГО за период с 02.07.2019 по 30.12.2019 в размере 300 000 рублей 00 копеек, расходы на проведение независимой технической экспертизы в размере 7 000 рублей 00 копеек и иные расходы.
25.05.2020 Решение Суда было исполнено в полном объеме, что подтверждается инкассовым поручением от 22.05.2020 № 7856.
Таким образом, с Финансовой организации подлежит взысканию неустойка на сумму страхового возмещения в размере 400 000 рублей 00 копеек, взысканную по Решению Суда, за период с 27.03.2020 по 22.05.2020 (57 дней).
В соответствии с требованиями, установленными пунктом 21 статьи 12 Закона № 40-ФЗ, размер неустойки, подлежащий выплате за период с 27.03.2020 по 22.05.2020 (включительно) составляет 228 000 рублей 00 копеек (400 000 рублей 00 копеек × 57 дней × 1%).
В силу пункта 6 статьи 16.1 Закона № 40-ФЗ общий размер неустойки (пени), суммы финансовой санкции, которые подлежат выплате потерпевшему – физическому лицу, не может превышать размер страховой суммы по виду причиненного вреда, установленный Законом № 40-ФЗ.
Согласно статье 7 Закона № 40-ФЗ страховая сумма, в пределах которой страховщик при наступлении каждого страхового случая (независимо от их числа в течение срока действия договора обязательного страховая) обязуется возместить потерпевшим причиненный вред, составляет: в части возмещения вреда, причиненного имуществу каждого потерпевшего, 400 000 рублей 00 копеек.
20.02.2020 Решением Суда с Финансовой организации в пользу Заявителя взыскана в том числе неустойка за несоблюдение срока выплаты страхового возмещения по Договору ОСАГО за период с 02.07.2019 по 30.12.2019 в размере 300 000 рублей 00 копеек.
25.05.2020 Решение Суда было исполнено в полном объеме, что подтверждается инкассовым поручением от 22.05.2020 № 7856.
Таким образом, общий размер неустойки за несоблюдение срока выплаты страхового возмещения по Договору ОСАГО подлежащий взысканию в пользу Заявителя составляет 100 000 рублей 00 копеек (400 000 рублей 00 копеек – 300 000 рублей 00 копеек).
Заявление Финансовой организации об уменьшении неустойки на основании пункта 1 статьи 333 ГК РФ удовлетворению не подлежит, в силу того, что согласно положениям указанной статьи, вопрос о снижении неустойки находится в исключительной компетенции суда.
Руководствуясь статьей 22 Закона № 123-ФЗ, Финансовый уполномоченный
РЕШИЛ
требования Истомина Владимира Васильевича о взыскании с АО СК «БАСК» неустойки за несоблюдение срока выплаты страхового возмещения по Договору ОСАГО удовлетворить.
Взыскать с АО СК «БАСК» в пользу Истомина Владимира Васильевича неустойку за несоблюдение срока выплаты страхового возмещения по Договору ОСАГО в размере 100 000 (сто тысяч) рублей 00 копеек.
Решение вступает в силу по истечении десяти рабочих дней после даты его подписания.
Решение подлежит исполнению АО СК «БАСК» в течение 10 рабочих дней после дня вступления в силу.
В случае несогласия с решением Финансового уполномоченного в соответствии с частью 1 статьи 26 Закона № 123-ФЗ АО СК «БАСК» вправе в течение десяти рабочих дней после дня вступления в силу решения Финансового уполномоченного обратиться в суд в порядке, установленном законодательством Российской Федерации. В случае обращения финансовой организации в суд копия заявления подлежит направлению финансовому уполномоченному, рассматривавшему дело, и потребителю финансовых услуг, в отношении обращения которого принято решение Финансового уполномоченного, в течение одного дня со дня подачи указанного заявления.
В соответствии с частью 2 статьи 26 Закона № 123-ФЗ финансовая организация при обращении в суд вправе направить финансовому уполномоченному ходатайство о приостановлении исполнения его решения. При получении ходатайства финансовый уполномоченный выносит решение о приостановлении исполнения решения, которое оспаривается финансовой организацией, до вынесения решения судом.
В случае несогласия с вступившим в силу решением Финансового уполномоченного Заявитель в соответствии с частью 3 статьи 25 Закона № 123-ФЗ вправе в течение тридцати дней после дня вступления в силу указанного решения обратиться в суд и заявить требования к финансовой организации по предмету, содержащемуся в обращении, в порядке, установленном законодательством Российской Федерации. Копия обращения в суд подлежит направлению Финансовому уполномоченному.
Уполномоченный по правам потребителей финансовых услуг в сферах страхования, микрофинансирования, кредитной кооперации и деятельности кредитных организаций  Podpisant
Е.Л. Писаревский
</t>
  </si>
  <si>
    <t>1. Номер обращения и дата
Номер обращения У-20-175174
Дата обращения 26.11.2020
2. Контактная информация заявителя
Фамилия Истомин
Имя Владимир
Отчество (при наличии) Васильевич
Дата рождения 31.12.1980
Место рождения Ростов-На-Дону
Телефон 9282700993
Электронная почта 2700993@mail.ru
Вид документа,
удостоверяющего
личность
Паспорт гражданина РФ
Серия, номер и дата
выдачи документа,
удостоверяющего
личность
60 03 672915 27.03.2003
Место жительства или
пребывания
344092 г Ростов-на-Дону, ул
Верная, д 17/88
Почтовый адрес 344092 г Ростов-на-Дону, ул
Верная, д 17/88
3. Потребитель финансовой услуги (опционально, заполняется в случае переуступки прав)
Фамилия
Имя
Отчество
4. Суть обращения
Наименование
финансовой организации
АО СК «БАСК»
ИНН финансовой
организации
4202000716
ОГРН финансовой
организации
1024200540704
Адрес местонахождения
финансовой организации
652600, Кемеровская
область, город Белово,
переулок Цинкзаводской,
дом 8 А
Адрес финансовой
организации
652600, Кемеровская
область, город Белово,
переулок Цинкзаводской,
дом 8 А
Телефон +7 (384) 522-22-17
Сфера деятельности Страхование
Финансовая услуга Обязательное страхование
гражданской
ответственности
владельцев транспортных
средств
Предмет спора Нарушение срока выплаты
страхового возмещения
Размер требования 100000.0
Номер договора с
финансовой организацией
ККК 3002162227
Дата договора с
финансовой организацией
Были ли ранее обращения
в суд по данному вопросу
нет
Текст обращения Обратился с претензией о
выплате неустойки</t>
  </si>
  <si>
    <t>Пункт 6.1. Матрицы. ФУ отказал по трасе, суд взыскал. С даты вступления в силу решения суда</t>
  </si>
  <si>
    <t>НЕД 47</t>
  </si>
  <si>
    <t>НЕД 48</t>
  </si>
  <si>
    <t>НЕД 49</t>
  </si>
  <si>
    <t>НЕД 50</t>
  </si>
  <si>
    <t>НЕД 51</t>
  </si>
  <si>
    <t>У-20-45381</t>
  </si>
  <si>
    <t>Чухонцев Михаил Павлович</t>
  </si>
  <si>
    <t>Отказ в выплате на основании того, что Заявитель не является иждивенцем, следовательно, лицом, имеющим право на получение страховой выплаты</t>
  </si>
  <si>
    <t>Нуждин Андрей Владимирович</t>
  </si>
  <si>
    <t>Много косяков по тексту</t>
  </si>
  <si>
    <t>НЕ правильно прописаны договоры ОСАГО. Претензия направлена не на тот адрес (e-mail)</t>
  </si>
  <si>
    <t>Прекращение, СУД</t>
  </si>
  <si>
    <t>Не прописана телеграмма и акт о непредоставлении ТС на осмотр</t>
  </si>
  <si>
    <t xml:space="preserve"> НТЭ как неиспользованную, не та сумма выплаты</t>
  </si>
  <si>
    <t xml:space="preserve">Неправильно указала по НТЭ ФО </t>
  </si>
  <si>
    <t>ЭВАКУАТОР БР, Не рассмотрена диагностика, отложная неустойка с ошибкой</t>
  </si>
  <si>
    <t>Не те даты обращения и претензии, не учтено оформление ДТП без участия ГИБДД</t>
  </si>
  <si>
    <t>Стат погрешность 10,35. Отказала, нужно взыскивать</t>
  </si>
  <si>
    <t>Много всего</t>
  </si>
  <si>
    <t>Начислила неустойку на сумму по решению ФУ, выплаченную в срок по 123-ФЗ.</t>
  </si>
  <si>
    <t>НЕ правильно прописал НТЭ ФО (было 2)</t>
  </si>
  <si>
    <t>Начислила неустойку не на ту сумму</t>
  </si>
  <si>
    <t>Не рассмотрены требования о взыскании неустоки и расходов за эвакуатор. Юр услуги и НТЭ вместе</t>
  </si>
  <si>
    <t>Не указана одна претения и ответ</t>
  </si>
  <si>
    <t>Не рассмотрена экспертиза, абзац с отложенной неустойкой в резолютивной части с ошибкой</t>
  </si>
  <si>
    <t>Неправильно указал страховую сумму</t>
  </si>
  <si>
    <t>Прописала сумму, которая Заявителю не выплачивалась, начислина на нее неустойку, нотариус БР</t>
  </si>
  <si>
    <t>Не правильно указал дату проведени НТЭ Заявителя и сумму по среднему рынку</t>
  </si>
  <si>
    <t>Нет добавлена фраза: "но, совокупно с суммой неустойки, взысканной ФУ в размере __________"</t>
  </si>
  <si>
    <t xml:space="preserve"> Не рассмотрено требование о взыскании расходов на НТЭ, напутаны результаты НТЭ Заявителя, не прописан предмет договора цессии</t>
  </si>
  <si>
    <t>Пункт 5.1. Матрицы. Исполнение решения ФУ в срок</t>
  </si>
  <si>
    <t>1. Ошибка в дате начала срока исчисления неустойки</t>
  </si>
  <si>
    <t>Пункт 5.1. Матрицы. Исполнение решения ФУ не в срок. Добрговольная выплата</t>
  </si>
  <si>
    <t>Пункт 5.1. Матрицы. Запросить документы на оплату неустойки</t>
  </si>
  <si>
    <t>Пункт 5.1. Матрицы. Неустойка на сроки ремонта. Мотивировка по 314 ГК, 7 дней с момента требования</t>
  </si>
  <si>
    <t>Пункт 5.1. Матрицы. Суд взыскал износ, т.к. не было оснований для выплаты деньгами, хотя было подписано соглашение об определении формы выплаты. Решение обжалуется и нет сведений о его отмене в апелляции</t>
  </si>
  <si>
    <t>Пункты 2.1., 7.1., 5.1., 5.5., 8.1., 8.6.(БР) Матрицы</t>
  </si>
  <si>
    <t>Пункт 5.1. Матрицы. ФО досрочно прекратила действие полиса ОСАГО виновника, но виновник получил уведомление о прекращении после ДТП</t>
  </si>
  <si>
    <t>Пункт 5.1. Матрицы. 1. Недоплата страхового, 2. Недоплата УТС, 3. Неустойка с выплатой + отложенная, 4. Экспертиза, 5. Юр услуги. 6. Нотариус</t>
  </si>
  <si>
    <t>Пункт 5.1. Матрицы. Говорят, что выплатили, нужо направить запрос о платежке</t>
  </si>
  <si>
    <t>Пункт 5.1. Матрицы.</t>
  </si>
  <si>
    <t>Много периодов. Пункт 5.1. Матрицы.</t>
  </si>
  <si>
    <t>Пункт 5.1. Матрицы. Версия готова, ждем ОС от Александры</t>
  </si>
  <si>
    <t>Пункт 5.1. Матрицы. Взыскание расходов на погребение со второй ФО. Первая выплатила 25000, сумма расходов 31000</t>
  </si>
  <si>
    <t>Пункт 5.1. Матрицы. Два раза обращался с заявлением, второй раз после отказа судом. Исчисляем неустойку со второго раза</t>
  </si>
  <si>
    <t>Пункт 5.1. Матрицы. Выплатили не в срок по решению ФУ. Неустйока на реш ФУ</t>
  </si>
  <si>
    <t>Пункт 5.1. Матрицы. Из апелляционного определения невозможно определить период неустойки</t>
  </si>
  <si>
    <t>Пункт 5.1. Матрицы. Сложная неустйока, много выплат и периодов. Судом взыскана неустойка на период по середине</t>
  </si>
  <si>
    <t xml:space="preserve"> (за 39826 - превышение лимита согласно сведениям Заявителя, нужно уходить в экспертизу)</t>
  </si>
  <si>
    <t xml:space="preserve">Пункт 5.1. Матрицы. </t>
  </si>
  <si>
    <t xml:space="preserve"> Не начислена неустойка на первую выплату. Не проанализированы доводы ФО о наличии судебного спора в арбитражном суде, которым в удовлетворении требований цессионария отказано</t>
  </si>
  <si>
    <t>Пункт 5.1. Матрицы. Есть дело в арбитраже, которым отказано цессионарию во взыскании неустойки в связи с тем, что она уже была взыскана судом. Но в решении суда ничего о неустойке нет.</t>
  </si>
  <si>
    <t xml:space="preserve"> Другие требования в претензии, другая сумма и период неустойки, взысканной судом 1й инстанции</t>
  </si>
  <si>
    <t>Пункт 5.1. Матрицы. Соглашение о неустойке. Прописано как соглашение, заключенное в порядке урегулирования срока по 123-ФЗ</t>
  </si>
  <si>
    <t>Пункт 5.1. Матрицы. Неустойка, суд</t>
  </si>
  <si>
    <t>Пункт 5.1. Матрицы. Не прописано совокупно с суммой неустойки, взысканной ФУ</t>
  </si>
  <si>
    <t>Пункт 5.1. Матрицы. Наезд на сугроб. ФО отказала по причине того, что наехал не на тот сугроб. Доводы про франшизу, оплата страховой премии двумя частями. Нет доказательства оплаты второй части</t>
  </si>
  <si>
    <t>Пункт 5.1. Матрицы. Здоровье по двум полисам</t>
  </si>
  <si>
    <t>Пункт 5.1. Матрицы Неустойка</t>
  </si>
  <si>
    <t>Пункт 5.1. Матрицы Ошибаемся на день</t>
  </si>
  <si>
    <t>Пункт 5.1. Матрицы Неустойка на решение ФУ и просто нврушение срока (первая выплата)</t>
  </si>
  <si>
    <t>Пункт 5.1. Матрицы Повторный запрос в ФО. Решение ФУ не исполнено.</t>
  </si>
  <si>
    <t>Пункт 5.1. Матрицы. Решением суда взыскана неустйока за неустановленный период</t>
  </si>
  <si>
    <t>Пункт 5.1. Матрицы. Все проверил, выложил верную версию. Нужно направить доп запрос о предоставлении документов на оплату неустойки. ФО пишет, что организовало выплату. Перепроверить сроки, в решении сроки указаны с момента предоставления реквизитов</t>
  </si>
  <si>
    <t>Пункт 5.1. Матрицы. После суда с периодом, ТС и здоровье</t>
  </si>
  <si>
    <t>Пункт 5.1. Матрицы. Нужно запросить платежку на НДФЛ, если придет, то оставить решение как есть, все норм, если не придет, то взыскать сумму НДФЛ</t>
  </si>
  <si>
    <t>Пункт 5.1. Матрицы. Неидентифицированная выплата, поэтому применяем очередность погашения требований (319 и 319.1)</t>
  </si>
  <si>
    <t>Пункт 5.1. Матрицы. 1. Неустойка после суда, судом неустойка не взыскивалась</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</si>
</sst>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7" formatCode="#,##0.00\ &quot;₽&quot;;\-#,##0.00\ &quot;₽&quot;"/>
    <numFmt numFmtId="164" formatCode="#,##0.00\ &quot;₽&quot;"/>
    <numFmt numFmtId="165" formatCode="dd\.mm\.yyyy"/>
    <numFmt numFmtId="166" formatCode="##,##0&quot; кг&quot;"/>
    <numFmt numFmtId="167" formatCode="0.0"/>
    <numFmt numFmtId="168" formatCode="h:mm;@"/>
    <numFmt numFmtId="169" formatCode="[h]:mm:ss;@"/>
    <numFmt numFmtId="170" formatCode="#,##0\ &quot;₽&quot;"/>
    <numFmt numFmtId="171" formatCode="[$-F400]h:mm:ss\ AM/PM"/>
  </numFmts>
  <fonts count="43" x14ac:knownFonts="1">
    <font>
      <sz val="11"/>
      <color theme="1"/>
      <name val="Calibri"/>
      <family val="2"/>
      <charset val="204"/>
      <scheme val="minor"/>
    </font>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u/>
      <sz val="11"/>
      <color theme="10"/>
      <name val="Calibri"/>
      <family val="2"/>
      <scheme val="minor"/>
    </font>
    <font>
      <b/>
      <u/>
      <sz val="11"/>
      <color rgb="FFFFC000"/>
      <name val="Calibri"/>
      <family val="2"/>
      <charset val="204"/>
      <scheme val="minor"/>
    </font>
    <font>
      <b/>
      <sz val="11"/>
      <name val="Calibri"/>
      <family val="2"/>
      <charset val="204"/>
      <scheme val="minor"/>
    </font>
    <font>
      <sz val="11"/>
      <color theme="1"/>
      <name val="Calibri"/>
      <family val="2"/>
      <charset val="204"/>
    </font>
    <font>
      <sz val="11"/>
      <color theme="1"/>
      <name val="Calibri"/>
      <family val="2"/>
      <scheme val="minor"/>
    </font>
    <font>
      <b/>
      <sz val="11"/>
      <color rgb="FF92D050"/>
      <name val="Calibri"/>
      <family val="2"/>
      <charset val="204"/>
      <scheme val="minor"/>
    </font>
    <font>
      <b/>
      <sz val="11"/>
      <color rgb="FFFF7979"/>
      <name val="Calibri"/>
      <family val="2"/>
      <charset val="204"/>
      <scheme val="minor"/>
    </font>
    <font>
      <b/>
      <sz val="11"/>
      <color rgb="FFFF0000"/>
      <name val="Calibri"/>
      <family val="2"/>
      <charset val="204"/>
      <scheme val="minor"/>
    </font>
    <font>
      <b/>
      <sz val="14"/>
      <color theme="0"/>
      <name val="Calibri"/>
      <family val="2"/>
      <charset val="204"/>
      <scheme val="minor"/>
    </font>
    <font>
      <b/>
      <sz val="11"/>
      <color rgb="FFFFC000"/>
      <name val="Calibri"/>
      <family val="2"/>
      <charset val="204"/>
      <scheme val="minor"/>
    </font>
    <font>
      <sz val="8"/>
      <color rgb="FF000000"/>
      <name val="Segoe UI"/>
      <family val="2"/>
      <charset val="204"/>
    </font>
    <font>
      <b/>
      <sz val="16"/>
      <color rgb="FF000000"/>
      <name val="Calibri"/>
      <family val="2"/>
      <charset val="204"/>
    </font>
    <font>
      <sz val="11"/>
      <color indexed="8"/>
      <name val="Calibri"/>
      <family val="2"/>
      <charset val="204"/>
      <scheme val="minor"/>
    </font>
    <font>
      <u/>
      <sz val="11"/>
      <color theme="10"/>
      <name val="Calibri"/>
      <family val="2"/>
      <charset val="204"/>
      <scheme val="minor"/>
    </font>
    <font>
      <sz val="10"/>
      <name val="Arial"/>
      <family val="2"/>
      <charset val="204"/>
    </font>
    <font>
      <sz val="11"/>
      <color theme="0"/>
      <name val="Calibri"/>
      <family val="2"/>
      <charset val="204"/>
      <scheme val="minor"/>
    </font>
    <font>
      <sz val="11"/>
      <color rgb="FFFF0000"/>
      <name val="Calibri"/>
      <family val="2"/>
      <charset val="204"/>
      <scheme val="minor"/>
    </font>
    <font>
      <b/>
      <sz val="22"/>
      <color rgb="FF000000"/>
      <name val="Calibri"/>
      <family val="2"/>
      <charset val="204"/>
    </font>
    <font>
      <sz val="11"/>
      <name val="Calibri"/>
      <family val="2"/>
      <charset val="204"/>
      <scheme val="minor"/>
    </font>
    <font>
      <b/>
      <sz val="12"/>
      <color rgb="FF000000"/>
      <name val="Calibri"/>
      <family val="2"/>
      <charset val="204"/>
    </font>
    <font>
      <b/>
      <sz val="11"/>
      <color indexed="81"/>
      <name val="Tahoma"/>
      <family val="2"/>
      <charset val="204"/>
    </font>
    <font>
      <sz val="9"/>
      <color indexed="81"/>
      <name val="Tahoma"/>
      <family val="2"/>
      <charset val="204"/>
    </font>
    <font>
      <b/>
      <sz val="9"/>
      <color indexed="81"/>
      <name val="Tahoma"/>
      <family val="2"/>
      <charset val="204"/>
    </font>
    <font>
      <b/>
      <sz val="12"/>
      <color theme="0"/>
      <name val="Calibri"/>
      <family val="2"/>
      <charset val="204"/>
      <scheme val="minor"/>
    </font>
    <font>
      <b/>
      <sz val="14"/>
      <color theme="1"/>
      <name val="Calibri"/>
      <family val="2"/>
      <charset val="204"/>
      <scheme val="minor"/>
    </font>
    <font>
      <b/>
      <sz val="16"/>
      <name val="Calibri"/>
      <family val="2"/>
      <charset val="204"/>
      <scheme val="minor"/>
    </font>
    <font>
      <b/>
      <sz val="16"/>
      <color theme="0"/>
      <name val="Calibri"/>
      <family val="2"/>
      <charset val="204"/>
      <scheme val="minor"/>
    </font>
    <font>
      <b/>
      <sz val="12"/>
      <color theme="1"/>
      <name val="Calibri"/>
      <family val="2"/>
      <charset val="204"/>
      <scheme val="minor"/>
    </font>
    <font>
      <sz val="14"/>
      <name val="Calibri"/>
      <family val="2"/>
      <charset val="204"/>
      <scheme val="minor"/>
    </font>
    <font>
      <sz val="14"/>
      <color theme="1"/>
      <name val="Times New Roman"/>
      <family val="1"/>
      <charset val="204"/>
    </font>
    <font>
      <b/>
      <sz val="10"/>
      <color indexed="81"/>
      <name val="Tahoma"/>
      <family val="2"/>
      <charset val="204"/>
    </font>
    <font>
      <b/>
      <sz val="14"/>
      <name val="Calibri"/>
      <family val="2"/>
      <charset val="204"/>
      <scheme val="minor"/>
    </font>
    <font>
      <sz val="11"/>
      <color rgb="FFFFC000"/>
      <name val="Calibri"/>
      <family val="2"/>
      <charset val="204"/>
      <scheme val="minor"/>
    </font>
    <font>
      <sz val="11"/>
      <color rgb="FF00FF00"/>
      <name val="Calibri"/>
      <family val="2"/>
      <charset val="204"/>
      <scheme val="minor"/>
    </font>
    <font>
      <b/>
      <sz val="11"/>
      <color theme="7"/>
      <name val="Calibri"/>
      <family val="2"/>
      <charset val="204"/>
      <scheme val="minor"/>
    </font>
    <font>
      <sz val="11"/>
      <name val="Calibri"/>
      <family val="2"/>
      <scheme val="minor"/>
    </font>
    <font>
      <sz val="10"/>
      <name val="Arial"/>
      <family val="2"/>
    </font>
    <font>
      <b/>
      <sz val="10"/>
      <color indexed="56"/>
      <name val="Tahoma"/>
      <family val="2"/>
      <charset val="204"/>
    </font>
    <font>
      <i/>
      <sz val="10"/>
      <name val="Arial"/>
      <family val="2"/>
      <charset val="204"/>
    </font>
  </fonts>
  <fills count="29">
    <fill>
      <patternFill patternType="none"/>
    </fill>
    <fill>
      <patternFill patternType="gray125"/>
    </fill>
    <fill>
      <patternFill patternType="solid">
        <fgColor theme="1" tint="0.34998626667073579"/>
        <bgColor indexed="64"/>
      </patternFill>
    </fill>
    <fill>
      <patternFill patternType="solid">
        <fgColor theme="7" tint="0.59999389629810485"/>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7030A0"/>
        <bgColor indexed="64"/>
      </patternFill>
    </fill>
    <fill>
      <patternFill patternType="solid">
        <fgColor rgb="FFFFC000"/>
        <bgColor indexed="64"/>
      </patternFill>
    </fill>
    <fill>
      <patternFill patternType="solid">
        <fgColor rgb="FFFF7979"/>
        <bgColor indexed="64"/>
      </patternFill>
    </fill>
    <fill>
      <patternFill patternType="solid">
        <fgColor theme="0" tint="-0.249977111117893"/>
        <bgColor indexed="64"/>
      </patternFill>
    </fill>
    <fill>
      <patternFill patternType="solid">
        <fgColor rgb="FF0070C0"/>
        <bgColor indexed="64"/>
      </patternFill>
    </fill>
    <fill>
      <patternFill patternType="solid">
        <fgColor rgb="FF8D54E2"/>
        <bgColor indexed="64"/>
      </patternFill>
    </fill>
    <fill>
      <patternFill patternType="solid">
        <fgColor rgb="FFC00000"/>
        <bgColor indexed="64"/>
      </patternFill>
    </fill>
    <fill>
      <patternFill patternType="solid">
        <fgColor theme="4"/>
        <bgColor indexed="64"/>
      </patternFill>
    </fill>
    <fill>
      <patternFill patternType="solid">
        <fgColor theme="5"/>
        <bgColor indexed="64"/>
      </patternFill>
    </fill>
    <fill>
      <patternFill patternType="solid">
        <fgColor theme="8"/>
        <bgColor indexed="64"/>
      </patternFill>
    </fill>
    <fill>
      <patternFill patternType="solid">
        <fgColor theme="6"/>
        <bgColor indexed="64"/>
      </patternFill>
    </fill>
    <fill>
      <patternFill patternType="solid">
        <fgColor theme="7"/>
        <bgColor indexed="64"/>
      </patternFill>
    </fill>
    <fill>
      <patternFill patternType="solid">
        <fgColor rgb="FF595959"/>
        <bgColor indexed="64"/>
      </patternFill>
    </fill>
    <fill>
      <patternFill patternType="solid">
        <fgColor theme="7" tint="0.79998168889431442"/>
        <bgColor indexed="64"/>
      </patternFill>
    </fill>
    <fill>
      <patternFill patternType="solid">
        <fgColor rgb="FFFF0000"/>
        <bgColor indexed="64"/>
      </patternFill>
    </fill>
    <fill>
      <patternFill patternType="solid">
        <fgColor theme="9"/>
        <bgColor indexed="64"/>
      </patternFill>
    </fill>
    <fill>
      <patternFill patternType="solid">
        <fgColor rgb="FF002060"/>
        <bgColor indexed="64"/>
      </patternFill>
    </fill>
    <fill>
      <patternFill patternType="solid">
        <fgColor theme="1" tint="0.499984740745262"/>
        <bgColor indexed="64"/>
      </patternFill>
    </fill>
    <fill>
      <patternFill patternType="solid">
        <fgColor indexed="44"/>
        <bgColor indexed="64"/>
      </patternFill>
    </fill>
    <fill>
      <patternFill patternType="solid">
        <fgColor indexed="43"/>
        <bgColor indexed="64"/>
      </patternFill>
    </fill>
    <fill>
      <patternFill patternType="solid">
        <fgColor indexed="47"/>
        <bgColor indexed="64"/>
      </patternFill>
    </fill>
    <fill>
      <patternFill patternType="solid">
        <fgColor indexed="31"/>
        <bgColor indexed="64"/>
      </patternFill>
    </fill>
  </fills>
  <borders count="84">
    <border>
      <left/>
      <right/>
      <top/>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style="thick">
        <color auto="1"/>
      </top>
      <bottom style="thick">
        <color auto="1"/>
      </bottom>
      <diagonal/>
    </border>
    <border>
      <left style="thick">
        <color auto="1"/>
      </left>
      <right style="thick">
        <color auto="1"/>
      </right>
      <top/>
      <bottom style="thick">
        <color auto="1"/>
      </bottom>
      <diagonal/>
    </border>
    <border>
      <left style="thin">
        <color auto="1"/>
      </left>
      <right style="thin">
        <color auto="1"/>
      </right>
      <top style="thick">
        <color auto="1"/>
      </top>
      <bottom style="thin">
        <color auto="1"/>
      </bottom>
      <diagonal/>
    </border>
    <border>
      <left/>
      <right/>
      <top style="thick">
        <color auto="1"/>
      </top>
      <bottom style="thick">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n">
        <color auto="1"/>
      </bottom>
      <diagonal/>
    </border>
    <border>
      <left/>
      <right style="thick">
        <color auto="1"/>
      </right>
      <top/>
      <bottom/>
      <diagonal/>
    </border>
    <border>
      <left style="thick">
        <color auto="1"/>
      </left>
      <right/>
      <top style="thin">
        <color auto="1"/>
      </top>
      <bottom style="thin">
        <color auto="1"/>
      </bottom>
      <diagonal/>
    </border>
    <border>
      <left style="thick">
        <color auto="1"/>
      </left>
      <right/>
      <top/>
      <bottom/>
      <diagonal/>
    </border>
    <border>
      <left style="thick">
        <color auto="1"/>
      </left>
      <right style="thick">
        <color auto="1"/>
      </right>
      <top style="thick">
        <color auto="1"/>
      </top>
      <bottom style="thin">
        <color auto="1"/>
      </bottom>
      <diagonal/>
    </border>
    <border>
      <left style="thick">
        <color auto="1"/>
      </left>
      <right style="thick">
        <color auto="1"/>
      </right>
      <top style="thin">
        <color auto="1"/>
      </top>
      <bottom style="thick">
        <color auto="1"/>
      </bottom>
      <diagonal/>
    </border>
    <border>
      <left style="thin">
        <color auto="1"/>
      </left>
      <right style="thin">
        <color auto="1"/>
      </right>
      <top style="thin">
        <color auto="1"/>
      </top>
      <bottom style="thin">
        <color auto="1"/>
      </bottom>
      <diagonal/>
    </border>
    <border>
      <left style="thin">
        <color rgb="FFB2A79A"/>
      </left>
      <right style="thin">
        <color rgb="FFB2A79A"/>
      </right>
      <top style="thin">
        <color rgb="FFB2A79A"/>
      </top>
      <bottom style="thin">
        <color rgb="FFB2A79A"/>
      </bottom>
      <diagonal/>
    </border>
    <border>
      <left style="thick">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top/>
      <bottom style="thick">
        <color auto="1"/>
      </bottom>
      <diagonal/>
    </border>
    <border>
      <left/>
      <right/>
      <top style="thin">
        <color auto="1"/>
      </top>
      <bottom/>
      <diagonal/>
    </border>
    <border>
      <left/>
      <right style="thick">
        <color auto="1"/>
      </right>
      <top style="thin">
        <color auto="1"/>
      </top>
      <bottom/>
      <diagonal/>
    </border>
    <border>
      <left style="thick">
        <color auto="1"/>
      </left>
      <right style="thick">
        <color auto="1"/>
      </right>
      <top style="thin">
        <color auto="1"/>
      </top>
      <bottom/>
      <diagonal/>
    </border>
    <border>
      <left/>
      <right style="thin">
        <color auto="1"/>
      </right>
      <top style="thick">
        <color auto="1"/>
      </top>
      <bottom style="thin">
        <color auto="1"/>
      </bottom>
      <diagonal/>
    </border>
    <border>
      <left/>
      <right/>
      <top style="thick">
        <color auto="1"/>
      </top>
      <bottom style="thin">
        <color auto="1"/>
      </bottom>
      <diagonal/>
    </border>
    <border>
      <left style="thin">
        <color auto="1"/>
      </left>
      <right style="thick">
        <color auto="1"/>
      </right>
      <top style="thin">
        <color auto="1"/>
      </top>
      <bottom style="thick">
        <color auto="1"/>
      </bottom>
      <diagonal/>
    </border>
    <border>
      <left style="thin">
        <color auto="1"/>
      </left>
      <right style="thin">
        <color auto="1"/>
      </right>
      <top style="thick">
        <color auto="1"/>
      </top>
      <bottom style="thick">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style="thick">
        <color auto="1"/>
      </left>
      <right style="thick">
        <color auto="1"/>
      </right>
      <top style="thin">
        <color auto="1"/>
      </top>
      <bottom style="thin">
        <color auto="1"/>
      </bottom>
      <diagonal/>
    </border>
    <border>
      <left style="thick">
        <color auto="1"/>
      </left>
      <right style="thin">
        <color auto="1"/>
      </right>
      <top style="thick">
        <color auto="1"/>
      </top>
      <bottom style="thick">
        <color auto="1"/>
      </bottom>
      <diagonal/>
    </border>
    <border>
      <left style="thin">
        <color auto="1"/>
      </left>
      <right style="thick">
        <color auto="1"/>
      </right>
      <top style="thick">
        <color auto="1"/>
      </top>
      <bottom style="thick">
        <color auto="1"/>
      </bottom>
      <diagonal/>
    </border>
    <border>
      <left style="thick">
        <color auto="1"/>
      </left>
      <right/>
      <top style="thin">
        <color auto="1"/>
      </top>
      <bottom/>
      <diagonal/>
    </border>
    <border>
      <left style="thin">
        <color auto="1"/>
      </left>
      <right style="thin">
        <color auto="1"/>
      </right>
      <top style="thin">
        <color auto="1"/>
      </top>
      <bottom/>
      <diagonal/>
    </border>
    <border>
      <left/>
      <right style="thick">
        <color auto="1"/>
      </right>
      <top style="thick">
        <color auto="1"/>
      </top>
      <bottom style="thin">
        <color auto="1"/>
      </bottom>
      <diagonal/>
    </border>
    <border>
      <left/>
      <right style="thick">
        <color auto="1"/>
      </right>
      <top style="thin">
        <color auto="1"/>
      </top>
      <bottom style="thin">
        <color auto="1"/>
      </bottom>
      <diagonal/>
    </border>
    <border>
      <left/>
      <right style="thick">
        <color auto="1"/>
      </right>
      <top style="thin">
        <color auto="1"/>
      </top>
      <bottom style="thick">
        <color auto="1"/>
      </bottom>
      <diagonal/>
    </border>
    <border>
      <left style="thin">
        <color auto="1"/>
      </left>
      <right/>
      <top style="thin">
        <color auto="1"/>
      </top>
      <bottom/>
      <diagonal/>
    </border>
    <border>
      <left style="thin">
        <color auto="1"/>
      </left>
      <right style="thick">
        <color auto="1"/>
      </right>
      <top style="thin">
        <color auto="1"/>
      </top>
      <bottom/>
      <diagonal/>
    </border>
    <border>
      <left style="thin">
        <color auto="1"/>
      </left>
      <right style="thin">
        <color auto="1"/>
      </right>
      <top style="thick">
        <color auto="1"/>
      </top>
      <bottom/>
      <diagonal/>
    </border>
    <border>
      <left style="thick">
        <color auto="1"/>
      </left>
      <right style="thin">
        <color auto="1"/>
      </right>
      <top/>
      <bottom style="thin">
        <color auto="1"/>
      </bottom>
      <diagonal/>
    </border>
    <border>
      <left style="thick">
        <color auto="1"/>
      </left>
      <right style="thick">
        <color auto="1"/>
      </right>
      <top/>
      <bottom style="thin">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right/>
      <top style="thin">
        <color auto="1"/>
      </top>
      <bottom style="thin">
        <color auto="1"/>
      </bottom>
      <diagonal/>
    </border>
    <border>
      <left style="thick">
        <color auto="1"/>
      </left>
      <right style="thick">
        <color auto="1"/>
      </right>
      <top/>
      <bottom/>
      <diagonal/>
    </border>
    <border>
      <left/>
      <right style="thin">
        <color auto="1"/>
      </right>
      <top/>
      <bottom style="thin">
        <color auto="1"/>
      </bottom>
      <diagonal/>
    </border>
    <border>
      <left/>
      <right style="thin">
        <color auto="1"/>
      </right>
      <top style="thin">
        <color auto="1"/>
      </top>
      <bottom/>
      <diagonal/>
    </border>
    <border>
      <left style="thick">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ck">
        <color auto="1"/>
      </bottom>
      <diagonal/>
    </border>
    <border>
      <left/>
      <right/>
      <top style="thin">
        <color auto="1"/>
      </top>
      <bottom style="thick">
        <color auto="1"/>
      </bottom>
      <diagonal/>
    </border>
    <border>
      <left style="thin">
        <color auto="1"/>
      </left>
      <right/>
      <top style="thick">
        <color auto="1"/>
      </top>
      <bottom style="thin">
        <color auto="1"/>
      </bottom>
      <diagonal/>
    </border>
    <border>
      <left style="thin">
        <color auto="1"/>
      </left>
      <right/>
      <top style="thin">
        <color auto="1"/>
      </top>
      <bottom style="thin">
        <color auto="1"/>
      </bottom>
      <diagonal/>
    </border>
    <border>
      <left style="thin">
        <color auto="1"/>
      </left>
      <right/>
      <top style="thin">
        <color auto="1"/>
      </top>
      <bottom style="thick">
        <color auto="1"/>
      </bottom>
      <diagonal/>
    </border>
    <border>
      <left/>
      <right style="thin">
        <color auto="1"/>
      </right>
      <top/>
      <bottom/>
      <diagonal/>
    </border>
    <border>
      <left/>
      <right style="thin">
        <color auto="1"/>
      </right>
      <top style="thick">
        <color auto="1"/>
      </top>
      <bottom/>
      <diagonal/>
    </border>
    <border>
      <left/>
      <right style="thin">
        <color auto="1"/>
      </right>
      <top/>
      <bottom style="thick">
        <color auto="1"/>
      </bottom>
      <diagonal/>
    </border>
    <border>
      <left style="thick">
        <color auto="1"/>
      </left>
      <right/>
      <top style="thin">
        <color auto="1"/>
      </top>
      <bottom style="thick">
        <color auto="1"/>
      </bottom>
      <diagonal/>
    </border>
    <border>
      <left style="thin">
        <color auto="1"/>
      </left>
      <right/>
      <top/>
      <bottom style="thin">
        <color auto="1"/>
      </bottom>
      <diagonal/>
    </border>
    <border>
      <left style="thin">
        <color auto="1"/>
      </left>
      <right/>
      <top style="thick">
        <color auto="1"/>
      </top>
      <bottom style="thick">
        <color auto="1"/>
      </bottom>
      <diagonal/>
    </border>
    <border>
      <left style="thick">
        <color auto="1"/>
      </left>
      <right/>
      <top/>
      <bottom style="thin">
        <color auto="1"/>
      </bottom>
      <diagonal/>
    </border>
    <border>
      <left style="thick">
        <color rgb="FF8D54E2"/>
      </left>
      <right style="thick">
        <color rgb="FF8D54E2"/>
      </right>
      <top style="thick">
        <color rgb="FF8D54E2"/>
      </top>
      <bottom style="thick">
        <color rgb="FF8D54E2"/>
      </bottom>
      <diagonal/>
    </border>
    <border>
      <left/>
      <right/>
      <top/>
      <bottom style="thin">
        <color auto="1"/>
      </bottom>
      <diagonal/>
    </border>
    <border>
      <left style="thin">
        <color auto="1"/>
      </left>
      <right/>
      <top/>
      <bottom/>
      <diagonal/>
    </border>
    <border>
      <left style="thick">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ck">
        <color auto="1"/>
      </top>
      <bottom style="thick">
        <color auto="1"/>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23"/>
      </left>
      <right style="thin">
        <color indexed="23"/>
      </right>
      <top style="thin">
        <color indexed="23"/>
      </top>
      <bottom style="dashed">
        <color indexed="23"/>
      </bottom>
      <diagonal/>
    </border>
    <border>
      <left style="thin">
        <color indexed="23"/>
      </left>
      <right style="thin">
        <color indexed="23"/>
      </right>
      <top style="dashed">
        <color indexed="23"/>
      </top>
      <bottom style="dashed">
        <color indexed="23"/>
      </bottom>
      <diagonal/>
    </border>
    <border>
      <left style="thin">
        <color indexed="23"/>
      </left>
      <right style="thin">
        <color indexed="23"/>
      </right>
      <top style="dashed">
        <color indexed="23"/>
      </top>
      <bottom style="thin">
        <color indexed="2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diagonal/>
    </border>
  </borders>
  <cellStyleXfs count="7">
    <xf numFmtId="0" fontId="0" fillId="0" borderId="0"/>
    <xf numFmtId="0" fontId="3"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8" fillId="0" borderId="0"/>
    <xf numFmtId="9" fontId="1" fillId="0" borderId="0" applyFont="0" applyFill="0" applyBorder="0" applyAlignment="0" applyProtection="0"/>
    <xf numFmtId="0" fontId="40" fillId="0" borderId="0">
      <alignment vertical="center"/>
    </xf>
  </cellStyleXfs>
  <cellXfs count="1573">
    <xf numFmtId="0" fontId="0" fillId="0" borderId="0" xfId="0"/>
    <xf numFmtId="0" fontId="3" fillId="10" borderId="3" xfId="0" applyFont="1" applyFill="1" applyBorder="1" applyAlignment="1">
      <alignment horizontal="center" vertical="center"/>
    </xf>
    <xf numFmtId="0" fontId="3" fillId="10" borderId="5" xfId="0" applyFont="1" applyFill="1" applyBorder="1" applyAlignment="1">
      <alignment horizontal="center" vertical="center"/>
    </xf>
    <xf numFmtId="0" fontId="3" fillId="10" borderId="3" xfId="0" applyFont="1" applyFill="1" applyBorder="1" applyAlignment="1">
      <alignment horizontal="center" vertical="center"/>
    </xf>
    <xf numFmtId="0" fontId="3" fillId="10" borderId="5" xfId="0" applyFont="1" applyFill="1" applyBorder="1" applyAlignment="1">
      <alignment horizontal="center" vertical="center"/>
    </xf>
    <xf numFmtId="0" fontId="0" fillId="0" borderId="0" xfId="0" applyAlignment="1"/>
    <xf numFmtId="14" fontId="0" fillId="0" borderId="0" xfId="0" applyNumberFormat="1"/>
    <xf numFmtId="0" fontId="0" fillId="0" borderId="0" xfId="0" applyAlignment="1">
      <alignment horizontal="center" vertical="center"/>
    </xf>
    <xf numFmtId="0" fontId="0" fillId="0" borderId="0" xfId="0" applyAlignment="1">
      <alignment wrapText="1"/>
    </xf>
    <xf numFmtId="0" fontId="7" fillId="0" borderId="0" xfId="0" applyFont="1"/>
    <xf numFmtId="0" fontId="0" fillId="5" borderId="0" xfId="0" applyFill="1"/>
    <xf numFmtId="0" fontId="8" fillId="0" borderId="0" xfId="4"/>
    <xf numFmtId="0" fontId="3" fillId="6" borderId="4" xfId="4" applyFont="1" applyFill="1" applyBorder="1" applyAlignment="1">
      <alignment horizontal="center" vertical="center" wrapText="1"/>
    </xf>
    <xf numFmtId="0" fontId="8" fillId="0" borderId="6" xfId="4" applyBorder="1" applyAlignment="1">
      <alignment horizontal="left" vertical="center"/>
    </xf>
    <xf numFmtId="14" fontId="8" fillId="0" borderId="6" xfId="4" applyNumberFormat="1" applyBorder="1" applyAlignment="1">
      <alignment horizontal="center" vertical="center"/>
    </xf>
    <xf numFmtId="0" fontId="8" fillId="0" borderId="20" xfId="4" applyBorder="1" applyAlignment="1">
      <alignment horizontal="left" vertical="center"/>
    </xf>
    <xf numFmtId="14" fontId="8" fillId="0" borderId="20" xfId="4" applyNumberFormat="1" applyBorder="1" applyAlignment="1">
      <alignment horizontal="center" vertical="center"/>
    </xf>
    <xf numFmtId="0" fontId="8" fillId="0" borderId="20" xfId="4" applyBorder="1" applyAlignment="1">
      <alignment horizontal="center" vertical="center"/>
    </xf>
    <xf numFmtId="0" fontId="3" fillId="0" borderId="0" xfId="4" applyFont="1" applyAlignment="1">
      <alignment horizontal="center" vertical="center" wrapText="1"/>
    </xf>
    <xf numFmtId="0" fontId="8" fillId="0" borderId="0" xfId="4" applyAlignment="1">
      <alignment vertical="center"/>
    </xf>
    <xf numFmtId="0" fontId="8" fillId="0" borderId="0" xfId="4" applyAlignment="1">
      <alignment horizontal="center" vertical="center"/>
    </xf>
    <xf numFmtId="0" fontId="8" fillId="0" borderId="0" xfId="4" applyAlignment="1">
      <alignment horizontal="left" vertical="center"/>
    </xf>
    <xf numFmtId="0" fontId="4" fillId="0" borderId="0" xfId="3" applyAlignment="1">
      <alignment horizontal="left" vertical="center"/>
    </xf>
    <xf numFmtId="14" fontId="3" fillId="0" borderId="6"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164" fontId="6" fillId="0" borderId="4" xfId="0" applyNumberFormat="1" applyFont="1" applyBorder="1" applyAlignment="1" applyProtection="1">
      <alignment vertical="center"/>
      <protection locked="0"/>
    </xf>
    <xf numFmtId="164" fontId="3" fillId="0" borderId="0" xfId="0" applyNumberFormat="1" applyFont="1" applyFill="1" applyBorder="1" applyAlignment="1" applyProtection="1">
      <alignment horizontal="right" vertical="center"/>
      <protection locked="0"/>
    </xf>
    <xf numFmtId="0" fontId="1" fillId="0" borderId="0" xfId="0" applyFont="1" applyAlignment="1" applyProtection="1">
      <protection locked="0"/>
    </xf>
    <xf numFmtId="14" fontId="1" fillId="0" borderId="0" xfId="0" applyNumberFormat="1" applyFont="1" applyAlignment="1" applyProtection="1">
      <protection locked="0"/>
    </xf>
    <xf numFmtId="0" fontId="1" fillId="3" borderId="0" xfId="0" applyFont="1" applyFill="1" applyAlignment="1" applyProtection="1">
      <alignment horizontal="left"/>
      <protection locked="0"/>
    </xf>
    <xf numFmtId="0" fontId="2" fillId="2" borderId="16" xfId="3" applyFont="1" applyFill="1" applyBorder="1" applyAlignment="1" applyProtection="1">
      <alignment horizontal="left" vertical="center"/>
      <protection locked="0"/>
    </xf>
    <xf numFmtId="164" fontId="3" fillId="0" borderId="0" xfId="0" applyNumberFormat="1" applyFont="1" applyBorder="1" applyAlignment="1" applyProtection="1">
      <alignment horizontal="right"/>
      <protection locked="0"/>
    </xf>
    <xf numFmtId="164" fontId="3" fillId="0" borderId="0" xfId="0" applyNumberFormat="1" applyFont="1" applyBorder="1" applyAlignment="1" applyProtection="1">
      <protection locked="0"/>
    </xf>
    <xf numFmtId="0" fontId="3" fillId="0" borderId="6" xfId="0" applyFont="1" applyBorder="1" applyAlignment="1" applyProtection="1">
      <alignment horizontal="left" vertical="center"/>
      <protection locked="0"/>
    </xf>
    <xf numFmtId="49" fontId="2" fillId="2" borderId="4" xfId="0" applyNumberFormat="1" applyFont="1" applyFill="1" applyBorder="1" applyAlignment="1" applyProtection="1">
      <alignment horizontal="center" vertical="center"/>
      <protection locked="0"/>
    </xf>
    <xf numFmtId="14" fontId="2" fillId="2" borderId="4" xfId="0" applyNumberFormat="1" applyFont="1" applyFill="1" applyBorder="1" applyAlignment="1" applyProtection="1">
      <alignment horizontal="center" vertical="center"/>
      <protection locked="0"/>
    </xf>
    <xf numFmtId="14" fontId="1" fillId="0" borderId="11" xfId="0" applyNumberFormat="1" applyFont="1" applyBorder="1" applyAlignment="1" applyProtection="1">
      <alignment horizontal="center"/>
      <protection locked="0"/>
    </xf>
    <xf numFmtId="14" fontId="1" fillId="0" borderId="13" xfId="0" applyNumberFormat="1" applyFont="1" applyBorder="1" applyAlignment="1" applyProtection="1">
      <alignment horizontal="center"/>
      <protection locked="0"/>
    </xf>
    <xf numFmtId="164" fontId="3" fillId="0" borderId="12" xfId="0" applyNumberFormat="1" applyFont="1" applyBorder="1" applyAlignment="1" applyProtection="1">
      <protection locked="0"/>
    </xf>
    <xf numFmtId="164" fontId="3" fillId="0" borderId="7" xfId="0" applyNumberFormat="1" applyFont="1" applyBorder="1" applyAlignment="1" applyProtection="1">
      <alignment vertical="center"/>
      <protection locked="0"/>
    </xf>
    <xf numFmtId="0" fontId="0" fillId="0" borderId="0" xfId="0" applyFont="1" applyAlignment="1" applyProtection="1">
      <protection locked="0"/>
    </xf>
    <xf numFmtId="0" fontId="2" fillId="2" borderId="18" xfId="0" applyFont="1" applyFill="1" applyBorder="1" applyAlignment="1" applyProtection="1">
      <alignment horizontal="center" vertical="center"/>
      <protection locked="0"/>
    </xf>
    <xf numFmtId="14" fontId="3" fillId="0" borderId="19" xfId="0" applyNumberFormat="1" applyFont="1" applyBorder="1" applyAlignment="1" applyProtection="1">
      <alignment horizontal="center" vertical="center"/>
      <protection locked="0"/>
    </xf>
    <xf numFmtId="0" fontId="3" fillId="8" borderId="4" xfId="0" applyFont="1" applyFill="1" applyBorder="1" applyAlignment="1">
      <alignment horizontal="center" vertical="center"/>
    </xf>
    <xf numFmtId="0" fontId="0" fillId="0" borderId="4" xfId="0" applyBorder="1" applyAlignment="1"/>
    <xf numFmtId="0" fontId="11" fillId="0" borderId="0" xfId="0" applyFont="1" applyAlignment="1"/>
    <xf numFmtId="0" fontId="3" fillId="0" borderId="22" xfId="0" applyFont="1" applyBorder="1" applyAlignment="1" applyProtection="1">
      <alignment horizontal="center" vertical="center"/>
      <protection locked="0"/>
    </xf>
    <xf numFmtId="0" fontId="0" fillId="0" borderId="12" xfId="0" applyFont="1" applyBorder="1" applyAlignment="1" applyProtection="1">
      <protection locked="0"/>
    </xf>
    <xf numFmtId="0" fontId="0" fillId="0" borderId="2" xfId="0" applyFont="1" applyBorder="1" applyAlignment="1" applyProtection="1">
      <protection locked="0"/>
    </xf>
    <xf numFmtId="0" fontId="0" fillId="0" borderId="0" xfId="0" applyAlignment="1" applyProtection="1">
      <protection locked="0"/>
    </xf>
    <xf numFmtId="164" fontId="0" fillId="0" borderId="0" xfId="0" applyNumberFormat="1" applyBorder="1" applyAlignment="1" applyProtection="1">
      <protection locked="0"/>
    </xf>
    <xf numFmtId="0" fontId="0" fillId="0" borderId="0" xfId="0" applyBorder="1" applyAlignment="1" applyProtection="1">
      <alignment horizontal="center" vertical="center"/>
      <protection locked="0"/>
    </xf>
    <xf numFmtId="0" fontId="0" fillId="0" borderId="12" xfId="0" applyBorder="1" applyAlignment="1" applyProtection="1">
      <alignment horizontal="center" vertical="center"/>
      <protection locked="0"/>
    </xf>
    <xf numFmtId="164" fontId="0" fillId="0" borderId="15" xfId="0" applyNumberFormat="1" applyBorder="1" applyAlignment="1" applyProtection="1">
      <alignment horizontal="right" vertical="center"/>
      <protection locked="0"/>
    </xf>
    <xf numFmtId="164" fontId="0" fillId="0" borderId="13" xfId="0" applyNumberFormat="1" applyBorder="1" applyAlignment="1" applyProtection="1">
      <alignment horizontal="right" vertical="center"/>
      <protection locked="0"/>
    </xf>
    <xf numFmtId="164" fontId="2" fillId="2" borderId="4" xfId="0" applyNumberFormat="1" applyFont="1" applyFill="1" applyBorder="1" applyAlignment="1" applyProtection="1">
      <alignment horizontal="center" vertical="center"/>
      <protection locked="0"/>
    </xf>
    <xf numFmtId="14" fontId="3" fillId="0" borderId="31" xfId="0" applyNumberFormat="1" applyFont="1" applyBorder="1" applyAlignment="1" applyProtection="1">
      <alignment horizontal="center" vertical="center"/>
      <protection locked="0"/>
    </xf>
    <xf numFmtId="164" fontId="3" fillId="0" borderId="31" xfId="0" applyNumberFormat="1" applyFont="1" applyBorder="1" applyAlignment="1" applyProtection="1">
      <alignment horizontal="center" vertical="center"/>
      <protection locked="0"/>
    </xf>
    <xf numFmtId="0" fontId="11" fillId="0" borderId="0" xfId="0" applyFont="1"/>
    <xf numFmtId="14" fontId="0" fillId="0" borderId="0" xfId="0" applyNumberFormat="1" applyBorder="1" applyAlignment="1" applyProtection="1">
      <protection locked="0"/>
    </xf>
    <xf numFmtId="14" fontId="0" fillId="0" borderId="15" xfId="0" applyNumberFormat="1" applyBorder="1" applyAlignment="1" applyProtection="1">
      <protection locked="0"/>
    </xf>
    <xf numFmtId="0" fontId="0" fillId="8" borderId="0" xfId="0" applyFill="1"/>
    <xf numFmtId="0" fontId="3" fillId="0" borderId="0" xfId="0" applyFont="1" applyAlignment="1" applyProtection="1">
      <alignment horizontal="center" vertical="center"/>
      <protection locked="0"/>
    </xf>
    <xf numFmtId="0" fontId="0" fillId="8" borderId="0" xfId="0" applyFill="1" applyAlignment="1"/>
    <xf numFmtId="14" fontId="8" fillId="0" borderId="20" xfId="4" applyNumberFormat="1" applyBorder="1" applyAlignment="1">
      <alignment horizontal="center" vertical="center" wrapText="1"/>
    </xf>
    <xf numFmtId="0" fontId="8" fillId="0" borderId="20" xfId="4" applyBorder="1" applyAlignment="1">
      <alignment vertical="center"/>
    </xf>
    <xf numFmtId="0" fontId="16" fillId="0" borderId="0" xfId="0" applyNumberFormat="1" applyFont="1" applyFill="1" applyBorder="1" applyAlignment="1">
      <alignment horizontal="center" vertical="center"/>
    </xf>
    <xf numFmtId="0" fontId="17" fillId="0" borderId="0" xfId="3" applyFont="1" applyBorder="1" applyAlignment="1">
      <alignment horizontal="center" vertical="center"/>
    </xf>
    <xf numFmtId="0" fontId="17" fillId="0" borderId="0" xfId="3" applyFont="1" applyBorder="1" applyAlignment="1">
      <alignment horizontal="left" vertical="center"/>
    </xf>
    <xf numFmtId="14" fontId="1" fillId="0" borderId="0" xfId="4" applyNumberFormat="1" applyFont="1" applyBorder="1" applyAlignment="1">
      <alignment horizontal="center" vertical="center"/>
    </xf>
    <xf numFmtId="14" fontId="1" fillId="0" borderId="0" xfId="4" applyNumberFormat="1" applyFont="1" applyFill="1" applyBorder="1" applyAlignment="1">
      <alignment horizontal="center" vertical="center"/>
    </xf>
    <xf numFmtId="0" fontId="1" fillId="0" borderId="0" xfId="4" applyFont="1" applyBorder="1" applyAlignment="1">
      <alignment horizontal="left" vertical="center"/>
    </xf>
    <xf numFmtId="0" fontId="1" fillId="0" borderId="0" xfId="4" applyFont="1" applyBorder="1" applyAlignment="1">
      <alignment horizontal="center" vertical="center"/>
    </xf>
    <xf numFmtId="2" fontId="1" fillId="0" borderId="0" xfId="4" applyNumberFormat="1" applyFont="1" applyBorder="1" applyAlignment="1">
      <alignment horizontal="center" vertical="center"/>
    </xf>
    <xf numFmtId="14" fontId="1" fillId="0" borderId="0" xfId="4" applyNumberFormat="1" applyFont="1" applyBorder="1" applyAlignment="1">
      <alignment horizontal="left" vertical="center"/>
    </xf>
    <xf numFmtId="0" fontId="1" fillId="4" borderId="0" xfId="4" applyFont="1" applyFill="1" applyAlignment="1">
      <alignment horizontal="center" vertical="center"/>
    </xf>
    <xf numFmtId="0" fontId="1" fillId="0" borderId="0" xfId="4" applyFont="1" applyAlignment="1">
      <alignment vertical="center"/>
    </xf>
    <xf numFmtId="0" fontId="17" fillId="0" borderId="0" xfId="3" applyFont="1"/>
    <xf numFmtId="14" fontId="17" fillId="0" borderId="0" xfId="3" applyNumberFormat="1" applyFont="1" applyFill="1" applyBorder="1" applyAlignment="1">
      <alignment horizontal="center" vertical="center"/>
    </xf>
    <xf numFmtId="0" fontId="1" fillId="0" borderId="0" xfId="4" applyFont="1" applyAlignment="1">
      <alignment horizontal="center" vertical="center"/>
    </xf>
    <xf numFmtId="14" fontId="17" fillId="0" borderId="0" xfId="3" applyNumberFormat="1" applyFont="1" applyBorder="1" applyAlignment="1">
      <alignment horizontal="center" vertical="center"/>
    </xf>
    <xf numFmtId="14" fontId="1" fillId="0" borderId="0" xfId="4" applyNumberFormat="1" applyFont="1" applyAlignment="1">
      <alignment horizontal="center" vertical="center"/>
    </xf>
    <xf numFmtId="0" fontId="17" fillId="0" borderId="0" xfId="3" applyFont="1" applyBorder="1" applyAlignment="1">
      <alignment horizontal="center" vertical="center" wrapText="1"/>
    </xf>
    <xf numFmtId="0" fontId="1" fillId="0" borderId="0" xfId="4" applyFont="1" applyBorder="1" applyAlignment="1">
      <alignment horizontal="left" vertical="center" wrapText="1"/>
    </xf>
    <xf numFmtId="0" fontId="1" fillId="0" borderId="0" xfId="4" applyFont="1" applyBorder="1" applyAlignment="1">
      <alignment horizontal="center" vertical="center" wrapText="1"/>
    </xf>
    <xf numFmtId="14" fontId="17" fillId="0" borderId="0" xfId="3" applyNumberFormat="1" applyFont="1" applyAlignment="1">
      <alignment horizontal="center" vertical="center"/>
    </xf>
    <xf numFmtId="0" fontId="1" fillId="0" borderId="0" xfId="4" applyFont="1" applyAlignment="1">
      <alignment horizontal="left" vertical="center"/>
    </xf>
    <xf numFmtId="0" fontId="17" fillId="5" borderId="0" xfId="3" applyFont="1" applyFill="1" applyBorder="1" applyAlignment="1">
      <alignment horizontal="center" vertical="center"/>
    </xf>
    <xf numFmtId="0" fontId="17" fillId="0" borderId="0" xfId="3" applyFont="1" applyAlignment="1">
      <alignment horizontal="left" vertical="center"/>
    </xf>
    <xf numFmtId="0" fontId="17" fillId="0" borderId="0" xfId="3" applyFont="1" applyAlignment="1">
      <alignment horizontal="center" vertical="center"/>
    </xf>
    <xf numFmtId="0" fontId="1" fillId="0" borderId="0" xfId="4" applyFont="1" applyAlignment="1">
      <alignment horizontal="center" vertical="center" wrapText="1"/>
    </xf>
    <xf numFmtId="2" fontId="1" fillId="0" borderId="0" xfId="4" applyNumberFormat="1" applyFont="1" applyAlignment="1">
      <alignment horizontal="center" vertical="center"/>
    </xf>
    <xf numFmtId="0" fontId="16" fillId="0" borderId="21" xfId="4" applyNumberFormat="1" applyFont="1" applyBorder="1" applyAlignment="1">
      <alignment horizontal="center" vertical="center"/>
    </xf>
    <xf numFmtId="0" fontId="16" fillId="0" borderId="0" xfId="0" applyFont="1" applyFill="1" applyBorder="1" applyAlignment="1">
      <alignment horizontal="center" vertical="center"/>
    </xf>
    <xf numFmtId="14" fontId="4" fillId="0" borderId="0" xfId="3" applyNumberFormat="1" applyBorder="1" applyAlignment="1">
      <alignment horizontal="center" vertical="center"/>
    </xf>
    <xf numFmtId="0" fontId="0" fillId="0" borderId="0" xfId="4" applyFont="1" applyBorder="1" applyAlignment="1">
      <alignment horizontal="left" vertical="center"/>
    </xf>
    <xf numFmtId="0" fontId="0" fillId="0" borderId="0" xfId="4" applyFont="1" applyAlignment="1">
      <alignment horizontal="center" vertical="center"/>
    </xf>
    <xf numFmtId="0" fontId="0" fillId="0" borderId="0" xfId="4" applyFont="1" applyAlignment="1">
      <alignment horizontal="left" vertical="center"/>
    </xf>
    <xf numFmtId="9" fontId="0" fillId="0" borderId="0" xfId="4" applyNumberFormat="1" applyFont="1" applyAlignment="1">
      <alignment horizontal="left" vertical="center"/>
    </xf>
    <xf numFmtId="0" fontId="0" fillId="0" borderId="0" xfId="0" applyFill="1"/>
    <xf numFmtId="0" fontId="0" fillId="0" borderId="0" xfId="0" applyAlignment="1">
      <alignment vertical="center"/>
    </xf>
    <xf numFmtId="0" fontId="0" fillId="2" borderId="12" xfId="0" applyFill="1" applyBorder="1" applyAlignment="1" applyProtection="1">
      <protection locked="0"/>
    </xf>
    <xf numFmtId="0" fontId="0" fillId="2" borderId="13" xfId="0" applyFill="1" applyBorder="1" applyAlignment="1" applyProtection="1">
      <protection locked="0"/>
    </xf>
    <xf numFmtId="0" fontId="0" fillId="0" borderId="0" xfId="0" applyBorder="1" applyAlignment="1" applyProtection="1">
      <protection locked="0"/>
    </xf>
    <xf numFmtId="164" fontId="3" fillId="0" borderId="10" xfId="0" applyNumberFormat="1" applyFont="1" applyFill="1" applyBorder="1" applyAlignment="1" applyProtection="1">
      <alignment horizontal="right" vertical="center"/>
      <protection locked="0"/>
    </xf>
    <xf numFmtId="164" fontId="3" fillId="0" borderId="15" xfId="0" applyNumberFormat="1" applyFont="1" applyBorder="1" applyAlignment="1" applyProtection="1">
      <alignment horizontal="right"/>
      <protection locked="0"/>
    </xf>
    <xf numFmtId="164" fontId="3" fillId="0" borderId="15" xfId="0" applyNumberFormat="1" applyFont="1" applyBorder="1" applyAlignment="1" applyProtection="1">
      <protection locked="0"/>
    </xf>
    <xf numFmtId="164" fontId="3" fillId="0" borderId="13" xfId="0" applyNumberFormat="1" applyFont="1" applyBorder="1" applyAlignment="1" applyProtection="1">
      <protection locked="0"/>
    </xf>
    <xf numFmtId="164" fontId="3" fillId="0" borderId="2" xfId="0" applyNumberFormat="1" applyFont="1" applyBorder="1" applyAlignment="1" applyProtection="1">
      <alignment vertical="center"/>
      <protection locked="0"/>
    </xf>
    <xf numFmtId="14" fontId="4" fillId="0" borderId="0" xfId="3" applyNumberFormat="1" applyAlignment="1">
      <alignment horizontal="center" vertical="center"/>
    </xf>
    <xf numFmtId="0" fontId="7" fillId="0" borderId="0" xfId="0" applyFont="1" applyAlignment="1"/>
    <xf numFmtId="164" fontId="1" fillId="0" borderId="0" xfId="4" applyNumberFormat="1" applyFont="1" applyAlignment="1">
      <alignment horizontal="right" vertical="center"/>
    </xf>
    <xf numFmtId="0" fontId="2" fillId="2" borderId="41" xfId="3" applyFont="1" applyFill="1" applyBorder="1" applyAlignment="1" applyProtection="1">
      <alignment horizontal="left" vertical="center"/>
      <protection locked="0"/>
    </xf>
    <xf numFmtId="164" fontId="2" fillId="7" borderId="2" xfId="0" applyNumberFormat="1" applyFont="1" applyFill="1" applyBorder="1" applyAlignment="1" applyProtection="1">
      <alignment vertical="center"/>
      <protection locked="0"/>
    </xf>
    <xf numFmtId="164" fontId="0" fillId="0" borderId="44" xfId="0" applyNumberFormat="1" applyBorder="1" applyAlignment="1" applyProtection="1">
      <alignment horizontal="right" vertical="center"/>
      <protection locked="0"/>
    </xf>
    <xf numFmtId="165" fontId="1" fillId="0" borderId="0" xfId="4" applyNumberFormat="1" applyFont="1" applyAlignment="1">
      <alignment horizontal="center" vertical="center"/>
    </xf>
    <xf numFmtId="0" fontId="0" fillId="0" borderId="0" xfId="0" applyAlignment="1">
      <alignment vertical="top"/>
    </xf>
    <xf numFmtId="0" fontId="4" fillId="0" borderId="0" xfId="3" applyFill="1" applyBorder="1" applyAlignment="1">
      <alignment horizontal="center" vertical="center"/>
    </xf>
    <xf numFmtId="1" fontId="2" fillId="2" borderId="15" xfId="5" applyNumberFormat="1" applyFont="1" applyFill="1" applyBorder="1" applyAlignment="1" applyProtection="1">
      <alignment horizontal="center" vertical="center"/>
      <protection locked="0"/>
    </xf>
    <xf numFmtId="14" fontId="4" fillId="0" borderId="0" xfId="3" applyNumberFormat="1" applyFill="1" applyBorder="1" applyAlignment="1">
      <alignment horizontal="center" vertical="center"/>
    </xf>
    <xf numFmtId="0" fontId="4" fillId="0" borderId="0" xfId="3" applyBorder="1" applyAlignment="1">
      <alignment horizontal="center" vertical="center"/>
    </xf>
    <xf numFmtId="0" fontId="4" fillId="0" borderId="0" xfId="3" applyNumberFormat="1" applyFill="1" applyBorder="1" applyAlignment="1">
      <alignment horizontal="center" vertical="center"/>
    </xf>
    <xf numFmtId="0" fontId="4" fillId="0" borderId="0" xfId="3" applyAlignment="1">
      <alignment horizontal="center" vertical="center"/>
    </xf>
    <xf numFmtId="0" fontId="4" fillId="0" borderId="0" xfId="3"/>
    <xf numFmtId="0" fontId="0" fillId="0" borderId="0" xfId="4" applyFont="1" applyFill="1" applyAlignment="1">
      <alignment horizontal="left" vertical="center"/>
    </xf>
    <xf numFmtId="14" fontId="3" fillId="0" borderId="4" xfId="0" applyNumberFormat="1" applyFont="1" applyBorder="1" applyAlignment="1" applyProtection="1">
      <alignment horizontal="center" vertical="center"/>
      <protection locked="0"/>
    </xf>
    <xf numFmtId="0" fontId="1" fillId="8" borderId="0" xfId="4" applyFont="1" applyFill="1" applyAlignment="1">
      <alignment horizontal="center" vertical="center"/>
    </xf>
    <xf numFmtId="164" fontId="0" fillId="0" borderId="0" xfId="0" applyNumberFormat="1" applyAlignment="1" applyProtection="1">
      <protection locked="0"/>
    </xf>
    <xf numFmtId="0" fontId="0" fillId="0" borderId="0" xfId="0" applyFill="1" applyBorder="1" applyAlignment="1" applyProtection="1">
      <protection locked="0"/>
    </xf>
    <xf numFmtId="0" fontId="0" fillId="0" borderId="15" xfId="0" applyBorder="1" applyAlignment="1" applyProtection="1">
      <protection locked="0"/>
    </xf>
    <xf numFmtId="0" fontId="0" fillId="0" borderId="17" xfId="0" applyBorder="1" applyAlignment="1" applyProtection="1">
      <protection locked="0"/>
    </xf>
    <xf numFmtId="0" fontId="0" fillId="0" borderId="9" xfId="0" applyBorder="1" applyAlignment="1" applyProtection="1">
      <protection locked="0"/>
    </xf>
    <xf numFmtId="0" fontId="0" fillId="0" borderId="29" xfId="0" applyBorder="1" applyAlignment="1" applyProtection="1">
      <protection locked="0"/>
    </xf>
    <xf numFmtId="0" fontId="0" fillId="0" borderId="12" xfId="0" applyBorder="1" applyAlignment="1" applyProtection="1">
      <protection locked="0"/>
    </xf>
    <xf numFmtId="0" fontId="0" fillId="0" borderId="13" xfId="0" applyBorder="1" applyAlignment="1" applyProtection="1">
      <protection locked="0"/>
    </xf>
    <xf numFmtId="0" fontId="0" fillId="2" borderId="10" xfId="0" applyFill="1" applyBorder="1" applyAlignment="1" applyProtection="1">
      <protection locked="0"/>
    </xf>
    <xf numFmtId="0" fontId="0" fillId="2" borderId="15" xfId="0" applyFill="1" applyBorder="1" applyAlignment="1" applyProtection="1">
      <protection locked="0"/>
    </xf>
    <xf numFmtId="0" fontId="0" fillId="0" borderId="22" xfId="0" applyBorder="1" applyAlignment="1" applyProtection="1">
      <protection locked="0"/>
    </xf>
    <xf numFmtId="0" fontId="0" fillId="0" borderId="6" xfId="0" applyBorder="1" applyAlignment="1" applyProtection="1">
      <protection locked="0"/>
    </xf>
    <xf numFmtId="164" fontId="0" fillId="0" borderId="0" xfId="0" applyNumberFormat="1" applyFill="1" applyBorder="1" applyAlignment="1" applyProtection="1">
      <protection locked="0"/>
    </xf>
    <xf numFmtId="0" fontId="0" fillId="2" borderId="11" xfId="0" applyFill="1" applyBorder="1" applyAlignment="1" applyProtection="1">
      <protection locked="0"/>
    </xf>
    <xf numFmtId="49" fontId="0" fillId="0" borderId="0" xfId="0" applyNumberFormat="1" applyAlignment="1" applyProtection="1">
      <protection locked="0"/>
    </xf>
    <xf numFmtId="0" fontId="0" fillId="6" borderId="33" xfId="0" applyFill="1" applyBorder="1" applyAlignment="1"/>
    <xf numFmtId="0" fontId="0" fillId="6" borderId="53" xfId="0" applyFill="1" applyBorder="1" applyAlignment="1"/>
    <xf numFmtId="0" fontId="0" fillId="6" borderId="53" xfId="0" applyFill="1" applyBorder="1" applyAlignment="1">
      <alignment vertical="center"/>
    </xf>
    <xf numFmtId="0" fontId="0" fillId="0" borderId="53" xfId="0" applyBorder="1" applyAlignment="1"/>
    <xf numFmtId="0" fontId="0" fillId="0" borderId="0" xfId="0" applyFill="1" applyBorder="1" applyAlignment="1"/>
    <xf numFmtId="0" fontId="4" fillId="5" borderId="0" xfId="3" applyFill="1" applyBorder="1" applyAlignment="1">
      <alignment horizontal="center" vertical="center"/>
    </xf>
    <xf numFmtId="0" fontId="4" fillId="0" borderId="0" xfId="3" applyBorder="1" applyAlignment="1">
      <alignment horizontal="left" vertical="center"/>
    </xf>
    <xf numFmtId="14" fontId="1" fillId="0" borderId="12" xfId="0" applyNumberFormat="1" applyFont="1" applyBorder="1" applyAlignment="1" applyProtection="1">
      <alignment horizontal="center" vertical="center"/>
      <protection locked="0"/>
    </xf>
    <xf numFmtId="14" fontId="1" fillId="0" borderId="13" xfId="0" applyNumberFormat="1" applyFont="1" applyBorder="1" applyAlignment="1" applyProtection="1">
      <alignment horizontal="center" vertical="center"/>
      <protection locked="0"/>
    </xf>
    <xf numFmtId="14" fontId="0" fillId="0" borderId="0" xfId="0" applyNumberFormat="1" applyBorder="1" applyAlignment="1" applyProtection="1">
      <alignment horizontal="center" vertical="center"/>
      <protection locked="0"/>
    </xf>
    <xf numFmtId="14" fontId="0" fillId="0" borderId="15" xfId="0" applyNumberFormat="1" applyBorder="1" applyAlignment="1" applyProtection="1">
      <alignment horizontal="center" vertical="center"/>
      <protection locked="0"/>
    </xf>
    <xf numFmtId="14" fontId="0" fillId="0" borderId="0" xfId="0" applyNumberFormat="1" applyAlignment="1" applyProtection="1">
      <alignment horizontal="center" vertical="center"/>
      <protection locked="0"/>
    </xf>
    <xf numFmtId="164" fontId="0" fillId="0" borderId="0" xfId="4" applyNumberFormat="1" applyFont="1" applyAlignment="1">
      <alignment horizontal="right" vertical="center"/>
    </xf>
    <xf numFmtId="0" fontId="3" fillId="0" borderId="48" xfId="0" applyFont="1" applyBorder="1" applyAlignment="1" applyProtection="1">
      <alignment horizontal="left" vertical="center"/>
      <protection locked="0"/>
    </xf>
    <xf numFmtId="0" fontId="3" fillId="0" borderId="4" xfId="0" applyFont="1" applyBorder="1" applyAlignment="1" applyProtection="1">
      <alignment horizontal="center" vertical="center"/>
      <protection locked="0"/>
    </xf>
    <xf numFmtId="0" fontId="0" fillId="6" borderId="0" xfId="0" applyFill="1" applyBorder="1" applyAlignment="1"/>
    <xf numFmtId="166" fontId="3" fillId="0" borderId="4" xfId="0" applyNumberFormat="1" applyFont="1" applyBorder="1" applyAlignment="1" applyProtection="1">
      <alignment horizontal="center" vertical="center"/>
      <protection locked="0"/>
    </xf>
    <xf numFmtId="0" fontId="3" fillId="0" borderId="22" xfId="0" applyFont="1" applyBorder="1" applyAlignment="1" applyProtection="1">
      <alignment vertical="center"/>
      <protection locked="0"/>
    </xf>
    <xf numFmtId="14" fontId="3" fillId="0" borderId="6" xfId="0" applyNumberFormat="1" applyFont="1" applyBorder="1" applyAlignment="1" applyProtection="1">
      <alignment vertical="center"/>
      <protection locked="0"/>
    </xf>
    <xf numFmtId="0" fontId="3" fillId="0" borderId="6" xfId="0" applyFont="1" applyBorder="1" applyAlignment="1" applyProtection="1">
      <alignment vertical="center"/>
      <protection locked="0"/>
    </xf>
    <xf numFmtId="49" fontId="3" fillId="0" borderId="6" xfId="0" applyNumberFormat="1" applyFont="1" applyBorder="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2" fillId="7" borderId="6" xfId="0" applyFont="1" applyFill="1" applyBorder="1" applyAlignment="1" applyProtection="1">
      <alignment horizontal="center" vertical="center"/>
      <protection hidden="1"/>
    </xf>
    <xf numFmtId="14" fontId="2" fillId="7" borderId="6" xfId="0" applyNumberFormat="1" applyFont="1" applyFill="1" applyBorder="1" applyAlignment="1" applyProtection="1">
      <alignment horizontal="center" vertical="center"/>
      <protection hidden="1"/>
    </xf>
    <xf numFmtId="0" fontId="2" fillId="7" borderId="48" xfId="0" applyFont="1" applyFill="1" applyBorder="1" applyAlignment="1" applyProtection="1">
      <alignment horizontal="left" vertical="center"/>
      <protection hidden="1"/>
    </xf>
    <xf numFmtId="0" fontId="2" fillId="7" borderId="6" xfId="0" applyFont="1" applyFill="1" applyBorder="1" applyAlignment="1" applyProtection="1">
      <alignment horizontal="left" vertical="center"/>
      <protection hidden="1"/>
    </xf>
    <xf numFmtId="0" fontId="2" fillId="2" borderId="1"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5" xfId="0" applyFont="1" applyFill="1" applyBorder="1" applyAlignment="1" applyProtection="1">
      <alignment horizontal="center" vertical="center"/>
      <protection locked="0"/>
    </xf>
    <xf numFmtId="0" fontId="3" fillId="8" borderId="54" xfId="0" applyFont="1" applyFill="1" applyBorder="1" applyAlignment="1">
      <alignment horizontal="center" vertical="center" wrapText="1"/>
    </xf>
    <xf numFmtId="14" fontId="6" fillId="0" borderId="22" xfId="3" applyNumberFormat="1" applyFont="1" applyBorder="1" applyAlignment="1" applyProtection="1">
      <alignment horizontal="center" vertical="center"/>
      <protection locked="0"/>
    </xf>
    <xf numFmtId="49" fontId="3" fillId="0" borderId="33" xfId="0" applyNumberFormat="1" applyFont="1" applyBorder="1" applyAlignment="1" applyProtection="1">
      <alignment horizontal="center" vertical="center"/>
      <protection locked="0"/>
    </xf>
    <xf numFmtId="49" fontId="3" fillId="0" borderId="33" xfId="0" applyNumberFormat="1" applyFont="1" applyBorder="1" applyAlignment="1" applyProtection="1">
      <alignment horizontal="left" vertical="center"/>
      <protection locked="0"/>
    </xf>
    <xf numFmtId="49" fontId="3" fillId="0" borderId="32" xfId="0" applyNumberFormat="1" applyFont="1" applyBorder="1" applyAlignment="1" applyProtection="1">
      <alignment horizontal="center" vertical="center"/>
      <protection locked="0"/>
    </xf>
    <xf numFmtId="49" fontId="3" fillId="0" borderId="23"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center" vertical="center"/>
      <protection locked="0"/>
    </xf>
    <xf numFmtId="49" fontId="3" fillId="0" borderId="23" xfId="0" applyNumberFormat="1" applyFont="1" applyBorder="1" applyAlignment="1" applyProtection="1">
      <alignment horizontal="center" vertical="center"/>
      <protection locked="0"/>
    </xf>
    <xf numFmtId="0" fontId="2" fillId="2" borderId="4" xfId="0" applyFont="1" applyFill="1" applyBorder="1" applyAlignment="1" applyProtection="1">
      <alignment horizontal="center"/>
      <protection locked="0"/>
    </xf>
    <xf numFmtId="164" fontId="3" fillId="0" borderId="6" xfId="0" applyNumberFormat="1" applyFont="1" applyBorder="1" applyAlignment="1" applyProtection="1">
      <alignment horizontal="right" vertical="center"/>
      <protection locked="0"/>
    </xf>
    <xf numFmtId="49" fontId="3" fillId="0" borderId="6" xfId="0" applyNumberFormat="1" applyFont="1" applyFill="1" applyBorder="1" applyAlignment="1" applyProtection="1">
      <alignment horizontal="left" vertical="center"/>
      <protection locked="0"/>
    </xf>
    <xf numFmtId="164" fontId="3" fillId="0" borderId="23" xfId="0" applyNumberFormat="1" applyFont="1" applyBorder="1" applyAlignment="1" applyProtection="1">
      <alignment horizontal="center" vertical="center"/>
      <protection locked="0"/>
    </xf>
    <xf numFmtId="14" fontId="3" fillId="0" borderId="22" xfId="0" applyNumberFormat="1" applyFont="1" applyBorder="1" applyAlignment="1" applyProtection="1">
      <alignment horizontal="center" vertical="center"/>
      <protection locked="0"/>
    </xf>
    <xf numFmtId="49" fontId="3" fillId="0" borderId="6" xfId="0" applyNumberFormat="1" applyFont="1" applyFill="1" applyBorder="1" applyAlignment="1" applyProtection="1">
      <alignment horizontal="left" vertical="top"/>
      <protection locked="0"/>
    </xf>
    <xf numFmtId="14" fontId="3" fillId="0" borderId="25" xfId="0" applyNumberFormat="1" applyFont="1" applyBorder="1" applyAlignment="1" applyProtection="1">
      <alignment horizontal="center" vertical="center"/>
      <protection locked="0"/>
    </xf>
    <xf numFmtId="49" fontId="3" fillId="0" borderId="20" xfId="0" applyNumberFormat="1" applyFont="1" applyBorder="1" applyAlignment="1" applyProtection="1">
      <alignment horizontal="left" vertical="center"/>
      <protection locked="0"/>
    </xf>
    <xf numFmtId="164" fontId="3" fillId="0" borderId="20" xfId="0" applyNumberFormat="1" applyFont="1" applyBorder="1" applyAlignment="1" applyProtection="1">
      <alignment horizontal="right" vertical="center"/>
      <protection locked="0"/>
    </xf>
    <xf numFmtId="164" fontId="3" fillId="0" borderId="20" xfId="0" applyNumberFormat="1" applyFont="1" applyBorder="1" applyAlignment="1" applyProtection="1">
      <alignment horizontal="center" vertical="center"/>
      <protection locked="0"/>
    </xf>
    <xf numFmtId="49" fontId="3" fillId="0" borderId="47" xfId="0" applyNumberFormat="1" applyFont="1" applyFill="1" applyBorder="1" applyAlignment="1" applyProtection="1">
      <alignment horizontal="left" vertical="center"/>
      <protection locked="0"/>
    </xf>
    <xf numFmtId="14" fontId="3" fillId="0" borderId="17" xfId="0" applyNumberFormat="1" applyFont="1" applyBorder="1" applyAlignment="1" applyProtection="1">
      <alignment horizontal="center" vertical="center"/>
      <protection locked="0"/>
    </xf>
    <xf numFmtId="0" fontId="1" fillId="0" borderId="17" xfId="0" applyFont="1" applyFill="1" applyBorder="1" applyAlignment="1" applyProtection="1">
      <alignment horizontal="left"/>
      <protection locked="0"/>
    </xf>
    <xf numFmtId="14" fontId="3" fillId="0" borderId="0" xfId="0" applyNumberFormat="1" applyFont="1" applyBorder="1" applyAlignment="1" applyProtection="1">
      <alignment horizontal="center" vertical="center"/>
      <protection locked="0"/>
    </xf>
    <xf numFmtId="0" fontId="3" fillId="0" borderId="0" xfId="0" applyFont="1" applyAlignment="1" applyProtection="1">
      <protection locked="0"/>
    </xf>
    <xf numFmtId="164" fontId="3" fillId="0" borderId="6" xfId="0" applyNumberFormat="1" applyFont="1" applyBorder="1" applyAlignment="1" applyProtection="1">
      <alignment vertical="center"/>
      <protection locked="0"/>
    </xf>
    <xf numFmtId="0" fontId="1" fillId="0" borderId="12" xfId="0" applyFont="1" applyBorder="1" applyAlignment="1" applyProtection="1">
      <protection locked="0"/>
    </xf>
    <xf numFmtId="0" fontId="1" fillId="0" borderId="13" xfId="0" applyFont="1" applyBorder="1" applyAlignment="1" applyProtection="1">
      <protection locked="0"/>
    </xf>
    <xf numFmtId="14" fontId="3" fillId="0" borderId="6" xfId="0" applyNumberFormat="1" applyFont="1" applyBorder="1" applyAlignment="1" applyProtection="1">
      <protection locked="0"/>
    </xf>
    <xf numFmtId="0" fontId="3" fillId="0" borderId="6" xfId="0" applyFont="1" applyBorder="1" applyAlignment="1" applyProtection="1">
      <protection locked="0"/>
    </xf>
    <xf numFmtId="164" fontId="3" fillId="0" borderId="6" xfId="0" applyNumberFormat="1" applyFont="1" applyBorder="1" applyAlignment="1" applyProtection="1">
      <protection locked="0"/>
    </xf>
    <xf numFmtId="164" fontId="2" fillId="7" borderId="43" xfId="0" applyNumberFormat="1" applyFont="1" applyFill="1" applyBorder="1" applyAlignment="1" applyProtection="1">
      <alignment horizontal="right" vertical="center"/>
      <protection hidden="1"/>
    </xf>
    <xf numFmtId="164" fontId="2" fillId="7" borderId="44" xfId="5" applyNumberFormat="1" applyFont="1" applyFill="1" applyBorder="1" applyAlignment="1" applyProtection="1">
      <alignment horizontal="right" vertical="center"/>
      <protection hidden="1"/>
    </xf>
    <xf numFmtId="164" fontId="2" fillId="7" borderId="44" xfId="0" applyNumberFormat="1" applyFont="1" applyFill="1" applyBorder="1" applyAlignment="1" applyProtection="1">
      <alignment horizontal="right" vertical="center"/>
      <protection hidden="1"/>
    </xf>
    <xf numFmtId="164" fontId="2" fillId="7" borderId="45" xfId="0" applyNumberFormat="1" applyFont="1" applyFill="1" applyBorder="1" applyAlignment="1" applyProtection="1">
      <alignment horizontal="right" vertical="center"/>
      <protection hidden="1"/>
    </xf>
    <xf numFmtId="164" fontId="2" fillId="7" borderId="7" xfId="0" applyNumberFormat="1" applyFont="1" applyFill="1" applyBorder="1" applyAlignment="1" applyProtection="1">
      <alignment vertical="center"/>
      <protection hidden="1"/>
    </xf>
    <xf numFmtId="164" fontId="2" fillId="7" borderId="43" xfId="0" applyNumberFormat="1" applyFont="1" applyFill="1" applyBorder="1" applyAlignment="1" applyProtection="1">
      <protection hidden="1"/>
    </xf>
    <xf numFmtId="164" fontId="2" fillId="7" borderId="44" xfId="0" applyNumberFormat="1" applyFont="1" applyFill="1" applyBorder="1" applyAlignment="1" applyProtection="1">
      <protection hidden="1"/>
    </xf>
    <xf numFmtId="164" fontId="2" fillId="7" borderId="30" xfId="0" applyNumberFormat="1" applyFont="1" applyFill="1" applyBorder="1" applyAlignment="1" applyProtection="1">
      <protection hidden="1"/>
    </xf>
    <xf numFmtId="164" fontId="2" fillId="7" borderId="2" xfId="0" applyNumberFormat="1" applyFont="1" applyFill="1" applyBorder="1" applyAlignment="1" applyProtection="1">
      <alignment vertical="center"/>
      <protection hidden="1"/>
    </xf>
    <xf numFmtId="164" fontId="2" fillId="7" borderId="49" xfId="0" applyNumberFormat="1" applyFont="1" applyFill="1" applyBorder="1" applyAlignment="1" applyProtection="1">
      <alignment vertical="center"/>
      <protection hidden="1"/>
    </xf>
    <xf numFmtId="164" fontId="2" fillId="7" borderId="25" xfId="0" applyNumberFormat="1" applyFont="1" applyFill="1" applyBorder="1" applyAlignment="1" applyProtection="1">
      <alignment vertical="center"/>
      <protection hidden="1"/>
    </xf>
    <xf numFmtId="164" fontId="2" fillId="7" borderId="26" xfId="0" applyNumberFormat="1" applyFont="1" applyFill="1" applyBorder="1" applyAlignment="1" applyProtection="1">
      <protection hidden="1"/>
    </xf>
    <xf numFmtId="14" fontId="2" fillId="7" borderId="51" xfId="0" applyNumberFormat="1" applyFont="1" applyFill="1" applyBorder="1" applyAlignment="1" applyProtection="1">
      <alignment horizontal="center" vertical="center"/>
      <protection hidden="1"/>
    </xf>
    <xf numFmtId="0" fontId="2" fillId="7" borderId="51" xfId="0" applyFont="1" applyFill="1" applyBorder="1" applyAlignment="1" applyProtection="1">
      <alignment horizontal="center" vertical="center"/>
      <protection hidden="1"/>
    </xf>
    <xf numFmtId="164" fontId="2" fillId="7" borderId="52" xfId="0" applyNumberFormat="1" applyFont="1" applyFill="1" applyBorder="1" applyAlignment="1" applyProtection="1">
      <alignment vertical="center"/>
      <protection hidden="1"/>
    </xf>
    <xf numFmtId="14" fontId="2" fillId="7" borderId="20" xfId="0" applyNumberFormat="1" applyFont="1" applyFill="1" applyBorder="1" applyAlignment="1" applyProtection="1">
      <alignment horizontal="center" vertical="center"/>
      <protection hidden="1"/>
    </xf>
    <xf numFmtId="0" fontId="2" fillId="7" borderId="20" xfId="0" applyFont="1" applyFill="1" applyBorder="1" applyAlignment="1" applyProtection="1">
      <alignment horizontal="center" vertical="center"/>
      <protection hidden="1"/>
    </xf>
    <xf numFmtId="164" fontId="2" fillId="7" borderId="24" xfId="0" applyNumberFormat="1" applyFont="1" applyFill="1" applyBorder="1" applyAlignment="1" applyProtection="1">
      <alignment vertical="center"/>
      <protection hidden="1"/>
    </xf>
    <xf numFmtId="0" fontId="2" fillId="7" borderId="20" xfId="0" applyNumberFormat="1" applyFont="1" applyFill="1" applyBorder="1" applyAlignment="1" applyProtection="1">
      <alignment horizontal="center" vertical="center"/>
      <protection hidden="1"/>
    </xf>
    <xf numFmtId="14" fontId="2" fillId="7" borderId="27" xfId="0" applyNumberFormat="1" applyFont="1" applyFill="1" applyBorder="1" applyAlignment="1" applyProtection="1">
      <alignment horizontal="center" vertical="center"/>
      <protection hidden="1"/>
    </xf>
    <xf numFmtId="14" fontId="2" fillId="7" borderId="27" xfId="0" applyNumberFormat="1" applyFont="1" applyFill="1" applyBorder="1" applyAlignment="1" applyProtection="1">
      <alignment horizontal="center"/>
      <protection hidden="1"/>
    </xf>
    <xf numFmtId="0" fontId="2" fillId="7" borderId="27" xfId="0" applyNumberFormat="1" applyFont="1" applyFill="1" applyBorder="1" applyAlignment="1" applyProtection="1">
      <alignment horizontal="center"/>
      <protection hidden="1"/>
    </xf>
    <xf numFmtId="164" fontId="2" fillId="7" borderId="47" xfId="0" applyNumberFormat="1" applyFont="1" applyFill="1" applyBorder="1" applyAlignment="1" applyProtection="1">
      <protection hidden="1"/>
    </xf>
    <xf numFmtId="0" fontId="18" fillId="3" borderId="18" xfId="0" quotePrefix="1" applyFont="1" applyFill="1" applyBorder="1" applyAlignment="1" applyProtection="1">
      <alignment horizontal="left" vertical="top"/>
      <protection hidden="1"/>
    </xf>
    <xf numFmtId="3" fontId="18" fillId="3" borderId="32" xfId="0" quotePrefix="1" applyNumberFormat="1" applyFont="1" applyFill="1" applyBorder="1" applyAlignment="1" applyProtection="1">
      <alignment horizontal="right" vertical="center"/>
      <protection hidden="1"/>
    </xf>
    <xf numFmtId="0" fontId="18" fillId="3" borderId="23" xfId="0" quotePrefix="1" applyNumberFormat="1" applyFont="1" applyFill="1" applyBorder="1" applyAlignment="1" applyProtection="1">
      <alignment horizontal="right" vertical="center"/>
      <protection hidden="1"/>
    </xf>
    <xf numFmtId="0" fontId="0" fillId="3" borderId="38" xfId="0" applyFill="1" applyBorder="1" applyAlignment="1" applyProtection="1">
      <alignment vertical="top"/>
      <protection hidden="1"/>
    </xf>
    <xf numFmtId="0" fontId="18" fillId="3" borderId="38" xfId="0" quotePrefix="1" applyFont="1" applyFill="1" applyBorder="1" applyAlignment="1" applyProtection="1">
      <alignment horizontal="left" vertical="top"/>
      <protection hidden="1"/>
    </xf>
    <xf numFmtId="3" fontId="18" fillId="3" borderId="36" xfId="0" quotePrefix="1" applyNumberFormat="1" applyFont="1" applyFill="1" applyBorder="1" applyAlignment="1" applyProtection="1">
      <alignment horizontal="right" vertical="center"/>
      <protection hidden="1"/>
    </xf>
    <xf numFmtId="0" fontId="18" fillId="3" borderId="24" xfId="0" quotePrefix="1" applyNumberFormat="1" applyFont="1" applyFill="1" applyBorder="1" applyAlignment="1" applyProtection="1">
      <alignment horizontal="right" vertical="center"/>
      <protection hidden="1"/>
    </xf>
    <xf numFmtId="0" fontId="18" fillId="3" borderId="19" xfId="0" quotePrefix="1" applyFont="1" applyFill="1" applyBorder="1" applyAlignment="1" applyProtection="1">
      <alignment horizontal="left" vertical="top"/>
      <protection hidden="1"/>
    </xf>
    <xf numFmtId="3" fontId="18" fillId="3" borderId="37" xfId="0" quotePrefix="1" applyNumberFormat="1" applyFont="1" applyFill="1" applyBorder="1" applyAlignment="1" applyProtection="1">
      <alignment horizontal="right" vertical="center"/>
      <protection hidden="1"/>
    </xf>
    <xf numFmtId="0" fontId="18" fillId="3" borderId="34" xfId="0" quotePrefix="1" applyNumberFormat="1" applyFont="1" applyFill="1" applyBorder="1" applyAlignment="1" applyProtection="1">
      <alignment horizontal="right" vertical="center"/>
      <protection hidden="1"/>
    </xf>
    <xf numFmtId="0" fontId="0" fillId="3" borderId="31" xfId="0" applyFill="1" applyBorder="1" applyAlignment="1" applyProtection="1">
      <alignment vertical="top"/>
      <protection hidden="1"/>
    </xf>
    <xf numFmtId="0" fontId="18" fillId="3" borderId="39" xfId="0" quotePrefix="1" applyFont="1" applyFill="1" applyBorder="1" applyAlignment="1" applyProtection="1">
      <alignment horizontal="left" vertical="top"/>
      <protection hidden="1"/>
    </xf>
    <xf numFmtId="3" fontId="18" fillId="3" borderId="35" xfId="0" quotePrefix="1" applyNumberFormat="1" applyFont="1" applyFill="1" applyBorder="1" applyAlignment="1" applyProtection="1">
      <alignment horizontal="right" vertical="center"/>
      <protection hidden="1"/>
    </xf>
    <xf numFmtId="0" fontId="18" fillId="3" borderId="40" xfId="0" quotePrefix="1" applyNumberFormat="1" applyFont="1" applyFill="1" applyBorder="1" applyAlignment="1" applyProtection="1">
      <alignment horizontal="right" vertical="center"/>
      <protection hidden="1"/>
    </xf>
    <xf numFmtId="0" fontId="0" fillId="3" borderId="4" xfId="0" applyFill="1" applyBorder="1" applyAlignment="1" applyProtection="1">
      <alignment vertical="top"/>
      <protection hidden="1"/>
    </xf>
    <xf numFmtId="0" fontId="0" fillId="3" borderId="0" xfId="0" applyFill="1" applyBorder="1" applyAlignment="1" applyProtection="1">
      <protection hidden="1"/>
    </xf>
    <xf numFmtId="164" fontId="2" fillId="7" borderId="0" xfId="0" applyNumberFormat="1" applyFont="1" applyFill="1" applyAlignment="1" applyProtection="1">
      <protection hidden="1"/>
    </xf>
    <xf numFmtId="0" fontId="0" fillId="6" borderId="0" xfId="0" applyFill="1" applyAlignment="1"/>
    <xf numFmtId="0" fontId="0" fillId="9" borderId="0" xfId="0" applyFill="1" applyAlignment="1"/>
    <xf numFmtId="0" fontId="2" fillId="7" borderId="18" xfId="0" applyNumberFormat="1" applyFont="1" applyFill="1" applyBorder="1" applyAlignment="1" applyProtection="1">
      <alignment horizontal="center" vertical="center"/>
      <protection hidden="1"/>
    </xf>
    <xf numFmtId="0" fontId="2" fillId="7" borderId="38" xfId="0" applyNumberFormat="1" applyFont="1" applyFill="1" applyBorder="1" applyAlignment="1" applyProtection="1">
      <alignment horizontal="center" vertical="center"/>
      <protection hidden="1"/>
    </xf>
    <xf numFmtId="0" fontId="2" fillId="7" borderId="19" xfId="0" applyNumberFormat="1" applyFont="1" applyFill="1" applyBorder="1" applyAlignment="1" applyProtection="1">
      <alignment horizontal="center" vertical="center"/>
      <protection hidden="1"/>
    </xf>
    <xf numFmtId="14" fontId="4" fillId="0" borderId="0" xfId="3" applyNumberFormat="1" applyFill="1" applyAlignment="1">
      <alignment horizontal="center" vertical="center"/>
    </xf>
    <xf numFmtId="164" fontId="2" fillId="7" borderId="1" xfId="0" applyNumberFormat="1" applyFont="1" applyFill="1" applyBorder="1" applyAlignment="1" applyProtection="1">
      <protection hidden="1"/>
    </xf>
    <xf numFmtId="0" fontId="17" fillId="0" borderId="0" xfId="3" applyFont="1" applyFill="1" applyAlignment="1">
      <alignment horizontal="left" vertical="center"/>
    </xf>
    <xf numFmtId="0" fontId="0" fillId="0" borderId="0" xfId="0" quotePrefix="1" applyAlignment="1"/>
    <xf numFmtId="14" fontId="3" fillId="0" borderId="6" xfId="0" applyNumberFormat="1" applyFont="1" applyBorder="1" applyAlignment="1" applyProtection="1">
      <alignment horizontal="center" vertical="center" wrapText="1"/>
      <protection locked="0"/>
    </xf>
    <xf numFmtId="0" fontId="3" fillId="0" borderId="33" xfId="0" applyNumberFormat="1" applyFont="1" applyBorder="1" applyAlignment="1" applyProtection="1">
      <alignment horizontal="center" vertical="center"/>
      <protection locked="0"/>
    </xf>
    <xf numFmtId="0" fontId="1" fillId="0" borderId="0" xfId="4" applyFont="1" applyFill="1" applyAlignment="1">
      <alignment horizontal="left" vertical="center"/>
    </xf>
    <xf numFmtId="0" fontId="3" fillId="0" borderId="38" xfId="0" applyFont="1" applyBorder="1" applyAlignment="1" applyProtection="1">
      <protection locked="0"/>
    </xf>
    <xf numFmtId="0" fontId="0" fillId="0" borderId="0" xfId="0" applyFill="1" applyAlignment="1"/>
    <xf numFmtId="0" fontId="0" fillId="0" borderId="0" xfId="0" quotePrefix="1" applyAlignment="1">
      <alignment horizontal="center" vertical="center"/>
    </xf>
    <xf numFmtId="0" fontId="0" fillId="4" borderId="0" xfId="0" applyFill="1" applyAlignment="1"/>
    <xf numFmtId="49" fontId="0" fillId="0" borderId="0" xfId="0" applyNumberFormat="1"/>
    <xf numFmtId="0" fontId="2" fillId="2" borderId="4" xfId="0" applyFont="1" applyFill="1" applyBorder="1" applyAlignment="1" applyProtection="1">
      <alignment horizontal="center" vertical="center"/>
      <protection locked="0"/>
    </xf>
    <xf numFmtId="0" fontId="22" fillId="8" borderId="0" xfId="0" applyFont="1" applyFill="1"/>
    <xf numFmtId="14" fontId="0" fillId="0" borderId="0" xfId="4" applyNumberFormat="1" applyFont="1" applyBorder="1" applyAlignment="1">
      <alignment horizontal="left" vertical="center"/>
    </xf>
    <xf numFmtId="0" fontId="2" fillId="2" borderId="4"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protection locked="0"/>
    </xf>
    <xf numFmtId="0" fontId="22" fillId="0" borderId="0" xfId="0" applyFont="1" applyFill="1" applyAlignment="1">
      <alignment horizontal="left" vertical="top"/>
    </xf>
    <xf numFmtId="0" fontId="0" fillId="0" borderId="0" xfId="0" applyAlignment="1">
      <alignment horizontal="center"/>
    </xf>
    <xf numFmtId="0" fontId="0" fillId="0" borderId="0" xfId="0" applyNumberFormat="1" applyAlignment="1">
      <alignment horizontal="center"/>
    </xf>
    <xf numFmtId="0" fontId="0" fillId="0" borderId="0" xfId="0" applyNumberFormat="1"/>
    <xf numFmtId="14" fontId="2" fillId="7" borderId="20" xfId="0" applyNumberFormat="1" applyFont="1" applyFill="1" applyBorder="1" applyAlignment="1">
      <alignment horizontal="center" vertical="center"/>
    </xf>
    <xf numFmtId="0" fontId="2" fillId="2" borderId="22" xfId="0" applyFont="1" applyFill="1" applyBorder="1"/>
    <xf numFmtId="0" fontId="2" fillId="2" borderId="25" xfId="0" applyFont="1" applyFill="1" applyBorder="1"/>
    <xf numFmtId="0" fontId="2" fillId="2" borderId="26" xfId="0" applyFont="1" applyFill="1" applyBorder="1"/>
    <xf numFmtId="0" fontId="0" fillId="2" borderId="23" xfId="0" applyFill="1" applyBorder="1"/>
    <xf numFmtId="0" fontId="0" fillId="2" borderId="24" xfId="0" applyFill="1" applyBorder="1"/>
    <xf numFmtId="0" fontId="0" fillId="6" borderId="0" xfId="0" applyFill="1"/>
    <xf numFmtId="14" fontId="0" fillId="3" borderId="17" xfId="0" applyNumberFormat="1" applyFill="1" applyBorder="1" applyAlignment="1" applyProtection="1">
      <alignment horizontal="center" vertical="center"/>
      <protection hidden="1"/>
    </xf>
    <xf numFmtId="0" fontId="2" fillId="7" borderId="0" xfId="0" applyFont="1" applyFill="1" applyBorder="1" applyAlignment="1" applyProtection="1">
      <alignment horizontal="center" vertical="center"/>
      <protection hidden="1"/>
    </xf>
    <xf numFmtId="164" fontId="2" fillId="7" borderId="15" xfId="0" applyNumberFormat="1" applyFont="1" applyFill="1" applyBorder="1" applyAlignment="1" applyProtection="1">
      <alignment horizontal="right" vertical="center"/>
      <protection hidden="1"/>
    </xf>
    <xf numFmtId="0" fontId="0" fillId="3" borderId="15" xfId="0" applyFill="1" applyBorder="1" applyAlignment="1" applyProtection="1">
      <protection hidden="1"/>
    </xf>
    <xf numFmtId="0" fontId="1" fillId="3" borderId="15" xfId="0" applyFont="1" applyFill="1" applyBorder="1" applyAlignment="1" applyProtection="1">
      <alignment horizontal="left" vertical="center"/>
      <protection hidden="1"/>
    </xf>
    <xf numFmtId="0" fontId="1" fillId="3" borderId="2" xfId="0" applyFont="1" applyFill="1" applyBorder="1" applyAlignment="1" applyProtection="1">
      <alignment horizontal="left" vertical="center"/>
      <protection hidden="1"/>
    </xf>
    <xf numFmtId="0" fontId="0" fillId="3" borderId="30" xfId="0" applyFill="1" applyBorder="1" applyAlignment="1" applyProtection="1">
      <protection hidden="1"/>
    </xf>
    <xf numFmtId="0" fontId="0" fillId="3" borderId="13" xfId="0" applyFill="1" applyBorder="1" applyAlignment="1" applyProtection="1">
      <protection hidden="1"/>
    </xf>
    <xf numFmtId="14" fontId="0" fillId="3" borderId="17" xfId="0" applyNumberFormat="1" applyFont="1" applyFill="1" applyBorder="1" applyAlignment="1" applyProtection="1">
      <alignment horizontal="center" vertical="center"/>
      <protection hidden="1"/>
    </xf>
    <xf numFmtId="0" fontId="1" fillId="3" borderId="42" xfId="0" applyFont="1" applyFill="1" applyBorder="1" applyAlignment="1" applyProtection="1">
      <alignment horizontal="left"/>
      <protection hidden="1"/>
    </xf>
    <xf numFmtId="0" fontId="1" fillId="3" borderId="46" xfId="0" applyFont="1" applyFill="1" applyBorder="1" applyAlignment="1" applyProtection="1">
      <alignment horizontal="left"/>
      <protection hidden="1"/>
    </xf>
    <xf numFmtId="0" fontId="1" fillId="3" borderId="8" xfId="0" applyFont="1" applyFill="1" applyBorder="1" applyAlignment="1" applyProtection="1">
      <alignment horizontal="left" vertical="top"/>
      <protection hidden="1"/>
    </xf>
    <xf numFmtId="0" fontId="1" fillId="3" borderId="15" xfId="0" applyFont="1" applyFill="1" applyBorder="1" applyAlignment="1" applyProtection="1">
      <alignment horizontal="left" vertical="top"/>
      <protection hidden="1"/>
    </xf>
    <xf numFmtId="0" fontId="1" fillId="3" borderId="5" xfId="0" applyFont="1" applyFill="1" applyBorder="1" applyAlignment="1" applyProtection="1">
      <alignment horizontal="left" vertical="top"/>
      <protection hidden="1"/>
    </xf>
    <xf numFmtId="164" fontId="2" fillId="7" borderId="4" xfId="0" applyNumberFormat="1" applyFont="1" applyFill="1" applyBorder="1" applyAlignment="1" applyProtection="1">
      <alignment vertical="center"/>
      <protection hidden="1"/>
    </xf>
    <xf numFmtId="164" fontId="2" fillId="7" borderId="3" xfId="0" applyNumberFormat="1" applyFont="1" applyFill="1" applyBorder="1" applyAlignment="1" applyProtection="1">
      <protection hidden="1"/>
    </xf>
    <xf numFmtId="164" fontId="2" fillId="7" borderId="4" xfId="0" applyNumberFormat="1" applyFont="1" applyFill="1" applyBorder="1" applyAlignment="1" applyProtection="1">
      <alignment horizontal="right" vertical="center"/>
      <protection hidden="1"/>
    </xf>
    <xf numFmtId="1" fontId="2" fillId="7" borderId="5" xfId="5" applyNumberFormat="1" applyFont="1" applyFill="1" applyBorder="1" applyAlignment="1" applyProtection="1">
      <alignment horizontal="center" vertical="center"/>
      <protection hidden="1"/>
    </xf>
    <xf numFmtId="0" fontId="1" fillId="3" borderId="0" xfId="0" applyFont="1" applyFill="1" applyBorder="1" applyAlignment="1" applyProtection="1">
      <alignment horizontal="left"/>
      <protection hidden="1"/>
    </xf>
    <xf numFmtId="164" fontId="2" fillId="7" borderId="9" xfId="0" applyNumberFormat="1" applyFont="1" applyFill="1" applyBorder="1" applyAlignment="1" applyProtection="1">
      <alignment horizontal="right" vertical="center"/>
      <protection hidden="1"/>
    </xf>
    <xf numFmtId="0" fontId="19" fillId="7" borderId="0" xfId="0" applyFont="1" applyFill="1" applyBorder="1" applyAlignment="1" applyProtection="1">
      <alignment horizontal="center" vertical="center"/>
      <protection hidden="1"/>
    </xf>
    <xf numFmtId="164" fontId="19" fillId="7" borderId="9" xfId="0" applyNumberFormat="1" applyFont="1" applyFill="1" applyBorder="1" applyAlignment="1" applyProtection="1">
      <alignment horizontal="right" vertical="center"/>
      <protection hidden="1"/>
    </xf>
    <xf numFmtId="0" fontId="1" fillId="3" borderId="3" xfId="0" applyFont="1" applyFill="1" applyBorder="1" applyAlignment="1" applyProtection="1">
      <alignment horizontal="left" vertical="center"/>
      <protection hidden="1"/>
    </xf>
    <xf numFmtId="0" fontId="1" fillId="3" borderId="54" xfId="0" applyFont="1" applyFill="1" applyBorder="1" applyAlignment="1" applyProtection="1">
      <alignment horizontal="left" vertical="center"/>
      <protection hidden="1"/>
    </xf>
    <xf numFmtId="0" fontId="1" fillId="3" borderId="5" xfId="0" applyFont="1" applyFill="1" applyBorder="1" applyAlignment="1" applyProtection="1">
      <alignment horizontal="left" vertical="center"/>
      <protection hidden="1"/>
    </xf>
    <xf numFmtId="0" fontId="1" fillId="3" borderId="4" xfId="0" applyFont="1" applyFill="1" applyBorder="1" applyAlignment="1" applyProtection="1">
      <alignment horizontal="left" vertical="center"/>
      <protection hidden="1"/>
    </xf>
    <xf numFmtId="0" fontId="2" fillId="7" borderId="4" xfId="0" applyFont="1" applyFill="1" applyBorder="1" applyAlignment="1" applyProtection="1">
      <alignment horizontal="center" vertical="center"/>
      <protection hidden="1"/>
    </xf>
    <xf numFmtId="0" fontId="0" fillId="0" borderId="0" xfId="4" applyFont="1" applyAlignment="1">
      <alignment vertical="center"/>
    </xf>
    <xf numFmtId="14" fontId="0" fillId="8" borderId="27"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22" xfId="0" applyBorder="1"/>
    <xf numFmtId="14" fontId="0" fillId="8" borderId="20" xfId="0" applyNumberFormat="1" applyFill="1" applyBorder="1" applyAlignment="1">
      <alignment horizontal="center" vertical="center"/>
    </xf>
    <xf numFmtId="0" fontId="0" fillId="0" borderId="20" xfId="0" applyBorder="1" applyAlignment="1">
      <alignment horizontal="center" vertical="center"/>
    </xf>
    <xf numFmtId="0" fontId="2" fillId="7" borderId="20" xfId="0" applyFont="1" applyFill="1" applyBorder="1" applyAlignment="1">
      <alignment horizontal="center" vertical="center"/>
    </xf>
    <xf numFmtId="164" fontId="0" fillId="8" borderId="20" xfId="0" applyNumberFormat="1" applyFill="1" applyBorder="1"/>
    <xf numFmtId="0" fontId="0" fillId="0" borderId="25" xfId="0" applyBorder="1"/>
    <xf numFmtId="0" fontId="0" fillId="0" borderId="26" xfId="0" applyBorder="1"/>
    <xf numFmtId="164" fontId="3" fillId="8" borderId="2" xfId="0" applyNumberFormat="1" applyFont="1" applyFill="1" applyBorder="1"/>
    <xf numFmtId="165" fontId="4" fillId="0" borderId="0" xfId="3" applyNumberFormat="1" applyAlignment="1">
      <alignment horizontal="center" vertical="center"/>
    </xf>
    <xf numFmtId="14" fontId="1" fillId="0" borderId="0" xfId="4" applyNumberFormat="1" applyFont="1" applyAlignment="1">
      <alignment vertical="center"/>
    </xf>
    <xf numFmtId="164" fontId="3" fillId="6" borderId="2" xfId="4" applyNumberFormat="1" applyFont="1" applyFill="1" applyBorder="1" applyAlignment="1">
      <alignment horizontal="center" vertical="center" wrapText="1"/>
    </xf>
    <xf numFmtId="0" fontId="2" fillId="2" borderId="4" xfId="4" applyFont="1" applyFill="1" applyBorder="1" applyAlignment="1">
      <alignment horizontal="center" vertical="center" wrapText="1"/>
    </xf>
    <xf numFmtId="0" fontId="3" fillId="8" borderId="0" xfId="4" applyFont="1" applyFill="1" applyAlignment="1">
      <alignment horizontal="center" vertical="center" wrapText="1"/>
    </xf>
    <xf numFmtId="0" fontId="2" fillId="2" borderId="0" xfId="4" applyFont="1" applyFill="1" applyBorder="1" applyAlignment="1">
      <alignment horizontal="center" vertical="center" wrapText="1"/>
    </xf>
    <xf numFmtId="0" fontId="2" fillId="2" borderId="5" xfId="4" applyFont="1" applyFill="1" applyBorder="1" applyAlignment="1">
      <alignment horizontal="center" vertical="center" wrapText="1"/>
    </xf>
    <xf numFmtId="164" fontId="3" fillId="8" borderId="4" xfId="4" applyNumberFormat="1" applyFont="1" applyFill="1" applyBorder="1" applyAlignment="1">
      <alignment horizontal="center" vertical="center" wrapText="1"/>
    </xf>
    <xf numFmtId="164" fontId="2" fillId="7" borderId="4" xfId="4" applyNumberFormat="1" applyFont="1" applyFill="1" applyBorder="1" applyAlignment="1">
      <alignment horizontal="center" vertical="center" wrapText="1"/>
    </xf>
    <xf numFmtId="0" fontId="22" fillId="0" borderId="0" xfId="0" applyNumberFormat="1" applyFont="1" applyFill="1" applyBorder="1" applyAlignment="1">
      <alignment horizontal="center" vertical="center"/>
    </xf>
    <xf numFmtId="0" fontId="6" fillId="7" borderId="24" xfId="0" applyFont="1" applyFill="1" applyBorder="1" applyAlignment="1">
      <alignment horizontal="center" vertical="center"/>
    </xf>
    <xf numFmtId="14" fontId="2" fillId="7" borderId="34" xfId="0" applyNumberFormat="1" applyFont="1" applyFill="1" applyBorder="1" applyAlignment="1">
      <alignment horizontal="center" vertical="center"/>
    </xf>
    <xf numFmtId="164" fontId="0" fillId="0" borderId="0" xfId="0" applyNumberFormat="1"/>
    <xf numFmtId="0" fontId="2" fillId="2" borderId="4" xfId="0" applyFont="1" applyFill="1" applyBorder="1" applyAlignment="1" applyProtection="1">
      <alignment horizontal="center" vertical="center" wrapText="1"/>
      <protection locked="0"/>
    </xf>
    <xf numFmtId="14" fontId="0" fillId="0" borderId="6" xfId="0" applyNumberFormat="1" applyBorder="1" applyAlignment="1" applyProtection="1">
      <alignment horizontal="center" vertical="center"/>
      <protection locked="0"/>
    </xf>
    <xf numFmtId="49" fontId="0" fillId="0" borderId="6" xfId="0" applyNumberFormat="1" applyBorder="1" applyAlignment="1" applyProtection="1">
      <alignment horizontal="left" vertical="center"/>
      <protection locked="0"/>
    </xf>
    <xf numFmtId="49" fontId="0" fillId="0" borderId="6" xfId="0" applyNumberFormat="1" applyBorder="1" applyAlignment="1" applyProtection="1">
      <alignment horizontal="center" vertical="center"/>
      <protection locked="0"/>
    </xf>
    <xf numFmtId="14" fontId="0" fillId="0" borderId="48" xfId="0" applyNumberFormat="1" applyBorder="1" applyAlignment="1" applyProtection="1">
      <alignment horizontal="center" vertical="center"/>
      <protection locked="0"/>
    </xf>
    <xf numFmtId="49" fontId="0" fillId="0" borderId="48" xfId="0" applyNumberFormat="1" applyBorder="1" applyAlignment="1" applyProtection="1">
      <alignment horizontal="left" vertical="center"/>
      <protection locked="0"/>
    </xf>
    <xf numFmtId="0" fontId="0" fillId="8" borderId="0" xfId="0" applyFill="1" applyAlignment="1">
      <alignment horizontal="center" vertical="center" wrapText="1"/>
    </xf>
    <xf numFmtId="0" fontId="0" fillId="4" borderId="0" xfId="0" applyFill="1" applyAlignment="1">
      <alignment horizontal="center" vertical="center" wrapText="1"/>
    </xf>
    <xf numFmtId="0" fontId="0" fillId="4" borderId="0" xfId="0" applyFill="1" applyAlignment="1">
      <alignment horizontal="center" vertical="center"/>
    </xf>
    <xf numFmtId="0" fontId="0" fillId="8" borderId="0" xfId="0" applyFill="1" applyAlignment="1">
      <alignment horizontal="center" vertical="center"/>
    </xf>
    <xf numFmtId="0" fontId="0" fillId="6" borderId="0" xfId="0" applyFill="1" applyAlignment="1">
      <alignment horizontal="center" vertical="center" wrapText="1"/>
    </xf>
    <xf numFmtId="0" fontId="0" fillId="6" borderId="0" xfId="0" applyFill="1" applyAlignment="1">
      <alignment horizontal="center" vertical="center"/>
    </xf>
    <xf numFmtId="0" fontId="19" fillId="7" borderId="0" xfId="0" applyFont="1" applyFill="1" applyAlignment="1">
      <alignment horizontal="center" vertical="center" wrapText="1"/>
    </xf>
    <xf numFmtId="0" fontId="19" fillId="11" borderId="0" xfId="0" applyFont="1" applyFill="1" applyAlignment="1">
      <alignment horizontal="center" vertical="center" wrapText="1"/>
    </xf>
    <xf numFmtId="0" fontId="19" fillId="12" borderId="0" xfId="0" applyFont="1" applyFill="1" applyAlignment="1">
      <alignment horizontal="center" vertical="center" wrapText="1"/>
    </xf>
    <xf numFmtId="0" fontId="19" fillId="7" borderId="0" xfId="0" applyFont="1" applyFill="1" applyAlignment="1">
      <alignment horizontal="center" vertical="center"/>
    </xf>
    <xf numFmtId="0" fontId="19" fillId="11" borderId="0" xfId="0" applyFont="1" applyFill="1" applyAlignment="1">
      <alignment horizontal="center" vertical="center"/>
    </xf>
    <xf numFmtId="0" fontId="19" fillId="12" borderId="0" xfId="0" applyFont="1" applyFill="1" applyAlignment="1">
      <alignment horizontal="center" vertical="center"/>
    </xf>
    <xf numFmtId="1" fontId="0" fillId="13" borderId="4" xfId="0" applyNumberFormat="1" applyFill="1" applyBorder="1" applyAlignment="1">
      <alignment horizontal="center" vertical="center"/>
    </xf>
    <xf numFmtId="0" fontId="3" fillId="13" borderId="0" xfId="0" applyFont="1" applyFill="1" applyAlignment="1">
      <alignment horizontal="center" vertical="center" wrapText="1"/>
    </xf>
    <xf numFmtId="14" fontId="0" fillId="0" borderId="0" xfId="0" applyNumberFormat="1" applyFill="1"/>
    <xf numFmtId="0" fontId="0" fillId="0" borderId="0" xfId="4" applyFont="1" applyAlignment="1">
      <alignment horizontal="center" vertical="center" wrapText="1"/>
    </xf>
    <xf numFmtId="164" fontId="2" fillId="7" borderId="38" xfId="0" applyNumberFormat="1" applyFont="1" applyFill="1" applyBorder="1" applyAlignment="1" applyProtection="1">
      <alignment horizontal="center" vertical="center"/>
      <protection hidden="1"/>
    </xf>
    <xf numFmtId="14" fontId="2" fillId="7" borderId="19" xfId="0" applyNumberFormat="1" applyFont="1" applyFill="1" applyBorder="1" applyAlignment="1" applyProtection="1">
      <alignment horizontal="center" vertical="center"/>
      <protection locked="0"/>
    </xf>
    <xf numFmtId="0" fontId="22" fillId="0" borderId="0" xfId="4" applyFont="1" applyAlignment="1">
      <alignment horizontal="center" vertical="center"/>
    </xf>
    <xf numFmtId="0" fontId="0" fillId="5" borderId="0" xfId="0" applyFill="1" applyAlignment="1"/>
    <xf numFmtId="14" fontId="0" fillId="0" borderId="0" xfId="0" applyNumberFormat="1" applyAlignment="1"/>
    <xf numFmtId="0" fontId="19" fillId="14" borderId="0" xfId="0" applyFont="1" applyFill="1" applyAlignment="1">
      <alignment horizontal="center" vertical="center" wrapText="1"/>
    </xf>
    <xf numFmtId="0" fontId="19" fillId="15" borderId="0" xfId="0" applyFont="1" applyFill="1" applyAlignment="1">
      <alignment horizontal="center" vertical="center" wrapText="1"/>
    </xf>
    <xf numFmtId="0" fontId="19" fillId="16" borderId="0" xfId="0" applyFont="1" applyFill="1" applyAlignment="1">
      <alignment horizontal="center" vertical="center" wrapText="1"/>
    </xf>
    <xf numFmtId="0" fontId="22" fillId="18" borderId="0" xfId="0" applyFont="1" applyFill="1" applyAlignment="1">
      <alignment horizontal="center" vertical="center" wrapText="1"/>
    </xf>
    <xf numFmtId="0" fontId="19" fillId="17" borderId="0" xfId="0" applyFont="1" applyFill="1" applyAlignment="1">
      <alignment horizontal="center" vertical="center" wrapText="1"/>
    </xf>
    <xf numFmtId="0" fontId="19" fillId="16" borderId="20" xfId="0" applyFont="1" applyFill="1" applyBorder="1" applyAlignment="1">
      <alignment horizontal="center" vertical="center"/>
    </xf>
    <xf numFmtId="167" fontId="19" fillId="16" borderId="20" xfId="0" applyNumberFormat="1" applyFont="1" applyFill="1" applyBorder="1" applyAlignment="1">
      <alignment horizontal="center" vertical="center"/>
    </xf>
    <xf numFmtId="0" fontId="22" fillId="5" borderId="0" xfId="0" applyFont="1" applyFill="1" applyAlignment="1">
      <alignment horizontal="center" vertical="center" wrapText="1"/>
    </xf>
    <xf numFmtId="0" fontId="22" fillId="5" borderId="20" xfId="0" applyFont="1" applyFill="1" applyBorder="1" applyAlignment="1">
      <alignment horizontal="center" vertical="center"/>
    </xf>
    <xf numFmtId="167" fontId="22" fillId="5" borderId="20" xfId="0" applyNumberFormat="1" applyFont="1" applyFill="1" applyBorder="1" applyAlignment="1">
      <alignment horizontal="center" vertical="center"/>
    </xf>
    <xf numFmtId="0" fontId="19" fillId="17" borderId="20" xfId="0" applyFont="1" applyFill="1" applyBorder="1" applyAlignment="1">
      <alignment horizontal="center" vertical="center"/>
    </xf>
    <xf numFmtId="167" fontId="19" fillId="17" borderId="20" xfId="0" applyNumberFormat="1" applyFont="1" applyFill="1" applyBorder="1" applyAlignment="1">
      <alignment horizontal="center" vertical="center"/>
    </xf>
    <xf numFmtId="0" fontId="19" fillId="14" borderId="20" xfId="0" applyFont="1" applyFill="1" applyBorder="1" applyAlignment="1">
      <alignment horizontal="center" vertical="center"/>
    </xf>
    <xf numFmtId="0" fontId="19" fillId="15" borderId="20" xfId="0" applyFont="1" applyFill="1" applyBorder="1" applyAlignment="1">
      <alignment horizontal="center" vertical="center"/>
    </xf>
    <xf numFmtId="167" fontId="19" fillId="14" borderId="20" xfId="0" applyNumberFormat="1" applyFont="1" applyFill="1" applyBorder="1" applyAlignment="1">
      <alignment horizontal="center" vertical="center"/>
    </xf>
    <xf numFmtId="167" fontId="19" fillId="15" borderId="20" xfId="0" applyNumberFormat="1" applyFont="1" applyFill="1" applyBorder="1" applyAlignment="1">
      <alignment horizontal="center" vertical="center"/>
    </xf>
    <xf numFmtId="0" fontId="22" fillId="18" borderId="20" xfId="0" applyFont="1" applyFill="1" applyBorder="1" applyAlignment="1">
      <alignment horizontal="center" vertical="center"/>
    </xf>
    <xf numFmtId="167" fontId="22" fillId="18" borderId="20" xfId="0" applyNumberFormat="1" applyFont="1" applyFill="1" applyBorder="1" applyAlignment="1">
      <alignment horizontal="center" vertical="center"/>
    </xf>
    <xf numFmtId="49" fontId="0" fillId="0" borderId="0" xfId="0" applyNumberFormat="1" applyAlignment="1">
      <alignment horizontal="right"/>
    </xf>
    <xf numFmtId="0" fontId="22" fillId="6" borderId="0" xfId="0" applyFont="1" applyFill="1" applyAlignment="1">
      <alignment horizontal="center" vertical="center" wrapText="1"/>
    </xf>
    <xf numFmtId="0" fontId="19" fillId="6" borderId="24" xfId="0" applyFont="1" applyFill="1" applyBorder="1" applyAlignment="1">
      <alignment horizontal="center" vertical="center"/>
    </xf>
    <xf numFmtId="167" fontId="19" fillId="6" borderId="24" xfId="0" applyNumberFormat="1" applyFont="1" applyFill="1" applyBorder="1" applyAlignment="1">
      <alignment horizontal="center" vertical="center"/>
    </xf>
    <xf numFmtId="164" fontId="2" fillId="7" borderId="2" xfId="0" applyNumberFormat="1" applyFont="1" applyFill="1" applyBorder="1"/>
    <xf numFmtId="0" fontId="2" fillId="19" borderId="16" xfId="3" applyFont="1" applyFill="1" applyBorder="1" applyAlignment="1" applyProtection="1">
      <alignment horizontal="left" vertical="center"/>
      <protection locked="0"/>
    </xf>
    <xf numFmtId="49" fontId="8" fillId="0" borderId="20" xfId="4" applyNumberFormat="1" applyBorder="1" applyAlignment="1">
      <alignment horizontal="center" vertical="center"/>
    </xf>
    <xf numFmtId="0" fontId="0" fillId="8" borderId="0" xfId="0" applyFill="1" applyBorder="1" applyAlignment="1"/>
    <xf numFmtId="0" fontId="2" fillId="2" borderId="25" xfId="0" applyFont="1" applyFill="1" applyBorder="1" applyAlignment="1" applyProtection="1">
      <protection locked="0"/>
    </xf>
    <xf numFmtId="0" fontId="2" fillId="2" borderId="26" xfId="0" applyFont="1" applyFill="1" applyBorder="1" applyAlignment="1" applyProtection="1">
      <protection locked="0"/>
    </xf>
    <xf numFmtId="0" fontId="2" fillId="2" borderId="49" xfId="0" applyFont="1" applyFill="1" applyBorder="1" applyAlignment="1" applyProtection="1">
      <protection locked="0"/>
    </xf>
    <xf numFmtId="164" fontId="0" fillId="0" borderId="0" xfId="0" applyNumberFormat="1" applyFill="1" applyBorder="1"/>
    <xf numFmtId="0" fontId="2" fillId="2" borderId="16" xfId="3" applyFont="1" applyFill="1" applyBorder="1" applyAlignment="1" applyProtection="1">
      <alignment horizontal="left" vertical="center"/>
      <protection hidden="1"/>
    </xf>
    <xf numFmtId="0" fontId="2" fillId="2" borderId="14" xfId="3" applyFont="1" applyFill="1" applyBorder="1" applyAlignment="1" applyProtection="1">
      <alignment horizontal="left" vertical="center"/>
      <protection hidden="1"/>
    </xf>
    <xf numFmtId="0" fontId="0" fillId="8" borderId="53" xfId="0" applyFill="1" applyBorder="1" applyAlignment="1"/>
    <xf numFmtId="0" fontId="0" fillId="6" borderId="20" xfId="0" applyFill="1" applyBorder="1"/>
    <xf numFmtId="0" fontId="2" fillId="2" borderId="4" xfId="0" applyFont="1" applyFill="1" applyBorder="1" applyAlignment="1" applyProtection="1">
      <alignment horizontal="center" vertical="center"/>
      <protection locked="0"/>
    </xf>
    <xf numFmtId="0" fontId="3" fillId="6" borderId="3" xfId="4" applyFont="1" applyFill="1" applyBorder="1" applyAlignment="1">
      <alignment vertical="center" wrapText="1"/>
    </xf>
    <xf numFmtId="0" fontId="3" fillId="6" borderId="5" xfId="4" applyFont="1" applyFill="1" applyBorder="1" applyAlignment="1">
      <alignment vertical="center" wrapText="1"/>
    </xf>
    <xf numFmtId="164" fontId="3" fillId="6" borderId="3" xfId="4" applyNumberFormat="1" applyFont="1" applyFill="1" applyBorder="1" applyAlignment="1">
      <alignment vertical="center" wrapText="1"/>
    </xf>
    <xf numFmtId="164" fontId="3" fillId="6" borderId="5" xfId="4" applyNumberFormat="1" applyFont="1" applyFill="1" applyBorder="1" applyAlignment="1">
      <alignment vertical="center" wrapText="1"/>
    </xf>
    <xf numFmtId="0" fontId="2" fillId="2" borderId="25" xfId="0" applyFont="1" applyFill="1" applyBorder="1" applyAlignment="1" applyProtection="1">
      <alignment horizontal="center" vertical="center" wrapText="1"/>
      <protection locked="0"/>
    </xf>
    <xf numFmtId="14" fontId="2" fillId="7" borderId="52" xfId="0" applyNumberFormat="1" applyFont="1" applyFill="1" applyBorder="1" applyAlignment="1" applyProtection="1">
      <alignment horizontal="center" vertical="center"/>
      <protection hidden="1"/>
    </xf>
    <xf numFmtId="0" fontId="2" fillId="7" borderId="34" xfId="0" applyNumberFormat="1" applyFont="1" applyFill="1" applyBorder="1" applyAlignment="1" applyProtection="1">
      <alignment horizontal="center" vertical="center"/>
      <protection hidden="1"/>
    </xf>
    <xf numFmtId="0" fontId="2" fillId="2" borderId="4" xfId="0" applyFont="1" applyFill="1" applyBorder="1" applyAlignment="1" applyProtection="1">
      <alignment horizontal="center" vertical="center"/>
      <protection locked="0"/>
    </xf>
    <xf numFmtId="0" fontId="0" fillId="0" borderId="0" xfId="0" applyAlignment="1">
      <alignment horizontal="right"/>
    </xf>
    <xf numFmtId="0" fontId="0" fillId="0" borderId="24" xfId="0" applyBorder="1" applyAlignment="1">
      <alignment horizontal="center" vertical="center"/>
    </xf>
    <xf numFmtId="9" fontId="0" fillId="0" borderId="27" xfId="5" applyFont="1" applyBorder="1" applyAlignment="1">
      <alignment horizontal="center" vertical="center"/>
    </xf>
    <xf numFmtId="0" fontId="0" fillId="0" borderId="51" xfId="0" applyBorder="1" applyAlignment="1">
      <alignment horizontal="center" vertical="center"/>
    </xf>
    <xf numFmtId="0" fontId="0" fillId="0" borderId="52" xfId="0" applyBorder="1" applyAlignment="1">
      <alignment horizontal="center" vertical="center"/>
    </xf>
    <xf numFmtId="0" fontId="0" fillId="0" borderId="55" xfId="0" applyBorder="1" applyAlignment="1">
      <alignment horizontal="center" vertical="center"/>
    </xf>
    <xf numFmtId="0" fontId="0" fillId="0" borderId="36" xfId="0" applyBorder="1" applyAlignment="1">
      <alignment horizontal="center" vertical="center"/>
    </xf>
    <xf numFmtId="0" fontId="0" fillId="0" borderId="56" xfId="0" applyBorder="1" applyAlignment="1">
      <alignment horizontal="center" vertical="center"/>
    </xf>
    <xf numFmtId="0" fontId="0" fillId="0" borderId="42" xfId="0" applyBorder="1" applyAlignment="1">
      <alignment horizontal="center" vertical="center"/>
    </xf>
    <xf numFmtId="0" fontId="0" fillId="0" borderId="47" xfId="0" applyBorder="1" applyAlignment="1">
      <alignment horizontal="center" vertical="center"/>
    </xf>
    <xf numFmtId="0" fontId="0" fillId="0" borderId="22" xfId="0" applyBorder="1" applyAlignment="1">
      <alignment horizontal="center" vertical="center"/>
    </xf>
    <xf numFmtId="0" fontId="0" fillId="0" borderId="6" xfId="0" applyBorder="1" applyAlignment="1">
      <alignment horizontal="center" vertical="center"/>
    </xf>
    <xf numFmtId="0" fontId="0" fillId="0" borderId="23" xfId="0" applyBorder="1" applyAlignment="1">
      <alignment horizontal="center" vertical="center"/>
    </xf>
    <xf numFmtId="14" fontId="2" fillId="7" borderId="0" xfId="0" applyNumberFormat="1" applyFont="1" applyFill="1" applyBorder="1" applyAlignment="1" applyProtection="1">
      <alignment horizontal="center" vertical="center"/>
      <protection locked="0"/>
    </xf>
    <xf numFmtId="0" fontId="2" fillId="7" borderId="22" xfId="0" applyFont="1" applyFill="1" applyBorder="1" applyAlignment="1" applyProtection="1">
      <alignment horizontal="center" vertical="center"/>
      <protection locked="0"/>
    </xf>
    <xf numFmtId="0" fontId="2" fillId="7" borderId="23" xfId="0" applyFont="1" applyFill="1" applyBorder="1" applyAlignment="1" applyProtection="1">
      <alignment horizontal="center" vertical="center"/>
      <protection locked="0"/>
    </xf>
    <xf numFmtId="0" fontId="0" fillId="0" borderId="25" xfId="0" applyBorder="1" applyAlignment="1" applyProtection="1">
      <protection locked="0"/>
    </xf>
    <xf numFmtId="0" fontId="0" fillId="0" borderId="24" xfId="0" applyBorder="1" applyAlignment="1" applyProtection="1">
      <protection locked="0"/>
    </xf>
    <xf numFmtId="0" fontId="2" fillId="7" borderId="25" xfId="0" applyFont="1" applyFill="1" applyBorder="1" applyAlignment="1" applyProtection="1">
      <alignment horizontal="center" vertical="center"/>
      <protection locked="0"/>
    </xf>
    <xf numFmtId="0" fontId="2" fillId="7" borderId="24" xfId="0" applyFont="1" applyFill="1" applyBorder="1" applyAlignment="1" applyProtection="1">
      <alignment horizontal="center" vertical="center"/>
      <protection locked="0"/>
    </xf>
    <xf numFmtId="0" fontId="0" fillId="0" borderId="26" xfId="0" applyBorder="1" applyAlignment="1" applyProtection="1">
      <protection locked="0"/>
    </xf>
    <xf numFmtId="0" fontId="0" fillId="0" borderId="34" xfId="0" applyBorder="1" applyAlignment="1" applyProtection="1">
      <protection locked="0"/>
    </xf>
    <xf numFmtId="0" fontId="2" fillId="7" borderId="22" xfId="0" applyFont="1" applyFill="1" applyBorder="1" applyAlignment="1" applyProtection="1">
      <alignment horizontal="center" vertical="center"/>
      <protection hidden="1"/>
    </xf>
    <xf numFmtId="164" fontId="2" fillId="7" borderId="23" xfId="0" applyNumberFormat="1" applyFont="1" applyFill="1" applyBorder="1" applyAlignment="1" applyProtection="1">
      <alignment horizontal="right" vertical="center"/>
      <protection hidden="1"/>
    </xf>
    <xf numFmtId="14" fontId="2" fillId="7" borderId="25" xfId="0" applyNumberFormat="1" applyFont="1" applyFill="1" applyBorder="1" applyAlignment="1" applyProtection="1">
      <alignment horizontal="center" vertical="center"/>
      <protection locked="0"/>
    </xf>
    <xf numFmtId="0" fontId="0" fillId="3" borderId="24" xfId="0" applyFill="1" applyBorder="1" applyAlignment="1" applyProtection="1">
      <protection hidden="1"/>
    </xf>
    <xf numFmtId="0" fontId="0" fillId="0" borderId="26" xfId="0" applyBorder="1" applyAlignment="1" applyProtection="1">
      <alignment horizontal="center" vertical="center"/>
      <protection locked="0"/>
    </xf>
    <xf numFmtId="0" fontId="0" fillId="3" borderId="34" xfId="0" applyFill="1" applyBorder="1" applyAlignment="1" applyProtection="1">
      <protection hidden="1"/>
    </xf>
    <xf numFmtId="164" fontId="2" fillId="7" borderId="57" xfId="0" applyNumberFormat="1" applyFont="1" applyFill="1" applyBorder="1" applyAlignment="1" applyProtection="1">
      <alignment vertical="center"/>
      <protection hidden="1"/>
    </xf>
    <xf numFmtId="14" fontId="2" fillId="7" borderId="42" xfId="0" applyNumberFormat="1" applyFont="1" applyFill="1" applyBorder="1" applyAlignment="1" applyProtection="1">
      <alignment horizontal="center" vertical="center"/>
      <protection hidden="1"/>
    </xf>
    <xf numFmtId="0" fontId="27" fillId="2" borderId="2" xfId="0" applyFont="1" applyFill="1" applyBorder="1" applyAlignment="1">
      <alignment horizontal="center" vertical="center"/>
    </xf>
    <xf numFmtId="0" fontId="27" fillId="2" borderId="4" xfId="0" applyFont="1" applyFill="1" applyBorder="1" applyAlignment="1">
      <alignment horizontal="center" vertical="center"/>
    </xf>
    <xf numFmtId="0" fontId="2" fillId="2" borderId="4" xfId="0" applyFont="1" applyFill="1" applyBorder="1"/>
    <xf numFmtId="0" fontId="2" fillId="2" borderId="20" xfId="0" applyFont="1" applyFill="1" applyBorder="1" applyAlignment="1">
      <alignment horizontal="center" vertical="center"/>
    </xf>
    <xf numFmtId="14" fontId="2" fillId="2" borderId="42" xfId="0" applyNumberFormat="1" applyFont="1" applyFill="1" applyBorder="1" applyAlignment="1">
      <alignment horizontal="center" vertical="center"/>
    </xf>
    <xf numFmtId="0" fontId="2" fillId="2" borderId="6" xfId="0" applyFont="1" applyFill="1" applyBorder="1" applyAlignment="1">
      <alignment horizontal="center" vertical="center"/>
    </xf>
    <xf numFmtId="0" fontId="0" fillId="0" borderId="0" xfId="0" applyBorder="1"/>
    <xf numFmtId="0" fontId="0" fillId="0" borderId="18" xfId="0" applyBorder="1" applyAlignment="1">
      <alignment horizontal="center" vertical="center"/>
    </xf>
    <xf numFmtId="9" fontId="0" fillId="0" borderId="19" xfId="5" applyFont="1" applyBorder="1" applyAlignment="1">
      <alignment horizontal="center" vertical="center"/>
    </xf>
    <xf numFmtId="9" fontId="29" fillId="2" borderId="27" xfId="5" applyFont="1" applyFill="1" applyBorder="1" applyAlignment="1">
      <alignment horizontal="center" vertical="center"/>
    </xf>
    <xf numFmtId="9" fontId="31" fillId="0" borderId="26" xfId="5" applyFont="1" applyBorder="1" applyAlignment="1">
      <alignment horizontal="center" vertical="center"/>
    </xf>
    <xf numFmtId="9" fontId="31" fillId="0" borderId="27" xfId="5" applyFont="1" applyBorder="1" applyAlignment="1">
      <alignment horizontal="center" vertical="center"/>
    </xf>
    <xf numFmtId="9" fontId="31" fillId="0" borderId="34" xfId="5" applyFont="1" applyBorder="1" applyAlignment="1">
      <alignment horizontal="center" vertical="center"/>
    </xf>
    <xf numFmtId="14" fontId="2" fillId="2" borderId="46" xfId="0" applyNumberFormat="1" applyFont="1" applyFill="1" applyBorder="1" applyAlignment="1">
      <alignment horizontal="center" vertical="center"/>
    </xf>
    <xf numFmtId="0" fontId="0" fillId="0" borderId="61" xfId="0" applyBorder="1" applyAlignment="1">
      <alignment horizontal="center" vertical="center"/>
    </xf>
    <xf numFmtId="0" fontId="0" fillId="0" borderId="62" xfId="0" applyBorder="1" applyAlignment="1">
      <alignment horizontal="center" vertical="center"/>
    </xf>
    <xf numFmtId="9" fontId="0" fillId="0" borderId="63" xfId="5" applyFont="1" applyBorder="1" applyAlignment="1">
      <alignment horizontal="center" vertical="center"/>
    </xf>
    <xf numFmtId="14" fontId="2" fillId="2" borderId="56" xfId="0" applyNumberFormat="1" applyFont="1" applyFill="1" applyBorder="1" applyAlignment="1">
      <alignment horizontal="center" vertical="center"/>
    </xf>
    <xf numFmtId="0" fontId="0" fillId="0" borderId="32" xfId="0" applyBorder="1" applyAlignment="1">
      <alignment horizontal="center" vertical="center"/>
    </xf>
    <xf numFmtId="9" fontId="0" fillId="0" borderId="37" xfId="5" applyFont="1" applyBorder="1" applyAlignment="1">
      <alignment horizontal="center" vertical="center"/>
    </xf>
    <xf numFmtId="14" fontId="2" fillId="2" borderId="3" xfId="0" applyNumberFormat="1" applyFont="1" applyFill="1" applyBorder="1" applyAlignment="1">
      <alignment horizontal="center" vertical="center"/>
    </xf>
    <xf numFmtId="0" fontId="2" fillId="2" borderId="3" xfId="0" applyFont="1" applyFill="1" applyBorder="1"/>
    <xf numFmtId="0" fontId="0" fillId="2" borderId="4" xfId="0" applyFill="1" applyBorder="1"/>
    <xf numFmtId="14" fontId="2" fillId="7" borderId="58" xfId="0" applyNumberFormat="1" applyFont="1" applyFill="1" applyBorder="1" applyAlignment="1" applyProtection="1">
      <alignment horizontal="center" vertical="center"/>
      <protection hidden="1"/>
    </xf>
    <xf numFmtId="0" fontId="32" fillId="8" borderId="6" xfId="0" applyFont="1" applyFill="1" applyBorder="1" applyAlignment="1">
      <alignment horizontal="center" vertical="center"/>
    </xf>
    <xf numFmtId="0" fontId="32" fillId="8" borderId="23" xfId="0" applyFont="1" applyFill="1" applyBorder="1" applyAlignment="1">
      <alignment horizontal="center" vertical="center"/>
    </xf>
    <xf numFmtId="0" fontId="32" fillId="8" borderId="20" xfId="0" applyFont="1" applyFill="1" applyBorder="1" applyAlignment="1">
      <alignment horizontal="center" vertical="center"/>
    </xf>
    <xf numFmtId="0" fontId="32" fillId="8" borderId="24" xfId="0" applyFont="1" applyFill="1" applyBorder="1" applyAlignment="1">
      <alignment horizontal="center" vertical="center"/>
    </xf>
    <xf numFmtId="0" fontId="32" fillId="8" borderId="27" xfId="0" applyFont="1" applyFill="1" applyBorder="1" applyAlignment="1">
      <alignment horizontal="center" vertical="center"/>
    </xf>
    <xf numFmtId="0" fontId="32" fillId="8" borderId="34" xfId="0" applyFont="1" applyFill="1" applyBorder="1" applyAlignment="1">
      <alignment horizontal="center" vertical="center"/>
    </xf>
    <xf numFmtId="0" fontId="2" fillId="7" borderId="18" xfId="3" applyFont="1" applyFill="1" applyBorder="1" applyAlignment="1" applyProtection="1">
      <alignment horizontal="center" vertical="center"/>
      <protection locked="0"/>
    </xf>
    <xf numFmtId="0" fontId="2" fillId="7" borderId="38" xfId="3" applyFont="1" applyFill="1" applyBorder="1" applyAlignment="1" applyProtection="1">
      <alignment horizontal="center" vertical="center"/>
      <protection locked="0"/>
    </xf>
    <xf numFmtId="0" fontId="2" fillId="7" borderId="19" xfId="3" applyFont="1" applyFill="1" applyBorder="1" applyAlignment="1" applyProtection="1">
      <alignment horizontal="center" vertical="center"/>
      <protection locked="0"/>
    </xf>
    <xf numFmtId="0" fontId="13" fillId="2" borderId="4" xfId="0" applyFont="1" applyFill="1" applyBorder="1" applyAlignment="1">
      <alignment horizontal="center" vertical="center"/>
    </xf>
    <xf numFmtId="164" fontId="2" fillId="7" borderId="0" xfId="0" applyNumberFormat="1" applyFont="1" applyFill="1" applyAlignment="1">
      <alignment horizontal="center" vertical="center"/>
    </xf>
    <xf numFmtId="14" fontId="3" fillId="8" borderId="20" xfId="0" applyNumberFormat="1" applyFont="1" applyFill="1" applyBorder="1" applyAlignment="1">
      <alignment horizontal="center" vertical="center"/>
    </xf>
    <xf numFmtId="164" fontId="3" fillId="8" borderId="20" xfId="0" applyNumberFormat="1" applyFont="1" applyFill="1" applyBorder="1" applyAlignment="1">
      <alignment horizontal="right" vertical="center"/>
    </xf>
    <xf numFmtId="164" fontId="2" fillId="7" borderId="20" xfId="0" applyNumberFormat="1" applyFont="1" applyFill="1" applyBorder="1" applyAlignment="1">
      <alignment horizontal="right" vertical="center"/>
    </xf>
    <xf numFmtId="14" fontId="3" fillId="8" borderId="23" xfId="0" applyNumberFormat="1" applyFont="1" applyFill="1" applyBorder="1" applyAlignment="1">
      <alignment horizontal="center" vertical="center"/>
    </xf>
    <xf numFmtId="14" fontId="2" fillId="2" borderId="22" xfId="0" applyNumberFormat="1" applyFont="1" applyFill="1" applyBorder="1"/>
    <xf numFmtId="14" fontId="2" fillId="2" borderId="26" xfId="0" applyNumberFormat="1" applyFont="1" applyFill="1" applyBorder="1"/>
    <xf numFmtId="0" fontId="2" fillId="2" borderId="19" xfId="0" applyFont="1" applyFill="1" applyBorder="1"/>
    <xf numFmtId="14" fontId="3" fillId="8" borderId="19" xfId="0" applyNumberFormat="1" applyFont="1" applyFill="1" applyBorder="1" applyAlignment="1">
      <alignment horizontal="center" vertical="center"/>
    </xf>
    <xf numFmtId="0" fontId="2" fillId="2" borderId="4" xfId="0" applyFont="1" applyFill="1" applyBorder="1" applyAlignment="1">
      <alignment horizontal="center" vertical="center"/>
    </xf>
    <xf numFmtId="0" fontId="2" fillId="2" borderId="50" xfId="0" applyFont="1" applyFill="1" applyBorder="1"/>
    <xf numFmtId="14" fontId="3" fillId="8" borderId="50" xfId="0" applyNumberFormat="1" applyFont="1" applyFill="1" applyBorder="1" applyAlignment="1">
      <alignment horizontal="center" vertical="center"/>
    </xf>
    <xf numFmtId="14" fontId="3" fillId="8" borderId="51" xfId="0" applyNumberFormat="1" applyFont="1" applyFill="1" applyBorder="1" applyAlignment="1">
      <alignment horizontal="center" vertical="center"/>
    </xf>
    <xf numFmtId="164" fontId="3" fillId="8" borderId="51" xfId="0" applyNumberFormat="1" applyFont="1" applyFill="1" applyBorder="1" applyAlignment="1">
      <alignment horizontal="right" vertical="center"/>
    </xf>
    <xf numFmtId="0" fontId="2" fillId="7" borderId="51" xfId="0" applyFont="1" applyFill="1" applyBorder="1" applyAlignment="1">
      <alignment horizontal="center" vertical="center"/>
    </xf>
    <xf numFmtId="164" fontId="2" fillId="7" borderId="51" xfId="0" applyNumberFormat="1" applyFont="1" applyFill="1" applyBorder="1" applyAlignment="1">
      <alignment horizontal="right" vertical="center"/>
    </xf>
    <xf numFmtId="14" fontId="2" fillId="2" borderId="4" xfId="0" applyNumberFormat="1" applyFont="1" applyFill="1" applyBorder="1" applyAlignment="1">
      <alignment horizontal="center" vertical="center"/>
    </xf>
    <xf numFmtId="14" fontId="2" fillId="2" borderId="17" xfId="0" applyNumberFormat="1" applyFont="1" applyFill="1" applyBorder="1"/>
    <xf numFmtId="14" fontId="3" fillId="8" borderId="0" xfId="0" applyNumberFormat="1" applyFont="1" applyFill="1" applyBorder="1" applyAlignment="1">
      <alignment horizontal="center" vertical="center"/>
    </xf>
    <xf numFmtId="0" fontId="2" fillId="7" borderId="27" xfId="0" applyFont="1" applyFill="1" applyBorder="1" applyAlignment="1">
      <alignment horizontal="center" vertical="center"/>
    </xf>
    <xf numFmtId="164" fontId="2" fillId="7" borderId="27" xfId="0" applyNumberFormat="1" applyFont="1" applyFill="1" applyBorder="1" applyAlignment="1">
      <alignment horizontal="right" vertical="center"/>
    </xf>
    <xf numFmtId="0" fontId="1" fillId="3" borderId="13" xfId="0" applyFont="1" applyFill="1" applyBorder="1" applyAlignment="1" applyProtection="1">
      <alignment horizontal="left" vertical="center"/>
      <protection hidden="1"/>
    </xf>
    <xf numFmtId="0" fontId="0" fillId="3" borderId="2" xfId="0" applyFont="1" applyFill="1" applyBorder="1" applyAlignment="1" applyProtection="1">
      <alignment horizontal="left" vertical="center"/>
      <protection hidden="1"/>
    </xf>
    <xf numFmtId="0" fontId="0" fillId="3" borderId="23" xfId="0" applyFont="1" applyFill="1" applyBorder="1" applyAlignment="1" applyProtection="1">
      <alignment horizontal="left" vertical="center"/>
      <protection hidden="1"/>
    </xf>
    <xf numFmtId="0" fontId="0" fillId="3" borderId="24" xfId="0" applyFont="1" applyFill="1" applyBorder="1" applyAlignment="1" applyProtection="1">
      <alignment horizontal="left" vertical="center"/>
      <protection hidden="1"/>
    </xf>
    <xf numFmtId="0" fontId="0" fillId="3" borderId="34" xfId="0" applyFont="1" applyFill="1" applyBorder="1" applyAlignment="1" applyProtection="1">
      <alignment horizontal="left" vertical="center"/>
      <protection hidden="1"/>
    </xf>
    <xf numFmtId="0" fontId="2" fillId="2" borderId="18" xfId="0" applyFont="1" applyFill="1" applyBorder="1"/>
    <xf numFmtId="0" fontId="2" fillId="2" borderId="38" xfId="0" applyFont="1" applyFill="1" applyBorder="1"/>
    <xf numFmtId="14" fontId="0" fillId="2" borderId="8" xfId="0" applyNumberFormat="1" applyFill="1" applyBorder="1"/>
    <xf numFmtId="164" fontId="2" fillId="7" borderId="55" xfId="0" applyNumberFormat="1" applyFont="1" applyFill="1" applyBorder="1" applyAlignment="1">
      <alignment horizontal="right" vertical="center"/>
    </xf>
    <xf numFmtId="164" fontId="2" fillId="7" borderId="36" xfId="0" applyNumberFormat="1" applyFont="1" applyFill="1" applyBorder="1" applyAlignment="1">
      <alignment horizontal="right" vertical="center"/>
    </xf>
    <xf numFmtId="164" fontId="2" fillId="7" borderId="37" xfId="0" applyNumberFormat="1" applyFont="1" applyFill="1" applyBorder="1" applyAlignment="1">
      <alignment horizontal="right" vertical="center"/>
    </xf>
    <xf numFmtId="0" fontId="2" fillId="2" borderId="18" xfId="3" applyFont="1" applyFill="1" applyBorder="1" applyAlignment="1" applyProtection="1">
      <alignment horizontal="left" vertical="center"/>
      <protection hidden="1"/>
    </xf>
    <xf numFmtId="0" fontId="2" fillId="2" borderId="38" xfId="3" applyFont="1" applyFill="1" applyBorder="1" applyAlignment="1" applyProtection="1">
      <alignment horizontal="left" vertical="center"/>
      <protection hidden="1"/>
    </xf>
    <xf numFmtId="0" fontId="2" fillId="2" borderId="19" xfId="3" applyFont="1" applyFill="1" applyBorder="1" applyAlignment="1" applyProtection="1">
      <alignment horizontal="left" vertical="center"/>
      <protection hidden="1"/>
    </xf>
    <xf numFmtId="164" fontId="3" fillId="8" borderId="23" xfId="0" applyNumberFormat="1" applyFont="1" applyFill="1" applyBorder="1" applyAlignment="1">
      <alignment horizontal="right" vertical="center"/>
    </xf>
    <xf numFmtId="164" fontId="3" fillId="8" borderId="24" xfId="0" applyNumberFormat="1" applyFont="1" applyFill="1" applyBorder="1" applyAlignment="1">
      <alignment horizontal="right" vertical="center"/>
    </xf>
    <xf numFmtId="164" fontId="3" fillId="8" borderId="24" xfId="0" applyNumberFormat="1" applyFont="1" applyFill="1" applyBorder="1" applyAlignment="1">
      <alignment horizontal="right"/>
    </xf>
    <xf numFmtId="164" fontId="3" fillId="8" borderId="34" xfId="0" applyNumberFormat="1" applyFont="1" applyFill="1" applyBorder="1" applyAlignment="1">
      <alignment horizontal="right"/>
    </xf>
    <xf numFmtId="164" fontId="3" fillId="8" borderId="36" xfId="0" applyNumberFormat="1" applyFont="1" applyFill="1" applyBorder="1" applyAlignment="1">
      <alignment horizontal="right" vertical="center"/>
    </xf>
    <xf numFmtId="0" fontId="2" fillId="2" borderId="18" xfId="0" applyFont="1" applyFill="1" applyBorder="1" applyAlignment="1">
      <alignment horizontal="center" vertical="center"/>
    </xf>
    <xf numFmtId="164" fontId="2" fillId="7" borderId="19" xfId="0" applyNumberFormat="1" applyFont="1" applyFill="1" applyBorder="1" applyAlignment="1">
      <alignment horizontal="right" vertical="center"/>
    </xf>
    <xf numFmtId="164" fontId="2" fillId="7" borderId="38" xfId="0" applyNumberFormat="1" applyFont="1" applyFill="1" applyBorder="1" applyAlignment="1">
      <alignment horizontal="right" vertical="center"/>
    </xf>
    <xf numFmtId="0" fontId="2" fillId="7" borderId="22" xfId="0" applyNumberFormat="1" applyFont="1" applyFill="1" applyBorder="1" applyAlignment="1">
      <alignment horizontal="center" vertical="center"/>
    </xf>
    <xf numFmtId="164" fontId="2" fillId="7" borderId="6" xfId="0" applyNumberFormat="1" applyFont="1" applyFill="1" applyBorder="1" applyAlignment="1">
      <alignment horizontal="right" vertical="center"/>
    </xf>
    <xf numFmtId="0" fontId="1" fillId="3" borderId="23" xfId="0" applyFont="1" applyFill="1" applyBorder="1" applyAlignment="1" applyProtection="1">
      <alignment horizontal="left" vertical="center"/>
      <protection hidden="1"/>
    </xf>
    <xf numFmtId="164" fontId="3" fillId="8" borderId="25" xfId="0" applyNumberFormat="1" applyFont="1" applyFill="1" applyBorder="1" applyAlignment="1">
      <alignment horizontal="right" vertical="center"/>
    </xf>
    <xf numFmtId="164" fontId="2" fillId="7" borderId="24" xfId="0" applyNumberFormat="1" applyFont="1" applyFill="1" applyBorder="1" applyAlignment="1">
      <alignment horizontal="right" vertical="center"/>
    </xf>
    <xf numFmtId="164" fontId="3" fillId="8" borderId="57" xfId="0" applyNumberFormat="1" applyFont="1" applyFill="1" applyBorder="1" applyAlignment="1">
      <alignment horizontal="right" vertical="center"/>
    </xf>
    <xf numFmtId="164" fontId="2" fillId="7" borderId="42" xfId="0" applyNumberFormat="1" applyFont="1" applyFill="1" applyBorder="1" applyAlignment="1">
      <alignment horizontal="right" vertical="center"/>
    </xf>
    <xf numFmtId="164" fontId="2" fillId="7" borderId="47" xfId="0" applyNumberFormat="1" applyFont="1" applyFill="1" applyBorder="1" applyAlignment="1">
      <alignment horizontal="right" vertical="center"/>
    </xf>
    <xf numFmtId="164" fontId="2" fillId="7" borderId="39" xfId="0" applyNumberFormat="1" applyFont="1" applyFill="1" applyBorder="1" applyAlignment="1">
      <alignment horizontal="right" vertical="center"/>
    </xf>
    <xf numFmtId="164" fontId="2" fillId="7" borderId="35" xfId="0" applyNumberFormat="1" applyFont="1" applyFill="1" applyBorder="1" applyAlignment="1">
      <alignment horizontal="right" vertical="center"/>
    </xf>
    <xf numFmtId="164" fontId="2" fillId="7" borderId="40" xfId="0" applyNumberFormat="1" applyFont="1" applyFill="1" applyBorder="1" applyAlignment="1">
      <alignment horizontal="right" vertical="center"/>
    </xf>
    <xf numFmtId="14" fontId="3" fillId="8" borderId="6" xfId="0" applyNumberFormat="1" applyFont="1" applyFill="1" applyBorder="1" applyAlignment="1">
      <alignment horizontal="center" vertical="center"/>
    </xf>
    <xf numFmtId="14" fontId="0" fillId="0" borderId="25" xfId="0" applyNumberFormat="1" applyBorder="1"/>
    <xf numFmtId="14" fontId="2" fillId="7" borderId="24" xfId="0" applyNumberFormat="1" applyFont="1" applyFill="1" applyBorder="1" applyAlignment="1">
      <alignment horizontal="center" vertical="center"/>
    </xf>
    <xf numFmtId="0" fontId="2" fillId="2" borderId="26" xfId="0" applyFont="1" applyFill="1" applyBorder="1" applyAlignment="1">
      <alignment vertical="center"/>
    </xf>
    <xf numFmtId="14" fontId="3" fillId="8" borderId="34" xfId="0" applyNumberFormat="1" applyFont="1" applyFill="1" applyBorder="1" applyAlignment="1">
      <alignment horizontal="center" vertical="center"/>
    </xf>
    <xf numFmtId="14" fontId="3" fillId="0" borderId="23" xfId="0" applyNumberFormat="1" applyFont="1" applyBorder="1" applyAlignment="1">
      <alignment horizontal="center" vertical="center"/>
    </xf>
    <xf numFmtId="14" fontId="3" fillId="0" borderId="24" xfId="0" applyNumberFormat="1" applyFont="1" applyBorder="1" applyAlignment="1">
      <alignment horizontal="center" vertical="center"/>
    </xf>
    <xf numFmtId="14" fontId="0" fillId="0" borderId="34" xfId="0" applyNumberFormat="1" applyBorder="1"/>
    <xf numFmtId="0" fontId="2" fillId="2" borderId="22" xfId="0" applyFont="1" applyFill="1" applyBorder="1" applyAlignment="1">
      <alignment vertical="center"/>
    </xf>
    <xf numFmtId="0" fontId="2" fillId="7" borderId="18" xfId="0" applyFont="1" applyFill="1" applyBorder="1" applyAlignment="1">
      <alignment horizontal="center" vertical="center"/>
    </xf>
    <xf numFmtId="0" fontId="2" fillId="7" borderId="19" xfId="0" applyFont="1" applyFill="1" applyBorder="1" applyAlignment="1">
      <alignment horizontal="center" vertical="center"/>
    </xf>
    <xf numFmtId="0" fontId="2" fillId="2" borderId="49" xfId="0" applyFont="1" applyFill="1" applyBorder="1" applyAlignment="1">
      <alignment vertical="center"/>
    </xf>
    <xf numFmtId="164" fontId="2" fillId="7" borderId="23" xfId="0" applyNumberFormat="1" applyFont="1" applyFill="1" applyBorder="1" applyAlignment="1">
      <alignment horizontal="right" vertical="center"/>
    </xf>
    <xf numFmtId="164" fontId="2" fillId="7" borderId="34" xfId="0" applyNumberFormat="1" applyFont="1" applyFill="1" applyBorder="1" applyAlignment="1">
      <alignment horizontal="right" vertical="center"/>
    </xf>
    <xf numFmtId="14" fontId="3" fillId="8" borderId="63" xfId="0" applyNumberFormat="1" applyFont="1" applyFill="1" applyBorder="1" applyAlignment="1">
      <alignment horizontal="center" vertical="center"/>
    </xf>
    <xf numFmtId="14" fontId="2" fillId="7" borderId="63" xfId="0" applyNumberFormat="1" applyFont="1" applyFill="1" applyBorder="1" applyAlignment="1">
      <alignment horizontal="center" vertical="center"/>
    </xf>
    <xf numFmtId="14" fontId="0" fillId="8" borderId="42" xfId="0" applyNumberFormat="1" applyFill="1" applyBorder="1" applyAlignment="1">
      <alignment horizontal="center" vertical="center"/>
    </xf>
    <xf numFmtId="164" fontId="0" fillId="8" borderId="42" xfId="0" applyNumberFormat="1" applyFill="1" applyBorder="1"/>
    <xf numFmtId="0" fontId="2" fillId="7" borderId="42" xfId="0" applyFont="1" applyFill="1" applyBorder="1" applyAlignment="1">
      <alignment horizontal="center" vertical="center"/>
    </xf>
    <xf numFmtId="164" fontId="3" fillId="8" borderId="6" xfId="0" applyNumberFormat="1" applyFont="1" applyFill="1" applyBorder="1"/>
    <xf numFmtId="0" fontId="2" fillId="7" borderId="6" xfId="0" applyFont="1" applyFill="1" applyBorder="1" applyAlignment="1">
      <alignment horizontal="center" vertical="center"/>
    </xf>
    <xf numFmtId="0" fontId="1" fillId="3" borderId="10" xfId="0" applyFont="1" applyFill="1" applyBorder="1" applyAlignment="1" applyProtection="1">
      <alignment horizontal="left" vertical="center"/>
      <protection hidden="1"/>
    </xf>
    <xf numFmtId="14" fontId="3" fillId="8" borderId="27" xfId="0" applyNumberFormat="1" applyFont="1" applyFill="1" applyBorder="1" applyAlignment="1">
      <alignment horizontal="center" vertical="center"/>
    </xf>
    <xf numFmtId="164" fontId="3" fillId="8" borderId="27" xfId="0" applyNumberFormat="1" applyFont="1" applyFill="1" applyBorder="1"/>
    <xf numFmtId="14" fontId="3" fillId="2" borderId="6" xfId="0" applyNumberFormat="1" applyFont="1" applyFill="1" applyBorder="1" applyAlignment="1">
      <alignment horizontal="center" vertical="center"/>
    </xf>
    <xf numFmtId="0" fontId="0" fillId="8" borderId="55" xfId="0" applyFill="1" applyBorder="1"/>
    <xf numFmtId="0" fontId="0" fillId="8" borderId="36" xfId="0" applyFill="1" applyBorder="1"/>
    <xf numFmtId="0" fontId="0" fillId="8" borderId="20" xfId="0" applyFill="1" applyBorder="1"/>
    <xf numFmtId="0" fontId="0" fillId="8" borderId="42" xfId="0" applyFill="1" applyBorder="1"/>
    <xf numFmtId="0" fontId="0" fillId="8" borderId="22" xfId="0" applyFill="1" applyBorder="1"/>
    <xf numFmtId="0" fontId="0" fillId="8" borderId="26" xfId="0" applyFill="1" applyBorder="1"/>
    <xf numFmtId="164" fontId="2" fillId="7" borderId="19" xfId="0" applyNumberFormat="1" applyFont="1" applyFill="1" applyBorder="1" applyAlignment="1" applyProtection="1">
      <alignment horizontal="center" vertical="center"/>
      <protection hidden="1"/>
    </xf>
    <xf numFmtId="10" fontId="3" fillId="8" borderId="38" xfId="5" applyNumberFormat="1" applyFont="1" applyFill="1" applyBorder="1" applyAlignment="1">
      <alignment horizontal="center" vertical="center"/>
    </xf>
    <xf numFmtId="0" fontId="2" fillId="7" borderId="20" xfId="0" applyFont="1" applyFill="1" applyBorder="1" applyAlignment="1" applyProtection="1">
      <alignment vertical="center"/>
      <protection hidden="1"/>
    </xf>
    <xf numFmtId="0" fontId="33" fillId="0" borderId="0" xfId="0" applyFont="1" applyAlignment="1"/>
    <xf numFmtId="0" fontId="1" fillId="3" borderId="0" xfId="0" applyFont="1" applyFill="1" applyBorder="1" applyAlignment="1" applyProtection="1">
      <alignment horizontal="left" vertical="center"/>
      <protection hidden="1"/>
    </xf>
    <xf numFmtId="0" fontId="0" fillId="4" borderId="0" xfId="0" applyFill="1" applyBorder="1" applyAlignment="1"/>
    <xf numFmtId="0" fontId="22" fillId="3" borderId="3" xfId="0" quotePrefix="1" applyFont="1" applyFill="1" applyBorder="1" applyAlignment="1" applyProtection="1">
      <alignment horizontal="left" vertical="center"/>
      <protection hidden="1"/>
    </xf>
    <xf numFmtId="0" fontId="22" fillId="3" borderId="54" xfId="0" quotePrefix="1" applyFont="1" applyFill="1" applyBorder="1" applyAlignment="1" applyProtection="1">
      <alignment horizontal="left" vertical="center"/>
      <protection hidden="1"/>
    </xf>
    <xf numFmtId="0" fontId="22" fillId="3" borderId="5" xfId="0" quotePrefix="1" applyFont="1" applyFill="1" applyBorder="1" applyAlignment="1" applyProtection="1">
      <alignment horizontal="left" vertical="center"/>
      <protection hidden="1"/>
    </xf>
    <xf numFmtId="0" fontId="2" fillId="2" borderId="26" xfId="0" applyNumberFormat="1" applyFont="1" applyFill="1" applyBorder="1"/>
    <xf numFmtId="0" fontId="2" fillId="2" borderId="25" xfId="0" applyFont="1" applyFill="1" applyBorder="1" applyAlignment="1">
      <alignment vertical="center"/>
    </xf>
    <xf numFmtId="0" fontId="3" fillId="8" borderId="24" xfId="0" applyNumberFormat="1" applyFont="1" applyFill="1" applyBorder="1" applyAlignment="1">
      <alignment horizontal="center" vertical="center"/>
    </xf>
    <xf numFmtId="0" fontId="22" fillId="4" borderId="0" xfId="0" applyFont="1" applyFill="1" applyBorder="1" applyAlignment="1"/>
    <xf numFmtId="49" fontId="3" fillId="0" borderId="37" xfId="0" quotePrefix="1" applyNumberFormat="1" applyFont="1" applyFill="1" applyBorder="1" applyAlignment="1" applyProtection="1">
      <alignment horizontal="left" vertical="top" wrapText="1"/>
      <protection locked="0"/>
    </xf>
    <xf numFmtId="49" fontId="3" fillId="0" borderId="42" xfId="0" applyNumberFormat="1" applyFont="1" applyBorder="1" applyAlignment="1" applyProtection="1">
      <alignment horizontal="left" vertical="center"/>
      <protection locked="0"/>
    </xf>
    <xf numFmtId="0" fontId="22" fillId="0" borderId="0" xfId="4" applyFont="1" applyFill="1" applyAlignment="1">
      <alignment horizontal="center" vertical="center"/>
    </xf>
    <xf numFmtId="14" fontId="1" fillId="0" borderId="0" xfId="4" applyNumberFormat="1" applyFont="1" applyFill="1" applyAlignment="1">
      <alignment horizontal="center" vertical="center"/>
    </xf>
    <xf numFmtId="14" fontId="0" fillId="0" borderId="0" xfId="0" applyNumberFormat="1" applyAlignment="1">
      <alignment horizontal="center" vertical="center"/>
    </xf>
    <xf numFmtId="14" fontId="3" fillId="6" borderId="4" xfId="0" applyNumberFormat="1" applyFont="1" applyFill="1" applyBorder="1" applyAlignment="1">
      <alignment horizontal="center" vertical="center"/>
    </xf>
    <xf numFmtId="0" fontId="3" fillId="6" borderId="4" xfId="0" applyFont="1" applyFill="1" applyBorder="1" applyAlignment="1">
      <alignment horizontal="center" vertical="center"/>
    </xf>
    <xf numFmtId="168" fontId="3" fillId="6" borderId="4" xfId="4" applyNumberFormat="1" applyFont="1" applyFill="1" applyBorder="1" applyAlignment="1">
      <alignment horizontal="center" vertical="center" wrapText="1"/>
    </xf>
    <xf numFmtId="168" fontId="0" fillId="0" borderId="0" xfId="4" applyNumberFormat="1" applyFont="1" applyBorder="1" applyAlignment="1">
      <alignment horizontal="left" vertical="center"/>
    </xf>
    <xf numFmtId="168" fontId="1" fillId="0" borderId="0" xfId="4" applyNumberFormat="1" applyFont="1" applyAlignment="1">
      <alignment vertical="center"/>
    </xf>
    <xf numFmtId="169" fontId="3" fillId="6" borderId="4" xfId="0" applyNumberFormat="1" applyFont="1" applyFill="1" applyBorder="1" applyAlignment="1">
      <alignment horizontal="center" vertical="center"/>
    </xf>
    <xf numFmtId="169" fontId="0" fillId="0" borderId="0" xfId="0" applyNumberFormat="1" applyAlignment="1">
      <alignment horizontal="center" vertical="center"/>
    </xf>
    <xf numFmtId="169" fontId="0" fillId="0" borderId="0" xfId="0" applyNumberFormat="1"/>
    <xf numFmtId="168" fontId="0" fillId="0" borderId="0" xfId="4" applyNumberFormat="1" applyFont="1" applyAlignment="1">
      <alignment vertical="center"/>
    </xf>
    <xf numFmtId="0" fontId="0" fillId="20" borderId="18" xfId="0" applyFill="1" applyBorder="1" applyAlignment="1">
      <alignment horizontal="center" vertical="center"/>
    </xf>
    <xf numFmtId="0" fontId="0" fillId="20" borderId="38" xfId="0" applyFill="1" applyBorder="1" applyAlignment="1">
      <alignment horizontal="center" vertical="center"/>
    </xf>
    <xf numFmtId="9" fontId="28" fillId="20" borderId="19" xfId="5" applyFont="1" applyFill="1" applyBorder="1" applyAlignment="1">
      <alignment horizontal="center" vertical="center"/>
    </xf>
    <xf numFmtId="0" fontId="0" fillId="10" borderId="6" xfId="0" applyFill="1" applyBorder="1" applyAlignment="1">
      <alignment horizontal="center" vertical="center"/>
    </xf>
    <xf numFmtId="0" fontId="0" fillId="10" borderId="61" xfId="0" applyFill="1" applyBorder="1" applyAlignment="1">
      <alignment horizontal="center" vertical="center"/>
    </xf>
    <xf numFmtId="0" fontId="0" fillId="10" borderId="38" xfId="0" applyFill="1" applyBorder="1" applyAlignment="1">
      <alignment horizontal="center" vertical="center"/>
    </xf>
    <xf numFmtId="0" fontId="0" fillId="10" borderId="20" xfId="0" applyFill="1" applyBorder="1" applyAlignment="1">
      <alignment horizontal="center" vertical="center"/>
    </xf>
    <xf numFmtId="0" fontId="0" fillId="10" borderId="62" xfId="0" applyFill="1" applyBorder="1" applyAlignment="1">
      <alignment horizontal="center" vertical="center"/>
    </xf>
    <xf numFmtId="9" fontId="0" fillId="10" borderId="27" xfId="5" applyFont="1" applyFill="1" applyBorder="1" applyAlignment="1">
      <alignment horizontal="center" vertical="center"/>
    </xf>
    <xf numFmtId="9" fontId="0" fillId="10" borderId="63" xfId="5" applyFont="1" applyFill="1" applyBorder="1" applyAlignment="1">
      <alignment horizontal="center" vertical="center"/>
    </xf>
    <xf numFmtId="9" fontId="28" fillId="10" borderId="19" xfId="5" applyFont="1" applyFill="1" applyBorder="1" applyAlignment="1">
      <alignment horizontal="center" vertical="center"/>
    </xf>
    <xf numFmtId="10" fontId="2" fillId="7" borderId="19" xfId="5" applyNumberFormat="1" applyFont="1" applyFill="1" applyBorder="1" applyAlignment="1">
      <alignment horizontal="center" vertical="center"/>
    </xf>
    <xf numFmtId="0" fontId="0" fillId="0" borderId="27" xfId="0" applyBorder="1" applyAlignment="1">
      <alignment horizontal="center" vertical="center"/>
    </xf>
    <xf numFmtId="14" fontId="0" fillId="0" borderId="4" xfId="0" applyNumberFormat="1" applyBorder="1" applyAlignment="1">
      <alignment horizontal="center"/>
    </xf>
    <xf numFmtId="14" fontId="0" fillId="0" borderId="2" xfId="0" applyNumberFormat="1" applyBorder="1" applyAlignment="1">
      <alignment horizontal="center"/>
    </xf>
    <xf numFmtId="0" fontId="0" fillId="0" borderId="37" xfId="0" applyBorder="1" applyAlignment="1">
      <alignment horizontal="center" vertical="center"/>
    </xf>
    <xf numFmtId="14" fontId="0" fillId="0" borderId="1" xfId="0" applyNumberFormat="1" applyBorder="1" applyAlignment="1">
      <alignment horizontal="center"/>
    </xf>
    <xf numFmtId="9" fontId="0" fillId="0" borderId="68" xfId="5" applyFont="1" applyBorder="1" applyAlignment="1">
      <alignment horizontal="center" vertical="center"/>
    </xf>
    <xf numFmtId="9" fontId="0" fillId="0" borderId="62" xfId="5" applyFont="1" applyBorder="1" applyAlignment="1">
      <alignment horizontal="center" vertical="center"/>
    </xf>
    <xf numFmtId="0" fontId="0" fillId="0" borderId="49" xfId="0" applyBorder="1" applyAlignment="1">
      <alignment horizontal="center" vertical="center"/>
    </xf>
    <xf numFmtId="9" fontId="0" fillId="0" borderId="52" xfId="5" applyFont="1" applyBorder="1" applyAlignment="1">
      <alignment horizontal="center" vertical="center"/>
    </xf>
    <xf numFmtId="0" fontId="0" fillId="0" borderId="25" xfId="0" applyBorder="1" applyAlignment="1">
      <alignment horizontal="center" vertical="center"/>
    </xf>
    <xf numFmtId="9" fontId="0" fillId="0" borderId="24" xfId="5" applyFont="1" applyBorder="1" applyAlignment="1">
      <alignment horizontal="center" vertical="center"/>
    </xf>
    <xf numFmtId="0" fontId="0" fillId="0" borderId="26" xfId="0" applyBorder="1" applyAlignment="1">
      <alignment horizontal="center" vertical="center"/>
    </xf>
    <xf numFmtId="9" fontId="0" fillId="0" borderId="34" xfId="5" applyFont="1" applyBorder="1" applyAlignment="1">
      <alignment horizontal="center" vertical="center"/>
    </xf>
    <xf numFmtId="0" fontId="0" fillId="0" borderId="39" xfId="0" applyBorder="1" applyAlignment="1">
      <alignment horizontal="center" vertical="center"/>
    </xf>
    <xf numFmtId="0" fontId="0" fillId="0" borderId="35" xfId="0" applyBorder="1" applyAlignment="1">
      <alignment horizontal="center" vertical="center"/>
    </xf>
    <xf numFmtId="14" fontId="0" fillId="0" borderId="1" xfId="0" applyNumberFormat="1" applyBorder="1" applyAlignment="1">
      <alignment horizontal="center"/>
    </xf>
    <xf numFmtId="9" fontId="0" fillId="0" borderId="69" xfId="5" applyFont="1" applyBorder="1" applyAlignment="1">
      <alignment horizontal="center" vertical="center"/>
    </xf>
    <xf numFmtId="1" fontId="0" fillId="0" borderId="50" xfId="5" applyNumberFormat="1" applyFont="1" applyBorder="1" applyAlignment="1">
      <alignment horizontal="center" vertical="center"/>
    </xf>
    <xf numFmtId="1" fontId="0" fillId="0" borderId="54" xfId="5" applyNumberFormat="1" applyFont="1" applyBorder="1" applyAlignment="1">
      <alignment horizontal="center" vertical="center"/>
    </xf>
    <xf numFmtId="1" fontId="0" fillId="0" borderId="4" xfId="5" applyNumberFormat="1" applyFont="1" applyBorder="1" applyAlignment="1">
      <alignment horizontal="center" vertical="center"/>
    </xf>
    <xf numFmtId="9" fontId="0" fillId="0" borderId="0" xfId="5" applyFont="1" applyAlignment="1">
      <alignment horizontal="center" vertical="center"/>
    </xf>
    <xf numFmtId="0" fontId="3" fillId="0" borderId="0" xfId="1" applyAlignment="1" applyProtection="1">
      <protection locked="0"/>
    </xf>
    <xf numFmtId="0" fontId="3" fillId="0" borderId="17" xfId="1" applyBorder="1" applyAlignment="1" applyProtection="1">
      <protection locked="0"/>
    </xf>
    <xf numFmtId="0" fontId="3" fillId="0" borderId="0" xfId="1" applyBorder="1" applyAlignment="1" applyProtection="1">
      <protection locked="0"/>
    </xf>
    <xf numFmtId="0" fontId="3" fillId="0" borderId="9" xfId="1" applyBorder="1" applyAlignment="1" applyProtection="1">
      <protection locked="0"/>
    </xf>
    <xf numFmtId="49" fontId="3" fillId="7" borderId="20" xfId="1" applyNumberFormat="1" applyFill="1" applyBorder="1" applyAlignment="1" applyProtection="1">
      <alignment horizontal="center" vertical="center"/>
      <protection locked="0"/>
    </xf>
    <xf numFmtId="14" fontId="3" fillId="7" borderId="20" xfId="1" applyNumberFormat="1" applyFill="1" applyBorder="1" applyAlignment="1" applyProtection="1">
      <alignment horizontal="center" vertical="center"/>
      <protection locked="0"/>
    </xf>
    <xf numFmtId="0" fontId="3" fillId="7" borderId="20" xfId="1" applyFill="1" applyBorder="1" applyAlignment="1" applyProtection="1">
      <alignment horizontal="center" vertical="center"/>
      <protection locked="0"/>
    </xf>
    <xf numFmtId="14" fontId="0" fillId="0" borderId="4" xfId="0" applyNumberFormat="1" applyBorder="1" applyAlignment="1">
      <alignment horizontal="center"/>
    </xf>
    <xf numFmtId="14" fontId="0" fillId="0" borderId="2" xfId="0" applyNumberFormat="1" applyBorder="1" applyAlignment="1">
      <alignment horizontal="center"/>
    </xf>
    <xf numFmtId="14" fontId="0" fillId="0" borderId="1" xfId="0" applyNumberFormat="1" applyBorder="1" applyAlignment="1">
      <alignment horizontal="center"/>
    </xf>
    <xf numFmtId="14" fontId="4" fillId="0" borderId="0" xfId="3" applyNumberFormat="1"/>
    <xf numFmtId="22" fontId="0" fillId="0" borderId="0" xfId="0" applyNumberFormat="1"/>
    <xf numFmtId="0" fontId="0" fillId="4" borderId="0" xfId="0" applyFill="1" applyAlignment="1" applyProtection="1">
      <protection locked="0"/>
    </xf>
    <xf numFmtId="0" fontId="2" fillId="2" borderId="4" xfId="0" applyFont="1" applyFill="1" applyBorder="1" applyAlignment="1" applyProtection="1">
      <alignment horizontal="center" vertical="center"/>
      <protection locked="0"/>
    </xf>
    <xf numFmtId="49" fontId="3" fillId="0" borderId="48" xfId="0" applyNumberFormat="1" applyFont="1" applyBorder="1" applyAlignment="1" applyProtection="1">
      <alignment horizontal="left" vertical="center"/>
      <protection locked="0"/>
    </xf>
    <xf numFmtId="1" fontId="3" fillId="0" borderId="4" xfId="0" applyNumberFormat="1" applyFont="1" applyBorder="1" applyAlignment="1" applyProtection="1">
      <alignment horizontal="center" vertical="center"/>
      <protection locked="0"/>
    </xf>
    <xf numFmtId="0" fontId="3" fillId="0" borderId="48" xfId="0" applyFont="1" applyBorder="1" applyAlignment="1" applyProtection="1">
      <alignment horizontal="center" vertical="center"/>
      <protection locked="0"/>
    </xf>
    <xf numFmtId="49" fontId="6" fillId="0" borderId="6" xfId="3" applyNumberFormat="1" applyFont="1" applyBorder="1" applyAlignment="1" applyProtection="1">
      <alignment horizontal="center" vertical="center"/>
      <protection locked="0"/>
    </xf>
    <xf numFmtId="9" fontId="3" fillId="6" borderId="4" xfId="5" applyFont="1" applyFill="1" applyBorder="1" applyAlignment="1">
      <alignment horizontal="center" vertical="center" wrapText="1"/>
    </xf>
    <xf numFmtId="9" fontId="8" fillId="0" borderId="0" xfId="5" applyFont="1"/>
    <xf numFmtId="10" fontId="8" fillId="0" borderId="0" xfId="5" applyNumberFormat="1" applyFont="1" applyAlignment="1">
      <alignment horizontal="center" vertical="center"/>
    </xf>
    <xf numFmtId="2" fontId="12" fillId="13" borderId="2" xfId="0" applyNumberFormat="1" applyFont="1" applyFill="1" applyBorder="1" applyAlignment="1">
      <alignment horizontal="center" vertical="center"/>
    </xf>
    <xf numFmtId="14" fontId="0" fillId="0" borderId="4" xfId="0" applyNumberFormat="1" applyBorder="1" applyAlignment="1">
      <alignment horizontal="center"/>
    </xf>
    <xf numFmtId="14" fontId="0" fillId="0" borderId="2" xfId="0" applyNumberFormat="1" applyBorder="1" applyAlignment="1">
      <alignment horizontal="center"/>
    </xf>
    <xf numFmtId="14" fontId="0" fillId="0" borderId="1" xfId="0" applyNumberFormat="1" applyBorder="1" applyAlignment="1">
      <alignment horizontal="center"/>
    </xf>
    <xf numFmtId="165" fontId="4" fillId="0" borderId="0" xfId="3" applyNumberFormat="1" applyAlignment="1">
      <alignment horizontal="center" vertical="center" wrapText="1"/>
    </xf>
    <xf numFmtId="14" fontId="0" fillId="0" borderId="2" xfId="0" applyNumberFormat="1" applyBorder="1" applyAlignment="1">
      <alignment horizontal="center"/>
    </xf>
    <xf numFmtId="14" fontId="0" fillId="0" borderId="4" xfId="0" applyNumberFormat="1" applyBorder="1" applyAlignment="1">
      <alignment horizontal="center"/>
    </xf>
    <xf numFmtId="14" fontId="0" fillId="0" borderId="1" xfId="0" applyNumberFormat="1" applyBorder="1" applyAlignment="1">
      <alignment horizontal="center"/>
    </xf>
    <xf numFmtId="164" fontId="3" fillId="6" borderId="4" xfId="4" applyNumberFormat="1" applyFont="1" applyFill="1" applyBorder="1" applyAlignment="1">
      <alignment horizontal="center" vertical="center" wrapText="1"/>
    </xf>
    <xf numFmtId="0" fontId="3" fillId="0" borderId="0" xfId="1"/>
    <xf numFmtId="14" fontId="3" fillId="0" borderId="0" xfId="1" applyNumberFormat="1" applyBorder="1" applyAlignment="1" applyProtection="1">
      <alignment horizontal="left" vertical="center"/>
      <protection locked="0"/>
    </xf>
    <xf numFmtId="49" fontId="3" fillId="0" borderId="27" xfId="1" quotePrefix="1" applyNumberFormat="1" applyFill="1" applyBorder="1" applyAlignment="1" applyProtection="1">
      <alignment horizontal="left" vertical="top" wrapText="1"/>
      <protection locked="0"/>
    </xf>
    <xf numFmtId="49" fontId="3" fillId="0" borderId="20" xfId="1" quotePrefix="1" applyNumberFormat="1" applyBorder="1" applyAlignment="1" applyProtection="1">
      <alignment horizontal="left" vertical="top" wrapText="1"/>
      <protection locked="0"/>
    </xf>
    <xf numFmtId="0" fontId="3" fillId="0" borderId="6" xfId="2" applyBorder="1" applyAlignment="1" applyProtection="1">
      <alignment horizontal="center" vertical="center"/>
      <protection locked="0"/>
    </xf>
    <xf numFmtId="14" fontId="3" fillId="0" borderId="0" xfId="2" applyNumberFormat="1" applyAlignment="1" applyProtection="1">
      <protection locked="0"/>
    </xf>
    <xf numFmtId="0" fontId="3" fillId="0" borderId="6" xfId="2" applyBorder="1" applyAlignment="1" applyProtection="1">
      <alignment horizontal="left" vertical="center"/>
      <protection locked="0"/>
    </xf>
    <xf numFmtId="0" fontId="3" fillId="0" borderId="0" xfId="2" applyAlignment="1" applyProtection="1">
      <protection locked="0"/>
    </xf>
    <xf numFmtId="0" fontId="3" fillId="7" borderId="19" xfId="2" applyFill="1" applyBorder="1" applyAlignment="1" applyProtection="1">
      <alignment horizontal="center" vertical="center"/>
      <protection hidden="1"/>
    </xf>
    <xf numFmtId="49" fontId="3" fillId="0" borderId="4" xfId="2" applyNumberFormat="1" applyBorder="1" applyAlignment="1" applyProtection="1">
      <alignment horizontal="center" vertical="center"/>
      <protection locked="0"/>
    </xf>
    <xf numFmtId="164" fontId="3" fillId="0" borderId="6" xfId="2" applyNumberFormat="1" applyBorder="1" applyAlignment="1" applyProtection="1">
      <alignment horizontal="right" vertical="center"/>
      <protection locked="0"/>
    </xf>
    <xf numFmtId="0" fontId="3" fillId="3" borderId="0" xfId="2" applyFill="1" applyBorder="1" applyAlignment="1" applyProtection="1">
      <protection hidden="1"/>
    </xf>
    <xf numFmtId="14" fontId="3" fillId="0" borderId="0" xfId="2" applyNumberFormat="1" applyBorder="1" applyAlignment="1" applyProtection="1">
      <protection locked="0"/>
    </xf>
    <xf numFmtId="14" fontId="3" fillId="0" borderId="13" xfId="2" applyNumberFormat="1" applyBorder="1" applyAlignment="1" applyProtection="1">
      <alignment horizontal="center"/>
      <protection locked="0"/>
    </xf>
    <xf numFmtId="0" fontId="3" fillId="0" borderId="12" xfId="2" applyBorder="1" applyAlignment="1" applyProtection="1">
      <protection locked="0"/>
    </xf>
    <xf numFmtId="0" fontId="3" fillId="0" borderId="0" xfId="2" applyBorder="1" applyAlignment="1" applyProtection="1">
      <protection locked="0"/>
    </xf>
    <xf numFmtId="14" fontId="3" fillId="0" borderId="0" xfId="2" applyNumberFormat="1" applyAlignment="1" applyProtection="1">
      <alignment horizontal="center" vertical="center"/>
      <protection locked="0"/>
    </xf>
    <xf numFmtId="0" fontId="3" fillId="3" borderId="15" xfId="2" applyFill="1" applyBorder="1" applyAlignment="1" applyProtection="1">
      <protection hidden="1"/>
    </xf>
    <xf numFmtId="0" fontId="3" fillId="7" borderId="20" xfId="2" quotePrefix="1" applyNumberFormat="1" applyFill="1" applyBorder="1" applyAlignment="1" applyProtection="1">
      <alignment horizontal="left" vertical="top" wrapText="1"/>
      <protection hidden="1"/>
    </xf>
    <xf numFmtId="49" fontId="3" fillId="0" borderId="20" xfId="2" quotePrefix="1" applyNumberFormat="1" applyBorder="1" applyAlignment="1" applyProtection="1">
      <alignment horizontal="left" vertical="top" wrapText="1"/>
      <protection locked="0"/>
    </xf>
    <xf numFmtId="14" fontId="3" fillId="0" borderId="6" xfId="2" applyNumberFormat="1" applyBorder="1" applyAlignment="1" applyProtection="1">
      <alignment vertical="center"/>
      <protection locked="0"/>
    </xf>
    <xf numFmtId="14" fontId="3" fillId="0" borderId="15" xfId="2" applyNumberFormat="1" applyBorder="1" applyAlignment="1" applyProtection="1">
      <protection locked="0"/>
    </xf>
    <xf numFmtId="0" fontId="3" fillId="0" borderId="6" xfId="2" applyBorder="1" applyAlignment="1" applyProtection="1">
      <protection locked="0"/>
    </xf>
    <xf numFmtId="0" fontId="3" fillId="0" borderId="48" xfId="2" applyBorder="1" applyAlignment="1" applyProtection="1">
      <alignment horizontal="center" vertical="center"/>
      <protection locked="0"/>
    </xf>
    <xf numFmtId="0" fontId="3" fillId="0" borderId="70" xfId="4" applyFont="1" applyBorder="1" applyAlignment="1">
      <alignment horizontal="center" vertical="center"/>
    </xf>
    <xf numFmtId="9" fontId="3" fillId="0" borderId="70" xfId="5" applyFont="1" applyBorder="1" applyAlignment="1">
      <alignment horizontal="center" vertical="center"/>
    </xf>
    <xf numFmtId="0" fontId="3" fillId="0" borderId="1" xfId="4" applyFont="1" applyBorder="1" applyAlignment="1">
      <alignment horizontal="center" vertical="center"/>
    </xf>
    <xf numFmtId="9" fontId="3" fillId="0" borderId="1" xfId="5" applyFont="1" applyBorder="1" applyAlignment="1">
      <alignment horizontal="center" vertical="center"/>
    </xf>
    <xf numFmtId="0" fontId="3" fillId="0" borderId="38" xfId="4" applyFont="1" applyBorder="1" applyAlignment="1">
      <alignment vertical="center"/>
    </xf>
    <xf numFmtId="0" fontId="2" fillId="2" borderId="4"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wrapText="1"/>
      <protection locked="0"/>
    </xf>
    <xf numFmtId="164" fontId="3" fillId="6" borderId="4" xfId="4" applyNumberFormat="1" applyFont="1" applyFill="1" applyBorder="1" applyAlignment="1">
      <alignment horizontal="center" vertical="center" wrapText="1"/>
    </xf>
    <xf numFmtId="49" fontId="2" fillId="2" borderId="4" xfId="2" applyNumberFormat="1" applyFont="1" applyFill="1" applyBorder="1" applyAlignment="1" applyProtection="1">
      <alignment horizontal="center" vertical="center"/>
      <protection locked="0"/>
    </xf>
    <xf numFmtId="0" fontId="0" fillId="0" borderId="6" xfId="0" applyBorder="1"/>
    <xf numFmtId="0" fontId="0" fillId="0" borderId="32" xfId="0" applyBorder="1"/>
    <xf numFmtId="0" fontId="0" fillId="0" borderId="20" xfId="0" applyBorder="1"/>
    <xf numFmtId="0" fontId="2" fillId="2" borderId="22" xfId="0" applyFont="1" applyFill="1" applyBorder="1" applyAlignment="1" applyProtection="1">
      <alignment horizontal="center" vertical="center" wrapText="1"/>
      <protection locked="0"/>
    </xf>
    <xf numFmtId="0" fontId="2" fillId="2" borderId="25" xfId="0" applyFont="1" applyFill="1" applyBorder="1" applyAlignment="1" applyProtection="1">
      <alignment horizontal="center"/>
      <protection locked="0"/>
    </xf>
    <xf numFmtId="0" fontId="2" fillId="2" borderId="16" xfId="0" applyFont="1" applyFill="1" applyBorder="1" applyAlignment="1" applyProtection="1">
      <alignment horizontal="center"/>
      <protection locked="0"/>
    </xf>
    <xf numFmtId="0" fontId="2" fillId="2" borderId="16" xfId="2" applyFont="1" applyFill="1" applyBorder="1" applyAlignment="1" applyProtection="1">
      <alignment horizontal="center"/>
      <protection locked="0"/>
    </xf>
    <xf numFmtId="0" fontId="2" fillId="2" borderId="67" xfId="0" applyFont="1" applyFill="1" applyBorder="1" applyAlignment="1" applyProtection="1">
      <alignment horizontal="center"/>
      <protection locked="0"/>
    </xf>
    <xf numFmtId="0" fontId="2" fillId="7" borderId="0" xfId="0" applyFont="1" applyFill="1" applyAlignment="1" applyProtection="1">
      <alignment horizontal="center" vertical="center"/>
      <protection locked="0"/>
    </xf>
    <xf numFmtId="49" fontId="2" fillId="7" borderId="24" xfId="0" applyNumberFormat="1" applyFont="1" applyFill="1" applyBorder="1" applyAlignment="1" applyProtection="1">
      <alignment horizontal="center" vertical="center"/>
      <protection hidden="1"/>
    </xf>
    <xf numFmtId="0" fontId="3" fillId="0" borderId="28" xfId="1" applyBorder="1" applyAlignment="1" applyProtection="1">
      <protection locked="0"/>
    </xf>
    <xf numFmtId="0" fontId="3" fillId="0" borderId="4" xfId="2" applyBorder="1" applyAlignment="1" applyProtection="1">
      <alignment horizontal="left" vertical="center"/>
      <protection locked="0"/>
    </xf>
    <xf numFmtId="14" fontId="3" fillId="0" borderId="6" xfId="2" applyNumberFormat="1" applyBorder="1" applyAlignment="1" applyProtection="1">
      <alignment horizontal="center" vertical="center"/>
      <protection locked="0"/>
    </xf>
    <xf numFmtId="0" fontId="3" fillId="0" borderId="4" xfId="2" applyBorder="1" applyAlignment="1" applyProtection="1">
      <alignment horizontal="center" vertical="center"/>
      <protection locked="0"/>
    </xf>
    <xf numFmtId="14" fontId="3" fillId="0" borderId="4" xfId="2" applyNumberFormat="1" applyBorder="1" applyAlignment="1" applyProtection="1">
      <alignment horizontal="center" vertical="center"/>
      <protection locked="0"/>
    </xf>
    <xf numFmtId="0" fontId="3" fillId="2" borderId="16" xfId="2" applyFill="1" applyBorder="1" applyAlignment="1" applyProtection="1">
      <alignment horizontal="left" vertical="center"/>
      <protection locked="0"/>
    </xf>
    <xf numFmtId="164" fontId="3" fillId="0" borderId="20" xfId="2" applyNumberFormat="1" applyBorder="1" applyAlignment="1" applyProtection="1">
      <alignment horizontal="right" vertical="center"/>
      <protection locked="0"/>
    </xf>
    <xf numFmtId="0" fontId="3" fillId="3" borderId="42" xfId="2" applyFill="1" applyBorder="1" applyAlignment="1" applyProtection="1">
      <alignment horizontal="left"/>
      <protection hidden="1"/>
    </xf>
    <xf numFmtId="49" fontId="3" fillId="0" borderId="48" xfId="2" applyNumberFormat="1" applyFill="1" applyBorder="1" applyAlignment="1" applyProtection="1">
      <alignment horizontal="left" vertical="top"/>
      <protection locked="0"/>
    </xf>
    <xf numFmtId="0" fontId="3" fillId="0" borderId="6" xfId="2" applyBorder="1" applyAlignment="1" applyProtection="1">
      <alignment vertical="center"/>
      <protection locked="0"/>
    </xf>
    <xf numFmtId="14" fontId="3" fillId="0" borderId="48" xfId="2" applyNumberFormat="1" applyBorder="1" applyAlignment="1" applyProtection="1">
      <alignment horizontal="center" vertical="center"/>
      <protection locked="0"/>
    </xf>
    <xf numFmtId="49" fontId="3" fillId="0" borderId="6" xfId="2" applyNumberFormat="1" applyBorder="1" applyAlignment="1" applyProtection="1">
      <alignment horizontal="center" vertical="center"/>
      <protection locked="0"/>
    </xf>
    <xf numFmtId="0" fontId="3" fillId="5" borderId="0" xfId="2" applyFill="1" applyAlignment="1" applyProtection="1">
      <protection locked="0"/>
    </xf>
    <xf numFmtId="0" fontId="3" fillId="4" borderId="0" xfId="2" applyFill="1" applyAlignment="1" applyProtection="1">
      <protection locked="0"/>
    </xf>
    <xf numFmtId="0" fontId="3" fillId="0" borderId="17" xfId="4" applyFont="1" applyBorder="1" applyAlignment="1">
      <alignment horizontal="center" vertical="center"/>
    </xf>
    <xf numFmtId="0" fontId="2" fillId="2" borderId="4"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0" fillId="0" borderId="3" xfId="0" applyBorder="1" applyAlignment="1" applyProtection="1">
      <protection locked="0"/>
    </xf>
    <xf numFmtId="0" fontId="0" fillId="0" borderId="54" xfId="0" applyBorder="1" applyAlignment="1" applyProtection="1">
      <protection locked="0"/>
    </xf>
    <xf numFmtId="0" fontId="0" fillId="0" borderId="54" xfId="0" applyFont="1" applyBorder="1" applyAlignment="1" applyProtection="1">
      <protection locked="0"/>
    </xf>
    <xf numFmtId="0" fontId="0" fillId="0" borderId="4" xfId="0" applyFont="1" applyBorder="1" applyAlignment="1" applyProtection="1">
      <protection locked="0"/>
    </xf>
    <xf numFmtId="0" fontId="0" fillId="0" borderId="0" xfId="4" applyFont="1" applyAlignment="1">
      <alignment horizontal="left" vertical="center" wrapText="1"/>
    </xf>
    <xf numFmtId="168" fontId="1" fillId="0" borderId="0" xfId="4" applyNumberFormat="1" applyFont="1" applyAlignment="1">
      <alignment horizontal="center" vertical="center"/>
    </xf>
    <xf numFmtId="14" fontId="0" fillId="0" borderId="4" xfId="0" applyNumberFormat="1" applyBorder="1" applyAlignment="1">
      <alignment horizontal="center"/>
    </xf>
    <xf numFmtId="14" fontId="0" fillId="0" borderId="2" xfId="0" applyNumberFormat="1" applyBorder="1" applyAlignment="1">
      <alignment horizontal="center"/>
    </xf>
    <xf numFmtId="14" fontId="0" fillId="0" borderId="1" xfId="0" applyNumberFormat="1" applyBorder="1" applyAlignment="1">
      <alignment horizontal="center"/>
    </xf>
    <xf numFmtId="14" fontId="0" fillId="0" borderId="2" xfId="0" applyNumberFormat="1" applyBorder="1" applyAlignment="1">
      <alignment horizontal="center"/>
    </xf>
    <xf numFmtId="14" fontId="0" fillId="0" borderId="4" xfId="0" applyNumberFormat="1" applyBorder="1" applyAlignment="1">
      <alignment horizontal="center"/>
    </xf>
    <xf numFmtId="14" fontId="0" fillId="0" borderId="1" xfId="0" applyNumberFormat="1" applyBorder="1" applyAlignment="1">
      <alignment horizontal="center"/>
    </xf>
    <xf numFmtId="14" fontId="0" fillId="0" borderId="2" xfId="0" applyNumberFormat="1" applyBorder="1" applyAlignment="1">
      <alignment horizontal="center"/>
    </xf>
    <xf numFmtId="14" fontId="0" fillId="0" borderId="4" xfId="0" applyNumberFormat="1" applyBorder="1" applyAlignment="1">
      <alignment horizontal="center"/>
    </xf>
    <xf numFmtId="14" fontId="0" fillId="0" borderId="1" xfId="0" applyNumberFormat="1" applyBorder="1" applyAlignment="1">
      <alignment horizontal="center"/>
    </xf>
    <xf numFmtId="0" fontId="2" fillId="2" borderId="4" xfId="0" applyFont="1" applyFill="1" applyBorder="1" applyAlignment="1" applyProtection="1">
      <alignment horizontal="center" vertical="center"/>
      <protection locked="0"/>
    </xf>
    <xf numFmtId="14" fontId="0" fillId="0" borderId="2" xfId="0" applyNumberFormat="1" applyBorder="1" applyAlignment="1">
      <alignment horizontal="center"/>
    </xf>
    <xf numFmtId="14" fontId="0" fillId="0" borderId="4" xfId="0" applyNumberFormat="1" applyBorder="1" applyAlignment="1">
      <alignment horizontal="center"/>
    </xf>
    <xf numFmtId="14" fontId="0" fillId="0" borderId="1" xfId="0" applyNumberFormat="1" applyBorder="1" applyAlignment="1">
      <alignment horizontal="center"/>
    </xf>
    <xf numFmtId="0" fontId="2" fillId="2" borderId="49" xfId="2" applyFont="1" applyFill="1" applyBorder="1" applyAlignment="1" applyProtection="1">
      <alignment horizontal="center" vertical="center" wrapText="1"/>
      <protection locked="0"/>
    </xf>
    <xf numFmtId="0" fontId="2" fillId="2" borderId="25" xfId="2" applyFont="1" applyFill="1" applyBorder="1" applyAlignment="1" applyProtection="1">
      <alignment horizontal="center" vertical="center" wrapText="1"/>
      <protection locked="0"/>
    </xf>
    <xf numFmtId="0" fontId="2" fillId="2" borderId="26" xfId="2" applyFont="1" applyFill="1" applyBorder="1" applyAlignment="1" applyProtection="1">
      <alignment horizontal="center"/>
      <protection locked="0"/>
    </xf>
    <xf numFmtId="0" fontId="2" fillId="2" borderId="4" xfId="2" applyFont="1" applyFill="1" applyBorder="1" applyAlignment="1" applyProtection="1">
      <alignment horizontal="center" vertical="center"/>
      <protection locked="0"/>
    </xf>
    <xf numFmtId="1" fontId="2" fillId="2" borderId="4" xfId="2" applyNumberFormat="1" applyFont="1" applyFill="1" applyBorder="1" applyAlignment="1" applyProtection="1">
      <alignment horizontal="center" vertical="center"/>
      <protection locked="0"/>
    </xf>
    <xf numFmtId="14" fontId="2" fillId="2" borderId="4" xfId="2" applyNumberFormat="1" applyFont="1" applyFill="1" applyBorder="1" applyAlignment="1" applyProtection="1">
      <alignment horizontal="center" vertical="center"/>
      <protection locked="0"/>
    </xf>
    <xf numFmtId="0" fontId="2" fillId="2" borderId="3" xfId="2" applyFont="1" applyFill="1" applyBorder="1" applyAlignment="1" applyProtection="1">
      <alignment horizontal="center" vertical="center"/>
      <protection locked="0"/>
    </xf>
    <xf numFmtId="0" fontId="2" fillId="2" borderId="4" xfId="2" applyFont="1" applyFill="1" applyBorder="1" applyAlignment="1" applyProtection="1">
      <alignment horizontal="center"/>
      <protection locked="0"/>
    </xf>
    <xf numFmtId="0" fontId="2" fillId="2" borderId="1" xfId="2" applyFont="1" applyFill="1" applyBorder="1" applyAlignment="1" applyProtection="1">
      <alignment horizontal="center" vertical="center"/>
      <protection locked="0"/>
    </xf>
    <xf numFmtId="0" fontId="2" fillId="2" borderId="4" xfId="2" applyFont="1" applyFill="1" applyBorder="1" applyAlignment="1" applyProtection="1">
      <alignment horizontal="center" vertical="center" wrapText="1"/>
      <protection locked="0"/>
    </xf>
    <xf numFmtId="0" fontId="2" fillId="2" borderId="18" xfId="2" applyFont="1" applyFill="1" applyBorder="1" applyAlignment="1" applyProtection="1">
      <alignment horizontal="center" vertical="center"/>
      <protection locked="0"/>
    </xf>
    <xf numFmtId="0" fontId="2" fillId="7" borderId="18" xfId="2" applyFont="1" applyFill="1" applyBorder="1" applyAlignment="1" applyProtection="1">
      <alignment horizontal="left" vertical="center"/>
      <protection locked="0"/>
    </xf>
    <xf numFmtId="10" fontId="3" fillId="0" borderId="4" xfId="5" applyNumberFormat="1" applyFont="1" applyBorder="1" applyAlignment="1" applyProtection="1">
      <alignment horizontal="center" vertical="center"/>
      <protection locked="0"/>
    </xf>
    <xf numFmtId="164" fontId="2" fillId="7" borderId="19" xfId="0" applyNumberFormat="1" applyFont="1" applyFill="1" applyBorder="1" applyAlignment="1" applyProtection="1">
      <alignment horizontal="right" vertical="center"/>
      <protection hidden="1"/>
    </xf>
    <xf numFmtId="0" fontId="2" fillId="7" borderId="6" xfId="2" applyFont="1" applyFill="1" applyBorder="1" applyAlignment="1" applyProtection="1">
      <alignment horizontal="left" vertical="center"/>
      <protection hidden="1"/>
    </xf>
    <xf numFmtId="0" fontId="2" fillId="7" borderId="6" xfId="2" applyFont="1" applyFill="1" applyBorder="1" applyAlignment="1" applyProtection="1">
      <alignment horizontal="center" vertical="center"/>
      <protection hidden="1"/>
    </xf>
    <xf numFmtId="0" fontId="2" fillId="2" borderId="16" xfId="2" applyFont="1" applyFill="1" applyBorder="1" applyAlignment="1" applyProtection="1">
      <alignment horizontal="left" vertical="center"/>
      <protection locked="0"/>
    </xf>
    <xf numFmtId="0" fontId="2" fillId="2" borderId="46" xfId="0" applyFont="1" applyFill="1" applyBorder="1" applyAlignment="1"/>
    <xf numFmtId="0" fontId="2" fillId="2" borderId="29" xfId="0" applyFont="1" applyFill="1" applyBorder="1" applyAlignment="1"/>
    <xf numFmtId="164" fontId="3" fillId="6" borderId="4" xfId="4" applyNumberFormat="1" applyFont="1" applyFill="1" applyBorder="1" applyAlignment="1">
      <alignment horizontal="center" vertical="center" wrapText="1"/>
    </xf>
    <xf numFmtId="0" fontId="2" fillId="7" borderId="51" xfId="0" applyFont="1" applyFill="1" applyBorder="1" applyAlignment="1" applyProtection="1">
      <alignment horizontal="center" vertical="center"/>
      <protection hidden="1"/>
    </xf>
    <xf numFmtId="0" fontId="2" fillId="7" borderId="58" xfId="0" applyFont="1" applyFill="1" applyBorder="1" applyAlignment="1" applyProtection="1">
      <alignment horizontal="center" vertical="center"/>
      <protection hidden="1"/>
    </xf>
    <xf numFmtId="10" fontId="3" fillId="0" borderId="70" xfId="5" applyNumberFormat="1" applyFont="1" applyBorder="1" applyAlignment="1">
      <alignment horizontal="center" vertical="center"/>
    </xf>
    <xf numFmtId="10" fontId="3" fillId="0" borderId="17" xfId="5" applyNumberFormat="1" applyFont="1" applyBorder="1" applyAlignment="1">
      <alignment horizontal="center" vertical="center"/>
    </xf>
    <xf numFmtId="10" fontId="3" fillId="0" borderId="4" xfId="5" applyNumberFormat="1" applyFont="1" applyBorder="1" applyAlignment="1">
      <alignment horizontal="center" vertical="center"/>
    </xf>
    <xf numFmtId="164" fontId="2" fillId="21" borderId="4" xfId="4" applyNumberFormat="1" applyFont="1" applyFill="1" applyBorder="1" applyAlignment="1">
      <alignment horizontal="center" vertical="center" wrapText="1"/>
    </xf>
    <xf numFmtId="10" fontId="3" fillId="0" borderId="1" xfId="5" applyNumberFormat="1" applyFont="1" applyBorder="1" applyAlignment="1">
      <alignment horizontal="center" vertical="center"/>
    </xf>
    <xf numFmtId="0" fontId="3" fillId="0" borderId="32" xfId="0" applyFont="1" applyBorder="1" applyAlignment="1">
      <alignment horizontal="center" vertical="center"/>
    </xf>
    <xf numFmtId="164" fontId="2" fillId="7" borderId="14" xfId="0" applyNumberFormat="1" applyFont="1" applyFill="1" applyBorder="1" applyAlignment="1">
      <alignment horizontal="right"/>
    </xf>
    <xf numFmtId="164" fontId="2" fillId="7" borderId="32" xfId="0" applyNumberFormat="1" applyFont="1" applyFill="1" applyBorder="1" applyAlignment="1">
      <alignment horizontal="right"/>
    </xf>
    <xf numFmtId="164" fontId="2" fillId="7" borderId="16" xfId="0" applyNumberFormat="1" applyFont="1" applyFill="1" applyBorder="1" applyAlignment="1">
      <alignment horizontal="right"/>
    </xf>
    <xf numFmtId="164" fontId="2" fillId="7" borderId="36" xfId="0" applyNumberFormat="1" applyFont="1" applyFill="1" applyBorder="1" applyAlignment="1">
      <alignment horizontal="right"/>
    </xf>
    <xf numFmtId="164" fontId="2" fillId="7" borderId="67" xfId="0" applyNumberFormat="1" applyFont="1" applyFill="1" applyBorder="1" applyAlignment="1">
      <alignment horizontal="right"/>
    </xf>
    <xf numFmtId="164" fontId="2" fillId="7" borderId="37" xfId="0" applyNumberFormat="1" applyFont="1" applyFill="1" applyBorder="1" applyAlignment="1">
      <alignment horizontal="right"/>
    </xf>
    <xf numFmtId="164" fontId="2" fillId="7" borderId="1" xfId="0" applyNumberFormat="1" applyFont="1" applyFill="1" applyBorder="1" applyAlignment="1">
      <alignment horizontal="right"/>
    </xf>
    <xf numFmtId="164" fontId="2" fillId="7" borderId="7" xfId="0" applyNumberFormat="1" applyFont="1" applyFill="1" applyBorder="1" applyAlignment="1">
      <alignment horizontal="right"/>
    </xf>
    <xf numFmtId="0" fontId="2" fillId="2" borderId="1" xfId="3" applyFont="1" applyFill="1" applyBorder="1" applyAlignment="1" applyProtection="1">
      <alignment horizontal="center" vertical="center"/>
      <protection hidden="1"/>
    </xf>
    <xf numFmtId="0" fontId="2" fillId="2" borderId="7" xfId="3" applyFont="1" applyFill="1" applyBorder="1" applyAlignment="1" applyProtection="1">
      <alignment horizontal="center" vertical="center"/>
      <protection hidden="1"/>
    </xf>
    <xf numFmtId="0" fontId="2" fillId="2" borderId="2" xfId="3" applyFont="1" applyFill="1" applyBorder="1" applyAlignment="1" applyProtection="1">
      <alignment horizontal="center" vertical="center"/>
      <protection hidden="1"/>
    </xf>
    <xf numFmtId="0" fontId="2" fillId="2" borderId="1" xfId="0" applyFont="1" applyFill="1" applyBorder="1" applyAlignment="1" applyProtection="1">
      <alignment horizontal="center" vertical="center"/>
      <protection locked="0"/>
    </xf>
    <xf numFmtId="0" fontId="2" fillId="2" borderId="7" xfId="0" applyFont="1" applyFill="1" applyBorder="1" applyAlignment="1" applyProtection="1">
      <alignment horizontal="center" vertical="center"/>
      <protection locked="0"/>
    </xf>
    <xf numFmtId="0" fontId="0" fillId="0" borderId="0" xfId="0" applyAlignment="1">
      <alignment vertical="top" wrapText="1"/>
    </xf>
    <xf numFmtId="0" fontId="2" fillId="2" borderId="7" xfId="0" applyFont="1" applyFill="1" applyBorder="1" applyAlignment="1" applyProtection="1">
      <alignment vertical="center"/>
      <protection locked="0"/>
    </xf>
    <xf numFmtId="0" fontId="2" fillId="2" borderId="2" xfId="0" applyFont="1" applyFill="1" applyBorder="1" applyAlignment="1" applyProtection="1">
      <alignment vertical="center"/>
      <protection locked="0"/>
    </xf>
    <xf numFmtId="0" fontId="19" fillId="22" borderId="0" xfId="0" applyFont="1" applyFill="1" applyAlignment="1">
      <alignment vertical="top" wrapText="1"/>
    </xf>
    <xf numFmtId="0" fontId="0" fillId="0" borderId="20" xfId="0" applyBorder="1" applyAlignment="1">
      <alignment horizontal="left" vertical="top"/>
    </xf>
    <xf numFmtId="14" fontId="0" fillId="0" borderId="20" xfId="0" applyNumberFormat="1" applyBorder="1" applyAlignment="1">
      <alignment horizontal="left" vertical="top"/>
    </xf>
    <xf numFmtId="0" fontId="0" fillId="0" borderId="51" xfId="0" applyBorder="1" applyAlignment="1">
      <alignment horizontal="left" vertical="top"/>
    </xf>
    <xf numFmtId="0" fontId="19" fillId="2" borderId="51" xfId="0" applyFont="1" applyFill="1" applyBorder="1"/>
    <xf numFmtId="0" fontId="19" fillId="2" borderId="20" xfId="0" applyFont="1" applyFill="1" applyBorder="1"/>
    <xf numFmtId="0" fontId="2" fillId="2" borderId="7" xfId="0" applyFont="1" applyFill="1" applyBorder="1" applyAlignment="1" applyProtection="1">
      <alignment horizontal="center" vertical="center"/>
      <protection locked="0"/>
    </xf>
    <xf numFmtId="14" fontId="0" fillId="0" borderId="51" xfId="0" applyNumberFormat="1" applyBorder="1" applyAlignment="1">
      <alignment horizontal="left" vertical="top"/>
    </xf>
    <xf numFmtId="0" fontId="2" fillId="2" borderId="4"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8" borderId="71" xfId="0" applyFont="1" applyFill="1" applyBorder="1" applyAlignment="1">
      <alignment horizontal="center" vertical="top" wrapText="1"/>
    </xf>
    <xf numFmtId="0" fontId="0" fillId="0" borderId="0" xfId="0" applyAlignment="1">
      <alignment horizontal="left"/>
    </xf>
    <xf numFmtId="0" fontId="35" fillId="0" borderId="0" xfId="0" applyFont="1" applyFill="1" applyBorder="1" applyAlignment="1">
      <alignment horizontal="center" vertical="center" wrapText="1"/>
    </xf>
    <xf numFmtId="0" fontId="28" fillId="0" borderId="0" xfId="0" applyFont="1" applyAlignment="1">
      <alignment horizontal="center" vertical="center" wrapText="1"/>
    </xf>
    <xf numFmtId="14" fontId="2" fillId="7" borderId="20" xfId="0" applyNumberFormat="1" applyFont="1" applyFill="1" applyBorder="1" applyAlignment="1" applyProtection="1">
      <alignment vertical="center"/>
      <protection hidden="1"/>
    </xf>
    <xf numFmtId="14" fontId="2" fillId="2" borderId="14" xfId="3" applyNumberFormat="1" applyFont="1" applyFill="1" applyBorder="1" applyAlignment="1" applyProtection="1">
      <alignment horizontal="left" vertical="center"/>
      <protection locked="0"/>
    </xf>
    <xf numFmtId="14" fontId="2" fillId="2" borderId="16" xfId="3" applyNumberFormat="1" applyFont="1" applyFill="1" applyBorder="1" applyAlignment="1" applyProtection="1">
      <alignment horizontal="left" vertical="center"/>
      <protection locked="0"/>
    </xf>
    <xf numFmtId="14" fontId="2" fillId="7" borderId="16" xfId="3" applyNumberFormat="1" applyFont="1" applyFill="1" applyBorder="1" applyAlignment="1" applyProtection="1">
      <alignment horizontal="left" vertical="center"/>
      <protection locked="0"/>
    </xf>
    <xf numFmtId="164" fontId="2" fillId="7" borderId="43" xfId="0" applyNumberFormat="1" applyFont="1" applyFill="1" applyBorder="1" applyAlignment="1" applyProtection="1">
      <alignment horizontal="right" vertical="center"/>
      <protection locked="0"/>
    </xf>
    <xf numFmtId="164" fontId="2" fillId="7" borderId="44" xfId="0" applyNumberFormat="1" applyFont="1" applyFill="1" applyBorder="1" applyAlignment="1" applyProtection="1">
      <protection locked="0"/>
    </xf>
    <xf numFmtId="0" fontId="0" fillId="0" borderId="0" xfId="0" applyNumberFormat="1" applyAlignment="1">
      <alignment wrapText="1"/>
    </xf>
    <xf numFmtId="0" fontId="2" fillId="2" borderId="4"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2" borderId="7" xfId="0" applyFont="1" applyFill="1" applyBorder="1" applyAlignment="1" applyProtection="1">
      <alignment horizontal="center" vertical="center"/>
      <protection locked="0"/>
    </xf>
    <xf numFmtId="0" fontId="2" fillId="2" borderId="11" xfId="0" applyFont="1" applyFill="1" applyBorder="1" applyAlignment="1" applyProtection="1">
      <alignment horizontal="center" vertical="center"/>
      <protection locked="0"/>
    </xf>
    <xf numFmtId="9" fontId="28" fillId="0" borderId="0" xfId="5" applyNumberFormat="1" applyFont="1" applyAlignment="1">
      <alignment horizontal="center" vertical="center" wrapText="1"/>
    </xf>
    <xf numFmtId="0" fontId="0" fillId="0" borderId="0" xfId="0" applyAlignment="1">
      <alignment horizontal="center" vertical="center" wrapText="1"/>
    </xf>
    <xf numFmtId="164" fontId="2" fillId="7" borderId="13" xfId="0" applyNumberFormat="1" applyFont="1" applyFill="1" applyBorder="1" applyAlignment="1" applyProtection="1">
      <alignment vertical="center"/>
      <protection locked="0"/>
    </xf>
    <xf numFmtId="14" fontId="2" fillId="8" borderId="6" xfId="0" applyNumberFormat="1" applyFont="1" applyFill="1" applyBorder="1" applyAlignment="1" applyProtection="1">
      <alignment horizontal="center" vertical="center"/>
      <protection hidden="1"/>
    </xf>
    <xf numFmtId="14" fontId="2" fillId="7" borderId="19" xfId="0" applyNumberFormat="1" applyFont="1" applyFill="1" applyBorder="1" applyAlignment="1">
      <alignment horizontal="center" vertical="center"/>
    </xf>
    <xf numFmtId="14" fontId="2" fillId="7" borderId="20" xfId="3" applyNumberFormat="1" applyFont="1" applyFill="1" applyBorder="1" applyAlignment="1" applyProtection="1">
      <alignment horizontal="left" vertical="center"/>
      <protection locked="0"/>
    </xf>
    <xf numFmtId="164" fontId="2" fillId="7" borderId="20" xfId="0" applyNumberFormat="1" applyFont="1" applyFill="1" applyBorder="1" applyAlignment="1" applyProtection="1">
      <alignment horizontal="right" vertical="center"/>
      <protection locked="0"/>
    </xf>
    <xf numFmtId="14" fontId="2" fillId="23" borderId="19" xfId="0" applyNumberFormat="1" applyFont="1" applyFill="1" applyBorder="1" applyAlignment="1">
      <alignment horizontal="center" vertical="center"/>
    </xf>
    <xf numFmtId="164" fontId="2" fillId="7" borderId="51" xfId="0" applyNumberFormat="1" applyFont="1" applyFill="1" applyBorder="1" applyAlignment="1">
      <alignment horizontal="center" vertical="center"/>
    </xf>
    <xf numFmtId="0" fontId="19" fillId="7" borderId="20" xfId="0" applyFont="1" applyFill="1" applyBorder="1" applyAlignment="1">
      <alignment horizontal="center" vertical="center"/>
    </xf>
    <xf numFmtId="0" fontId="19" fillId="2" borderId="20"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2" fillId="2" borderId="4" xfId="0" applyFont="1" applyFill="1" applyBorder="1" applyAlignment="1" applyProtection="1">
      <alignment horizontal="center" vertical="center"/>
      <protection locked="0"/>
    </xf>
    <xf numFmtId="0" fontId="0" fillId="0" borderId="0" xfId="0" applyNumberFormat="1" applyAlignment="1"/>
    <xf numFmtId="0" fontId="2" fillId="2" borderId="64" xfId="0" applyFont="1" applyFill="1" applyBorder="1" applyAlignment="1">
      <alignment horizontal="center" vertical="center" wrapText="1"/>
    </xf>
    <xf numFmtId="0" fontId="0" fillId="6" borderId="20" xfId="0" applyFill="1" applyBorder="1" applyAlignment="1">
      <alignment horizontal="center" vertical="center"/>
    </xf>
    <xf numFmtId="0" fontId="0" fillId="8" borderId="20" xfId="0" applyFill="1" applyBorder="1" applyAlignment="1">
      <alignment horizontal="center" vertical="center"/>
    </xf>
    <xf numFmtId="0" fontId="19" fillId="24" borderId="20" xfId="0" applyFont="1" applyFill="1" applyBorder="1" applyAlignment="1">
      <alignment horizontal="center" vertical="center"/>
    </xf>
    <xf numFmtId="0" fontId="0" fillId="6" borderId="20" xfId="0" applyFont="1" applyFill="1" applyBorder="1" applyAlignment="1">
      <alignment horizontal="center" vertical="center"/>
    </xf>
    <xf numFmtId="0" fontId="13" fillId="2" borderId="20" xfId="0" applyFont="1" applyFill="1" applyBorder="1" applyAlignment="1">
      <alignment horizontal="center" vertical="center"/>
    </xf>
    <xf numFmtId="0" fontId="0" fillId="0" borderId="0" xfId="0" applyBorder="1" applyAlignment="1">
      <alignment horizontal="left" vertical="top"/>
    </xf>
    <xf numFmtId="0" fontId="0" fillId="0" borderId="0" xfId="0" applyBorder="1" applyAlignment="1">
      <alignment horizontal="left"/>
    </xf>
    <xf numFmtId="0" fontId="0" fillId="0" borderId="0" xfId="0" applyAlignment="1">
      <alignment vertical="center" wrapText="1"/>
    </xf>
    <xf numFmtId="0" fontId="0" fillId="8" borderId="29" xfId="0" applyFill="1" applyBorder="1" applyAlignment="1">
      <alignment horizontal="left" vertical="center"/>
    </xf>
    <xf numFmtId="0" fontId="0" fillId="0" borderId="18" xfId="5" applyNumberFormat="1" applyFont="1" applyBorder="1" applyAlignment="1">
      <alignment horizontal="center" vertical="center"/>
    </xf>
    <xf numFmtId="0" fontId="0" fillId="0" borderId="50" xfId="5" applyNumberFormat="1" applyFont="1" applyBorder="1" applyAlignment="1">
      <alignment horizontal="center" vertical="center"/>
    </xf>
    <xf numFmtId="0" fontId="0" fillId="0" borderId="5" xfId="5" applyNumberFormat="1" applyFont="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13" fillId="2" borderId="20" xfId="0" applyFont="1" applyFill="1" applyBorder="1" applyAlignment="1">
      <alignment horizontal="center" vertical="center"/>
    </xf>
    <xf numFmtId="14" fontId="0" fillId="0" borderId="0" xfId="0" applyNumberFormat="1" applyAlignment="1">
      <alignment horizontal="center" vertical="center" wrapText="1"/>
    </xf>
    <xf numFmtId="0" fontId="2" fillId="2" borderId="65" xfId="0" applyFont="1" applyFill="1" applyBorder="1" applyAlignment="1">
      <alignment horizontal="center" vertical="center" wrapText="1"/>
    </xf>
    <xf numFmtId="0" fontId="0" fillId="0" borderId="0" xfId="0" applyAlignment="1">
      <alignment horizontal="center" vertical="center"/>
    </xf>
    <xf numFmtId="0" fontId="0" fillId="0" borderId="29" xfId="0" applyFill="1" applyBorder="1" applyAlignment="1">
      <alignment horizontal="center" vertical="center" wrapText="1"/>
    </xf>
    <xf numFmtId="14" fontId="0" fillId="0" borderId="0" xfId="0" applyNumberFormat="1" applyBorder="1" applyAlignment="1">
      <alignment horizontal="center" vertical="center" wrapText="1"/>
    </xf>
    <xf numFmtId="0" fontId="0" fillId="0" borderId="29" xfId="0" applyFill="1" applyBorder="1" applyAlignment="1">
      <alignment horizontal="left" vertical="center"/>
    </xf>
    <xf numFmtId="14" fontId="0" fillId="0" borderId="0" xfId="0" applyNumberFormat="1" applyAlignment="1">
      <alignment horizontal="center" vertical="center" wrapText="1"/>
    </xf>
    <xf numFmtId="0" fontId="0" fillId="0" borderId="0" xfId="0" applyAlignment="1">
      <alignment horizontal="center" vertical="center"/>
    </xf>
    <xf numFmtId="0" fontId="0" fillId="5" borderId="0" xfId="0" applyFill="1" applyBorder="1"/>
    <xf numFmtId="0" fontId="36" fillId="2" borderId="20" xfId="0" applyFont="1" applyFill="1" applyBorder="1" applyAlignment="1">
      <alignment horizontal="center" vertical="center"/>
    </xf>
    <xf numFmtId="0" fontId="19" fillId="2" borderId="42" xfId="0" applyFont="1" applyFill="1" applyBorder="1" applyAlignment="1">
      <alignment horizontal="center" vertical="center"/>
    </xf>
    <xf numFmtId="0" fontId="0" fillId="0" borderId="6" xfId="0" applyBorder="1" applyAlignment="1">
      <alignment horizontal="left" vertical="center"/>
    </xf>
    <xf numFmtId="0" fontId="0" fillId="0" borderId="23" xfId="0" applyBorder="1" applyAlignment="1">
      <alignment vertical="center"/>
    </xf>
    <xf numFmtId="0" fontId="0" fillId="0" borderId="20" xfId="0" applyBorder="1" applyAlignment="1">
      <alignment horizontal="left" vertical="center"/>
    </xf>
    <xf numFmtId="14" fontId="0" fillId="0" borderId="20" xfId="0" applyNumberFormat="1" applyBorder="1" applyAlignment="1">
      <alignment horizontal="center" vertical="center"/>
    </xf>
    <xf numFmtId="14" fontId="0" fillId="0" borderId="24" xfId="0" applyNumberFormat="1" applyBorder="1" applyAlignment="1">
      <alignment horizontal="center" vertical="center"/>
    </xf>
    <xf numFmtId="0" fontId="0" fillId="0" borderId="24" xfId="0" applyBorder="1" applyAlignment="1">
      <alignment vertical="center"/>
    </xf>
    <xf numFmtId="0" fontId="0" fillId="0" borderId="20" xfId="0" applyBorder="1" applyAlignment="1">
      <alignment vertical="center"/>
    </xf>
    <xf numFmtId="164" fontId="0" fillId="0" borderId="27" xfId="0" applyNumberFormat="1" applyBorder="1" applyAlignment="1">
      <alignment horizontal="left" vertical="center"/>
    </xf>
    <xf numFmtId="164" fontId="0" fillId="0" borderId="34" xfId="0" applyNumberFormat="1" applyBorder="1" applyAlignment="1">
      <alignment horizontal="center" vertical="center"/>
    </xf>
    <xf numFmtId="0" fontId="0" fillId="0" borderId="32" xfId="0" applyBorder="1" applyAlignment="1">
      <alignment horizontal="left" vertical="center"/>
    </xf>
    <xf numFmtId="0" fontId="0" fillId="0" borderId="36" xfId="0" applyBorder="1" applyAlignment="1">
      <alignment horizontal="left" vertical="center"/>
    </xf>
    <xf numFmtId="0" fontId="0" fillId="0" borderId="36" xfId="0" applyBorder="1" applyAlignment="1">
      <alignment vertical="center"/>
    </xf>
    <xf numFmtId="0" fontId="0" fillId="0" borderId="20" xfId="0" applyFill="1" applyBorder="1" applyAlignment="1">
      <alignment horizontal="center" vertical="center"/>
    </xf>
    <xf numFmtId="0" fontId="0" fillId="0" borderId="27" xfId="0" applyFill="1" applyBorder="1" applyAlignment="1">
      <alignment horizontal="center" vertical="center"/>
    </xf>
    <xf numFmtId="0" fontId="0" fillId="0" borderId="6" xfId="0" applyFill="1" applyBorder="1" applyAlignment="1">
      <alignment horizontal="center" vertical="center"/>
    </xf>
    <xf numFmtId="164" fontId="2" fillId="0" borderId="0" xfId="0" applyNumberFormat="1" applyFont="1" applyFill="1" applyBorder="1"/>
    <xf numFmtId="164" fontId="3" fillId="0" borderId="0" xfId="0" applyNumberFormat="1" applyFont="1" applyFill="1" applyBorder="1"/>
    <xf numFmtId="164" fontId="2" fillId="0" borderId="0" xfId="0" applyNumberFormat="1" applyFont="1" applyFill="1" applyBorder="1" applyAlignment="1" applyProtection="1">
      <alignment vertical="center"/>
      <protection locked="0"/>
    </xf>
    <xf numFmtId="0" fontId="19" fillId="7" borderId="0" xfId="0" applyFont="1" applyFill="1" applyAlignment="1">
      <alignment vertical="top" wrapText="1"/>
    </xf>
    <xf numFmtId="0" fontId="19" fillId="7" borderId="0" xfId="0" applyFont="1" applyFill="1" applyAlignment="1">
      <alignment vertical="center"/>
    </xf>
    <xf numFmtId="0" fontId="19" fillId="7" borderId="0" xfId="0" applyFont="1" applyFill="1"/>
    <xf numFmtId="0" fontId="19" fillId="7" borderId="0" xfId="0" applyFont="1" applyFill="1" applyAlignment="1">
      <alignment vertical="top"/>
    </xf>
    <xf numFmtId="0" fontId="0" fillId="0" borderId="29" xfId="0" applyFill="1" applyBorder="1" applyAlignment="1">
      <alignment horizontal="center" vertical="center"/>
    </xf>
    <xf numFmtId="0" fontId="13" fillId="2" borderId="20"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horizontal="center" vertical="center" wrapText="1"/>
    </xf>
    <xf numFmtId="0" fontId="0" fillId="0" borderId="0" xfId="0" applyAlignment="1">
      <alignment horizontal="center" vertical="center"/>
    </xf>
    <xf numFmtId="0" fontId="0" fillId="0" borderId="0" xfId="0" applyBorder="1" applyAlignment="1">
      <alignment horizontal="center" vertical="top"/>
    </xf>
    <xf numFmtId="0" fontId="0" fillId="0" borderId="0" xfId="0" applyBorder="1" applyAlignment="1">
      <alignment horizontal="center"/>
    </xf>
    <xf numFmtId="0" fontId="22" fillId="0" borderId="0" xfId="0" applyFont="1" applyFill="1" applyAlignment="1">
      <alignment horizontal="center" vertical="center"/>
    </xf>
    <xf numFmtId="0" fontId="13" fillId="2" borderId="20" xfId="0" applyFont="1" applyFill="1" applyBorder="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xf>
    <xf numFmtId="0" fontId="0" fillId="0" borderId="0" xfId="0" applyAlignment="1">
      <alignment horizontal="left" vertical="center"/>
    </xf>
    <xf numFmtId="0" fontId="22" fillId="8" borderId="0" xfId="0" applyFont="1" applyFill="1" applyAlignment="1">
      <alignment horizontal="left" vertical="center"/>
    </xf>
    <xf numFmtId="0" fontId="13" fillId="2" borderId="42" xfId="0" applyFont="1" applyFill="1" applyBorder="1" applyAlignment="1">
      <alignment horizontal="center" vertical="center"/>
    </xf>
    <xf numFmtId="0" fontId="0" fillId="0" borderId="0" xfId="0" applyAlignment="1">
      <alignment horizontal="center" vertical="center" wrapText="1"/>
    </xf>
    <xf numFmtId="0" fontId="13" fillId="2" borderId="20"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horizontal="left" vertical="top" wrapText="1"/>
    </xf>
    <xf numFmtId="0" fontId="0" fillId="0" borderId="0" xfId="0" applyBorder="1" applyAlignment="1">
      <alignment vertical="top"/>
    </xf>
    <xf numFmtId="0" fontId="22" fillId="0" borderId="0" xfId="0" applyFont="1" applyAlignment="1">
      <alignment horizontal="left" vertical="top" wrapText="1"/>
    </xf>
    <xf numFmtId="0" fontId="0" fillId="0" borderId="0" xfId="0" applyAlignment="1">
      <alignment horizontal="center" vertical="center"/>
    </xf>
    <xf numFmtId="0" fontId="0" fillId="0" borderId="0" xfId="0" applyNumberFormat="1" applyBorder="1" applyAlignment="1">
      <alignment horizontal="center" vertical="center" wrapText="1"/>
    </xf>
    <xf numFmtId="0" fontId="0" fillId="0" borderId="0" xfId="0" applyAlignment="1">
      <alignment horizontal="left" vertical="center" wrapText="1"/>
    </xf>
    <xf numFmtId="0" fontId="0" fillId="0" borderId="0" xfId="0" applyNumberFormat="1" applyFill="1" applyBorder="1" applyAlignment="1">
      <alignment vertical="center" wrapText="1"/>
    </xf>
    <xf numFmtId="0" fontId="0" fillId="0" borderId="0" xfId="0" applyNumberFormat="1" applyFill="1" applyBorder="1" applyAlignment="1">
      <alignment vertical="top" wrapText="1"/>
    </xf>
    <xf numFmtId="0" fontId="0" fillId="0" borderId="6" xfId="0" applyBorder="1" applyAlignment="1">
      <alignment horizontal="left" vertical="top"/>
    </xf>
    <xf numFmtId="0" fontId="13" fillId="2" borderId="20" xfId="0" applyFont="1" applyFill="1" applyBorder="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xf>
    <xf numFmtId="0" fontId="0" fillId="0" borderId="0" xfId="0" applyAlignment="1">
      <alignment horizontal="left" vertical="center"/>
    </xf>
    <xf numFmtId="0" fontId="13" fillId="2" borderId="20" xfId="0" applyFont="1" applyFill="1" applyBorder="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NumberFormat="1" applyBorder="1" applyAlignment="1">
      <alignment horizontal="center" vertical="center" wrapText="1"/>
    </xf>
    <xf numFmtId="0" fontId="7" fillId="0" borderId="0" xfId="0" applyFont="1" applyAlignment="1">
      <alignment horizontal="center" vertical="center" wrapText="1"/>
    </xf>
    <xf numFmtId="0" fontId="0" fillId="0" borderId="0" xfId="0" applyFill="1" applyBorder="1"/>
    <xf numFmtId="0" fontId="22" fillId="8" borderId="0" xfId="0" applyFont="1" applyFill="1" applyAlignment="1">
      <alignment horizontal="center" vertical="center"/>
    </xf>
    <xf numFmtId="0" fontId="2" fillId="2" borderId="4" xfId="0" applyFont="1" applyFill="1" applyBorder="1" applyAlignment="1" applyProtection="1">
      <alignment horizontal="center" vertical="center"/>
      <protection locked="0"/>
    </xf>
    <xf numFmtId="0" fontId="22" fillId="0" borderId="0" xfId="0" applyFont="1" applyFill="1" applyAlignment="1">
      <alignment horizontal="left" vertical="center"/>
    </xf>
    <xf numFmtId="164" fontId="36" fillId="2" borderId="20" xfId="0" applyNumberFormat="1" applyFont="1" applyFill="1" applyBorder="1" applyAlignment="1">
      <alignment horizontal="center" vertical="center"/>
    </xf>
    <xf numFmtId="164" fontId="19" fillId="7" borderId="0" xfId="0" applyNumberFormat="1" applyFont="1" applyFill="1" applyAlignment="1">
      <alignment vertical="top" wrapText="1"/>
    </xf>
    <xf numFmtId="164" fontId="0" fillId="0" borderId="0" xfId="0" applyNumberFormat="1" applyAlignment="1">
      <alignment vertical="top"/>
    </xf>
    <xf numFmtId="164" fontId="0" fillId="0" borderId="0" xfId="0" applyNumberFormat="1" applyAlignment="1">
      <alignment vertical="top" wrapText="1"/>
    </xf>
    <xf numFmtId="14" fontId="36" fillId="2" borderId="20" xfId="0" applyNumberFormat="1" applyFont="1" applyFill="1" applyBorder="1" applyAlignment="1">
      <alignment horizontal="center" vertical="center"/>
    </xf>
    <xf numFmtId="14" fontId="19" fillId="7" borderId="0" xfId="0" applyNumberFormat="1" applyFont="1" applyFill="1" applyAlignment="1">
      <alignment horizontal="center" vertical="top" wrapText="1"/>
    </xf>
    <xf numFmtId="14" fontId="0" fillId="0" borderId="0" xfId="0" applyNumberFormat="1" applyAlignment="1">
      <alignment horizontal="center" vertical="top"/>
    </xf>
    <xf numFmtId="14" fontId="0" fillId="0" borderId="0" xfId="0" applyNumberFormat="1" applyAlignment="1">
      <alignment horizontal="center" vertical="top" wrapText="1"/>
    </xf>
    <xf numFmtId="14" fontId="0" fillId="0" borderId="0" xfId="0" applyNumberFormat="1" applyAlignment="1">
      <alignment horizontal="center"/>
    </xf>
    <xf numFmtId="14" fontId="19" fillId="7" borderId="0" xfId="0" applyNumberFormat="1" applyFont="1" applyFill="1"/>
    <xf numFmtId="14" fontId="19" fillId="7" borderId="0" xfId="0" applyNumberFormat="1" applyFont="1" applyFill="1" applyAlignment="1">
      <alignment horizontal="center"/>
    </xf>
    <xf numFmtId="164" fontId="19" fillId="7" borderId="0" xfId="0" applyNumberFormat="1" applyFont="1" applyFill="1"/>
    <xf numFmtId="0" fontId="19" fillId="7" borderId="0" xfId="0" applyFont="1" applyFill="1" applyAlignment="1">
      <alignment horizontal="left" vertical="center"/>
    </xf>
    <xf numFmtId="0" fontId="0" fillId="0" borderId="0" xfId="0" applyAlignment="1">
      <alignment horizontal="left" vertical="center"/>
    </xf>
    <xf numFmtId="0" fontId="0" fillId="0" borderId="0" xfId="0" applyAlignment="1">
      <alignment horizontal="center" vertical="center" wrapText="1"/>
    </xf>
    <xf numFmtId="0" fontId="0" fillId="0" borderId="0" xfId="0" applyAlignment="1">
      <alignment horizontal="center" vertical="center"/>
    </xf>
    <xf numFmtId="164" fontId="0" fillId="0" borderId="0" xfId="0" applyNumberFormat="1" applyAlignment="1">
      <alignment horizontal="left"/>
    </xf>
    <xf numFmtId="0" fontId="2" fillId="7" borderId="25" xfId="3" applyFont="1" applyFill="1" applyBorder="1" applyAlignment="1" applyProtection="1">
      <alignment horizontal="center" vertical="center"/>
      <protection locked="0"/>
    </xf>
    <xf numFmtId="14" fontId="2" fillId="7" borderId="20" xfId="0" applyNumberFormat="1" applyFont="1" applyFill="1" applyBorder="1" applyAlignment="1" applyProtection="1">
      <alignment horizontal="center" vertical="center"/>
      <protection locked="0"/>
    </xf>
    <xf numFmtId="0" fontId="2" fillId="7" borderId="26" xfId="3" applyFont="1" applyFill="1" applyBorder="1" applyAlignment="1" applyProtection="1">
      <alignment horizontal="center" vertical="center"/>
      <protection locked="0"/>
    </xf>
    <xf numFmtId="14" fontId="2" fillId="7" borderId="27" xfId="3" applyNumberFormat="1" applyFont="1" applyFill="1" applyBorder="1" applyAlignment="1" applyProtection="1">
      <alignment horizontal="left" vertical="center"/>
      <protection locked="0"/>
    </xf>
    <xf numFmtId="164" fontId="2" fillId="7" borderId="27" xfId="0" applyNumberFormat="1" applyFont="1" applyFill="1" applyBorder="1" applyAlignment="1" applyProtection="1">
      <alignment horizontal="right" vertical="center"/>
      <protection locked="0"/>
    </xf>
    <xf numFmtId="14" fontId="2" fillId="7" borderId="27" xfId="0" applyNumberFormat="1" applyFont="1" applyFill="1" applyBorder="1" applyAlignment="1" applyProtection="1">
      <alignment horizontal="center" vertical="center"/>
      <protection locked="0"/>
    </xf>
    <xf numFmtId="0" fontId="2" fillId="7" borderId="49" xfId="3" applyFont="1" applyFill="1" applyBorder="1" applyAlignment="1" applyProtection="1">
      <alignment horizontal="center" vertical="center"/>
      <protection locked="0"/>
    </xf>
    <xf numFmtId="14" fontId="2" fillId="7" borderId="51" xfId="3" applyNumberFormat="1" applyFont="1" applyFill="1" applyBorder="1" applyAlignment="1" applyProtection="1">
      <alignment horizontal="left" vertical="center"/>
      <protection locked="0"/>
    </xf>
    <xf numFmtId="164" fontId="2" fillId="7" borderId="51" xfId="0" applyNumberFormat="1" applyFont="1" applyFill="1" applyBorder="1" applyAlignment="1" applyProtection="1">
      <alignment horizontal="right" vertical="center"/>
      <protection locked="0"/>
    </xf>
    <xf numFmtId="14" fontId="2" fillId="7" borderId="51" xfId="0" applyNumberFormat="1" applyFont="1" applyFill="1" applyBorder="1" applyAlignment="1" applyProtection="1">
      <alignment horizontal="center" vertical="center"/>
      <protection locked="0"/>
    </xf>
    <xf numFmtId="0" fontId="32" fillId="8" borderId="51" xfId="0" applyFont="1" applyFill="1" applyBorder="1" applyAlignment="1">
      <alignment horizontal="center" vertical="center"/>
    </xf>
    <xf numFmtId="0" fontId="32" fillId="8" borderId="52" xfId="0" applyFont="1" applyFill="1" applyBorder="1" applyAlignment="1">
      <alignment horizontal="center" vertical="center"/>
    </xf>
    <xf numFmtId="0" fontId="13" fillId="2" borderId="20"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Fill="1" applyAlignment="1">
      <alignment horizontal="center" vertical="center"/>
    </xf>
    <xf numFmtId="14" fontId="19" fillId="7" borderId="20" xfId="0" applyNumberFormat="1" applyFont="1" applyFill="1" applyBorder="1" applyAlignment="1">
      <alignment horizontal="center" vertical="center"/>
    </xf>
    <xf numFmtId="0" fontId="2" fillId="7" borderId="6" xfId="0" applyFont="1" applyFill="1" applyBorder="1" applyAlignment="1">
      <alignment horizontal="left" vertical="center"/>
    </xf>
    <xf numFmtId="0" fontId="2" fillId="7" borderId="20" xfId="0" applyFont="1" applyFill="1" applyBorder="1" applyAlignment="1">
      <alignment horizontal="left" vertical="center"/>
    </xf>
    <xf numFmtId="0" fontId="2" fillId="7" borderId="27" xfId="0" applyFont="1" applyFill="1" applyBorder="1" applyAlignment="1">
      <alignment horizontal="left"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horizontal="left" vertical="center"/>
    </xf>
    <xf numFmtId="0" fontId="0" fillId="0" borderId="0" xfId="0" applyAlignment="1">
      <alignment horizontal="center" vertical="center"/>
    </xf>
    <xf numFmtId="0" fontId="0" fillId="0" borderId="0" xfId="0" applyFill="1" applyAlignment="1">
      <alignment horizontal="center" vertical="center" wrapText="1"/>
    </xf>
    <xf numFmtId="0" fontId="36" fillId="2" borderId="0" xfId="0" applyFont="1" applyFill="1"/>
    <xf numFmtId="14" fontId="36" fillId="2" borderId="0" xfId="0" applyNumberFormat="1" applyFont="1" applyFill="1"/>
    <xf numFmtId="14" fontId="19" fillId="7" borderId="0" xfId="0" applyNumberFormat="1" applyFont="1" applyFill="1" applyAlignment="1">
      <alignment horizontal="center" vertical="center"/>
    </xf>
    <xf numFmtId="0" fontId="22" fillId="6" borderId="0" xfId="0" applyFont="1" applyFill="1"/>
    <xf numFmtId="0" fontId="13" fillId="2" borderId="20" xfId="0" applyFont="1" applyFill="1" applyBorder="1" applyAlignment="1">
      <alignment horizontal="center" vertical="center"/>
    </xf>
    <xf numFmtId="0" fontId="0" fillId="0" borderId="0" xfId="0" applyAlignment="1">
      <alignment horizontal="left" vertical="center"/>
    </xf>
    <xf numFmtId="0" fontId="0" fillId="0" borderId="0" xfId="0"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xf>
    <xf numFmtId="0" fontId="36" fillId="2" borderId="20" xfId="0" applyNumberFormat="1" applyFont="1" applyFill="1" applyBorder="1" applyAlignment="1">
      <alignment horizontal="center" vertical="center"/>
    </xf>
    <xf numFmtId="0" fontId="19" fillId="7" borderId="20" xfId="0" applyFont="1" applyFill="1" applyBorder="1" applyAlignment="1">
      <alignment horizontal="center" vertical="center" wrapText="1"/>
    </xf>
    <xf numFmtId="49" fontId="19" fillId="7" borderId="20" xfId="0" applyNumberFormat="1" applyFont="1" applyFill="1" applyBorder="1" applyAlignment="1">
      <alignment horizontal="center" vertical="center" wrapText="1"/>
    </xf>
    <xf numFmtId="0" fontId="19" fillId="7" borderId="20" xfId="0" applyFont="1" applyFill="1" applyBorder="1"/>
    <xf numFmtId="14" fontId="0" fillId="0" borderId="0" xfId="0" applyNumberFormat="1" applyBorder="1" applyAlignment="1">
      <alignment horizontal="center" vertical="center" wrapText="1"/>
    </xf>
    <xf numFmtId="0" fontId="13" fillId="2" borderId="53" xfId="0" applyFont="1" applyFill="1" applyBorder="1" applyAlignment="1">
      <alignment horizontal="center" vertical="center"/>
    </xf>
    <xf numFmtId="0" fontId="13" fillId="2" borderId="20" xfId="0" applyFont="1" applyFill="1" applyBorder="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19" fillId="7" borderId="20" xfId="0" applyFont="1" applyFill="1" applyBorder="1" applyAlignment="1">
      <alignment horizontal="center"/>
    </xf>
    <xf numFmtId="0" fontId="19" fillId="7" borderId="20" xfId="0" applyNumberFormat="1" applyFont="1" applyFill="1" applyBorder="1" applyAlignment="1">
      <alignment horizontal="center" vertical="center" wrapText="1"/>
    </xf>
    <xf numFmtId="14" fontId="19" fillId="7" borderId="20" xfId="0" applyNumberFormat="1" applyFont="1" applyFill="1" applyBorder="1" applyAlignment="1">
      <alignment horizontal="center" vertical="center" wrapText="1"/>
    </xf>
    <xf numFmtId="0" fontId="19" fillId="7" borderId="20" xfId="0" applyFont="1" applyFill="1" applyBorder="1" applyAlignment="1">
      <alignment vertical="center"/>
    </xf>
    <xf numFmtId="0" fontId="0" fillId="0" borderId="61" xfId="0" applyBorder="1" applyAlignment="1">
      <alignment vertical="center"/>
    </xf>
    <xf numFmtId="14" fontId="0" fillId="0" borderId="62" xfId="0" applyNumberFormat="1" applyBorder="1" applyAlignment="1">
      <alignment horizontal="center" vertical="center"/>
    </xf>
    <xf numFmtId="0" fontId="0" fillId="0" borderId="62" xfId="0" applyBorder="1" applyAlignment="1">
      <alignment vertical="center"/>
    </xf>
    <xf numFmtId="164" fontId="0" fillId="0" borderId="63" xfId="0" applyNumberFormat="1" applyBorder="1" applyAlignment="1">
      <alignment horizontal="center" vertical="center"/>
    </xf>
    <xf numFmtId="0" fontId="19" fillId="7" borderId="20" xfId="0" applyFont="1" applyFill="1" applyBorder="1" applyAlignment="1">
      <alignment vertical="top" wrapText="1"/>
    </xf>
    <xf numFmtId="0" fontId="19" fillId="7" borderId="20" xfId="0" applyFont="1" applyFill="1" applyBorder="1" applyAlignment="1">
      <alignment vertical="top"/>
    </xf>
    <xf numFmtId="0" fontId="0" fillId="0" borderId="0" xfId="0" applyAlignment="1">
      <alignment horizontal="center" vertical="center"/>
    </xf>
    <xf numFmtId="0" fontId="0" fillId="0" borderId="0" xfId="0" applyAlignment="1">
      <alignment horizontal="center" vertical="top"/>
    </xf>
    <xf numFmtId="0" fontId="19" fillId="7" borderId="20" xfId="0" applyFont="1" applyFill="1" applyBorder="1" applyAlignment="1">
      <alignment horizontal="center" vertical="top"/>
    </xf>
    <xf numFmtId="0" fontId="0" fillId="0" borderId="0" xfId="0" applyNumberFormat="1" applyBorder="1" applyAlignment="1">
      <alignment horizontal="center" vertical="top" wrapText="1"/>
    </xf>
    <xf numFmtId="14" fontId="0" fillId="0" borderId="0" xfId="0" applyNumberFormat="1" applyBorder="1" applyAlignment="1">
      <alignment horizontal="center" vertical="top" wrapText="1"/>
    </xf>
    <xf numFmtId="0" fontId="36" fillId="2" borderId="62" xfId="0" applyFont="1" applyFill="1" applyBorder="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19" fillId="7" borderId="0" xfId="0" applyFont="1" applyFill="1" applyAlignment="1">
      <alignment horizontal="center"/>
    </xf>
    <xf numFmtId="0" fontId="2" fillId="7" borderId="22" xfId="0" applyFont="1" applyFill="1" applyBorder="1" applyAlignment="1">
      <alignment horizontal="center" vertical="center"/>
    </xf>
    <xf numFmtId="0" fontId="2" fillId="7" borderId="26" xfId="0" applyFont="1" applyFill="1" applyBorder="1" applyAlignment="1">
      <alignment horizontal="center" vertical="center"/>
    </xf>
    <xf numFmtId="14" fontId="2" fillId="7" borderId="27" xfId="0" applyNumberFormat="1" applyFont="1" applyFill="1" applyBorder="1" applyAlignment="1">
      <alignment horizontal="center" vertical="center"/>
    </xf>
    <xf numFmtId="164" fontId="2" fillId="7" borderId="6" xfId="0" applyNumberFormat="1" applyFont="1" applyFill="1" applyBorder="1"/>
    <xf numFmtId="164" fontId="2" fillId="7" borderId="27" xfId="0" applyNumberFormat="1" applyFont="1" applyFill="1" applyBorder="1"/>
    <xf numFmtId="0" fontId="13" fillId="2" borderId="20" xfId="0" applyFont="1" applyFill="1" applyBorder="1" applyAlignment="1">
      <alignment horizontal="center" vertical="center"/>
    </xf>
    <xf numFmtId="0" fontId="0" fillId="0" borderId="0" xfId="0" applyAlignment="1">
      <alignment horizontal="center" vertical="center"/>
    </xf>
    <xf numFmtId="0" fontId="22" fillId="0" borderId="0" xfId="0" applyFont="1" applyFill="1" applyBorder="1" applyAlignment="1">
      <alignment horizontal="center" vertical="center"/>
    </xf>
    <xf numFmtId="0" fontId="0" fillId="0" borderId="0" xfId="0" applyAlignment="1">
      <alignment horizontal="center" vertical="center"/>
    </xf>
    <xf numFmtId="0" fontId="13" fillId="2" borderId="20" xfId="0" applyFont="1" applyFill="1" applyBorder="1" applyAlignment="1">
      <alignment horizontal="center" vertical="center"/>
    </xf>
    <xf numFmtId="0" fontId="0" fillId="0" borderId="0" xfId="0" applyAlignment="1">
      <alignment horizontal="left" vertical="center"/>
    </xf>
    <xf numFmtId="0" fontId="19" fillId="7" borderId="51" xfId="0" applyFont="1" applyFill="1" applyBorder="1" applyAlignment="1">
      <alignment horizontal="center" vertical="center"/>
    </xf>
    <xf numFmtId="0" fontId="0" fillId="0" borderId="0" xfId="0" applyNumberFormat="1" applyBorder="1" applyAlignment="1">
      <alignment vertical="top" wrapText="1"/>
    </xf>
    <xf numFmtId="0" fontId="0" fillId="0" borderId="29" xfId="0" applyNumberFormat="1" applyBorder="1" applyAlignment="1">
      <alignment vertical="top"/>
    </xf>
    <xf numFmtId="0" fontId="0" fillId="0" borderId="0" xfId="0" applyNumberFormat="1" applyBorder="1" applyAlignment="1">
      <alignment vertical="top"/>
    </xf>
    <xf numFmtId="0" fontId="0" fillId="0" borderId="0" xfId="0" applyAlignment="1">
      <alignment horizontal="center" vertical="center"/>
    </xf>
    <xf numFmtId="14" fontId="0" fillId="0" borderId="0" xfId="0" applyNumberFormat="1" applyBorder="1" applyAlignment="1">
      <alignment horizontal="center" vertical="center" wrapText="1"/>
    </xf>
    <xf numFmtId="0" fontId="0" fillId="0" borderId="0" xfId="0" applyAlignment="1">
      <alignment horizontal="center" vertical="center"/>
    </xf>
    <xf numFmtId="14" fontId="0" fillId="0" borderId="29" xfId="0" applyNumberFormat="1" applyBorder="1" applyAlignment="1">
      <alignment horizontal="center" vertical="center" wrapText="1"/>
    </xf>
    <xf numFmtId="0" fontId="13" fillId="2" borderId="20" xfId="0" applyFont="1" applyFill="1" applyBorder="1" applyAlignment="1">
      <alignment horizontal="center" vertical="center"/>
    </xf>
    <xf numFmtId="0" fontId="0" fillId="0" borderId="0" xfId="0" applyAlignment="1">
      <alignment horizontal="left" vertical="top"/>
    </xf>
    <xf numFmtId="0" fontId="0" fillId="0" borderId="0" xfId="0" applyAlignment="1">
      <alignment horizontal="left" vertical="center"/>
    </xf>
    <xf numFmtId="0" fontId="2" fillId="2" borderId="4" xfId="3" applyFont="1" applyFill="1" applyBorder="1" applyAlignment="1" applyProtection="1">
      <alignment horizontal="center" vertical="center"/>
      <protection hidden="1"/>
    </xf>
    <xf numFmtId="0" fontId="0" fillId="0" borderId="0" xfId="0" applyNumberFormat="1" applyBorder="1" applyAlignment="1">
      <alignment horizontal="center" vertical="center" wrapText="1"/>
    </xf>
    <xf numFmtId="0" fontId="0" fillId="0" borderId="0" xfId="0" applyAlignment="1">
      <alignment horizontal="left" vertical="top"/>
    </xf>
    <xf numFmtId="0" fontId="13" fillId="2" borderId="20" xfId="0" applyFont="1" applyFill="1" applyBorder="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Fill="1" applyAlignment="1">
      <alignment horizontal="left" vertical="center"/>
    </xf>
    <xf numFmtId="0" fontId="0" fillId="0" borderId="0" xfId="0" applyFill="1" applyAlignment="1">
      <alignment horizontal="left" vertical="center" wrapText="1"/>
    </xf>
    <xf numFmtId="0" fontId="0" fillId="0" borderId="0" xfId="0" applyFill="1" applyAlignment="1">
      <alignment horizontal="center"/>
    </xf>
    <xf numFmtId="0" fontId="0" fillId="0" borderId="0" xfId="0" applyFill="1" applyAlignment="1">
      <alignment vertical="top"/>
    </xf>
    <xf numFmtId="0" fontId="0" fillId="0" borderId="29" xfId="0" applyBorder="1" applyAlignment="1">
      <alignment vertical="top" wrapText="1"/>
    </xf>
    <xf numFmtId="0" fontId="0" fillId="0" borderId="0" xfId="0" applyBorder="1" applyAlignment="1">
      <alignment vertical="top" wrapText="1"/>
    </xf>
    <xf numFmtId="164" fontId="2" fillId="7" borderId="24" xfId="0" applyNumberFormat="1" applyFont="1" applyFill="1" applyBorder="1" applyAlignment="1">
      <alignment horizontal="right"/>
    </xf>
    <xf numFmtId="164" fontId="2" fillId="7" borderId="34" xfId="0" applyNumberFormat="1" applyFont="1" applyFill="1" applyBorder="1" applyAlignment="1">
      <alignment horizontal="right"/>
    </xf>
    <xf numFmtId="14" fontId="0" fillId="0" borderId="0" xfId="0" applyNumberFormat="1" applyBorder="1" applyAlignment="1">
      <alignment vertical="top" wrapText="1"/>
    </xf>
    <xf numFmtId="0" fontId="0" fillId="0" borderId="0" xfId="0" applyFill="1" applyBorder="1" applyAlignment="1">
      <alignment vertical="center"/>
    </xf>
    <xf numFmtId="0" fontId="22" fillId="0" borderId="0" xfId="0" applyFont="1" applyFill="1" applyBorder="1" applyAlignment="1"/>
    <xf numFmtId="14" fontId="2" fillId="7" borderId="36" xfId="0" applyNumberFormat="1" applyFont="1" applyFill="1" applyBorder="1" applyAlignment="1" applyProtection="1">
      <alignment horizontal="center" vertical="center"/>
      <protection hidden="1"/>
    </xf>
    <xf numFmtId="0" fontId="2" fillId="7" borderId="74" xfId="0" applyFont="1" applyFill="1" applyBorder="1" applyAlignment="1" applyProtection="1">
      <alignment horizontal="center" vertical="center"/>
      <protection hidden="1"/>
    </xf>
    <xf numFmtId="14" fontId="2" fillId="7" borderId="75" xfId="0" applyNumberFormat="1" applyFont="1" applyFill="1" applyBorder="1" applyAlignment="1" applyProtection="1">
      <alignment horizontal="center" vertical="center"/>
      <protection hidden="1"/>
    </xf>
    <xf numFmtId="14" fontId="2" fillId="7" borderId="26" xfId="0" applyNumberFormat="1" applyFont="1" applyFill="1" applyBorder="1" applyAlignment="1" applyProtection="1">
      <alignment vertical="center"/>
      <protection hidden="1"/>
    </xf>
    <xf numFmtId="14" fontId="2" fillId="7" borderId="34" xfId="0" applyNumberFormat="1" applyFont="1" applyFill="1" applyBorder="1" applyAlignment="1" applyProtection="1">
      <alignment horizontal="center" vertical="center"/>
      <protection hidden="1"/>
    </xf>
    <xf numFmtId="0" fontId="0" fillId="0" borderId="0" xfId="0" applyAlignment="1">
      <alignment horizontal="left" vertical="top"/>
    </xf>
    <xf numFmtId="0" fontId="0" fillId="0" borderId="0" xfId="0" applyAlignment="1">
      <alignment horizontal="left" vertical="center"/>
    </xf>
    <xf numFmtId="0" fontId="0" fillId="0" borderId="0" xfId="0" applyAlignment="1">
      <alignment horizontal="center" vertical="center"/>
    </xf>
    <xf numFmtId="0" fontId="2" fillId="2" borderId="5" xfId="0" applyFont="1" applyFill="1" applyBorder="1" applyAlignment="1" applyProtection="1">
      <alignment horizontal="center" vertical="center"/>
      <protection locked="0"/>
    </xf>
    <xf numFmtId="164" fontId="0" fillId="0" borderId="0" xfId="0" applyNumberFormat="1" applyAlignment="1">
      <alignment horizontal="center" vertical="center"/>
    </xf>
    <xf numFmtId="0" fontId="0" fillId="0" borderId="0" xfId="0" applyBorder="1" applyAlignment="1">
      <alignment vertical="center"/>
    </xf>
    <xf numFmtId="14" fontId="0" fillId="0" borderId="0" xfId="0" applyNumberFormat="1" applyBorder="1" applyAlignment="1">
      <alignment horizontal="center" vertical="center"/>
    </xf>
    <xf numFmtId="164" fontId="0" fillId="0" borderId="0" xfId="0" applyNumberFormat="1" applyBorder="1" applyAlignment="1">
      <alignment horizontal="center" vertical="center"/>
    </xf>
    <xf numFmtId="0" fontId="19" fillId="7" borderId="0" xfId="0" applyFont="1" applyFill="1" applyBorder="1" applyAlignment="1">
      <alignment vertical="center"/>
    </xf>
    <xf numFmtId="164" fontId="19" fillId="7" borderId="0" xfId="0" applyNumberFormat="1" applyFont="1" applyFill="1" applyBorder="1" applyAlignment="1">
      <alignment vertical="center"/>
    </xf>
    <xf numFmtId="14" fontId="19" fillId="7" borderId="0" xfId="0" applyNumberFormat="1" applyFont="1" applyFill="1" applyBorder="1" applyAlignment="1">
      <alignment horizontal="center" vertical="center"/>
    </xf>
    <xf numFmtId="164" fontId="19" fillId="7" borderId="0" xfId="0" applyNumberFormat="1" applyFont="1" applyFill="1" applyBorder="1" applyAlignment="1">
      <alignment horizontal="center" vertical="center"/>
    </xf>
    <xf numFmtId="0" fontId="13" fillId="2" borderId="20" xfId="0" applyFont="1" applyFill="1" applyBorder="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19" fillId="7" borderId="20" xfId="0" applyNumberFormat="1" applyFont="1" applyFill="1" applyBorder="1" applyAlignment="1">
      <alignment horizontal="center" vertical="center" wrapText="1"/>
    </xf>
    <xf numFmtId="0" fontId="0" fillId="0" borderId="42" xfId="0" applyBorder="1" applyAlignment="1">
      <alignment horizontal="left" vertical="center"/>
    </xf>
    <xf numFmtId="164" fontId="0" fillId="0" borderId="20" xfId="0" applyNumberFormat="1" applyBorder="1" applyAlignment="1">
      <alignment horizontal="left" vertical="center"/>
    </xf>
    <xf numFmtId="164" fontId="0" fillId="0" borderId="20" xfId="0" applyNumberFormat="1" applyBorder="1" applyAlignment="1">
      <alignment vertical="center"/>
    </xf>
    <xf numFmtId="0" fontId="0" fillId="0" borderId="22" xfId="0" applyBorder="1" applyAlignment="1">
      <alignment horizontal="left" vertical="center"/>
    </xf>
    <xf numFmtId="0" fontId="0" fillId="0" borderId="25" xfId="0" applyBorder="1" applyAlignment="1">
      <alignment vertical="center"/>
    </xf>
    <xf numFmtId="0" fontId="0" fillId="0" borderId="57" xfId="0" applyBorder="1" applyAlignment="1">
      <alignment horizontal="center" vertical="center"/>
    </xf>
    <xf numFmtId="0" fontId="0" fillId="0" borderId="42" xfId="0" applyFill="1" applyBorder="1" applyAlignment="1">
      <alignment horizontal="center" vertical="center"/>
    </xf>
    <xf numFmtId="164" fontId="0" fillId="0" borderId="42" xfId="0" applyNumberFormat="1" applyBorder="1" applyAlignment="1">
      <alignment horizontal="left" vertical="center"/>
    </xf>
    <xf numFmtId="0" fontId="0" fillId="0" borderId="0" xfId="0" applyFill="1" applyBorder="1" applyAlignment="1">
      <alignment horizontal="left" vertical="center"/>
    </xf>
    <xf numFmtId="0" fontId="0" fillId="0" borderId="0" xfId="0" applyFill="1" applyBorder="1" applyAlignment="1">
      <alignment horizontal="center" vertical="center"/>
    </xf>
    <xf numFmtId="14" fontId="0" fillId="0" borderId="0" xfId="0" applyNumberFormat="1" applyFill="1" applyBorder="1" applyAlignment="1">
      <alignment horizontal="center" vertical="center"/>
    </xf>
    <xf numFmtId="164" fontId="0" fillId="0" borderId="0" xfId="0" applyNumberFormat="1" applyFill="1" applyBorder="1" applyAlignment="1">
      <alignment horizontal="left" vertical="center"/>
    </xf>
    <xf numFmtId="164" fontId="0" fillId="0" borderId="0" xfId="0" applyNumberFormat="1" applyFill="1" applyBorder="1" applyAlignment="1">
      <alignment horizontal="center" vertical="center"/>
    </xf>
    <xf numFmtId="0" fontId="13" fillId="2" borderId="8" xfId="0" applyFont="1" applyFill="1" applyBorder="1" applyAlignment="1" applyProtection="1">
      <alignment horizontal="center" vertical="center"/>
      <protection locked="0"/>
    </xf>
    <xf numFmtId="0" fontId="13" fillId="2" borderId="20" xfId="0" applyFont="1" applyFill="1" applyBorder="1" applyAlignment="1">
      <alignment horizontal="center" vertical="center"/>
    </xf>
    <xf numFmtId="0" fontId="0" fillId="0" borderId="0" xfId="0" applyNumberFormat="1" applyBorder="1" applyAlignment="1">
      <alignment horizontal="left" vertical="top" wrapText="1"/>
    </xf>
    <xf numFmtId="0" fontId="0" fillId="0" borderId="0" xfId="0" applyAlignment="1">
      <alignment horizontal="left" vertical="top"/>
    </xf>
    <xf numFmtId="0" fontId="0" fillId="0" borderId="0" xfId="0" applyNumberFormat="1" applyBorder="1" applyAlignment="1">
      <alignment horizontal="center" vertical="center" wrapText="1"/>
    </xf>
    <xf numFmtId="0" fontId="0" fillId="0" borderId="29" xfId="0" applyBorder="1" applyAlignment="1">
      <alignment horizontal="center" vertical="center" wrapText="1"/>
    </xf>
    <xf numFmtId="0" fontId="0" fillId="0" borderId="0" xfId="0" applyAlignment="1">
      <alignment horizontal="left" vertical="center"/>
    </xf>
    <xf numFmtId="0" fontId="0" fillId="0" borderId="0" xfId="0" applyAlignment="1">
      <alignment horizontal="center" vertical="center"/>
    </xf>
    <xf numFmtId="0" fontId="13" fillId="7" borderId="23" xfId="0" applyFont="1" applyFill="1" applyBorder="1" applyAlignment="1">
      <alignment horizontal="center" vertical="center"/>
    </xf>
    <xf numFmtId="0" fontId="2" fillId="2" borderId="44" xfId="3" applyFont="1" applyFill="1" applyBorder="1" applyAlignment="1" applyProtection="1">
      <alignment horizontal="left" vertical="center"/>
      <protection hidden="1"/>
    </xf>
    <xf numFmtId="0" fontId="13" fillId="7" borderId="20" xfId="0" applyFont="1" applyFill="1" applyBorder="1" applyAlignment="1">
      <alignment horizontal="center" vertical="center"/>
    </xf>
    <xf numFmtId="164" fontId="13" fillId="7" borderId="20" xfId="0" applyNumberFormat="1" applyFont="1" applyFill="1" applyBorder="1" applyAlignment="1">
      <alignment horizontal="center" vertical="center"/>
    </xf>
    <xf numFmtId="0" fontId="13" fillId="2" borderId="20" xfId="0" applyFont="1" applyFill="1" applyBorder="1" applyAlignment="1">
      <alignment horizontal="center" vertical="center"/>
    </xf>
    <xf numFmtId="0" fontId="0" fillId="0" borderId="29" xfId="0" applyNumberFormat="1" applyBorder="1" applyAlignment="1">
      <alignment horizontal="center" vertical="center" wrapText="1"/>
    </xf>
    <xf numFmtId="0" fontId="13" fillId="2" borderId="42" xfId="0" applyFont="1" applyFill="1" applyBorder="1" applyAlignment="1">
      <alignment horizontal="center" vertical="center"/>
    </xf>
    <xf numFmtId="0" fontId="0" fillId="0" borderId="0" xfId="0" applyNumberFormat="1" applyBorder="1" applyAlignment="1">
      <alignment horizontal="center" vertical="center" wrapText="1"/>
    </xf>
    <xf numFmtId="14" fontId="0" fillId="0" borderId="29" xfId="0" applyNumberFormat="1" applyBorder="1" applyAlignment="1">
      <alignment horizontal="center" vertical="center" wrapText="1"/>
    </xf>
    <xf numFmtId="0" fontId="0" fillId="0" borderId="29" xfId="0" applyBorder="1" applyAlignment="1">
      <alignment horizontal="center" vertical="center" wrapText="1"/>
    </xf>
    <xf numFmtId="0" fontId="0" fillId="0" borderId="0" xfId="0" applyAlignment="1">
      <alignment horizontal="left" vertical="center"/>
    </xf>
    <xf numFmtId="0" fontId="0" fillId="0" borderId="0" xfId="0" applyAlignment="1">
      <alignment horizontal="center" vertical="center"/>
    </xf>
    <xf numFmtId="0" fontId="0" fillId="0" borderId="0" xfId="0" applyBorder="1" applyAlignment="1">
      <alignment horizontal="center" vertical="center" wrapText="1"/>
    </xf>
    <xf numFmtId="14" fontId="0" fillId="0" borderId="0" xfId="0" applyNumberFormat="1" applyBorder="1" applyAlignment="1">
      <alignment horizontal="center" vertical="center" wrapText="1"/>
    </xf>
    <xf numFmtId="164" fontId="0" fillId="0" borderId="29" xfId="0" applyNumberFormat="1" applyBorder="1" applyAlignment="1">
      <alignment horizontal="center" vertical="center" wrapText="1"/>
    </xf>
    <xf numFmtId="0" fontId="0" fillId="0" borderId="29" xfId="0" applyNumberFormat="1" applyBorder="1" applyAlignment="1">
      <alignment vertical="top" wrapText="1"/>
    </xf>
    <xf numFmtId="0" fontId="0" fillId="0" borderId="0" xfId="0" applyNumberFormat="1" applyBorder="1" applyAlignment="1">
      <alignment vertical="center" wrapText="1"/>
    </xf>
    <xf numFmtId="0" fontId="19" fillId="0" borderId="0" xfId="0" applyFont="1" applyFill="1" applyBorder="1" applyAlignment="1">
      <alignment horizontal="left" vertical="center"/>
    </xf>
    <xf numFmtId="0" fontId="22" fillId="0" borderId="0" xfId="0" applyFont="1" applyFill="1" applyBorder="1" applyAlignment="1">
      <alignment horizontal="left" vertical="center"/>
    </xf>
    <xf numFmtId="0" fontId="3" fillId="0" borderId="0" xfId="0" applyNumberFormat="1" applyFont="1" applyBorder="1" applyAlignment="1">
      <alignment vertical="center" wrapText="1"/>
    </xf>
    <xf numFmtId="0" fontId="0" fillId="0" borderId="29" xfId="0" applyNumberFormat="1" applyFont="1" applyBorder="1" applyAlignment="1">
      <alignment horizontal="center" vertical="center" wrapText="1"/>
    </xf>
    <xf numFmtId="0" fontId="0" fillId="0" borderId="0" xfId="0" applyNumberFormat="1" applyFont="1" applyBorder="1" applyAlignment="1">
      <alignment horizontal="center" vertical="center" wrapText="1"/>
    </xf>
    <xf numFmtId="0" fontId="0" fillId="0" borderId="0" xfId="0" applyBorder="1" applyAlignment="1">
      <alignment vertical="center" wrapText="1"/>
    </xf>
    <xf numFmtId="0" fontId="0" fillId="0" borderId="0" xfId="0" applyAlignment="1">
      <alignment horizontal="left" vertical="center"/>
    </xf>
    <xf numFmtId="0" fontId="0" fillId="0" borderId="0" xfId="0" applyAlignment="1">
      <alignment horizontal="center" vertical="center"/>
    </xf>
    <xf numFmtId="14" fontId="0" fillId="0" borderId="0" xfId="0" applyNumberFormat="1" applyBorder="1" applyAlignment="1">
      <alignment vertical="center" wrapText="1"/>
    </xf>
    <xf numFmtId="164" fontId="0" fillId="0" borderId="29" xfId="0" applyNumberFormat="1" applyBorder="1" applyAlignment="1">
      <alignment vertical="center" wrapText="1"/>
    </xf>
    <xf numFmtId="164" fontId="0" fillId="0" borderId="0" xfId="0" applyNumberFormat="1" applyBorder="1" applyAlignment="1">
      <alignment vertical="center" wrapText="1"/>
    </xf>
    <xf numFmtId="0" fontId="0" fillId="0" borderId="29" xfId="0" applyBorder="1" applyAlignment="1">
      <alignment vertical="center" wrapText="1"/>
    </xf>
    <xf numFmtId="0" fontId="19" fillId="7" borderId="18" xfId="0" applyFont="1" applyFill="1" applyBorder="1" applyAlignment="1">
      <alignment horizontal="center" vertical="center" wrapText="1"/>
    </xf>
    <xf numFmtId="14" fontId="19" fillId="7" borderId="38" xfId="0" applyNumberFormat="1" applyFont="1" applyFill="1" applyBorder="1" applyAlignment="1">
      <alignment horizontal="center" vertical="center"/>
    </xf>
    <xf numFmtId="0" fontId="19" fillId="7" borderId="38" xfId="0" applyFont="1" applyFill="1" applyBorder="1" applyAlignment="1">
      <alignment horizontal="center" vertical="center"/>
    </xf>
    <xf numFmtId="164" fontId="19" fillId="7" borderId="38" xfId="0" applyNumberFormat="1" applyFont="1" applyFill="1" applyBorder="1" applyAlignment="1">
      <alignment horizontal="center"/>
    </xf>
    <xf numFmtId="164" fontId="19" fillId="7" borderId="19" xfId="0" applyNumberFormat="1" applyFont="1" applyFill="1" applyBorder="1" applyAlignment="1">
      <alignment horizontal="center"/>
    </xf>
    <xf numFmtId="0" fontId="19" fillId="7" borderId="18" xfId="0" applyFont="1" applyFill="1" applyBorder="1" applyAlignment="1">
      <alignment vertical="center" wrapText="1"/>
    </xf>
    <xf numFmtId="0" fontId="19" fillId="7" borderId="18" xfId="0" applyFont="1" applyFill="1" applyBorder="1"/>
    <xf numFmtId="0" fontId="19" fillId="7" borderId="38" xfId="0" applyFont="1" applyFill="1" applyBorder="1"/>
    <xf numFmtId="0" fontId="19" fillId="7" borderId="19" xfId="0" applyFont="1" applyFill="1" applyBorder="1"/>
    <xf numFmtId="14" fontId="19" fillId="7" borderId="18" xfId="0" applyNumberFormat="1" applyFont="1" applyFill="1" applyBorder="1" applyAlignment="1">
      <alignment horizontal="center"/>
    </xf>
    <xf numFmtId="0" fontId="19" fillId="7" borderId="38" xfId="0" applyFont="1" applyFill="1" applyBorder="1" applyAlignment="1">
      <alignment horizontal="center"/>
    </xf>
    <xf numFmtId="0" fontId="19" fillId="7" borderId="19" xfId="0" applyFont="1" applyFill="1" applyBorder="1" applyAlignment="1">
      <alignment horizontal="center"/>
    </xf>
    <xf numFmtId="0" fontId="19" fillId="7" borderId="18" xfId="0" applyFont="1" applyFill="1" applyBorder="1" applyAlignment="1">
      <alignment horizontal="left" vertical="center"/>
    </xf>
    <xf numFmtId="0" fontId="19" fillId="7" borderId="38" xfId="0" applyFont="1" applyFill="1" applyBorder="1" applyAlignment="1">
      <alignment horizontal="left" vertical="center"/>
    </xf>
    <xf numFmtId="0" fontId="19" fillId="7" borderId="19" xfId="0" applyFont="1" applyFill="1" applyBorder="1" applyAlignment="1">
      <alignment horizontal="left" vertical="center"/>
    </xf>
    <xf numFmtId="164" fontId="19" fillId="7" borderId="22" xfId="0" applyNumberFormat="1" applyFont="1" applyFill="1" applyBorder="1" applyAlignment="1">
      <alignment horizontal="center" vertical="center" wrapText="1"/>
    </xf>
    <xf numFmtId="0" fontId="19" fillId="7" borderId="23" xfId="0" applyFont="1" applyFill="1" applyBorder="1" applyAlignment="1">
      <alignment vertical="center" wrapText="1"/>
    </xf>
    <xf numFmtId="164" fontId="19" fillId="7" borderId="25" xfId="0" applyNumberFormat="1" applyFont="1" applyFill="1" applyBorder="1" applyAlignment="1">
      <alignment horizontal="center" vertical="center" wrapText="1"/>
    </xf>
    <xf numFmtId="14" fontId="19" fillId="7" borderId="24" xfId="0" applyNumberFormat="1" applyFont="1" applyFill="1" applyBorder="1" applyAlignment="1">
      <alignment horizontal="center" vertical="center"/>
    </xf>
    <xf numFmtId="0" fontId="19" fillId="7" borderId="24" xfId="0" applyFont="1" applyFill="1" applyBorder="1" applyAlignment="1">
      <alignment horizontal="center" vertical="center"/>
    </xf>
    <xf numFmtId="164" fontId="19" fillId="7" borderId="24" xfId="0" applyNumberFormat="1" applyFont="1" applyFill="1" applyBorder="1" applyAlignment="1">
      <alignment horizontal="center"/>
    </xf>
    <xf numFmtId="164" fontId="19" fillId="7" borderId="26" xfId="0" applyNumberFormat="1" applyFont="1" applyFill="1" applyBorder="1" applyAlignment="1">
      <alignment horizontal="center" vertical="center" wrapText="1"/>
    </xf>
    <xf numFmtId="164" fontId="19" fillId="7" borderId="34" xfId="0" applyNumberFormat="1" applyFont="1" applyFill="1" applyBorder="1" applyAlignment="1">
      <alignment horizontal="center"/>
    </xf>
    <xf numFmtId="0" fontId="0" fillId="0" borderId="0" xfId="0" applyFont="1" applyAlignment="1">
      <alignment horizontal="center"/>
    </xf>
    <xf numFmtId="14" fontId="19" fillId="7" borderId="18" xfId="0" applyNumberFormat="1" applyFont="1" applyFill="1" applyBorder="1" applyAlignment="1">
      <alignment horizontal="center" vertical="center" wrapText="1"/>
    </xf>
    <xf numFmtId="14" fontId="19" fillId="7" borderId="38" xfId="0" applyNumberFormat="1" applyFont="1" applyFill="1" applyBorder="1" applyAlignment="1">
      <alignment horizontal="center" vertical="center" wrapText="1"/>
    </xf>
    <xf numFmtId="14" fontId="19" fillId="7" borderId="19" xfId="0" applyNumberFormat="1" applyFont="1" applyFill="1" applyBorder="1" applyAlignment="1">
      <alignment horizontal="center" vertical="center" wrapText="1"/>
    </xf>
    <xf numFmtId="0" fontId="19" fillId="7" borderId="18" xfId="0" applyFont="1" applyFill="1" applyBorder="1" applyAlignment="1">
      <alignment vertical="top" wrapText="1"/>
    </xf>
    <xf numFmtId="0" fontId="19" fillId="7" borderId="38" xfId="0" applyFont="1" applyFill="1" applyBorder="1" applyAlignment="1">
      <alignment vertical="top" wrapText="1"/>
    </xf>
    <xf numFmtId="0" fontId="19" fillId="7" borderId="19" xfId="0" applyFont="1" applyFill="1" applyBorder="1" applyAlignment="1">
      <alignment vertical="top" wrapText="1"/>
    </xf>
    <xf numFmtId="0" fontId="0" fillId="0" borderId="0" xfId="0" applyNumberFormat="1" applyAlignment="1">
      <alignment vertical="center" wrapText="1"/>
    </xf>
    <xf numFmtId="0" fontId="36" fillId="2" borderId="42" xfId="0" applyFont="1" applyFill="1" applyBorder="1" applyAlignment="1">
      <alignment horizontal="center" vertical="center"/>
    </xf>
    <xf numFmtId="0" fontId="19" fillId="7" borderId="36" xfId="0" applyFont="1" applyFill="1" applyBorder="1" applyAlignment="1">
      <alignment horizontal="center" vertical="center" wrapText="1"/>
    </xf>
    <xf numFmtId="0" fontId="36" fillId="2" borderId="46" xfId="0" applyFont="1" applyFill="1" applyBorder="1" applyAlignment="1">
      <alignment horizontal="center" vertical="center"/>
    </xf>
    <xf numFmtId="0" fontId="19" fillId="2" borderId="36" xfId="0" applyFont="1" applyFill="1" applyBorder="1" applyAlignment="1">
      <alignment horizontal="center" vertical="center"/>
    </xf>
    <xf numFmtId="14" fontId="19" fillId="7" borderId="55" xfId="0" applyNumberFormat="1" applyFont="1" applyFill="1" applyBorder="1" applyAlignment="1">
      <alignment horizontal="center" vertical="center" wrapText="1"/>
    </xf>
    <xf numFmtId="0" fontId="0" fillId="0" borderId="0" xfId="0" applyAlignment="1">
      <alignment horizontal="center" vertical="center"/>
    </xf>
    <xf numFmtId="14" fontId="0" fillId="0" borderId="0" xfId="0" applyNumberFormat="1" applyAlignment="1">
      <alignment horizontal="center" vertical="center"/>
    </xf>
    <xf numFmtId="14" fontId="0" fillId="0" borderId="2" xfId="0" applyNumberFormat="1" applyBorder="1" applyAlignment="1">
      <alignment horizontal="center"/>
    </xf>
    <xf numFmtId="14" fontId="0" fillId="0" borderId="4" xfId="0" applyNumberFormat="1" applyBorder="1" applyAlignment="1">
      <alignment horizontal="center"/>
    </xf>
    <xf numFmtId="14" fontId="0" fillId="0" borderId="1" xfId="0" applyNumberFormat="1" applyBorder="1" applyAlignment="1">
      <alignment horizontal="center"/>
    </xf>
    <xf numFmtId="0" fontId="22" fillId="0" borderId="51" xfId="0" applyFont="1" applyFill="1" applyBorder="1" applyAlignment="1">
      <alignment horizontal="left"/>
    </xf>
    <xf numFmtId="0" fontId="22" fillId="0" borderId="20" xfId="0" applyFont="1" applyFill="1" applyBorder="1" applyAlignment="1">
      <alignment horizontal="left"/>
    </xf>
    <xf numFmtId="0" fontId="22" fillId="0" borderId="0" xfId="0" applyFont="1" applyAlignment="1">
      <alignment horizontal="left"/>
    </xf>
    <xf numFmtId="14" fontId="22" fillId="0" borderId="20" xfId="0" applyNumberFormat="1" applyFont="1" applyFill="1" applyBorder="1" applyAlignment="1">
      <alignment horizontal="left"/>
    </xf>
    <xf numFmtId="0" fontId="2" fillId="2" borderId="4"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protection locked="0"/>
    </xf>
    <xf numFmtId="0" fontId="19" fillId="7" borderId="20" xfId="0" applyFont="1" applyFill="1" applyBorder="1" applyAlignment="1">
      <alignment horizontal="center" vertical="center"/>
    </xf>
    <xf numFmtId="14" fontId="0" fillId="0" borderId="0" xfId="0" applyNumberFormat="1" applyBorder="1" applyAlignment="1">
      <alignment horizontal="center" vertical="center" wrapText="1"/>
    </xf>
    <xf numFmtId="0" fontId="0" fillId="0" borderId="0" xfId="0" applyAlignment="1">
      <alignment horizontal="center" vertical="center"/>
    </xf>
    <xf numFmtId="0" fontId="19" fillId="7" borderId="20" xfId="0" applyFont="1" applyFill="1" applyBorder="1" applyAlignment="1">
      <alignment horizontal="center"/>
    </xf>
    <xf numFmtId="0" fontId="19" fillId="7" borderId="51" xfId="0" applyFont="1" applyFill="1" applyBorder="1" applyAlignment="1">
      <alignment horizontal="center" vertical="center"/>
    </xf>
    <xf numFmtId="0" fontId="0" fillId="0" borderId="0" xfId="0" applyAlignment="1">
      <alignment horizontal="center" vertical="center"/>
    </xf>
    <xf numFmtId="0" fontId="19" fillId="7" borderId="27" xfId="0" applyFont="1" applyFill="1" applyBorder="1"/>
    <xf numFmtId="14" fontId="19" fillId="7" borderId="51" xfId="0" applyNumberFormat="1" applyFont="1" applyFill="1" applyBorder="1" applyAlignment="1">
      <alignment horizontal="center" vertical="center"/>
    </xf>
    <xf numFmtId="14" fontId="19" fillId="7" borderId="52" xfId="0" applyNumberFormat="1" applyFont="1" applyFill="1" applyBorder="1" applyAlignment="1">
      <alignment horizontal="center" vertical="center"/>
    </xf>
    <xf numFmtId="0" fontId="19" fillId="7" borderId="55" xfId="0" applyFont="1" applyFill="1" applyBorder="1"/>
    <xf numFmtId="0" fontId="19" fillId="7" borderId="36" xfId="0" applyFont="1" applyFill="1" applyBorder="1"/>
    <xf numFmtId="0" fontId="19" fillId="7" borderId="37" xfId="0" applyFont="1" applyFill="1" applyBorder="1"/>
    <xf numFmtId="0" fontId="2" fillId="2" borderId="35" xfId="0" applyFont="1" applyFill="1" applyBorder="1" applyAlignment="1" applyProtection="1">
      <alignment horizontal="center" vertical="center"/>
      <protection locked="0"/>
    </xf>
    <xf numFmtId="0" fontId="2" fillId="2" borderId="40" xfId="0" applyFont="1" applyFill="1" applyBorder="1" applyAlignment="1" applyProtection="1">
      <alignment horizontal="center" vertical="center"/>
      <protection locked="0"/>
    </xf>
    <xf numFmtId="0" fontId="2" fillId="2" borderId="38" xfId="0" applyFont="1" applyFill="1" applyBorder="1" applyAlignment="1">
      <alignment horizontal="center" vertical="center"/>
    </xf>
    <xf numFmtId="0" fontId="2" fillId="2" borderId="19" xfId="0" applyFont="1" applyFill="1" applyBorder="1" applyAlignment="1">
      <alignment horizontal="center" vertical="center"/>
    </xf>
    <xf numFmtId="0" fontId="2" fillId="2" borderId="76" xfId="0" applyFont="1" applyFill="1" applyBorder="1" applyAlignment="1" applyProtection="1">
      <alignment horizontal="center" vertical="center"/>
      <protection locked="0"/>
    </xf>
    <xf numFmtId="0" fontId="2" fillId="2" borderId="50" xfId="0" applyFont="1" applyFill="1" applyBorder="1" applyAlignment="1">
      <alignment horizontal="center" vertical="center"/>
    </xf>
    <xf numFmtId="14" fontId="19" fillId="7" borderId="20" xfId="0" applyNumberFormat="1" applyFont="1" applyFill="1" applyBorder="1" applyAlignment="1">
      <alignment horizontal="center"/>
    </xf>
    <xf numFmtId="14" fontId="19" fillId="7" borderId="24" xfId="0" applyNumberFormat="1" applyFont="1" applyFill="1" applyBorder="1" applyAlignment="1">
      <alignment horizontal="center"/>
    </xf>
    <xf numFmtId="0" fontId="19" fillId="7" borderId="24" xfId="0" applyFont="1" applyFill="1" applyBorder="1" applyAlignment="1">
      <alignment horizontal="center"/>
    </xf>
    <xf numFmtId="0" fontId="19" fillId="7" borderId="27" xfId="0" applyFont="1" applyFill="1" applyBorder="1" applyAlignment="1">
      <alignment horizontal="center"/>
    </xf>
    <xf numFmtId="0" fontId="19" fillId="7" borderId="34" xfId="0" applyFont="1" applyFill="1" applyBorder="1" applyAlignment="1">
      <alignment horizontal="center"/>
    </xf>
    <xf numFmtId="14" fontId="0" fillId="0" borderId="0" xfId="0" applyNumberFormat="1" applyFill="1" applyBorder="1" applyAlignment="1">
      <alignment horizontal="center" vertical="center" wrapText="1"/>
    </xf>
    <xf numFmtId="0" fontId="0" fillId="0" borderId="0" xfId="0" applyAlignment="1">
      <alignment horizontal="left" vertical="center"/>
    </xf>
    <xf numFmtId="0" fontId="0" fillId="0" borderId="0" xfId="0" applyAlignment="1">
      <alignment horizontal="center" vertical="center"/>
    </xf>
    <xf numFmtId="0" fontId="3" fillId="0" borderId="6" xfId="0" applyFont="1" applyBorder="1" applyAlignment="1">
      <alignment horizontal="center" vertical="center"/>
    </xf>
    <xf numFmtId="164" fontId="3" fillId="0" borderId="0" xfId="0" applyNumberFormat="1" applyFont="1"/>
    <xf numFmtId="164" fontId="3" fillId="0" borderId="6" xfId="2" applyNumberFormat="1" applyFont="1" applyBorder="1" applyAlignment="1" applyProtection="1">
      <alignment horizontal="right" vertical="center"/>
      <protection locked="0"/>
    </xf>
    <xf numFmtId="14" fontId="2" fillId="7" borderId="23" xfId="2" applyNumberFormat="1" applyFont="1" applyFill="1" applyBorder="1" applyAlignment="1" applyProtection="1">
      <alignment horizontal="center" vertical="center"/>
      <protection hidden="1"/>
    </xf>
    <xf numFmtId="49" fontId="2" fillId="7" borderId="24" xfId="2" applyNumberFormat="1" applyFont="1" applyFill="1" applyBorder="1" applyAlignment="1" applyProtection="1">
      <alignment horizontal="center" vertical="center"/>
      <protection hidden="1"/>
    </xf>
    <xf numFmtId="0" fontId="2" fillId="7" borderId="24" xfId="2" applyNumberFormat="1" applyFont="1" applyFill="1" applyBorder="1" applyAlignment="1" applyProtection="1">
      <alignment horizontal="center" vertical="center"/>
      <protection hidden="1"/>
    </xf>
    <xf numFmtId="164" fontId="2" fillId="7" borderId="24" xfId="2" applyNumberFormat="1" applyFont="1" applyFill="1" applyBorder="1" applyAlignment="1" applyProtection="1">
      <alignment horizontal="center" vertical="center"/>
      <protection hidden="1"/>
    </xf>
    <xf numFmtId="164" fontId="2" fillId="7" borderId="34" xfId="2" applyNumberFormat="1" applyFont="1" applyFill="1" applyBorder="1" applyAlignment="1" applyProtection="1">
      <alignment horizontal="center" vertical="center"/>
      <protection hidden="1"/>
    </xf>
    <xf numFmtId="0" fontId="0" fillId="0" borderId="29" xfId="0" applyNumberFormat="1" applyBorder="1" applyAlignment="1">
      <alignment horizontal="left" vertical="top" wrapText="1"/>
    </xf>
    <xf numFmtId="14" fontId="0" fillId="0" borderId="2" xfId="0" applyNumberFormat="1" applyBorder="1" applyAlignment="1">
      <alignment horizontal="center"/>
    </xf>
    <xf numFmtId="14" fontId="0" fillId="0" borderId="4" xfId="0" applyNumberFormat="1" applyBorder="1" applyAlignment="1">
      <alignment horizontal="center"/>
    </xf>
    <xf numFmtId="14" fontId="0" fillId="0" borderId="1" xfId="0" applyNumberFormat="1" applyBorder="1" applyAlignment="1">
      <alignment horizontal="center"/>
    </xf>
    <xf numFmtId="0" fontId="0" fillId="0" borderId="0" xfId="0" quotePrefix="1"/>
    <xf numFmtId="0" fontId="0" fillId="0" borderId="0" xfId="0" applyAlignment="1">
      <alignment horizontal="left" vertical="center"/>
    </xf>
    <xf numFmtId="14" fontId="0" fillId="0" borderId="4" xfId="0" applyNumberFormat="1" applyBorder="1" applyAlignment="1">
      <alignment horizontal="center"/>
    </xf>
    <xf numFmtId="14" fontId="0" fillId="0" borderId="2" xfId="0" applyNumberFormat="1" applyBorder="1" applyAlignment="1">
      <alignment horizontal="center"/>
    </xf>
    <xf numFmtId="14" fontId="0" fillId="0" borderId="1" xfId="0" applyNumberFormat="1" applyBorder="1" applyAlignment="1">
      <alignment horizontal="center"/>
    </xf>
    <xf numFmtId="49" fontId="3" fillId="6" borderId="4" xfId="4" applyNumberFormat="1" applyFont="1" applyFill="1" applyBorder="1" applyAlignment="1">
      <alignment horizontal="center" vertical="center" wrapText="1"/>
    </xf>
    <xf numFmtId="49" fontId="8" fillId="0" borderId="6" xfId="4" applyNumberFormat="1" applyBorder="1" applyAlignment="1">
      <alignment horizontal="center" vertical="center"/>
    </xf>
    <xf numFmtId="49" fontId="8" fillId="0" borderId="0" xfId="4" applyNumberFormat="1" applyAlignment="1">
      <alignment horizontal="center" vertical="center"/>
    </xf>
    <xf numFmtId="0" fontId="0" fillId="0" borderId="20" xfId="0" applyNumberFormat="1" applyBorder="1" applyAlignment="1">
      <alignment horizontal="left" vertical="top"/>
    </xf>
    <xf numFmtId="14" fontId="2" fillId="2" borderId="38" xfId="3" applyNumberFormat="1" applyFont="1" applyFill="1" applyBorder="1" applyAlignment="1" applyProtection="1">
      <alignment horizontal="left" vertical="center"/>
      <protection hidden="1"/>
    </xf>
    <xf numFmtId="0" fontId="13" fillId="2" borderId="42" xfId="0" applyFont="1" applyFill="1" applyBorder="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14" fontId="0" fillId="0" borderId="0" xfId="0" applyNumberFormat="1" applyBorder="1" applyAlignment="1">
      <alignment horizontal="center" vertical="center" wrapText="1"/>
    </xf>
    <xf numFmtId="0" fontId="0" fillId="0" borderId="0" xfId="0" applyAlignment="1">
      <alignment horizontal="center" vertical="center"/>
    </xf>
    <xf numFmtId="0" fontId="2" fillId="2" borderId="4" xfId="0" applyFont="1" applyFill="1" applyBorder="1" applyAlignment="1" applyProtection="1">
      <alignment horizontal="center" vertical="center"/>
      <protection locked="0"/>
    </xf>
    <xf numFmtId="0" fontId="19" fillId="7" borderId="20" xfId="0" applyFont="1" applyFill="1" applyBorder="1" applyAlignment="1">
      <alignment horizontal="center" vertical="center"/>
    </xf>
    <xf numFmtId="14" fontId="0" fillId="0" borderId="0" xfId="0" applyNumberFormat="1" applyBorder="1" applyAlignment="1">
      <alignment horizontal="center" vertical="center" wrapText="1"/>
    </xf>
    <xf numFmtId="0" fontId="0" fillId="0" borderId="0" xfId="0" applyAlignment="1">
      <alignment horizontal="left" vertical="center"/>
    </xf>
    <xf numFmtId="0" fontId="0" fillId="0" borderId="0" xfId="0" applyAlignment="1">
      <alignment horizontal="center" vertical="center"/>
    </xf>
    <xf numFmtId="0" fontId="0" fillId="0" borderId="29" xfId="0" applyNumberFormat="1" applyBorder="1" applyAlignment="1">
      <alignment horizontal="center" vertical="center" wrapText="1"/>
    </xf>
    <xf numFmtId="0" fontId="13" fillId="2" borderId="20" xfId="0" applyFont="1" applyFill="1" applyBorder="1" applyAlignment="1">
      <alignment horizontal="center" vertical="center"/>
    </xf>
    <xf numFmtId="14" fontId="0" fillId="0" borderId="0" xfId="0" applyNumberFormat="1" applyBorder="1" applyAlignment="1">
      <alignment horizontal="center" vertical="center" wrapText="1"/>
    </xf>
    <xf numFmtId="0" fontId="0" fillId="0" borderId="0" xfId="0" applyNumberFormat="1" applyAlignment="1">
      <alignment horizontal="center" vertical="center" wrapText="1"/>
    </xf>
    <xf numFmtId="0" fontId="0" fillId="0" borderId="0" xfId="0" applyAlignment="1">
      <alignment horizontal="left" vertical="center"/>
    </xf>
    <xf numFmtId="0" fontId="0" fillId="0" borderId="0" xfId="0" applyAlignment="1">
      <alignment horizontal="center" vertical="center"/>
    </xf>
    <xf numFmtId="14" fontId="19" fillId="7" borderId="27" xfId="0" applyNumberFormat="1" applyFont="1" applyFill="1" applyBorder="1" applyAlignment="1">
      <alignment horizontal="center" vertical="center"/>
    </xf>
    <xf numFmtId="0" fontId="19" fillId="7" borderId="27" xfId="0" applyFont="1" applyFill="1" applyBorder="1" applyAlignment="1">
      <alignment horizontal="center" vertical="center"/>
    </xf>
    <xf numFmtId="164" fontId="19" fillId="7" borderId="27" xfId="0" applyNumberFormat="1" applyFont="1" applyFill="1" applyBorder="1" applyAlignment="1">
      <alignment horizontal="right" vertical="center"/>
    </xf>
    <xf numFmtId="14" fontId="19" fillId="7" borderId="6" xfId="0" applyNumberFormat="1" applyFont="1" applyFill="1" applyBorder="1" applyAlignment="1">
      <alignment horizontal="center" vertical="center"/>
    </xf>
    <xf numFmtId="0" fontId="19" fillId="7" borderId="6" xfId="0" applyFont="1" applyFill="1" applyBorder="1" applyAlignment="1">
      <alignment horizontal="center" vertical="center"/>
    </xf>
    <xf numFmtId="164" fontId="19" fillId="7" borderId="6" xfId="0" applyNumberFormat="1" applyFont="1" applyFill="1" applyBorder="1" applyAlignment="1">
      <alignment horizontal="right" vertical="center"/>
    </xf>
    <xf numFmtId="0" fontId="19" fillId="7" borderId="22" xfId="0" applyFont="1" applyFill="1" applyBorder="1" applyAlignment="1">
      <alignment horizontal="left" vertical="center"/>
    </xf>
    <xf numFmtId="164" fontId="19" fillId="7" borderId="23" xfId="0" applyNumberFormat="1" applyFont="1" applyFill="1" applyBorder="1"/>
    <xf numFmtId="0" fontId="19" fillId="7" borderId="25" xfId="0" applyFont="1" applyFill="1" applyBorder="1" applyAlignment="1">
      <alignment horizontal="left" vertical="center"/>
    </xf>
    <xf numFmtId="164" fontId="19" fillId="7" borderId="24" xfId="0" applyNumberFormat="1" applyFont="1" applyFill="1" applyBorder="1"/>
    <xf numFmtId="0" fontId="19" fillId="7" borderId="26" xfId="0" applyFont="1" applyFill="1" applyBorder="1" applyAlignment="1">
      <alignment horizontal="left" vertical="center"/>
    </xf>
    <xf numFmtId="164" fontId="19" fillId="7" borderId="34" xfId="0" applyNumberFormat="1" applyFont="1" applyFill="1" applyBorder="1"/>
    <xf numFmtId="164" fontId="19" fillId="7" borderId="6" xfId="0" applyNumberFormat="1" applyFont="1" applyFill="1" applyBorder="1"/>
    <xf numFmtId="164" fontId="19" fillId="7" borderId="20" xfId="0" applyNumberFormat="1" applyFont="1" applyFill="1" applyBorder="1"/>
    <xf numFmtId="164" fontId="19" fillId="7" borderId="27" xfId="0" applyNumberFormat="1" applyFont="1" applyFill="1" applyBorder="1"/>
    <xf numFmtId="0" fontId="0" fillId="0" borderId="29" xfId="0" applyBorder="1" applyAlignment="1">
      <alignment vertical="top"/>
    </xf>
    <xf numFmtId="0" fontId="0" fillId="5" borderId="0" xfId="0" applyFill="1" applyAlignment="1">
      <alignment horizontal="center" vertical="center"/>
    </xf>
    <xf numFmtId="164" fontId="19" fillId="7" borderId="20" xfId="0" applyNumberFormat="1" applyFont="1" applyFill="1" applyBorder="1" applyAlignment="1">
      <alignment horizontal="right" vertical="center"/>
    </xf>
    <xf numFmtId="0" fontId="0" fillId="0" borderId="0" xfId="0" applyAlignment="1">
      <alignment horizontal="center" vertical="center"/>
    </xf>
    <xf numFmtId="14" fontId="0" fillId="0" borderId="0" xfId="0" applyNumberFormat="1" applyAlignment="1">
      <alignment vertical="center" wrapText="1"/>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left" vertical="top"/>
    </xf>
    <xf numFmtId="0" fontId="0" fillId="0" borderId="0" xfId="0" applyNumberFormat="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xf>
    <xf numFmtId="0" fontId="0" fillId="0" borderId="0" xfId="0" applyBorder="1" applyAlignment="1">
      <alignment horizontal="center" vertical="center" wrapText="1"/>
    </xf>
    <xf numFmtId="0" fontId="0" fillId="0" borderId="0" xfId="0" applyAlignment="1">
      <alignment horizontal="left" vertical="top"/>
    </xf>
    <xf numFmtId="14" fontId="0" fillId="0" borderId="0" xfId="0" applyNumberFormat="1" applyBorder="1" applyAlignment="1">
      <alignment horizontal="center" vertical="center" wrapText="1"/>
    </xf>
    <xf numFmtId="0" fontId="19" fillId="7" borderId="23" xfId="0" applyFont="1" applyFill="1" applyBorder="1" applyAlignment="1">
      <alignment horizontal="center" vertical="center" wrapText="1"/>
    </xf>
    <xf numFmtId="0" fontId="0" fillId="0" borderId="20" xfId="0" applyBorder="1" applyAlignment="1">
      <alignment horizontal="left" vertical="top" wrapText="1"/>
    </xf>
    <xf numFmtId="14" fontId="0" fillId="0" borderId="51" xfId="0" applyNumberFormat="1" applyBorder="1" applyAlignment="1">
      <alignment horizontal="left" vertical="top" wrapText="1"/>
    </xf>
    <xf numFmtId="0" fontId="2" fillId="2" borderId="0" xfId="0" applyFont="1" applyFill="1" applyBorder="1" applyAlignment="1">
      <alignment horizontal="center" vertical="center" wrapText="1"/>
    </xf>
    <xf numFmtId="14" fontId="37" fillId="0" borderId="0" xfId="0" applyNumberFormat="1" applyFont="1" applyBorder="1" applyAlignment="1">
      <alignment horizontal="center" vertical="center" wrapText="1"/>
    </xf>
    <xf numFmtId="0" fontId="37" fillId="0" borderId="0" xfId="0" applyFont="1" applyBorder="1" applyAlignment="1">
      <alignment horizontal="center" vertical="center" wrapText="1"/>
    </xf>
    <xf numFmtId="0" fontId="20" fillId="0" borderId="0" xfId="0" applyFont="1" applyBorder="1" applyAlignment="1">
      <alignment horizontal="center" vertical="center" wrapText="1"/>
    </xf>
    <xf numFmtId="0" fontId="0" fillId="0" borderId="51" xfId="0" applyNumberFormat="1" applyBorder="1" applyAlignment="1">
      <alignment horizontal="left" vertical="top"/>
    </xf>
    <xf numFmtId="164" fontId="0" fillId="0" borderId="51" xfId="0" applyNumberFormat="1" applyBorder="1" applyAlignment="1">
      <alignment horizontal="left" vertical="top"/>
    </xf>
    <xf numFmtId="0" fontId="0" fillId="0" borderId="51" xfId="0" applyNumberFormat="1" applyBorder="1" applyAlignment="1">
      <alignment horizontal="left" vertical="top" wrapText="1"/>
    </xf>
    <xf numFmtId="164" fontId="0" fillId="0" borderId="20" xfId="0" applyNumberFormat="1" applyBorder="1" applyAlignment="1">
      <alignment horizontal="left" vertical="top"/>
    </xf>
    <xf numFmtId="164" fontId="0" fillId="0" borderId="51" xfId="0" applyNumberFormat="1" applyBorder="1" applyAlignment="1">
      <alignment horizontal="left" vertical="top" wrapText="1"/>
    </xf>
    <xf numFmtId="14" fontId="0" fillId="0" borderId="2" xfId="0" applyNumberFormat="1" applyBorder="1" applyAlignment="1">
      <alignment horizontal="center"/>
    </xf>
    <xf numFmtId="14" fontId="0" fillId="0" borderId="4" xfId="0" applyNumberFormat="1" applyBorder="1" applyAlignment="1">
      <alignment horizontal="center"/>
    </xf>
    <xf numFmtId="14" fontId="0" fillId="0" borderId="1" xfId="0" applyNumberFormat="1" applyBorder="1" applyAlignment="1">
      <alignment horizontal="center"/>
    </xf>
    <xf numFmtId="14" fontId="0" fillId="0" borderId="0" xfId="0" applyNumberFormat="1" applyBorder="1" applyAlignment="1">
      <alignment horizontal="center" vertical="center" wrapText="1"/>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14" fontId="0" fillId="0" borderId="0" xfId="4" applyNumberFormat="1" applyFont="1" applyAlignment="1">
      <alignment horizontal="center" vertical="center"/>
    </xf>
    <xf numFmtId="14" fontId="0" fillId="0" borderId="0" xfId="4" applyNumberFormat="1" applyFont="1" applyAlignment="1">
      <alignment horizontal="left" vertical="center"/>
    </xf>
    <xf numFmtId="0" fontId="0" fillId="10" borderId="18" xfId="0" applyFill="1" applyBorder="1" applyAlignment="1">
      <alignment horizontal="center" vertical="center"/>
    </xf>
    <xf numFmtId="0" fontId="0" fillId="10" borderId="32" xfId="0" applyFill="1" applyBorder="1" applyAlignment="1">
      <alignment horizontal="center" vertical="center"/>
    </xf>
    <xf numFmtId="0" fontId="0" fillId="10" borderId="36" xfId="0" applyFill="1" applyBorder="1" applyAlignment="1">
      <alignment horizontal="center" vertical="center"/>
    </xf>
    <xf numFmtId="0" fontId="0" fillId="20" borderId="6" xfId="0" applyFill="1" applyBorder="1" applyAlignment="1">
      <alignment horizontal="center" vertical="center"/>
    </xf>
    <xf numFmtId="0" fontId="0" fillId="20" borderId="61" xfId="0" applyFill="1" applyBorder="1" applyAlignment="1">
      <alignment horizontal="center" vertical="center"/>
    </xf>
    <xf numFmtId="0" fontId="0" fillId="20" borderId="20" xfId="0" applyFill="1" applyBorder="1" applyAlignment="1">
      <alignment horizontal="center" vertical="center"/>
    </xf>
    <xf numFmtId="0" fontId="0" fillId="20" borderId="62" xfId="0" applyFill="1" applyBorder="1" applyAlignment="1">
      <alignment horizontal="center" vertical="center"/>
    </xf>
    <xf numFmtId="0" fontId="0" fillId="0" borderId="0" xfId="0" applyAlignment="1">
      <alignment horizontal="center" vertical="center"/>
    </xf>
    <xf numFmtId="0" fontId="38" fillId="2" borderId="20" xfId="0" applyFont="1" applyFill="1" applyBorder="1" applyAlignment="1">
      <alignment horizontal="center" vertical="center"/>
    </xf>
    <xf numFmtId="164" fontId="2" fillId="7" borderId="2" xfId="0" applyNumberFormat="1" applyFont="1" applyFill="1" applyBorder="1" applyAlignment="1">
      <alignment horizontal="right" vertical="center"/>
    </xf>
    <xf numFmtId="0" fontId="0" fillId="0" borderId="0" xfId="0" applyAlignment="1">
      <alignment horizontal="center" vertical="center"/>
    </xf>
    <xf numFmtId="9" fontId="8" fillId="0" borderId="0" xfId="5" applyFont="1" applyAlignment="1">
      <alignment horizontal="center" vertical="center"/>
    </xf>
    <xf numFmtId="14" fontId="0" fillId="0" borderId="2" xfId="0" applyNumberFormat="1" applyBorder="1" applyAlignment="1">
      <alignment horizontal="center"/>
    </xf>
    <xf numFmtId="14" fontId="0" fillId="0" borderId="4" xfId="0" applyNumberFormat="1" applyBorder="1" applyAlignment="1">
      <alignment horizontal="center"/>
    </xf>
    <xf numFmtId="14" fontId="0" fillId="0" borderId="1" xfId="0" applyNumberFormat="1" applyBorder="1" applyAlignment="1">
      <alignment horizontal="center"/>
    </xf>
    <xf numFmtId="0" fontId="3" fillId="0" borderId="32" xfId="0" quotePrefix="1" applyFont="1" applyBorder="1" applyAlignment="1">
      <alignment horizontal="center" vertical="center"/>
    </xf>
    <xf numFmtId="0" fontId="6" fillId="8" borderId="55" xfId="0" applyNumberFormat="1" applyFont="1" applyFill="1" applyBorder="1" applyAlignment="1">
      <alignment horizontal="center" vertical="center"/>
    </xf>
    <xf numFmtId="14" fontId="6" fillId="8" borderId="51" xfId="0" applyNumberFormat="1" applyFont="1" applyFill="1" applyBorder="1" applyAlignment="1">
      <alignment horizontal="center" vertical="center"/>
    </xf>
    <xf numFmtId="164" fontId="6" fillId="8" borderId="51" xfId="0" applyNumberFormat="1" applyFont="1" applyFill="1" applyBorder="1" applyAlignment="1">
      <alignment horizontal="right" vertical="center"/>
    </xf>
    <xf numFmtId="164" fontId="6" fillId="8" borderId="36" xfId="0" applyNumberFormat="1" applyFont="1" applyFill="1" applyBorder="1" applyAlignment="1">
      <alignment horizontal="right" vertical="center"/>
    </xf>
    <xf numFmtId="0" fontId="2" fillId="2" borderId="70" xfId="0" applyFont="1" applyFill="1" applyBorder="1"/>
    <xf numFmtId="0" fontId="2" fillId="2" borderId="67" xfId="0" applyFont="1" applyFill="1" applyBorder="1"/>
    <xf numFmtId="14" fontId="2" fillId="2" borderId="14" xfId="0" applyNumberFormat="1" applyFont="1" applyFill="1" applyBorder="1"/>
    <xf numFmtId="14" fontId="2" fillId="2" borderId="67" xfId="0" applyNumberFormat="1" applyFont="1" applyFill="1" applyBorder="1"/>
    <xf numFmtId="14" fontId="0" fillId="0" borderId="16" xfId="0" applyNumberFormat="1" applyBorder="1"/>
    <xf numFmtId="0" fontId="2" fillId="2" borderId="67" xfId="0" applyFont="1" applyFill="1" applyBorder="1" applyAlignment="1">
      <alignment vertical="center"/>
    </xf>
    <xf numFmtId="14" fontId="2" fillId="7" borderId="18" xfId="0" applyNumberFormat="1" applyFont="1" applyFill="1" applyBorder="1" applyAlignment="1">
      <alignment horizontal="center" vertical="center"/>
    </xf>
    <xf numFmtId="14" fontId="3" fillId="8" borderId="54" xfId="0" applyNumberFormat="1" applyFont="1" applyFill="1" applyBorder="1" applyAlignment="1">
      <alignment horizontal="center" vertical="center"/>
    </xf>
    <xf numFmtId="14" fontId="3" fillId="8" borderId="18" xfId="0" applyNumberFormat="1" applyFont="1" applyFill="1" applyBorder="1" applyAlignment="1">
      <alignment horizontal="center" vertical="center"/>
    </xf>
    <xf numFmtId="14" fontId="2" fillId="7" borderId="38" xfId="0" applyNumberFormat="1" applyFont="1" applyFill="1" applyBorder="1" applyAlignment="1">
      <alignment horizontal="center" vertical="center"/>
    </xf>
    <xf numFmtId="0" fontId="0" fillId="0" borderId="0" xfId="0" quotePrefix="1" applyAlignment="1">
      <alignment wrapText="1"/>
    </xf>
    <xf numFmtId="0" fontId="0" fillId="0" borderId="0" xfId="0" applyAlignment="1">
      <alignment horizontal="left" vertical="center"/>
    </xf>
    <xf numFmtId="0" fontId="0" fillId="0" borderId="0" xfId="0" applyAlignment="1">
      <alignment horizontal="center" vertical="center"/>
    </xf>
    <xf numFmtId="14" fontId="3" fillId="0" borderId="0" xfId="0" applyNumberFormat="1" applyFont="1" applyAlignment="1">
      <alignment horizontal="center" vertical="center"/>
    </xf>
    <xf numFmtId="14" fontId="0" fillId="0" borderId="2" xfId="0" applyNumberFormat="1" applyBorder="1" applyAlignment="1">
      <alignment horizontal="center"/>
    </xf>
    <xf numFmtId="14" fontId="0" fillId="0" borderId="4" xfId="0" applyNumberFormat="1" applyBorder="1" applyAlignment="1">
      <alignment horizontal="center"/>
    </xf>
    <xf numFmtId="14" fontId="0" fillId="0" borderId="1" xfId="0" applyNumberFormat="1" applyBorder="1" applyAlignment="1">
      <alignment horizontal="center"/>
    </xf>
    <xf numFmtId="17" fontId="0" fillId="0" borderId="0" xfId="4" applyNumberFormat="1" applyFont="1" applyAlignment="1">
      <alignment horizontal="left" vertical="center"/>
    </xf>
    <xf numFmtId="14" fontId="0" fillId="0" borderId="2" xfId="0" applyNumberFormat="1" applyBorder="1" applyAlignment="1">
      <alignment horizontal="center"/>
    </xf>
    <xf numFmtId="14" fontId="0" fillId="0" borderId="4" xfId="0" applyNumberFormat="1" applyBorder="1" applyAlignment="1">
      <alignment horizontal="center"/>
    </xf>
    <xf numFmtId="14" fontId="0" fillId="0" borderId="1" xfId="0" applyNumberFormat="1" applyBorder="1" applyAlignment="1">
      <alignment horizontal="center"/>
    </xf>
    <xf numFmtId="14" fontId="0" fillId="0" borderId="0" xfId="0" applyNumberFormat="1" applyAlignment="1">
      <alignment horizontal="center" vertical="center"/>
    </xf>
    <xf numFmtId="0" fontId="0" fillId="0" borderId="0" xfId="0" applyAlignment="1">
      <alignment horizontal="center" vertical="center"/>
    </xf>
    <xf numFmtId="14" fontId="0" fillId="0" borderId="4" xfId="0" applyNumberFormat="1" applyBorder="1" applyAlignment="1">
      <alignment horizontal="center"/>
    </xf>
    <xf numFmtId="14" fontId="0" fillId="0" borderId="2" xfId="0" applyNumberFormat="1" applyBorder="1" applyAlignment="1">
      <alignment horizontal="center"/>
    </xf>
    <xf numFmtId="14" fontId="0" fillId="0" borderId="1" xfId="0" applyNumberFormat="1" applyBorder="1" applyAlignment="1">
      <alignment horizontal="center"/>
    </xf>
    <xf numFmtId="0" fontId="0" fillId="0" borderId="0" xfId="0" applyAlignment="1">
      <alignment horizontal="left" vertical="center"/>
    </xf>
    <xf numFmtId="14" fontId="0" fillId="0" borderId="4" xfId="0" applyNumberFormat="1" applyBorder="1" applyAlignment="1">
      <alignment horizontal="center"/>
    </xf>
    <xf numFmtId="14" fontId="0" fillId="0" borderId="2" xfId="0" applyNumberFormat="1" applyBorder="1" applyAlignment="1">
      <alignment horizontal="center"/>
    </xf>
    <xf numFmtId="14" fontId="0" fillId="0" borderId="1" xfId="0" applyNumberFormat="1" applyBorder="1" applyAlignment="1">
      <alignment horizontal="center"/>
    </xf>
    <xf numFmtId="0" fontId="0" fillId="0" borderId="0" xfId="0" applyAlignment="1">
      <alignment horizontal="center" vertical="center"/>
    </xf>
    <xf numFmtId="14" fontId="0" fillId="0" borderId="0" xfId="0" applyNumberFormat="1" applyAlignment="1">
      <alignment horizontal="center" vertical="center"/>
    </xf>
    <xf numFmtId="14" fontId="6" fillId="8" borderId="23" xfId="0" applyNumberFormat="1" applyFont="1" applyFill="1" applyBorder="1" applyAlignment="1">
      <alignment horizontal="center" vertical="center"/>
    </xf>
    <xf numFmtId="14" fontId="6" fillId="8" borderId="24" xfId="0" applyNumberFormat="1" applyFont="1" applyFill="1" applyBorder="1" applyAlignment="1">
      <alignment horizontal="center" vertical="center"/>
    </xf>
    <xf numFmtId="14" fontId="6" fillId="8" borderId="34" xfId="0" applyNumberFormat="1" applyFont="1" applyFill="1" applyBorder="1" applyAlignment="1">
      <alignment horizontal="center" vertical="center"/>
    </xf>
    <xf numFmtId="0" fontId="0" fillId="0" borderId="0" xfId="0" applyAlignment="1">
      <alignment horizontal="center" vertical="center"/>
    </xf>
    <xf numFmtId="170" fontId="2" fillId="7" borderId="20" xfId="0" applyNumberFormat="1" applyFont="1" applyFill="1" applyBorder="1" applyAlignment="1">
      <alignment horizontal="right" vertical="center"/>
    </xf>
    <xf numFmtId="170" fontId="2" fillId="7" borderId="75" xfId="0" applyNumberFormat="1" applyFont="1" applyFill="1" applyBorder="1" applyAlignment="1">
      <alignment horizontal="right" vertical="center"/>
    </xf>
    <xf numFmtId="170" fontId="2" fillId="7" borderId="34" xfId="0" applyNumberFormat="1" applyFont="1" applyFill="1" applyBorder="1" applyAlignment="1">
      <alignment horizontal="right" vertical="center"/>
    </xf>
    <xf numFmtId="10" fontId="0" fillId="0" borderId="0" xfId="5" applyNumberFormat="1" applyFont="1"/>
    <xf numFmtId="0" fontId="0" fillId="5" borderId="6" xfId="0" applyFill="1" applyBorder="1" applyAlignment="1">
      <alignment horizontal="center" vertical="center"/>
    </xf>
    <xf numFmtId="0" fontId="0" fillId="5" borderId="61" xfId="0" applyFill="1" applyBorder="1" applyAlignment="1">
      <alignment horizontal="center" vertical="center"/>
    </xf>
    <xf numFmtId="0" fontId="0" fillId="5" borderId="20" xfId="0" applyFill="1" applyBorder="1" applyAlignment="1">
      <alignment horizontal="center" vertical="center"/>
    </xf>
    <xf numFmtId="0" fontId="0" fillId="5" borderId="62" xfId="0" applyFill="1" applyBorder="1" applyAlignment="1">
      <alignment horizontal="center" vertical="center"/>
    </xf>
    <xf numFmtId="14" fontId="2" fillId="21" borderId="3" xfId="0" applyNumberFormat="1" applyFont="1" applyFill="1" applyBorder="1" applyAlignment="1">
      <alignment horizontal="center" vertical="center"/>
    </xf>
    <xf numFmtId="0" fontId="0" fillId="0" borderId="61" xfId="0" applyFill="1" applyBorder="1" applyAlignment="1">
      <alignment horizontal="center" vertical="center"/>
    </xf>
    <xf numFmtId="0" fontId="0" fillId="0" borderId="62" xfId="0" applyFill="1" applyBorder="1" applyAlignment="1">
      <alignment horizontal="center" vertical="center"/>
    </xf>
    <xf numFmtId="0" fontId="8" fillId="0" borderId="0" xfId="4" applyBorder="1" applyAlignment="1">
      <alignment vertical="center"/>
    </xf>
    <xf numFmtId="171" fontId="0" fillId="0" borderId="0" xfId="0" applyNumberFormat="1"/>
    <xf numFmtId="171" fontId="3" fillId="0" borderId="0" xfId="0" applyNumberFormat="1" applyFont="1" applyAlignment="1">
      <alignment horizontal="center" vertical="center"/>
    </xf>
    <xf numFmtId="0" fontId="39" fillId="8" borderId="0" xfId="3" applyFont="1" applyFill="1" applyAlignment="1">
      <alignment horizontal="left" vertical="top" wrapText="1"/>
    </xf>
    <xf numFmtId="14" fontId="0" fillId="0" borderId="2" xfId="0" applyNumberFormat="1" applyBorder="1" applyAlignment="1">
      <alignment horizontal="center"/>
    </xf>
    <xf numFmtId="14" fontId="0" fillId="0" borderId="4" xfId="0" applyNumberFormat="1" applyBorder="1" applyAlignment="1">
      <alignment horizontal="center"/>
    </xf>
    <xf numFmtId="14" fontId="0" fillId="0" borderId="1" xfId="0" applyNumberFormat="1" applyBorder="1" applyAlignment="1">
      <alignment horizontal="center"/>
    </xf>
    <xf numFmtId="14" fontId="0" fillId="0" borderId="4" xfId="0" applyNumberFormat="1" applyBorder="1" applyAlignment="1">
      <alignment horizontal="center"/>
    </xf>
    <xf numFmtId="14" fontId="0" fillId="0" borderId="2" xfId="0" applyNumberFormat="1" applyBorder="1" applyAlignment="1">
      <alignment horizontal="center"/>
    </xf>
    <xf numFmtId="14" fontId="0" fillId="0" borderId="1" xfId="0" applyNumberFormat="1" applyBorder="1" applyAlignment="1">
      <alignment horizontal="center"/>
    </xf>
    <xf numFmtId="9" fontId="0" fillId="0" borderId="46" xfId="5" applyFont="1" applyBorder="1" applyAlignment="1">
      <alignment horizontal="center" vertical="center"/>
    </xf>
    <xf numFmtId="0" fontId="0" fillId="0" borderId="54" xfId="5" applyNumberFormat="1" applyFont="1" applyBorder="1" applyAlignment="1">
      <alignment horizontal="center" vertical="center"/>
    </xf>
    <xf numFmtId="0" fontId="3" fillId="0" borderId="18" xfId="4" applyFont="1" applyBorder="1" applyAlignment="1">
      <alignment vertical="center"/>
    </xf>
    <xf numFmtId="0" fontId="3" fillId="0" borderId="4" xfId="4" applyFont="1" applyBorder="1" applyAlignment="1">
      <alignment vertical="center"/>
    </xf>
    <xf numFmtId="0" fontId="3" fillId="0" borderId="5" xfId="4" applyFont="1" applyBorder="1" applyAlignment="1">
      <alignment vertical="center"/>
    </xf>
    <xf numFmtId="0" fontId="3" fillId="0" borderId="44" xfId="0" applyFont="1" applyBorder="1"/>
    <xf numFmtId="169" fontId="3" fillId="0" borderId="72" xfId="4" applyNumberFormat="1" applyFont="1" applyBorder="1" applyAlignment="1">
      <alignment horizontal="center" vertical="center"/>
    </xf>
    <xf numFmtId="164" fontId="3" fillId="6" borderId="4" xfId="4" applyNumberFormat="1" applyFont="1" applyFill="1" applyBorder="1" applyAlignment="1">
      <alignment horizontal="center" wrapText="1"/>
    </xf>
    <xf numFmtId="169" fontId="3" fillId="0" borderId="7" xfId="4" applyNumberFormat="1" applyFont="1" applyBorder="1" applyAlignment="1">
      <alignment horizontal="center" vertical="center"/>
    </xf>
    <xf numFmtId="7" fontId="37" fillId="0" borderId="0" xfId="0" applyNumberFormat="1" applyFont="1" applyBorder="1" applyAlignment="1">
      <alignment horizontal="center" vertical="center" wrapText="1"/>
    </xf>
    <xf numFmtId="14" fontId="0" fillId="0" borderId="4" xfId="0" applyNumberFormat="1" applyBorder="1" applyAlignment="1">
      <alignment horizontal="center"/>
    </xf>
    <xf numFmtId="14" fontId="0" fillId="0" borderId="2" xfId="0" applyNumberFormat="1" applyBorder="1" applyAlignment="1">
      <alignment horizontal="center"/>
    </xf>
    <xf numFmtId="14" fontId="0" fillId="0" borderId="1" xfId="0" applyNumberFormat="1" applyBorder="1" applyAlignment="1">
      <alignment horizontal="center"/>
    </xf>
    <xf numFmtId="14" fontId="0" fillId="0" borderId="0" xfId="0" applyNumberFormat="1" applyAlignment="1">
      <alignment horizontal="center" vertical="center"/>
    </xf>
    <xf numFmtId="0" fontId="0" fillId="0" borderId="0" xfId="0" applyAlignment="1">
      <alignment horizontal="center" vertical="center"/>
    </xf>
    <xf numFmtId="0" fontId="40" fillId="0" borderId="0" xfId="6">
      <alignment vertical="center"/>
    </xf>
    <xf numFmtId="0" fontId="41" fillId="25" borderId="20" xfId="6" applyFont="1" applyFill="1" applyBorder="1" applyAlignment="1">
      <alignment horizontal="center" vertical="center"/>
    </xf>
    <xf numFmtId="0" fontId="40" fillId="26" borderId="20" xfId="6" applyFill="1" applyBorder="1" applyAlignment="1">
      <alignment horizontal="center" vertical="center"/>
    </xf>
    <xf numFmtId="0" fontId="40" fillId="26" borderId="77" xfId="6" applyFill="1" applyBorder="1" applyAlignment="1">
      <alignment horizontal="center" vertical="center"/>
    </xf>
    <xf numFmtId="0" fontId="40" fillId="26" borderId="78" xfId="6" applyFill="1" applyBorder="1" applyAlignment="1">
      <alignment horizontal="center" vertical="center"/>
    </xf>
    <xf numFmtId="0" fontId="40" fillId="27" borderId="79" xfId="6" applyFill="1" applyBorder="1" applyAlignment="1">
      <alignment horizontal="left" vertical="center" indent="1"/>
    </xf>
    <xf numFmtId="0" fontId="40" fillId="27" borderId="80" xfId="6" applyFill="1" applyBorder="1" applyAlignment="1">
      <alignment horizontal="left" vertical="center" indent="1"/>
    </xf>
    <xf numFmtId="0" fontId="40" fillId="27" borderId="81" xfId="6" applyFill="1" applyBorder="1" applyAlignment="1">
      <alignment horizontal="left" vertical="center" indent="1"/>
    </xf>
    <xf numFmtId="0" fontId="42" fillId="28" borderId="0" xfId="6" applyFont="1" applyFill="1" applyBorder="1">
      <alignment vertical="center"/>
    </xf>
    <xf numFmtId="0" fontId="40" fillId="0" borderId="0" xfId="6" applyAlignment="1">
      <alignment horizontal="center" vertical="center"/>
    </xf>
    <xf numFmtId="0" fontId="41" fillId="25" borderId="82" xfId="6" applyFont="1" applyFill="1" applyBorder="1" applyAlignment="1">
      <alignment horizontal="center" vertical="center"/>
    </xf>
    <xf numFmtId="0" fontId="40" fillId="26" borderId="82" xfId="6" applyFill="1" applyBorder="1">
      <alignment vertical="center"/>
    </xf>
    <xf numFmtId="0" fontId="40" fillId="26" borderId="83" xfId="6" applyFill="1" applyBorder="1" applyAlignment="1">
      <alignment horizontal="center" vertical="center"/>
    </xf>
    <xf numFmtId="0" fontId="40" fillId="26" borderId="82" xfId="6" applyFill="1" applyBorder="1" applyAlignment="1">
      <alignment horizontal="center" vertical="center"/>
    </xf>
    <xf numFmtId="165" fontId="8" fillId="0" borderId="20" xfId="4" applyNumberFormat="1" applyBorder="1" applyAlignment="1">
      <alignment horizontal="center" vertical="center"/>
    </xf>
    <xf numFmtId="165" fontId="8" fillId="0" borderId="0" xfId="4" applyNumberFormat="1" applyAlignment="1">
      <alignment horizontal="center" vertical="center"/>
    </xf>
    <xf numFmtId="0" fontId="3" fillId="0" borderId="6" xfId="0" applyFont="1" applyBorder="1" applyAlignment="1" applyProtection="1">
      <alignment horizontal="left" vertical="center"/>
    </xf>
    <xf numFmtId="171" fontId="3" fillId="0" borderId="72" xfId="4" applyNumberFormat="1" applyFont="1" applyBorder="1" applyAlignment="1">
      <alignment horizontal="center" vertical="center"/>
    </xf>
    <xf numFmtId="0" fontId="0" fillId="0" borderId="0" xfId="0" applyAlignment="1">
      <alignment horizontal="center" vertical="center"/>
    </xf>
    <xf numFmtId="14" fontId="0" fillId="0" borderId="0" xfId="0" applyNumberFormat="1" applyAlignment="1">
      <alignment horizontal="center" vertical="center"/>
    </xf>
    <xf numFmtId="0" fontId="3" fillId="6" borderId="4" xfId="4" applyFont="1" applyFill="1" applyBorder="1" applyAlignment="1">
      <alignment horizontal="center" vertical="center"/>
    </xf>
    <xf numFmtId="0" fontId="3" fillId="6" borderId="1" xfId="4" applyFont="1" applyFill="1" applyBorder="1" applyAlignment="1">
      <alignment horizontal="center" vertical="center"/>
    </xf>
    <xf numFmtId="0" fontId="3" fillId="6" borderId="7" xfId="4" applyFont="1" applyFill="1" applyBorder="1" applyAlignment="1">
      <alignment horizontal="center" vertical="center"/>
    </xf>
    <xf numFmtId="0" fontId="3" fillId="6" borderId="2" xfId="4" applyFont="1" applyFill="1" applyBorder="1" applyAlignment="1">
      <alignment horizontal="center" vertical="center"/>
    </xf>
    <xf numFmtId="0" fontId="41" fillId="25" borderId="20" xfId="6" applyFont="1" applyFill="1" applyBorder="1" applyAlignment="1">
      <alignment horizontal="center" vertical="center"/>
    </xf>
    <xf numFmtId="0" fontId="32" fillId="20" borderId="0" xfId="0" applyFont="1" applyFill="1" applyAlignment="1">
      <alignment horizontal="left" vertical="top" wrapText="1"/>
    </xf>
    <xf numFmtId="0" fontId="2" fillId="2" borderId="1" xfId="3" applyFont="1" applyFill="1" applyBorder="1" applyAlignment="1" applyProtection="1">
      <alignment horizontal="center" vertical="center"/>
      <protection hidden="1"/>
    </xf>
    <xf numFmtId="0" fontId="2" fillId="2" borderId="7" xfId="3" applyFont="1" applyFill="1" applyBorder="1" applyAlignment="1" applyProtection="1">
      <alignment horizontal="center" vertical="center"/>
      <protection hidden="1"/>
    </xf>
    <xf numFmtId="0" fontId="2" fillId="2" borderId="2" xfId="3" applyFont="1" applyFill="1" applyBorder="1" applyAlignment="1" applyProtection="1">
      <alignment horizontal="center" vertical="center"/>
      <protection hidden="1"/>
    </xf>
    <xf numFmtId="164" fontId="2" fillId="7" borderId="16" xfId="0" applyNumberFormat="1" applyFont="1" applyFill="1" applyBorder="1" applyAlignment="1">
      <alignment horizontal="right" vertical="center"/>
    </xf>
    <xf numFmtId="164" fontId="2" fillId="7" borderId="44" xfId="0" applyNumberFormat="1" applyFont="1" applyFill="1" applyBorder="1" applyAlignment="1">
      <alignment horizontal="right" vertical="center"/>
    </xf>
    <xf numFmtId="164" fontId="2" fillId="7" borderId="67" xfId="0" applyNumberFormat="1" applyFont="1" applyFill="1" applyBorder="1" applyAlignment="1">
      <alignment horizontal="right" vertical="center"/>
    </xf>
    <xf numFmtId="164" fontId="2" fillId="7" borderId="45" xfId="0" applyNumberFormat="1" applyFont="1" applyFill="1" applyBorder="1" applyAlignment="1">
      <alignment horizontal="right" vertical="center"/>
    </xf>
    <xf numFmtId="0" fontId="2" fillId="2" borderId="4" xfId="0" applyFont="1" applyFill="1" applyBorder="1" applyAlignment="1" applyProtection="1">
      <alignment horizontal="center" vertical="center"/>
      <protection locked="0"/>
    </xf>
    <xf numFmtId="0" fontId="2" fillId="7" borderId="62" xfId="0" applyFont="1" applyFill="1" applyBorder="1" applyAlignment="1" applyProtection="1">
      <alignment horizontal="left" vertical="center"/>
      <protection hidden="1"/>
    </xf>
    <xf numFmtId="0" fontId="2" fillId="7" borderId="53" xfId="0" applyFont="1" applyFill="1" applyBorder="1" applyAlignment="1" applyProtection="1">
      <alignment horizontal="left" vertical="center"/>
      <protection hidden="1"/>
    </xf>
    <xf numFmtId="0" fontId="2" fillId="7" borderId="36" xfId="0" applyFont="1" applyFill="1" applyBorder="1" applyAlignment="1" applyProtection="1">
      <alignment horizontal="left" vertical="center"/>
      <protection hidden="1"/>
    </xf>
    <xf numFmtId="164" fontId="2" fillId="7" borderId="14" xfId="0" applyNumberFormat="1" applyFont="1" applyFill="1" applyBorder="1" applyAlignment="1">
      <alignment horizontal="right" vertical="center"/>
    </xf>
    <xf numFmtId="164" fontId="2" fillId="7" borderId="43" xfId="0" applyNumberFormat="1" applyFont="1" applyFill="1" applyBorder="1" applyAlignment="1">
      <alignment horizontal="right" vertical="center"/>
    </xf>
    <xf numFmtId="0" fontId="13" fillId="2" borderId="1" xfId="0" applyFont="1" applyFill="1" applyBorder="1" applyAlignment="1">
      <alignment horizontal="center" vertical="center"/>
    </xf>
    <xf numFmtId="0" fontId="13" fillId="2" borderId="2" xfId="0" applyFont="1" applyFill="1" applyBorder="1" applyAlignment="1">
      <alignment horizontal="center" vertical="center"/>
    </xf>
    <xf numFmtId="0" fontId="9" fillId="2" borderId="1" xfId="0" applyFont="1" applyFill="1" applyBorder="1" applyAlignment="1" applyProtection="1">
      <alignment horizontal="center" vertical="center"/>
      <protection locked="0"/>
    </xf>
    <xf numFmtId="0" fontId="9" fillId="2" borderId="7" xfId="0" applyFont="1" applyFill="1" applyBorder="1" applyAlignment="1" applyProtection="1">
      <alignment horizontal="center" vertical="center"/>
      <protection locked="0"/>
    </xf>
    <xf numFmtId="0" fontId="9" fillId="2" borderId="2" xfId="0" applyFont="1" applyFill="1" applyBorder="1" applyAlignment="1" applyProtection="1">
      <alignment horizontal="center" vertical="center"/>
      <protection locked="0"/>
    </xf>
    <xf numFmtId="0" fontId="2" fillId="7" borderId="33" xfId="0" applyFont="1" applyFill="1" applyBorder="1" applyAlignment="1" applyProtection="1">
      <alignment horizontal="center" vertical="center"/>
      <protection hidden="1"/>
    </xf>
    <xf numFmtId="0" fontId="2" fillId="7" borderId="32" xfId="0" applyFont="1" applyFill="1" applyBorder="1" applyAlignment="1" applyProtection="1">
      <alignment horizontal="center" vertical="center"/>
      <protection hidden="1"/>
    </xf>
    <xf numFmtId="0" fontId="10" fillId="2" borderId="1" xfId="0" applyFont="1" applyFill="1" applyBorder="1" applyAlignment="1" applyProtection="1">
      <alignment horizontal="center" vertical="center"/>
      <protection locked="0"/>
    </xf>
    <xf numFmtId="0" fontId="10" fillId="2" borderId="7" xfId="0" applyFont="1" applyFill="1" applyBorder="1" applyAlignment="1" applyProtection="1">
      <alignment horizontal="center" vertical="center"/>
      <protection locked="0"/>
    </xf>
    <xf numFmtId="0" fontId="10" fillId="2" borderId="2" xfId="0" applyFont="1" applyFill="1" applyBorder="1" applyAlignment="1" applyProtection="1">
      <alignment horizontal="center" vertical="center"/>
      <protection locked="0"/>
    </xf>
    <xf numFmtId="0" fontId="2" fillId="7" borderId="61" xfId="0" applyFont="1" applyFill="1" applyBorder="1" applyAlignment="1" applyProtection="1">
      <alignment horizontal="center" vertical="center"/>
      <protection hidden="1"/>
    </xf>
    <xf numFmtId="14" fontId="2" fillId="7" borderId="68" xfId="0" applyNumberFormat="1" applyFont="1" applyFill="1" applyBorder="1" applyAlignment="1" applyProtection="1">
      <alignment horizontal="left" vertical="center"/>
      <protection hidden="1"/>
    </xf>
    <xf numFmtId="14" fontId="2" fillId="7" borderId="72" xfId="0" applyNumberFormat="1" applyFont="1" applyFill="1" applyBorder="1" applyAlignment="1" applyProtection="1">
      <alignment horizontal="left" vertical="center"/>
      <protection hidden="1"/>
    </xf>
    <xf numFmtId="14" fontId="2" fillId="7" borderId="53" xfId="0" applyNumberFormat="1" applyFont="1" applyFill="1" applyBorder="1" applyAlignment="1" applyProtection="1">
      <alignment horizontal="left" vertical="center"/>
      <protection hidden="1"/>
    </xf>
    <xf numFmtId="14" fontId="2" fillId="7" borderId="36" xfId="0" applyNumberFormat="1" applyFont="1" applyFill="1" applyBorder="1" applyAlignment="1" applyProtection="1">
      <alignment horizontal="left" vertical="center"/>
      <protection hidden="1"/>
    </xf>
    <xf numFmtId="14" fontId="2" fillId="7" borderId="63" xfId="0" applyNumberFormat="1" applyFont="1" applyFill="1" applyBorder="1" applyAlignment="1" applyProtection="1">
      <alignment horizontal="left" vertical="center"/>
      <protection hidden="1"/>
    </xf>
    <xf numFmtId="14" fontId="2" fillId="7" borderId="60" xfId="0" applyNumberFormat="1" applyFont="1" applyFill="1" applyBorder="1" applyAlignment="1" applyProtection="1">
      <alignment horizontal="left" vertical="center"/>
      <protection hidden="1"/>
    </xf>
    <xf numFmtId="14" fontId="2" fillId="7" borderId="37" xfId="0" applyNumberFormat="1" applyFont="1" applyFill="1" applyBorder="1" applyAlignment="1" applyProtection="1">
      <alignment horizontal="left" vertical="center"/>
      <protection hidden="1"/>
    </xf>
    <xf numFmtId="0" fontId="2" fillId="2" borderId="4" xfId="3" applyFont="1" applyFill="1" applyBorder="1" applyAlignment="1" applyProtection="1">
      <alignment horizontal="center" vertical="center"/>
      <protection hidden="1"/>
    </xf>
    <xf numFmtId="0" fontId="3" fillId="6" borderId="3" xfId="4" applyFont="1" applyFill="1" applyBorder="1" applyAlignment="1">
      <alignment horizontal="center" vertical="center" wrapText="1"/>
    </xf>
    <xf numFmtId="0" fontId="3" fillId="6" borderId="5" xfId="4" applyFont="1" applyFill="1" applyBorder="1" applyAlignment="1">
      <alignment horizontal="center" vertical="center" wrapText="1"/>
    </xf>
    <xf numFmtId="164" fontId="3" fillId="6" borderId="3" xfId="4" applyNumberFormat="1" applyFont="1" applyFill="1" applyBorder="1" applyAlignment="1">
      <alignment horizontal="center" vertical="center" wrapText="1"/>
    </xf>
    <xf numFmtId="164" fontId="3" fillId="6" borderId="5" xfId="4" applyNumberFormat="1" applyFont="1" applyFill="1" applyBorder="1" applyAlignment="1">
      <alignment horizontal="center" vertical="center" wrapText="1"/>
    </xf>
    <xf numFmtId="0" fontId="3" fillId="6" borderId="3" xfId="4" applyFont="1" applyFill="1" applyBorder="1" applyAlignment="1">
      <alignment horizontal="center" vertical="center"/>
    </xf>
    <xf numFmtId="0" fontId="3" fillId="6" borderId="5" xfId="4" applyFont="1" applyFill="1" applyBorder="1" applyAlignment="1">
      <alignment horizontal="center" vertical="center"/>
    </xf>
    <xf numFmtId="14" fontId="3" fillId="6" borderId="3" xfId="4" applyNumberFormat="1" applyFont="1" applyFill="1" applyBorder="1" applyAlignment="1">
      <alignment horizontal="center" vertical="center" wrapText="1"/>
    </xf>
    <xf numFmtId="14" fontId="3" fillId="6" borderId="5" xfId="4" applyNumberFormat="1" applyFont="1" applyFill="1" applyBorder="1" applyAlignment="1">
      <alignment horizontal="center" vertical="center" wrapText="1"/>
    </xf>
    <xf numFmtId="168" fontId="3" fillId="6" borderId="3" xfId="4" applyNumberFormat="1" applyFont="1" applyFill="1" applyBorder="1" applyAlignment="1">
      <alignment horizontal="center" vertical="center" wrapText="1"/>
    </xf>
    <xf numFmtId="168" fontId="3" fillId="6" borderId="5" xfId="4" applyNumberFormat="1" applyFont="1" applyFill="1" applyBorder="1" applyAlignment="1">
      <alignment horizontal="center" vertical="center" wrapText="1"/>
    </xf>
    <xf numFmtId="168" fontId="3" fillId="6" borderId="1" xfId="4" applyNumberFormat="1" applyFont="1" applyFill="1" applyBorder="1" applyAlignment="1">
      <alignment horizontal="center" vertical="center" wrapText="1"/>
    </xf>
    <xf numFmtId="168" fontId="3" fillId="6" borderId="7" xfId="4" applyNumberFormat="1" applyFont="1" applyFill="1" applyBorder="1" applyAlignment="1">
      <alignment horizontal="center" vertical="center" wrapText="1"/>
    </xf>
    <xf numFmtId="168" fontId="3" fillId="6" borderId="2" xfId="4" applyNumberFormat="1" applyFont="1" applyFill="1" applyBorder="1" applyAlignment="1">
      <alignment horizontal="center" vertical="center" wrapText="1"/>
    </xf>
    <xf numFmtId="0" fontId="5" fillId="2" borderId="1" xfId="3" applyFont="1" applyFill="1" applyBorder="1" applyAlignment="1" applyProtection="1">
      <alignment horizontal="center" vertical="center"/>
      <protection locked="0"/>
    </xf>
    <xf numFmtId="0" fontId="5" fillId="2" borderId="2" xfId="3"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5" xfId="0" applyFont="1" applyFill="1" applyBorder="1" applyAlignment="1" applyProtection="1">
      <alignment horizontal="center" vertical="center"/>
      <protection locked="0"/>
    </xf>
    <xf numFmtId="0" fontId="2" fillId="2" borderId="8"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vertical="center"/>
      <protection locked="0"/>
    </xf>
    <xf numFmtId="0" fontId="2" fillId="2" borderId="7" xfId="0" applyFont="1" applyFill="1" applyBorder="1" applyAlignment="1" applyProtection="1">
      <alignment horizontal="center" vertical="center"/>
      <protection locked="0"/>
    </xf>
    <xf numFmtId="14" fontId="10" fillId="2" borderId="1" xfId="0" applyNumberFormat="1" applyFont="1" applyFill="1" applyBorder="1" applyAlignment="1" applyProtection="1">
      <alignment horizontal="center" vertical="center"/>
      <protection locked="0"/>
    </xf>
    <xf numFmtId="14" fontId="10" fillId="2" borderId="7" xfId="0" applyNumberFormat="1" applyFont="1" applyFill="1" applyBorder="1" applyAlignment="1" applyProtection="1">
      <alignment horizontal="center" vertical="center"/>
      <protection locked="0"/>
    </xf>
    <xf numFmtId="14" fontId="10" fillId="2" borderId="2" xfId="0" applyNumberFormat="1" applyFont="1" applyFill="1" applyBorder="1" applyAlignment="1" applyProtection="1">
      <alignment horizontal="center" vertical="center"/>
      <protection locked="0"/>
    </xf>
    <xf numFmtId="0" fontId="2" fillId="7" borderId="3" xfId="0" applyFont="1" applyFill="1" applyBorder="1" applyAlignment="1" applyProtection="1">
      <alignment horizontal="center" vertical="center" wrapText="1"/>
      <protection hidden="1"/>
    </xf>
    <xf numFmtId="0" fontId="2" fillId="7" borderId="5" xfId="0" applyFont="1" applyFill="1" applyBorder="1" applyAlignment="1" applyProtection="1">
      <alignment horizontal="center" vertical="center" wrapText="1"/>
      <protection hidden="1"/>
    </xf>
    <xf numFmtId="0" fontId="12" fillId="2" borderId="1" xfId="0" applyFont="1" applyFill="1" applyBorder="1" applyAlignment="1" applyProtection="1">
      <alignment horizontal="center" vertical="center"/>
      <protection locked="0"/>
    </xf>
    <xf numFmtId="0" fontId="12" fillId="2" borderId="7" xfId="0" applyFont="1" applyFill="1" applyBorder="1" applyAlignment="1" applyProtection="1">
      <alignment horizontal="center" vertical="center"/>
      <protection locked="0"/>
    </xf>
    <xf numFmtId="0" fontId="12" fillId="2" borderId="2" xfId="0" applyFont="1" applyFill="1" applyBorder="1" applyAlignment="1" applyProtection="1">
      <alignment horizontal="center" vertical="center"/>
      <protection locked="0"/>
    </xf>
    <xf numFmtId="14" fontId="9" fillId="2" borderId="1" xfId="0" applyNumberFormat="1" applyFont="1" applyFill="1" applyBorder="1" applyAlignment="1" applyProtection="1">
      <alignment horizontal="center" vertical="center"/>
      <protection locked="0"/>
    </xf>
    <xf numFmtId="14" fontId="9" fillId="2" borderId="7" xfId="0" applyNumberFormat="1" applyFont="1" applyFill="1" applyBorder="1" applyAlignment="1" applyProtection="1">
      <alignment horizontal="center" vertical="center"/>
      <protection locked="0"/>
    </xf>
    <xf numFmtId="14" fontId="9" fillId="2" borderId="2" xfId="0" applyNumberFormat="1" applyFont="1" applyFill="1" applyBorder="1" applyAlignment="1" applyProtection="1">
      <alignment horizontal="center" vertical="center"/>
      <protection locked="0"/>
    </xf>
    <xf numFmtId="0" fontId="2" fillId="2" borderId="9" xfId="0" applyFont="1" applyFill="1" applyBorder="1" applyAlignment="1" applyProtection="1">
      <alignment horizontal="center" vertical="center"/>
      <protection locked="0"/>
    </xf>
    <xf numFmtId="0" fontId="2" fillId="2" borderId="11" xfId="0" applyFont="1" applyFill="1" applyBorder="1" applyAlignment="1" applyProtection="1">
      <alignment horizontal="center" vertical="center"/>
      <protection locked="0"/>
    </xf>
    <xf numFmtId="0" fontId="2" fillId="2" borderId="12" xfId="0" applyFont="1" applyFill="1" applyBorder="1" applyAlignment="1" applyProtection="1">
      <alignment horizontal="center" vertical="center"/>
      <protection locked="0"/>
    </xf>
    <xf numFmtId="0" fontId="2" fillId="2" borderId="13" xfId="0" applyFont="1" applyFill="1" applyBorder="1" applyAlignment="1" applyProtection="1">
      <alignment horizontal="center" vertical="center"/>
      <protection locked="0"/>
    </xf>
    <xf numFmtId="14" fontId="12" fillId="2" borderId="1" xfId="0" applyNumberFormat="1" applyFont="1" applyFill="1" applyBorder="1" applyAlignment="1" applyProtection="1">
      <alignment horizontal="center" vertical="center"/>
      <protection locked="0"/>
    </xf>
    <xf numFmtId="14" fontId="12" fillId="2" borderId="7" xfId="0" applyNumberFormat="1" applyFont="1" applyFill="1" applyBorder="1" applyAlignment="1" applyProtection="1">
      <alignment horizontal="center" vertical="center"/>
      <protection locked="0"/>
    </xf>
    <xf numFmtId="14" fontId="12" fillId="2" borderId="2" xfId="0" applyNumberFormat="1" applyFont="1" applyFill="1" applyBorder="1" applyAlignment="1" applyProtection="1">
      <alignment horizontal="center" vertical="center"/>
      <protection locked="0"/>
    </xf>
    <xf numFmtId="14" fontId="12" fillId="2" borderId="12" xfId="0" applyNumberFormat="1"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wrapText="1"/>
      <protection locked="0"/>
    </xf>
    <xf numFmtId="0" fontId="2" fillId="2" borderId="7" xfId="0" applyFont="1" applyFill="1" applyBorder="1" applyAlignment="1" applyProtection="1">
      <alignment horizontal="center" vertical="center" wrapText="1"/>
      <protection locked="0"/>
    </xf>
    <xf numFmtId="0" fontId="2" fillId="2" borderId="2" xfId="0" applyFont="1" applyFill="1" applyBorder="1" applyAlignment="1" applyProtection="1">
      <alignment horizontal="center" vertical="center" wrapText="1"/>
      <protection locked="0"/>
    </xf>
    <xf numFmtId="0" fontId="2" fillId="2" borderId="4" xfId="0" applyFont="1" applyFill="1" applyBorder="1" applyAlignment="1" applyProtection="1">
      <alignment horizontal="center" vertical="center" wrapText="1"/>
      <protection locked="0"/>
    </xf>
    <xf numFmtId="0" fontId="2" fillId="2" borderId="4" xfId="2" applyFont="1" applyFill="1" applyBorder="1" applyAlignment="1" applyProtection="1">
      <alignment horizontal="center" vertical="center" wrapText="1"/>
      <protection locked="0"/>
    </xf>
    <xf numFmtId="0" fontId="2" fillId="2" borderId="1" xfId="0" applyFont="1" applyFill="1" applyBorder="1" applyAlignment="1" applyProtection="1">
      <alignment horizontal="center"/>
      <protection locked="0"/>
    </xf>
    <xf numFmtId="0" fontId="2" fillId="2" borderId="7" xfId="0" applyFont="1" applyFill="1" applyBorder="1" applyAlignment="1" applyProtection="1">
      <alignment horizontal="center"/>
      <protection locked="0"/>
    </xf>
    <xf numFmtId="0" fontId="2" fillId="2" borderId="2" xfId="0" applyFont="1" applyFill="1" applyBorder="1" applyAlignment="1" applyProtection="1">
      <alignment horizontal="center"/>
      <protection locked="0"/>
    </xf>
    <xf numFmtId="14" fontId="13" fillId="2" borderId="1" xfId="0" applyNumberFormat="1" applyFont="1" applyFill="1" applyBorder="1" applyAlignment="1" applyProtection="1">
      <alignment horizontal="center" vertical="center"/>
      <protection locked="0"/>
    </xf>
    <xf numFmtId="14" fontId="13" fillId="2" borderId="7" xfId="0" applyNumberFormat="1" applyFont="1" applyFill="1" applyBorder="1" applyAlignment="1" applyProtection="1">
      <alignment horizontal="center" vertical="center"/>
      <protection locked="0"/>
    </xf>
    <xf numFmtId="14" fontId="13" fillId="2" borderId="2" xfId="0" applyNumberFormat="1" applyFont="1" applyFill="1" applyBorder="1" applyAlignment="1" applyProtection="1">
      <alignment horizontal="center" vertical="center"/>
      <protection locked="0"/>
    </xf>
    <xf numFmtId="0" fontId="2" fillId="2" borderId="0" xfId="0" applyFont="1" applyFill="1" applyBorder="1" applyAlignment="1" applyProtection="1">
      <alignment horizontal="center" vertical="center"/>
      <protection locked="0"/>
    </xf>
    <xf numFmtId="0" fontId="2" fillId="2" borderId="15" xfId="0" applyFont="1" applyFill="1" applyBorder="1" applyAlignment="1" applyProtection="1">
      <alignment horizontal="center" vertical="center"/>
      <protection locked="0"/>
    </xf>
    <xf numFmtId="0" fontId="2" fillId="2" borderId="39" xfId="0" applyFont="1" applyFill="1" applyBorder="1" applyAlignment="1" applyProtection="1">
      <alignment horizontal="center" vertical="center" wrapText="1"/>
      <protection locked="0"/>
    </xf>
    <xf numFmtId="0" fontId="2" fillId="2" borderId="40" xfId="0" applyFont="1" applyFill="1" applyBorder="1" applyAlignment="1" applyProtection="1">
      <alignment horizontal="center" vertical="center" wrapText="1"/>
      <protection locked="0"/>
    </xf>
    <xf numFmtId="0" fontId="2" fillId="2" borderId="4" xfId="0" applyFont="1" applyFill="1" applyBorder="1" applyAlignment="1" applyProtection="1">
      <alignment horizontal="center"/>
      <protection locked="0"/>
    </xf>
    <xf numFmtId="49" fontId="3" fillId="6" borderId="8" xfId="0" applyNumberFormat="1" applyFont="1" applyFill="1" applyBorder="1" applyAlignment="1">
      <alignment horizontal="center" vertical="center" wrapText="1"/>
    </xf>
    <xf numFmtId="49" fontId="3" fillId="6" borderId="10" xfId="0" applyNumberFormat="1" applyFont="1" applyFill="1" applyBorder="1" applyAlignment="1">
      <alignment horizontal="center" vertical="center" wrapText="1"/>
    </xf>
    <xf numFmtId="49" fontId="3" fillId="6" borderId="11" xfId="0" applyNumberFormat="1" applyFont="1" applyFill="1" applyBorder="1" applyAlignment="1">
      <alignment horizontal="center" vertical="center" wrapText="1"/>
    </xf>
    <xf numFmtId="49" fontId="3" fillId="6" borderId="13" xfId="0" applyNumberFormat="1" applyFont="1" applyFill="1" applyBorder="1" applyAlignment="1">
      <alignment horizontal="center" vertical="center" wrapText="1"/>
    </xf>
    <xf numFmtId="14" fontId="0" fillId="0" borderId="2" xfId="0" applyNumberFormat="1" applyBorder="1" applyAlignment="1">
      <alignment horizontal="center"/>
    </xf>
    <xf numFmtId="14" fontId="0" fillId="0" borderId="4" xfId="0" applyNumberFormat="1" applyBorder="1" applyAlignment="1">
      <alignment horizontal="center"/>
    </xf>
    <xf numFmtId="14" fontId="0" fillId="0" borderId="1" xfId="0" applyNumberFormat="1" applyBorder="1" applyAlignment="1">
      <alignment horizontal="center"/>
    </xf>
    <xf numFmtId="164" fontId="3" fillId="6" borderId="4" xfId="4" applyNumberFormat="1" applyFont="1" applyFill="1" applyBorder="1" applyAlignment="1">
      <alignment horizontal="center" vertical="center" wrapText="1"/>
    </xf>
    <xf numFmtId="49" fontId="3" fillId="6" borderId="3" xfId="0" applyNumberFormat="1" applyFont="1" applyFill="1" applyBorder="1" applyAlignment="1">
      <alignment horizontal="center" vertical="center" wrapText="1"/>
    </xf>
    <xf numFmtId="49" fontId="3" fillId="6" borderId="5" xfId="0" applyNumberFormat="1" applyFont="1" applyFill="1" applyBorder="1" applyAlignment="1">
      <alignment horizontal="center" vertical="center" wrapText="1"/>
    </xf>
    <xf numFmtId="164" fontId="3" fillId="6" borderId="1" xfId="4" applyNumberFormat="1" applyFont="1" applyFill="1" applyBorder="1" applyAlignment="1">
      <alignment horizontal="center" vertical="center" wrapText="1"/>
    </xf>
    <xf numFmtId="164" fontId="3" fillId="6" borderId="2" xfId="4" applyNumberFormat="1" applyFont="1" applyFill="1" applyBorder="1" applyAlignment="1">
      <alignment horizontal="center" vertical="center" wrapText="1"/>
    </xf>
    <xf numFmtId="164" fontId="2" fillId="21" borderId="1" xfId="4" applyNumberFormat="1" applyFont="1" applyFill="1" applyBorder="1" applyAlignment="1">
      <alignment horizontal="center" vertical="center" wrapText="1"/>
    </xf>
    <xf numFmtId="164" fontId="2" fillId="21" borderId="2" xfId="4" applyNumberFormat="1" applyFont="1" applyFill="1" applyBorder="1" applyAlignment="1">
      <alignment horizontal="center" vertical="center" wrapText="1"/>
    </xf>
    <xf numFmtId="164" fontId="3" fillId="6" borderId="7" xfId="4" applyNumberFormat="1" applyFont="1" applyFill="1" applyBorder="1" applyAlignment="1">
      <alignment horizontal="center" vertical="center" wrapText="1"/>
    </xf>
    <xf numFmtId="0" fontId="13" fillId="2" borderId="68" xfId="0" applyFont="1" applyFill="1" applyBorder="1" applyAlignment="1">
      <alignment horizontal="center"/>
    </xf>
    <xf numFmtId="0" fontId="13" fillId="2" borderId="72" xfId="0" applyFont="1" applyFill="1" applyBorder="1" applyAlignment="1">
      <alignment horizontal="center"/>
    </xf>
    <xf numFmtId="0" fontId="13" fillId="2" borderId="55" xfId="0" applyFont="1" applyFill="1" applyBorder="1" applyAlignment="1">
      <alignment horizontal="center"/>
    </xf>
    <xf numFmtId="0" fontId="0" fillId="8" borderId="22" xfId="0" applyFill="1" applyBorder="1" applyAlignment="1">
      <alignment horizontal="center" vertical="center"/>
    </xf>
    <xf numFmtId="0" fontId="0" fillId="8" borderId="25" xfId="0" applyFill="1" applyBorder="1" applyAlignment="1">
      <alignment horizontal="center" vertical="center"/>
    </xf>
    <xf numFmtId="0" fontId="0" fillId="8" borderId="26" xfId="0" applyFill="1" applyBorder="1" applyAlignment="1">
      <alignment horizontal="center" vertical="center"/>
    </xf>
    <xf numFmtId="0" fontId="13" fillId="2" borderId="62" xfId="0" applyFont="1" applyFill="1" applyBorder="1" applyAlignment="1">
      <alignment horizontal="center"/>
    </xf>
    <xf numFmtId="0" fontId="13" fillId="2" borderId="53" xfId="0" applyFont="1" applyFill="1" applyBorder="1" applyAlignment="1">
      <alignment horizontal="center"/>
    </xf>
    <xf numFmtId="0" fontId="13" fillId="2" borderId="36" xfId="0" applyFont="1" applyFill="1" applyBorder="1" applyAlignment="1">
      <alignment horizontal="center"/>
    </xf>
    <xf numFmtId="164" fontId="0" fillId="0" borderId="29" xfId="0" applyNumberFormat="1" applyBorder="1" applyAlignment="1">
      <alignment horizontal="center" vertical="center" wrapText="1"/>
    </xf>
    <xf numFmtId="164" fontId="0" fillId="0" borderId="0" xfId="0" applyNumberFormat="1" applyBorder="1" applyAlignment="1">
      <alignment horizontal="center" vertical="center" wrapText="1"/>
    </xf>
    <xf numFmtId="0" fontId="0" fillId="0" borderId="29" xfId="0" applyNumberFormat="1" applyBorder="1" applyAlignment="1">
      <alignment horizontal="center" vertical="center" wrapText="1"/>
    </xf>
    <xf numFmtId="0" fontId="0" fillId="0" borderId="0" xfId="0" applyNumberFormat="1" applyBorder="1" applyAlignment="1">
      <alignment horizontal="center" vertical="center" wrapText="1"/>
    </xf>
    <xf numFmtId="0" fontId="0" fillId="0" borderId="29" xfId="0" applyNumberFormat="1" applyBorder="1" applyAlignment="1">
      <alignment horizontal="left" vertical="top" wrapText="1"/>
    </xf>
    <xf numFmtId="0" fontId="0" fillId="0" borderId="0" xfId="0" applyNumberFormat="1" applyBorder="1" applyAlignment="1">
      <alignment horizontal="left" vertical="top" wrapText="1"/>
    </xf>
    <xf numFmtId="0" fontId="0" fillId="8" borderId="18" xfId="0" applyFill="1" applyBorder="1" applyAlignment="1">
      <alignment horizontal="center" vertical="center"/>
    </xf>
    <xf numFmtId="0" fontId="0" fillId="8" borderId="38" xfId="0" applyFill="1" applyBorder="1" applyAlignment="1">
      <alignment horizontal="center" vertical="center"/>
    </xf>
    <xf numFmtId="0" fontId="0" fillId="8" borderId="19" xfId="0" applyFill="1" applyBorder="1" applyAlignment="1">
      <alignment horizontal="center" vertical="center"/>
    </xf>
    <xf numFmtId="0" fontId="13" fillId="2" borderId="62" xfId="0" applyFont="1" applyFill="1" applyBorder="1" applyAlignment="1">
      <alignment horizontal="center" vertical="center"/>
    </xf>
    <xf numFmtId="0" fontId="13" fillId="2" borderId="53" xfId="0" applyFont="1" applyFill="1" applyBorder="1" applyAlignment="1">
      <alignment horizontal="center" vertical="center"/>
    </xf>
    <xf numFmtId="0" fontId="13" fillId="2" borderId="36" xfId="0" applyFont="1" applyFill="1" applyBorder="1" applyAlignment="1">
      <alignment horizontal="center" vertical="center"/>
    </xf>
    <xf numFmtId="0" fontId="13" fillId="2" borderId="42" xfId="0" applyFont="1" applyFill="1" applyBorder="1" applyAlignment="1">
      <alignment horizontal="center" vertical="center"/>
    </xf>
    <xf numFmtId="0" fontId="13" fillId="2" borderId="58" xfId="0" applyFont="1" applyFill="1" applyBorder="1" applyAlignment="1">
      <alignment horizontal="center" vertical="center"/>
    </xf>
    <xf numFmtId="0" fontId="13" fillId="2" borderId="20" xfId="0" applyFont="1" applyFill="1" applyBorder="1" applyAlignment="1">
      <alignment horizontal="center" vertical="center"/>
    </xf>
    <xf numFmtId="0" fontId="13" fillId="2" borderId="73" xfId="0" applyFont="1" applyFill="1" applyBorder="1" applyAlignment="1">
      <alignment horizontal="center" vertical="center"/>
    </xf>
    <xf numFmtId="14" fontId="0" fillId="0" borderId="29" xfId="0" applyNumberFormat="1" applyBorder="1" applyAlignment="1">
      <alignment horizontal="center" vertical="center" wrapText="1"/>
    </xf>
    <xf numFmtId="14" fontId="0" fillId="0" borderId="0" xfId="0" applyNumberFormat="1" applyBorder="1" applyAlignment="1">
      <alignment horizontal="center" vertical="center" wrapText="1"/>
    </xf>
    <xf numFmtId="0" fontId="0" fillId="0" borderId="0" xfId="0" applyBorder="1" applyAlignment="1">
      <alignment horizontal="center" vertical="center" wrapText="1"/>
    </xf>
    <xf numFmtId="0" fontId="0" fillId="8" borderId="3" xfId="0" applyFill="1" applyBorder="1" applyAlignment="1">
      <alignment horizontal="center" vertical="center"/>
    </xf>
    <xf numFmtId="0" fontId="0" fillId="8" borderId="54" xfId="0" applyFill="1" applyBorder="1" applyAlignment="1">
      <alignment horizontal="center" vertical="center"/>
    </xf>
    <xf numFmtId="0" fontId="0" fillId="8" borderId="50" xfId="0" applyFill="1" applyBorder="1" applyAlignment="1">
      <alignment horizontal="center" vertical="center"/>
    </xf>
    <xf numFmtId="0" fontId="0" fillId="8" borderId="5" xfId="0" applyFill="1" applyBorder="1" applyAlignment="1">
      <alignment horizontal="center" vertical="center"/>
    </xf>
    <xf numFmtId="0" fontId="13" fillId="2" borderId="51" xfId="0" applyFont="1" applyFill="1" applyBorder="1" applyAlignment="1">
      <alignment horizontal="center" vertical="center"/>
    </xf>
    <xf numFmtId="0" fontId="13" fillId="2" borderId="46" xfId="0" applyFont="1" applyFill="1" applyBorder="1" applyAlignment="1">
      <alignment horizontal="center" vertical="center"/>
    </xf>
    <xf numFmtId="0" fontId="13" fillId="2" borderId="29" xfId="0" applyFont="1" applyFill="1" applyBorder="1" applyAlignment="1">
      <alignment horizontal="center" vertical="center"/>
    </xf>
    <xf numFmtId="0" fontId="13" fillId="2" borderId="56" xfId="0" applyFont="1" applyFill="1" applyBorder="1" applyAlignment="1">
      <alignment horizontal="center" vertical="center"/>
    </xf>
    <xf numFmtId="0" fontId="13" fillId="2" borderId="0" xfId="0" applyFont="1" applyFill="1" applyBorder="1" applyAlignment="1">
      <alignment horizontal="center" vertical="center"/>
    </xf>
    <xf numFmtId="0" fontId="0" fillId="0" borderId="0" xfId="0" applyAlignment="1">
      <alignment horizontal="left" vertical="top"/>
    </xf>
    <xf numFmtId="0" fontId="0" fillId="0" borderId="0" xfId="0" applyNumberFormat="1" applyAlignment="1">
      <alignment horizontal="center" vertical="center" wrapText="1"/>
    </xf>
    <xf numFmtId="0" fontId="13" fillId="2" borderId="20" xfId="0" applyFont="1" applyFill="1" applyBorder="1" applyAlignment="1">
      <alignment horizontal="center"/>
    </xf>
    <xf numFmtId="14" fontId="0" fillId="0" borderId="29" xfId="0" applyNumberFormat="1" applyBorder="1" applyAlignment="1">
      <alignment horizontal="center" vertical="center"/>
    </xf>
    <xf numFmtId="14" fontId="0" fillId="0" borderId="0" xfId="0" applyNumberFormat="1" applyAlignment="1">
      <alignment horizontal="center" vertical="center"/>
    </xf>
    <xf numFmtId="0" fontId="0" fillId="0" borderId="29" xfId="0" applyBorder="1" applyAlignment="1">
      <alignment horizontal="left" vertical="center"/>
    </xf>
    <xf numFmtId="0" fontId="0" fillId="0" borderId="0" xfId="0" applyAlignment="1">
      <alignment horizontal="left" vertical="center"/>
    </xf>
    <xf numFmtId="0" fontId="0" fillId="0" borderId="29" xfId="0" applyBorder="1" applyAlignment="1">
      <alignment horizontal="center" vertical="center" wrapText="1"/>
    </xf>
    <xf numFmtId="0" fontId="19" fillId="24" borderId="62" xfId="0" applyFont="1" applyFill="1" applyBorder="1" applyAlignment="1">
      <alignment horizontal="center"/>
    </xf>
    <xf numFmtId="0" fontId="19" fillId="24" borderId="53" xfId="0" applyFont="1" applyFill="1" applyBorder="1" applyAlignment="1">
      <alignment horizontal="center"/>
    </xf>
    <xf numFmtId="0" fontId="19" fillId="24" borderId="36" xfId="0" applyFont="1" applyFill="1" applyBorder="1" applyAlignment="1">
      <alignment horizontal="center"/>
    </xf>
    <xf numFmtId="14" fontId="0" fillId="0" borderId="0" xfId="0" applyNumberFormat="1" applyAlignment="1">
      <alignment horizontal="center" vertical="center" wrapText="1"/>
    </xf>
    <xf numFmtId="0" fontId="13" fillId="2" borderId="68" xfId="0" applyFont="1" applyFill="1" applyBorder="1" applyAlignment="1">
      <alignment horizontal="center" vertical="center"/>
    </xf>
    <xf numFmtId="0" fontId="13" fillId="2" borderId="55" xfId="0" applyFont="1" applyFill="1" applyBorder="1" applyAlignment="1">
      <alignment horizontal="center" vertical="center"/>
    </xf>
    <xf numFmtId="0" fontId="19" fillId="7" borderId="20" xfId="0" applyNumberFormat="1" applyFont="1" applyFill="1" applyBorder="1" applyAlignment="1">
      <alignment horizontal="center" vertical="center" wrapText="1"/>
    </xf>
    <xf numFmtId="0" fontId="13" fillId="2" borderId="72" xfId="0" applyFont="1" applyFill="1" applyBorder="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xf>
    <xf numFmtId="0" fontId="19" fillId="7" borderId="20" xfId="0" applyFont="1" applyFill="1" applyBorder="1" applyAlignment="1">
      <alignment horizontal="center"/>
    </xf>
    <xf numFmtId="0" fontId="3" fillId="6" borderId="20" xfId="0" applyFont="1" applyFill="1" applyBorder="1" applyAlignment="1">
      <alignment horizontal="center" vertical="center"/>
    </xf>
    <xf numFmtId="0" fontId="3" fillId="8" borderId="62" xfId="0" applyFont="1" applyFill="1" applyBorder="1" applyAlignment="1">
      <alignment horizontal="center" vertical="center"/>
    </xf>
    <xf numFmtId="0" fontId="3" fillId="8" borderId="53" xfId="0" applyFont="1" applyFill="1" applyBorder="1" applyAlignment="1">
      <alignment horizontal="center" vertical="center"/>
    </xf>
    <xf numFmtId="0" fontId="3" fillId="8" borderId="36" xfId="0" applyFont="1" applyFill="1" applyBorder="1" applyAlignment="1">
      <alignment horizontal="center" vertical="center"/>
    </xf>
    <xf numFmtId="0" fontId="13" fillId="7" borderId="42" xfId="0" applyFont="1" applyFill="1" applyBorder="1" applyAlignment="1">
      <alignment horizontal="center" vertical="center"/>
    </xf>
    <xf numFmtId="0" fontId="13" fillId="7" borderId="51" xfId="0" applyFont="1" applyFill="1" applyBorder="1" applyAlignment="1">
      <alignment horizontal="center" vertical="center"/>
    </xf>
    <xf numFmtId="0" fontId="19" fillId="7" borderId="62" xfId="0" applyFont="1" applyFill="1" applyBorder="1" applyAlignment="1">
      <alignment horizontal="center"/>
    </xf>
    <xf numFmtId="0" fontId="19" fillId="7" borderId="53" xfId="0" applyFont="1" applyFill="1" applyBorder="1" applyAlignment="1">
      <alignment horizontal="center"/>
    </xf>
    <xf numFmtId="0" fontId="19" fillId="7" borderId="36" xfId="0" applyFont="1" applyFill="1" applyBorder="1" applyAlignment="1">
      <alignment horizontal="center"/>
    </xf>
    <xf numFmtId="0" fontId="0" fillId="0" borderId="29" xfId="0" applyBorder="1" applyAlignment="1">
      <alignment horizontal="center" vertical="center"/>
    </xf>
    <xf numFmtId="0" fontId="19" fillId="7" borderId="0" xfId="0" applyFont="1" applyFill="1" applyAlignment="1">
      <alignment horizontal="center" vertical="center"/>
    </xf>
    <xf numFmtId="0" fontId="13" fillId="24" borderId="56" xfId="0" applyFont="1" applyFill="1" applyBorder="1" applyAlignment="1">
      <alignment horizontal="center" vertical="center"/>
    </xf>
    <xf numFmtId="0" fontId="13" fillId="24" borderId="64" xfId="0" applyFont="1" applyFill="1" applyBorder="1" applyAlignment="1">
      <alignment horizontal="center" vertical="center"/>
    </xf>
    <xf numFmtId="0" fontId="19" fillId="2" borderId="62" xfId="0" applyFont="1" applyFill="1" applyBorder="1" applyAlignment="1">
      <alignment horizontal="center"/>
    </xf>
    <xf numFmtId="0" fontId="19" fillId="2" borderId="53" xfId="0" applyFont="1" applyFill="1" applyBorder="1" applyAlignment="1">
      <alignment horizontal="center"/>
    </xf>
    <xf numFmtId="0" fontId="19" fillId="2" borderId="36" xfId="0" applyFont="1" applyFill="1" applyBorder="1" applyAlignment="1">
      <alignment horizontal="center"/>
    </xf>
    <xf numFmtId="0" fontId="13" fillId="24" borderId="29" xfId="0" applyFont="1" applyFill="1" applyBorder="1" applyAlignment="1">
      <alignment horizontal="center" vertical="center"/>
    </xf>
    <xf numFmtId="0" fontId="13" fillId="24" borderId="72" xfId="0" applyFont="1" applyFill="1" applyBorder="1" applyAlignment="1">
      <alignment horizontal="center" vertical="center"/>
    </xf>
    <xf numFmtId="0" fontId="19" fillId="7" borderId="3" xfId="0" applyNumberFormat="1" applyFont="1" applyFill="1" applyBorder="1" applyAlignment="1">
      <alignment horizontal="left" vertical="top" wrapText="1"/>
    </xf>
    <xf numFmtId="0" fontId="19" fillId="7" borderId="54" xfId="0" applyNumberFormat="1" applyFont="1" applyFill="1" applyBorder="1" applyAlignment="1">
      <alignment horizontal="left" vertical="top" wrapText="1"/>
    </xf>
    <xf numFmtId="0" fontId="19" fillId="7" borderId="5" xfId="0" applyNumberFormat="1" applyFont="1" applyFill="1" applyBorder="1" applyAlignment="1">
      <alignment horizontal="left" vertical="top" wrapText="1"/>
    </xf>
    <xf numFmtId="49" fontId="19" fillId="7" borderId="42" xfId="0" applyNumberFormat="1" applyFont="1" applyFill="1" applyBorder="1" applyAlignment="1">
      <alignment horizontal="center" vertical="center" wrapText="1"/>
    </xf>
    <xf numFmtId="49" fontId="19" fillId="7" borderId="51" xfId="0" applyNumberFormat="1" applyFont="1" applyFill="1" applyBorder="1" applyAlignment="1">
      <alignment horizontal="center" vertical="center" wrapText="1"/>
    </xf>
    <xf numFmtId="0" fontId="19" fillId="7" borderId="42" xfId="0" applyFont="1" applyFill="1" applyBorder="1" applyAlignment="1">
      <alignment horizontal="center" vertical="center"/>
    </xf>
    <xf numFmtId="0" fontId="19" fillId="7" borderId="51" xfId="0" applyFont="1" applyFill="1" applyBorder="1" applyAlignment="1">
      <alignment horizontal="center" vertical="center"/>
    </xf>
    <xf numFmtId="0" fontId="19" fillId="7" borderId="42" xfId="0" applyFont="1" applyFill="1" applyBorder="1" applyAlignment="1">
      <alignment horizontal="center" vertical="center" wrapText="1"/>
    </xf>
    <xf numFmtId="0" fontId="19" fillId="7" borderId="51" xfId="0" applyFont="1" applyFill="1" applyBorder="1" applyAlignment="1">
      <alignment horizontal="center" vertical="center" wrapText="1"/>
    </xf>
    <xf numFmtId="0" fontId="19" fillId="7" borderId="20" xfId="0" applyFont="1" applyFill="1" applyBorder="1" applyAlignment="1">
      <alignment horizontal="center" vertical="center"/>
    </xf>
    <xf numFmtId="0" fontId="13" fillId="2" borderId="3" xfId="0" applyFont="1" applyFill="1" applyBorder="1" applyAlignment="1">
      <alignment horizontal="center" vertical="center"/>
    </xf>
    <xf numFmtId="0" fontId="13" fillId="2" borderId="5" xfId="0" applyFont="1" applyFill="1" applyBorder="1" applyAlignment="1">
      <alignment horizontal="center" vertical="center"/>
    </xf>
    <xf numFmtId="0" fontId="2" fillId="2" borderId="10" xfId="3" applyFont="1" applyFill="1" applyBorder="1" applyAlignment="1" applyProtection="1">
      <alignment horizontal="center" vertical="center"/>
      <protection locked="0"/>
    </xf>
    <xf numFmtId="0" fontId="2" fillId="2" borderId="13" xfId="3" applyFont="1" applyFill="1" applyBorder="1" applyAlignment="1" applyProtection="1">
      <alignment horizontal="center" vertical="center"/>
      <protection locked="0"/>
    </xf>
    <xf numFmtId="0" fontId="5" fillId="2" borderId="7" xfId="3"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wrapText="1"/>
      <protection locked="0"/>
    </xf>
    <xf numFmtId="0" fontId="2" fillId="2" borderId="5" xfId="0" applyFont="1" applyFill="1" applyBorder="1" applyAlignment="1" applyProtection="1">
      <alignment horizontal="center" vertical="center" wrapText="1"/>
      <protection locked="0"/>
    </xf>
    <xf numFmtId="0" fontId="10" fillId="2" borderId="11" xfId="0" applyFont="1" applyFill="1" applyBorder="1" applyAlignment="1" applyProtection="1">
      <alignment horizontal="center" vertical="center"/>
      <protection locked="0"/>
    </xf>
    <xf numFmtId="0" fontId="10" fillId="2" borderId="12" xfId="0" applyFont="1" applyFill="1" applyBorder="1" applyAlignment="1" applyProtection="1">
      <alignment horizontal="center" vertical="center"/>
      <protection locked="0"/>
    </xf>
    <xf numFmtId="0" fontId="0" fillId="0" borderId="0" xfId="0" applyAlignment="1">
      <alignment horizontal="center" vertical="top" wrapText="1"/>
    </xf>
    <xf numFmtId="0" fontId="37" fillId="0" borderId="0" xfId="0" applyFont="1" applyAlignment="1">
      <alignment horizontal="center" vertical="top" wrapText="1"/>
    </xf>
    <xf numFmtId="0" fontId="30" fillId="2" borderId="65" xfId="0" applyFont="1" applyFill="1" applyBorder="1" applyAlignment="1">
      <alignment horizontal="left" vertical="center" wrapText="1"/>
    </xf>
    <xf numFmtId="0" fontId="30" fillId="2" borderId="64" xfId="0" applyFont="1" applyFill="1" applyBorder="1" applyAlignment="1">
      <alignment horizontal="left" vertical="center" wrapText="1"/>
    </xf>
    <xf numFmtId="0" fontId="30" fillId="2" borderId="66" xfId="0" applyFont="1" applyFill="1" applyBorder="1" applyAlignment="1">
      <alignment horizontal="left" vertical="center" wrapText="1"/>
    </xf>
    <xf numFmtId="0" fontId="30" fillId="2" borderId="48" xfId="0" applyFont="1" applyFill="1" applyBorder="1" applyAlignment="1">
      <alignment horizontal="left" vertical="center" wrapText="1"/>
    </xf>
    <xf numFmtId="0" fontId="30" fillId="2" borderId="58" xfId="0" applyFont="1" applyFill="1" applyBorder="1" applyAlignment="1">
      <alignment horizontal="left" vertical="center" wrapText="1"/>
    </xf>
    <xf numFmtId="0" fontId="30" fillId="2" borderId="59" xfId="0" applyFont="1" applyFill="1" applyBorder="1" applyAlignment="1">
      <alignment horizontal="left" vertical="center" wrapText="1"/>
    </xf>
    <xf numFmtId="0" fontId="30" fillId="2" borderId="6" xfId="0" applyFont="1" applyFill="1" applyBorder="1" applyAlignment="1">
      <alignment horizontal="left" vertical="center" wrapText="1"/>
    </xf>
    <xf numFmtId="0" fontId="30" fillId="2" borderId="20" xfId="0" applyFont="1" applyFill="1" applyBorder="1" applyAlignment="1">
      <alignment horizontal="left" vertical="center" wrapText="1"/>
    </xf>
    <xf numFmtId="0" fontId="30" fillId="2" borderId="27" xfId="0" applyFont="1" applyFill="1" applyBorder="1" applyAlignment="1">
      <alignment horizontal="left" vertical="center" wrapText="1"/>
    </xf>
    <xf numFmtId="0" fontId="12" fillId="2" borderId="33" xfId="0" applyFont="1" applyFill="1" applyBorder="1" applyAlignment="1">
      <alignment horizontal="left" vertical="center"/>
    </xf>
    <xf numFmtId="0" fontId="12" fillId="2" borderId="53" xfId="0" applyFont="1" applyFill="1" applyBorder="1" applyAlignment="1">
      <alignment horizontal="left" vertical="center"/>
    </xf>
    <xf numFmtId="0" fontId="12" fillId="2" borderId="60" xfId="0" applyFont="1" applyFill="1" applyBorder="1" applyAlignment="1">
      <alignment horizontal="left" vertical="center"/>
    </xf>
    <xf numFmtId="0" fontId="13" fillId="2" borderId="64" xfId="0" applyFont="1" applyFill="1" applyBorder="1" applyAlignment="1">
      <alignment horizontal="center" vertical="center"/>
    </xf>
    <xf numFmtId="0" fontId="0" fillId="0" borderId="29" xfId="0" applyBorder="1" applyAlignment="1">
      <alignment horizontal="left" vertical="top" wrapText="1"/>
    </xf>
    <xf numFmtId="0" fontId="0" fillId="0" borderId="0" xfId="0" applyBorder="1" applyAlignment="1">
      <alignment horizontal="left" vertical="top" wrapText="1"/>
    </xf>
    <xf numFmtId="14" fontId="13" fillId="2" borderId="20" xfId="0" applyNumberFormat="1" applyFont="1" applyFill="1" applyBorder="1" applyAlignment="1">
      <alignment horizontal="center" vertical="center"/>
    </xf>
    <xf numFmtId="0" fontId="12" fillId="2" borderId="3" xfId="0" applyFont="1" applyFill="1" applyBorder="1" applyAlignment="1">
      <alignment horizontal="left" vertical="center"/>
    </xf>
    <xf numFmtId="0" fontId="12" fillId="2" borderId="5" xfId="0" applyFont="1" applyFill="1" applyBorder="1" applyAlignment="1">
      <alignment horizontal="left" vertical="center"/>
    </xf>
  </cellXfs>
  <cellStyles count="7">
    <cellStyle name="Гиперссылка" xfId="3" builtinId="8"/>
    <cellStyle name="Обычный" xfId="0" builtinId="0"/>
    <cellStyle name="Обычный 2" xfId="4"/>
    <cellStyle name="Обычный 2 2" xfId="6"/>
    <cellStyle name="Процентный" xfId="5" builtinId="5"/>
    <cellStyle name="УровеньСтолб_1" xfId="2" builtinId="2" iLevel="0"/>
    <cellStyle name="УровеньСтрок_1" xfId="1" builtinId="1" iLevel="0"/>
  </cellStyles>
  <dxfs count="610">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2D050"/>
      </font>
    </dxf>
    <dxf>
      <font>
        <color rgb="FFFF0000"/>
      </font>
    </dxf>
    <dxf>
      <font>
        <color rgb="FF92D050"/>
      </font>
    </dxf>
    <dxf>
      <font>
        <color rgb="FFFF0000"/>
      </font>
    </dxf>
    <dxf>
      <font>
        <color rgb="FF92D050"/>
      </font>
    </dxf>
    <dxf>
      <font>
        <color rgb="FFFF0000"/>
      </font>
    </dxf>
    <dxf>
      <font>
        <color rgb="FF92D050"/>
      </font>
    </dxf>
    <dxf>
      <font>
        <color rgb="FFFF0000"/>
      </font>
    </dxf>
    <dxf>
      <font>
        <color rgb="FF92D050"/>
      </font>
    </dxf>
    <dxf>
      <font>
        <color rgb="FFFF0000"/>
      </font>
    </dxf>
    <dxf>
      <font>
        <color rgb="FF92D050"/>
      </font>
    </dxf>
    <dxf>
      <font>
        <color rgb="FFFF0000"/>
      </font>
    </dxf>
    <dxf>
      <font>
        <color rgb="FF92D050"/>
      </font>
    </dxf>
    <dxf>
      <font>
        <color rgb="FFFF0000"/>
      </font>
    </dxf>
    <dxf>
      <font>
        <color rgb="FF92D050"/>
      </font>
    </dxf>
    <dxf>
      <font>
        <color rgb="FFFF0000"/>
      </font>
    </dxf>
    <dxf>
      <font>
        <color rgb="FF92D050"/>
      </font>
    </dxf>
    <dxf>
      <font>
        <color rgb="FFFF0000"/>
      </font>
    </dxf>
    <dxf>
      <font>
        <color rgb="FF92D050"/>
      </font>
    </dxf>
    <dxf>
      <font>
        <color rgb="FFFF0000"/>
      </font>
    </dxf>
    <dxf>
      <font>
        <color rgb="FF92D050"/>
      </font>
    </dxf>
    <dxf>
      <font>
        <color rgb="FFFF0000"/>
      </font>
    </dxf>
    <dxf>
      <font>
        <color rgb="FF92D050"/>
      </font>
    </dxf>
    <dxf>
      <font>
        <color rgb="FFFF0000"/>
      </font>
    </dxf>
    <dxf>
      <font>
        <color rgb="FF92D050"/>
      </font>
    </dxf>
    <dxf>
      <font>
        <color rgb="FFFF0000"/>
      </font>
    </dxf>
    <dxf>
      <fill>
        <patternFill>
          <bgColor rgb="FF92D050"/>
        </patternFill>
      </fill>
    </dxf>
    <dxf>
      <font>
        <color rgb="FF92D050"/>
      </font>
    </dxf>
    <dxf>
      <font>
        <color rgb="FF92D050"/>
      </font>
    </dxf>
    <dxf>
      <font>
        <color rgb="FF92D05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7"/>
        </patternFill>
      </fill>
      <border>
        <left/>
        <right/>
        <top/>
        <bottom/>
        <vertical/>
        <horizontal/>
      </border>
    </dxf>
    <dxf>
      <fill>
        <patternFill>
          <bgColor rgb="FF92D05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FFC00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theme="8"/>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92D050"/>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92D05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92D050"/>
        </patternFill>
      </fill>
    </dxf>
    <dxf>
      <fill>
        <patternFill>
          <bgColor rgb="FFFFC00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0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92D050"/>
        </patternFill>
      </fill>
    </dxf>
    <dxf>
      <fill>
        <patternFill>
          <bgColor rgb="FFFFC00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92D050"/>
        </patternFill>
      </fill>
    </dxf>
    <dxf>
      <fill>
        <patternFill>
          <bgColor rgb="FFFFC00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92D050"/>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FFC000"/>
        </patternFill>
      </fill>
    </dxf>
    <dxf>
      <fill>
        <patternFill>
          <bgColor rgb="FF92D050"/>
        </patternFill>
      </fill>
    </dxf>
    <dxf>
      <fill>
        <patternFill>
          <bgColor rgb="FFFF0000"/>
        </patternFill>
      </fill>
    </dxf>
    <dxf>
      <font>
        <color theme="0"/>
      </font>
      <fill>
        <patternFill>
          <bgColor rgb="FF7030A0"/>
        </patternFill>
      </fill>
    </dxf>
    <dxf>
      <font>
        <color theme="0"/>
      </font>
      <fill>
        <patternFill>
          <bgColor rgb="FF0070C0"/>
        </patternFill>
      </fill>
    </dxf>
    <dxf>
      <font>
        <color theme="0"/>
      </font>
      <fill>
        <patternFill>
          <bgColor rgb="FF00206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C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92D050"/>
        </patternFill>
      </fill>
    </dxf>
    <dxf>
      <font>
        <color theme="0"/>
      </font>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1" tint="0.14996795556505021"/>
      </font>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C000"/>
        </patternFill>
      </fill>
    </dxf>
    <dxf>
      <fill>
        <patternFill>
          <bgColor rgb="FF92D050"/>
        </patternFill>
      </fill>
    </dxf>
    <dxf>
      <fill>
        <patternFill>
          <bgColor rgb="FFFF0000"/>
        </patternFill>
      </fill>
    </dxf>
    <dxf>
      <fill>
        <patternFill>
          <bgColor rgb="FF92D050"/>
        </patternFill>
      </fill>
    </dxf>
    <dxf>
      <font>
        <color theme="0"/>
      </font>
      <fill>
        <patternFill>
          <bgColor rgb="FFFF0000"/>
        </patternFill>
      </fill>
    </dxf>
    <dxf>
      <numFmt numFmtId="0" formatCode="General"/>
    </dxf>
    <dxf>
      <numFmt numFmtId="0" formatCode="General"/>
      <alignment horizontal="center" textRotation="0" wrapText="0" indent="0" justifyLastLine="0" shrinkToFit="0" readingOrder="0"/>
    </dxf>
    <dxf>
      <numFmt numFmtId="0" formatCode="General"/>
    </dxf>
    <dxf>
      <alignment horizontal="center" vertical="center" textRotation="0" wrapText="0" indent="0" justifyLastLine="0" shrinkToFit="0" readingOrder="0"/>
    </dxf>
    <dxf>
      <numFmt numFmtId="0" formatCode="General"/>
    </dxf>
    <dxf>
      <numFmt numFmtId="0" formatCode="General"/>
      <alignment horizontal="center" textRotation="0" wrapText="0" indent="0" justifyLastLine="0" shrinkToFit="0" readingOrder="0"/>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center" textRotation="0" wrapText="0" indent="0" justifyLastLine="0" shrinkToFit="0" readingOrder="0"/>
    </dxf>
    <dxf>
      <fill>
        <patternFill>
          <bgColor rgb="FF92D050"/>
        </patternFill>
      </fill>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colors>
    <mruColors>
      <color rgb="FF8D54E2"/>
      <color rgb="FF9933FF"/>
      <color rgb="FF990099"/>
      <color rgb="FFFF7979"/>
      <color rgb="FFFFA709"/>
      <color rgb="FFEB701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sz="1400" b="0" i="0" u="none" strike="noStrike" baseline="0">
                <a:effectLst/>
              </a:rPr>
              <a:t>Возвраты</a:t>
            </a:r>
            <a:endParaRPr lang="ru-RU"/>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1"/>
          <c:order val="0"/>
          <c:tx>
            <c:strRef>
              <c:f>ВОЗВРАТЫ!$A$5</c:f>
              <c:strCache>
                <c:ptCount val="1"/>
                <c:pt idx="0">
                  <c:v>Нечаева Александра Анатольевна</c:v>
                </c:pt>
              </c:strCache>
            </c:strRef>
          </c:tx>
          <c:spPr>
            <a:solidFill>
              <a:schemeClr val="accent2"/>
            </a:solidFill>
            <a:ln>
              <a:noFill/>
            </a:ln>
            <a:effectLst/>
          </c:spPr>
          <c:invertIfNegative val="0"/>
          <c:val>
            <c:numRef>
              <c:f>ВОЗВРАТЫ!$H$7:$HA$7</c:f>
              <c:numCache>
                <c:formatCode>0%</c:formatCode>
                <c:ptCount val="35"/>
                <c:pt idx="0">
                  <c:v>0.47058823529411764</c:v>
                </c:pt>
                <c:pt idx="1">
                  <c:v>0.14285714285714285</c:v>
                </c:pt>
                <c:pt idx="2">
                  <c:v>0.8</c:v>
                </c:pt>
                <c:pt idx="3">
                  <c:v>6.6666666666666666E-2</c:v>
                </c:pt>
                <c:pt idx="4">
                  <c:v>0.29166666666666669</c:v>
                </c:pt>
                <c:pt idx="5">
                  <c:v>0.28000000000000003</c:v>
                </c:pt>
                <c:pt idx="6">
                  <c:v>0.38709677419354838</c:v>
                </c:pt>
                <c:pt idx="7">
                  <c:v>0.33333333333333331</c:v>
                </c:pt>
                <c:pt idx="8">
                  <c:v>0.15217391304347827</c:v>
                </c:pt>
                <c:pt idx="9">
                  <c:v>0.4</c:v>
                </c:pt>
                <c:pt idx="10">
                  <c:v>0.33333333333333331</c:v>
                </c:pt>
                <c:pt idx="11">
                  <c:v>0.26315789473684209</c:v>
                </c:pt>
                <c:pt idx="12">
                  <c:v>0</c:v>
                </c:pt>
                <c:pt idx="13">
                  <c:v>0.14285714285714285</c:v>
                </c:pt>
                <c:pt idx="14">
                  <c:v>0</c:v>
                </c:pt>
                <c:pt idx="15">
                  <c:v>0</c:v>
                </c:pt>
                <c:pt idx="16">
                  <c:v>0</c:v>
                </c:pt>
                <c:pt idx="17">
                  <c:v>0</c:v>
                </c:pt>
                <c:pt idx="18">
                  <c:v>0.47058823529411764</c:v>
                </c:pt>
                <c:pt idx="19">
                  <c:v>0.22727272727272727</c:v>
                </c:pt>
                <c:pt idx="20">
                  <c:v>0.22222222222222221</c:v>
                </c:pt>
                <c:pt idx="21">
                  <c:v>0.40909090909090912</c:v>
                </c:pt>
                <c:pt idx="22">
                  <c:v>0.34782608695652173</c:v>
                </c:pt>
                <c:pt idx="23">
                  <c:v>0.16666666666666666</c:v>
                </c:pt>
                <c:pt idx="24">
                  <c:v>0.38095238095238093</c:v>
                </c:pt>
                <c:pt idx="25">
                  <c:v>0.18181818181818182</c:v>
                </c:pt>
                <c:pt idx="26">
                  <c:v>0</c:v>
                </c:pt>
                <c:pt idx="27">
                  <c:v>0</c:v>
                </c:pt>
                <c:pt idx="28">
                  <c:v>0.5</c:v>
                </c:pt>
                <c:pt idx="29">
                  <c:v>0.5625</c:v>
                </c:pt>
                <c:pt idx="30">
                  <c:v>0.58823529411764708</c:v>
                </c:pt>
                <c:pt idx="31">
                  <c:v>0</c:v>
                </c:pt>
                <c:pt idx="32">
                  <c:v>0</c:v>
                </c:pt>
                <c:pt idx="33">
                  <c:v>0</c:v>
                </c:pt>
                <c:pt idx="34">
                  <c:v>0</c:v>
                </c:pt>
              </c:numCache>
            </c:numRef>
          </c:val>
          <c:extLst>
            <c:ext xmlns:c16="http://schemas.microsoft.com/office/drawing/2014/chart" uri="{C3380CC4-5D6E-409C-BE32-E72D297353CC}">
              <c16:uniqueId val="{00000001-314C-4F58-9445-8B9515CE0579}"/>
            </c:ext>
          </c:extLst>
        </c:ser>
        <c:ser>
          <c:idx val="0"/>
          <c:order val="1"/>
          <c:tx>
            <c:strRef>
              <c:f>ВОЗВРАТЫ!$A$2</c:f>
              <c:strCache>
                <c:ptCount val="1"/>
                <c:pt idx="0">
                  <c:v>Гурьянова Татьяна Юрьевна</c:v>
                </c:pt>
              </c:strCache>
            </c:strRef>
          </c:tx>
          <c:spPr>
            <a:solidFill>
              <a:schemeClr val="accent1"/>
            </a:solidFill>
            <a:ln>
              <a:noFill/>
            </a:ln>
            <a:effectLst/>
          </c:spPr>
          <c:invertIfNegative val="0"/>
          <c:val>
            <c:numRef>
              <c:f>ВОЗВРАТЫ!$H$4:$HA$4</c:f>
              <c:numCache>
                <c:formatCode>0%</c:formatCode>
                <c:ptCount val="35"/>
                <c:pt idx="0">
                  <c:v>0.22727272727272727</c:v>
                </c:pt>
                <c:pt idx="1">
                  <c:v>0.15384615384615385</c:v>
                </c:pt>
                <c:pt idx="2">
                  <c:v>0.5</c:v>
                </c:pt>
                <c:pt idx="3">
                  <c:v>0.33333333333333331</c:v>
                </c:pt>
                <c:pt idx="4">
                  <c:v>0.16666666666666666</c:v>
                </c:pt>
                <c:pt idx="5">
                  <c:v>0.17647058823529413</c:v>
                </c:pt>
                <c:pt idx="6">
                  <c:v>0.19230769230769232</c:v>
                </c:pt>
                <c:pt idx="7">
                  <c:v>0.33333333333333331</c:v>
                </c:pt>
                <c:pt idx="8">
                  <c:v>0.13207547169811321</c:v>
                </c:pt>
                <c:pt idx="9">
                  <c:v>0</c:v>
                </c:pt>
                <c:pt idx="10">
                  <c:v>0.4</c:v>
                </c:pt>
                <c:pt idx="11">
                  <c:v>0</c:v>
                </c:pt>
                <c:pt idx="12">
                  <c:v>0</c:v>
                </c:pt>
                <c:pt idx="13">
                  <c:v>0</c:v>
                </c:pt>
                <c:pt idx="14">
                  <c:v>0</c:v>
                </c:pt>
                <c:pt idx="15">
                  <c:v>8.6956521739130432E-2</c:v>
                </c:pt>
                <c:pt idx="16">
                  <c:v>0.2</c:v>
                </c:pt>
                <c:pt idx="17">
                  <c:v>0.125</c:v>
                </c:pt>
                <c:pt idx="18">
                  <c:v>0</c:v>
                </c:pt>
                <c:pt idx="19">
                  <c:v>0</c:v>
                </c:pt>
                <c:pt idx="20">
                  <c:v>0.14285714285714285</c:v>
                </c:pt>
                <c:pt idx="21">
                  <c:v>0.16666666666666666</c:v>
                </c:pt>
                <c:pt idx="22">
                  <c:v>0.21739130434782608</c:v>
                </c:pt>
                <c:pt idx="23">
                  <c:v>0.1</c:v>
                </c:pt>
                <c:pt idx="24">
                  <c:v>0.15789473684210525</c:v>
                </c:pt>
                <c:pt idx="25">
                  <c:v>0.16666666666666666</c:v>
                </c:pt>
                <c:pt idx="26">
                  <c:v>0</c:v>
                </c:pt>
                <c:pt idx="27">
                  <c:v>0</c:v>
                </c:pt>
                <c:pt idx="28">
                  <c:v>0</c:v>
                </c:pt>
                <c:pt idx="29">
                  <c:v>0</c:v>
                </c:pt>
                <c:pt idx="30">
                  <c:v>0.125</c:v>
                </c:pt>
                <c:pt idx="31">
                  <c:v>0</c:v>
                </c:pt>
                <c:pt idx="32">
                  <c:v>0</c:v>
                </c:pt>
                <c:pt idx="33">
                  <c:v>0</c:v>
                </c:pt>
                <c:pt idx="34">
                  <c:v>0</c:v>
                </c:pt>
              </c:numCache>
            </c:numRef>
          </c:val>
          <c:extLst>
            <c:ext xmlns:c16="http://schemas.microsoft.com/office/drawing/2014/chart" uri="{C3380CC4-5D6E-409C-BE32-E72D297353CC}">
              <c16:uniqueId val="{00000000-314C-4F58-9445-8B9515CE0579}"/>
            </c:ext>
          </c:extLst>
        </c:ser>
        <c:ser>
          <c:idx val="3"/>
          <c:order val="2"/>
          <c:tx>
            <c:strRef>
              <c:f>ВОЗВРАТЫ!$A$11</c:f>
              <c:strCache>
                <c:ptCount val="1"/>
                <c:pt idx="0">
                  <c:v>Голубкова Екатерина Сергеевна</c:v>
                </c:pt>
              </c:strCache>
            </c:strRef>
          </c:tx>
          <c:spPr>
            <a:solidFill>
              <a:schemeClr val="accent4"/>
            </a:solidFill>
            <a:ln>
              <a:noFill/>
            </a:ln>
            <a:effectLst/>
          </c:spPr>
          <c:invertIfNegative val="0"/>
          <c:val>
            <c:numRef>
              <c:f>ВОЗВРАТЫ!$H$13:$HA$13</c:f>
              <c:numCache>
                <c:formatCode>0%</c:formatCode>
                <c:ptCount val="35"/>
                <c:pt idx="0">
                  <c:v>0.13636363636363635</c:v>
                </c:pt>
                <c:pt idx="1">
                  <c:v>9.0909090909090912E-2</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0.17647058823529413</c:v>
                </c:pt>
                <c:pt idx="20">
                  <c:v>0.31578947368421051</c:v>
                </c:pt>
                <c:pt idx="21">
                  <c:v>0.21052631578947367</c:v>
                </c:pt>
                <c:pt idx="22">
                  <c:v>9.5238095238095233E-2</c:v>
                </c:pt>
                <c:pt idx="23">
                  <c:v>0.05</c:v>
                </c:pt>
                <c:pt idx="24">
                  <c:v>0</c:v>
                </c:pt>
                <c:pt idx="25">
                  <c:v>0.1</c:v>
                </c:pt>
                <c:pt idx="26">
                  <c:v>0</c:v>
                </c:pt>
                <c:pt idx="27">
                  <c:v>0</c:v>
                </c:pt>
                <c:pt idx="28">
                  <c:v>6.25E-2</c:v>
                </c:pt>
                <c:pt idx="29">
                  <c:v>0.25</c:v>
                </c:pt>
                <c:pt idx="30">
                  <c:v>0</c:v>
                </c:pt>
                <c:pt idx="31">
                  <c:v>0</c:v>
                </c:pt>
                <c:pt idx="32">
                  <c:v>0</c:v>
                </c:pt>
                <c:pt idx="33">
                  <c:v>0.14285714285714285</c:v>
                </c:pt>
                <c:pt idx="34">
                  <c:v>0.14285714285714285</c:v>
                </c:pt>
              </c:numCache>
            </c:numRef>
          </c:val>
          <c:extLst>
            <c:ext xmlns:c16="http://schemas.microsoft.com/office/drawing/2014/chart" uri="{C3380CC4-5D6E-409C-BE32-E72D297353CC}">
              <c16:uniqueId val="{00000003-314C-4F58-9445-8B9515CE0579}"/>
            </c:ext>
          </c:extLst>
        </c:ser>
        <c:ser>
          <c:idx val="2"/>
          <c:order val="3"/>
          <c:tx>
            <c:strRef>
              <c:f>ВОЗВРАТЫ!$A$8</c:f>
              <c:strCache>
                <c:ptCount val="1"/>
                <c:pt idx="0">
                  <c:v>Сибатров Максим Николаевич</c:v>
                </c:pt>
              </c:strCache>
            </c:strRef>
          </c:tx>
          <c:spPr>
            <a:solidFill>
              <a:schemeClr val="accent3"/>
            </a:solidFill>
            <a:ln>
              <a:noFill/>
            </a:ln>
            <a:effectLst/>
          </c:spPr>
          <c:invertIfNegative val="0"/>
          <c:val>
            <c:numRef>
              <c:f>ВОЗВРАТЫ!$H$10:$HA$10</c:f>
              <c:numCache>
                <c:formatCode>0%</c:formatCode>
                <c:ptCount val="35"/>
                <c:pt idx="0">
                  <c:v>4.5454545454545456E-2</c:v>
                </c:pt>
                <c:pt idx="1">
                  <c:v>6.25E-2</c:v>
                </c:pt>
                <c:pt idx="2">
                  <c:v>0</c:v>
                </c:pt>
                <c:pt idx="3">
                  <c:v>0.1</c:v>
                </c:pt>
                <c:pt idx="4">
                  <c:v>3.5714285714285712E-2</c:v>
                </c:pt>
                <c:pt idx="5">
                  <c:v>0</c:v>
                </c:pt>
                <c:pt idx="6">
                  <c:v>6.4516129032258063E-2</c:v>
                </c:pt>
                <c:pt idx="7">
                  <c:v>6.6666666666666666E-2</c:v>
                </c:pt>
                <c:pt idx="8">
                  <c:v>5.7692307692307696E-2</c:v>
                </c:pt>
                <c:pt idx="9">
                  <c:v>0.125</c:v>
                </c:pt>
                <c:pt idx="10">
                  <c:v>0</c:v>
                </c:pt>
                <c:pt idx="11">
                  <c:v>5.5555555555555552E-2</c:v>
                </c:pt>
                <c:pt idx="12">
                  <c:v>0</c:v>
                </c:pt>
                <c:pt idx="13">
                  <c:v>0</c:v>
                </c:pt>
                <c:pt idx="14">
                  <c:v>0</c:v>
                </c:pt>
                <c:pt idx="15">
                  <c:v>7.1428571428571425E-2</c:v>
                </c:pt>
                <c:pt idx="16">
                  <c:v>4.3478260869565216E-2</c:v>
                </c:pt>
                <c:pt idx="17">
                  <c:v>5.2631578947368418E-2</c:v>
                </c:pt>
                <c:pt idx="18">
                  <c:v>0</c:v>
                </c:pt>
                <c:pt idx="19">
                  <c:v>0</c:v>
                </c:pt>
                <c:pt idx="20">
                  <c:v>0</c:v>
                </c:pt>
                <c:pt idx="21">
                  <c:v>0.05</c:v>
                </c:pt>
                <c:pt idx="22">
                  <c:v>0.2</c:v>
                </c:pt>
                <c:pt idx="23">
                  <c:v>0</c:v>
                </c:pt>
                <c:pt idx="24">
                  <c:v>0.125</c:v>
                </c:pt>
                <c:pt idx="25">
                  <c:v>5.8823529411764705E-2</c:v>
                </c:pt>
                <c:pt idx="26">
                  <c:v>0</c:v>
                </c:pt>
                <c:pt idx="27">
                  <c:v>0</c:v>
                </c:pt>
                <c:pt idx="28">
                  <c:v>0.10526315789473684</c:v>
                </c:pt>
                <c:pt idx="29">
                  <c:v>9.0909090909090912E-2</c:v>
                </c:pt>
                <c:pt idx="30">
                  <c:v>0</c:v>
                </c:pt>
                <c:pt idx="31">
                  <c:v>0</c:v>
                </c:pt>
                <c:pt idx="32">
                  <c:v>0</c:v>
                </c:pt>
                <c:pt idx="33">
                  <c:v>0.25</c:v>
                </c:pt>
                <c:pt idx="34">
                  <c:v>0</c:v>
                </c:pt>
              </c:numCache>
            </c:numRef>
          </c:val>
          <c:extLst>
            <c:ext xmlns:c16="http://schemas.microsoft.com/office/drawing/2014/chart" uri="{C3380CC4-5D6E-409C-BE32-E72D297353CC}">
              <c16:uniqueId val="{00000002-314C-4F58-9445-8B9515CE0579}"/>
            </c:ext>
          </c:extLst>
        </c:ser>
        <c:dLbls>
          <c:showLegendKey val="0"/>
          <c:showVal val="0"/>
          <c:showCatName val="0"/>
          <c:showSerName val="0"/>
          <c:showPercent val="0"/>
          <c:showBubbleSize val="0"/>
        </c:dLbls>
        <c:gapWidth val="150"/>
        <c:axId val="372163904"/>
        <c:axId val="372165152"/>
      </c:barChart>
      <c:catAx>
        <c:axId val="3721639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72165152"/>
        <c:crosses val="autoZero"/>
        <c:auto val="1"/>
        <c:lblAlgn val="ctr"/>
        <c:lblOffset val="100"/>
        <c:noMultiLvlLbl val="0"/>
      </c:catAx>
      <c:valAx>
        <c:axId val="3721651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721639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Возвраты</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lineChart>
        <c:grouping val="standard"/>
        <c:varyColors val="0"/>
        <c:ser>
          <c:idx val="1"/>
          <c:order val="0"/>
          <c:tx>
            <c:strRef>
              <c:f>ВОЗВРАТЫ!$A$5</c:f>
              <c:strCache>
                <c:ptCount val="1"/>
                <c:pt idx="0">
                  <c:v>Нечаева Александра Анатольевна</c:v>
                </c:pt>
              </c:strCache>
            </c:strRef>
          </c:tx>
          <c:spPr>
            <a:ln w="28575" cap="rnd">
              <a:solidFill>
                <a:schemeClr val="accent2"/>
              </a:solidFill>
              <a:round/>
            </a:ln>
            <a:effectLst/>
          </c:spPr>
          <c:marker>
            <c:symbol val="none"/>
          </c:marker>
          <c:val>
            <c:numRef>
              <c:f>ВОЗВРАТЫ!$H$7:$HA$7</c:f>
              <c:numCache>
                <c:formatCode>0%</c:formatCode>
                <c:ptCount val="35"/>
                <c:pt idx="0">
                  <c:v>0.47058823529411764</c:v>
                </c:pt>
                <c:pt idx="1">
                  <c:v>0.14285714285714285</c:v>
                </c:pt>
                <c:pt idx="2">
                  <c:v>0.8</c:v>
                </c:pt>
                <c:pt idx="3">
                  <c:v>6.6666666666666666E-2</c:v>
                </c:pt>
                <c:pt idx="4">
                  <c:v>0.29166666666666669</c:v>
                </c:pt>
                <c:pt idx="5">
                  <c:v>0.28000000000000003</c:v>
                </c:pt>
                <c:pt idx="6">
                  <c:v>0.38709677419354838</c:v>
                </c:pt>
                <c:pt idx="7">
                  <c:v>0.33333333333333331</c:v>
                </c:pt>
                <c:pt idx="8">
                  <c:v>0.15217391304347827</c:v>
                </c:pt>
                <c:pt idx="9">
                  <c:v>0.4</c:v>
                </c:pt>
                <c:pt idx="10">
                  <c:v>0.33333333333333331</c:v>
                </c:pt>
                <c:pt idx="11">
                  <c:v>0.26315789473684209</c:v>
                </c:pt>
                <c:pt idx="12">
                  <c:v>0</c:v>
                </c:pt>
                <c:pt idx="13">
                  <c:v>0.14285714285714285</c:v>
                </c:pt>
                <c:pt idx="14">
                  <c:v>0</c:v>
                </c:pt>
                <c:pt idx="15">
                  <c:v>0</c:v>
                </c:pt>
                <c:pt idx="16">
                  <c:v>0</c:v>
                </c:pt>
                <c:pt idx="17">
                  <c:v>0</c:v>
                </c:pt>
                <c:pt idx="18">
                  <c:v>0.47058823529411764</c:v>
                </c:pt>
                <c:pt idx="19">
                  <c:v>0.22727272727272727</c:v>
                </c:pt>
                <c:pt idx="20">
                  <c:v>0.22222222222222221</c:v>
                </c:pt>
                <c:pt idx="21">
                  <c:v>0.40909090909090912</c:v>
                </c:pt>
                <c:pt idx="22">
                  <c:v>0.34782608695652173</c:v>
                </c:pt>
                <c:pt idx="23">
                  <c:v>0.16666666666666666</c:v>
                </c:pt>
                <c:pt idx="24">
                  <c:v>0.38095238095238093</c:v>
                </c:pt>
                <c:pt idx="25">
                  <c:v>0.18181818181818182</c:v>
                </c:pt>
                <c:pt idx="26">
                  <c:v>0</c:v>
                </c:pt>
                <c:pt idx="27">
                  <c:v>0</c:v>
                </c:pt>
                <c:pt idx="28">
                  <c:v>0.5</c:v>
                </c:pt>
                <c:pt idx="29">
                  <c:v>0.5625</c:v>
                </c:pt>
                <c:pt idx="30">
                  <c:v>0.58823529411764708</c:v>
                </c:pt>
                <c:pt idx="31">
                  <c:v>0</c:v>
                </c:pt>
                <c:pt idx="32">
                  <c:v>0</c:v>
                </c:pt>
                <c:pt idx="33">
                  <c:v>0</c:v>
                </c:pt>
                <c:pt idx="34">
                  <c:v>0</c:v>
                </c:pt>
              </c:numCache>
            </c:numRef>
          </c:val>
          <c:smooth val="0"/>
          <c:extLst>
            <c:ext xmlns:c16="http://schemas.microsoft.com/office/drawing/2014/chart" uri="{C3380CC4-5D6E-409C-BE32-E72D297353CC}">
              <c16:uniqueId val="{00000000-B4C1-46DB-BF1A-FCB7BF35B4C6}"/>
            </c:ext>
          </c:extLst>
        </c:ser>
        <c:ser>
          <c:idx val="0"/>
          <c:order val="1"/>
          <c:tx>
            <c:strRef>
              <c:f>ВОЗВРАТЫ!$A$2</c:f>
              <c:strCache>
                <c:ptCount val="1"/>
                <c:pt idx="0">
                  <c:v>Гурьянова Татьяна Юрьевна</c:v>
                </c:pt>
              </c:strCache>
            </c:strRef>
          </c:tx>
          <c:spPr>
            <a:ln w="28575" cap="rnd">
              <a:solidFill>
                <a:schemeClr val="accent1"/>
              </a:solidFill>
              <a:round/>
            </a:ln>
            <a:effectLst/>
          </c:spPr>
          <c:marker>
            <c:symbol val="none"/>
          </c:marker>
          <c:val>
            <c:numRef>
              <c:f>ВОЗВРАТЫ!$H$4:$HA$4</c:f>
              <c:numCache>
                <c:formatCode>0%</c:formatCode>
                <c:ptCount val="35"/>
                <c:pt idx="0">
                  <c:v>0.22727272727272727</c:v>
                </c:pt>
                <c:pt idx="1">
                  <c:v>0.15384615384615385</c:v>
                </c:pt>
                <c:pt idx="2">
                  <c:v>0.5</c:v>
                </c:pt>
                <c:pt idx="3">
                  <c:v>0.33333333333333331</c:v>
                </c:pt>
                <c:pt idx="4">
                  <c:v>0.16666666666666666</c:v>
                </c:pt>
                <c:pt idx="5">
                  <c:v>0.17647058823529413</c:v>
                </c:pt>
                <c:pt idx="6">
                  <c:v>0.19230769230769232</c:v>
                </c:pt>
                <c:pt idx="7">
                  <c:v>0.33333333333333331</c:v>
                </c:pt>
                <c:pt idx="8">
                  <c:v>0.13207547169811321</c:v>
                </c:pt>
                <c:pt idx="9">
                  <c:v>0</c:v>
                </c:pt>
                <c:pt idx="10">
                  <c:v>0.4</c:v>
                </c:pt>
                <c:pt idx="11">
                  <c:v>0</c:v>
                </c:pt>
                <c:pt idx="12">
                  <c:v>0</c:v>
                </c:pt>
                <c:pt idx="13">
                  <c:v>0</c:v>
                </c:pt>
                <c:pt idx="14">
                  <c:v>0</c:v>
                </c:pt>
                <c:pt idx="15">
                  <c:v>8.6956521739130432E-2</c:v>
                </c:pt>
                <c:pt idx="16">
                  <c:v>0.2</c:v>
                </c:pt>
                <c:pt idx="17">
                  <c:v>0.125</c:v>
                </c:pt>
                <c:pt idx="18">
                  <c:v>0</c:v>
                </c:pt>
                <c:pt idx="19">
                  <c:v>0</c:v>
                </c:pt>
                <c:pt idx="20">
                  <c:v>0.14285714285714285</c:v>
                </c:pt>
                <c:pt idx="21">
                  <c:v>0.16666666666666666</c:v>
                </c:pt>
                <c:pt idx="22">
                  <c:v>0.21739130434782608</c:v>
                </c:pt>
                <c:pt idx="23">
                  <c:v>0.1</c:v>
                </c:pt>
                <c:pt idx="24">
                  <c:v>0.15789473684210525</c:v>
                </c:pt>
                <c:pt idx="25">
                  <c:v>0.16666666666666666</c:v>
                </c:pt>
                <c:pt idx="26">
                  <c:v>0</c:v>
                </c:pt>
                <c:pt idx="27">
                  <c:v>0</c:v>
                </c:pt>
                <c:pt idx="28">
                  <c:v>0</c:v>
                </c:pt>
                <c:pt idx="29">
                  <c:v>0</c:v>
                </c:pt>
                <c:pt idx="30">
                  <c:v>0.125</c:v>
                </c:pt>
                <c:pt idx="31">
                  <c:v>0</c:v>
                </c:pt>
                <c:pt idx="32">
                  <c:v>0</c:v>
                </c:pt>
                <c:pt idx="33">
                  <c:v>0</c:v>
                </c:pt>
                <c:pt idx="34">
                  <c:v>0</c:v>
                </c:pt>
              </c:numCache>
            </c:numRef>
          </c:val>
          <c:smooth val="0"/>
          <c:extLst>
            <c:ext xmlns:c16="http://schemas.microsoft.com/office/drawing/2014/chart" uri="{C3380CC4-5D6E-409C-BE32-E72D297353CC}">
              <c16:uniqueId val="{00000001-B4C1-46DB-BF1A-FCB7BF35B4C6}"/>
            </c:ext>
          </c:extLst>
        </c:ser>
        <c:ser>
          <c:idx val="3"/>
          <c:order val="2"/>
          <c:tx>
            <c:strRef>
              <c:f>ВОЗВРАТЫ!$A$11</c:f>
              <c:strCache>
                <c:ptCount val="1"/>
                <c:pt idx="0">
                  <c:v>Голубкова Екатерина Сергеевна</c:v>
                </c:pt>
              </c:strCache>
            </c:strRef>
          </c:tx>
          <c:spPr>
            <a:ln w="28575" cap="rnd">
              <a:solidFill>
                <a:schemeClr val="accent4"/>
              </a:solidFill>
              <a:round/>
            </a:ln>
            <a:effectLst/>
          </c:spPr>
          <c:marker>
            <c:symbol val="none"/>
          </c:marker>
          <c:val>
            <c:numRef>
              <c:f>ВОЗВРАТЫ!$H$13:$HA$13</c:f>
              <c:numCache>
                <c:formatCode>0%</c:formatCode>
                <c:ptCount val="35"/>
                <c:pt idx="0">
                  <c:v>0.13636363636363635</c:v>
                </c:pt>
                <c:pt idx="1">
                  <c:v>9.0909090909090912E-2</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0.17647058823529413</c:v>
                </c:pt>
                <c:pt idx="20">
                  <c:v>0.31578947368421051</c:v>
                </c:pt>
                <c:pt idx="21">
                  <c:v>0.21052631578947367</c:v>
                </c:pt>
                <c:pt idx="22">
                  <c:v>9.5238095238095233E-2</c:v>
                </c:pt>
                <c:pt idx="23">
                  <c:v>0.05</c:v>
                </c:pt>
                <c:pt idx="24">
                  <c:v>0</c:v>
                </c:pt>
                <c:pt idx="25">
                  <c:v>0.1</c:v>
                </c:pt>
                <c:pt idx="26">
                  <c:v>0</c:v>
                </c:pt>
                <c:pt idx="27">
                  <c:v>0</c:v>
                </c:pt>
                <c:pt idx="28">
                  <c:v>6.25E-2</c:v>
                </c:pt>
                <c:pt idx="29">
                  <c:v>0.25</c:v>
                </c:pt>
                <c:pt idx="30">
                  <c:v>0</c:v>
                </c:pt>
                <c:pt idx="31">
                  <c:v>0</c:v>
                </c:pt>
                <c:pt idx="32">
                  <c:v>0</c:v>
                </c:pt>
                <c:pt idx="33">
                  <c:v>0.14285714285714285</c:v>
                </c:pt>
                <c:pt idx="34">
                  <c:v>0.14285714285714285</c:v>
                </c:pt>
              </c:numCache>
            </c:numRef>
          </c:val>
          <c:smooth val="0"/>
          <c:extLst>
            <c:ext xmlns:c16="http://schemas.microsoft.com/office/drawing/2014/chart" uri="{C3380CC4-5D6E-409C-BE32-E72D297353CC}">
              <c16:uniqueId val="{00000002-B4C1-46DB-BF1A-FCB7BF35B4C6}"/>
            </c:ext>
          </c:extLst>
        </c:ser>
        <c:ser>
          <c:idx val="2"/>
          <c:order val="3"/>
          <c:tx>
            <c:strRef>
              <c:f>ВОЗВРАТЫ!$A$8</c:f>
              <c:strCache>
                <c:ptCount val="1"/>
                <c:pt idx="0">
                  <c:v>Сибатров Максим Николаевич</c:v>
                </c:pt>
              </c:strCache>
            </c:strRef>
          </c:tx>
          <c:spPr>
            <a:ln w="28575" cap="rnd">
              <a:solidFill>
                <a:schemeClr val="accent3"/>
              </a:solidFill>
              <a:round/>
            </a:ln>
            <a:effectLst/>
          </c:spPr>
          <c:marker>
            <c:symbol val="none"/>
          </c:marker>
          <c:val>
            <c:numRef>
              <c:f>ВОЗВРАТЫ!$H$10:$HA$10</c:f>
              <c:numCache>
                <c:formatCode>0%</c:formatCode>
                <c:ptCount val="35"/>
                <c:pt idx="0">
                  <c:v>4.5454545454545456E-2</c:v>
                </c:pt>
                <c:pt idx="1">
                  <c:v>6.25E-2</c:v>
                </c:pt>
                <c:pt idx="2">
                  <c:v>0</c:v>
                </c:pt>
                <c:pt idx="3">
                  <c:v>0.1</c:v>
                </c:pt>
                <c:pt idx="4">
                  <c:v>3.5714285714285712E-2</c:v>
                </c:pt>
                <c:pt idx="5">
                  <c:v>0</c:v>
                </c:pt>
                <c:pt idx="6">
                  <c:v>6.4516129032258063E-2</c:v>
                </c:pt>
                <c:pt idx="7">
                  <c:v>6.6666666666666666E-2</c:v>
                </c:pt>
                <c:pt idx="8">
                  <c:v>5.7692307692307696E-2</c:v>
                </c:pt>
                <c:pt idx="9">
                  <c:v>0.125</c:v>
                </c:pt>
                <c:pt idx="10">
                  <c:v>0</c:v>
                </c:pt>
                <c:pt idx="11">
                  <c:v>5.5555555555555552E-2</c:v>
                </c:pt>
                <c:pt idx="12">
                  <c:v>0</c:v>
                </c:pt>
                <c:pt idx="13">
                  <c:v>0</c:v>
                </c:pt>
                <c:pt idx="14">
                  <c:v>0</c:v>
                </c:pt>
                <c:pt idx="15">
                  <c:v>7.1428571428571425E-2</c:v>
                </c:pt>
                <c:pt idx="16">
                  <c:v>4.3478260869565216E-2</c:v>
                </c:pt>
                <c:pt idx="17">
                  <c:v>5.2631578947368418E-2</c:v>
                </c:pt>
                <c:pt idx="18">
                  <c:v>0</c:v>
                </c:pt>
                <c:pt idx="19">
                  <c:v>0</c:v>
                </c:pt>
                <c:pt idx="20">
                  <c:v>0</c:v>
                </c:pt>
                <c:pt idx="21">
                  <c:v>0.05</c:v>
                </c:pt>
                <c:pt idx="22">
                  <c:v>0.2</c:v>
                </c:pt>
                <c:pt idx="23">
                  <c:v>0</c:v>
                </c:pt>
                <c:pt idx="24">
                  <c:v>0.125</c:v>
                </c:pt>
                <c:pt idx="25">
                  <c:v>5.8823529411764705E-2</c:v>
                </c:pt>
                <c:pt idx="26">
                  <c:v>0</c:v>
                </c:pt>
                <c:pt idx="27">
                  <c:v>0</c:v>
                </c:pt>
                <c:pt idx="28">
                  <c:v>0.10526315789473684</c:v>
                </c:pt>
                <c:pt idx="29">
                  <c:v>9.0909090909090912E-2</c:v>
                </c:pt>
                <c:pt idx="30">
                  <c:v>0</c:v>
                </c:pt>
                <c:pt idx="31">
                  <c:v>0</c:v>
                </c:pt>
                <c:pt idx="32">
                  <c:v>0</c:v>
                </c:pt>
                <c:pt idx="33">
                  <c:v>0.25</c:v>
                </c:pt>
                <c:pt idx="34">
                  <c:v>0</c:v>
                </c:pt>
              </c:numCache>
            </c:numRef>
          </c:val>
          <c:smooth val="0"/>
          <c:extLst>
            <c:ext xmlns:c16="http://schemas.microsoft.com/office/drawing/2014/chart" uri="{C3380CC4-5D6E-409C-BE32-E72D297353CC}">
              <c16:uniqueId val="{00000003-B4C1-46DB-BF1A-FCB7BF35B4C6}"/>
            </c:ext>
          </c:extLst>
        </c:ser>
        <c:dLbls>
          <c:showLegendKey val="0"/>
          <c:showVal val="0"/>
          <c:showCatName val="0"/>
          <c:showSerName val="0"/>
          <c:showPercent val="0"/>
          <c:showBubbleSize val="0"/>
        </c:dLbls>
        <c:smooth val="0"/>
        <c:axId val="372163904"/>
        <c:axId val="372165152"/>
      </c:lineChart>
      <c:catAx>
        <c:axId val="3721639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72165152"/>
        <c:crosses val="autoZero"/>
        <c:auto val="1"/>
        <c:lblAlgn val="ctr"/>
        <c:lblOffset val="100"/>
        <c:noMultiLvlLbl val="0"/>
      </c:catAx>
      <c:valAx>
        <c:axId val="3721651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721639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СТАТИСТИКА_PAST!$B$1</c:f>
              <c:strCache>
                <c:ptCount val="1"/>
                <c:pt idx="0">
                  <c:v>Нечаева Александра Анатольевна</c:v>
                </c:pt>
              </c:strCache>
            </c:strRef>
          </c:tx>
          <c:spPr>
            <a:ln w="22225" cap="rnd">
              <a:solidFill>
                <a:schemeClr val="accent1"/>
              </a:solidFill>
            </a:ln>
            <a:effectLst>
              <a:glow rad="139700">
                <a:schemeClr val="accent1">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ru-RU"/>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numRef>
              <c:f>СТАТИСТИКА_PAST!$A:$A</c:f>
              <c:numCache>
                <c:formatCode>m/d/yyyy</c:formatCode>
                <c:ptCount val="1048576"/>
                <c:pt idx="1">
                  <c:v>43808</c:v>
                </c:pt>
                <c:pt idx="2">
                  <c:v>43809</c:v>
                </c:pt>
                <c:pt idx="3">
                  <c:v>43810</c:v>
                </c:pt>
                <c:pt idx="4">
                  <c:v>43811</c:v>
                </c:pt>
                <c:pt idx="5">
                  <c:v>43812</c:v>
                </c:pt>
                <c:pt idx="6">
                  <c:v>43815</c:v>
                </c:pt>
                <c:pt idx="7">
                  <c:v>43816</c:v>
                </c:pt>
                <c:pt idx="8">
                  <c:v>43817</c:v>
                </c:pt>
                <c:pt idx="9">
                  <c:v>43818</c:v>
                </c:pt>
                <c:pt idx="10">
                  <c:v>43819</c:v>
                </c:pt>
                <c:pt idx="11">
                  <c:v>43822</c:v>
                </c:pt>
                <c:pt idx="12">
                  <c:v>43823</c:v>
                </c:pt>
                <c:pt idx="13">
                  <c:v>43824</c:v>
                </c:pt>
                <c:pt idx="14">
                  <c:v>43825</c:v>
                </c:pt>
                <c:pt idx="15">
                  <c:v>43826</c:v>
                </c:pt>
                <c:pt idx="16">
                  <c:v>43829</c:v>
                </c:pt>
                <c:pt idx="17">
                  <c:v>43830</c:v>
                </c:pt>
                <c:pt idx="18">
                  <c:v>43839</c:v>
                </c:pt>
                <c:pt idx="19">
                  <c:v>43840</c:v>
                </c:pt>
                <c:pt idx="20">
                  <c:v>43843</c:v>
                </c:pt>
                <c:pt idx="21">
                  <c:v>43844</c:v>
                </c:pt>
                <c:pt idx="22">
                  <c:v>43845</c:v>
                </c:pt>
                <c:pt idx="23">
                  <c:v>43846</c:v>
                </c:pt>
                <c:pt idx="24">
                  <c:v>43847</c:v>
                </c:pt>
                <c:pt idx="25">
                  <c:v>43850</c:v>
                </c:pt>
                <c:pt idx="26">
                  <c:v>43851</c:v>
                </c:pt>
                <c:pt idx="27">
                  <c:v>43852</c:v>
                </c:pt>
                <c:pt idx="28">
                  <c:v>43853</c:v>
                </c:pt>
                <c:pt idx="29">
                  <c:v>43854</c:v>
                </c:pt>
                <c:pt idx="30">
                  <c:v>43857</c:v>
                </c:pt>
                <c:pt idx="31">
                  <c:v>43858</c:v>
                </c:pt>
                <c:pt idx="32">
                  <c:v>43859</c:v>
                </c:pt>
                <c:pt idx="33">
                  <c:v>43860</c:v>
                </c:pt>
                <c:pt idx="34">
                  <c:v>43861</c:v>
                </c:pt>
                <c:pt idx="35">
                  <c:v>43864</c:v>
                </c:pt>
                <c:pt idx="36">
                  <c:v>43865</c:v>
                </c:pt>
                <c:pt idx="37">
                  <c:v>43866</c:v>
                </c:pt>
                <c:pt idx="38">
                  <c:v>43867</c:v>
                </c:pt>
                <c:pt idx="39">
                  <c:v>43868</c:v>
                </c:pt>
                <c:pt idx="40">
                  <c:v>43871</c:v>
                </c:pt>
                <c:pt idx="41">
                  <c:v>43872</c:v>
                </c:pt>
                <c:pt idx="42">
                  <c:v>43873</c:v>
                </c:pt>
                <c:pt idx="43">
                  <c:v>43879</c:v>
                </c:pt>
                <c:pt idx="44">
                  <c:v>43880</c:v>
                </c:pt>
                <c:pt idx="45">
                  <c:v>43881</c:v>
                </c:pt>
                <c:pt idx="46">
                  <c:v>43882</c:v>
                </c:pt>
                <c:pt idx="47">
                  <c:v>43886</c:v>
                </c:pt>
                <c:pt idx="48">
                  <c:v>43887</c:v>
                </c:pt>
                <c:pt idx="49">
                  <c:v>43888</c:v>
                </c:pt>
                <c:pt idx="50">
                  <c:v>43889</c:v>
                </c:pt>
                <c:pt idx="51">
                  <c:v>43892</c:v>
                </c:pt>
                <c:pt idx="52">
                  <c:v>43893</c:v>
                </c:pt>
                <c:pt idx="53">
                  <c:v>43894</c:v>
                </c:pt>
                <c:pt idx="54">
                  <c:v>43895</c:v>
                </c:pt>
                <c:pt idx="55">
                  <c:v>43896</c:v>
                </c:pt>
                <c:pt idx="56">
                  <c:v>43900</c:v>
                </c:pt>
                <c:pt idx="57">
                  <c:v>43901</c:v>
                </c:pt>
                <c:pt idx="58">
                  <c:v>43902</c:v>
                </c:pt>
                <c:pt idx="59">
                  <c:v>43903</c:v>
                </c:pt>
                <c:pt idx="60">
                  <c:v>43906</c:v>
                </c:pt>
                <c:pt idx="61">
                  <c:v>43907</c:v>
                </c:pt>
                <c:pt idx="62">
                  <c:v>43908</c:v>
                </c:pt>
                <c:pt idx="63">
                  <c:v>43909</c:v>
                </c:pt>
                <c:pt idx="64">
                  <c:v>43910</c:v>
                </c:pt>
                <c:pt idx="65">
                  <c:v>43913</c:v>
                </c:pt>
                <c:pt idx="66">
                  <c:v>43914</c:v>
                </c:pt>
                <c:pt idx="67">
                  <c:v>43915</c:v>
                </c:pt>
                <c:pt idx="68">
                  <c:v>43916</c:v>
                </c:pt>
                <c:pt idx="69">
                  <c:v>43917</c:v>
                </c:pt>
                <c:pt idx="70">
                  <c:v>43927</c:v>
                </c:pt>
                <c:pt idx="71">
                  <c:v>43928</c:v>
                </c:pt>
                <c:pt idx="72">
                  <c:v>43929</c:v>
                </c:pt>
                <c:pt idx="73">
                  <c:v>43963</c:v>
                </c:pt>
                <c:pt idx="74">
                  <c:v>43964</c:v>
                </c:pt>
                <c:pt idx="75">
                  <c:v>43965</c:v>
                </c:pt>
                <c:pt idx="76">
                  <c:v>43966</c:v>
                </c:pt>
                <c:pt idx="77">
                  <c:v>43969</c:v>
                </c:pt>
                <c:pt idx="78">
                  <c:v>43970</c:v>
                </c:pt>
                <c:pt idx="79">
                  <c:v>43971</c:v>
                </c:pt>
                <c:pt idx="80">
                  <c:v>43972</c:v>
                </c:pt>
                <c:pt idx="81">
                  <c:v>43973</c:v>
                </c:pt>
                <c:pt idx="82">
                  <c:v>43976</c:v>
                </c:pt>
                <c:pt idx="83">
                  <c:v>43977</c:v>
                </c:pt>
                <c:pt idx="84">
                  <c:v>43978</c:v>
                </c:pt>
                <c:pt idx="85">
                  <c:v>43983</c:v>
                </c:pt>
                <c:pt idx="86">
                  <c:v>43984</c:v>
                </c:pt>
                <c:pt idx="87">
                  <c:v>43985</c:v>
                </c:pt>
                <c:pt idx="88">
                  <c:v>43986</c:v>
                </c:pt>
                <c:pt idx="89">
                  <c:v>43987</c:v>
                </c:pt>
                <c:pt idx="90">
                  <c:v>43990</c:v>
                </c:pt>
                <c:pt idx="91">
                  <c:v>43991</c:v>
                </c:pt>
                <c:pt idx="92">
                  <c:v>43992</c:v>
                </c:pt>
                <c:pt idx="93">
                  <c:v>43993</c:v>
                </c:pt>
                <c:pt idx="94">
                  <c:v>43997</c:v>
                </c:pt>
                <c:pt idx="95">
                  <c:v>43998</c:v>
                </c:pt>
                <c:pt idx="96">
                  <c:v>43999</c:v>
                </c:pt>
                <c:pt idx="97">
                  <c:v>44000</c:v>
                </c:pt>
                <c:pt idx="98">
                  <c:v>44001</c:v>
                </c:pt>
                <c:pt idx="99">
                  <c:v>44004</c:v>
                </c:pt>
                <c:pt idx="100">
                  <c:v>44005</c:v>
                </c:pt>
                <c:pt idx="101">
                  <c:v>44007</c:v>
                </c:pt>
                <c:pt idx="102">
                  <c:v>44008</c:v>
                </c:pt>
                <c:pt idx="103">
                  <c:v>44009</c:v>
                </c:pt>
                <c:pt idx="104">
                  <c:v>44010</c:v>
                </c:pt>
                <c:pt idx="105">
                  <c:v>44011</c:v>
                </c:pt>
                <c:pt idx="106">
                  <c:v>44012</c:v>
                </c:pt>
                <c:pt idx="107">
                  <c:v>44013</c:v>
                </c:pt>
                <c:pt idx="108">
                  <c:v>44014</c:v>
                </c:pt>
                <c:pt idx="109">
                  <c:v>44015</c:v>
                </c:pt>
                <c:pt idx="110">
                  <c:v>44016</c:v>
                </c:pt>
                <c:pt idx="111">
                  <c:v>44017</c:v>
                </c:pt>
                <c:pt idx="112">
                  <c:v>44018</c:v>
                </c:pt>
                <c:pt idx="113">
                  <c:v>44019</c:v>
                </c:pt>
                <c:pt idx="114">
                  <c:v>44020</c:v>
                </c:pt>
                <c:pt idx="115">
                  <c:v>44021</c:v>
                </c:pt>
                <c:pt idx="116">
                  <c:v>44022</c:v>
                </c:pt>
                <c:pt idx="117">
                  <c:v>44023</c:v>
                </c:pt>
                <c:pt idx="118">
                  <c:v>44024</c:v>
                </c:pt>
                <c:pt idx="119">
                  <c:v>44025</c:v>
                </c:pt>
                <c:pt idx="120">
                  <c:v>44026</c:v>
                </c:pt>
              </c:numCache>
            </c:numRef>
          </c:cat>
          <c:val>
            <c:numRef>
              <c:f>СТАТИСТИКА_PAST!$B$2:$B$47</c:f>
              <c:numCache>
                <c:formatCode>General</c:formatCode>
                <c:ptCount val="46"/>
                <c:pt idx="0">
                  <c:v>4</c:v>
                </c:pt>
                <c:pt idx="1">
                  <c:v>2</c:v>
                </c:pt>
                <c:pt idx="2">
                  <c:v>2</c:v>
                </c:pt>
                <c:pt idx="3">
                  <c:v>4</c:v>
                </c:pt>
                <c:pt idx="4">
                  <c:v>3</c:v>
                </c:pt>
                <c:pt idx="5">
                  <c:v>3</c:v>
                </c:pt>
                <c:pt idx="6">
                  <c:v>5</c:v>
                </c:pt>
                <c:pt idx="7">
                  <c:v>4</c:v>
                </c:pt>
                <c:pt idx="8">
                  <c:v>3</c:v>
                </c:pt>
                <c:pt idx="9">
                  <c:v>3</c:v>
                </c:pt>
                <c:pt idx="10">
                  <c:v>3</c:v>
                </c:pt>
                <c:pt idx="11">
                  <c:v>7</c:v>
                </c:pt>
                <c:pt idx="12">
                  <c:v>4</c:v>
                </c:pt>
                <c:pt idx="13">
                  <c:v>3</c:v>
                </c:pt>
                <c:pt idx="14">
                  <c:v>4</c:v>
                </c:pt>
                <c:pt idx="15">
                  <c:v>4</c:v>
                </c:pt>
                <c:pt idx="16">
                  <c:v>4</c:v>
                </c:pt>
                <c:pt idx="17">
                  <c:v>5</c:v>
                </c:pt>
                <c:pt idx="18">
                  <c:v>3</c:v>
                </c:pt>
                <c:pt idx="19">
                  <c:v>3</c:v>
                </c:pt>
                <c:pt idx="20">
                  <c:v>3</c:v>
                </c:pt>
                <c:pt idx="21">
                  <c:v>5</c:v>
                </c:pt>
                <c:pt idx="22">
                  <c:v>4</c:v>
                </c:pt>
                <c:pt idx="23">
                  <c:v>6</c:v>
                </c:pt>
                <c:pt idx="24">
                  <c:v>4</c:v>
                </c:pt>
                <c:pt idx="25">
                  <c:v>2</c:v>
                </c:pt>
                <c:pt idx="26">
                  <c:v>4</c:v>
                </c:pt>
                <c:pt idx="27">
                  <c:v>2</c:v>
                </c:pt>
                <c:pt idx="28">
                  <c:v>1</c:v>
                </c:pt>
                <c:pt idx="29">
                  <c:v>4</c:v>
                </c:pt>
                <c:pt idx="30">
                  <c:v>5</c:v>
                </c:pt>
                <c:pt idx="31">
                  <c:v>4</c:v>
                </c:pt>
                <c:pt idx="32">
                  <c:v>3</c:v>
                </c:pt>
                <c:pt idx="33">
                  <c:v>4</c:v>
                </c:pt>
                <c:pt idx="34">
                  <c:v>4</c:v>
                </c:pt>
                <c:pt idx="35">
                  <c:v>4</c:v>
                </c:pt>
                <c:pt idx="36">
                  <c:v>8</c:v>
                </c:pt>
                <c:pt idx="37">
                  <c:v>3</c:v>
                </c:pt>
                <c:pt idx="38">
                  <c:v>3</c:v>
                </c:pt>
                <c:pt idx="39">
                  <c:v>3</c:v>
                </c:pt>
                <c:pt idx="40">
                  <c:v>5</c:v>
                </c:pt>
                <c:pt idx="41">
                  <c:v>3</c:v>
                </c:pt>
                <c:pt idx="42">
                  <c:v>4</c:v>
                </c:pt>
                <c:pt idx="43">
                  <c:v>3</c:v>
                </c:pt>
                <c:pt idx="44">
                  <c:v>3</c:v>
                </c:pt>
                <c:pt idx="45">
                  <c:v>3</c:v>
                </c:pt>
              </c:numCache>
            </c:numRef>
          </c:val>
          <c:smooth val="0"/>
          <c:extLst>
            <c:ext xmlns:c16="http://schemas.microsoft.com/office/drawing/2014/chart" uri="{C3380CC4-5D6E-409C-BE32-E72D297353CC}">
              <c16:uniqueId val="{00000001-332C-43ED-B51F-3F84B96ABD5D}"/>
            </c:ext>
          </c:extLst>
        </c:ser>
        <c:ser>
          <c:idx val="1"/>
          <c:order val="1"/>
          <c:tx>
            <c:strRef>
              <c:f>СТАТИСТИКА_PAST!$C$1</c:f>
              <c:strCache>
                <c:ptCount val="1"/>
                <c:pt idx="0">
                  <c:v>Гурьянова Татьяна Юрьевна</c:v>
                </c:pt>
              </c:strCache>
            </c:strRef>
          </c:tx>
          <c:spPr>
            <a:ln w="22225" cap="rnd">
              <a:solidFill>
                <a:schemeClr val="accent2"/>
              </a:solidFill>
            </a:ln>
            <a:effectLst>
              <a:glow rad="139700">
                <a:schemeClr val="accent2">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ru-RU"/>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numRef>
              <c:f>СТАТИСТИКА_PAST!$A:$A</c:f>
              <c:numCache>
                <c:formatCode>m/d/yyyy</c:formatCode>
                <c:ptCount val="1048576"/>
                <c:pt idx="1">
                  <c:v>43808</c:v>
                </c:pt>
                <c:pt idx="2">
                  <c:v>43809</c:v>
                </c:pt>
                <c:pt idx="3">
                  <c:v>43810</c:v>
                </c:pt>
                <c:pt idx="4">
                  <c:v>43811</c:v>
                </c:pt>
                <c:pt idx="5">
                  <c:v>43812</c:v>
                </c:pt>
                <c:pt idx="6">
                  <c:v>43815</c:v>
                </c:pt>
                <c:pt idx="7">
                  <c:v>43816</c:v>
                </c:pt>
                <c:pt idx="8">
                  <c:v>43817</c:v>
                </c:pt>
                <c:pt idx="9">
                  <c:v>43818</c:v>
                </c:pt>
                <c:pt idx="10">
                  <c:v>43819</c:v>
                </c:pt>
                <c:pt idx="11">
                  <c:v>43822</c:v>
                </c:pt>
                <c:pt idx="12">
                  <c:v>43823</c:v>
                </c:pt>
                <c:pt idx="13">
                  <c:v>43824</c:v>
                </c:pt>
                <c:pt idx="14">
                  <c:v>43825</c:v>
                </c:pt>
                <c:pt idx="15">
                  <c:v>43826</c:v>
                </c:pt>
                <c:pt idx="16">
                  <c:v>43829</c:v>
                </c:pt>
                <c:pt idx="17">
                  <c:v>43830</c:v>
                </c:pt>
                <c:pt idx="18">
                  <c:v>43839</c:v>
                </c:pt>
                <c:pt idx="19">
                  <c:v>43840</c:v>
                </c:pt>
                <c:pt idx="20">
                  <c:v>43843</c:v>
                </c:pt>
                <c:pt idx="21">
                  <c:v>43844</c:v>
                </c:pt>
                <c:pt idx="22">
                  <c:v>43845</c:v>
                </c:pt>
                <c:pt idx="23">
                  <c:v>43846</c:v>
                </c:pt>
                <c:pt idx="24">
                  <c:v>43847</c:v>
                </c:pt>
                <c:pt idx="25">
                  <c:v>43850</c:v>
                </c:pt>
                <c:pt idx="26">
                  <c:v>43851</c:v>
                </c:pt>
                <c:pt idx="27">
                  <c:v>43852</c:v>
                </c:pt>
                <c:pt idx="28">
                  <c:v>43853</c:v>
                </c:pt>
                <c:pt idx="29">
                  <c:v>43854</c:v>
                </c:pt>
                <c:pt idx="30">
                  <c:v>43857</c:v>
                </c:pt>
                <c:pt idx="31">
                  <c:v>43858</c:v>
                </c:pt>
                <c:pt idx="32">
                  <c:v>43859</c:v>
                </c:pt>
                <c:pt idx="33">
                  <c:v>43860</c:v>
                </c:pt>
                <c:pt idx="34">
                  <c:v>43861</c:v>
                </c:pt>
                <c:pt idx="35">
                  <c:v>43864</c:v>
                </c:pt>
                <c:pt idx="36">
                  <c:v>43865</c:v>
                </c:pt>
                <c:pt idx="37">
                  <c:v>43866</c:v>
                </c:pt>
                <c:pt idx="38">
                  <c:v>43867</c:v>
                </c:pt>
                <c:pt idx="39">
                  <c:v>43868</c:v>
                </c:pt>
                <c:pt idx="40">
                  <c:v>43871</c:v>
                </c:pt>
                <c:pt idx="41">
                  <c:v>43872</c:v>
                </c:pt>
                <c:pt idx="42">
                  <c:v>43873</c:v>
                </c:pt>
                <c:pt idx="43">
                  <c:v>43879</c:v>
                </c:pt>
                <c:pt idx="44">
                  <c:v>43880</c:v>
                </c:pt>
                <c:pt idx="45">
                  <c:v>43881</c:v>
                </c:pt>
                <c:pt idx="46">
                  <c:v>43882</c:v>
                </c:pt>
                <c:pt idx="47">
                  <c:v>43886</c:v>
                </c:pt>
                <c:pt idx="48">
                  <c:v>43887</c:v>
                </c:pt>
                <c:pt idx="49">
                  <c:v>43888</c:v>
                </c:pt>
                <c:pt idx="50">
                  <c:v>43889</c:v>
                </c:pt>
                <c:pt idx="51">
                  <c:v>43892</c:v>
                </c:pt>
                <c:pt idx="52">
                  <c:v>43893</c:v>
                </c:pt>
                <c:pt idx="53">
                  <c:v>43894</c:v>
                </c:pt>
                <c:pt idx="54">
                  <c:v>43895</c:v>
                </c:pt>
                <c:pt idx="55">
                  <c:v>43896</c:v>
                </c:pt>
                <c:pt idx="56">
                  <c:v>43900</c:v>
                </c:pt>
                <c:pt idx="57">
                  <c:v>43901</c:v>
                </c:pt>
                <c:pt idx="58">
                  <c:v>43902</c:v>
                </c:pt>
                <c:pt idx="59">
                  <c:v>43903</c:v>
                </c:pt>
                <c:pt idx="60">
                  <c:v>43906</c:v>
                </c:pt>
                <c:pt idx="61">
                  <c:v>43907</c:v>
                </c:pt>
                <c:pt idx="62">
                  <c:v>43908</c:v>
                </c:pt>
                <c:pt idx="63">
                  <c:v>43909</c:v>
                </c:pt>
                <c:pt idx="64">
                  <c:v>43910</c:v>
                </c:pt>
                <c:pt idx="65">
                  <c:v>43913</c:v>
                </c:pt>
                <c:pt idx="66">
                  <c:v>43914</c:v>
                </c:pt>
                <c:pt idx="67">
                  <c:v>43915</c:v>
                </c:pt>
                <c:pt idx="68">
                  <c:v>43916</c:v>
                </c:pt>
                <c:pt idx="69">
                  <c:v>43917</c:v>
                </c:pt>
                <c:pt idx="70">
                  <c:v>43927</c:v>
                </c:pt>
                <c:pt idx="71">
                  <c:v>43928</c:v>
                </c:pt>
                <c:pt idx="72">
                  <c:v>43929</c:v>
                </c:pt>
                <c:pt idx="73">
                  <c:v>43963</c:v>
                </c:pt>
                <c:pt idx="74">
                  <c:v>43964</c:v>
                </c:pt>
                <c:pt idx="75">
                  <c:v>43965</c:v>
                </c:pt>
                <c:pt idx="76">
                  <c:v>43966</c:v>
                </c:pt>
                <c:pt idx="77">
                  <c:v>43969</c:v>
                </c:pt>
                <c:pt idx="78">
                  <c:v>43970</c:v>
                </c:pt>
                <c:pt idx="79">
                  <c:v>43971</c:v>
                </c:pt>
                <c:pt idx="80">
                  <c:v>43972</c:v>
                </c:pt>
                <c:pt idx="81">
                  <c:v>43973</c:v>
                </c:pt>
                <c:pt idx="82">
                  <c:v>43976</c:v>
                </c:pt>
                <c:pt idx="83">
                  <c:v>43977</c:v>
                </c:pt>
                <c:pt idx="84">
                  <c:v>43978</c:v>
                </c:pt>
                <c:pt idx="85">
                  <c:v>43983</c:v>
                </c:pt>
                <c:pt idx="86">
                  <c:v>43984</c:v>
                </c:pt>
                <c:pt idx="87">
                  <c:v>43985</c:v>
                </c:pt>
                <c:pt idx="88">
                  <c:v>43986</c:v>
                </c:pt>
                <c:pt idx="89">
                  <c:v>43987</c:v>
                </c:pt>
                <c:pt idx="90">
                  <c:v>43990</c:v>
                </c:pt>
                <c:pt idx="91">
                  <c:v>43991</c:v>
                </c:pt>
                <c:pt idx="92">
                  <c:v>43992</c:v>
                </c:pt>
                <c:pt idx="93">
                  <c:v>43993</c:v>
                </c:pt>
                <c:pt idx="94">
                  <c:v>43997</c:v>
                </c:pt>
                <c:pt idx="95">
                  <c:v>43998</c:v>
                </c:pt>
                <c:pt idx="96">
                  <c:v>43999</c:v>
                </c:pt>
                <c:pt idx="97">
                  <c:v>44000</c:v>
                </c:pt>
                <c:pt idx="98">
                  <c:v>44001</c:v>
                </c:pt>
                <c:pt idx="99">
                  <c:v>44004</c:v>
                </c:pt>
                <c:pt idx="100">
                  <c:v>44005</c:v>
                </c:pt>
                <c:pt idx="101">
                  <c:v>44007</c:v>
                </c:pt>
                <c:pt idx="102">
                  <c:v>44008</c:v>
                </c:pt>
                <c:pt idx="103">
                  <c:v>44009</c:v>
                </c:pt>
                <c:pt idx="104">
                  <c:v>44010</c:v>
                </c:pt>
                <c:pt idx="105">
                  <c:v>44011</c:v>
                </c:pt>
                <c:pt idx="106">
                  <c:v>44012</c:v>
                </c:pt>
                <c:pt idx="107">
                  <c:v>44013</c:v>
                </c:pt>
                <c:pt idx="108">
                  <c:v>44014</c:v>
                </c:pt>
                <c:pt idx="109">
                  <c:v>44015</c:v>
                </c:pt>
                <c:pt idx="110">
                  <c:v>44016</c:v>
                </c:pt>
                <c:pt idx="111">
                  <c:v>44017</c:v>
                </c:pt>
                <c:pt idx="112">
                  <c:v>44018</c:v>
                </c:pt>
                <c:pt idx="113">
                  <c:v>44019</c:v>
                </c:pt>
                <c:pt idx="114">
                  <c:v>44020</c:v>
                </c:pt>
                <c:pt idx="115">
                  <c:v>44021</c:v>
                </c:pt>
                <c:pt idx="116">
                  <c:v>44022</c:v>
                </c:pt>
                <c:pt idx="117">
                  <c:v>44023</c:v>
                </c:pt>
                <c:pt idx="118">
                  <c:v>44024</c:v>
                </c:pt>
                <c:pt idx="119">
                  <c:v>44025</c:v>
                </c:pt>
                <c:pt idx="120">
                  <c:v>44026</c:v>
                </c:pt>
              </c:numCache>
            </c:numRef>
          </c:cat>
          <c:val>
            <c:numRef>
              <c:f>СТАТИСТИКА_PAST!$C$2:$C$47</c:f>
              <c:numCache>
                <c:formatCode>General</c:formatCode>
                <c:ptCount val="46"/>
                <c:pt idx="0">
                  <c:v>4</c:v>
                </c:pt>
                <c:pt idx="1">
                  <c:v>2</c:v>
                </c:pt>
                <c:pt idx="2">
                  <c:v>2</c:v>
                </c:pt>
                <c:pt idx="3">
                  <c:v>2</c:v>
                </c:pt>
                <c:pt idx="4">
                  <c:v>0</c:v>
                </c:pt>
                <c:pt idx="5">
                  <c:v>5</c:v>
                </c:pt>
                <c:pt idx="6">
                  <c:v>0</c:v>
                </c:pt>
                <c:pt idx="7">
                  <c:v>0</c:v>
                </c:pt>
                <c:pt idx="8">
                  <c:v>0</c:v>
                </c:pt>
                <c:pt idx="9">
                  <c:v>0</c:v>
                </c:pt>
                <c:pt idx="10">
                  <c:v>0</c:v>
                </c:pt>
                <c:pt idx="11">
                  <c:v>5</c:v>
                </c:pt>
                <c:pt idx="12">
                  <c:v>4</c:v>
                </c:pt>
                <c:pt idx="13">
                  <c:v>4</c:v>
                </c:pt>
                <c:pt idx="14">
                  <c:v>3</c:v>
                </c:pt>
                <c:pt idx="15">
                  <c:v>5</c:v>
                </c:pt>
                <c:pt idx="16">
                  <c:v>7</c:v>
                </c:pt>
                <c:pt idx="17">
                  <c:v>5</c:v>
                </c:pt>
                <c:pt idx="18">
                  <c:v>3</c:v>
                </c:pt>
                <c:pt idx="19">
                  <c:v>2</c:v>
                </c:pt>
                <c:pt idx="20">
                  <c:v>3</c:v>
                </c:pt>
                <c:pt idx="21">
                  <c:v>6</c:v>
                </c:pt>
                <c:pt idx="22">
                  <c:v>5</c:v>
                </c:pt>
                <c:pt idx="23">
                  <c:v>4</c:v>
                </c:pt>
                <c:pt idx="24">
                  <c:v>2</c:v>
                </c:pt>
                <c:pt idx="25">
                  <c:v>5</c:v>
                </c:pt>
                <c:pt idx="26">
                  <c:v>6</c:v>
                </c:pt>
                <c:pt idx="27">
                  <c:v>4</c:v>
                </c:pt>
                <c:pt idx="28">
                  <c:v>4</c:v>
                </c:pt>
                <c:pt idx="29">
                  <c:v>3</c:v>
                </c:pt>
                <c:pt idx="30">
                  <c:v>4</c:v>
                </c:pt>
                <c:pt idx="31">
                  <c:v>4</c:v>
                </c:pt>
                <c:pt idx="32">
                  <c:v>3</c:v>
                </c:pt>
                <c:pt idx="33">
                  <c:v>4</c:v>
                </c:pt>
                <c:pt idx="34">
                  <c:v>3</c:v>
                </c:pt>
                <c:pt idx="35">
                  <c:v>3</c:v>
                </c:pt>
                <c:pt idx="36">
                  <c:v>3</c:v>
                </c:pt>
                <c:pt idx="37">
                  <c:v>2</c:v>
                </c:pt>
                <c:pt idx="38">
                  <c:v>1</c:v>
                </c:pt>
                <c:pt idx="39">
                  <c:v>3</c:v>
                </c:pt>
                <c:pt idx="40">
                  <c:v>5</c:v>
                </c:pt>
                <c:pt idx="41">
                  <c:v>3</c:v>
                </c:pt>
                <c:pt idx="42">
                  <c:v>5</c:v>
                </c:pt>
                <c:pt idx="43">
                  <c:v>5</c:v>
                </c:pt>
                <c:pt idx="44">
                  <c:v>3</c:v>
                </c:pt>
                <c:pt idx="45">
                  <c:v>3</c:v>
                </c:pt>
              </c:numCache>
            </c:numRef>
          </c:val>
          <c:smooth val="0"/>
          <c:extLst>
            <c:ext xmlns:c16="http://schemas.microsoft.com/office/drawing/2014/chart" uri="{C3380CC4-5D6E-409C-BE32-E72D297353CC}">
              <c16:uniqueId val="{00000002-332C-43ED-B51F-3F84B96ABD5D}"/>
            </c:ext>
          </c:extLst>
        </c:ser>
        <c:ser>
          <c:idx val="2"/>
          <c:order val="2"/>
          <c:tx>
            <c:strRef>
              <c:f>СТАТИСТИКА_PAST!$D$1</c:f>
              <c:strCache>
                <c:ptCount val="1"/>
                <c:pt idx="0">
                  <c:v>Сибатров Максим Николаевич</c:v>
                </c:pt>
              </c:strCache>
            </c:strRef>
          </c:tx>
          <c:spPr>
            <a:ln w="22225" cap="rnd">
              <a:solidFill>
                <a:schemeClr val="accent3"/>
              </a:solidFill>
            </a:ln>
            <a:effectLst>
              <a:glow rad="139700">
                <a:schemeClr val="accent3">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ru-RU"/>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numRef>
              <c:f>СТАТИСТИКА_PAST!$A:$A</c:f>
              <c:numCache>
                <c:formatCode>m/d/yyyy</c:formatCode>
                <c:ptCount val="1048576"/>
                <c:pt idx="1">
                  <c:v>43808</c:v>
                </c:pt>
                <c:pt idx="2">
                  <c:v>43809</c:v>
                </c:pt>
                <c:pt idx="3">
                  <c:v>43810</c:v>
                </c:pt>
                <c:pt idx="4">
                  <c:v>43811</c:v>
                </c:pt>
                <c:pt idx="5">
                  <c:v>43812</c:v>
                </c:pt>
                <c:pt idx="6">
                  <c:v>43815</c:v>
                </c:pt>
                <c:pt idx="7">
                  <c:v>43816</c:v>
                </c:pt>
                <c:pt idx="8">
                  <c:v>43817</c:v>
                </c:pt>
                <c:pt idx="9">
                  <c:v>43818</c:v>
                </c:pt>
                <c:pt idx="10">
                  <c:v>43819</c:v>
                </c:pt>
                <c:pt idx="11">
                  <c:v>43822</c:v>
                </c:pt>
                <c:pt idx="12">
                  <c:v>43823</c:v>
                </c:pt>
                <c:pt idx="13">
                  <c:v>43824</c:v>
                </c:pt>
                <c:pt idx="14">
                  <c:v>43825</c:v>
                </c:pt>
                <c:pt idx="15">
                  <c:v>43826</c:v>
                </c:pt>
                <c:pt idx="16">
                  <c:v>43829</c:v>
                </c:pt>
                <c:pt idx="17">
                  <c:v>43830</c:v>
                </c:pt>
                <c:pt idx="18">
                  <c:v>43839</c:v>
                </c:pt>
                <c:pt idx="19">
                  <c:v>43840</c:v>
                </c:pt>
                <c:pt idx="20">
                  <c:v>43843</c:v>
                </c:pt>
                <c:pt idx="21">
                  <c:v>43844</c:v>
                </c:pt>
                <c:pt idx="22">
                  <c:v>43845</c:v>
                </c:pt>
                <c:pt idx="23">
                  <c:v>43846</c:v>
                </c:pt>
                <c:pt idx="24">
                  <c:v>43847</c:v>
                </c:pt>
                <c:pt idx="25">
                  <c:v>43850</c:v>
                </c:pt>
                <c:pt idx="26">
                  <c:v>43851</c:v>
                </c:pt>
                <c:pt idx="27">
                  <c:v>43852</c:v>
                </c:pt>
                <c:pt idx="28">
                  <c:v>43853</c:v>
                </c:pt>
                <c:pt idx="29">
                  <c:v>43854</c:v>
                </c:pt>
                <c:pt idx="30">
                  <c:v>43857</c:v>
                </c:pt>
                <c:pt idx="31">
                  <c:v>43858</c:v>
                </c:pt>
                <c:pt idx="32">
                  <c:v>43859</c:v>
                </c:pt>
                <c:pt idx="33">
                  <c:v>43860</c:v>
                </c:pt>
                <c:pt idx="34">
                  <c:v>43861</c:v>
                </c:pt>
                <c:pt idx="35">
                  <c:v>43864</c:v>
                </c:pt>
                <c:pt idx="36">
                  <c:v>43865</c:v>
                </c:pt>
                <c:pt idx="37">
                  <c:v>43866</c:v>
                </c:pt>
                <c:pt idx="38">
                  <c:v>43867</c:v>
                </c:pt>
                <c:pt idx="39">
                  <c:v>43868</c:v>
                </c:pt>
                <c:pt idx="40">
                  <c:v>43871</c:v>
                </c:pt>
                <c:pt idx="41">
                  <c:v>43872</c:v>
                </c:pt>
                <c:pt idx="42">
                  <c:v>43873</c:v>
                </c:pt>
                <c:pt idx="43">
                  <c:v>43879</c:v>
                </c:pt>
                <c:pt idx="44">
                  <c:v>43880</c:v>
                </c:pt>
                <c:pt idx="45">
                  <c:v>43881</c:v>
                </c:pt>
                <c:pt idx="46">
                  <c:v>43882</c:v>
                </c:pt>
                <c:pt idx="47">
                  <c:v>43886</c:v>
                </c:pt>
                <c:pt idx="48">
                  <c:v>43887</c:v>
                </c:pt>
                <c:pt idx="49">
                  <c:v>43888</c:v>
                </c:pt>
                <c:pt idx="50">
                  <c:v>43889</c:v>
                </c:pt>
                <c:pt idx="51">
                  <c:v>43892</c:v>
                </c:pt>
                <c:pt idx="52">
                  <c:v>43893</c:v>
                </c:pt>
                <c:pt idx="53">
                  <c:v>43894</c:v>
                </c:pt>
                <c:pt idx="54">
                  <c:v>43895</c:v>
                </c:pt>
                <c:pt idx="55">
                  <c:v>43896</c:v>
                </c:pt>
                <c:pt idx="56">
                  <c:v>43900</c:v>
                </c:pt>
                <c:pt idx="57">
                  <c:v>43901</c:v>
                </c:pt>
                <c:pt idx="58">
                  <c:v>43902</c:v>
                </c:pt>
                <c:pt idx="59">
                  <c:v>43903</c:v>
                </c:pt>
                <c:pt idx="60">
                  <c:v>43906</c:v>
                </c:pt>
                <c:pt idx="61">
                  <c:v>43907</c:v>
                </c:pt>
                <c:pt idx="62">
                  <c:v>43908</c:v>
                </c:pt>
                <c:pt idx="63">
                  <c:v>43909</c:v>
                </c:pt>
                <c:pt idx="64">
                  <c:v>43910</c:v>
                </c:pt>
                <c:pt idx="65">
                  <c:v>43913</c:v>
                </c:pt>
                <c:pt idx="66">
                  <c:v>43914</c:v>
                </c:pt>
                <c:pt idx="67">
                  <c:v>43915</c:v>
                </c:pt>
                <c:pt idx="68">
                  <c:v>43916</c:v>
                </c:pt>
                <c:pt idx="69">
                  <c:v>43917</c:v>
                </c:pt>
                <c:pt idx="70">
                  <c:v>43927</c:v>
                </c:pt>
                <c:pt idx="71">
                  <c:v>43928</c:v>
                </c:pt>
                <c:pt idx="72">
                  <c:v>43929</c:v>
                </c:pt>
                <c:pt idx="73">
                  <c:v>43963</c:v>
                </c:pt>
                <c:pt idx="74">
                  <c:v>43964</c:v>
                </c:pt>
                <c:pt idx="75">
                  <c:v>43965</c:v>
                </c:pt>
                <c:pt idx="76">
                  <c:v>43966</c:v>
                </c:pt>
                <c:pt idx="77">
                  <c:v>43969</c:v>
                </c:pt>
                <c:pt idx="78">
                  <c:v>43970</c:v>
                </c:pt>
                <c:pt idx="79">
                  <c:v>43971</c:v>
                </c:pt>
                <c:pt idx="80">
                  <c:v>43972</c:v>
                </c:pt>
                <c:pt idx="81">
                  <c:v>43973</c:v>
                </c:pt>
                <c:pt idx="82">
                  <c:v>43976</c:v>
                </c:pt>
                <c:pt idx="83">
                  <c:v>43977</c:v>
                </c:pt>
                <c:pt idx="84">
                  <c:v>43978</c:v>
                </c:pt>
                <c:pt idx="85">
                  <c:v>43983</c:v>
                </c:pt>
                <c:pt idx="86">
                  <c:v>43984</c:v>
                </c:pt>
                <c:pt idx="87">
                  <c:v>43985</c:v>
                </c:pt>
                <c:pt idx="88">
                  <c:v>43986</c:v>
                </c:pt>
                <c:pt idx="89">
                  <c:v>43987</c:v>
                </c:pt>
                <c:pt idx="90">
                  <c:v>43990</c:v>
                </c:pt>
                <c:pt idx="91">
                  <c:v>43991</c:v>
                </c:pt>
                <c:pt idx="92">
                  <c:v>43992</c:v>
                </c:pt>
                <c:pt idx="93">
                  <c:v>43993</c:v>
                </c:pt>
                <c:pt idx="94">
                  <c:v>43997</c:v>
                </c:pt>
                <c:pt idx="95">
                  <c:v>43998</c:v>
                </c:pt>
                <c:pt idx="96">
                  <c:v>43999</c:v>
                </c:pt>
                <c:pt idx="97">
                  <c:v>44000</c:v>
                </c:pt>
                <c:pt idx="98">
                  <c:v>44001</c:v>
                </c:pt>
                <c:pt idx="99">
                  <c:v>44004</c:v>
                </c:pt>
                <c:pt idx="100">
                  <c:v>44005</c:v>
                </c:pt>
                <c:pt idx="101">
                  <c:v>44007</c:v>
                </c:pt>
                <c:pt idx="102">
                  <c:v>44008</c:v>
                </c:pt>
                <c:pt idx="103">
                  <c:v>44009</c:v>
                </c:pt>
                <c:pt idx="104">
                  <c:v>44010</c:v>
                </c:pt>
                <c:pt idx="105">
                  <c:v>44011</c:v>
                </c:pt>
                <c:pt idx="106">
                  <c:v>44012</c:v>
                </c:pt>
                <c:pt idx="107">
                  <c:v>44013</c:v>
                </c:pt>
                <c:pt idx="108">
                  <c:v>44014</c:v>
                </c:pt>
                <c:pt idx="109">
                  <c:v>44015</c:v>
                </c:pt>
                <c:pt idx="110">
                  <c:v>44016</c:v>
                </c:pt>
                <c:pt idx="111">
                  <c:v>44017</c:v>
                </c:pt>
                <c:pt idx="112">
                  <c:v>44018</c:v>
                </c:pt>
                <c:pt idx="113">
                  <c:v>44019</c:v>
                </c:pt>
                <c:pt idx="114">
                  <c:v>44020</c:v>
                </c:pt>
                <c:pt idx="115">
                  <c:v>44021</c:v>
                </c:pt>
                <c:pt idx="116">
                  <c:v>44022</c:v>
                </c:pt>
                <c:pt idx="117">
                  <c:v>44023</c:v>
                </c:pt>
                <c:pt idx="118">
                  <c:v>44024</c:v>
                </c:pt>
                <c:pt idx="119">
                  <c:v>44025</c:v>
                </c:pt>
                <c:pt idx="120">
                  <c:v>44026</c:v>
                </c:pt>
              </c:numCache>
            </c:numRef>
          </c:cat>
          <c:val>
            <c:numRef>
              <c:f>СТАТИСТИКА_PAST!$D$2:$D$47</c:f>
              <c:numCache>
                <c:formatCode>General</c:formatCode>
                <c:ptCount val="46"/>
                <c:pt idx="0">
                  <c:v>4</c:v>
                </c:pt>
                <c:pt idx="1">
                  <c:v>4</c:v>
                </c:pt>
                <c:pt idx="2">
                  <c:v>3</c:v>
                </c:pt>
                <c:pt idx="3">
                  <c:v>5</c:v>
                </c:pt>
                <c:pt idx="4">
                  <c:v>3</c:v>
                </c:pt>
                <c:pt idx="5">
                  <c:v>4</c:v>
                </c:pt>
                <c:pt idx="6">
                  <c:v>5</c:v>
                </c:pt>
                <c:pt idx="7">
                  <c:v>3</c:v>
                </c:pt>
                <c:pt idx="8">
                  <c:v>6</c:v>
                </c:pt>
                <c:pt idx="9">
                  <c:v>2</c:v>
                </c:pt>
                <c:pt idx="10">
                  <c:v>3</c:v>
                </c:pt>
                <c:pt idx="11">
                  <c:v>4</c:v>
                </c:pt>
                <c:pt idx="12">
                  <c:v>4</c:v>
                </c:pt>
                <c:pt idx="13">
                  <c:v>6</c:v>
                </c:pt>
                <c:pt idx="14">
                  <c:v>3</c:v>
                </c:pt>
                <c:pt idx="15">
                  <c:v>6</c:v>
                </c:pt>
                <c:pt idx="16">
                  <c:v>7</c:v>
                </c:pt>
                <c:pt idx="17">
                  <c:v>6</c:v>
                </c:pt>
                <c:pt idx="18">
                  <c:v>2</c:v>
                </c:pt>
                <c:pt idx="19">
                  <c:v>4</c:v>
                </c:pt>
                <c:pt idx="20">
                  <c:v>2</c:v>
                </c:pt>
                <c:pt idx="21">
                  <c:v>8</c:v>
                </c:pt>
                <c:pt idx="22">
                  <c:v>3</c:v>
                </c:pt>
                <c:pt idx="23">
                  <c:v>5</c:v>
                </c:pt>
                <c:pt idx="24">
                  <c:v>3</c:v>
                </c:pt>
                <c:pt idx="25">
                  <c:v>3</c:v>
                </c:pt>
                <c:pt idx="26">
                  <c:v>5</c:v>
                </c:pt>
                <c:pt idx="27">
                  <c:v>2</c:v>
                </c:pt>
                <c:pt idx="28">
                  <c:v>3</c:v>
                </c:pt>
                <c:pt idx="29">
                  <c:v>5</c:v>
                </c:pt>
                <c:pt idx="30">
                  <c:v>4</c:v>
                </c:pt>
                <c:pt idx="31">
                  <c:v>2</c:v>
                </c:pt>
                <c:pt idx="32">
                  <c:v>3</c:v>
                </c:pt>
                <c:pt idx="33">
                  <c:v>3</c:v>
                </c:pt>
                <c:pt idx="34">
                  <c:v>6</c:v>
                </c:pt>
                <c:pt idx="35">
                  <c:v>4</c:v>
                </c:pt>
                <c:pt idx="36">
                  <c:v>5</c:v>
                </c:pt>
                <c:pt idx="37">
                  <c:v>2</c:v>
                </c:pt>
                <c:pt idx="38">
                  <c:v>2</c:v>
                </c:pt>
                <c:pt idx="39">
                  <c:v>2</c:v>
                </c:pt>
                <c:pt idx="40">
                  <c:v>5</c:v>
                </c:pt>
                <c:pt idx="41">
                  <c:v>4</c:v>
                </c:pt>
                <c:pt idx="42">
                  <c:v>3</c:v>
                </c:pt>
                <c:pt idx="43">
                  <c:v>3</c:v>
                </c:pt>
                <c:pt idx="44">
                  <c:v>6</c:v>
                </c:pt>
                <c:pt idx="45">
                  <c:v>6</c:v>
                </c:pt>
              </c:numCache>
            </c:numRef>
          </c:val>
          <c:smooth val="0"/>
          <c:extLst>
            <c:ext xmlns:c16="http://schemas.microsoft.com/office/drawing/2014/chart" uri="{C3380CC4-5D6E-409C-BE32-E72D297353CC}">
              <c16:uniqueId val="{00000003-332C-43ED-B51F-3F84B96ABD5D}"/>
            </c:ext>
          </c:extLst>
        </c:ser>
        <c:ser>
          <c:idx val="3"/>
          <c:order val="3"/>
          <c:tx>
            <c:strRef>
              <c:f>СТАТИСТИКА_PAST!$E$1</c:f>
              <c:strCache>
                <c:ptCount val="1"/>
                <c:pt idx="0">
                  <c:v>Хахалев Эдуард Олегович</c:v>
                </c:pt>
              </c:strCache>
            </c:strRef>
          </c:tx>
          <c:spPr>
            <a:ln w="22225" cap="rnd">
              <a:solidFill>
                <a:schemeClr val="accent4"/>
              </a:solidFill>
            </a:ln>
            <a:effectLst>
              <a:glow rad="139700">
                <a:schemeClr val="accent4">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ru-RU"/>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numRef>
              <c:f>СТАТИСТИКА_PAST!$A:$A</c:f>
              <c:numCache>
                <c:formatCode>m/d/yyyy</c:formatCode>
                <c:ptCount val="1048576"/>
                <c:pt idx="1">
                  <c:v>43808</c:v>
                </c:pt>
                <c:pt idx="2">
                  <c:v>43809</c:v>
                </c:pt>
                <c:pt idx="3">
                  <c:v>43810</c:v>
                </c:pt>
                <c:pt idx="4">
                  <c:v>43811</c:v>
                </c:pt>
                <c:pt idx="5">
                  <c:v>43812</c:v>
                </c:pt>
                <c:pt idx="6">
                  <c:v>43815</c:v>
                </c:pt>
                <c:pt idx="7">
                  <c:v>43816</c:v>
                </c:pt>
                <c:pt idx="8">
                  <c:v>43817</c:v>
                </c:pt>
                <c:pt idx="9">
                  <c:v>43818</c:v>
                </c:pt>
                <c:pt idx="10">
                  <c:v>43819</c:v>
                </c:pt>
                <c:pt idx="11">
                  <c:v>43822</c:v>
                </c:pt>
                <c:pt idx="12">
                  <c:v>43823</c:v>
                </c:pt>
                <c:pt idx="13">
                  <c:v>43824</c:v>
                </c:pt>
                <c:pt idx="14">
                  <c:v>43825</c:v>
                </c:pt>
                <c:pt idx="15">
                  <c:v>43826</c:v>
                </c:pt>
                <c:pt idx="16">
                  <c:v>43829</c:v>
                </c:pt>
                <c:pt idx="17">
                  <c:v>43830</c:v>
                </c:pt>
                <c:pt idx="18">
                  <c:v>43839</c:v>
                </c:pt>
                <c:pt idx="19">
                  <c:v>43840</c:v>
                </c:pt>
                <c:pt idx="20">
                  <c:v>43843</c:v>
                </c:pt>
                <c:pt idx="21">
                  <c:v>43844</c:v>
                </c:pt>
                <c:pt idx="22">
                  <c:v>43845</c:v>
                </c:pt>
                <c:pt idx="23">
                  <c:v>43846</c:v>
                </c:pt>
                <c:pt idx="24">
                  <c:v>43847</c:v>
                </c:pt>
                <c:pt idx="25">
                  <c:v>43850</c:v>
                </c:pt>
                <c:pt idx="26">
                  <c:v>43851</c:v>
                </c:pt>
                <c:pt idx="27">
                  <c:v>43852</c:v>
                </c:pt>
                <c:pt idx="28">
                  <c:v>43853</c:v>
                </c:pt>
                <c:pt idx="29">
                  <c:v>43854</c:v>
                </c:pt>
                <c:pt idx="30">
                  <c:v>43857</c:v>
                </c:pt>
                <c:pt idx="31">
                  <c:v>43858</c:v>
                </c:pt>
                <c:pt idx="32">
                  <c:v>43859</c:v>
                </c:pt>
                <c:pt idx="33">
                  <c:v>43860</c:v>
                </c:pt>
                <c:pt idx="34">
                  <c:v>43861</c:v>
                </c:pt>
                <c:pt idx="35">
                  <c:v>43864</c:v>
                </c:pt>
                <c:pt idx="36">
                  <c:v>43865</c:v>
                </c:pt>
                <c:pt idx="37">
                  <c:v>43866</c:v>
                </c:pt>
                <c:pt idx="38">
                  <c:v>43867</c:v>
                </c:pt>
                <c:pt idx="39">
                  <c:v>43868</c:v>
                </c:pt>
                <c:pt idx="40">
                  <c:v>43871</c:v>
                </c:pt>
                <c:pt idx="41">
                  <c:v>43872</c:v>
                </c:pt>
                <c:pt idx="42">
                  <c:v>43873</c:v>
                </c:pt>
                <c:pt idx="43">
                  <c:v>43879</c:v>
                </c:pt>
                <c:pt idx="44">
                  <c:v>43880</c:v>
                </c:pt>
                <c:pt idx="45">
                  <c:v>43881</c:v>
                </c:pt>
                <c:pt idx="46">
                  <c:v>43882</c:v>
                </c:pt>
                <c:pt idx="47">
                  <c:v>43886</c:v>
                </c:pt>
                <c:pt idx="48">
                  <c:v>43887</c:v>
                </c:pt>
                <c:pt idx="49">
                  <c:v>43888</c:v>
                </c:pt>
                <c:pt idx="50">
                  <c:v>43889</c:v>
                </c:pt>
                <c:pt idx="51">
                  <c:v>43892</c:v>
                </c:pt>
                <c:pt idx="52">
                  <c:v>43893</c:v>
                </c:pt>
                <c:pt idx="53">
                  <c:v>43894</c:v>
                </c:pt>
                <c:pt idx="54">
                  <c:v>43895</c:v>
                </c:pt>
                <c:pt idx="55">
                  <c:v>43896</c:v>
                </c:pt>
                <c:pt idx="56">
                  <c:v>43900</c:v>
                </c:pt>
                <c:pt idx="57">
                  <c:v>43901</c:v>
                </c:pt>
                <c:pt idx="58">
                  <c:v>43902</c:v>
                </c:pt>
                <c:pt idx="59">
                  <c:v>43903</c:v>
                </c:pt>
                <c:pt idx="60">
                  <c:v>43906</c:v>
                </c:pt>
                <c:pt idx="61">
                  <c:v>43907</c:v>
                </c:pt>
                <c:pt idx="62">
                  <c:v>43908</c:v>
                </c:pt>
                <c:pt idx="63">
                  <c:v>43909</c:v>
                </c:pt>
                <c:pt idx="64">
                  <c:v>43910</c:v>
                </c:pt>
                <c:pt idx="65">
                  <c:v>43913</c:v>
                </c:pt>
                <c:pt idx="66">
                  <c:v>43914</c:v>
                </c:pt>
                <c:pt idx="67">
                  <c:v>43915</c:v>
                </c:pt>
                <c:pt idx="68">
                  <c:v>43916</c:v>
                </c:pt>
                <c:pt idx="69">
                  <c:v>43917</c:v>
                </c:pt>
                <c:pt idx="70">
                  <c:v>43927</c:v>
                </c:pt>
                <c:pt idx="71">
                  <c:v>43928</c:v>
                </c:pt>
                <c:pt idx="72">
                  <c:v>43929</c:v>
                </c:pt>
                <c:pt idx="73">
                  <c:v>43963</c:v>
                </c:pt>
                <c:pt idx="74">
                  <c:v>43964</c:v>
                </c:pt>
                <c:pt idx="75">
                  <c:v>43965</c:v>
                </c:pt>
                <c:pt idx="76">
                  <c:v>43966</c:v>
                </c:pt>
                <c:pt idx="77">
                  <c:v>43969</c:v>
                </c:pt>
                <c:pt idx="78">
                  <c:v>43970</c:v>
                </c:pt>
                <c:pt idx="79">
                  <c:v>43971</c:v>
                </c:pt>
                <c:pt idx="80">
                  <c:v>43972</c:v>
                </c:pt>
                <c:pt idx="81">
                  <c:v>43973</c:v>
                </c:pt>
                <c:pt idx="82">
                  <c:v>43976</c:v>
                </c:pt>
                <c:pt idx="83">
                  <c:v>43977</c:v>
                </c:pt>
                <c:pt idx="84">
                  <c:v>43978</c:v>
                </c:pt>
                <c:pt idx="85">
                  <c:v>43983</c:v>
                </c:pt>
                <c:pt idx="86">
                  <c:v>43984</c:v>
                </c:pt>
                <c:pt idx="87">
                  <c:v>43985</c:v>
                </c:pt>
                <c:pt idx="88">
                  <c:v>43986</c:v>
                </c:pt>
                <c:pt idx="89">
                  <c:v>43987</c:v>
                </c:pt>
                <c:pt idx="90">
                  <c:v>43990</c:v>
                </c:pt>
                <c:pt idx="91">
                  <c:v>43991</c:v>
                </c:pt>
                <c:pt idx="92">
                  <c:v>43992</c:v>
                </c:pt>
                <c:pt idx="93">
                  <c:v>43993</c:v>
                </c:pt>
                <c:pt idx="94">
                  <c:v>43997</c:v>
                </c:pt>
                <c:pt idx="95">
                  <c:v>43998</c:v>
                </c:pt>
                <c:pt idx="96">
                  <c:v>43999</c:v>
                </c:pt>
                <c:pt idx="97">
                  <c:v>44000</c:v>
                </c:pt>
                <c:pt idx="98">
                  <c:v>44001</c:v>
                </c:pt>
                <c:pt idx="99">
                  <c:v>44004</c:v>
                </c:pt>
                <c:pt idx="100">
                  <c:v>44005</c:v>
                </c:pt>
                <c:pt idx="101">
                  <c:v>44007</c:v>
                </c:pt>
                <c:pt idx="102">
                  <c:v>44008</c:v>
                </c:pt>
                <c:pt idx="103">
                  <c:v>44009</c:v>
                </c:pt>
                <c:pt idx="104">
                  <c:v>44010</c:v>
                </c:pt>
                <c:pt idx="105">
                  <c:v>44011</c:v>
                </c:pt>
                <c:pt idx="106">
                  <c:v>44012</c:v>
                </c:pt>
                <c:pt idx="107">
                  <c:v>44013</c:v>
                </c:pt>
                <c:pt idx="108">
                  <c:v>44014</c:v>
                </c:pt>
                <c:pt idx="109">
                  <c:v>44015</c:v>
                </c:pt>
                <c:pt idx="110">
                  <c:v>44016</c:v>
                </c:pt>
                <c:pt idx="111">
                  <c:v>44017</c:v>
                </c:pt>
                <c:pt idx="112">
                  <c:v>44018</c:v>
                </c:pt>
                <c:pt idx="113">
                  <c:v>44019</c:v>
                </c:pt>
                <c:pt idx="114">
                  <c:v>44020</c:v>
                </c:pt>
                <c:pt idx="115">
                  <c:v>44021</c:v>
                </c:pt>
                <c:pt idx="116">
                  <c:v>44022</c:v>
                </c:pt>
                <c:pt idx="117">
                  <c:v>44023</c:v>
                </c:pt>
                <c:pt idx="118">
                  <c:v>44024</c:v>
                </c:pt>
                <c:pt idx="119">
                  <c:v>44025</c:v>
                </c:pt>
                <c:pt idx="120">
                  <c:v>44026</c:v>
                </c:pt>
              </c:numCache>
            </c:numRef>
          </c:cat>
          <c:val>
            <c:numRef>
              <c:f>СТАТИСТИКА_PAST!$E$2:$E$47</c:f>
              <c:numCache>
                <c:formatCode>General</c:formatCode>
                <c:ptCount val="46"/>
                <c:pt idx="0">
                  <c:v>3</c:v>
                </c:pt>
                <c:pt idx="1">
                  <c:v>1</c:v>
                </c:pt>
                <c:pt idx="2">
                  <c:v>4</c:v>
                </c:pt>
                <c:pt idx="3">
                  <c:v>3</c:v>
                </c:pt>
                <c:pt idx="4">
                  <c:v>3</c:v>
                </c:pt>
                <c:pt idx="5">
                  <c:v>3</c:v>
                </c:pt>
                <c:pt idx="6">
                  <c:v>4</c:v>
                </c:pt>
                <c:pt idx="7">
                  <c:v>4</c:v>
                </c:pt>
                <c:pt idx="8">
                  <c:v>3</c:v>
                </c:pt>
                <c:pt idx="9">
                  <c:v>2</c:v>
                </c:pt>
                <c:pt idx="10">
                  <c:v>3</c:v>
                </c:pt>
                <c:pt idx="11">
                  <c:v>7</c:v>
                </c:pt>
                <c:pt idx="12">
                  <c:v>3</c:v>
                </c:pt>
                <c:pt idx="13">
                  <c:v>5</c:v>
                </c:pt>
                <c:pt idx="14">
                  <c:v>1</c:v>
                </c:pt>
                <c:pt idx="15">
                  <c:v>2</c:v>
                </c:pt>
                <c:pt idx="16">
                  <c:v>6</c:v>
                </c:pt>
                <c:pt idx="17">
                  <c:v>4</c:v>
                </c:pt>
                <c:pt idx="18">
                  <c:v>5</c:v>
                </c:pt>
                <c:pt idx="19">
                  <c:v>4</c:v>
                </c:pt>
                <c:pt idx="20">
                  <c:v>3</c:v>
                </c:pt>
                <c:pt idx="21">
                  <c:v>3</c:v>
                </c:pt>
                <c:pt idx="22">
                  <c:v>7</c:v>
                </c:pt>
                <c:pt idx="23">
                  <c:v>3</c:v>
                </c:pt>
                <c:pt idx="24">
                  <c:v>4</c:v>
                </c:pt>
                <c:pt idx="25">
                  <c:v>5</c:v>
                </c:pt>
                <c:pt idx="26">
                  <c:v>6</c:v>
                </c:pt>
                <c:pt idx="27">
                  <c:v>3</c:v>
                </c:pt>
                <c:pt idx="28">
                  <c:v>2</c:v>
                </c:pt>
                <c:pt idx="29">
                  <c:v>2</c:v>
                </c:pt>
                <c:pt idx="30">
                  <c:v>4</c:v>
                </c:pt>
                <c:pt idx="31">
                  <c:v>3</c:v>
                </c:pt>
                <c:pt idx="32">
                  <c:v>2</c:v>
                </c:pt>
                <c:pt idx="33">
                  <c:v>5</c:v>
                </c:pt>
                <c:pt idx="34">
                  <c:v>6</c:v>
                </c:pt>
                <c:pt idx="35">
                  <c:v>3</c:v>
                </c:pt>
                <c:pt idx="36">
                  <c:v>2</c:v>
                </c:pt>
                <c:pt idx="37">
                  <c:v>5</c:v>
                </c:pt>
                <c:pt idx="38">
                  <c:v>4</c:v>
                </c:pt>
                <c:pt idx="39">
                  <c:v>5</c:v>
                </c:pt>
                <c:pt idx="40">
                  <c:v>5</c:v>
                </c:pt>
                <c:pt idx="41">
                  <c:v>6</c:v>
                </c:pt>
                <c:pt idx="42">
                  <c:v>4</c:v>
                </c:pt>
                <c:pt idx="43">
                  <c:v>4</c:v>
                </c:pt>
                <c:pt idx="44">
                  <c:v>3</c:v>
                </c:pt>
                <c:pt idx="45">
                  <c:v>2</c:v>
                </c:pt>
              </c:numCache>
            </c:numRef>
          </c:val>
          <c:smooth val="0"/>
          <c:extLst>
            <c:ext xmlns:c16="http://schemas.microsoft.com/office/drawing/2014/chart" uri="{C3380CC4-5D6E-409C-BE32-E72D297353CC}">
              <c16:uniqueId val="{00000004-332C-43ED-B51F-3F84B96ABD5D}"/>
            </c:ext>
          </c:extLst>
        </c:ser>
        <c:ser>
          <c:idx val="4"/>
          <c:order val="4"/>
          <c:tx>
            <c:strRef>
              <c:f>СТАТИСТИКА_PAST!$G$1</c:f>
              <c:strCache>
                <c:ptCount val="1"/>
                <c:pt idx="0">
                  <c:v>Шумилов Алексей Александрович</c:v>
                </c:pt>
              </c:strCache>
            </c:strRef>
          </c:tx>
          <c:spPr>
            <a:ln w="22225" cap="rnd">
              <a:solidFill>
                <a:schemeClr val="accent5"/>
              </a:solidFill>
            </a:ln>
            <a:effectLst>
              <a:glow rad="139700">
                <a:schemeClr val="accent5">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ru-RU"/>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numRef>
              <c:f>СТАТИСТИКА_PAST!$A:$A</c:f>
              <c:numCache>
                <c:formatCode>m/d/yyyy</c:formatCode>
                <c:ptCount val="1048576"/>
                <c:pt idx="1">
                  <c:v>43808</c:v>
                </c:pt>
                <c:pt idx="2">
                  <c:v>43809</c:v>
                </c:pt>
                <c:pt idx="3">
                  <c:v>43810</c:v>
                </c:pt>
                <c:pt idx="4">
                  <c:v>43811</c:v>
                </c:pt>
                <c:pt idx="5">
                  <c:v>43812</c:v>
                </c:pt>
                <c:pt idx="6">
                  <c:v>43815</c:v>
                </c:pt>
                <c:pt idx="7">
                  <c:v>43816</c:v>
                </c:pt>
                <c:pt idx="8">
                  <c:v>43817</c:v>
                </c:pt>
                <c:pt idx="9">
                  <c:v>43818</c:v>
                </c:pt>
                <c:pt idx="10">
                  <c:v>43819</c:v>
                </c:pt>
                <c:pt idx="11">
                  <c:v>43822</c:v>
                </c:pt>
                <c:pt idx="12">
                  <c:v>43823</c:v>
                </c:pt>
                <c:pt idx="13">
                  <c:v>43824</c:v>
                </c:pt>
                <c:pt idx="14">
                  <c:v>43825</c:v>
                </c:pt>
                <c:pt idx="15">
                  <c:v>43826</c:v>
                </c:pt>
                <c:pt idx="16">
                  <c:v>43829</c:v>
                </c:pt>
                <c:pt idx="17">
                  <c:v>43830</c:v>
                </c:pt>
                <c:pt idx="18">
                  <c:v>43839</c:v>
                </c:pt>
                <c:pt idx="19">
                  <c:v>43840</c:v>
                </c:pt>
                <c:pt idx="20">
                  <c:v>43843</c:v>
                </c:pt>
                <c:pt idx="21">
                  <c:v>43844</c:v>
                </c:pt>
                <c:pt idx="22">
                  <c:v>43845</c:v>
                </c:pt>
                <c:pt idx="23">
                  <c:v>43846</c:v>
                </c:pt>
                <c:pt idx="24">
                  <c:v>43847</c:v>
                </c:pt>
                <c:pt idx="25">
                  <c:v>43850</c:v>
                </c:pt>
                <c:pt idx="26">
                  <c:v>43851</c:v>
                </c:pt>
                <c:pt idx="27">
                  <c:v>43852</c:v>
                </c:pt>
                <c:pt idx="28">
                  <c:v>43853</c:v>
                </c:pt>
                <c:pt idx="29">
                  <c:v>43854</c:v>
                </c:pt>
                <c:pt idx="30">
                  <c:v>43857</c:v>
                </c:pt>
                <c:pt idx="31">
                  <c:v>43858</c:v>
                </c:pt>
                <c:pt idx="32">
                  <c:v>43859</c:v>
                </c:pt>
                <c:pt idx="33">
                  <c:v>43860</c:v>
                </c:pt>
                <c:pt idx="34">
                  <c:v>43861</c:v>
                </c:pt>
                <c:pt idx="35">
                  <c:v>43864</c:v>
                </c:pt>
                <c:pt idx="36">
                  <c:v>43865</c:v>
                </c:pt>
                <c:pt idx="37">
                  <c:v>43866</c:v>
                </c:pt>
                <c:pt idx="38">
                  <c:v>43867</c:v>
                </c:pt>
                <c:pt idx="39">
                  <c:v>43868</c:v>
                </c:pt>
                <c:pt idx="40">
                  <c:v>43871</c:v>
                </c:pt>
                <c:pt idx="41">
                  <c:v>43872</c:v>
                </c:pt>
                <c:pt idx="42">
                  <c:v>43873</c:v>
                </c:pt>
                <c:pt idx="43">
                  <c:v>43879</c:v>
                </c:pt>
                <c:pt idx="44">
                  <c:v>43880</c:v>
                </c:pt>
                <c:pt idx="45">
                  <c:v>43881</c:v>
                </c:pt>
                <c:pt idx="46">
                  <c:v>43882</c:v>
                </c:pt>
                <c:pt idx="47">
                  <c:v>43886</c:v>
                </c:pt>
                <c:pt idx="48">
                  <c:v>43887</c:v>
                </c:pt>
                <c:pt idx="49">
                  <c:v>43888</c:v>
                </c:pt>
                <c:pt idx="50">
                  <c:v>43889</c:v>
                </c:pt>
                <c:pt idx="51">
                  <c:v>43892</c:v>
                </c:pt>
                <c:pt idx="52">
                  <c:v>43893</c:v>
                </c:pt>
                <c:pt idx="53">
                  <c:v>43894</c:v>
                </c:pt>
                <c:pt idx="54">
                  <c:v>43895</c:v>
                </c:pt>
                <c:pt idx="55">
                  <c:v>43896</c:v>
                </c:pt>
                <c:pt idx="56">
                  <c:v>43900</c:v>
                </c:pt>
                <c:pt idx="57">
                  <c:v>43901</c:v>
                </c:pt>
                <c:pt idx="58">
                  <c:v>43902</c:v>
                </c:pt>
                <c:pt idx="59">
                  <c:v>43903</c:v>
                </c:pt>
                <c:pt idx="60">
                  <c:v>43906</c:v>
                </c:pt>
                <c:pt idx="61">
                  <c:v>43907</c:v>
                </c:pt>
                <c:pt idx="62">
                  <c:v>43908</c:v>
                </c:pt>
                <c:pt idx="63">
                  <c:v>43909</c:v>
                </c:pt>
                <c:pt idx="64">
                  <c:v>43910</c:v>
                </c:pt>
                <c:pt idx="65">
                  <c:v>43913</c:v>
                </c:pt>
                <c:pt idx="66">
                  <c:v>43914</c:v>
                </c:pt>
                <c:pt idx="67">
                  <c:v>43915</c:v>
                </c:pt>
                <c:pt idx="68">
                  <c:v>43916</c:v>
                </c:pt>
                <c:pt idx="69">
                  <c:v>43917</c:v>
                </c:pt>
                <c:pt idx="70">
                  <c:v>43927</c:v>
                </c:pt>
                <c:pt idx="71">
                  <c:v>43928</c:v>
                </c:pt>
                <c:pt idx="72">
                  <c:v>43929</c:v>
                </c:pt>
                <c:pt idx="73">
                  <c:v>43963</c:v>
                </c:pt>
                <c:pt idx="74">
                  <c:v>43964</c:v>
                </c:pt>
                <c:pt idx="75">
                  <c:v>43965</c:v>
                </c:pt>
                <c:pt idx="76">
                  <c:v>43966</c:v>
                </c:pt>
                <c:pt idx="77">
                  <c:v>43969</c:v>
                </c:pt>
                <c:pt idx="78">
                  <c:v>43970</c:v>
                </c:pt>
                <c:pt idx="79">
                  <c:v>43971</c:v>
                </c:pt>
                <c:pt idx="80">
                  <c:v>43972</c:v>
                </c:pt>
                <c:pt idx="81">
                  <c:v>43973</c:v>
                </c:pt>
                <c:pt idx="82">
                  <c:v>43976</c:v>
                </c:pt>
                <c:pt idx="83">
                  <c:v>43977</c:v>
                </c:pt>
                <c:pt idx="84">
                  <c:v>43978</c:v>
                </c:pt>
                <c:pt idx="85">
                  <c:v>43983</c:v>
                </c:pt>
                <c:pt idx="86">
                  <c:v>43984</c:v>
                </c:pt>
                <c:pt idx="87">
                  <c:v>43985</c:v>
                </c:pt>
                <c:pt idx="88">
                  <c:v>43986</c:v>
                </c:pt>
                <c:pt idx="89">
                  <c:v>43987</c:v>
                </c:pt>
                <c:pt idx="90">
                  <c:v>43990</c:v>
                </c:pt>
                <c:pt idx="91">
                  <c:v>43991</c:v>
                </c:pt>
                <c:pt idx="92">
                  <c:v>43992</c:v>
                </c:pt>
                <c:pt idx="93">
                  <c:v>43993</c:v>
                </c:pt>
                <c:pt idx="94">
                  <c:v>43997</c:v>
                </c:pt>
                <c:pt idx="95">
                  <c:v>43998</c:v>
                </c:pt>
                <c:pt idx="96">
                  <c:v>43999</c:v>
                </c:pt>
                <c:pt idx="97">
                  <c:v>44000</c:v>
                </c:pt>
                <c:pt idx="98">
                  <c:v>44001</c:v>
                </c:pt>
                <c:pt idx="99">
                  <c:v>44004</c:v>
                </c:pt>
                <c:pt idx="100">
                  <c:v>44005</c:v>
                </c:pt>
                <c:pt idx="101">
                  <c:v>44007</c:v>
                </c:pt>
                <c:pt idx="102">
                  <c:v>44008</c:v>
                </c:pt>
                <c:pt idx="103">
                  <c:v>44009</c:v>
                </c:pt>
                <c:pt idx="104">
                  <c:v>44010</c:v>
                </c:pt>
                <c:pt idx="105">
                  <c:v>44011</c:v>
                </c:pt>
                <c:pt idx="106">
                  <c:v>44012</c:v>
                </c:pt>
                <c:pt idx="107">
                  <c:v>44013</c:v>
                </c:pt>
                <c:pt idx="108">
                  <c:v>44014</c:v>
                </c:pt>
                <c:pt idx="109">
                  <c:v>44015</c:v>
                </c:pt>
                <c:pt idx="110">
                  <c:v>44016</c:v>
                </c:pt>
                <c:pt idx="111">
                  <c:v>44017</c:v>
                </c:pt>
                <c:pt idx="112">
                  <c:v>44018</c:v>
                </c:pt>
                <c:pt idx="113">
                  <c:v>44019</c:v>
                </c:pt>
                <c:pt idx="114">
                  <c:v>44020</c:v>
                </c:pt>
                <c:pt idx="115">
                  <c:v>44021</c:v>
                </c:pt>
                <c:pt idx="116">
                  <c:v>44022</c:v>
                </c:pt>
                <c:pt idx="117">
                  <c:v>44023</c:v>
                </c:pt>
                <c:pt idx="118">
                  <c:v>44024</c:v>
                </c:pt>
                <c:pt idx="119">
                  <c:v>44025</c:v>
                </c:pt>
                <c:pt idx="120">
                  <c:v>44026</c:v>
                </c:pt>
              </c:numCache>
            </c:numRef>
          </c:cat>
          <c:val>
            <c:numRef>
              <c:f>СТАТИСТИКА_PAST!$G$2:$G$47</c:f>
              <c:numCache>
                <c:formatCode>General</c:formatCode>
                <c:ptCount val="46"/>
                <c:pt idx="0">
                  <c:v>0</c:v>
                </c:pt>
                <c:pt idx="1">
                  <c:v>0</c:v>
                </c:pt>
                <c:pt idx="2">
                  <c:v>0</c:v>
                </c:pt>
                <c:pt idx="3">
                  <c:v>0</c:v>
                </c:pt>
                <c:pt idx="4">
                  <c:v>0</c:v>
                </c:pt>
                <c:pt idx="5">
                  <c:v>2</c:v>
                </c:pt>
                <c:pt idx="6">
                  <c:v>3</c:v>
                </c:pt>
                <c:pt idx="7">
                  <c:v>5</c:v>
                </c:pt>
                <c:pt idx="8">
                  <c:v>5</c:v>
                </c:pt>
                <c:pt idx="9">
                  <c:v>3</c:v>
                </c:pt>
                <c:pt idx="10">
                  <c:v>1</c:v>
                </c:pt>
                <c:pt idx="11">
                  <c:v>4</c:v>
                </c:pt>
                <c:pt idx="12">
                  <c:v>3</c:v>
                </c:pt>
                <c:pt idx="13">
                  <c:v>4</c:v>
                </c:pt>
                <c:pt idx="14">
                  <c:v>2</c:v>
                </c:pt>
                <c:pt idx="15">
                  <c:v>2</c:v>
                </c:pt>
                <c:pt idx="16">
                  <c:v>3</c:v>
                </c:pt>
                <c:pt idx="17">
                  <c:v>0</c:v>
                </c:pt>
                <c:pt idx="18">
                  <c:v>2</c:v>
                </c:pt>
                <c:pt idx="19">
                  <c:v>2</c:v>
                </c:pt>
                <c:pt idx="20">
                  <c:v>3</c:v>
                </c:pt>
                <c:pt idx="21">
                  <c:v>4</c:v>
                </c:pt>
                <c:pt idx="22">
                  <c:v>3</c:v>
                </c:pt>
                <c:pt idx="23">
                  <c:v>3</c:v>
                </c:pt>
                <c:pt idx="24">
                  <c:v>3</c:v>
                </c:pt>
                <c:pt idx="25">
                  <c:v>4</c:v>
                </c:pt>
                <c:pt idx="26">
                  <c:v>2</c:v>
                </c:pt>
                <c:pt idx="27">
                  <c:v>4</c:v>
                </c:pt>
                <c:pt idx="28">
                  <c:v>3</c:v>
                </c:pt>
                <c:pt idx="29">
                  <c:v>4</c:v>
                </c:pt>
                <c:pt idx="30">
                  <c:v>4</c:v>
                </c:pt>
                <c:pt idx="31">
                  <c:v>4</c:v>
                </c:pt>
                <c:pt idx="32">
                  <c:v>3</c:v>
                </c:pt>
                <c:pt idx="33">
                  <c:v>3</c:v>
                </c:pt>
                <c:pt idx="34">
                  <c:v>4</c:v>
                </c:pt>
                <c:pt idx="35">
                  <c:v>2</c:v>
                </c:pt>
                <c:pt idx="36">
                  <c:v>5</c:v>
                </c:pt>
                <c:pt idx="37">
                  <c:v>3</c:v>
                </c:pt>
                <c:pt idx="38">
                  <c:v>1</c:v>
                </c:pt>
                <c:pt idx="39">
                  <c:v>4</c:v>
                </c:pt>
                <c:pt idx="40">
                  <c:v>7</c:v>
                </c:pt>
                <c:pt idx="41">
                  <c:v>3</c:v>
                </c:pt>
                <c:pt idx="42">
                  <c:v>3</c:v>
                </c:pt>
                <c:pt idx="43">
                  <c:v>3</c:v>
                </c:pt>
                <c:pt idx="44">
                  <c:v>3</c:v>
                </c:pt>
                <c:pt idx="45">
                  <c:v>3</c:v>
                </c:pt>
              </c:numCache>
            </c:numRef>
          </c:val>
          <c:smooth val="0"/>
          <c:extLst>
            <c:ext xmlns:c16="http://schemas.microsoft.com/office/drawing/2014/chart" uri="{C3380CC4-5D6E-409C-BE32-E72D297353CC}">
              <c16:uniqueId val="{00000005-332C-43ED-B51F-3F84B96ABD5D}"/>
            </c:ext>
          </c:extLst>
        </c:ser>
        <c:ser>
          <c:idx val="5"/>
          <c:order val="5"/>
          <c:tx>
            <c:strRef>
              <c:f>СТАТИСТИКА_PAST!$I$1</c:f>
              <c:strCache>
                <c:ptCount val="1"/>
                <c:pt idx="0">
                  <c:v>Ермолаева Елена Александровна</c:v>
                </c:pt>
              </c:strCache>
            </c:strRef>
          </c:tx>
          <c:spPr>
            <a:ln w="22225" cap="rnd">
              <a:solidFill>
                <a:schemeClr val="accent6"/>
              </a:solidFill>
            </a:ln>
            <a:effectLst>
              <a:glow rad="139700">
                <a:schemeClr val="accent6">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ru-RU"/>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numRef>
              <c:f>СТАТИСТИКА_PAST!$A:$A</c:f>
              <c:numCache>
                <c:formatCode>m/d/yyyy</c:formatCode>
                <c:ptCount val="1048576"/>
                <c:pt idx="1">
                  <c:v>43808</c:v>
                </c:pt>
                <c:pt idx="2">
                  <c:v>43809</c:v>
                </c:pt>
                <c:pt idx="3">
                  <c:v>43810</c:v>
                </c:pt>
                <c:pt idx="4">
                  <c:v>43811</c:v>
                </c:pt>
                <c:pt idx="5">
                  <c:v>43812</c:v>
                </c:pt>
                <c:pt idx="6">
                  <c:v>43815</c:v>
                </c:pt>
                <c:pt idx="7">
                  <c:v>43816</c:v>
                </c:pt>
                <c:pt idx="8">
                  <c:v>43817</c:v>
                </c:pt>
                <c:pt idx="9">
                  <c:v>43818</c:v>
                </c:pt>
                <c:pt idx="10">
                  <c:v>43819</c:v>
                </c:pt>
                <c:pt idx="11">
                  <c:v>43822</c:v>
                </c:pt>
                <c:pt idx="12">
                  <c:v>43823</c:v>
                </c:pt>
                <c:pt idx="13">
                  <c:v>43824</c:v>
                </c:pt>
                <c:pt idx="14">
                  <c:v>43825</c:v>
                </c:pt>
                <c:pt idx="15">
                  <c:v>43826</c:v>
                </c:pt>
                <c:pt idx="16">
                  <c:v>43829</c:v>
                </c:pt>
                <c:pt idx="17">
                  <c:v>43830</c:v>
                </c:pt>
                <c:pt idx="18">
                  <c:v>43839</c:v>
                </c:pt>
                <c:pt idx="19">
                  <c:v>43840</c:v>
                </c:pt>
                <c:pt idx="20">
                  <c:v>43843</c:v>
                </c:pt>
                <c:pt idx="21">
                  <c:v>43844</c:v>
                </c:pt>
                <c:pt idx="22">
                  <c:v>43845</c:v>
                </c:pt>
                <c:pt idx="23">
                  <c:v>43846</c:v>
                </c:pt>
                <c:pt idx="24">
                  <c:v>43847</c:v>
                </c:pt>
                <c:pt idx="25">
                  <c:v>43850</c:v>
                </c:pt>
                <c:pt idx="26">
                  <c:v>43851</c:v>
                </c:pt>
                <c:pt idx="27">
                  <c:v>43852</c:v>
                </c:pt>
                <c:pt idx="28">
                  <c:v>43853</c:v>
                </c:pt>
                <c:pt idx="29">
                  <c:v>43854</c:v>
                </c:pt>
                <c:pt idx="30">
                  <c:v>43857</c:v>
                </c:pt>
                <c:pt idx="31">
                  <c:v>43858</c:v>
                </c:pt>
                <c:pt idx="32">
                  <c:v>43859</c:v>
                </c:pt>
                <c:pt idx="33">
                  <c:v>43860</c:v>
                </c:pt>
                <c:pt idx="34">
                  <c:v>43861</c:v>
                </c:pt>
                <c:pt idx="35">
                  <c:v>43864</c:v>
                </c:pt>
                <c:pt idx="36">
                  <c:v>43865</c:v>
                </c:pt>
                <c:pt idx="37">
                  <c:v>43866</c:v>
                </c:pt>
                <c:pt idx="38">
                  <c:v>43867</c:v>
                </c:pt>
                <c:pt idx="39">
                  <c:v>43868</c:v>
                </c:pt>
                <c:pt idx="40">
                  <c:v>43871</c:v>
                </c:pt>
                <c:pt idx="41">
                  <c:v>43872</c:v>
                </c:pt>
                <c:pt idx="42">
                  <c:v>43873</c:v>
                </c:pt>
                <c:pt idx="43">
                  <c:v>43879</c:v>
                </c:pt>
                <c:pt idx="44">
                  <c:v>43880</c:v>
                </c:pt>
                <c:pt idx="45">
                  <c:v>43881</c:v>
                </c:pt>
                <c:pt idx="46">
                  <c:v>43882</c:v>
                </c:pt>
                <c:pt idx="47">
                  <c:v>43886</c:v>
                </c:pt>
                <c:pt idx="48">
                  <c:v>43887</c:v>
                </c:pt>
                <c:pt idx="49">
                  <c:v>43888</c:v>
                </c:pt>
                <c:pt idx="50">
                  <c:v>43889</c:v>
                </c:pt>
                <c:pt idx="51">
                  <c:v>43892</c:v>
                </c:pt>
                <c:pt idx="52">
                  <c:v>43893</c:v>
                </c:pt>
                <c:pt idx="53">
                  <c:v>43894</c:v>
                </c:pt>
                <c:pt idx="54">
                  <c:v>43895</c:v>
                </c:pt>
                <c:pt idx="55">
                  <c:v>43896</c:v>
                </c:pt>
                <c:pt idx="56">
                  <c:v>43900</c:v>
                </c:pt>
                <c:pt idx="57">
                  <c:v>43901</c:v>
                </c:pt>
                <c:pt idx="58">
                  <c:v>43902</c:v>
                </c:pt>
                <c:pt idx="59">
                  <c:v>43903</c:v>
                </c:pt>
                <c:pt idx="60">
                  <c:v>43906</c:v>
                </c:pt>
                <c:pt idx="61">
                  <c:v>43907</c:v>
                </c:pt>
                <c:pt idx="62">
                  <c:v>43908</c:v>
                </c:pt>
                <c:pt idx="63">
                  <c:v>43909</c:v>
                </c:pt>
                <c:pt idx="64">
                  <c:v>43910</c:v>
                </c:pt>
                <c:pt idx="65">
                  <c:v>43913</c:v>
                </c:pt>
                <c:pt idx="66">
                  <c:v>43914</c:v>
                </c:pt>
                <c:pt idx="67">
                  <c:v>43915</c:v>
                </c:pt>
                <c:pt idx="68">
                  <c:v>43916</c:v>
                </c:pt>
                <c:pt idx="69">
                  <c:v>43917</c:v>
                </c:pt>
                <c:pt idx="70">
                  <c:v>43927</c:v>
                </c:pt>
                <c:pt idx="71">
                  <c:v>43928</c:v>
                </c:pt>
                <c:pt idx="72">
                  <c:v>43929</c:v>
                </c:pt>
                <c:pt idx="73">
                  <c:v>43963</c:v>
                </c:pt>
                <c:pt idx="74">
                  <c:v>43964</c:v>
                </c:pt>
                <c:pt idx="75">
                  <c:v>43965</c:v>
                </c:pt>
                <c:pt idx="76">
                  <c:v>43966</c:v>
                </c:pt>
                <c:pt idx="77">
                  <c:v>43969</c:v>
                </c:pt>
                <c:pt idx="78">
                  <c:v>43970</c:v>
                </c:pt>
                <c:pt idx="79">
                  <c:v>43971</c:v>
                </c:pt>
                <c:pt idx="80">
                  <c:v>43972</c:v>
                </c:pt>
                <c:pt idx="81">
                  <c:v>43973</c:v>
                </c:pt>
                <c:pt idx="82">
                  <c:v>43976</c:v>
                </c:pt>
                <c:pt idx="83">
                  <c:v>43977</c:v>
                </c:pt>
                <c:pt idx="84">
                  <c:v>43978</c:v>
                </c:pt>
                <c:pt idx="85">
                  <c:v>43983</c:v>
                </c:pt>
                <c:pt idx="86">
                  <c:v>43984</c:v>
                </c:pt>
                <c:pt idx="87">
                  <c:v>43985</c:v>
                </c:pt>
                <c:pt idx="88">
                  <c:v>43986</c:v>
                </c:pt>
                <c:pt idx="89">
                  <c:v>43987</c:v>
                </c:pt>
                <c:pt idx="90">
                  <c:v>43990</c:v>
                </c:pt>
                <c:pt idx="91">
                  <c:v>43991</c:v>
                </c:pt>
                <c:pt idx="92">
                  <c:v>43992</c:v>
                </c:pt>
                <c:pt idx="93">
                  <c:v>43993</c:v>
                </c:pt>
                <c:pt idx="94">
                  <c:v>43997</c:v>
                </c:pt>
                <c:pt idx="95">
                  <c:v>43998</c:v>
                </c:pt>
                <c:pt idx="96">
                  <c:v>43999</c:v>
                </c:pt>
                <c:pt idx="97">
                  <c:v>44000</c:v>
                </c:pt>
                <c:pt idx="98">
                  <c:v>44001</c:v>
                </c:pt>
                <c:pt idx="99">
                  <c:v>44004</c:v>
                </c:pt>
                <c:pt idx="100">
                  <c:v>44005</c:v>
                </c:pt>
                <c:pt idx="101">
                  <c:v>44007</c:v>
                </c:pt>
                <c:pt idx="102">
                  <c:v>44008</c:v>
                </c:pt>
                <c:pt idx="103">
                  <c:v>44009</c:v>
                </c:pt>
                <c:pt idx="104">
                  <c:v>44010</c:v>
                </c:pt>
                <c:pt idx="105">
                  <c:v>44011</c:v>
                </c:pt>
                <c:pt idx="106">
                  <c:v>44012</c:v>
                </c:pt>
                <c:pt idx="107">
                  <c:v>44013</c:v>
                </c:pt>
                <c:pt idx="108">
                  <c:v>44014</c:v>
                </c:pt>
                <c:pt idx="109">
                  <c:v>44015</c:v>
                </c:pt>
                <c:pt idx="110">
                  <c:v>44016</c:v>
                </c:pt>
                <c:pt idx="111">
                  <c:v>44017</c:v>
                </c:pt>
                <c:pt idx="112">
                  <c:v>44018</c:v>
                </c:pt>
                <c:pt idx="113">
                  <c:v>44019</c:v>
                </c:pt>
                <c:pt idx="114">
                  <c:v>44020</c:v>
                </c:pt>
                <c:pt idx="115">
                  <c:v>44021</c:v>
                </c:pt>
                <c:pt idx="116">
                  <c:v>44022</c:v>
                </c:pt>
                <c:pt idx="117">
                  <c:v>44023</c:v>
                </c:pt>
                <c:pt idx="118">
                  <c:v>44024</c:v>
                </c:pt>
                <c:pt idx="119">
                  <c:v>44025</c:v>
                </c:pt>
                <c:pt idx="120">
                  <c:v>44026</c:v>
                </c:pt>
              </c:numCache>
            </c:numRef>
          </c:cat>
          <c:val>
            <c:numRef>
              <c:f>СТАТИСТИКА_PAST!$I$2:$I$47</c:f>
              <c:numCache>
                <c:formatCode>General</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1</c:v>
                </c:pt>
                <c:pt idx="40">
                  <c:v>5</c:v>
                </c:pt>
                <c:pt idx="41">
                  <c:v>4</c:v>
                </c:pt>
                <c:pt idx="42">
                  <c:v>0</c:v>
                </c:pt>
                <c:pt idx="43">
                  <c:v>0</c:v>
                </c:pt>
                <c:pt idx="44">
                  <c:v>0</c:v>
                </c:pt>
                <c:pt idx="45">
                  <c:v>0</c:v>
                </c:pt>
              </c:numCache>
            </c:numRef>
          </c:val>
          <c:smooth val="0"/>
          <c:extLst>
            <c:ext xmlns:c16="http://schemas.microsoft.com/office/drawing/2014/chart" uri="{C3380CC4-5D6E-409C-BE32-E72D297353CC}">
              <c16:uniqueId val="{00000000-B412-4D78-821E-E368B9A71463}"/>
            </c:ext>
          </c:extLst>
        </c:ser>
        <c:dLbls>
          <c:dLblPos val="ctr"/>
          <c:showLegendKey val="0"/>
          <c:showVal val="1"/>
          <c:showCatName val="0"/>
          <c:showSerName val="0"/>
          <c:showPercent val="0"/>
          <c:showBubbleSize val="0"/>
        </c:dLbls>
        <c:smooth val="0"/>
        <c:axId val="951217968"/>
        <c:axId val="951218800"/>
      </c:lineChart>
      <c:dateAx>
        <c:axId val="951217968"/>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dd/mm/yy"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ru-RU"/>
          </a:p>
        </c:txPr>
        <c:crossAx val="951218800"/>
        <c:crosses val="autoZero"/>
        <c:auto val="1"/>
        <c:lblOffset val="100"/>
        <c:baseTimeUnit val="days"/>
      </c:dateAx>
      <c:valAx>
        <c:axId val="951218800"/>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ru-RU"/>
          </a:p>
        </c:txPr>
        <c:crossAx val="95121796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ru-RU"/>
        </a:p>
      </c:txPr>
    </c:legend>
    <c:plotVisOnly val="1"/>
    <c:dispBlanksAs val="zero"/>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fmlaLink="$D$47" lockText="1"/>
</file>

<file path=xl/ctrlProps/ctrlProp2.xml><?xml version="1.0" encoding="utf-8"?>
<formControlPr xmlns="http://schemas.microsoft.com/office/spreadsheetml/2009/9/main" objectType="CheckBox" fmlaLink="$E$47" lockText="1"/>
</file>

<file path=xl/ctrlProps/ctrlProp3.xml><?xml version="1.0" encoding="utf-8"?>
<formControlPr xmlns="http://schemas.microsoft.com/office/spreadsheetml/2009/9/main" objectType="CheckBox" fmlaLink="$A$26" lockText="1"/>
</file>

<file path=xl/ctrlProps/ctrlProp4.xml><?xml version="1.0" encoding="utf-8"?>
<formControlPr xmlns="http://schemas.microsoft.com/office/spreadsheetml/2009/9/main" objectType="CheckBox" fmlaLink="$B$13" lockText="1"/>
</file>

<file path=xl/ctrlProps/ctrlProp5.xml><?xml version="1.0" encoding="utf-8"?>
<formControlPr xmlns="http://schemas.microsoft.com/office/spreadsheetml/2009/9/main" objectType="CheckBox" fmlaLink="$H$4" lockText="1"/>
</file>

<file path=xl/ctrlProps/ctrlProp6.xml><?xml version="1.0" encoding="utf-8"?>
<formControlPr xmlns="http://schemas.microsoft.com/office/spreadsheetml/2009/9/main" objectType="CheckBox" fmlaLink="$D$34" lockText="1"/>
</file>

<file path=xl/ctrlProps/ctrlProp7.xml><?xml version="1.0" encoding="utf-8"?>
<formControlPr xmlns="http://schemas.microsoft.com/office/spreadsheetml/2009/9/main" objectType="CheckBox" fmlaLink="$E$34" lockText="1"/>
</file>

<file path=xl/ctrlProps/ctrlProp8.xml><?xml version="1.0" encoding="utf-8"?>
<formControlPr xmlns="http://schemas.microsoft.com/office/spreadsheetml/2009/9/main" objectType="CheckBox" fmlaLink="$A$26"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fmlaLink="$K$10" lockText="1"/>
</file>

<file path=xl/ctrlProps/ctrlProp13.xml><?xml version="1.0" encoding="utf-8"?>
<formControlPr xmlns="http://schemas.microsoft.com/office/spreadsheetml/2009/9/main" objectType="CheckBox" fmlaLink="$K$9" lockText="1"/>
</file>

<file path=xl/ctrlProps/ctrlProp14.xml><?xml version="1.0" encoding="utf-8"?>
<formControlPr xmlns="http://schemas.microsoft.com/office/spreadsheetml/2009/9/main" objectType="CheckBox" fmlaLink="$K$14"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fmlaLink="$J$16" lockText="1"/>
</file>

<file path=xl/ctrlProps/ctrlProp17.xml><?xml version="1.0" encoding="utf-8"?>
<formControlPr xmlns="http://schemas.microsoft.com/office/spreadsheetml/2009/9/main" objectType="CheckBox" fmlaLink="$J$13" lockText="1"/>
</file>

<file path=xl/ctrlProps/ctrlProp18.xml><?xml version="1.0" encoding="utf-8"?>
<formControlPr xmlns="http://schemas.microsoft.com/office/spreadsheetml/2009/9/main" objectType="CheckBox" fmlaLink="$J$14" lockText="1"/>
</file>

<file path=xl/ctrlProps/ctrlProp19.xml><?xml version="1.0" encoding="utf-8"?>
<formControlPr xmlns="http://schemas.microsoft.com/office/spreadsheetml/2009/9/main" objectType="CheckBox" fmlaLink="$J$15" lockText="1"/>
</file>

<file path=xl/ctrlProps/ctrlProp20.xml><?xml version="1.0" encoding="utf-8"?>
<formControlPr xmlns="http://schemas.microsoft.com/office/spreadsheetml/2009/9/main" objectType="CheckBox" fmlaLink="$J$18" lockText="1"/>
</file>

<file path=xl/ctrlProps/ctrlProp21.xml><?xml version="1.0" encoding="utf-8"?>
<formControlPr xmlns="http://schemas.microsoft.com/office/spreadsheetml/2009/9/main" objectType="CheckBox" fmlaLink="$K$13"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fmlaLink="A19" lockText="1"/>
</file>

<file path=xl/ctrlProps/ctrlProp25.xml><?xml version="1.0" encoding="utf-8"?>
<formControlPr xmlns="http://schemas.microsoft.com/office/spreadsheetml/2009/9/main" objectType="CheckBox" checked="Checked" fmlaLink="$Z$15" lockText="1"/>
</file>

<file path=xl/ctrlProps/ctrlProp26.xml><?xml version="1.0" encoding="utf-8"?>
<formControlPr xmlns="http://schemas.microsoft.com/office/spreadsheetml/2009/9/main" objectType="CheckBox" fmlaLink="$J$17"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image" Target="../media/image10.emf"/><Relationship Id="rId7" Type="http://schemas.openxmlformats.org/officeDocument/2006/relationships/image" Target="../media/image13.emf"/><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12.emf"/><Relationship Id="rId5" Type="http://schemas.openxmlformats.org/officeDocument/2006/relationships/image" Target="../media/image2.emf"/><Relationship Id="rId4" Type="http://schemas.openxmlformats.org/officeDocument/2006/relationships/image" Target="../media/image11.emf"/><Relationship Id="rId9"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5.emf"/><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0</xdr:row>
          <xdr:rowOff>0</xdr:rowOff>
        </xdr:from>
        <xdr:to>
          <xdr:col>7</xdr:col>
          <xdr:colOff>0</xdr:colOff>
          <xdr:row>2</xdr:row>
          <xdr:rowOff>0</xdr:rowOff>
        </xdr:to>
        <xdr:sp macro="" textlink="">
          <xdr:nvSpPr>
            <xdr:cNvPr id="12323" name="Button_Delete" hidden="1">
              <a:extLst>
                <a:ext uri="{63B3BB69-23CF-44E3-9099-C40C66FF867C}">
                  <a14:compatExt spid="_x0000_s12323"/>
                </a:ext>
                <a:ext uri="{FF2B5EF4-FFF2-40B4-BE49-F238E27FC236}">
                  <a16:creationId xmlns:a16="http://schemas.microsoft.com/office/drawing/2014/main" id="{00000000-0008-0000-0600-000023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198120</xdr:rowOff>
        </xdr:from>
        <xdr:to>
          <xdr:col>4</xdr:col>
          <xdr:colOff>0</xdr:colOff>
          <xdr:row>47</xdr:row>
          <xdr:rowOff>0</xdr:rowOff>
        </xdr:to>
        <xdr:sp macro="" textlink="">
          <xdr:nvSpPr>
            <xdr:cNvPr id="12337" name="Check Box 49" hidden="1">
              <a:extLst>
                <a:ext uri="{63B3BB69-23CF-44E3-9099-C40C66FF867C}">
                  <a14:compatExt spid="_x0000_s12337"/>
                </a:ext>
                <a:ext uri="{FF2B5EF4-FFF2-40B4-BE49-F238E27FC236}">
                  <a16:creationId xmlns:a16="http://schemas.microsoft.com/office/drawing/2014/main" id="{00000000-0008-0000-0600-000031300000}"/>
                </a:ext>
              </a:extLst>
            </xdr:cNvPr>
            <xdr:cNvSpPr/>
          </xdr:nvSpPr>
          <xdr:spPr bwMode="auto">
            <a:xfrm>
              <a:off x="0" y="0"/>
              <a:ext cx="0" cy="0"/>
            </a:xfrm>
            <a:prstGeom prst="rect">
              <a:avLst/>
            </a:prstGeom>
            <a:solidFill>
              <a:srgbClr val="99CC00" mc:Ignorable="a14" a14:legacySpreadsheetColorIndex="5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ru-RU" sz="800" b="0" i="0" u="none" strike="noStrike" baseline="0">
                  <a:solidFill>
                    <a:srgbClr val="000000"/>
                  </a:solidFill>
                  <a:latin typeface="Segoe UI"/>
                  <a:cs typeface="Segoe UI"/>
                </a:rPr>
                <a:t>Вина 50%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7620</xdr:rowOff>
        </xdr:from>
        <xdr:to>
          <xdr:col>5</xdr:col>
          <xdr:colOff>0</xdr:colOff>
          <xdr:row>47</xdr:row>
          <xdr:rowOff>0</xdr:rowOff>
        </xdr:to>
        <xdr:sp macro="" textlink="">
          <xdr:nvSpPr>
            <xdr:cNvPr id="12338" name="Check Box 50" hidden="1">
              <a:extLst>
                <a:ext uri="{63B3BB69-23CF-44E3-9099-C40C66FF867C}">
                  <a14:compatExt spid="_x0000_s12338"/>
                </a:ext>
                <a:ext uri="{FF2B5EF4-FFF2-40B4-BE49-F238E27FC236}">
                  <a16:creationId xmlns:a16="http://schemas.microsoft.com/office/drawing/2014/main" id="{00000000-0008-0000-0600-000032300000}"/>
                </a:ext>
              </a:extLst>
            </xdr:cNvPr>
            <xdr:cNvSpPr/>
          </xdr:nvSpPr>
          <xdr:spPr bwMode="auto">
            <a:xfrm>
              <a:off x="0" y="0"/>
              <a:ext cx="0" cy="0"/>
            </a:xfrm>
            <a:prstGeom prst="rect">
              <a:avLst/>
            </a:prstGeom>
            <a:solidFill>
              <a:srgbClr val="99CC00" mc:Ignorable="a14" a14:legacySpreadsheetColorIndex="5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ru-RU" sz="800" b="0" i="0" u="none" strike="noStrike" baseline="0">
                  <a:solidFill>
                    <a:srgbClr val="000000"/>
                  </a:solidFill>
                  <a:latin typeface="Segoe UI"/>
                  <a:cs typeface="Segoe UI"/>
                </a:rPr>
                <a:t>НДФЛ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48</xdr:row>
          <xdr:rowOff>0</xdr:rowOff>
        </xdr:from>
        <xdr:to>
          <xdr:col>3</xdr:col>
          <xdr:colOff>0</xdr:colOff>
          <xdr:row>49</xdr:row>
          <xdr:rowOff>0</xdr:rowOff>
        </xdr:to>
        <xdr:sp macro="" textlink="">
          <xdr:nvSpPr>
            <xdr:cNvPr id="12339" name="ComboBox31" hidden="1">
              <a:extLst>
                <a:ext uri="{63B3BB69-23CF-44E3-9099-C40C66FF867C}">
                  <a14:compatExt spid="_x0000_s12339"/>
                </a:ext>
                <a:ext uri="{FF2B5EF4-FFF2-40B4-BE49-F238E27FC236}">
                  <a16:creationId xmlns:a16="http://schemas.microsoft.com/office/drawing/2014/main" id="{00000000-0008-0000-0600-00003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182880</xdr:rowOff>
        </xdr:from>
        <xdr:to>
          <xdr:col>1</xdr:col>
          <xdr:colOff>0</xdr:colOff>
          <xdr:row>26</xdr:row>
          <xdr:rowOff>0</xdr:rowOff>
        </xdr:to>
        <xdr:sp macro="" textlink="">
          <xdr:nvSpPr>
            <xdr:cNvPr id="12340" name="Check Box 52" hidden="1">
              <a:extLst>
                <a:ext uri="{63B3BB69-23CF-44E3-9099-C40C66FF867C}">
                  <a14:compatExt spid="_x0000_s12340"/>
                </a:ext>
                <a:ext uri="{FF2B5EF4-FFF2-40B4-BE49-F238E27FC236}">
                  <a16:creationId xmlns:a16="http://schemas.microsoft.com/office/drawing/2014/main" id="{00000000-0008-0000-0600-000034300000}"/>
                </a:ext>
              </a:extLst>
            </xdr:cNvPr>
            <xdr:cNvSpPr/>
          </xdr:nvSpPr>
          <xdr:spPr bwMode="auto">
            <a:xfrm>
              <a:off x="0" y="0"/>
              <a:ext cx="0" cy="0"/>
            </a:xfrm>
            <a:prstGeom prst="rect">
              <a:avLst/>
            </a:prstGeom>
            <a:solidFill>
              <a:srgbClr val="99CC00" mc:Ignorable="a14" a14:legacySpreadsheetColorIndex="5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ru-RU" sz="800" b="0" i="0" u="none" strike="noStrike" baseline="0">
                  <a:solidFill>
                    <a:srgbClr val="000000"/>
                  </a:solidFill>
                  <a:latin typeface="Segoe UI"/>
                  <a:cs typeface="Segoe UI"/>
                </a:rPr>
                <a:t>Лично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xdr:row>
          <xdr:rowOff>0</xdr:rowOff>
        </xdr:from>
        <xdr:to>
          <xdr:col>7</xdr:col>
          <xdr:colOff>0</xdr:colOff>
          <xdr:row>4</xdr:row>
          <xdr:rowOff>7620</xdr:rowOff>
        </xdr:to>
        <xdr:sp macro="" textlink="">
          <xdr:nvSpPr>
            <xdr:cNvPr id="12341" name="NewFilledListDates" hidden="1">
              <a:extLst>
                <a:ext uri="{63B3BB69-23CF-44E3-9099-C40C66FF867C}">
                  <a14:compatExt spid="_x0000_s12341"/>
                </a:ext>
                <a:ext uri="{FF2B5EF4-FFF2-40B4-BE49-F238E27FC236}">
                  <a16:creationId xmlns:a16="http://schemas.microsoft.com/office/drawing/2014/main" id="{00000000-0008-0000-0600-00003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63</xdr:row>
          <xdr:rowOff>0</xdr:rowOff>
        </xdr:from>
        <xdr:to>
          <xdr:col>5</xdr:col>
          <xdr:colOff>0</xdr:colOff>
          <xdr:row>64</xdr:row>
          <xdr:rowOff>0</xdr:rowOff>
        </xdr:to>
        <xdr:sp macro="" textlink="">
          <xdr:nvSpPr>
            <xdr:cNvPr id="12344" name="DescriptionList" hidden="1">
              <a:extLst>
                <a:ext uri="{63B3BB69-23CF-44E3-9099-C40C66FF867C}">
                  <a14:compatExt spid="_x0000_s12344"/>
                </a:ext>
                <a:ext uri="{FF2B5EF4-FFF2-40B4-BE49-F238E27FC236}">
                  <a16:creationId xmlns:a16="http://schemas.microsoft.com/office/drawing/2014/main" id="{00000000-0008-0000-0600-000038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xdr:row>
          <xdr:rowOff>0</xdr:rowOff>
        </xdr:from>
        <xdr:to>
          <xdr:col>7</xdr:col>
          <xdr:colOff>0</xdr:colOff>
          <xdr:row>6</xdr:row>
          <xdr:rowOff>30480</xdr:rowOff>
        </xdr:to>
        <xdr:sp macro="" textlink="">
          <xdr:nvSpPr>
            <xdr:cNvPr id="12345" name="CommandButton_CheckDecision" hidden="1">
              <a:extLst>
                <a:ext uri="{63B3BB69-23CF-44E3-9099-C40C66FF867C}">
                  <a14:compatExt spid="_x0000_s12345"/>
                </a:ext>
                <a:ext uri="{FF2B5EF4-FFF2-40B4-BE49-F238E27FC236}">
                  <a16:creationId xmlns:a16="http://schemas.microsoft.com/office/drawing/2014/main" id="{00000000-0008-0000-0600-000039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12348" name="Check Box 60" hidden="1">
              <a:extLst>
                <a:ext uri="{63B3BB69-23CF-44E3-9099-C40C66FF867C}">
                  <a14:compatExt spid="_x0000_s12348"/>
                </a:ext>
                <a:ext uri="{FF2B5EF4-FFF2-40B4-BE49-F238E27FC236}">
                  <a16:creationId xmlns:a16="http://schemas.microsoft.com/office/drawing/2014/main" id="{00000000-0008-0000-0600-00003C300000}"/>
                </a:ext>
              </a:extLst>
            </xdr:cNvPr>
            <xdr:cNvSpPr/>
          </xdr:nvSpPr>
          <xdr:spPr bwMode="auto">
            <a:xfrm>
              <a:off x="0" y="0"/>
              <a:ext cx="0" cy="0"/>
            </a:xfrm>
            <a:prstGeom prst="rect">
              <a:avLst/>
            </a:prstGeom>
            <a:solidFill>
              <a:srgbClr val="FFCC00" mc:Ignorable="a14" a14:legacySpreadsheetColorIndex="5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ru-RU" sz="800" b="0" i="0" u="none" strike="noStrike" baseline="0">
                  <a:solidFill>
                    <a:srgbClr val="000000"/>
                  </a:solidFill>
                  <a:latin typeface="Segoe UI"/>
                  <a:cs typeface="Segoe UI"/>
                </a:rPr>
                <a:t>переносы</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1</xdr:row>
          <xdr:rowOff>0</xdr:rowOff>
        </xdr:from>
        <xdr:to>
          <xdr:col>11</xdr:col>
          <xdr:colOff>15240</xdr:colOff>
          <xdr:row>2</xdr:row>
          <xdr:rowOff>7620</xdr:rowOff>
        </xdr:to>
        <xdr:sp macro="" textlink="">
          <xdr:nvSpPr>
            <xdr:cNvPr id="29697" name="ComboBox1" hidden="1">
              <a:extLst>
                <a:ext uri="{63B3BB69-23CF-44E3-9099-C40C66FF867C}">
                  <a14:compatExt spid="_x0000_s29697"/>
                </a:ext>
                <a:ext uri="{FF2B5EF4-FFF2-40B4-BE49-F238E27FC236}">
                  <a16:creationId xmlns:a16="http://schemas.microsoft.com/office/drawing/2014/main" id="{00000000-0008-0000-0700-000001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xdr:row>
          <xdr:rowOff>0</xdr:rowOff>
        </xdr:from>
        <xdr:to>
          <xdr:col>11</xdr:col>
          <xdr:colOff>7620</xdr:colOff>
          <xdr:row>3</xdr:row>
          <xdr:rowOff>0</xdr:rowOff>
        </xdr:to>
        <xdr:sp macro="" textlink="">
          <xdr:nvSpPr>
            <xdr:cNvPr id="29698" name="ComboBox2" hidden="1">
              <a:extLst>
                <a:ext uri="{63B3BB69-23CF-44E3-9099-C40C66FF867C}">
                  <a14:compatExt spid="_x0000_s29698"/>
                </a:ext>
                <a:ext uri="{FF2B5EF4-FFF2-40B4-BE49-F238E27FC236}">
                  <a16:creationId xmlns:a16="http://schemas.microsoft.com/office/drawing/2014/main" id="{00000000-0008-0000-0700-000002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7620</xdr:colOff>
          <xdr:row>4</xdr:row>
          <xdr:rowOff>0</xdr:rowOff>
        </xdr:to>
        <xdr:sp macro="" textlink="">
          <xdr:nvSpPr>
            <xdr:cNvPr id="29699" name="ComboBox3" hidden="1">
              <a:extLst>
                <a:ext uri="{63B3BB69-23CF-44E3-9099-C40C66FF867C}">
                  <a14:compatExt spid="_x0000_s29699"/>
                </a:ext>
                <a:ext uri="{FF2B5EF4-FFF2-40B4-BE49-F238E27FC236}">
                  <a16:creationId xmlns:a16="http://schemas.microsoft.com/office/drawing/2014/main" id="{00000000-0008-0000-0700-000003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11</xdr:col>
          <xdr:colOff>7620</xdr:colOff>
          <xdr:row>5</xdr:row>
          <xdr:rowOff>0</xdr:rowOff>
        </xdr:to>
        <xdr:sp macro="" textlink="">
          <xdr:nvSpPr>
            <xdr:cNvPr id="29700" name="ComboBox4" hidden="1">
              <a:extLst>
                <a:ext uri="{63B3BB69-23CF-44E3-9099-C40C66FF867C}">
                  <a14:compatExt spid="_x0000_s29700"/>
                </a:ext>
                <a:ext uri="{FF2B5EF4-FFF2-40B4-BE49-F238E27FC236}">
                  <a16:creationId xmlns:a16="http://schemas.microsoft.com/office/drawing/2014/main" id="{00000000-0008-0000-0700-000004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5</xdr:row>
          <xdr:rowOff>0</xdr:rowOff>
        </xdr:from>
        <xdr:to>
          <xdr:col>11</xdr:col>
          <xdr:colOff>7620</xdr:colOff>
          <xdr:row>6</xdr:row>
          <xdr:rowOff>0</xdr:rowOff>
        </xdr:to>
        <xdr:sp macro="" textlink="">
          <xdr:nvSpPr>
            <xdr:cNvPr id="29701" name="ComboBox5" hidden="1">
              <a:extLst>
                <a:ext uri="{63B3BB69-23CF-44E3-9099-C40C66FF867C}">
                  <a14:compatExt spid="_x0000_s29701"/>
                </a:ext>
                <a:ext uri="{FF2B5EF4-FFF2-40B4-BE49-F238E27FC236}">
                  <a16:creationId xmlns:a16="http://schemas.microsoft.com/office/drawing/2014/main" id="{00000000-0008-0000-0700-000005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7620</xdr:colOff>
          <xdr:row>7</xdr:row>
          <xdr:rowOff>0</xdr:rowOff>
        </xdr:to>
        <xdr:sp macro="" textlink="">
          <xdr:nvSpPr>
            <xdr:cNvPr id="29702" name="ComboBox6" hidden="1">
              <a:extLst>
                <a:ext uri="{63B3BB69-23CF-44E3-9099-C40C66FF867C}">
                  <a14:compatExt spid="_x0000_s29702"/>
                </a:ext>
                <a:ext uri="{FF2B5EF4-FFF2-40B4-BE49-F238E27FC236}">
                  <a16:creationId xmlns:a16="http://schemas.microsoft.com/office/drawing/2014/main" id="{00000000-0008-0000-0700-000006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7</xdr:row>
          <xdr:rowOff>0</xdr:rowOff>
        </xdr:from>
        <xdr:to>
          <xdr:col>11</xdr:col>
          <xdr:colOff>7620</xdr:colOff>
          <xdr:row>8</xdr:row>
          <xdr:rowOff>0</xdr:rowOff>
        </xdr:to>
        <xdr:sp macro="" textlink="">
          <xdr:nvSpPr>
            <xdr:cNvPr id="29703" name="ComboBox7" hidden="1">
              <a:extLst>
                <a:ext uri="{63B3BB69-23CF-44E3-9099-C40C66FF867C}">
                  <a14:compatExt spid="_x0000_s29703"/>
                </a:ext>
                <a:ext uri="{FF2B5EF4-FFF2-40B4-BE49-F238E27FC236}">
                  <a16:creationId xmlns:a16="http://schemas.microsoft.com/office/drawing/2014/main" id="{00000000-0008-0000-0700-000007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11</xdr:col>
          <xdr:colOff>7620</xdr:colOff>
          <xdr:row>9</xdr:row>
          <xdr:rowOff>0</xdr:rowOff>
        </xdr:to>
        <xdr:sp macro="" textlink="">
          <xdr:nvSpPr>
            <xdr:cNvPr id="29704" name="ComboBox8" hidden="1">
              <a:extLst>
                <a:ext uri="{63B3BB69-23CF-44E3-9099-C40C66FF867C}">
                  <a14:compatExt spid="_x0000_s29704"/>
                </a:ext>
                <a:ext uri="{FF2B5EF4-FFF2-40B4-BE49-F238E27FC236}">
                  <a16:creationId xmlns:a16="http://schemas.microsoft.com/office/drawing/2014/main" id="{00000000-0008-0000-0700-000008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9</xdr:row>
          <xdr:rowOff>0</xdr:rowOff>
        </xdr:from>
        <xdr:to>
          <xdr:col>11</xdr:col>
          <xdr:colOff>7620</xdr:colOff>
          <xdr:row>10</xdr:row>
          <xdr:rowOff>0</xdr:rowOff>
        </xdr:to>
        <xdr:sp macro="" textlink="">
          <xdr:nvSpPr>
            <xdr:cNvPr id="29705" name="ComboBox9" hidden="1">
              <a:extLst>
                <a:ext uri="{63B3BB69-23CF-44E3-9099-C40C66FF867C}">
                  <a14:compatExt spid="_x0000_s29705"/>
                </a:ext>
                <a:ext uri="{FF2B5EF4-FFF2-40B4-BE49-F238E27FC236}">
                  <a16:creationId xmlns:a16="http://schemas.microsoft.com/office/drawing/2014/main" id="{00000000-0008-0000-0700-000009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10</xdr:row>
          <xdr:rowOff>0</xdr:rowOff>
        </xdr:from>
        <xdr:to>
          <xdr:col>11</xdr:col>
          <xdr:colOff>7620</xdr:colOff>
          <xdr:row>11</xdr:row>
          <xdr:rowOff>0</xdr:rowOff>
        </xdr:to>
        <xdr:sp macro="" textlink="">
          <xdr:nvSpPr>
            <xdr:cNvPr id="29706" name="ComboBox10" hidden="1">
              <a:extLst>
                <a:ext uri="{63B3BB69-23CF-44E3-9099-C40C66FF867C}">
                  <a14:compatExt spid="_x0000_s29706"/>
                </a:ext>
                <a:ext uri="{FF2B5EF4-FFF2-40B4-BE49-F238E27FC236}">
                  <a16:creationId xmlns:a16="http://schemas.microsoft.com/office/drawing/2014/main" id="{00000000-0008-0000-0700-00000A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xdr:row>
          <xdr:rowOff>0</xdr:rowOff>
        </xdr:from>
        <xdr:to>
          <xdr:col>13</xdr:col>
          <xdr:colOff>7620</xdr:colOff>
          <xdr:row>2</xdr:row>
          <xdr:rowOff>0</xdr:rowOff>
        </xdr:to>
        <xdr:sp macro="" textlink="">
          <xdr:nvSpPr>
            <xdr:cNvPr id="29707" name="ComboBox11" hidden="1">
              <a:extLst>
                <a:ext uri="{63B3BB69-23CF-44E3-9099-C40C66FF867C}">
                  <a14:compatExt spid="_x0000_s29707"/>
                </a:ext>
                <a:ext uri="{FF2B5EF4-FFF2-40B4-BE49-F238E27FC236}">
                  <a16:creationId xmlns:a16="http://schemas.microsoft.com/office/drawing/2014/main" id="{00000000-0008-0000-0700-00000B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xdr:row>
          <xdr:rowOff>0</xdr:rowOff>
        </xdr:from>
        <xdr:to>
          <xdr:col>13</xdr:col>
          <xdr:colOff>7620</xdr:colOff>
          <xdr:row>3</xdr:row>
          <xdr:rowOff>0</xdr:rowOff>
        </xdr:to>
        <xdr:sp macro="" textlink="">
          <xdr:nvSpPr>
            <xdr:cNvPr id="29708" name="ComboBox12" hidden="1">
              <a:extLst>
                <a:ext uri="{63B3BB69-23CF-44E3-9099-C40C66FF867C}">
                  <a14:compatExt spid="_x0000_s29708"/>
                </a:ext>
                <a:ext uri="{FF2B5EF4-FFF2-40B4-BE49-F238E27FC236}">
                  <a16:creationId xmlns:a16="http://schemas.microsoft.com/office/drawing/2014/main" id="{00000000-0008-0000-0700-00000C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xdr:row>
          <xdr:rowOff>0</xdr:rowOff>
        </xdr:from>
        <xdr:to>
          <xdr:col>13</xdr:col>
          <xdr:colOff>7620</xdr:colOff>
          <xdr:row>4</xdr:row>
          <xdr:rowOff>0</xdr:rowOff>
        </xdr:to>
        <xdr:sp macro="" textlink="">
          <xdr:nvSpPr>
            <xdr:cNvPr id="29709" name="ComboBox13" hidden="1">
              <a:extLst>
                <a:ext uri="{63B3BB69-23CF-44E3-9099-C40C66FF867C}">
                  <a14:compatExt spid="_x0000_s29709"/>
                </a:ext>
                <a:ext uri="{FF2B5EF4-FFF2-40B4-BE49-F238E27FC236}">
                  <a16:creationId xmlns:a16="http://schemas.microsoft.com/office/drawing/2014/main" id="{00000000-0008-0000-0700-00000D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xdr:row>
          <xdr:rowOff>0</xdr:rowOff>
        </xdr:from>
        <xdr:to>
          <xdr:col>13</xdr:col>
          <xdr:colOff>7620</xdr:colOff>
          <xdr:row>5</xdr:row>
          <xdr:rowOff>0</xdr:rowOff>
        </xdr:to>
        <xdr:sp macro="" textlink="">
          <xdr:nvSpPr>
            <xdr:cNvPr id="29710" name="ComboBox14" hidden="1">
              <a:extLst>
                <a:ext uri="{63B3BB69-23CF-44E3-9099-C40C66FF867C}">
                  <a14:compatExt spid="_x0000_s29710"/>
                </a:ext>
                <a:ext uri="{FF2B5EF4-FFF2-40B4-BE49-F238E27FC236}">
                  <a16:creationId xmlns:a16="http://schemas.microsoft.com/office/drawing/2014/main" id="{00000000-0008-0000-0700-00000E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xdr:row>
          <xdr:rowOff>0</xdr:rowOff>
        </xdr:from>
        <xdr:to>
          <xdr:col>13</xdr:col>
          <xdr:colOff>7620</xdr:colOff>
          <xdr:row>6</xdr:row>
          <xdr:rowOff>0</xdr:rowOff>
        </xdr:to>
        <xdr:sp macro="" textlink="">
          <xdr:nvSpPr>
            <xdr:cNvPr id="29711" name="ComboBox15" hidden="1">
              <a:extLst>
                <a:ext uri="{63B3BB69-23CF-44E3-9099-C40C66FF867C}">
                  <a14:compatExt spid="_x0000_s29711"/>
                </a:ext>
                <a:ext uri="{FF2B5EF4-FFF2-40B4-BE49-F238E27FC236}">
                  <a16:creationId xmlns:a16="http://schemas.microsoft.com/office/drawing/2014/main" id="{00000000-0008-0000-0700-00000F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xdr:row>
          <xdr:rowOff>0</xdr:rowOff>
        </xdr:from>
        <xdr:to>
          <xdr:col>13</xdr:col>
          <xdr:colOff>7620</xdr:colOff>
          <xdr:row>7</xdr:row>
          <xdr:rowOff>0</xdr:rowOff>
        </xdr:to>
        <xdr:sp macro="" textlink="">
          <xdr:nvSpPr>
            <xdr:cNvPr id="29712" name="ComboBox16" hidden="1">
              <a:extLst>
                <a:ext uri="{63B3BB69-23CF-44E3-9099-C40C66FF867C}">
                  <a14:compatExt spid="_x0000_s29712"/>
                </a:ext>
                <a:ext uri="{FF2B5EF4-FFF2-40B4-BE49-F238E27FC236}">
                  <a16:creationId xmlns:a16="http://schemas.microsoft.com/office/drawing/2014/main" id="{00000000-0008-0000-0700-000010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xdr:row>
          <xdr:rowOff>0</xdr:rowOff>
        </xdr:from>
        <xdr:to>
          <xdr:col>13</xdr:col>
          <xdr:colOff>7620</xdr:colOff>
          <xdr:row>8</xdr:row>
          <xdr:rowOff>0</xdr:rowOff>
        </xdr:to>
        <xdr:sp macro="" textlink="">
          <xdr:nvSpPr>
            <xdr:cNvPr id="29713" name="ComboBox17" hidden="1">
              <a:extLst>
                <a:ext uri="{63B3BB69-23CF-44E3-9099-C40C66FF867C}">
                  <a14:compatExt spid="_x0000_s29713"/>
                </a:ext>
                <a:ext uri="{FF2B5EF4-FFF2-40B4-BE49-F238E27FC236}">
                  <a16:creationId xmlns:a16="http://schemas.microsoft.com/office/drawing/2014/main" id="{00000000-0008-0000-0700-000011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xdr:row>
          <xdr:rowOff>0</xdr:rowOff>
        </xdr:from>
        <xdr:to>
          <xdr:col>13</xdr:col>
          <xdr:colOff>7620</xdr:colOff>
          <xdr:row>9</xdr:row>
          <xdr:rowOff>0</xdr:rowOff>
        </xdr:to>
        <xdr:sp macro="" textlink="">
          <xdr:nvSpPr>
            <xdr:cNvPr id="29714" name="ComboBox18" hidden="1">
              <a:extLst>
                <a:ext uri="{63B3BB69-23CF-44E3-9099-C40C66FF867C}">
                  <a14:compatExt spid="_x0000_s29714"/>
                </a:ext>
                <a:ext uri="{FF2B5EF4-FFF2-40B4-BE49-F238E27FC236}">
                  <a16:creationId xmlns:a16="http://schemas.microsoft.com/office/drawing/2014/main" id="{00000000-0008-0000-0700-000012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xdr:row>
          <xdr:rowOff>0</xdr:rowOff>
        </xdr:from>
        <xdr:to>
          <xdr:col>13</xdr:col>
          <xdr:colOff>7620</xdr:colOff>
          <xdr:row>10</xdr:row>
          <xdr:rowOff>0</xdr:rowOff>
        </xdr:to>
        <xdr:sp macro="" textlink="">
          <xdr:nvSpPr>
            <xdr:cNvPr id="29715" name="ComboBox19" hidden="1">
              <a:extLst>
                <a:ext uri="{63B3BB69-23CF-44E3-9099-C40C66FF867C}">
                  <a14:compatExt spid="_x0000_s29715"/>
                </a:ext>
                <a:ext uri="{FF2B5EF4-FFF2-40B4-BE49-F238E27FC236}">
                  <a16:creationId xmlns:a16="http://schemas.microsoft.com/office/drawing/2014/main" id="{00000000-0008-0000-0700-000013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xdr:row>
          <xdr:rowOff>0</xdr:rowOff>
        </xdr:from>
        <xdr:to>
          <xdr:col>13</xdr:col>
          <xdr:colOff>7620</xdr:colOff>
          <xdr:row>11</xdr:row>
          <xdr:rowOff>0</xdr:rowOff>
        </xdr:to>
        <xdr:sp macro="" textlink="">
          <xdr:nvSpPr>
            <xdr:cNvPr id="29716" name="ComboBox20" hidden="1">
              <a:extLst>
                <a:ext uri="{63B3BB69-23CF-44E3-9099-C40C66FF867C}">
                  <a14:compatExt spid="_x0000_s29716"/>
                </a:ext>
                <a:ext uri="{FF2B5EF4-FFF2-40B4-BE49-F238E27FC236}">
                  <a16:creationId xmlns:a16="http://schemas.microsoft.com/office/drawing/2014/main" id="{00000000-0008-0000-0700-000014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0</xdr:row>
          <xdr:rowOff>0</xdr:rowOff>
        </xdr:from>
        <xdr:to>
          <xdr:col>7</xdr:col>
          <xdr:colOff>7620</xdr:colOff>
          <xdr:row>2</xdr:row>
          <xdr:rowOff>0</xdr:rowOff>
        </xdr:to>
        <xdr:sp macro="" textlink="">
          <xdr:nvSpPr>
            <xdr:cNvPr id="29717" name="Button_Delete" hidden="1">
              <a:extLst>
                <a:ext uri="{63B3BB69-23CF-44E3-9099-C40C66FF867C}">
                  <a14:compatExt spid="_x0000_s29717"/>
                </a:ext>
                <a:ext uri="{FF2B5EF4-FFF2-40B4-BE49-F238E27FC236}">
                  <a16:creationId xmlns:a16="http://schemas.microsoft.com/office/drawing/2014/main" id="{00000000-0008-0000-0700-0000157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0</xdr:colOff>
          <xdr:row>4</xdr:row>
          <xdr:rowOff>0</xdr:rowOff>
        </xdr:to>
        <xdr:sp macro="" textlink="">
          <xdr:nvSpPr>
            <xdr:cNvPr id="29718" name="Check Box 22" hidden="1">
              <a:extLst>
                <a:ext uri="{63B3BB69-23CF-44E3-9099-C40C66FF867C}">
                  <a14:compatExt spid="_x0000_s29718"/>
                </a:ext>
                <a:ext uri="{FF2B5EF4-FFF2-40B4-BE49-F238E27FC236}">
                  <a16:creationId xmlns:a16="http://schemas.microsoft.com/office/drawing/2014/main" id="{00000000-0008-0000-0700-000016740000}"/>
                </a:ext>
              </a:extLst>
            </xdr:cNvPr>
            <xdr:cNvSpPr/>
          </xdr:nvSpPr>
          <xdr:spPr bwMode="auto">
            <a:xfrm>
              <a:off x="0" y="0"/>
              <a:ext cx="0" cy="0"/>
            </a:xfrm>
            <a:prstGeom prst="rect">
              <a:avLst/>
            </a:prstGeom>
            <a:solidFill>
              <a:srgbClr val="99CC00" mc:Ignorable="a14" a14:legacySpreadsheetColorIndex="5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ru-RU" sz="800" b="0" i="0" u="none" strike="noStrike" baseline="0">
                  <a:solidFill>
                    <a:srgbClr val="000000"/>
                  </a:solidFill>
                  <a:latin typeface="Segoe UI"/>
                  <a:cs typeface="Segoe UI"/>
                </a:rPr>
                <a:t>Европротокол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1135380</xdr:colOff>
          <xdr:row>15</xdr:row>
          <xdr:rowOff>15240</xdr:rowOff>
        </xdr:to>
        <xdr:sp macro="" textlink="">
          <xdr:nvSpPr>
            <xdr:cNvPr id="29719" name="ComboBox21" hidden="1">
              <a:extLst>
                <a:ext uri="{63B3BB69-23CF-44E3-9099-C40C66FF867C}">
                  <a14:compatExt spid="_x0000_s29719"/>
                </a:ext>
                <a:ext uri="{FF2B5EF4-FFF2-40B4-BE49-F238E27FC236}">
                  <a16:creationId xmlns:a16="http://schemas.microsoft.com/office/drawing/2014/main" id="{00000000-0008-0000-0700-000017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1135380</xdr:colOff>
          <xdr:row>16</xdr:row>
          <xdr:rowOff>15240</xdr:rowOff>
        </xdr:to>
        <xdr:sp macro="" textlink="">
          <xdr:nvSpPr>
            <xdr:cNvPr id="29720" name="ComboBox22" hidden="1">
              <a:extLst>
                <a:ext uri="{63B3BB69-23CF-44E3-9099-C40C66FF867C}">
                  <a14:compatExt spid="_x0000_s29720"/>
                </a:ext>
                <a:ext uri="{FF2B5EF4-FFF2-40B4-BE49-F238E27FC236}">
                  <a16:creationId xmlns:a16="http://schemas.microsoft.com/office/drawing/2014/main" id="{00000000-0008-0000-0700-000018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1135380</xdr:colOff>
          <xdr:row>17</xdr:row>
          <xdr:rowOff>7620</xdr:rowOff>
        </xdr:to>
        <xdr:sp macro="" textlink="">
          <xdr:nvSpPr>
            <xdr:cNvPr id="29721" name="ComboBox23" hidden="1">
              <a:extLst>
                <a:ext uri="{63B3BB69-23CF-44E3-9099-C40C66FF867C}">
                  <a14:compatExt spid="_x0000_s29721"/>
                </a:ext>
                <a:ext uri="{FF2B5EF4-FFF2-40B4-BE49-F238E27FC236}">
                  <a16:creationId xmlns:a16="http://schemas.microsoft.com/office/drawing/2014/main" id="{00000000-0008-0000-0700-000019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1135380</xdr:colOff>
          <xdr:row>18</xdr:row>
          <xdr:rowOff>7620</xdr:rowOff>
        </xdr:to>
        <xdr:sp macro="" textlink="">
          <xdr:nvSpPr>
            <xdr:cNvPr id="29722" name="ComboBox24" hidden="1">
              <a:extLst>
                <a:ext uri="{63B3BB69-23CF-44E3-9099-C40C66FF867C}">
                  <a14:compatExt spid="_x0000_s29722"/>
                </a:ext>
                <a:ext uri="{FF2B5EF4-FFF2-40B4-BE49-F238E27FC236}">
                  <a16:creationId xmlns:a16="http://schemas.microsoft.com/office/drawing/2014/main" id="{00000000-0008-0000-0700-00001A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1135380</xdr:colOff>
          <xdr:row>19</xdr:row>
          <xdr:rowOff>7620</xdr:rowOff>
        </xdr:to>
        <xdr:sp macro="" textlink="">
          <xdr:nvSpPr>
            <xdr:cNvPr id="29723" name="ComboBox25" hidden="1">
              <a:extLst>
                <a:ext uri="{63B3BB69-23CF-44E3-9099-C40C66FF867C}">
                  <a14:compatExt spid="_x0000_s29723"/>
                </a:ext>
                <a:ext uri="{FF2B5EF4-FFF2-40B4-BE49-F238E27FC236}">
                  <a16:creationId xmlns:a16="http://schemas.microsoft.com/office/drawing/2014/main" id="{00000000-0008-0000-0700-00001B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1135380</xdr:colOff>
          <xdr:row>20</xdr:row>
          <xdr:rowOff>7620</xdr:rowOff>
        </xdr:to>
        <xdr:sp macro="" textlink="">
          <xdr:nvSpPr>
            <xdr:cNvPr id="29724" name="ComboBox26" hidden="1">
              <a:extLst>
                <a:ext uri="{63B3BB69-23CF-44E3-9099-C40C66FF867C}">
                  <a14:compatExt spid="_x0000_s29724"/>
                </a:ext>
                <a:ext uri="{FF2B5EF4-FFF2-40B4-BE49-F238E27FC236}">
                  <a16:creationId xmlns:a16="http://schemas.microsoft.com/office/drawing/2014/main" id="{00000000-0008-0000-0700-00001C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1135380</xdr:colOff>
          <xdr:row>21</xdr:row>
          <xdr:rowOff>7620</xdr:rowOff>
        </xdr:to>
        <xdr:sp macro="" textlink="">
          <xdr:nvSpPr>
            <xdr:cNvPr id="29725" name="ComboBox27" hidden="1">
              <a:extLst>
                <a:ext uri="{63B3BB69-23CF-44E3-9099-C40C66FF867C}">
                  <a14:compatExt spid="_x0000_s29725"/>
                </a:ext>
                <a:ext uri="{FF2B5EF4-FFF2-40B4-BE49-F238E27FC236}">
                  <a16:creationId xmlns:a16="http://schemas.microsoft.com/office/drawing/2014/main" id="{00000000-0008-0000-0700-00001D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1135380</xdr:colOff>
          <xdr:row>22</xdr:row>
          <xdr:rowOff>7620</xdr:rowOff>
        </xdr:to>
        <xdr:sp macro="" textlink="">
          <xdr:nvSpPr>
            <xdr:cNvPr id="29726" name="ComboBox28" hidden="1">
              <a:extLst>
                <a:ext uri="{63B3BB69-23CF-44E3-9099-C40C66FF867C}">
                  <a14:compatExt spid="_x0000_s29726"/>
                </a:ext>
                <a:ext uri="{FF2B5EF4-FFF2-40B4-BE49-F238E27FC236}">
                  <a16:creationId xmlns:a16="http://schemas.microsoft.com/office/drawing/2014/main" id="{00000000-0008-0000-0700-00001E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1135380</xdr:colOff>
          <xdr:row>23</xdr:row>
          <xdr:rowOff>15240</xdr:rowOff>
        </xdr:to>
        <xdr:sp macro="" textlink="">
          <xdr:nvSpPr>
            <xdr:cNvPr id="29727" name="ComboBox29" hidden="1">
              <a:extLst>
                <a:ext uri="{63B3BB69-23CF-44E3-9099-C40C66FF867C}">
                  <a14:compatExt spid="_x0000_s29727"/>
                </a:ext>
                <a:ext uri="{FF2B5EF4-FFF2-40B4-BE49-F238E27FC236}">
                  <a16:creationId xmlns:a16="http://schemas.microsoft.com/office/drawing/2014/main" id="{00000000-0008-0000-0700-00001F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1135380</xdr:colOff>
          <xdr:row>24</xdr:row>
          <xdr:rowOff>15240</xdr:rowOff>
        </xdr:to>
        <xdr:sp macro="" textlink="">
          <xdr:nvSpPr>
            <xdr:cNvPr id="29728" name="ComboBox30" hidden="1">
              <a:extLst>
                <a:ext uri="{63B3BB69-23CF-44E3-9099-C40C66FF867C}">
                  <a14:compatExt spid="_x0000_s29728"/>
                </a:ext>
                <a:ext uri="{FF2B5EF4-FFF2-40B4-BE49-F238E27FC236}">
                  <a16:creationId xmlns:a16="http://schemas.microsoft.com/office/drawing/2014/main" id="{00000000-0008-0000-0700-000020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33</xdr:row>
          <xdr:rowOff>182880</xdr:rowOff>
        </xdr:to>
        <xdr:sp macro="" textlink="">
          <xdr:nvSpPr>
            <xdr:cNvPr id="29729" name="Check Box 33" hidden="1">
              <a:extLst>
                <a:ext uri="{63B3BB69-23CF-44E3-9099-C40C66FF867C}">
                  <a14:compatExt spid="_x0000_s29729"/>
                </a:ext>
                <a:ext uri="{FF2B5EF4-FFF2-40B4-BE49-F238E27FC236}">
                  <a16:creationId xmlns:a16="http://schemas.microsoft.com/office/drawing/2014/main" id="{00000000-0008-0000-0700-000021740000}"/>
                </a:ext>
              </a:extLst>
            </xdr:cNvPr>
            <xdr:cNvSpPr/>
          </xdr:nvSpPr>
          <xdr:spPr bwMode="auto">
            <a:xfrm>
              <a:off x="0" y="0"/>
              <a:ext cx="0" cy="0"/>
            </a:xfrm>
            <a:prstGeom prst="rect">
              <a:avLst/>
            </a:prstGeom>
            <a:solidFill>
              <a:srgbClr val="99CC00" mc:Ignorable="a14" a14:legacySpreadsheetColorIndex="5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ru-RU" sz="800" b="0" i="0" u="none" strike="noStrike" baseline="0">
                  <a:solidFill>
                    <a:srgbClr val="000000"/>
                  </a:solidFill>
                  <a:latin typeface="Segoe UI"/>
                  <a:cs typeface="Segoe UI"/>
                </a:rPr>
                <a:t>Вина 50%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960120</xdr:colOff>
          <xdr:row>33</xdr:row>
          <xdr:rowOff>0</xdr:rowOff>
        </xdr:from>
        <xdr:to>
          <xdr:col>5</xdr:col>
          <xdr:colOff>0</xdr:colOff>
          <xdr:row>33</xdr:row>
          <xdr:rowOff>182880</xdr:rowOff>
        </xdr:to>
        <xdr:sp macro="" textlink="">
          <xdr:nvSpPr>
            <xdr:cNvPr id="29730" name="Check Box 34" hidden="1">
              <a:extLst>
                <a:ext uri="{63B3BB69-23CF-44E3-9099-C40C66FF867C}">
                  <a14:compatExt spid="_x0000_s29730"/>
                </a:ext>
                <a:ext uri="{FF2B5EF4-FFF2-40B4-BE49-F238E27FC236}">
                  <a16:creationId xmlns:a16="http://schemas.microsoft.com/office/drawing/2014/main" id="{00000000-0008-0000-0700-000022740000}"/>
                </a:ext>
              </a:extLst>
            </xdr:cNvPr>
            <xdr:cNvSpPr/>
          </xdr:nvSpPr>
          <xdr:spPr bwMode="auto">
            <a:xfrm>
              <a:off x="0" y="0"/>
              <a:ext cx="0" cy="0"/>
            </a:xfrm>
            <a:prstGeom prst="rect">
              <a:avLst/>
            </a:prstGeom>
            <a:solidFill>
              <a:srgbClr val="99CC00" mc:Ignorable="a14" a14:legacySpreadsheetColorIndex="5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ru-RU" sz="800" b="0" i="0" u="none" strike="noStrike" baseline="0">
                  <a:solidFill>
                    <a:srgbClr val="000000"/>
                  </a:solidFill>
                  <a:latin typeface="Segoe UI"/>
                  <a:cs typeface="Segoe UI"/>
                </a:rPr>
                <a:t>НДФЛ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35</xdr:row>
          <xdr:rowOff>0</xdr:rowOff>
        </xdr:from>
        <xdr:to>
          <xdr:col>2</xdr:col>
          <xdr:colOff>1135380</xdr:colOff>
          <xdr:row>35</xdr:row>
          <xdr:rowOff>182880</xdr:rowOff>
        </xdr:to>
        <xdr:sp macro="" textlink="">
          <xdr:nvSpPr>
            <xdr:cNvPr id="29731" name="ComboBox31" hidden="1">
              <a:extLst>
                <a:ext uri="{63B3BB69-23CF-44E3-9099-C40C66FF867C}">
                  <a14:compatExt spid="_x0000_s29731"/>
                </a:ext>
                <a:ext uri="{FF2B5EF4-FFF2-40B4-BE49-F238E27FC236}">
                  <a16:creationId xmlns:a16="http://schemas.microsoft.com/office/drawing/2014/main" id="{00000000-0008-0000-0700-000023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182880</xdr:rowOff>
        </xdr:from>
        <xdr:to>
          <xdr:col>1</xdr:col>
          <xdr:colOff>0</xdr:colOff>
          <xdr:row>26</xdr:row>
          <xdr:rowOff>0</xdr:rowOff>
        </xdr:to>
        <xdr:sp macro="" textlink="">
          <xdr:nvSpPr>
            <xdr:cNvPr id="29732" name="Check Box 36" hidden="1">
              <a:extLst>
                <a:ext uri="{63B3BB69-23CF-44E3-9099-C40C66FF867C}">
                  <a14:compatExt spid="_x0000_s29732"/>
                </a:ext>
                <a:ext uri="{FF2B5EF4-FFF2-40B4-BE49-F238E27FC236}">
                  <a16:creationId xmlns:a16="http://schemas.microsoft.com/office/drawing/2014/main" id="{00000000-0008-0000-0700-000024740000}"/>
                </a:ext>
              </a:extLst>
            </xdr:cNvPr>
            <xdr:cNvSpPr/>
          </xdr:nvSpPr>
          <xdr:spPr bwMode="auto">
            <a:xfrm>
              <a:off x="0" y="0"/>
              <a:ext cx="0" cy="0"/>
            </a:xfrm>
            <a:prstGeom prst="rect">
              <a:avLst/>
            </a:prstGeom>
            <a:solidFill>
              <a:srgbClr val="99CC00" mc:Ignorable="a14" a14:legacySpreadsheetColorIndex="5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ru-RU" sz="800" b="0" i="0" u="none" strike="noStrike" baseline="0">
                  <a:solidFill>
                    <a:srgbClr val="000000"/>
                  </a:solidFill>
                  <a:latin typeface="Segoe UI"/>
                  <a:cs typeface="Segoe UI"/>
                </a:rPr>
                <a:t>Лично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xdr:row>
          <xdr:rowOff>0</xdr:rowOff>
        </xdr:from>
        <xdr:to>
          <xdr:col>7</xdr:col>
          <xdr:colOff>0</xdr:colOff>
          <xdr:row>4</xdr:row>
          <xdr:rowOff>0</xdr:rowOff>
        </xdr:to>
        <xdr:sp macro="" textlink="">
          <xdr:nvSpPr>
            <xdr:cNvPr id="29733" name="NewFilledListDates" hidden="1">
              <a:extLst>
                <a:ext uri="{63B3BB69-23CF-44E3-9099-C40C66FF867C}">
                  <a14:compatExt spid="_x0000_s29733"/>
                </a:ext>
                <a:ext uri="{FF2B5EF4-FFF2-40B4-BE49-F238E27FC236}">
                  <a16:creationId xmlns:a16="http://schemas.microsoft.com/office/drawing/2014/main" id="{00000000-0008-0000-0700-000025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0</xdr:rowOff>
        </xdr:from>
        <xdr:to>
          <xdr:col>5</xdr:col>
          <xdr:colOff>7620</xdr:colOff>
          <xdr:row>50</xdr:row>
          <xdr:rowOff>0</xdr:rowOff>
        </xdr:to>
        <xdr:sp macro="" textlink="">
          <xdr:nvSpPr>
            <xdr:cNvPr id="29734" name="DescriptionList" hidden="1">
              <a:extLst>
                <a:ext uri="{63B3BB69-23CF-44E3-9099-C40C66FF867C}">
                  <a14:compatExt spid="_x0000_s29734"/>
                </a:ext>
                <a:ext uri="{FF2B5EF4-FFF2-40B4-BE49-F238E27FC236}">
                  <a16:creationId xmlns:a16="http://schemas.microsoft.com/office/drawing/2014/main" id="{00000000-0008-0000-0700-000026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0</xdr:row>
          <xdr:rowOff>0</xdr:rowOff>
        </xdr:from>
        <xdr:to>
          <xdr:col>11</xdr:col>
          <xdr:colOff>0</xdr:colOff>
          <xdr:row>4</xdr:row>
          <xdr:rowOff>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900-0000031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ru-RU" sz="2200" b="1" i="0" u="none" strike="noStrike" baseline="0">
                  <a:solidFill>
                    <a:srgbClr val="000000"/>
                  </a:solidFill>
                  <a:latin typeface="Calibri"/>
                  <a:cs typeface="Calibri"/>
                </a:rPr>
                <a:t>Решение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4</xdr:row>
          <xdr:rowOff>0</xdr:rowOff>
        </xdr:from>
        <xdr:to>
          <xdr:col>12</xdr:col>
          <xdr:colOff>0</xdr:colOff>
          <xdr:row>6</xdr:row>
          <xdr:rowOff>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900-000009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ru-RU" sz="1600" b="1"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0</xdr:rowOff>
        </xdr:from>
        <xdr:to>
          <xdr:col>12</xdr:col>
          <xdr:colOff>0</xdr:colOff>
          <xdr:row>2</xdr:row>
          <xdr:rowOff>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900-00000A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ru-RU" sz="1600" b="1" i="0" u="none" strike="noStrike" baseline="0">
                  <a:solidFill>
                    <a:srgbClr val="000000"/>
                  </a:solidFill>
                  <a:latin typeface="Calibri"/>
                  <a:cs typeface="Calibri"/>
                </a:rPr>
                <a:t>NEW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1181100</xdr:colOff>
          <xdr:row>9</xdr:row>
          <xdr:rowOff>0</xdr:rowOff>
        </xdr:from>
        <xdr:to>
          <xdr:col>11</xdr:col>
          <xdr:colOff>0</xdr:colOff>
          <xdr:row>10</xdr:row>
          <xdr:rowOff>0</xdr:rowOff>
        </xdr:to>
        <xdr:sp macro="" textlink="">
          <xdr:nvSpPr>
            <xdr:cNvPr id="4126" name="CheckBoxOchnoe" descr="333 ГК РФ" hidden="1">
              <a:extLst>
                <a:ext uri="{63B3BB69-23CF-44E3-9099-C40C66FF867C}">
                  <a14:compatExt spid="_x0000_s4126"/>
                </a:ext>
                <a:ext uri="{FF2B5EF4-FFF2-40B4-BE49-F238E27FC236}">
                  <a16:creationId xmlns:a16="http://schemas.microsoft.com/office/drawing/2014/main" id="{00000000-0008-0000-0900-00001E100000}"/>
                </a:ext>
              </a:extLst>
            </xdr:cNvPr>
            <xdr:cNvSpPr/>
          </xdr:nvSpPr>
          <xdr:spPr bwMode="auto">
            <a:xfrm>
              <a:off x="0" y="0"/>
              <a:ext cx="0" cy="0"/>
            </a:xfrm>
            <a:prstGeom prst="rect">
              <a:avLst/>
            </a:prstGeom>
            <a:solidFill>
              <a:srgbClr val="FFCC00" mc:Ignorable="a14" a14:legacySpreadsheetColorIndex="51"/>
            </a:solidFill>
            <a:ln>
              <a:noFill/>
            </a:ln>
            <a:extLst>
              <a:ext uri="{91240B29-F687-4F45-9708-019B960494DF}">
                <a14:hiddenLine w="12700">
                  <a:solidFill>
                    <a:srgbClr val="FF6600" mc:Ignorable="a14" a14:legacySpreadsheetColorIndex="53"/>
                  </a:solidFill>
                  <a:miter lim="800000"/>
                  <a:headEnd/>
                  <a:tailEnd/>
                </a14:hiddenLine>
              </a:ext>
            </a:extLst>
          </xdr:spPr>
          <xdr:txBody>
            <a:bodyPr vertOverflow="clip" wrap="square" lIns="27432" tIns="27432" rIns="0" bIns="27432" anchor="ctr" upright="1"/>
            <a:lstStyle/>
            <a:p>
              <a:pPr algn="l" rtl="0">
                <a:defRPr sz="1000"/>
              </a:pPr>
              <a:r>
                <a:rPr lang="ru-RU" sz="800" b="0" i="0" u="none" strike="noStrike" baseline="0">
                  <a:solidFill>
                    <a:srgbClr val="000000"/>
                  </a:solidFill>
                  <a:latin typeface="Segoe UI"/>
                  <a:cs typeface="Segoe UI"/>
                </a:rPr>
                <a:t>Очное</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1181100</xdr:colOff>
          <xdr:row>8</xdr:row>
          <xdr:rowOff>0</xdr:rowOff>
        </xdr:from>
        <xdr:to>
          <xdr:col>11</xdr:col>
          <xdr:colOff>0</xdr:colOff>
          <xdr:row>9</xdr:row>
          <xdr:rowOff>0</xdr:rowOff>
        </xdr:to>
        <xdr:sp macro="" textlink="">
          <xdr:nvSpPr>
            <xdr:cNvPr id="4127" name="CheckBox333" descr="333 ГК РФ" hidden="1">
              <a:extLst>
                <a:ext uri="{63B3BB69-23CF-44E3-9099-C40C66FF867C}">
                  <a14:compatExt spid="_x0000_s4127"/>
                </a:ext>
                <a:ext uri="{FF2B5EF4-FFF2-40B4-BE49-F238E27FC236}">
                  <a16:creationId xmlns:a16="http://schemas.microsoft.com/office/drawing/2014/main" id="{00000000-0008-0000-0900-00001F100000}"/>
                </a:ext>
              </a:extLst>
            </xdr:cNvPr>
            <xdr:cNvSpPr/>
          </xdr:nvSpPr>
          <xdr:spPr bwMode="auto">
            <a:xfrm>
              <a:off x="0" y="0"/>
              <a:ext cx="0" cy="0"/>
            </a:xfrm>
            <a:prstGeom prst="rect">
              <a:avLst/>
            </a:prstGeom>
            <a:solidFill>
              <a:srgbClr val="99CC00" mc:Ignorable="a14" a14:legacySpreadsheetColorIndex="50"/>
            </a:solidFill>
            <a:ln>
              <a:noFill/>
            </a:ln>
            <a:extLst>
              <a:ext uri="{91240B29-F687-4F45-9708-019B960494DF}">
                <a14:hiddenLine w="12700">
                  <a:solidFill>
                    <a:srgbClr val="008000" mc:Ignorable="a14" a14:legacySpreadsheetColorIndex="17"/>
                  </a:solidFill>
                  <a:miter lim="800000"/>
                  <a:headEnd/>
                  <a:tailEnd/>
                </a14:hiddenLine>
              </a:ext>
            </a:extLst>
          </xdr:spPr>
          <xdr:txBody>
            <a:bodyPr vertOverflow="clip" wrap="square" lIns="27432" tIns="27432" rIns="0" bIns="27432" anchor="ctr" upright="1"/>
            <a:lstStyle/>
            <a:p>
              <a:pPr algn="l" rtl="0">
                <a:defRPr sz="1000"/>
              </a:pPr>
              <a:r>
                <a:rPr lang="ru-RU" sz="800" b="0" i="0" u="none" strike="noStrike" baseline="0">
                  <a:solidFill>
                    <a:srgbClr val="000000"/>
                  </a:solidFill>
                  <a:latin typeface="Segoe UI"/>
                  <a:cs typeface="Segoe UI"/>
                </a:rPr>
                <a:t>333 ГК РФ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13</xdr:row>
          <xdr:rowOff>0</xdr:rowOff>
        </xdr:from>
        <xdr:to>
          <xdr:col>11</xdr:col>
          <xdr:colOff>0</xdr:colOff>
          <xdr:row>14</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900-000058100000}"/>
                </a:ext>
              </a:extLst>
            </xdr:cNvPr>
            <xdr:cNvSpPr/>
          </xdr:nvSpPr>
          <xdr:spPr bwMode="auto">
            <a:xfrm>
              <a:off x="0" y="0"/>
              <a:ext cx="0" cy="0"/>
            </a:xfrm>
            <a:prstGeom prst="rect">
              <a:avLst/>
            </a:prstGeom>
            <a:solidFill>
              <a:srgbClr val="FFCC00" mc:Ignorable="a14" a14:legacySpreadsheetColorIndex="51"/>
            </a:solidFill>
            <a:ln>
              <a:noFill/>
            </a:ln>
            <a:extLst>
              <a:ext uri="{91240B29-F687-4F45-9708-019B960494DF}">
                <a14:hiddenLine w="3175">
                  <a:solidFill>
                    <a:srgbClr val="339966" mc:Ignorable="a14" a14:legacySpreadsheetColorIndex="57"/>
                  </a:solidFill>
                  <a:miter lim="800000"/>
                  <a:headEnd/>
                  <a:tailEnd/>
                </a14:hiddenLine>
              </a:ext>
            </a:extLst>
          </xdr:spPr>
          <xdr:txBody>
            <a:bodyPr vertOverflow="clip" wrap="square" lIns="27432" tIns="27432" rIns="0" bIns="27432" anchor="ctr" upright="1"/>
            <a:lstStyle/>
            <a:p>
              <a:pPr algn="l" rtl="0">
                <a:defRPr sz="1000"/>
              </a:pPr>
              <a:r>
                <a:rPr lang="ru-RU" sz="800" b="0" i="0" u="none" strike="noStrike" baseline="0">
                  <a:solidFill>
                    <a:srgbClr val="000000"/>
                  </a:solidFill>
                  <a:latin typeface="Segoe UI"/>
                  <a:cs typeface="Segoe UI"/>
                </a:rPr>
                <a:t>165.1 ГК РФ</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2</xdr:row>
          <xdr:rowOff>0</xdr:rowOff>
        </xdr:from>
        <xdr:to>
          <xdr:col>12</xdr:col>
          <xdr:colOff>0</xdr:colOff>
          <xdr:row>4</xdr:row>
          <xdr:rowOff>0</xdr:rowOff>
        </xdr:to>
        <xdr:sp macro="" textlink="">
          <xdr:nvSpPr>
            <xdr:cNvPr id="4317" name="Button 221" hidden="1">
              <a:extLst>
                <a:ext uri="{63B3BB69-23CF-44E3-9099-C40C66FF867C}">
                  <a14:compatExt spid="_x0000_s4317"/>
                </a:ext>
                <a:ext uri="{FF2B5EF4-FFF2-40B4-BE49-F238E27FC236}">
                  <a16:creationId xmlns:a16="http://schemas.microsoft.com/office/drawing/2014/main" id="{00000000-0008-0000-0900-0000DD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ru-RU" sz="1600" b="1" i="0" u="none" strike="noStrike" baseline="0">
                  <a:solidFill>
                    <a:srgbClr val="000000"/>
                  </a:solidFill>
                  <a:latin typeface="Calibri"/>
                  <a:cs typeface="Calibri"/>
                </a:rPr>
                <a:t>НТЭ ФУ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xdr:row>
          <xdr:rowOff>0</xdr:rowOff>
        </xdr:from>
        <xdr:to>
          <xdr:col>10</xdr:col>
          <xdr:colOff>0</xdr:colOff>
          <xdr:row>16</xdr:row>
          <xdr:rowOff>0</xdr:rowOff>
        </xdr:to>
        <xdr:sp macro="" textlink="">
          <xdr:nvSpPr>
            <xdr:cNvPr id="4319" name="Check Box 223" hidden="1">
              <a:extLst>
                <a:ext uri="{63B3BB69-23CF-44E3-9099-C40C66FF867C}">
                  <a14:compatExt spid="_x0000_s4319"/>
                </a:ext>
                <a:ext uri="{FF2B5EF4-FFF2-40B4-BE49-F238E27FC236}">
                  <a16:creationId xmlns:a16="http://schemas.microsoft.com/office/drawing/2014/main" id="{00000000-0008-0000-0900-0000DF100000}"/>
                </a:ext>
              </a:extLst>
            </xdr:cNvPr>
            <xdr:cNvSpPr/>
          </xdr:nvSpPr>
          <xdr:spPr bwMode="auto">
            <a:xfrm>
              <a:off x="0" y="0"/>
              <a:ext cx="0" cy="0"/>
            </a:xfrm>
            <a:prstGeom prst="rect">
              <a:avLst/>
            </a:prstGeom>
            <a:solidFill>
              <a:srgbClr val="99CC00" mc:Ignorable="a14" a14:legacySpreadsheetColorIndex="5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ru-RU" sz="800" b="0" i="0" u="none" strike="noStrike" baseline="0">
                  <a:solidFill>
                    <a:srgbClr val="000000"/>
                  </a:solidFill>
                  <a:latin typeface="Segoe UI"/>
                  <a:cs typeface="Segoe UI"/>
                </a:rPr>
                <a:t>Вина 50%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xdr:row>
          <xdr:rowOff>213360</xdr:rowOff>
        </xdr:from>
        <xdr:to>
          <xdr:col>10</xdr:col>
          <xdr:colOff>0</xdr:colOff>
          <xdr:row>13</xdr:row>
          <xdr:rowOff>0</xdr:rowOff>
        </xdr:to>
        <xdr:sp macro="" textlink="">
          <xdr:nvSpPr>
            <xdr:cNvPr id="4438" name="Check Box 342" hidden="1">
              <a:extLst>
                <a:ext uri="{63B3BB69-23CF-44E3-9099-C40C66FF867C}">
                  <a14:compatExt spid="_x0000_s4438"/>
                </a:ext>
                <a:ext uri="{FF2B5EF4-FFF2-40B4-BE49-F238E27FC236}">
                  <a16:creationId xmlns:a16="http://schemas.microsoft.com/office/drawing/2014/main" id="{00000000-0008-0000-0900-000056110000}"/>
                </a:ext>
              </a:extLst>
            </xdr:cNvPr>
            <xdr:cNvSpPr/>
          </xdr:nvSpPr>
          <xdr:spPr bwMode="auto">
            <a:xfrm>
              <a:off x="0" y="0"/>
              <a:ext cx="0" cy="0"/>
            </a:xfrm>
            <a:prstGeom prst="rect">
              <a:avLst/>
            </a:prstGeom>
            <a:solidFill>
              <a:srgbClr val="FFCC00" mc:Ignorable="a14" a14:legacySpreadsheetColorIndex="5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ru-RU" sz="800" b="0" i="0" u="none" strike="noStrike" baseline="0">
                  <a:solidFill>
                    <a:srgbClr val="000000"/>
                  </a:solidFill>
                  <a:latin typeface="Segoe UI"/>
                  <a:cs typeface="Segoe UI"/>
                </a:rPr>
                <a:t>193 ГК РФ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xdr:row>
          <xdr:rowOff>213360</xdr:rowOff>
        </xdr:from>
        <xdr:to>
          <xdr:col>10</xdr:col>
          <xdr:colOff>0</xdr:colOff>
          <xdr:row>14</xdr:row>
          <xdr:rowOff>0</xdr:rowOff>
        </xdr:to>
        <xdr:sp macro="" textlink="">
          <xdr:nvSpPr>
            <xdr:cNvPr id="4439" name="Check Box 343" hidden="1">
              <a:extLst>
                <a:ext uri="{63B3BB69-23CF-44E3-9099-C40C66FF867C}">
                  <a14:compatExt spid="_x0000_s4439"/>
                </a:ext>
                <a:ext uri="{FF2B5EF4-FFF2-40B4-BE49-F238E27FC236}">
                  <a16:creationId xmlns:a16="http://schemas.microsoft.com/office/drawing/2014/main" id="{00000000-0008-0000-0900-000057110000}"/>
                </a:ext>
              </a:extLst>
            </xdr:cNvPr>
            <xdr:cNvSpPr/>
          </xdr:nvSpPr>
          <xdr:spPr bwMode="auto">
            <a:xfrm>
              <a:off x="0" y="0"/>
              <a:ext cx="0" cy="0"/>
            </a:xfrm>
            <a:prstGeom prst="rect">
              <a:avLst/>
            </a:prstGeom>
            <a:solidFill>
              <a:srgbClr val="99CC00" mc:Ignorable="a14" a14:legacySpreadsheetColorIndex="5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ru-RU" sz="800" b="0" i="0" u="none" strike="noStrike" baseline="0">
                  <a:solidFill>
                    <a:srgbClr val="000000"/>
                  </a:solidFill>
                  <a:latin typeface="Segoe UI"/>
                  <a:cs typeface="Segoe UI"/>
                </a:rPr>
                <a:t>Неустойка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xdr:row>
          <xdr:rowOff>213360</xdr:rowOff>
        </xdr:from>
        <xdr:to>
          <xdr:col>10</xdr:col>
          <xdr:colOff>0</xdr:colOff>
          <xdr:row>15</xdr:row>
          <xdr:rowOff>0</xdr:rowOff>
        </xdr:to>
        <xdr:sp macro="" textlink="">
          <xdr:nvSpPr>
            <xdr:cNvPr id="4453" name="Check Box 357" hidden="1">
              <a:extLst>
                <a:ext uri="{63B3BB69-23CF-44E3-9099-C40C66FF867C}">
                  <a14:compatExt spid="_x0000_s4453"/>
                </a:ext>
                <a:ext uri="{FF2B5EF4-FFF2-40B4-BE49-F238E27FC236}">
                  <a16:creationId xmlns:a16="http://schemas.microsoft.com/office/drawing/2014/main" id="{00000000-0008-0000-0900-000065110000}"/>
                </a:ext>
              </a:extLst>
            </xdr:cNvPr>
            <xdr:cNvSpPr/>
          </xdr:nvSpPr>
          <xdr:spPr bwMode="auto">
            <a:xfrm>
              <a:off x="0" y="0"/>
              <a:ext cx="0" cy="0"/>
            </a:xfrm>
            <a:prstGeom prst="rect">
              <a:avLst/>
            </a:prstGeom>
            <a:solidFill>
              <a:srgbClr val="FFCC00" mc:Ignorable="a14" a14:legacySpreadsheetColorIndex="5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ru-RU" sz="800" b="0" i="0" u="none" strike="noStrike" baseline="0">
                  <a:solidFill>
                    <a:srgbClr val="000000"/>
                  </a:solidFill>
                  <a:latin typeface="Segoe UI"/>
                  <a:cs typeface="Segoe UI"/>
                </a:rPr>
                <a:t>Неустойка отл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xdr:row>
          <xdr:rowOff>213360</xdr:rowOff>
        </xdr:from>
        <xdr:to>
          <xdr:col>10</xdr:col>
          <xdr:colOff>0</xdr:colOff>
          <xdr:row>18</xdr:row>
          <xdr:rowOff>0</xdr:rowOff>
        </xdr:to>
        <xdr:sp macro="" textlink="">
          <xdr:nvSpPr>
            <xdr:cNvPr id="4581" name="Check Box 485" hidden="1">
              <a:extLst>
                <a:ext uri="{63B3BB69-23CF-44E3-9099-C40C66FF867C}">
                  <a14:compatExt spid="_x0000_s4581"/>
                </a:ext>
                <a:ext uri="{FF2B5EF4-FFF2-40B4-BE49-F238E27FC236}">
                  <a16:creationId xmlns:a16="http://schemas.microsoft.com/office/drawing/2014/main" id="{00000000-0008-0000-0900-0000E5110000}"/>
                </a:ext>
              </a:extLst>
            </xdr:cNvPr>
            <xdr:cNvSpPr/>
          </xdr:nvSpPr>
          <xdr:spPr bwMode="auto">
            <a:xfrm>
              <a:off x="0" y="0"/>
              <a:ext cx="0" cy="0"/>
            </a:xfrm>
            <a:prstGeom prst="rect">
              <a:avLst/>
            </a:prstGeom>
            <a:solidFill>
              <a:srgbClr val="99CC00" mc:Ignorable="a14" a14:legacySpreadsheetColorIndex="5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ru-RU" sz="800" b="0" i="0" u="none" strike="noStrike" baseline="0">
                  <a:solidFill>
                    <a:srgbClr val="000000"/>
                  </a:solidFill>
                  <a:latin typeface="Segoe UI"/>
                  <a:cs typeface="Segoe UI"/>
                </a:rPr>
                <a:t>Неустойка после суда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15</xdr:row>
          <xdr:rowOff>0</xdr:rowOff>
        </xdr:from>
        <xdr:to>
          <xdr:col>12</xdr:col>
          <xdr:colOff>0</xdr:colOff>
          <xdr:row>16</xdr:row>
          <xdr:rowOff>0</xdr:rowOff>
        </xdr:to>
        <xdr:sp macro="" textlink="">
          <xdr:nvSpPr>
            <xdr:cNvPr id="4592" name="ComboBox3" hidden="1">
              <a:extLst>
                <a:ext uri="{63B3BB69-23CF-44E3-9099-C40C66FF867C}">
                  <a14:compatExt spid="_x0000_s4592"/>
                </a:ext>
                <a:ext uri="{FF2B5EF4-FFF2-40B4-BE49-F238E27FC236}">
                  <a16:creationId xmlns:a16="http://schemas.microsoft.com/office/drawing/2014/main" id="{00000000-0008-0000-0900-0000F01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198120</xdr:rowOff>
        </xdr:from>
        <xdr:to>
          <xdr:col>11</xdr:col>
          <xdr:colOff>0</xdr:colOff>
          <xdr:row>13</xdr:row>
          <xdr:rowOff>0</xdr:rowOff>
        </xdr:to>
        <xdr:sp macro="" textlink="">
          <xdr:nvSpPr>
            <xdr:cNvPr id="4614" name="Check Box 518" hidden="1">
              <a:extLst>
                <a:ext uri="{63B3BB69-23CF-44E3-9099-C40C66FF867C}">
                  <a14:compatExt spid="_x0000_s4614"/>
                </a:ext>
                <a:ext uri="{FF2B5EF4-FFF2-40B4-BE49-F238E27FC236}">
                  <a16:creationId xmlns:a16="http://schemas.microsoft.com/office/drawing/2014/main" id="{00000000-0008-0000-0900-000006120000}"/>
                </a:ext>
              </a:extLst>
            </xdr:cNvPr>
            <xdr:cNvSpPr/>
          </xdr:nvSpPr>
          <xdr:spPr bwMode="auto">
            <a:xfrm>
              <a:off x="0" y="0"/>
              <a:ext cx="0" cy="0"/>
            </a:xfrm>
            <a:prstGeom prst="rect">
              <a:avLst/>
            </a:prstGeom>
            <a:solidFill>
              <a:srgbClr val="99CC00" mc:Ignorable="a14" a14:legacySpreadsheetColorIndex="5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ru-RU" sz="800" b="0" i="0" u="none" strike="noStrike" baseline="0">
                  <a:solidFill>
                    <a:srgbClr val="000000"/>
                  </a:solidFill>
                  <a:latin typeface="Segoe UI"/>
                  <a:cs typeface="Segoe UI"/>
                </a:rPr>
                <a:t>Производные расходы</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xdr:row>
          <xdr:rowOff>0</xdr:rowOff>
        </xdr:from>
        <xdr:to>
          <xdr:col>11</xdr:col>
          <xdr:colOff>0</xdr:colOff>
          <xdr:row>7</xdr:row>
          <xdr:rowOff>0</xdr:rowOff>
        </xdr:to>
        <xdr:sp macro="" textlink="">
          <xdr:nvSpPr>
            <xdr:cNvPr id="4622" name="Button 526" hidden="1">
              <a:extLst>
                <a:ext uri="{63B3BB69-23CF-44E3-9099-C40C66FF867C}">
                  <a14:compatExt spid="_x0000_s4622"/>
                </a:ext>
                <a:ext uri="{FF2B5EF4-FFF2-40B4-BE49-F238E27FC236}">
                  <a16:creationId xmlns:a16="http://schemas.microsoft.com/office/drawing/2014/main" id="{00000000-0008-0000-0900-00000E12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ru-RU" sz="1600" b="1" i="0" u="none" strike="noStrike" baseline="0">
                  <a:solidFill>
                    <a:srgbClr val="000000"/>
                  </a:solidFill>
                  <a:latin typeface="Calibri"/>
                  <a:cs typeface="Calibri"/>
                </a:rPr>
                <a:t>Заполнить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6</xdr:row>
          <xdr:rowOff>0</xdr:rowOff>
        </xdr:from>
        <xdr:to>
          <xdr:col>12</xdr:col>
          <xdr:colOff>0</xdr:colOff>
          <xdr:row>7</xdr:row>
          <xdr:rowOff>0</xdr:rowOff>
        </xdr:to>
        <xdr:sp macro="" textlink="">
          <xdr:nvSpPr>
            <xdr:cNvPr id="4641" name="Button 545" hidden="1">
              <a:extLst>
                <a:ext uri="{63B3BB69-23CF-44E3-9099-C40C66FF867C}">
                  <a14:compatExt spid="_x0000_s4641"/>
                </a:ext>
                <a:ext uri="{FF2B5EF4-FFF2-40B4-BE49-F238E27FC236}">
                  <a16:creationId xmlns:a16="http://schemas.microsoft.com/office/drawing/2014/main" id="{00000000-0008-0000-0900-00002112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200" b="1" i="0" u="none" strike="noStrike" baseline="0">
                  <a:solidFill>
                    <a:srgbClr val="000000"/>
                  </a:solidFill>
                  <a:latin typeface="Calibri"/>
                  <a:cs typeface="Calibri"/>
                </a:rPr>
                <a:t>«BR» 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198120</xdr:rowOff>
        </xdr:from>
        <xdr:to>
          <xdr:col>1</xdr:col>
          <xdr:colOff>0</xdr:colOff>
          <xdr:row>19</xdr:row>
          <xdr:rowOff>0</xdr:rowOff>
        </xdr:to>
        <xdr:sp macro="" textlink="">
          <xdr:nvSpPr>
            <xdr:cNvPr id="4643" name="Check Box 547" hidden="1">
              <a:extLst>
                <a:ext uri="{63B3BB69-23CF-44E3-9099-C40C66FF867C}">
                  <a14:compatExt spid="_x0000_s4643"/>
                </a:ext>
                <a:ext uri="{FF2B5EF4-FFF2-40B4-BE49-F238E27FC236}">
                  <a16:creationId xmlns:a16="http://schemas.microsoft.com/office/drawing/2014/main" id="{00000000-0008-0000-0900-000023120000}"/>
                </a:ext>
              </a:extLst>
            </xdr:cNvPr>
            <xdr:cNvSpPr/>
          </xdr:nvSpPr>
          <xdr:spPr bwMode="auto">
            <a:xfrm>
              <a:off x="0" y="0"/>
              <a:ext cx="0" cy="0"/>
            </a:xfrm>
            <a:prstGeom prst="rect">
              <a:avLst/>
            </a:prstGeom>
            <a:solidFill>
              <a:srgbClr val="FFCC00" mc:Ignorable="a14" a14:legacySpreadsheetColorIndex="5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ru-RU" sz="800" b="0" i="0" u="none" strike="noStrike" baseline="0">
                  <a:solidFill>
                    <a:srgbClr val="000000"/>
                  </a:solidFill>
                  <a:latin typeface="Segoe UI"/>
                  <a:cs typeface="Segoe UI"/>
                </a:rPr>
                <a:t>Европротокол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8</xdr:row>
          <xdr:rowOff>0</xdr:rowOff>
        </xdr:from>
        <xdr:to>
          <xdr:col>12</xdr:col>
          <xdr:colOff>15240</xdr:colOff>
          <xdr:row>9</xdr:row>
          <xdr:rowOff>7620</xdr:rowOff>
        </xdr:to>
        <xdr:sp macro="" textlink="">
          <xdr:nvSpPr>
            <xdr:cNvPr id="4691" name="ComboBox4" hidden="1">
              <a:extLst>
                <a:ext uri="{63B3BB69-23CF-44E3-9099-C40C66FF867C}">
                  <a14:compatExt spid="_x0000_s4691"/>
                </a:ext>
                <a:ext uri="{FF2B5EF4-FFF2-40B4-BE49-F238E27FC236}">
                  <a16:creationId xmlns:a16="http://schemas.microsoft.com/office/drawing/2014/main" id="{00000000-0008-0000-0900-0000531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14</xdr:row>
          <xdr:rowOff>0</xdr:rowOff>
        </xdr:from>
        <xdr:to>
          <xdr:col>26</xdr:col>
          <xdr:colOff>0</xdr:colOff>
          <xdr:row>16</xdr:row>
          <xdr:rowOff>0</xdr:rowOff>
        </xdr:to>
        <xdr:sp macro="" textlink="">
          <xdr:nvSpPr>
            <xdr:cNvPr id="4700" name="Check Box 604" hidden="1">
              <a:extLst>
                <a:ext uri="{63B3BB69-23CF-44E3-9099-C40C66FF867C}">
                  <a14:compatExt spid="_x0000_s4700"/>
                </a:ext>
                <a:ext uri="{FF2B5EF4-FFF2-40B4-BE49-F238E27FC236}">
                  <a16:creationId xmlns:a16="http://schemas.microsoft.com/office/drawing/2014/main" id="{00000000-0008-0000-0900-00005C120000}"/>
                </a:ext>
              </a:extLst>
            </xdr:cNvPr>
            <xdr:cNvSpPr/>
          </xdr:nvSpPr>
          <xdr:spPr bwMode="auto">
            <a:xfrm>
              <a:off x="0" y="0"/>
              <a:ext cx="0" cy="0"/>
            </a:xfrm>
            <a:prstGeom prst="rect">
              <a:avLst/>
            </a:prstGeom>
            <a:solidFill>
              <a:srgbClr val="FFCC00" mc:Ignorable="a14" a14:legacySpreadsheetColorIndex="51"/>
            </a:solidFill>
            <a:ln w="15875">
              <a:solidFill>
                <a:srgbClr val="000000" mc:Ignorable="a14" a14:legacySpreadsheetColorIndex="64"/>
              </a:solidFill>
              <a:miter lim="800000"/>
              <a:headEnd/>
              <a:tailEnd/>
            </a:ln>
          </xdr:spPr>
          <xdr:txBody>
            <a:bodyPr vertOverflow="clip" wrap="square" lIns="27432" tIns="27432" rIns="0" bIns="27432" anchor="ctr" upright="1"/>
            <a:lstStyle/>
            <a:p>
              <a:pPr algn="l" rtl="0">
                <a:defRPr sz="1000"/>
              </a:pPr>
              <a:r>
                <a:rPr lang="ru-RU" sz="800" b="0" i="0" u="none" strike="noStrike" baseline="0">
                  <a:solidFill>
                    <a:srgbClr val="000000"/>
                  </a:solidFill>
                  <a:latin typeface="Segoe UI"/>
                  <a:cs typeface="Segoe UI"/>
                </a:rPr>
                <a:t>CHECK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xdr:row>
          <xdr:rowOff>213360</xdr:rowOff>
        </xdr:from>
        <xdr:to>
          <xdr:col>10</xdr:col>
          <xdr:colOff>0</xdr:colOff>
          <xdr:row>17</xdr:row>
          <xdr:rowOff>0</xdr:rowOff>
        </xdr:to>
        <xdr:sp macro="" textlink="">
          <xdr:nvSpPr>
            <xdr:cNvPr id="4706" name="Check Box 610" hidden="1">
              <a:extLst>
                <a:ext uri="{63B3BB69-23CF-44E3-9099-C40C66FF867C}">
                  <a14:compatExt spid="_x0000_s4706"/>
                </a:ext>
                <a:ext uri="{FF2B5EF4-FFF2-40B4-BE49-F238E27FC236}">
                  <a16:creationId xmlns:a16="http://schemas.microsoft.com/office/drawing/2014/main" id="{00000000-0008-0000-0900-000062120000}"/>
                </a:ext>
              </a:extLst>
            </xdr:cNvPr>
            <xdr:cNvSpPr/>
          </xdr:nvSpPr>
          <xdr:spPr bwMode="auto">
            <a:xfrm>
              <a:off x="0" y="0"/>
              <a:ext cx="0" cy="0"/>
            </a:xfrm>
            <a:prstGeom prst="rect">
              <a:avLst/>
            </a:prstGeom>
            <a:solidFill>
              <a:srgbClr val="FFCC00" mc:Ignorable="a14" a14:legacySpreadsheetColorIndex="5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ru-RU" sz="800" b="0" i="0" u="none" strike="noStrike" baseline="0">
                  <a:solidFill>
                    <a:srgbClr val="000000"/>
                  </a:solidFill>
                  <a:latin typeface="Segoe UI"/>
                  <a:cs typeface="Segoe UI"/>
                </a:rPr>
                <a:t>Фин санкция</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xdr:row>
          <xdr:rowOff>0</xdr:rowOff>
        </xdr:from>
        <xdr:to>
          <xdr:col>10</xdr:col>
          <xdr:colOff>15240</xdr:colOff>
          <xdr:row>3</xdr:row>
          <xdr:rowOff>7620</xdr:rowOff>
        </xdr:to>
        <xdr:sp macro="" textlink="">
          <xdr:nvSpPr>
            <xdr:cNvPr id="4713" name="ComboBox5" hidden="1">
              <a:extLst>
                <a:ext uri="{63B3BB69-23CF-44E3-9099-C40C66FF867C}">
                  <a14:compatExt spid="_x0000_s4713"/>
                </a:ext>
                <a:ext uri="{FF2B5EF4-FFF2-40B4-BE49-F238E27FC236}">
                  <a16:creationId xmlns:a16="http://schemas.microsoft.com/office/drawing/2014/main" id="{00000000-0008-0000-0900-0000691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210</xdr:col>
      <xdr:colOff>0</xdr:colOff>
      <xdr:row>0</xdr:row>
      <xdr:rowOff>209549</xdr:rowOff>
    </xdr:from>
    <xdr:to>
      <xdr:col>229</xdr:col>
      <xdr:colOff>438144</xdr:colOff>
      <xdr:row>13</xdr:row>
      <xdr:rowOff>200024</xdr:rowOff>
    </xdr:to>
    <xdr:graphicFrame macro="">
      <xdr:nvGraphicFramePr>
        <xdr:cNvPr id="3" name="Диаграмма 2">
          <a:extLst>
            <a:ext uri="{FF2B5EF4-FFF2-40B4-BE49-F238E27FC236}">
              <a16:creationId xmlns:a16="http://schemas.microsoft.com/office/drawing/2014/main" id="{00000000-0008-0000-1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210</xdr:col>
      <xdr:colOff>0</xdr:colOff>
      <xdr:row>15</xdr:row>
      <xdr:rowOff>0</xdr:rowOff>
    </xdr:from>
    <xdr:to>
      <xdr:col>229</xdr:col>
      <xdr:colOff>438144</xdr:colOff>
      <xdr:row>28</xdr:row>
      <xdr:rowOff>0</xdr:rowOff>
    </xdr:to>
    <xdr:graphicFrame macro="">
      <xdr:nvGraphicFramePr>
        <xdr:cNvPr id="4" name="Диаграмма 3">
          <a:extLst>
            <a:ext uri="{FF2B5EF4-FFF2-40B4-BE49-F238E27FC236}">
              <a16:creationId xmlns:a16="http://schemas.microsoft.com/office/drawing/2014/main" id="{00000000-0008-0000-1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600074</xdr:colOff>
      <xdr:row>2</xdr:row>
      <xdr:rowOff>190499</xdr:rowOff>
    </xdr:from>
    <xdr:to>
      <xdr:col>28</xdr:col>
      <xdr:colOff>371475</xdr:colOff>
      <xdr:row>19</xdr:row>
      <xdr:rowOff>9524</xdr:rowOff>
    </xdr:to>
    <xdr:graphicFrame macro="">
      <xdr:nvGraphicFramePr>
        <xdr:cNvPr id="4" name="Диаграмма 3">
          <a:extLst>
            <a:ext uri="{FF2B5EF4-FFF2-40B4-BE49-F238E27FC236}">
              <a16:creationId xmlns:a16="http://schemas.microsoft.com/office/drawing/2014/main" id="{00000000-0008-0000-1C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hilyaevan/AppData/Roaming/Microsoft/AddIns/&#1050;&#1086;&#1087;&#1080;&#1088;&#1086;&#1074;&#1072;&#1085;&#1080;&#1077;%20&#1076;&#1077;&#1083;%20&#1080;&#1079;%20&#1090;&#1072;&#1073;&#1083;&#1080;&#1094;.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1"/>
    </sheetNames>
    <definedNames>
      <definedName name="GenitiveCase"/>
    </definedNames>
    <sheetDataSet>
      <sheetData sheetId="0"/>
    </sheetDataSet>
  </externalBook>
</externalLink>
</file>

<file path=xl/tables/table1.xml><?xml version="1.0" encoding="utf-8"?>
<table xmlns="http://schemas.openxmlformats.org/spreadsheetml/2006/main" id="2" name="Таблица2" displayName="Таблица2" ref="A1:Q2" insertRow="1" totalsRowShown="0" headerRowDxfId="609" dataDxfId="608">
  <tableColumns count="17">
    <tableColumn id="1" name="Decision" dataDxfId="607"/>
    <tableColumn id="2" name="Heading" dataDxfId="606"/>
    <tableColumn id="3" name="FU_Pos" dataDxfId="605"/>
    <tableColumn id="4" name="FU_Name" dataDxfId="604"/>
    <tableColumn id="5" name="ClaimAll" dataDxfId="603"/>
    <tableColumn id="6" name="Request" dataDxfId="602"/>
    <tableColumn id="7" name="DescriptionDtp" dataDxfId="601"/>
    <tableColumn id="8" name="Application1" dataDxfId="600"/>
    <tableColumn id="9" name="Application2" dataDxfId="599"/>
    <tableColumn id="10" name="Application3" dataDxfId="598"/>
    <tableColumn id="11" name="Application4" dataDxfId="597"/>
    <tableColumn id="12" name="Application5" dataDxfId="596"/>
    <tableColumn id="13" name="Application6" dataDxfId="595"/>
    <tableColumn id="14" name="Motivation" dataDxfId="594"/>
    <tableColumn id="15" name="Resulative" dataDxfId="593"/>
    <tableColumn id="16" name="NTE_FU_1" dataDxfId="592"/>
    <tableColumn id="17" name="NTE_FU_2" dataDxfId="591"/>
  </tableColumns>
  <tableStyleInfo name="TableStyleLight19" showFirstColumn="0" showLastColumn="0" showRowStripes="1" showColumnStripes="0"/>
</table>
</file>

<file path=xl/tables/table2.xml><?xml version="1.0" encoding="utf-8"?>
<table xmlns="http://schemas.openxmlformats.org/spreadsheetml/2006/main" id="1" name="tblData" displayName="tblData" ref="A1:G301" totalsRowShown="0" headerRowDxfId="589">
  <tableColumns count="7">
    <tableColumn id="1" name="ФО"/>
    <tableColumn id="2" name="Статус" dataDxfId="588">
      <calculatedColumnFormula>NOT(ISERROR(SEARCH(FILLING!$D$11,tblData[[#This Row],[ФО]])))</calculatedColumnFormula>
    </tableColumn>
    <tableColumn id="3" name="Индекс" dataDxfId="587">
      <calculatedColumnFormula>IF(tblData[[#This Row],[Статус]],COUNTIF($B$2:tblData[[#This Row],[Статус]],TRUE),"")</calculatedColumnFormula>
    </tableColumn>
    <tableColumn id="4" name="Фильтр" dataDxfId="586">
      <calculatedColumnFormula>IFERROR(INDEX(tblData[ФО],MATCH(ROWS($C$2:tblData[[#This Row],[Индекс]]),tblData[Индекс],0)),"")</calculatedColumnFormula>
    </tableColumn>
    <tableColumn id="5" name="Статус2" dataDxfId="585">
      <calculatedColumnFormula>NOT(ISERROR(SEARCH(FILLING!$D$15,tblData[[#This Row],[ФО]])))</calculatedColumnFormula>
    </tableColumn>
    <tableColumn id="6" name="Индекс2" dataDxfId="584">
      <calculatedColumnFormula>IF(tblData[[#This Row],[Статус2]],COUNTIF($E$2:tblData[[#This Row],[Статус2]],TRUE),"")</calculatedColumnFormula>
    </tableColumn>
    <tableColumn id="7" name="Фильтр2" dataDxfId="583">
      <calculatedColumnFormula>IFERROR(INDEX(tblData[ФО],MATCH(ROWS($F$2:tblData[[#This Row],[Индекс2]]),tblData[Индекс2],0)),"")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blData_Region" displayName="tblData_Region" ref="I1:L86" totalsRowShown="0" headerRowDxfId="582">
  <tableColumns count="4">
    <tableColumn id="1" name="РЕГИОН"/>
    <tableColumn id="2" name="Статус" dataDxfId="581">
      <calculatedColumnFormula>NOT(ISERROR(SEARCH(FILLING!$L$16,tblData_Region[[#This Row],[РЕГИОН]])))</calculatedColumnFormula>
    </tableColumn>
    <tableColumn id="3" name="Индекс" dataDxfId="580">
      <calculatedColumnFormula>IF(tblData_Region[[#This Row],[Статус]],COUNTIF($J$2:tblData_Region[[#This Row],[Статус]],TRUE),"")</calculatedColumnFormula>
    </tableColumn>
    <tableColumn id="4" name="Фильтр" dataDxfId="579">
      <calculatedColumnFormula>IFERROR(INDEX(tblData_Region[РЕГИОН],MATCH(ROWS($K$2:tblData_Region[[#This Row],[Индекс]]),tblData_Region[Индекс],0)),"")</calculatedColumnFormula>
    </tableColumn>
  </tableColumns>
  <tableStyleInfo name="TableStyleMedium14"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3.xml"/><Relationship Id="rId1" Type="http://schemas.openxmlformats.org/officeDocument/2006/relationships/printerSettings" Target="../printerSettings/printerSettings5.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2.xml"/><Relationship Id="rId18" Type="http://schemas.openxmlformats.org/officeDocument/2006/relationships/control" Target="../activeX/activeX17.xml"/><Relationship Id="rId26" Type="http://schemas.openxmlformats.org/officeDocument/2006/relationships/control" Target="../activeX/activeX25.xml"/><Relationship Id="rId39" Type="http://schemas.openxmlformats.org/officeDocument/2006/relationships/control" Target="../activeX/activeX35.xml"/><Relationship Id="rId21" Type="http://schemas.openxmlformats.org/officeDocument/2006/relationships/control" Target="../activeX/activeX20.xml"/><Relationship Id="rId34" Type="http://schemas.openxmlformats.org/officeDocument/2006/relationships/control" Target="../activeX/activeX31.xml"/><Relationship Id="rId42" Type="http://schemas.openxmlformats.org/officeDocument/2006/relationships/image" Target="../media/image2.emf"/><Relationship Id="rId47" Type="http://schemas.openxmlformats.org/officeDocument/2006/relationships/ctrlProp" Target="../ctrlProps/ctrlProp5.xml"/><Relationship Id="rId50" Type="http://schemas.openxmlformats.org/officeDocument/2006/relationships/ctrlProp" Target="../ctrlProps/ctrlProp8.xml"/><Relationship Id="rId7" Type="http://schemas.openxmlformats.org/officeDocument/2006/relationships/image" Target="../media/image7.emf"/><Relationship Id="rId2" Type="http://schemas.openxmlformats.org/officeDocument/2006/relationships/drawing" Target="../drawings/drawing2.xml"/><Relationship Id="rId16" Type="http://schemas.openxmlformats.org/officeDocument/2006/relationships/control" Target="../activeX/activeX15.xml"/><Relationship Id="rId29" Type="http://schemas.openxmlformats.org/officeDocument/2006/relationships/control" Target="../activeX/activeX27.xml"/><Relationship Id="rId11" Type="http://schemas.openxmlformats.org/officeDocument/2006/relationships/control" Target="../activeX/activeX10.xml"/><Relationship Id="rId24" Type="http://schemas.openxmlformats.org/officeDocument/2006/relationships/control" Target="../activeX/activeX23.xml"/><Relationship Id="rId32" Type="http://schemas.openxmlformats.org/officeDocument/2006/relationships/control" Target="../activeX/activeX29.xml"/><Relationship Id="rId37" Type="http://schemas.openxmlformats.org/officeDocument/2006/relationships/control" Target="../activeX/activeX33.xml"/><Relationship Id="rId40" Type="http://schemas.openxmlformats.org/officeDocument/2006/relationships/control" Target="../activeX/activeX36.xml"/><Relationship Id="rId45" Type="http://schemas.openxmlformats.org/officeDocument/2006/relationships/control" Target="../activeX/activeX39.xml"/><Relationship Id="rId5" Type="http://schemas.openxmlformats.org/officeDocument/2006/relationships/image" Target="../media/image6.emf"/><Relationship Id="rId15" Type="http://schemas.openxmlformats.org/officeDocument/2006/relationships/control" Target="../activeX/activeX14.xml"/><Relationship Id="rId23" Type="http://schemas.openxmlformats.org/officeDocument/2006/relationships/control" Target="../activeX/activeX22.xml"/><Relationship Id="rId28" Type="http://schemas.openxmlformats.org/officeDocument/2006/relationships/image" Target="../media/image9.emf"/><Relationship Id="rId36" Type="http://schemas.openxmlformats.org/officeDocument/2006/relationships/control" Target="../activeX/activeX32.xml"/><Relationship Id="rId49" Type="http://schemas.openxmlformats.org/officeDocument/2006/relationships/ctrlProp" Target="../ctrlProps/ctrlProp7.xml"/><Relationship Id="rId10" Type="http://schemas.openxmlformats.org/officeDocument/2006/relationships/control" Target="../activeX/activeX9.xml"/><Relationship Id="rId19" Type="http://schemas.openxmlformats.org/officeDocument/2006/relationships/control" Target="../activeX/activeX18.xml"/><Relationship Id="rId31" Type="http://schemas.openxmlformats.org/officeDocument/2006/relationships/control" Target="../activeX/activeX28.xml"/><Relationship Id="rId44" Type="http://schemas.openxmlformats.org/officeDocument/2006/relationships/image" Target="../media/image12.emf"/><Relationship Id="rId4" Type="http://schemas.openxmlformats.org/officeDocument/2006/relationships/control" Target="../activeX/activeX6.xml"/><Relationship Id="rId9" Type="http://schemas.openxmlformats.org/officeDocument/2006/relationships/image" Target="../media/image8.emf"/><Relationship Id="rId14" Type="http://schemas.openxmlformats.org/officeDocument/2006/relationships/control" Target="../activeX/activeX13.xml"/><Relationship Id="rId22" Type="http://schemas.openxmlformats.org/officeDocument/2006/relationships/control" Target="../activeX/activeX21.xml"/><Relationship Id="rId27" Type="http://schemas.openxmlformats.org/officeDocument/2006/relationships/control" Target="../activeX/activeX26.xml"/><Relationship Id="rId30" Type="http://schemas.openxmlformats.org/officeDocument/2006/relationships/image" Target="../media/image10.emf"/><Relationship Id="rId35" Type="http://schemas.openxmlformats.org/officeDocument/2006/relationships/image" Target="../media/image11.emf"/><Relationship Id="rId43" Type="http://schemas.openxmlformats.org/officeDocument/2006/relationships/control" Target="../activeX/activeX38.xml"/><Relationship Id="rId48" Type="http://schemas.openxmlformats.org/officeDocument/2006/relationships/ctrlProp" Target="../ctrlProps/ctrlProp6.xml"/><Relationship Id="rId8" Type="http://schemas.openxmlformats.org/officeDocument/2006/relationships/control" Target="../activeX/activeX8.xml"/><Relationship Id="rId3" Type="http://schemas.openxmlformats.org/officeDocument/2006/relationships/vmlDrawing" Target="../drawings/vmlDrawing2.vml"/><Relationship Id="rId12" Type="http://schemas.openxmlformats.org/officeDocument/2006/relationships/control" Target="../activeX/activeX11.xml"/><Relationship Id="rId17" Type="http://schemas.openxmlformats.org/officeDocument/2006/relationships/control" Target="../activeX/activeX16.xml"/><Relationship Id="rId25" Type="http://schemas.openxmlformats.org/officeDocument/2006/relationships/control" Target="../activeX/activeX24.xml"/><Relationship Id="rId33" Type="http://schemas.openxmlformats.org/officeDocument/2006/relationships/control" Target="../activeX/activeX30.xml"/><Relationship Id="rId38" Type="http://schemas.openxmlformats.org/officeDocument/2006/relationships/control" Target="../activeX/activeX34.xml"/><Relationship Id="rId46" Type="http://schemas.openxmlformats.org/officeDocument/2006/relationships/image" Target="../media/image13.emf"/><Relationship Id="rId20" Type="http://schemas.openxmlformats.org/officeDocument/2006/relationships/control" Target="../activeX/activeX19.xml"/><Relationship Id="rId41" Type="http://schemas.openxmlformats.org/officeDocument/2006/relationships/control" Target="../activeX/activeX37.xml"/><Relationship Id="rId1" Type="http://schemas.openxmlformats.org/officeDocument/2006/relationships/printerSettings" Target="../printerSettings/printerSettings6.bin"/><Relationship Id="rId6" Type="http://schemas.openxmlformats.org/officeDocument/2006/relationships/control" Target="../activeX/activeX7.xml"/></Relationships>
</file>

<file path=xl/worksheets/_rels/sheet9.xml.rels><?xml version="1.0" encoding="UTF-8" standalone="yes"?>
<Relationships xmlns="http://schemas.openxmlformats.org/package/2006/relationships"><Relationship Id="rId1827" Type="http://schemas.openxmlformats.org/officeDocument/2006/relationships/hyperlink" Target="2020_05/12.05.2020/29073" TargetMode="External"/><Relationship Id="rId3182" Type="http://schemas.openxmlformats.org/officeDocument/2006/relationships/hyperlink" Target="2020_09\03.09.2020\116764" TargetMode="External"/><Relationship Id="rId3042" Type="http://schemas.openxmlformats.org/officeDocument/2006/relationships/hyperlink" Target="2020_08/20.08.2020/108788" TargetMode="External"/><Relationship Id="rId170" Type="http://schemas.openxmlformats.org/officeDocument/2006/relationships/hyperlink" Target="2019_10\15.10.2019\35425" TargetMode="External"/><Relationship Id="rId3859" Type="http://schemas.openxmlformats.org/officeDocument/2006/relationships/hyperlink" Target="2020_11\16.11.2020\148536" TargetMode="External"/><Relationship Id="rId987" Type="http://schemas.openxmlformats.org/officeDocument/2006/relationships/hyperlink" Target="2020_01/27.01.2020/82317" TargetMode="External"/><Relationship Id="rId2668" Type="http://schemas.openxmlformats.org/officeDocument/2006/relationships/hyperlink" Target="2020_07\02.07.2020\61577" TargetMode="External"/><Relationship Id="rId2875" Type="http://schemas.openxmlformats.org/officeDocument/2006/relationships/hyperlink" Target="2020_08\05.08.2020\99867" TargetMode="External"/><Relationship Id="rId3719" Type="http://schemas.openxmlformats.org/officeDocument/2006/relationships/hyperlink" Target="2020_10/15.10.2020/131963" TargetMode="External"/><Relationship Id="rId3926" Type="http://schemas.openxmlformats.org/officeDocument/2006/relationships/hyperlink" Target="2020_12/11.12.2020/164252" TargetMode="External"/><Relationship Id="rId847" Type="http://schemas.openxmlformats.org/officeDocument/2006/relationships/hyperlink" Target="2020_01/15.01.2020/76175" TargetMode="External"/><Relationship Id="rId1477" Type="http://schemas.openxmlformats.org/officeDocument/2006/relationships/hyperlink" Target="2020_03/11.03.2020/14332" TargetMode="External"/><Relationship Id="rId1684" Type="http://schemas.openxmlformats.org/officeDocument/2006/relationships/hyperlink" Target="2020_03/26.03.2020/24628" TargetMode="External"/><Relationship Id="rId1891" Type="http://schemas.openxmlformats.org/officeDocument/2006/relationships/hyperlink" Target="2020_05/18.05.2020/42460" TargetMode="External"/><Relationship Id="rId2528" Type="http://schemas.openxmlformats.org/officeDocument/2006/relationships/hyperlink" Target="2020_06/16.06.2020/62335" TargetMode="External"/><Relationship Id="rId2735" Type="http://schemas.openxmlformats.org/officeDocument/2006/relationships/hyperlink" Target="2020_07/09.07.2020/77297" TargetMode="External"/><Relationship Id="rId2942" Type="http://schemas.openxmlformats.org/officeDocument/2006/relationships/hyperlink" Target="2020_08/10.08.2020/02393" TargetMode="External"/><Relationship Id="rId707" Type="http://schemas.openxmlformats.org/officeDocument/2006/relationships/hyperlink" Target="2019_12/27.12.2019/78077" TargetMode="External"/><Relationship Id="rId914" Type="http://schemas.openxmlformats.org/officeDocument/2006/relationships/hyperlink" Target="2020_01\21.01.2020\79861" TargetMode="External"/><Relationship Id="rId1337" Type="http://schemas.openxmlformats.org/officeDocument/2006/relationships/hyperlink" Target="2020_02/27.02.2020/-8272" TargetMode="External"/><Relationship Id="rId1544" Type="http://schemas.openxmlformats.org/officeDocument/2006/relationships/hyperlink" Target="2020_03/16.03.2020/26141" TargetMode="External"/><Relationship Id="rId1751" Type="http://schemas.openxmlformats.org/officeDocument/2006/relationships/hyperlink" Target="2020_04/07.04.2020/28262" TargetMode="External"/><Relationship Id="rId2802" Type="http://schemas.openxmlformats.org/officeDocument/2006/relationships/hyperlink" Target="2020_07/31.07.2020/89365" TargetMode="External"/><Relationship Id="rId43" Type="http://schemas.openxmlformats.org/officeDocument/2006/relationships/hyperlink" Target="https://smp.sfurf.office/sd/operator/" TargetMode="External"/><Relationship Id="rId1404" Type="http://schemas.openxmlformats.org/officeDocument/2006/relationships/hyperlink" Target="2020_03/03.03.2020/19104" TargetMode="External"/><Relationship Id="rId1611" Type="http://schemas.openxmlformats.org/officeDocument/2006/relationships/hyperlink" Target="2020_03\23.03.2020\22878" TargetMode="External"/><Relationship Id="rId3369" Type="http://schemas.openxmlformats.org/officeDocument/2006/relationships/hyperlink" Target="2020_09\22.09.2020\126622" TargetMode="External"/><Relationship Id="rId3576" Type="http://schemas.openxmlformats.org/officeDocument/2006/relationships/hyperlink" Target="2020_10/05.10.2020/133695" TargetMode="External"/><Relationship Id="rId497" Type="http://schemas.openxmlformats.org/officeDocument/2006/relationships/hyperlink" Target="2019_12\12.12.2019\60362" TargetMode="External"/><Relationship Id="rId2178" Type="http://schemas.openxmlformats.org/officeDocument/2006/relationships/hyperlink" Target="2020_06/05.06.2020/43650" TargetMode="External"/><Relationship Id="rId2385" Type="http://schemas.openxmlformats.org/officeDocument/2006/relationships/hyperlink" Target="2020_06/16.06.2020/52281" TargetMode="External"/><Relationship Id="rId3229" Type="http://schemas.openxmlformats.org/officeDocument/2006/relationships/hyperlink" Target="2020_09\08.09.2020\119087" TargetMode="External"/><Relationship Id="rId3783" Type="http://schemas.openxmlformats.org/officeDocument/2006/relationships/hyperlink" Target="2020_11/09.11.2020/144410" TargetMode="External"/><Relationship Id="rId357" Type="http://schemas.openxmlformats.org/officeDocument/2006/relationships/hyperlink" Target="2019_11\21.11.2019\55899" TargetMode="External"/><Relationship Id="rId1194" Type="http://schemas.openxmlformats.org/officeDocument/2006/relationships/hyperlink" Target="2020_02\11.02.2020\-7253" TargetMode="External"/><Relationship Id="rId2038" Type="http://schemas.openxmlformats.org/officeDocument/2006/relationships/hyperlink" Target="2020_05\27.05.2020\51255" TargetMode="External"/><Relationship Id="rId2592" Type="http://schemas.openxmlformats.org/officeDocument/2006/relationships/hyperlink" Target="2020_06/25.06.2020/70225" TargetMode="External"/><Relationship Id="rId3436" Type="http://schemas.openxmlformats.org/officeDocument/2006/relationships/hyperlink" Target="2020_09/25.09.2020/121299" TargetMode="External"/><Relationship Id="rId3643" Type="http://schemas.openxmlformats.org/officeDocument/2006/relationships/hyperlink" Target="2020_10/12.10.2020/130080" TargetMode="External"/><Relationship Id="rId3850" Type="http://schemas.openxmlformats.org/officeDocument/2006/relationships/hyperlink" Target="2020_11/19.11.2020/151028" TargetMode="External"/><Relationship Id="rId217" Type="http://schemas.openxmlformats.org/officeDocument/2006/relationships/hyperlink" Target="2019_11\15.11.2019\44588" TargetMode="External"/><Relationship Id="rId564" Type="http://schemas.openxmlformats.org/officeDocument/2006/relationships/hyperlink" Target="2019_12\19.12.2019\64753" TargetMode="External"/><Relationship Id="rId771" Type="http://schemas.openxmlformats.org/officeDocument/2006/relationships/hyperlink" Target="2020_01/09.01.2020/80103" TargetMode="External"/><Relationship Id="rId2245" Type="http://schemas.openxmlformats.org/officeDocument/2006/relationships/hyperlink" Target="2020_06/16.06.2020/51911" TargetMode="External"/><Relationship Id="rId2452" Type="http://schemas.openxmlformats.org/officeDocument/2006/relationships/hyperlink" Target="2020_06/16.06.2020/54141" TargetMode="External"/><Relationship Id="rId3503" Type="http://schemas.openxmlformats.org/officeDocument/2006/relationships/hyperlink" Target="2020_09/30.09.2020/123541" TargetMode="External"/><Relationship Id="rId3710" Type="http://schemas.openxmlformats.org/officeDocument/2006/relationships/hyperlink" Target="2020_10/16.10.2020/132982" TargetMode="External"/><Relationship Id="rId424" Type="http://schemas.openxmlformats.org/officeDocument/2006/relationships/hyperlink" Target="2019_12\04.12.2019\64022" TargetMode="External"/><Relationship Id="rId631" Type="http://schemas.openxmlformats.org/officeDocument/2006/relationships/hyperlink" Target="2019_12\24.12.2019\75361" TargetMode="External"/><Relationship Id="rId1054" Type="http://schemas.openxmlformats.org/officeDocument/2006/relationships/hyperlink" Target="2020_01/31.01.2020/85292" TargetMode="External"/><Relationship Id="rId1261" Type="http://schemas.openxmlformats.org/officeDocument/2006/relationships/hyperlink" Target="2020_02/20.02.2020/-4210" TargetMode="External"/><Relationship Id="rId2105" Type="http://schemas.openxmlformats.org/officeDocument/2006/relationships/hyperlink" Target="2020_06/01.06.2020/60887" TargetMode="External"/><Relationship Id="rId2312" Type="http://schemas.openxmlformats.org/officeDocument/2006/relationships/hyperlink" Target="2020_06\15.06.2020\48201" TargetMode="External"/><Relationship Id="rId1121" Type="http://schemas.openxmlformats.org/officeDocument/2006/relationships/hyperlink" Target="2020_02\05.02.2020\88560" TargetMode="External"/><Relationship Id="rId3086" Type="http://schemas.openxmlformats.org/officeDocument/2006/relationships/hyperlink" Target="2020_08/24.08.2020/103473" TargetMode="External"/><Relationship Id="rId3293" Type="http://schemas.openxmlformats.org/officeDocument/2006/relationships/hyperlink" Target="2020_09/15.09.2020/103388" TargetMode="External"/><Relationship Id="rId1938" Type="http://schemas.openxmlformats.org/officeDocument/2006/relationships/hyperlink" Target="2020_05/20.05.2020/34761" TargetMode="External"/><Relationship Id="rId3153" Type="http://schemas.openxmlformats.org/officeDocument/2006/relationships/hyperlink" Target="2020_09\01.09.2020\115252" TargetMode="External"/><Relationship Id="rId3360" Type="http://schemas.openxmlformats.org/officeDocument/2006/relationships/hyperlink" Target="2020_09/18.09.2020/125410" TargetMode="External"/><Relationship Id="rId281" Type="http://schemas.openxmlformats.org/officeDocument/2006/relationships/hyperlink" Target="https://smp.sfurf.office/sd/operator/" TargetMode="External"/><Relationship Id="rId3013" Type="http://schemas.openxmlformats.org/officeDocument/2006/relationships/hyperlink" Target="2020_08/18.08.2020/99837" TargetMode="External"/><Relationship Id="rId141" Type="http://schemas.openxmlformats.org/officeDocument/2006/relationships/hyperlink" Target="../Users/shilyaevan/AppData/Roaming/Microsoft/Excel/2019_10/22.10.2019/39586" TargetMode="External"/><Relationship Id="rId3220" Type="http://schemas.openxmlformats.org/officeDocument/2006/relationships/hyperlink" Target="2020_09/09.09.2020/112223" TargetMode="External"/><Relationship Id="rId7" Type="http://schemas.openxmlformats.org/officeDocument/2006/relationships/hyperlink" Target="https://smp.sfurf.office/sd/operator/index.jsp;jsessionid=4B56FDB405CD332F2E4AE6AEC0BFEE05" TargetMode="External"/><Relationship Id="rId2779" Type="http://schemas.openxmlformats.org/officeDocument/2006/relationships/hyperlink" Target="2020_07\29.07.2020\96281" TargetMode="External"/><Relationship Id="rId2986" Type="http://schemas.openxmlformats.org/officeDocument/2006/relationships/hyperlink" Target="2020_08/13.08.2020/05000" TargetMode="External"/><Relationship Id="rId958" Type="http://schemas.openxmlformats.org/officeDocument/2006/relationships/hyperlink" Target="2020_01\23.01.2020\80931" TargetMode="External"/><Relationship Id="rId1588" Type="http://schemas.openxmlformats.org/officeDocument/2006/relationships/hyperlink" Target="2020_03\19.03.2020\28662" TargetMode="External"/><Relationship Id="rId1795" Type="http://schemas.openxmlformats.org/officeDocument/2006/relationships/hyperlink" Target="2020_05\08.05.2020\37454" TargetMode="External"/><Relationship Id="rId2639" Type="http://schemas.openxmlformats.org/officeDocument/2006/relationships/hyperlink" Target="2020_06/29.06.2020/79790" TargetMode="External"/><Relationship Id="rId2846" Type="http://schemas.openxmlformats.org/officeDocument/2006/relationships/hyperlink" Target="2020_08/03.08.2020/98572" TargetMode="External"/><Relationship Id="rId87" Type="http://schemas.openxmlformats.org/officeDocument/2006/relationships/hyperlink" Target="2019_10\16.10.2019\22662" TargetMode="External"/><Relationship Id="rId818" Type="http://schemas.openxmlformats.org/officeDocument/2006/relationships/hyperlink" Target="2020_01/14.01.2020/83185" TargetMode="External"/><Relationship Id="rId1448" Type="http://schemas.openxmlformats.org/officeDocument/2006/relationships/hyperlink" Target="2020_03/05.03.2020/12287" TargetMode="External"/><Relationship Id="rId1655" Type="http://schemas.openxmlformats.org/officeDocument/2006/relationships/hyperlink" Target="2020_03\25.03.2020\23490" TargetMode="External"/><Relationship Id="rId2706" Type="http://schemas.openxmlformats.org/officeDocument/2006/relationships/hyperlink" Target="2020_07/06.07.2020/81889" TargetMode="External"/><Relationship Id="rId1308" Type="http://schemas.openxmlformats.org/officeDocument/2006/relationships/hyperlink" Target="2020_02/25.02.2020/-6176" TargetMode="External"/><Relationship Id="rId1862" Type="http://schemas.openxmlformats.org/officeDocument/2006/relationships/hyperlink" Target="2020_05\18.05.2020\42292" TargetMode="External"/><Relationship Id="rId2913" Type="http://schemas.openxmlformats.org/officeDocument/2006/relationships/hyperlink" Target="2020_08/06.08.2020/92203" TargetMode="External"/><Relationship Id="rId1515" Type="http://schemas.openxmlformats.org/officeDocument/2006/relationships/hyperlink" Target="2020_03/13.03.2020/17364" TargetMode="External"/><Relationship Id="rId1722" Type="http://schemas.openxmlformats.org/officeDocument/2006/relationships/hyperlink" Target="2020_04\06.04.2020\26767" TargetMode="External"/><Relationship Id="rId14" Type="http://schemas.openxmlformats.org/officeDocument/2006/relationships/hyperlink" Target="https://smp.sfurf.office/sd/operator/index.jsp;jsessionid=4B56FDB405CD332F2E4AE6AEC0BFEE05" TargetMode="External"/><Relationship Id="rId3687" Type="http://schemas.openxmlformats.org/officeDocument/2006/relationships/hyperlink" Target="2020_10/14.10.2020/131685" TargetMode="External"/><Relationship Id="rId3894" Type="http://schemas.openxmlformats.org/officeDocument/2006/relationships/hyperlink" Target="2020_11/19.11.2020/159126" TargetMode="External"/><Relationship Id="rId2289" Type="http://schemas.openxmlformats.org/officeDocument/2006/relationships/hyperlink" Target="2020_06/16.06.2020/57041" TargetMode="External"/><Relationship Id="rId2496" Type="http://schemas.openxmlformats.org/officeDocument/2006/relationships/hyperlink" Target="2020_06\18.06.2020\66581" TargetMode="External"/><Relationship Id="rId3547" Type="http://schemas.openxmlformats.org/officeDocument/2006/relationships/hyperlink" Target="2020_10\02.10.2020\125378" TargetMode="External"/><Relationship Id="rId3754" Type="http://schemas.openxmlformats.org/officeDocument/2006/relationships/hyperlink" Target="2020_11\05.11.2020\150869" TargetMode="External"/><Relationship Id="rId3961" Type="http://schemas.openxmlformats.org/officeDocument/2006/relationships/hyperlink" Target="2020_12/15.12.2020/173585" TargetMode="External"/><Relationship Id="rId468" Type="http://schemas.openxmlformats.org/officeDocument/2006/relationships/hyperlink" Target="2019_12\09.12.2019\58281" TargetMode="External"/><Relationship Id="rId675" Type="http://schemas.openxmlformats.org/officeDocument/2006/relationships/hyperlink" Target="2019_12\26.12.2019\76835" TargetMode="External"/><Relationship Id="rId882" Type="http://schemas.openxmlformats.org/officeDocument/2006/relationships/hyperlink" Target="2020_01/17.01.2020/78240" TargetMode="External"/><Relationship Id="rId1098" Type="http://schemas.openxmlformats.org/officeDocument/2006/relationships/hyperlink" Target="2020_02\04.02.2020\87622" TargetMode="External"/><Relationship Id="rId2149" Type="http://schemas.openxmlformats.org/officeDocument/2006/relationships/hyperlink" Target="2020_06/03.06.2020/41360" TargetMode="External"/><Relationship Id="rId2356" Type="http://schemas.openxmlformats.org/officeDocument/2006/relationships/hyperlink" Target="2020_06/02.06.2020/40741" TargetMode="External"/><Relationship Id="rId2563" Type="http://schemas.openxmlformats.org/officeDocument/2006/relationships/hyperlink" Target="2020_06/18.06.2020/67486" TargetMode="External"/><Relationship Id="rId2770" Type="http://schemas.openxmlformats.org/officeDocument/2006/relationships/hyperlink" Target="2020_07/24.07.2020/93272" TargetMode="External"/><Relationship Id="rId3407" Type="http://schemas.openxmlformats.org/officeDocument/2006/relationships/hyperlink" Target="2020_09/18.09.2020/127478" TargetMode="External"/><Relationship Id="rId3614" Type="http://schemas.openxmlformats.org/officeDocument/2006/relationships/hyperlink" Target="2020_10/08.10.2020/128548" TargetMode="External"/><Relationship Id="rId3821" Type="http://schemas.openxmlformats.org/officeDocument/2006/relationships/hyperlink" Target="2020_11\11.11.2020\154002" TargetMode="External"/><Relationship Id="rId328" Type="http://schemas.openxmlformats.org/officeDocument/2006/relationships/hyperlink" Target="2019_11\20.11.2019\55617" TargetMode="External"/><Relationship Id="rId535" Type="http://schemas.openxmlformats.org/officeDocument/2006/relationships/hyperlink" Target="2019_12\17.12.2019\63146" TargetMode="External"/><Relationship Id="rId742" Type="http://schemas.openxmlformats.org/officeDocument/2006/relationships/hyperlink" Target="2019_12/31.12.2019/79307" TargetMode="External"/><Relationship Id="rId1165" Type="http://schemas.openxmlformats.org/officeDocument/2006/relationships/hyperlink" Target="2020_02\11.02.2020\90745" TargetMode="External"/><Relationship Id="rId1372" Type="http://schemas.openxmlformats.org/officeDocument/2006/relationships/hyperlink" Target="2020_02/28.02.2020/17763" TargetMode="External"/><Relationship Id="rId2009" Type="http://schemas.openxmlformats.org/officeDocument/2006/relationships/hyperlink" Target="2020_05/26.05.2020/39302" TargetMode="External"/><Relationship Id="rId2216" Type="http://schemas.openxmlformats.org/officeDocument/2006/relationships/hyperlink" Target="2020_06/15.06.2020/48618" TargetMode="External"/><Relationship Id="rId2423" Type="http://schemas.openxmlformats.org/officeDocument/2006/relationships/hyperlink" Target="2020_06/16.06.2020/56822" TargetMode="External"/><Relationship Id="rId2630" Type="http://schemas.openxmlformats.org/officeDocument/2006/relationships/hyperlink" Target="2020_06/26.06.2020/70793" TargetMode="External"/><Relationship Id="rId602" Type="http://schemas.openxmlformats.org/officeDocument/2006/relationships/hyperlink" Target="2019_12\23.12.2019\66160" TargetMode="External"/><Relationship Id="rId1025" Type="http://schemas.openxmlformats.org/officeDocument/2006/relationships/hyperlink" Target="2020_01\29.01.2020\83400" TargetMode="External"/><Relationship Id="rId1232" Type="http://schemas.openxmlformats.org/officeDocument/2006/relationships/hyperlink" Target="2020_02/18.02.2020/11365" TargetMode="External"/><Relationship Id="rId3197" Type="http://schemas.openxmlformats.org/officeDocument/2006/relationships/hyperlink" Target="2020_09/07.09.2020/110586" TargetMode="External"/><Relationship Id="rId3057" Type="http://schemas.openxmlformats.org/officeDocument/2006/relationships/hyperlink" Target="2020_08/20.08.2020/100457" TargetMode="External"/><Relationship Id="rId185" Type="http://schemas.openxmlformats.org/officeDocument/2006/relationships/hyperlink" Target="https://smp.sfurf.office/sd/operator/index.jsp;jsessionid=4B56FDB405CD332F2E4AE6AEC0BFEE05" TargetMode="External"/><Relationship Id="rId1909" Type="http://schemas.openxmlformats.org/officeDocument/2006/relationships/hyperlink" Target="2020_05/19.05.2020/33856" TargetMode="External"/><Relationship Id="rId3264" Type="http://schemas.openxmlformats.org/officeDocument/2006/relationships/hyperlink" Target="2020_09/14.09.2020/114581" TargetMode="External"/><Relationship Id="rId3471" Type="http://schemas.openxmlformats.org/officeDocument/2006/relationships/hyperlink" Target="2020_09\28.09.2020\122537" TargetMode="External"/><Relationship Id="rId392" Type="http://schemas.openxmlformats.org/officeDocument/2006/relationships/hyperlink" Target="2019_11\28.11.2019\60331" TargetMode="External"/><Relationship Id="rId2073" Type="http://schemas.openxmlformats.org/officeDocument/2006/relationships/hyperlink" Target="2020_06\01.06.2020\57148" TargetMode="External"/><Relationship Id="rId2280" Type="http://schemas.openxmlformats.org/officeDocument/2006/relationships/hyperlink" Target="2020_06/16.06.2020/50760" TargetMode="External"/><Relationship Id="rId3124" Type="http://schemas.openxmlformats.org/officeDocument/2006/relationships/hyperlink" Target="2020_08\27.08.2020\112862" TargetMode="External"/><Relationship Id="rId3331" Type="http://schemas.openxmlformats.org/officeDocument/2006/relationships/hyperlink" Target="2020_09\18.09.2020\117798" TargetMode="External"/><Relationship Id="rId252" Type="http://schemas.openxmlformats.org/officeDocument/2006/relationships/hyperlink" Target="2019_11\18.11.2019\44895" TargetMode="External"/><Relationship Id="rId2140" Type="http://schemas.openxmlformats.org/officeDocument/2006/relationships/hyperlink" Target="2020_06/04.06.2020/42241" TargetMode="External"/><Relationship Id="rId112" Type="http://schemas.openxmlformats.org/officeDocument/2006/relationships/hyperlink" Target="https://smp.sfurf.office/sd/operator/index.jsp;jsessionid=4B56FDB405CD332F2E4AE6AEC0BFEE05" TargetMode="External"/><Relationship Id="rId1699" Type="http://schemas.openxmlformats.org/officeDocument/2006/relationships/hyperlink" Target="2020_03\27.03.2020\25467" TargetMode="External"/><Relationship Id="rId2000" Type="http://schemas.openxmlformats.org/officeDocument/2006/relationships/hyperlink" Target="2020_05/25.05.2020/47297" TargetMode="External"/><Relationship Id="rId2957" Type="http://schemas.openxmlformats.org/officeDocument/2006/relationships/hyperlink" Target="2020_08/11.08.2020/03428" TargetMode="External"/><Relationship Id="rId929" Type="http://schemas.openxmlformats.org/officeDocument/2006/relationships/hyperlink" Target="2020_01/21.01.2020/79110" TargetMode="External"/><Relationship Id="rId1559" Type="http://schemas.openxmlformats.org/officeDocument/2006/relationships/hyperlink" Target="2020_03\17.03.2020\27207" TargetMode="External"/><Relationship Id="rId1766" Type="http://schemas.openxmlformats.org/officeDocument/2006/relationships/hyperlink" Target="2020_04/07.04.2020/27668" TargetMode="External"/><Relationship Id="rId1973" Type="http://schemas.openxmlformats.org/officeDocument/2006/relationships/hyperlink" Target="2020_05/22.05.2020/46992" TargetMode="External"/><Relationship Id="rId2817" Type="http://schemas.openxmlformats.org/officeDocument/2006/relationships/hyperlink" Target="2020_07/29.07.2020/87113" TargetMode="External"/><Relationship Id="rId58" Type="http://schemas.openxmlformats.org/officeDocument/2006/relationships/hyperlink" Target="https://smp.sfurf.office/sd/operator/" TargetMode="External"/><Relationship Id="rId1419" Type="http://schemas.openxmlformats.org/officeDocument/2006/relationships/hyperlink" Target="2020_03/04.03.2020/11136" TargetMode="External"/><Relationship Id="rId1626" Type="http://schemas.openxmlformats.org/officeDocument/2006/relationships/hyperlink" Target="2020_03\23.03.2020\30951" TargetMode="External"/><Relationship Id="rId1833" Type="http://schemas.openxmlformats.org/officeDocument/2006/relationships/hyperlink" Target="2020_05/14.05.2020/30991" TargetMode="External"/><Relationship Id="rId1900" Type="http://schemas.openxmlformats.org/officeDocument/2006/relationships/hyperlink" Target="2020_05/18.05.2020/33039" TargetMode="External"/><Relationship Id="rId3798" Type="http://schemas.openxmlformats.org/officeDocument/2006/relationships/hyperlink" Target="2020_11/09.11.2020/132887" TargetMode="External"/><Relationship Id="rId3658" Type="http://schemas.openxmlformats.org/officeDocument/2006/relationships/hyperlink" Target="2020_10/14.10.2020/127107" TargetMode="External"/><Relationship Id="rId3865" Type="http://schemas.openxmlformats.org/officeDocument/2006/relationships/hyperlink" Target="2020_11/19.11.2020/150860" TargetMode="External"/><Relationship Id="rId579" Type="http://schemas.openxmlformats.org/officeDocument/2006/relationships/hyperlink" Target="2019_12\19.12.2019\73186" TargetMode="External"/><Relationship Id="rId786" Type="http://schemas.openxmlformats.org/officeDocument/2006/relationships/hyperlink" Target="2020_01/10.01.2020/73385" TargetMode="External"/><Relationship Id="rId993" Type="http://schemas.openxmlformats.org/officeDocument/2006/relationships/hyperlink" Target="2020_01/27.01.2020/82196" TargetMode="External"/><Relationship Id="rId2467" Type="http://schemas.openxmlformats.org/officeDocument/2006/relationships/hyperlink" Target="2020_06/16.06.2020/51653" TargetMode="External"/><Relationship Id="rId2674" Type="http://schemas.openxmlformats.org/officeDocument/2006/relationships/hyperlink" Target="2020_07/02.07.2020/80765" TargetMode="External"/><Relationship Id="rId3518" Type="http://schemas.openxmlformats.org/officeDocument/2006/relationships/hyperlink" Target="2020_10/02.10.2020/133048" TargetMode="External"/><Relationship Id="rId439" Type="http://schemas.openxmlformats.org/officeDocument/2006/relationships/hyperlink" Target="https://smp.sfurf.office/sd/operator/" TargetMode="External"/><Relationship Id="rId646" Type="http://schemas.openxmlformats.org/officeDocument/2006/relationships/hyperlink" Target="2019_12/25.12.2019/68567" TargetMode="External"/><Relationship Id="rId1069" Type="http://schemas.openxmlformats.org/officeDocument/2006/relationships/hyperlink" Target="2020_02\03.02.2020\86154" TargetMode="External"/><Relationship Id="rId1276" Type="http://schemas.openxmlformats.org/officeDocument/2006/relationships/hyperlink" Target="2020_02/20.02.2020/12694" TargetMode="External"/><Relationship Id="rId1483" Type="http://schemas.openxmlformats.org/officeDocument/2006/relationships/hyperlink" Target="2020_03\12.03.2020\15743" TargetMode="External"/><Relationship Id="rId2327" Type="http://schemas.openxmlformats.org/officeDocument/2006/relationships/hyperlink" Target="2020_06/16.06.2020/56709" TargetMode="External"/><Relationship Id="rId2881" Type="http://schemas.openxmlformats.org/officeDocument/2006/relationships/hyperlink" Target="2020_08/03.08.2020/98089" TargetMode="External"/><Relationship Id="rId3725" Type="http://schemas.openxmlformats.org/officeDocument/2006/relationships/hyperlink" Target="2020_10/16.10.2020/140506" TargetMode="External"/><Relationship Id="rId3932" Type="http://schemas.openxmlformats.org/officeDocument/2006/relationships/hyperlink" Target="2020_12/11.12.2020/163760" TargetMode="External"/><Relationship Id="rId506" Type="http://schemas.openxmlformats.org/officeDocument/2006/relationships/hyperlink" Target="2019_12\13.12.2019\52402" TargetMode="External"/><Relationship Id="rId853" Type="http://schemas.openxmlformats.org/officeDocument/2006/relationships/hyperlink" Target="2020_01/16.01.2020/77345" TargetMode="External"/><Relationship Id="rId1136" Type="http://schemas.openxmlformats.org/officeDocument/2006/relationships/hyperlink" Target="2020_02\06.02.2020\88579" TargetMode="External"/><Relationship Id="rId1690" Type="http://schemas.openxmlformats.org/officeDocument/2006/relationships/hyperlink" Target="2020_03\26.03.2020\34161" TargetMode="External"/><Relationship Id="rId2534" Type="http://schemas.openxmlformats.org/officeDocument/2006/relationships/hyperlink" Target="2020_06/22.06.2020/75506" TargetMode="External"/><Relationship Id="rId2741" Type="http://schemas.openxmlformats.org/officeDocument/2006/relationships/hyperlink" Target="2020_07/09.07.2020/76627" TargetMode="External"/><Relationship Id="rId713" Type="http://schemas.openxmlformats.org/officeDocument/2006/relationships/hyperlink" Target="2019_12\30.12.2019\71275" TargetMode="External"/><Relationship Id="rId920" Type="http://schemas.openxmlformats.org/officeDocument/2006/relationships/hyperlink" Target="2020_01/21.01.2020/87172" TargetMode="External"/><Relationship Id="rId1343" Type="http://schemas.openxmlformats.org/officeDocument/2006/relationships/hyperlink" Target="2020_02\27.02.2020\16240" TargetMode="External"/><Relationship Id="rId1550" Type="http://schemas.openxmlformats.org/officeDocument/2006/relationships/hyperlink" Target="2020_03/17.03.2020/19160" TargetMode="External"/><Relationship Id="rId2601" Type="http://schemas.openxmlformats.org/officeDocument/2006/relationships/hyperlink" Target="2020_06/25.06.2020/70659" TargetMode="External"/><Relationship Id="rId1203" Type="http://schemas.openxmlformats.org/officeDocument/2006/relationships/hyperlink" Target="2020_02/11.02.2020/91056" TargetMode="External"/><Relationship Id="rId1410" Type="http://schemas.openxmlformats.org/officeDocument/2006/relationships/hyperlink" Target="2020_03/03.03.2020/10420" TargetMode="External"/><Relationship Id="rId3168" Type="http://schemas.openxmlformats.org/officeDocument/2006/relationships/hyperlink" Target="2020_08/31.08.2020/106438" TargetMode="External"/><Relationship Id="rId3375" Type="http://schemas.openxmlformats.org/officeDocument/2006/relationships/hyperlink" Target="2020_09/22.09.2020/119363" TargetMode="External"/><Relationship Id="rId3582" Type="http://schemas.openxmlformats.org/officeDocument/2006/relationships/hyperlink" Target="2020_10\07.10.2020\135067" TargetMode="External"/><Relationship Id="rId296" Type="http://schemas.openxmlformats.org/officeDocument/2006/relationships/hyperlink" Target="2019_11\14.11.2019\43499" TargetMode="External"/><Relationship Id="rId2184" Type="http://schemas.openxmlformats.org/officeDocument/2006/relationships/hyperlink" Target="2020_06/05.06.2020/43508" TargetMode="External"/><Relationship Id="rId2391" Type="http://schemas.openxmlformats.org/officeDocument/2006/relationships/hyperlink" Target="2020_06\16.06.2020\56763" TargetMode="External"/><Relationship Id="rId3028" Type="http://schemas.openxmlformats.org/officeDocument/2006/relationships/hyperlink" Target="2020_08/17.08.2020/98698" TargetMode="External"/><Relationship Id="rId3235" Type="http://schemas.openxmlformats.org/officeDocument/2006/relationships/hyperlink" Target="2020_09/10.09.2020/120412" TargetMode="External"/><Relationship Id="rId3442" Type="http://schemas.openxmlformats.org/officeDocument/2006/relationships/hyperlink" Target="2020_09/25.09.2020/121659" TargetMode="External"/><Relationship Id="rId156" Type="http://schemas.openxmlformats.org/officeDocument/2006/relationships/hyperlink" Target="2019_10\24.10.2019\40770" TargetMode="External"/><Relationship Id="rId363" Type="http://schemas.openxmlformats.org/officeDocument/2006/relationships/hyperlink" Target="https://smp.sfurf.office/sd/operator/" TargetMode="External"/><Relationship Id="rId570" Type="http://schemas.openxmlformats.org/officeDocument/2006/relationships/hyperlink" Target="2019_12\19.12.2019\65185" TargetMode="External"/><Relationship Id="rId2044" Type="http://schemas.openxmlformats.org/officeDocument/2006/relationships/hyperlink" Target="2020_05/27.05.2020/52628" TargetMode="External"/><Relationship Id="rId2251" Type="http://schemas.openxmlformats.org/officeDocument/2006/relationships/hyperlink" Target="2020_06/01.06.2020/65343" TargetMode="External"/><Relationship Id="rId3302" Type="http://schemas.openxmlformats.org/officeDocument/2006/relationships/hyperlink" Target="2020_09\16.09.2020\116030" TargetMode="External"/><Relationship Id="rId223" Type="http://schemas.openxmlformats.org/officeDocument/2006/relationships/hyperlink" Target="https://smp.sfurf.office/sd/operator/index.jsp;jsessionid=4B56FDB405CD332F2E4AE6AEC0BFEE05" TargetMode="External"/><Relationship Id="rId430" Type="http://schemas.openxmlformats.org/officeDocument/2006/relationships/hyperlink" Target="https://smp.sfurf.office/sd/operator/" TargetMode="External"/><Relationship Id="rId1060" Type="http://schemas.openxmlformats.org/officeDocument/2006/relationships/hyperlink" Target="2020_01\31.01.2020\68505" TargetMode="External"/><Relationship Id="rId2111" Type="http://schemas.openxmlformats.org/officeDocument/2006/relationships/hyperlink" Target="2020_06/01.06.2020/51946" TargetMode="External"/><Relationship Id="rId1877" Type="http://schemas.openxmlformats.org/officeDocument/2006/relationships/hyperlink" Target="2020_05\15.05.2020\41392" TargetMode="External"/><Relationship Id="rId2928" Type="http://schemas.openxmlformats.org/officeDocument/2006/relationships/hyperlink" Target="2020_08/10.08.2020/94666" TargetMode="External"/><Relationship Id="rId1737" Type="http://schemas.openxmlformats.org/officeDocument/2006/relationships/hyperlink" Target="2020_04\07.04.2020\27712" TargetMode="External"/><Relationship Id="rId1944" Type="http://schemas.openxmlformats.org/officeDocument/2006/relationships/hyperlink" Target="2020_05/21.05.2020/35390" TargetMode="External"/><Relationship Id="rId3092" Type="http://schemas.openxmlformats.org/officeDocument/2006/relationships/hyperlink" Target="2020_08/25.08.2020/111915" TargetMode="External"/><Relationship Id="rId29" Type="http://schemas.openxmlformats.org/officeDocument/2006/relationships/hyperlink" Target="https://smp.sfurf.office/sd/operator/" TargetMode="External"/><Relationship Id="rId1804" Type="http://schemas.openxmlformats.org/officeDocument/2006/relationships/hyperlink" Target="2020_05/13.05.2020/39174" TargetMode="External"/><Relationship Id="rId3769" Type="http://schemas.openxmlformats.org/officeDocument/2006/relationships/hyperlink" Target="2020_11/06.11.2020/144115" TargetMode="External"/><Relationship Id="rId3976" Type="http://schemas.openxmlformats.org/officeDocument/2006/relationships/hyperlink" Target="2020_12/17.12.2020/167277" TargetMode="External"/><Relationship Id="rId897" Type="http://schemas.openxmlformats.org/officeDocument/2006/relationships/hyperlink" Target="2020_01/20.01.2020/77881" TargetMode="External"/><Relationship Id="rId2578" Type="http://schemas.openxmlformats.org/officeDocument/2006/relationships/hyperlink" Target="2020_06/23.06.2020/64264" TargetMode="External"/><Relationship Id="rId2785" Type="http://schemas.openxmlformats.org/officeDocument/2006/relationships/hyperlink" Target="2020_07\24.07.2020\85153" TargetMode="External"/><Relationship Id="rId2992" Type="http://schemas.openxmlformats.org/officeDocument/2006/relationships/hyperlink" Target="2020_08/14.08.2020/97884" TargetMode="External"/><Relationship Id="rId3629" Type="http://schemas.openxmlformats.org/officeDocument/2006/relationships/hyperlink" Target="2020_10\12.10.2020\122630" TargetMode="External"/><Relationship Id="rId3836" Type="http://schemas.openxmlformats.org/officeDocument/2006/relationships/hyperlink" Target="2020_11/12.11.2020/146892" TargetMode="External"/><Relationship Id="rId757" Type="http://schemas.openxmlformats.org/officeDocument/2006/relationships/hyperlink" Target="2019_12/31.12.2019/80324" TargetMode="External"/><Relationship Id="rId964" Type="http://schemas.openxmlformats.org/officeDocument/2006/relationships/hyperlink" Target="2020_01/24.01.2020/80960" TargetMode="External"/><Relationship Id="rId1387" Type="http://schemas.openxmlformats.org/officeDocument/2006/relationships/hyperlink" Target="2020_03\02.03.2020\19059" TargetMode="External"/><Relationship Id="rId1594" Type="http://schemas.openxmlformats.org/officeDocument/2006/relationships/hyperlink" Target="2020_03\19.03.2020\29019" TargetMode="External"/><Relationship Id="rId2438" Type="http://schemas.openxmlformats.org/officeDocument/2006/relationships/hyperlink" Target="2020_06/16.06.2020/65624" TargetMode="External"/><Relationship Id="rId2645" Type="http://schemas.openxmlformats.org/officeDocument/2006/relationships/hyperlink" Target="2020_06\26.06.2020\66832" TargetMode="External"/><Relationship Id="rId2852" Type="http://schemas.openxmlformats.org/officeDocument/2006/relationships/hyperlink" Target="2020_08/03.08.2020/91233" TargetMode="External"/><Relationship Id="rId3903" Type="http://schemas.openxmlformats.org/officeDocument/2006/relationships/hyperlink" Target="2020_11/16.11.2020/156537" TargetMode="External"/><Relationship Id="rId93" Type="http://schemas.openxmlformats.org/officeDocument/2006/relationships/hyperlink" Target="../Users/shilyaevan/AppData/Roaming/Microsoft/Excel/2019_10/17.10.2019/37194" TargetMode="External"/><Relationship Id="rId617" Type="http://schemas.openxmlformats.org/officeDocument/2006/relationships/hyperlink" Target="2019_12\23.12.2019\66500" TargetMode="External"/><Relationship Id="rId824" Type="http://schemas.openxmlformats.org/officeDocument/2006/relationships/hyperlink" Target="2020_01\14.01.2020\82980" TargetMode="External"/><Relationship Id="rId1247" Type="http://schemas.openxmlformats.org/officeDocument/2006/relationships/hyperlink" Target="2020_02/19.02.2020/-3742" TargetMode="External"/><Relationship Id="rId1454" Type="http://schemas.openxmlformats.org/officeDocument/2006/relationships/hyperlink" Target="2020_03/06.03.2020/13408" TargetMode="External"/><Relationship Id="rId1661" Type="http://schemas.openxmlformats.org/officeDocument/2006/relationships/hyperlink" Target="2020_03\25.03.2020\32591" TargetMode="External"/><Relationship Id="rId2505" Type="http://schemas.openxmlformats.org/officeDocument/2006/relationships/hyperlink" Target="2020_06/17.06.2020/66870" TargetMode="External"/><Relationship Id="rId2712" Type="http://schemas.openxmlformats.org/officeDocument/2006/relationships/hyperlink" Target="2020_07\02.07.2020\81287" TargetMode="External"/><Relationship Id="rId1107" Type="http://schemas.openxmlformats.org/officeDocument/2006/relationships/hyperlink" Target="2020_02\04.02.2020\79890" TargetMode="External"/><Relationship Id="rId1314" Type="http://schemas.openxmlformats.org/officeDocument/2006/relationships/hyperlink" Target="2020_02/26.02.2020/-8136" TargetMode="External"/><Relationship Id="rId1521" Type="http://schemas.openxmlformats.org/officeDocument/2006/relationships/hyperlink" Target="2020_03\13.03.2020\25984" TargetMode="External"/><Relationship Id="rId3279" Type="http://schemas.openxmlformats.org/officeDocument/2006/relationships/hyperlink" Target="2020_09/15.09.2020/114518" TargetMode="External"/><Relationship Id="rId3486" Type="http://schemas.openxmlformats.org/officeDocument/2006/relationships/hyperlink" Target="2020_09/28.09.2020/130151" TargetMode="External"/><Relationship Id="rId3693" Type="http://schemas.openxmlformats.org/officeDocument/2006/relationships/hyperlink" Target="2020_10/13.10.2020/138381" TargetMode="External"/><Relationship Id="rId20" Type="http://schemas.openxmlformats.org/officeDocument/2006/relationships/hyperlink" Target="https://smp.sfurf.office/sd/operator/index.jsp;jsessionid=4B56FDB405CD332F2E4AE6AEC0BFEE05" TargetMode="External"/><Relationship Id="rId2088" Type="http://schemas.openxmlformats.org/officeDocument/2006/relationships/hyperlink" Target="2020_06/01.06.2020/63258" TargetMode="External"/><Relationship Id="rId2295" Type="http://schemas.openxmlformats.org/officeDocument/2006/relationships/hyperlink" Target="2020_06/16.06.2020/61575" TargetMode="External"/><Relationship Id="rId3139" Type="http://schemas.openxmlformats.org/officeDocument/2006/relationships/hyperlink" Target="2020_08\28.08.2020\114073" TargetMode="External"/><Relationship Id="rId3346" Type="http://schemas.openxmlformats.org/officeDocument/2006/relationships/hyperlink" Target="2020_09/17.09.2020/116614" TargetMode="External"/><Relationship Id="rId267" Type="http://schemas.openxmlformats.org/officeDocument/2006/relationships/hyperlink" Target="2019_11\21.11.2019\47521" TargetMode="External"/><Relationship Id="rId474" Type="http://schemas.openxmlformats.org/officeDocument/2006/relationships/hyperlink" Target="2019_12\10.12.2019\57782" TargetMode="External"/><Relationship Id="rId2155" Type="http://schemas.openxmlformats.org/officeDocument/2006/relationships/hyperlink" Target="2020_06\01.06.2020\64546" TargetMode="External"/><Relationship Id="rId3553" Type="http://schemas.openxmlformats.org/officeDocument/2006/relationships/hyperlink" Target="2020_10/05.10.2020/133235" TargetMode="External"/><Relationship Id="rId3760" Type="http://schemas.openxmlformats.org/officeDocument/2006/relationships/hyperlink" Target="2020_11/05.11.2020/142820" TargetMode="External"/><Relationship Id="rId127" Type="http://schemas.openxmlformats.org/officeDocument/2006/relationships/hyperlink" Target="2019_11\05.11.2019\38759" TargetMode="External"/><Relationship Id="rId681" Type="http://schemas.openxmlformats.org/officeDocument/2006/relationships/hyperlink" Target="2019_12/26.12.2019/78242" TargetMode="External"/><Relationship Id="rId2362" Type="http://schemas.openxmlformats.org/officeDocument/2006/relationships/hyperlink" Target="2020_06\01.06.2020\56206" TargetMode="External"/><Relationship Id="rId3206" Type="http://schemas.openxmlformats.org/officeDocument/2006/relationships/hyperlink" Target="2020_09/08.09.2020/111528" TargetMode="External"/><Relationship Id="rId3413" Type="http://schemas.openxmlformats.org/officeDocument/2006/relationships/hyperlink" Target="2020_09/23.09.2020/120239" TargetMode="External"/><Relationship Id="rId3620" Type="http://schemas.openxmlformats.org/officeDocument/2006/relationships/hyperlink" Target="2020_10/09.10.2020/137100" TargetMode="External"/><Relationship Id="rId334" Type="http://schemas.openxmlformats.org/officeDocument/2006/relationships/hyperlink" Target="2019_11\22.11.2019\56281" TargetMode="External"/><Relationship Id="rId541" Type="http://schemas.openxmlformats.org/officeDocument/2006/relationships/hyperlink" Target="2019_12\17.12.2019\63880" TargetMode="External"/><Relationship Id="rId1171" Type="http://schemas.openxmlformats.org/officeDocument/2006/relationships/hyperlink" Target="2020_02\07.02.2020\-5163" TargetMode="External"/><Relationship Id="rId2015" Type="http://schemas.openxmlformats.org/officeDocument/2006/relationships/hyperlink" Target="2020_05/26.05.2020/39515" TargetMode="External"/><Relationship Id="rId2222" Type="http://schemas.openxmlformats.org/officeDocument/2006/relationships/hyperlink" Target="2020_06\01.06.2020\64985" TargetMode="External"/><Relationship Id="rId401" Type="http://schemas.openxmlformats.org/officeDocument/2006/relationships/hyperlink" Target="https://smp.sfurf.office/sd/operator/index.jsp;jsessionid=4B56FDB405CD332F2E4AE6AEC0BFEE05" TargetMode="External"/><Relationship Id="rId1031" Type="http://schemas.openxmlformats.org/officeDocument/2006/relationships/hyperlink" Target="2020_01\29.01.2020\83973" TargetMode="External"/><Relationship Id="rId1988" Type="http://schemas.openxmlformats.org/officeDocument/2006/relationships/hyperlink" Target="2020_05/27.05.2020/49388" TargetMode="External"/><Relationship Id="rId1848" Type="http://schemas.openxmlformats.org/officeDocument/2006/relationships/hyperlink" Target="2020_05/19.05.2020/43231" TargetMode="External"/><Relationship Id="rId3063" Type="http://schemas.openxmlformats.org/officeDocument/2006/relationships/hyperlink" Target="2020_08\19.08.2020\100930" TargetMode="External"/><Relationship Id="rId3270" Type="http://schemas.openxmlformats.org/officeDocument/2006/relationships/hyperlink" Target="2020_09/15.09.2020/115824" TargetMode="External"/><Relationship Id="rId191" Type="http://schemas.openxmlformats.org/officeDocument/2006/relationships/hyperlink" Target="2019_11\27.11.2019\42961" TargetMode="External"/><Relationship Id="rId1708" Type="http://schemas.openxmlformats.org/officeDocument/2006/relationships/hyperlink" Target="2020_04\06.04.2020\26265" TargetMode="External"/><Relationship Id="rId1915" Type="http://schemas.openxmlformats.org/officeDocument/2006/relationships/hyperlink" Target="2020_05/22.05.2020/36238" TargetMode="External"/><Relationship Id="rId3130" Type="http://schemas.openxmlformats.org/officeDocument/2006/relationships/hyperlink" Target="2020_08\27.08.2020\104765" TargetMode="External"/><Relationship Id="rId2689" Type="http://schemas.openxmlformats.org/officeDocument/2006/relationships/hyperlink" Target="2020_07/02.07.2020/80850" TargetMode="External"/><Relationship Id="rId2896" Type="http://schemas.openxmlformats.org/officeDocument/2006/relationships/hyperlink" Target="2020_08/03.08.2020/89889" TargetMode="External"/><Relationship Id="rId3947" Type="http://schemas.openxmlformats.org/officeDocument/2006/relationships/hyperlink" Target="2020_12/14.12.2020/165062" TargetMode="External"/><Relationship Id="rId868" Type="http://schemas.openxmlformats.org/officeDocument/2006/relationships/hyperlink" Target="2020_01\16.01.2020\84914" TargetMode="External"/><Relationship Id="rId1498" Type="http://schemas.openxmlformats.org/officeDocument/2006/relationships/hyperlink" Target="2020_03\11.03.2020\24069" TargetMode="External"/><Relationship Id="rId2549" Type="http://schemas.openxmlformats.org/officeDocument/2006/relationships/hyperlink" Target="2020_06/22.06.2020/68722" TargetMode="External"/><Relationship Id="rId2756" Type="http://schemas.openxmlformats.org/officeDocument/2006/relationships/hyperlink" Target="2020_07/10.07.2020/85062" TargetMode="External"/><Relationship Id="rId2963" Type="http://schemas.openxmlformats.org/officeDocument/2006/relationships/hyperlink" Target="2020_08/11.08.2020/03528" TargetMode="External"/><Relationship Id="rId3807" Type="http://schemas.openxmlformats.org/officeDocument/2006/relationships/hyperlink" Target="2020_11/10.11.2020/152909" TargetMode="External"/><Relationship Id="rId728" Type="http://schemas.openxmlformats.org/officeDocument/2006/relationships/hyperlink" Target="2019_12/31.12.2019/71746" TargetMode="External"/><Relationship Id="rId935" Type="http://schemas.openxmlformats.org/officeDocument/2006/relationships/hyperlink" Target="2020_01\22.01.2020\88639" TargetMode="External"/><Relationship Id="rId1358" Type="http://schemas.openxmlformats.org/officeDocument/2006/relationships/hyperlink" Target="2020_02/27.02.2020/16934" TargetMode="External"/><Relationship Id="rId1565" Type="http://schemas.openxmlformats.org/officeDocument/2006/relationships/hyperlink" Target="2020_03\18.03.2020\28165" TargetMode="External"/><Relationship Id="rId1772" Type="http://schemas.openxmlformats.org/officeDocument/2006/relationships/hyperlink" Target="2020_04/06.04.2020/35732" TargetMode="External"/><Relationship Id="rId2409" Type="http://schemas.openxmlformats.org/officeDocument/2006/relationships/hyperlink" Target="2020_06/16.06.2020/51376" TargetMode="External"/><Relationship Id="rId2616" Type="http://schemas.openxmlformats.org/officeDocument/2006/relationships/hyperlink" Target="2020_06/25.06.2020/76812" TargetMode="External"/><Relationship Id="rId64" Type="http://schemas.openxmlformats.org/officeDocument/2006/relationships/hyperlink" Target="https://smp.sfurf.office/sd/operator/" TargetMode="External"/><Relationship Id="rId1218" Type="http://schemas.openxmlformats.org/officeDocument/2006/relationships/hyperlink" Target="2020_02\12.02.2020\91133" TargetMode="External"/><Relationship Id="rId1425" Type="http://schemas.openxmlformats.org/officeDocument/2006/relationships/hyperlink" Target="2020_03\04.03.2020\12026" TargetMode="External"/><Relationship Id="rId2823" Type="http://schemas.openxmlformats.org/officeDocument/2006/relationships/hyperlink" Target="2020_07/30.07.2020/88876" TargetMode="External"/><Relationship Id="rId1632" Type="http://schemas.openxmlformats.org/officeDocument/2006/relationships/hyperlink" Target="2020_03\23.03.2020\22697" TargetMode="External"/><Relationship Id="rId2199" Type="http://schemas.openxmlformats.org/officeDocument/2006/relationships/hyperlink" Target="2020_06/11.06.2020/47630" TargetMode="External"/><Relationship Id="rId3597" Type="http://schemas.openxmlformats.org/officeDocument/2006/relationships/hyperlink" Target="2020_10/08.10.2020/135028" TargetMode="External"/><Relationship Id="rId3457" Type="http://schemas.openxmlformats.org/officeDocument/2006/relationships/hyperlink" Target="2020_09\25.09.2020\121708" TargetMode="External"/><Relationship Id="rId3664" Type="http://schemas.openxmlformats.org/officeDocument/2006/relationships/hyperlink" Target="2020_10\13.10.2020\137805" TargetMode="External"/><Relationship Id="rId3871" Type="http://schemas.openxmlformats.org/officeDocument/2006/relationships/hyperlink" Target="2020_11\18.11.2020\146550" TargetMode="External"/><Relationship Id="rId378" Type="http://schemas.openxmlformats.org/officeDocument/2006/relationships/hyperlink" Target="2019_11\26.11.2019\57809" TargetMode="External"/><Relationship Id="rId585" Type="http://schemas.openxmlformats.org/officeDocument/2006/relationships/hyperlink" Target="2019_12\19.12.2019\55198" TargetMode="External"/><Relationship Id="rId792" Type="http://schemas.openxmlformats.org/officeDocument/2006/relationships/hyperlink" Target="2020_01\10.01.2020\81926" TargetMode="External"/><Relationship Id="rId2059" Type="http://schemas.openxmlformats.org/officeDocument/2006/relationships/hyperlink" Target="2020_06\01.06.2020\59561" TargetMode="External"/><Relationship Id="rId2266" Type="http://schemas.openxmlformats.org/officeDocument/2006/relationships/hyperlink" Target="2020_06/16.06.2020/59599" TargetMode="External"/><Relationship Id="rId2473" Type="http://schemas.openxmlformats.org/officeDocument/2006/relationships/hyperlink" Target="2020_06\18.06.2020\45813" TargetMode="External"/><Relationship Id="rId2680" Type="http://schemas.openxmlformats.org/officeDocument/2006/relationships/hyperlink" Target="2020_07/03.07.2020/74117" TargetMode="External"/><Relationship Id="rId3317" Type="http://schemas.openxmlformats.org/officeDocument/2006/relationships/hyperlink" Target="2020_09/17.09.2020/117183" TargetMode="External"/><Relationship Id="rId3524" Type="http://schemas.openxmlformats.org/officeDocument/2006/relationships/hyperlink" Target="2020_10\01.10.2020\132420" TargetMode="External"/><Relationship Id="rId3731" Type="http://schemas.openxmlformats.org/officeDocument/2006/relationships/hyperlink" Target="2020_10/30.10.2020/147433" TargetMode="External"/><Relationship Id="rId238" Type="http://schemas.openxmlformats.org/officeDocument/2006/relationships/hyperlink" Target="https://smp.sfurf.office/sd/operator/" TargetMode="External"/><Relationship Id="rId445" Type="http://schemas.openxmlformats.org/officeDocument/2006/relationships/hyperlink" Target="https://smp.sfurf.office/sd/operator/" TargetMode="External"/><Relationship Id="rId652" Type="http://schemas.openxmlformats.org/officeDocument/2006/relationships/hyperlink" Target="2019_12/25.12.2019/68042" TargetMode="External"/><Relationship Id="rId1075" Type="http://schemas.openxmlformats.org/officeDocument/2006/relationships/hyperlink" Target="2020_02/03.02.2020/86774" TargetMode="External"/><Relationship Id="rId1282" Type="http://schemas.openxmlformats.org/officeDocument/2006/relationships/hyperlink" Target="2020_02\21.02.2020\-5147" TargetMode="External"/><Relationship Id="rId2126" Type="http://schemas.openxmlformats.org/officeDocument/2006/relationships/hyperlink" Target="2020_06/02.06.2020/40373" TargetMode="External"/><Relationship Id="rId2333" Type="http://schemas.openxmlformats.org/officeDocument/2006/relationships/hyperlink" Target="2020_06/16.06.2020/60719" TargetMode="External"/><Relationship Id="rId2540" Type="http://schemas.openxmlformats.org/officeDocument/2006/relationships/hyperlink" Target="2020_06/16.06.2020/62333" TargetMode="External"/><Relationship Id="rId305" Type="http://schemas.openxmlformats.org/officeDocument/2006/relationships/hyperlink" Target="https://smp.sfurf.office/sd/operator/index.jsp;jsessionid=4B56FDB405CD332F2E4AE6AEC0BFEE05" TargetMode="External"/><Relationship Id="rId512" Type="http://schemas.openxmlformats.org/officeDocument/2006/relationships/hyperlink" Target="2019_12\16.12.2019\70373" TargetMode="External"/><Relationship Id="rId1142" Type="http://schemas.openxmlformats.org/officeDocument/2006/relationships/hyperlink" Target="2020_02\06.02.2020\88771" TargetMode="External"/><Relationship Id="rId2400" Type="http://schemas.openxmlformats.org/officeDocument/2006/relationships/hyperlink" Target="2020_06/08.06.2020/68965" TargetMode="External"/><Relationship Id="rId1002" Type="http://schemas.openxmlformats.org/officeDocument/2006/relationships/hyperlink" Target="2020_01\28.01.2020\82913" TargetMode="External"/><Relationship Id="rId1959" Type="http://schemas.openxmlformats.org/officeDocument/2006/relationships/hyperlink" Target="2020_05/22.05.2020/37410" TargetMode="External"/><Relationship Id="rId3174" Type="http://schemas.openxmlformats.org/officeDocument/2006/relationships/hyperlink" Target="2020_09/03.09.2020/116395" TargetMode="External"/><Relationship Id="rId1819" Type="http://schemas.openxmlformats.org/officeDocument/2006/relationships/hyperlink" Target="2020_05\13.05.2020\29951" TargetMode="External"/><Relationship Id="rId3381" Type="http://schemas.openxmlformats.org/officeDocument/2006/relationships/hyperlink" Target="2020_09\18.09.2020\117899" TargetMode="External"/><Relationship Id="rId2190" Type="http://schemas.openxmlformats.org/officeDocument/2006/relationships/hyperlink" Target="2020_06/16.06.2020/48966" TargetMode="External"/><Relationship Id="rId3034" Type="http://schemas.openxmlformats.org/officeDocument/2006/relationships/hyperlink" Target="2020_08\18.08.2020\07976" TargetMode="External"/><Relationship Id="rId3241" Type="http://schemas.openxmlformats.org/officeDocument/2006/relationships/hyperlink" Target="2020_09/11.09.2020/113124" TargetMode="External"/><Relationship Id="rId162" Type="http://schemas.openxmlformats.org/officeDocument/2006/relationships/hyperlink" Target="2019_10\25.10.2019\41541" TargetMode="External"/><Relationship Id="rId2050" Type="http://schemas.openxmlformats.org/officeDocument/2006/relationships/hyperlink" Target="2020_05/27.05.2020/39155" TargetMode="External"/><Relationship Id="rId3101" Type="http://schemas.openxmlformats.org/officeDocument/2006/relationships/hyperlink" Target="2020_08\25.08.2020\103235" TargetMode="External"/><Relationship Id="rId979" Type="http://schemas.openxmlformats.org/officeDocument/2006/relationships/hyperlink" Target="2020_01\27.01.2020\82977" TargetMode="External"/><Relationship Id="rId839" Type="http://schemas.openxmlformats.org/officeDocument/2006/relationships/hyperlink" Target="2020_01\15.01.2020\75071" TargetMode="External"/><Relationship Id="rId1469" Type="http://schemas.openxmlformats.org/officeDocument/2006/relationships/hyperlink" Target="2020_03\10.03.2020\14120" TargetMode="External"/><Relationship Id="rId2867" Type="http://schemas.openxmlformats.org/officeDocument/2006/relationships/hyperlink" Target="2020_08\04.08.2020\91316" TargetMode="External"/><Relationship Id="rId3918" Type="http://schemas.openxmlformats.org/officeDocument/2006/relationships/hyperlink" Target="2020_11\19.11.2020\151218" TargetMode="External"/><Relationship Id="rId1676" Type="http://schemas.openxmlformats.org/officeDocument/2006/relationships/hyperlink" Target="2020_03\26.03.2020\24350" TargetMode="External"/><Relationship Id="rId1883" Type="http://schemas.openxmlformats.org/officeDocument/2006/relationships/hyperlink" Target="2020_05/18.05.2020/32915" TargetMode="External"/><Relationship Id="rId2727" Type="http://schemas.openxmlformats.org/officeDocument/2006/relationships/hyperlink" Target="2020_07/08.07.2020/75677" TargetMode="External"/><Relationship Id="rId2934" Type="http://schemas.openxmlformats.org/officeDocument/2006/relationships/hyperlink" Target="2020_08/10.08.2020/02232" TargetMode="External"/><Relationship Id="rId906" Type="http://schemas.openxmlformats.org/officeDocument/2006/relationships/hyperlink" Target="2020_01/20.01.2020/78378" TargetMode="External"/><Relationship Id="rId1329" Type="http://schemas.openxmlformats.org/officeDocument/2006/relationships/hyperlink" Target="2020_02\26.02.2020\15507" TargetMode="External"/><Relationship Id="rId1536" Type="http://schemas.openxmlformats.org/officeDocument/2006/relationships/hyperlink" Target="2020_03\16.03.2020\17668" TargetMode="External"/><Relationship Id="rId1743" Type="http://schemas.openxmlformats.org/officeDocument/2006/relationships/hyperlink" Target="2020_04\07.04.2020\36270" TargetMode="External"/><Relationship Id="rId1950" Type="http://schemas.openxmlformats.org/officeDocument/2006/relationships/hyperlink" Target="2020_05/21.05.2020/36409" TargetMode="External"/><Relationship Id="rId35" Type="http://schemas.openxmlformats.org/officeDocument/2006/relationships/hyperlink" Target="https://smp.sfurf.office/sd/operator/" TargetMode="External"/><Relationship Id="rId1603" Type="http://schemas.openxmlformats.org/officeDocument/2006/relationships/hyperlink" Target="2020_03\20.03.2020\30217" TargetMode="External"/><Relationship Id="rId1810" Type="http://schemas.openxmlformats.org/officeDocument/2006/relationships/hyperlink" Target="2020_05/13.05.2020/29586" TargetMode="External"/><Relationship Id="rId3568" Type="http://schemas.openxmlformats.org/officeDocument/2006/relationships/hyperlink" Target="2020_10/06.10.2020/126947" TargetMode="External"/><Relationship Id="rId3775" Type="http://schemas.openxmlformats.org/officeDocument/2006/relationships/hyperlink" Target="2020_11/06.11.2020/144241" TargetMode="External"/><Relationship Id="rId3982" Type="http://schemas.openxmlformats.org/officeDocument/2006/relationships/hyperlink" Target="2020_12/18.12.2020/175423" TargetMode="External"/><Relationship Id="rId489" Type="http://schemas.openxmlformats.org/officeDocument/2006/relationships/hyperlink" Target="2019_12/12.12.2019/69444" TargetMode="External"/><Relationship Id="rId696" Type="http://schemas.openxmlformats.org/officeDocument/2006/relationships/hyperlink" Target="2019_12/27.12.2019/78319" TargetMode="External"/><Relationship Id="rId2377" Type="http://schemas.openxmlformats.org/officeDocument/2006/relationships/hyperlink" Target="2020_06/16.06.2020/56549" TargetMode="External"/><Relationship Id="rId2584" Type="http://schemas.openxmlformats.org/officeDocument/2006/relationships/hyperlink" Target="2020_06/25.06.2020/69950" TargetMode="External"/><Relationship Id="rId2791" Type="http://schemas.openxmlformats.org/officeDocument/2006/relationships/hyperlink" Target="2020_07/28.07.2020/86673" TargetMode="External"/><Relationship Id="rId3428" Type="http://schemas.openxmlformats.org/officeDocument/2006/relationships/hyperlink" Target="2020_09\25.09.2020\117227" TargetMode="External"/><Relationship Id="rId3635" Type="http://schemas.openxmlformats.org/officeDocument/2006/relationships/hyperlink" Target="2020_10/12.10.2020/137749" TargetMode="External"/><Relationship Id="rId349" Type="http://schemas.openxmlformats.org/officeDocument/2006/relationships/hyperlink" Target="https://smp.sfurf.office/sd/operator/" TargetMode="External"/><Relationship Id="rId556" Type="http://schemas.openxmlformats.org/officeDocument/2006/relationships/hyperlink" Target="2019_12\18.12.2019\63946" TargetMode="External"/><Relationship Id="rId763" Type="http://schemas.openxmlformats.org/officeDocument/2006/relationships/hyperlink" Target="2020_01\09.01.2020\80425" TargetMode="External"/><Relationship Id="rId1186" Type="http://schemas.openxmlformats.org/officeDocument/2006/relationships/hyperlink" Target="2020_02/11.02.2020/90703" TargetMode="External"/><Relationship Id="rId1393" Type="http://schemas.openxmlformats.org/officeDocument/2006/relationships/hyperlink" Target="2020_03\03.03.2020\19346" TargetMode="External"/><Relationship Id="rId2237" Type="http://schemas.openxmlformats.org/officeDocument/2006/relationships/hyperlink" Target="2020_06\02.06.2020\35483" TargetMode="External"/><Relationship Id="rId2444" Type="http://schemas.openxmlformats.org/officeDocument/2006/relationships/hyperlink" Target="2020_06/16.06.2020/72922" TargetMode="External"/><Relationship Id="rId3842" Type="http://schemas.openxmlformats.org/officeDocument/2006/relationships/hyperlink" Target="2020_11/13.11.2020/147832" TargetMode="External"/><Relationship Id="rId209" Type="http://schemas.openxmlformats.org/officeDocument/2006/relationships/hyperlink" Target="https://smp.sfurf.office/sd/operator/" TargetMode="External"/><Relationship Id="rId416" Type="http://schemas.openxmlformats.org/officeDocument/2006/relationships/hyperlink" Target="2019_12\02.12.2019\61417" TargetMode="External"/><Relationship Id="rId970" Type="http://schemas.openxmlformats.org/officeDocument/2006/relationships/hyperlink" Target="2020_01/23.01.2020/76094" TargetMode="External"/><Relationship Id="rId1046" Type="http://schemas.openxmlformats.org/officeDocument/2006/relationships/hyperlink" Target="2020_01\30.01.2020\20-54" TargetMode="External"/><Relationship Id="rId1253" Type="http://schemas.openxmlformats.org/officeDocument/2006/relationships/hyperlink" Target="2020_02/19.02.2020/-3857" TargetMode="External"/><Relationship Id="rId2651" Type="http://schemas.openxmlformats.org/officeDocument/2006/relationships/hyperlink" Target="2020_06/26.06.2020/78513" TargetMode="External"/><Relationship Id="rId3702" Type="http://schemas.openxmlformats.org/officeDocument/2006/relationships/hyperlink" Target="2020_10\15.10.2020\132181" TargetMode="External"/><Relationship Id="rId623" Type="http://schemas.openxmlformats.org/officeDocument/2006/relationships/hyperlink" Target="2019_12/24.12.2019/68354" TargetMode="External"/><Relationship Id="rId830" Type="http://schemas.openxmlformats.org/officeDocument/2006/relationships/hyperlink" Target="2020_01/15.01.2020/83637" TargetMode="External"/><Relationship Id="rId1460" Type="http://schemas.openxmlformats.org/officeDocument/2006/relationships/hyperlink" Target="2020_03\06.03.2020\13546" TargetMode="External"/><Relationship Id="rId2304" Type="http://schemas.openxmlformats.org/officeDocument/2006/relationships/hyperlink" Target="2020_06\16.06.2020\54396" TargetMode="External"/><Relationship Id="rId2511" Type="http://schemas.openxmlformats.org/officeDocument/2006/relationships/hyperlink" Target="2020_06/19.06.2020/75423" TargetMode="External"/><Relationship Id="rId1113" Type="http://schemas.openxmlformats.org/officeDocument/2006/relationships/hyperlink" Target="2020_02\05.02.2020\87439" TargetMode="External"/><Relationship Id="rId1320" Type="http://schemas.openxmlformats.org/officeDocument/2006/relationships/hyperlink" Target="2020_02/26.02.2020/16179" TargetMode="External"/><Relationship Id="rId3078" Type="http://schemas.openxmlformats.org/officeDocument/2006/relationships/hyperlink" Target="2020_08\24.08.2020\102474" TargetMode="External"/><Relationship Id="rId3285" Type="http://schemas.openxmlformats.org/officeDocument/2006/relationships/hyperlink" Target="2020_09/15.09.2020/122919" TargetMode="External"/><Relationship Id="rId3492" Type="http://schemas.openxmlformats.org/officeDocument/2006/relationships/hyperlink" Target="2020_09/29.09.2020/130692" TargetMode="External"/><Relationship Id="rId2094" Type="http://schemas.openxmlformats.org/officeDocument/2006/relationships/hyperlink" Target="2020_05\28.05.2020\47198" TargetMode="External"/><Relationship Id="rId3145" Type="http://schemas.openxmlformats.org/officeDocument/2006/relationships/hyperlink" Target="2020_08/31.08.2020/106805" TargetMode="External"/><Relationship Id="rId3352" Type="http://schemas.openxmlformats.org/officeDocument/2006/relationships/hyperlink" Target="2020_09/21.09.2020/125098" TargetMode="External"/><Relationship Id="rId273" Type="http://schemas.openxmlformats.org/officeDocument/2006/relationships/hyperlink" Target="https://smp.sfurf.office/sd/operator/" TargetMode="External"/><Relationship Id="rId480" Type="http://schemas.openxmlformats.org/officeDocument/2006/relationships/hyperlink" Target="2019_12\11.12.2019\59837" TargetMode="External"/><Relationship Id="rId2161" Type="http://schemas.openxmlformats.org/officeDocument/2006/relationships/hyperlink" Target="2020_06/01.06.2020/62329" TargetMode="External"/><Relationship Id="rId3005" Type="http://schemas.openxmlformats.org/officeDocument/2006/relationships/hyperlink" Target="2020_08/14.08.2020/05675" TargetMode="External"/><Relationship Id="rId3212" Type="http://schemas.openxmlformats.org/officeDocument/2006/relationships/hyperlink" Target="2020_09/08.09.2020/118767" TargetMode="External"/><Relationship Id="rId133" Type="http://schemas.openxmlformats.org/officeDocument/2006/relationships/hyperlink" Target="2019_10\22.10.2019\18885" TargetMode="External"/><Relationship Id="rId340" Type="http://schemas.openxmlformats.org/officeDocument/2006/relationships/hyperlink" Target="https://smp.sfurf.office/sd/operator/" TargetMode="External"/><Relationship Id="rId2021" Type="http://schemas.openxmlformats.org/officeDocument/2006/relationships/hyperlink" Target="2020_05/25.05.2020/48077" TargetMode="External"/><Relationship Id="rId200" Type="http://schemas.openxmlformats.org/officeDocument/2006/relationships/hyperlink" Target="2019_10\14.10.2019\27968" TargetMode="External"/><Relationship Id="rId2978" Type="http://schemas.openxmlformats.org/officeDocument/2006/relationships/hyperlink" Target="2020_08/14.08.2020/98401" TargetMode="External"/><Relationship Id="rId1787" Type="http://schemas.openxmlformats.org/officeDocument/2006/relationships/hyperlink" Target="2020_04/07.04.2020/27434" TargetMode="External"/><Relationship Id="rId1994" Type="http://schemas.openxmlformats.org/officeDocument/2006/relationships/hyperlink" Target="2020_05\25.05.2020\47241" TargetMode="External"/><Relationship Id="rId2838" Type="http://schemas.openxmlformats.org/officeDocument/2006/relationships/hyperlink" Target="2020_08/04.08.2020/92089" TargetMode="External"/><Relationship Id="rId79" Type="http://schemas.openxmlformats.org/officeDocument/2006/relationships/hyperlink" Target="2019_10\16.10.2019\36144" TargetMode="External"/><Relationship Id="rId1647" Type="http://schemas.openxmlformats.org/officeDocument/2006/relationships/hyperlink" Target="2020_03\24.03.2020\31856" TargetMode="External"/><Relationship Id="rId1854" Type="http://schemas.openxmlformats.org/officeDocument/2006/relationships/hyperlink" Target="2020_05/13.05.2020/30313" TargetMode="External"/><Relationship Id="rId2905" Type="http://schemas.openxmlformats.org/officeDocument/2006/relationships/hyperlink" Target="2020_08\03.08.2020\98431" TargetMode="External"/><Relationship Id="rId1507" Type="http://schemas.openxmlformats.org/officeDocument/2006/relationships/hyperlink" Target="2020_03\12.03.2020\15605" TargetMode="External"/><Relationship Id="rId1714" Type="http://schemas.openxmlformats.org/officeDocument/2006/relationships/hyperlink" Target="2020_04\06.04.2020\36773" TargetMode="External"/><Relationship Id="rId1921" Type="http://schemas.openxmlformats.org/officeDocument/2006/relationships/hyperlink" Target="2020_05/19.05.2020/33800" TargetMode="External"/><Relationship Id="rId3679" Type="http://schemas.openxmlformats.org/officeDocument/2006/relationships/hyperlink" Target="2020_10/13.10.2020/138178" TargetMode="External"/><Relationship Id="rId2488" Type="http://schemas.openxmlformats.org/officeDocument/2006/relationships/hyperlink" Target="2020_06/16.06.2020/65563" TargetMode="External"/><Relationship Id="rId3886" Type="http://schemas.openxmlformats.org/officeDocument/2006/relationships/hyperlink" Target="2020_11/18.11.2020/149880" TargetMode="External"/><Relationship Id="rId1297" Type="http://schemas.openxmlformats.org/officeDocument/2006/relationships/hyperlink" Target="2020_02/25.02.2020/-6625" TargetMode="External"/><Relationship Id="rId2695" Type="http://schemas.openxmlformats.org/officeDocument/2006/relationships/hyperlink" Target="2020_07/03.07.2020/73688" TargetMode="External"/><Relationship Id="rId3539" Type="http://schemas.openxmlformats.org/officeDocument/2006/relationships/hyperlink" Target="2020_10/01.10.2020/124084" TargetMode="External"/><Relationship Id="rId3746" Type="http://schemas.openxmlformats.org/officeDocument/2006/relationships/hyperlink" Target="2020_11/02.11.2020/148646" TargetMode="External"/><Relationship Id="rId3953" Type="http://schemas.openxmlformats.org/officeDocument/2006/relationships/hyperlink" Target="2020_12/11.12.2020/171889" TargetMode="External"/><Relationship Id="rId667" Type="http://schemas.openxmlformats.org/officeDocument/2006/relationships/hyperlink" Target="2019_12/26.12.2019/68983" TargetMode="External"/><Relationship Id="rId874" Type="http://schemas.openxmlformats.org/officeDocument/2006/relationships/hyperlink" Target="2020_01/17.01.2020/69356" TargetMode="External"/><Relationship Id="rId2348" Type="http://schemas.openxmlformats.org/officeDocument/2006/relationships/hyperlink" Target="2020_06/16.06.2020/60883" TargetMode="External"/><Relationship Id="rId2555" Type="http://schemas.openxmlformats.org/officeDocument/2006/relationships/hyperlink" Target="2020_06/23.06.2020/77173" TargetMode="External"/><Relationship Id="rId2762" Type="http://schemas.openxmlformats.org/officeDocument/2006/relationships/hyperlink" Target="2020_07/10.07.2020/85968" TargetMode="External"/><Relationship Id="rId3606" Type="http://schemas.openxmlformats.org/officeDocument/2006/relationships/hyperlink" Target="2020_10/08.10.2020/128563" TargetMode="External"/><Relationship Id="rId3813" Type="http://schemas.openxmlformats.org/officeDocument/2006/relationships/hyperlink" Target="2020_11/10.11.2020/153335" TargetMode="External"/><Relationship Id="rId527" Type="http://schemas.openxmlformats.org/officeDocument/2006/relationships/hyperlink" Target="2019_12\16.12.2019\61387" TargetMode="External"/><Relationship Id="rId734" Type="http://schemas.openxmlformats.org/officeDocument/2006/relationships/hyperlink" Target="2019_12/30.12.2019/71714" TargetMode="External"/><Relationship Id="rId941" Type="http://schemas.openxmlformats.org/officeDocument/2006/relationships/hyperlink" Target="2020_01/22.01.2020/87796" TargetMode="External"/><Relationship Id="rId1157" Type="http://schemas.openxmlformats.org/officeDocument/2006/relationships/hyperlink" Target="2020_02\10.02.2020\90567" TargetMode="External"/><Relationship Id="rId1364" Type="http://schemas.openxmlformats.org/officeDocument/2006/relationships/hyperlink" Target="2020_02/28.02.2020/-9676" TargetMode="External"/><Relationship Id="rId1571" Type="http://schemas.openxmlformats.org/officeDocument/2006/relationships/hyperlink" Target="2020_03\18.03.2020\-5660" TargetMode="External"/><Relationship Id="rId2208" Type="http://schemas.openxmlformats.org/officeDocument/2006/relationships/hyperlink" Target="2020_06/01.06.2020/64402" TargetMode="External"/><Relationship Id="rId2415" Type="http://schemas.openxmlformats.org/officeDocument/2006/relationships/hyperlink" Target="2020_06/16.06.2020/61563" TargetMode="External"/><Relationship Id="rId2622" Type="http://schemas.openxmlformats.org/officeDocument/2006/relationships/hyperlink" Target="2020_06\26.06.2020\70693" TargetMode="External"/><Relationship Id="rId70" Type="http://schemas.openxmlformats.org/officeDocument/2006/relationships/hyperlink" Target="https://smp.sfurf.office/sd/operator/index.jsp;jsessionid=4B56FDB405CD332F2E4AE6AEC0BFEE05" TargetMode="External"/><Relationship Id="rId801" Type="http://schemas.openxmlformats.org/officeDocument/2006/relationships/hyperlink" Target="2020_01/13.01.2020/82293" TargetMode="External"/><Relationship Id="rId1017" Type="http://schemas.openxmlformats.org/officeDocument/2006/relationships/hyperlink" Target="2020_01\28.01.2020\90981" TargetMode="External"/><Relationship Id="rId1224" Type="http://schemas.openxmlformats.org/officeDocument/2006/relationships/hyperlink" Target="2020_02/12.02.2020/-8763" TargetMode="External"/><Relationship Id="rId1431" Type="http://schemas.openxmlformats.org/officeDocument/2006/relationships/hyperlink" Target="2020_03\05.03.2020\12427" TargetMode="External"/><Relationship Id="rId3189" Type="http://schemas.openxmlformats.org/officeDocument/2006/relationships/hyperlink" Target="2020_09/03.09.2020/108958" TargetMode="External"/><Relationship Id="rId3396" Type="http://schemas.openxmlformats.org/officeDocument/2006/relationships/hyperlink" Target="2020_09/22.09.2020/119151" TargetMode="External"/><Relationship Id="rId3049" Type="http://schemas.openxmlformats.org/officeDocument/2006/relationships/hyperlink" Target="2020_08/19.08.2020/100127" TargetMode="External"/><Relationship Id="rId3256" Type="http://schemas.openxmlformats.org/officeDocument/2006/relationships/hyperlink" Target="2020_09\08.09.2020\119417" TargetMode="External"/><Relationship Id="rId3463" Type="http://schemas.openxmlformats.org/officeDocument/2006/relationships/hyperlink" Target="2020_09\24.09.2020\127629" TargetMode="External"/><Relationship Id="rId177" Type="http://schemas.openxmlformats.org/officeDocument/2006/relationships/hyperlink" Target="2019_10\28.10.2019\34694" TargetMode="External"/><Relationship Id="rId384" Type="http://schemas.openxmlformats.org/officeDocument/2006/relationships/hyperlink" Target="2019_11\27.11.2019\59824" TargetMode="External"/><Relationship Id="rId591" Type="http://schemas.openxmlformats.org/officeDocument/2006/relationships/hyperlink" Target="2019_12\20.12.2019\65884" TargetMode="External"/><Relationship Id="rId2065" Type="http://schemas.openxmlformats.org/officeDocument/2006/relationships/hyperlink" Target="2020_06/01.06.2020/59645" TargetMode="External"/><Relationship Id="rId2272" Type="http://schemas.openxmlformats.org/officeDocument/2006/relationships/hyperlink" Target="2020_06/16.06.2020/52066" TargetMode="External"/><Relationship Id="rId3116" Type="http://schemas.openxmlformats.org/officeDocument/2006/relationships/hyperlink" Target="2020_08\24.08.2020\111091" TargetMode="External"/><Relationship Id="rId3670" Type="http://schemas.openxmlformats.org/officeDocument/2006/relationships/hyperlink" Target="2020_10\13.10.2020\138187" TargetMode="External"/><Relationship Id="rId244" Type="http://schemas.openxmlformats.org/officeDocument/2006/relationships/hyperlink" Target="https://smp.sfurf.office/sd/operator/" TargetMode="External"/><Relationship Id="rId1081" Type="http://schemas.openxmlformats.org/officeDocument/2006/relationships/hyperlink" Target="2020_02\03.02.2020\-1692" TargetMode="External"/><Relationship Id="rId3323" Type="http://schemas.openxmlformats.org/officeDocument/2006/relationships/hyperlink" Target="2020_09/17.09.2020/124666" TargetMode="External"/><Relationship Id="rId3530" Type="http://schemas.openxmlformats.org/officeDocument/2006/relationships/hyperlink" Target="2020_10/01.10.2020/124397" TargetMode="External"/><Relationship Id="rId451" Type="http://schemas.openxmlformats.org/officeDocument/2006/relationships/hyperlink" Target="https://smp.sfurf.office/sd/operator/" TargetMode="External"/><Relationship Id="rId2132" Type="http://schemas.openxmlformats.org/officeDocument/2006/relationships/hyperlink" Target="2020_06/09.06.2020/46385" TargetMode="External"/><Relationship Id="rId104" Type="http://schemas.openxmlformats.org/officeDocument/2006/relationships/hyperlink" Target="2019_11\01.11.2019\37854" TargetMode="External"/><Relationship Id="rId311" Type="http://schemas.openxmlformats.org/officeDocument/2006/relationships/hyperlink" Target="https://smp.sfurf.office/sd/operator/index.jsp;jsessionid=4B56FDB405CD332F2E4AE6AEC0BFEE05" TargetMode="External"/><Relationship Id="rId1898" Type="http://schemas.openxmlformats.org/officeDocument/2006/relationships/hyperlink" Target="2020_05\18.05.2020\32433" TargetMode="External"/><Relationship Id="rId2949" Type="http://schemas.openxmlformats.org/officeDocument/2006/relationships/hyperlink" Target="2020_08/11.08.2020/87599" TargetMode="External"/><Relationship Id="rId1758" Type="http://schemas.openxmlformats.org/officeDocument/2006/relationships/hyperlink" Target="2020_04\08.04.2020\19283" TargetMode="External"/><Relationship Id="rId2809" Type="http://schemas.openxmlformats.org/officeDocument/2006/relationships/hyperlink" Target="2020_07\29.07.2020\87652" TargetMode="External"/><Relationship Id="rId1965" Type="http://schemas.openxmlformats.org/officeDocument/2006/relationships/hyperlink" Target="2020_05/22.05.2020/37764" TargetMode="External"/><Relationship Id="rId3180" Type="http://schemas.openxmlformats.org/officeDocument/2006/relationships/hyperlink" Target="2020_09/03.09.2020/109491" TargetMode="External"/><Relationship Id="rId1618" Type="http://schemas.openxmlformats.org/officeDocument/2006/relationships/hyperlink" Target="2020_03/23.03.2020/22982" TargetMode="External"/><Relationship Id="rId1825" Type="http://schemas.openxmlformats.org/officeDocument/2006/relationships/hyperlink" Target="2020_05/13.05.2020/39410" TargetMode="External"/><Relationship Id="rId3040" Type="http://schemas.openxmlformats.org/officeDocument/2006/relationships/hyperlink" Target="2020_08/18.08.2020/107208" TargetMode="External"/><Relationship Id="rId2599" Type="http://schemas.openxmlformats.org/officeDocument/2006/relationships/hyperlink" Target="2020_06/25.06.2020/69312" TargetMode="External"/><Relationship Id="rId3857" Type="http://schemas.openxmlformats.org/officeDocument/2006/relationships/hyperlink" Target="2020_11\16.11.2020\156764" TargetMode="External"/><Relationship Id="rId778" Type="http://schemas.openxmlformats.org/officeDocument/2006/relationships/hyperlink" Target="2020_01/10.01.2020/73365" TargetMode="External"/><Relationship Id="rId985" Type="http://schemas.openxmlformats.org/officeDocument/2006/relationships/hyperlink" Target="2020_01\27.01.2020\81864" TargetMode="External"/><Relationship Id="rId2459" Type="http://schemas.openxmlformats.org/officeDocument/2006/relationships/hyperlink" Target="2020_06/16.06.2020/60893" TargetMode="External"/><Relationship Id="rId2666" Type="http://schemas.openxmlformats.org/officeDocument/2006/relationships/hyperlink" Target="2020_07/02.07.2020/80227" TargetMode="External"/><Relationship Id="rId2873" Type="http://schemas.openxmlformats.org/officeDocument/2006/relationships/hyperlink" Target="2020_08/06.08.2020/93017" TargetMode="External"/><Relationship Id="rId3717" Type="http://schemas.openxmlformats.org/officeDocument/2006/relationships/hyperlink" Target="2020_10/16.10.2020/129360" TargetMode="External"/><Relationship Id="rId3924" Type="http://schemas.openxmlformats.org/officeDocument/2006/relationships/hyperlink" Target="2020_12\10.12.2020\162958" TargetMode="External"/><Relationship Id="rId638" Type="http://schemas.openxmlformats.org/officeDocument/2006/relationships/hyperlink" Target="2019_12/24.12.2019/76213" TargetMode="External"/><Relationship Id="rId845" Type="http://schemas.openxmlformats.org/officeDocument/2006/relationships/hyperlink" Target="2020_01/15.01.2020/83278" TargetMode="External"/><Relationship Id="rId1268" Type="http://schemas.openxmlformats.org/officeDocument/2006/relationships/hyperlink" Target="2020_02/20.02.2020/-4448" TargetMode="External"/><Relationship Id="rId1475" Type="http://schemas.openxmlformats.org/officeDocument/2006/relationships/hyperlink" Target="2020_03\10.03.2020\13717" TargetMode="External"/><Relationship Id="rId1682" Type="http://schemas.openxmlformats.org/officeDocument/2006/relationships/hyperlink" Target="2020_03/25.03.2020/33097" TargetMode="External"/><Relationship Id="rId2319" Type="http://schemas.openxmlformats.org/officeDocument/2006/relationships/hyperlink" Target="2020_06/02.06.2020/66713" TargetMode="External"/><Relationship Id="rId2526" Type="http://schemas.openxmlformats.org/officeDocument/2006/relationships/hyperlink" Target="2020_06/16.06.2020/62324" TargetMode="External"/><Relationship Id="rId2733" Type="http://schemas.openxmlformats.org/officeDocument/2006/relationships/hyperlink" Target="2020_07/09.07.2020/76589" TargetMode="External"/><Relationship Id="rId705" Type="http://schemas.openxmlformats.org/officeDocument/2006/relationships/hyperlink" Target="2019_12/27.12.2019/78181" TargetMode="External"/><Relationship Id="rId1128" Type="http://schemas.openxmlformats.org/officeDocument/2006/relationships/hyperlink" Target="2020_02\05.02.2020\-3753" TargetMode="External"/><Relationship Id="rId1335" Type="http://schemas.openxmlformats.org/officeDocument/2006/relationships/hyperlink" Target="2020_02\26.02.2020\15311" TargetMode="External"/><Relationship Id="rId1542" Type="http://schemas.openxmlformats.org/officeDocument/2006/relationships/hyperlink" Target="2020_03\16.03.2020\17712" TargetMode="External"/><Relationship Id="rId2940" Type="http://schemas.openxmlformats.org/officeDocument/2006/relationships/hyperlink" Target="2020_08\10.08.2020\02151" TargetMode="External"/><Relationship Id="rId912" Type="http://schemas.openxmlformats.org/officeDocument/2006/relationships/hyperlink" Target="2020_01\21.01.2020\79087" TargetMode="External"/><Relationship Id="rId2800" Type="http://schemas.openxmlformats.org/officeDocument/2006/relationships/hyperlink" Target="2020_07/28.07.2020/86430" TargetMode="External"/><Relationship Id="rId41" Type="http://schemas.openxmlformats.org/officeDocument/2006/relationships/hyperlink" Target="https://smp.sfurf.office/sd/operator/" TargetMode="External"/><Relationship Id="rId1402" Type="http://schemas.openxmlformats.org/officeDocument/2006/relationships/hyperlink" Target="2020_03/02.03.2020/18760" TargetMode="External"/><Relationship Id="rId288" Type="http://schemas.openxmlformats.org/officeDocument/2006/relationships/hyperlink" Target="2019_11\11.11.2019\49687" TargetMode="External"/><Relationship Id="rId3367" Type="http://schemas.openxmlformats.org/officeDocument/2006/relationships/hyperlink" Target="2020_09\22.09.2020\118089" TargetMode="External"/><Relationship Id="rId3574" Type="http://schemas.openxmlformats.org/officeDocument/2006/relationships/hyperlink" Target="2020_10/01.10.2020/132169" TargetMode="External"/><Relationship Id="rId3781" Type="http://schemas.openxmlformats.org/officeDocument/2006/relationships/hyperlink" Target="2020_11/09.11.2020/152342" TargetMode="External"/><Relationship Id="rId495" Type="http://schemas.openxmlformats.org/officeDocument/2006/relationships/hyperlink" Target="2019_12\12.12.2019\60328" TargetMode="External"/><Relationship Id="rId2176" Type="http://schemas.openxmlformats.org/officeDocument/2006/relationships/hyperlink" Target="2020_06/05.06.2020/43359" TargetMode="External"/><Relationship Id="rId2383" Type="http://schemas.openxmlformats.org/officeDocument/2006/relationships/hyperlink" Target="2020_06/08.06.2020/68461" TargetMode="External"/><Relationship Id="rId2590" Type="http://schemas.openxmlformats.org/officeDocument/2006/relationships/hyperlink" Target="2020_06/25.06.2020/69713" TargetMode="External"/><Relationship Id="rId3227" Type="http://schemas.openxmlformats.org/officeDocument/2006/relationships/hyperlink" Target="2020_09/09.09.2020/111428" TargetMode="External"/><Relationship Id="rId3434" Type="http://schemas.openxmlformats.org/officeDocument/2006/relationships/hyperlink" Target="2020_09/24.09.2020/120969" TargetMode="External"/><Relationship Id="rId3641" Type="http://schemas.openxmlformats.org/officeDocument/2006/relationships/hyperlink" Target="2020_10/09.10.2020/136880" TargetMode="External"/><Relationship Id="rId148" Type="http://schemas.openxmlformats.org/officeDocument/2006/relationships/hyperlink" Target="2019_11\07.11.2019\39991" TargetMode="External"/><Relationship Id="rId355" Type="http://schemas.openxmlformats.org/officeDocument/2006/relationships/hyperlink" Target="https://smp.sfurf.office/sd/operator/" TargetMode="External"/><Relationship Id="rId562" Type="http://schemas.openxmlformats.org/officeDocument/2006/relationships/hyperlink" Target="2019_12/18.12.2019/73375" TargetMode="External"/><Relationship Id="rId1192" Type="http://schemas.openxmlformats.org/officeDocument/2006/relationships/hyperlink" Target="2020_02\11.02.2020\-7498" TargetMode="External"/><Relationship Id="rId2036" Type="http://schemas.openxmlformats.org/officeDocument/2006/relationships/hyperlink" Target="2020_05/25.05.2020/47816" TargetMode="External"/><Relationship Id="rId2243" Type="http://schemas.openxmlformats.org/officeDocument/2006/relationships/hyperlink" Target="2020_06\01.06.2020\63537" TargetMode="External"/><Relationship Id="rId2450" Type="http://schemas.openxmlformats.org/officeDocument/2006/relationships/hyperlink" Target="2020_06/17.06.2020/66595" TargetMode="External"/><Relationship Id="rId3501" Type="http://schemas.openxmlformats.org/officeDocument/2006/relationships/hyperlink" Target="2020_09/30.09.2020/116303" TargetMode="External"/><Relationship Id="rId215" Type="http://schemas.openxmlformats.org/officeDocument/2006/relationships/hyperlink" Target="2019_11\14.11.2019\43857" TargetMode="External"/><Relationship Id="rId422" Type="http://schemas.openxmlformats.org/officeDocument/2006/relationships/hyperlink" Target="2019_12\04.12.2019\64002" TargetMode="External"/><Relationship Id="rId1052" Type="http://schemas.openxmlformats.org/officeDocument/2006/relationships/hyperlink" Target="2020_01\31.01.2020\20-92" TargetMode="External"/><Relationship Id="rId2103" Type="http://schemas.openxmlformats.org/officeDocument/2006/relationships/hyperlink" Target="2020_05\20.05.2020\41494" TargetMode="External"/><Relationship Id="rId2310" Type="http://schemas.openxmlformats.org/officeDocument/2006/relationships/hyperlink" Target="2020_06/16.06.2020/52667" TargetMode="External"/><Relationship Id="rId1869" Type="http://schemas.openxmlformats.org/officeDocument/2006/relationships/hyperlink" Target="2020_05/14.05.2020/30598" TargetMode="External"/><Relationship Id="rId3084" Type="http://schemas.openxmlformats.org/officeDocument/2006/relationships/hyperlink" Target="2020_08\25.08.2020\102831" TargetMode="External"/><Relationship Id="rId3291" Type="http://schemas.openxmlformats.org/officeDocument/2006/relationships/hyperlink" Target="2020_09\16.09.2020\107630" TargetMode="External"/><Relationship Id="rId1729" Type="http://schemas.openxmlformats.org/officeDocument/2006/relationships/hyperlink" Target="2020_04/06.04.2020/26304" TargetMode="External"/><Relationship Id="rId1936" Type="http://schemas.openxmlformats.org/officeDocument/2006/relationships/hyperlink" Target="2020_05/20.05.2020/44467" TargetMode="External"/><Relationship Id="rId3151" Type="http://schemas.openxmlformats.org/officeDocument/2006/relationships/hyperlink" Target="2020_09/01.09.2020/115380" TargetMode="External"/><Relationship Id="rId3011" Type="http://schemas.openxmlformats.org/officeDocument/2006/relationships/hyperlink" Target="2020_08/17.08.2020/06844" TargetMode="External"/><Relationship Id="rId3968" Type="http://schemas.openxmlformats.org/officeDocument/2006/relationships/hyperlink" Target="2020_12\15.12.2020\165223" TargetMode="External"/><Relationship Id="rId5" Type="http://schemas.openxmlformats.org/officeDocument/2006/relationships/hyperlink" Target="https://smp.sfurf.office/sd/operator/index.jsp;jsessionid=4B56FDB405CD332F2E4AE6AEC0BFEE05" TargetMode="External"/><Relationship Id="rId889" Type="http://schemas.openxmlformats.org/officeDocument/2006/relationships/hyperlink" Target="2020_01/17.01.2020/85298" TargetMode="External"/><Relationship Id="rId2777" Type="http://schemas.openxmlformats.org/officeDocument/2006/relationships/hyperlink" Target="2020_07\28.07.2020\95435" TargetMode="External"/><Relationship Id="rId749" Type="http://schemas.openxmlformats.org/officeDocument/2006/relationships/hyperlink" Target="2019_12/31.12.2019/72131" TargetMode="External"/><Relationship Id="rId1379" Type="http://schemas.openxmlformats.org/officeDocument/2006/relationships/hyperlink" Target="2020_03/02.03.2020/18550" TargetMode="External"/><Relationship Id="rId1586" Type="http://schemas.openxmlformats.org/officeDocument/2006/relationships/hyperlink" Target="2020_03\19.03.2020\19960" TargetMode="External"/><Relationship Id="rId2984" Type="http://schemas.openxmlformats.org/officeDocument/2006/relationships/hyperlink" Target="2020_08/13.08.2020/04758" TargetMode="External"/><Relationship Id="rId3828" Type="http://schemas.openxmlformats.org/officeDocument/2006/relationships/hyperlink" Target="2020_11/11.11.2020/153708" TargetMode="External"/><Relationship Id="rId609" Type="http://schemas.openxmlformats.org/officeDocument/2006/relationships/hyperlink" Target="2019_12/23.12.2019/57811" TargetMode="External"/><Relationship Id="rId956" Type="http://schemas.openxmlformats.org/officeDocument/2006/relationships/hyperlink" Target="2020_01\23.01.2020\80445" TargetMode="External"/><Relationship Id="rId1239" Type="http://schemas.openxmlformats.org/officeDocument/2006/relationships/hyperlink" Target="2020_02\18.02.2020\11586" TargetMode="External"/><Relationship Id="rId1793" Type="http://schemas.openxmlformats.org/officeDocument/2006/relationships/hyperlink" Target="2020_05/08.05.2020/37251" TargetMode="External"/><Relationship Id="rId2637" Type="http://schemas.openxmlformats.org/officeDocument/2006/relationships/hyperlink" Target="2020_06\26.06.2020\67437" TargetMode="External"/><Relationship Id="rId2844" Type="http://schemas.openxmlformats.org/officeDocument/2006/relationships/hyperlink" Target="2020_08/03.08.2020/90834" TargetMode="External"/><Relationship Id="rId85" Type="http://schemas.openxmlformats.org/officeDocument/2006/relationships/hyperlink" Target="https://smp.sfurf.office/sd/operator/" TargetMode="External"/><Relationship Id="rId816" Type="http://schemas.openxmlformats.org/officeDocument/2006/relationships/hyperlink" Target="2020_01/14.01.2020/82895" TargetMode="External"/><Relationship Id="rId1446" Type="http://schemas.openxmlformats.org/officeDocument/2006/relationships/hyperlink" Target="2020_03\05.03.2020\21335" TargetMode="External"/><Relationship Id="rId1653" Type="http://schemas.openxmlformats.org/officeDocument/2006/relationships/hyperlink" Target="2020_03\24.03.2020\31445" TargetMode="External"/><Relationship Id="rId1860" Type="http://schemas.openxmlformats.org/officeDocument/2006/relationships/hyperlink" Target="2020_05/14.05.2020/32110" TargetMode="External"/><Relationship Id="rId2704" Type="http://schemas.openxmlformats.org/officeDocument/2006/relationships/hyperlink" Target="2020_07/06.07.2020/74430" TargetMode="External"/><Relationship Id="rId2911" Type="http://schemas.openxmlformats.org/officeDocument/2006/relationships/hyperlink" Target="2020_08/07.08.2020/85839" TargetMode="External"/><Relationship Id="rId1306" Type="http://schemas.openxmlformats.org/officeDocument/2006/relationships/hyperlink" Target="2020_02/25.02.2020/-7182" TargetMode="External"/><Relationship Id="rId1513" Type="http://schemas.openxmlformats.org/officeDocument/2006/relationships/hyperlink" Target="2020_03\12.03.2020\24465" TargetMode="External"/><Relationship Id="rId1720" Type="http://schemas.openxmlformats.org/officeDocument/2006/relationships/hyperlink" Target="2020_04\06.04.2020\26970" TargetMode="External"/><Relationship Id="rId12" Type="http://schemas.openxmlformats.org/officeDocument/2006/relationships/hyperlink" Target="https://smp.sfurf.office/sd/operator/index.jsp;jsessionid=4B56FDB405CD332F2E4AE6AEC0BFEE05" TargetMode="External"/><Relationship Id="rId3478" Type="http://schemas.openxmlformats.org/officeDocument/2006/relationships/hyperlink" Target="2020_09\28.09.2020\122452" TargetMode="External"/><Relationship Id="rId3685" Type="http://schemas.openxmlformats.org/officeDocument/2006/relationships/hyperlink" Target="2020_10/14.10.2020/127626" TargetMode="External"/><Relationship Id="rId3892" Type="http://schemas.openxmlformats.org/officeDocument/2006/relationships/hyperlink" Target="2020_11/19.11.2020/150681" TargetMode="External"/><Relationship Id="rId399" Type="http://schemas.openxmlformats.org/officeDocument/2006/relationships/hyperlink" Target="https://smp.sfurf.office/sd/operator/" TargetMode="External"/><Relationship Id="rId2287" Type="http://schemas.openxmlformats.org/officeDocument/2006/relationships/hyperlink" Target="2020_06/05.06.2020/68697" TargetMode="External"/><Relationship Id="rId2494" Type="http://schemas.openxmlformats.org/officeDocument/2006/relationships/hyperlink" Target="2020_06/17.06.2020/66365" TargetMode="External"/><Relationship Id="rId3338" Type="http://schemas.openxmlformats.org/officeDocument/2006/relationships/hyperlink" Target="2020_09/18.09.2020/125036" TargetMode="External"/><Relationship Id="rId3545" Type="http://schemas.openxmlformats.org/officeDocument/2006/relationships/hyperlink" Target="2020_10\02.10.2020\125420" TargetMode="External"/><Relationship Id="rId3752" Type="http://schemas.openxmlformats.org/officeDocument/2006/relationships/hyperlink" Target="2020_11/03.11.2020/150142" TargetMode="External"/><Relationship Id="rId259" Type="http://schemas.openxmlformats.org/officeDocument/2006/relationships/hyperlink" Target="2019_11\19.11.2019\47209" TargetMode="External"/><Relationship Id="rId466" Type="http://schemas.openxmlformats.org/officeDocument/2006/relationships/hyperlink" Target="2019_12\09.12.2019\53076" TargetMode="External"/><Relationship Id="rId673" Type="http://schemas.openxmlformats.org/officeDocument/2006/relationships/hyperlink" Target="2019_12/26.12.2019/77108" TargetMode="External"/><Relationship Id="rId880" Type="http://schemas.openxmlformats.org/officeDocument/2006/relationships/hyperlink" Target="2020_01/17.01.2020/85417" TargetMode="External"/><Relationship Id="rId1096" Type="http://schemas.openxmlformats.org/officeDocument/2006/relationships/hyperlink" Target="2020_02\04.02.2020\86993" TargetMode="External"/><Relationship Id="rId2147" Type="http://schemas.openxmlformats.org/officeDocument/2006/relationships/hyperlink" Target="2020_06/16.06.2020/51244" TargetMode="External"/><Relationship Id="rId2354" Type="http://schemas.openxmlformats.org/officeDocument/2006/relationships/hyperlink" Target="2020_06/16.06.2020/60898" TargetMode="External"/><Relationship Id="rId2561" Type="http://schemas.openxmlformats.org/officeDocument/2006/relationships/hyperlink" Target="2020_06/19.06.2020/67343" TargetMode="External"/><Relationship Id="rId3405" Type="http://schemas.openxmlformats.org/officeDocument/2006/relationships/hyperlink" Target="2020_09\22.09.2020\126298" TargetMode="External"/><Relationship Id="rId119" Type="http://schemas.openxmlformats.org/officeDocument/2006/relationships/hyperlink" Target="https://smp.sfurf.office/sd/operator/index.jsp;jsessionid=4B56FDB405CD332F2E4AE6AEC0BFEE05" TargetMode="External"/><Relationship Id="rId326" Type="http://schemas.openxmlformats.org/officeDocument/2006/relationships/hyperlink" Target="2019_11\20.11.2019\55576" TargetMode="External"/><Relationship Id="rId533" Type="http://schemas.openxmlformats.org/officeDocument/2006/relationships/hyperlink" Target="2019_12\17.12.2019\62461" TargetMode="External"/><Relationship Id="rId1163" Type="http://schemas.openxmlformats.org/officeDocument/2006/relationships/hyperlink" Target="2020_02\11.02.2020\90695" TargetMode="External"/><Relationship Id="rId1370" Type="http://schemas.openxmlformats.org/officeDocument/2006/relationships/hyperlink" Target="2020_02/28.02.2020/-9839" TargetMode="External"/><Relationship Id="rId2007" Type="http://schemas.openxmlformats.org/officeDocument/2006/relationships/hyperlink" Target="2020_05/21.05.2020/46626" TargetMode="External"/><Relationship Id="rId2214" Type="http://schemas.openxmlformats.org/officeDocument/2006/relationships/hyperlink" Target="2020_06/10.06.2020/45911" TargetMode="External"/><Relationship Id="rId3612" Type="http://schemas.openxmlformats.org/officeDocument/2006/relationships/hyperlink" Target="2020_10/09.10.2020/129176" TargetMode="External"/><Relationship Id="rId740" Type="http://schemas.openxmlformats.org/officeDocument/2006/relationships/hyperlink" Target="2019_12\31.12.2019\70896" TargetMode="External"/><Relationship Id="rId1023" Type="http://schemas.openxmlformats.org/officeDocument/2006/relationships/hyperlink" Target="2020_01\29.01.2020\84493" TargetMode="External"/><Relationship Id="rId2421" Type="http://schemas.openxmlformats.org/officeDocument/2006/relationships/hyperlink" Target="2020_06/16.06.2020/64445" TargetMode="External"/><Relationship Id="rId600" Type="http://schemas.openxmlformats.org/officeDocument/2006/relationships/hyperlink" Target="2019_12\23.12.2019\74592" TargetMode="External"/><Relationship Id="rId1230" Type="http://schemas.openxmlformats.org/officeDocument/2006/relationships/hyperlink" Target="2020_02/18.02.2020/-3110" TargetMode="External"/><Relationship Id="rId3195" Type="http://schemas.openxmlformats.org/officeDocument/2006/relationships/hyperlink" Target="2020_09/04.09.2020/110206" TargetMode="External"/><Relationship Id="rId3055" Type="http://schemas.openxmlformats.org/officeDocument/2006/relationships/hyperlink" Target="2020_08/19.08.2020/100454" TargetMode="External"/><Relationship Id="rId3262" Type="http://schemas.openxmlformats.org/officeDocument/2006/relationships/hyperlink" Target="2020_09/14.09.2020/114499" TargetMode="External"/><Relationship Id="rId183" Type="http://schemas.openxmlformats.org/officeDocument/2006/relationships/hyperlink" Target="https://smp.sfurf.office/sd/operator/index.jsp;jsessionid=4B56FDB405CD332F2E4AE6AEC0BFEE05" TargetMode="External"/><Relationship Id="rId390" Type="http://schemas.openxmlformats.org/officeDocument/2006/relationships/hyperlink" Target="2019_11\28.11.2019\60237" TargetMode="External"/><Relationship Id="rId1907" Type="http://schemas.openxmlformats.org/officeDocument/2006/relationships/hyperlink" Target="2020_05/19.05.2020/33846" TargetMode="External"/><Relationship Id="rId2071" Type="http://schemas.openxmlformats.org/officeDocument/2006/relationships/hyperlink" Target="2020_06/01.06.2020/62316" TargetMode="External"/><Relationship Id="rId3122" Type="http://schemas.openxmlformats.org/officeDocument/2006/relationships/hyperlink" Target="2020_08/28.08.2020/106307" TargetMode="External"/><Relationship Id="rId250" Type="http://schemas.openxmlformats.org/officeDocument/2006/relationships/hyperlink" Target="2019_11\18.11.2019\44887" TargetMode="External"/><Relationship Id="rId110" Type="http://schemas.openxmlformats.org/officeDocument/2006/relationships/hyperlink" Target="https://smp.sfurf.office/sd/operator/" TargetMode="External"/><Relationship Id="rId2888" Type="http://schemas.openxmlformats.org/officeDocument/2006/relationships/hyperlink" Target="2020_08/05.08.2020/00108" TargetMode="External"/><Relationship Id="rId3939" Type="http://schemas.openxmlformats.org/officeDocument/2006/relationships/hyperlink" Target="2020_12/08.12.2020/160768" TargetMode="External"/><Relationship Id="rId1697" Type="http://schemas.openxmlformats.org/officeDocument/2006/relationships/hyperlink" Target="2020_03\27.03.2020\16971" TargetMode="External"/><Relationship Id="rId2748" Type="http://schemas.openxmlformats.org/officeDocument/2006/relationships/hyperlink" Target="2020_07/10.07.2020/85063" TargetMode="External"/><Relationship Id="rId2955" Type="http://schemas.openxmlformats.org/officeDocument/2006/relationships/hyperlink" Target="2020_08/11.08.2020/96085" TargetMode="External"/><Relationship Id="rId927" Type="http://schemas.openxmlformats.org/officeDocument/2006/relationships/hyperlink" Target="2020_01/22.01.2020/79309" TargetMode="External"/><Relationship Id="rId1557" Type="http://schemas.openxmlformats.org/officeDocument/2006/relationships/hyperlink" Target="2020_03\17.03.2020\27009" TargetMode="External"/><Relationship Id="rId1764" Type="http://schemas.openxmlformats.org/officeDocument/2006/relationships/hyperlink" Target="2020_04/08.04.2020/28382" TargetMode="External"/><Relationship Id="rId1971" Type="http://schemas.openxmlformats.org/officeDocument/2006/relationships/hyperlink" Target="2020_05/21.05.2020/46837" TargetMode="External"/><Relationship Id="rId2608" Type="http://schemas.openxmlformats.org/officeDocument/2006/relationships/hyperlink" Target="2020_06/25.06.2020/77497" TargetMode="External"/><Relationship Id="rId2815" Type="http://schemas.openxmlformats.org/officeDocument/2006/relationships/hyperlink" Target="2020_07/29.07.2020/87185" TargetMode="External"/><Relationship Id="rId56" Type="http://schemas.openxmlformats.org/officeDocument/2006/relationships/hyperlink" Target="https://smp.sfurf.office/sd/operator/" TargetMode="External"/><Relationship Id="rId1417" Type="http://schemas.openxmlformats.org/officeDocument/2006/relationships/hyperlink" Target="2020_03/04.03.2020/19888" TargetMode="External"/><Relationship Id="rId1624" Type="http://schemas.openxmlformats.org/officeDocument/2006/relationships/hyperlink" Target="2020_03\23.03.2020\30659" TargetMode="External"/><Relationship Id="rId1831" Type="http://schemas.openxmlformats.org/officeDocument/2006/relationships/hyperlink" Target="2020_05/14.05.2020/40923" TargetMode="External"/><Relationship Id="rId3589" Type="http://schemas.openxmlformats.org/officeDocument/2006/relationships/hyperlink" Target="2020_10\07.10.2020\127244" TargetMode="External"/><Relationship Id="rId3796" Type="http://schemas.openxmlformats.org/officeDocument/2006/relationships/hyperlink" Target="2020_11/10.11.2020/145780" TargetMode="External"/><Relationship Id="rId2398" Type="http://schemas.openxmlformats.org/officeDocument/2006/relationships/hyperlink" Target="2020_06/16.06.2020/54766" TargetMode="External"/><Relationship Id="rId3449" Type="http://schemas.openxmlformats.org/officeDocument/2006/relationships/hyperlink" Target="2020_09/25.09.2020/121244" TargetMode="External"/><Relationship Id="rId577" Type="http://schemas.openxmlformats.org/officeDocument/2006/relationships/hyperlink" Target="2019_12\19.12.2019\64836" TargetMode="External"/><Relationship Id="rId2258" Type="http://schemas.openxmlformats.org/officeDocument/2006/relationships/hyperlink" Target="2020_06/16.06.2020/50808" TargetMode="External"/><Relationship Id="rId3656" Type="http://schemas.openxmlformats.org/officeDocument/2006/relationships/hyperlink" Target="2020_10/13.10.2020/131049" TargetMode="External"/><Relationship Id="rId3863" Type="http://schemas.openxmlformats.org/officeDocument/2006/relationships/hyperlink" Target="2020_11/18.11.2020/150163" TargetMode="External"/><Relationship Id="rId784" Type="http://schemas.openxmlformats.org/officeDocument/2006/relationships/hyperlink" Target="2020_01/10.01.2020/73338" TargetMode="External"/><Relationship Id="rId991" Type="http://schemas.openxmlformats.org/officeDocument/2006/relationships/hyperlink" Target="2020_01\27.01.2020\82854" TargetMode="External"/><Relationship Id="rId1067" Type="http://schemas.openxmlformats.org/officeDocument/2006/relationships/hyperlink" Target="2020_02\03.02.2020\86818" TargetMode="External"/><Relationship Id="rId2465" Type="http://schemas.openxmlformats.org/officeDocument/2006/relationships/hyperlink" Target="2020_06\16.06.2020\52897" TargetMode="External"/><Relationship Id="rId2672" Type="http://schemas.openxmlformats.org/officeDocument/2006/relationships/hyperlink" Target="2020_07/02.07.2020/80589" TargetMode="External"/><Relationship Id="rId3309" Type="http://schemas.openxmlformats.org/officeDocument/2006/relationships/hyperlink" Target="2020_09/16.09.2020/123926" TargetMode="External"/><Relationship Id="rId3516" Type="http://schemas.openxmlformats.org/officeDocument/2006/relationships/hyperlink" Target="2020_10/01.10.2020/112407" TargetMode="External"/><Relationship Id="rId3723" Type="http://schemas.openxmlformats.org/officeDocument/2006/relationships/hyperlink" Target="2020_10/16.10.2020/132811" TargetMode="External"/><Relationship Id="rId3930" Type="http://schemas.openxmlformats.org/officeDocument/2006/relationships/hyperlink" Target="2020_12\11.12.2020\171648" TargetMode="External"/><Relationship Id="rId437" Type="http://schemas.openxmlformats.org/officeDocument/2006/relationships/hyperlink" Target="https://smp.sfurf.office/sd/operator/" TargetMode="External"/><Relationship Id="rId644" Type="http://schemas.openxmlformats.org/officeDocument/2006/relationships/hyperlink" Target="2019_12/25.12.2019/76887" TargetMode="External"/><Relationship Id="rId851" Type="http://schemas.openxmlformats.org/officeDocument/2006/relationships/hyperlink" Target="2020_01\15.01.2020\83906" TargetMode="External"/><Relationship Id="rId1274" Type="http://schemas.openxmlformats.org/officeDocument/2006/relationships/hyperlink" Target="2020_02\20.02.2020\-4119" TargetMode="External"/><Relationship Id="rId1481" Type="http://schemas.openxmlformats.org/officeDocument/2006/relationships/hyperlink" Target="2020_03\11.03.2020\24282" TargetMode="External"/><Relationship Id="rId2118" Type="http://schemas.openxmlformats.org/officeDocument/2006/relationships/hyperlink" Target="2020_06\01.06.2020\61593" TargetMode="External"/><Relationship Id="rId2325" Type="http://schemas.openxmlformats.org/officeDocument/2006/relationships/hyperlink" Target="2020_06/04.06.2020/67380" TargetMode="External"/><Relationship Id="rId2532" Type="http://schemas.openxmlformats.org/officeDocument/2006/relationships/hyperlink" Target="2020_06/16.06.2020/73750" TargetMode="External"/><Relationship Id="rId504" Type="http://schemas.openxmlformats.org/officeDocument/2006/relationships/hyperlink" Target="2019_12\13.12.2019\69922" TargetMode="External"/><Relationship Id="rId711" Type="http://schemas.openxmlformats.org/officeDocument/2006/relationships/hyperlink" Target="2019_12/30.12.2019/70619" TargetMode="External"/><Relationship Id="rId1134" Type="http://schemas.openxmlformats.org/officeDocument/2006/relationships/hyperlink" Target="2020_02\06.02.2020\-4407" TargetMode="External"/><Relationship Id="rId1341" Type="http://schemas.openxmlformats.org/officeDocument/2006/relationships/hyperlink" Target="2020_02/27.02.2020/-8983" TargetMode="External"/><Relationship Id="rId1201" Type="http://schemas.openxmlformats.org/officeDocument/2006/relationships/hyperlink" Target="2020_02/10.02.2020/-6835" TargetMode="External"/><Relationship Id="rId3099" Type="http://schemas.openxmlformats.org/officeDocument/2006/relationships/hyperlink" Target="2020_08\25.08.2020\103927" TargetMode="External"/><Relationship Id="rId3166" Type="http://schemas.openxmlformats.org/officeDocument/2006/relationships/hyperlink" Target="2020_09\03.09.2020\116258" TargetMode="External"/><Relationship Id="rId3373" Type="http://schemas.openxmlformats.org/officeDocument/2006/relationships/hyperlink" Target="2020_09/22.09.2020/118663" TargetMode="External"/><Relationship Id="rId3580" Type="http://schemas.openxmlformats.org/officeDocument/2006/relationships/hyperlink" Target="2020_10\06.10.2020\134270" TargetMode="External"/><Relationship Id="rId294" Type="http://schemas.openxmlformats.org/officeDocument/2006/relationships/hyperlink" Target="2019_10\11.10.2019\34367" TargetMode="External"/><Relationship Id="rId2182" Type="http://schemas.openxmlformats.org/officeDocument/2006/relationships/hyperlink" Target="2020_06/09.06.2020/45598" TargetMode="External"/><Relationship Id="rId3026" Type="http://schemas.openxmlformats.org/officeDocument/2006/relationships/hyperlink" Target="2020_08/21.08.2020/01492" TargetMode="External"/><Relationship Id="rId3233" Type="http://schemas.openxmlformats.org/officeDocument/2006/relationships/hyperlink" Target="2020_09/11.09.2020/114045" TargetMode="External"/><Relationship Id="rId154" Type="http://schemas.openxmlformats.org/officeDocument/2006/relationships/hyperlink" Target="../Users/shilyaevan/AppData/Roaming/Microsoft/Excel/2019_10/24.10.2019/40775" TargetMode="External"/><Relationship Id="rId361" Type="http://schemas.openxmlformats.org/officeDocument/2006/relationships/hyperlink" Target="2019_11\22.11.2019\48863" TargetMode="External"/><Relationship Id="rId2042" Type="http://schemas.openxmlformats.org/officeDocument/2006/relationships/hyperlink" Target="2020_05/21.05.2020/46465" TargetMode="External"/><Relationship Id="rId3440" Type="http://schemas.openxmlformats.org/officeDocument/2006/relationships/hyperlink" Target="2020_09/25.09.2020/129237" TargetMode="External"/><Relationship Id="rId2999" Type="http://schemas.openxmlformats.org/officeDocument/2006/relationships/hyperlink" Target="2020_08/13.08.2020/96872" TargetMode="External"/><Relationship Id="rId3300" Type="http://schemas.openxmlformats.org/officeDocument/2006/relationships/hyperlink" Target="2020_09\14.09.2020\114397" TargetMode="External"/><Relationship Id="rId221" Type="http://schemas.openxmlformats.org/officeDocument/2006/relationships/hyperlink" Target="https://smp.sfurf.office/sd/operator/" TargetMode="External"/><Relationship Id="rId2859" Type="http://schemas.openxmlformats.org/officeDocument/2006/relationships/hyperlink" Target="2020_08/04.08.2020/90619" TargetMode="External"/><Relationship Id="rId1668" Type="http://schemas.openxmlformats.org/officeDocument/2006/relationships/hyperlink" Target="2020_03/25.03.2020/32917" TargetMode="External"/><Relationship Id="rId1875" Type="http://schemas.openxmlformats.org/officeDocument/2006/relationships/hyperlink" Target="2020_05\15.05.2020\41502" TargetMode="External"/><Relationship Id="rId2719" Type="http://schemas.openxmlformats.org/officeDocument/2006/relationships/hyperlink" Target="2020_07/07.07.2020/83370" TargetMode="External"/><Relationship Id="rId1528" Type="http://schemas.openxmlformats.org/officeDocument/2006/relationships/hyperlink" Target="2020_03\13.03.2020\26196" TargetMode="External"/><Relationship Id="rId2926" Type="http://schemas.openxmlformats.org/officeDocument/2006/relationships/hyperlink" Target="2020_08/10.08.2020/94861" TargetMode="External"/><Relationship Id="rId3090" Type="http://schemas.openxmlformats.org/officeDocument/2006/relationships/hyperlink" Target="2020_08/25.08.2020/103339" TargetMode="External"/><Relationship Id="rId1735" Type="http://schemas.openxmlformats.org/officeDocument/2006/relationships/hyperlink" Target="2020_04\07.04.2020\27877" TargetMode="External"/><Relationship Id="rId1942" Type="http://schemas.openxmlformats.org/officeDocument/2006/relationships/hyperlink" Target="2020_05/20.05.2020/44238" TargetMode="External"/><Relationship Id="rId27" Type="http://schemas.openxmlformats.org/officeDocument/2006/relationships/hyperlink" Target="https://smp.sfurf.office/sd/operator/index.jsp;jsessionid=4B56FDB405CD332F2E4AE6AEC0BFEE05" TargetMode="External"/><Relationship Id="rId1802" Type="http://schemas.openxmlformats.org/officeDocument/2006/relationships/hyperlink" Target="2020_05/13.05.2020/30387" TargetMode="External"/><Relationship Id="rId3767" Type="http://schemas.openxmlformats.org/officeDocument/2006/relationships/hyperlink" Target="2020_11/06.11.2020/143701" TargetMode="External"/><Relationship Id="rId3974" Type="http://schemas.openxmlformats.org/officeDocument/2006/relationships/hyperlink" Target="2020_12/17.12.2020/174181" TargetMode="External"/><Relationship Id="rId688" Type="http://schemas.openxmlformats.org/officeDocument/2006/relationships/hyperlink" Target="2019_12/26.12.2019/77359" TargetMode="External"/><Relationship Id="rId895" Type="http://schemas.openxmlformats.org/officeDocument/2006/relationships/hyperlink" Target="2020_01\20.01.2020\73712" TargetMode="External"/><Relationship Id="rId2369" Type="http://schemas.openxmlformats.org/officeDocument/2006/relationships/hyperlink" Target="2020_06\09.06.2020\69441" TargetMode="External"/><Relationship Id="rId2576" Type="http://schemas.openxmlformats.org/officeDocument/2006/relationships/hyperlink" Target="2020_06/23.06.2020/55952" TargetMode="External"/><Relationship Id="rId2783" Type="http://schemas.openxmlformats.org/officeDocument/2006/relationships/hyperlink" Target="2020_07/23.07.2020/93783" TargetMode="External"/><Relationship Id="rId2990" Type="http://schemas.openxmlformats.org/officeDocument/2006/relationships/hyperlink" Target="2020_08/13.08.2020/97349" TargetMode="External"/><Relationship Id="rId3627" Type="http://schemas.openxmlformats.org/officeDocument/2006/relationships/hyperlink" Target="2020_10/09.10.2020/128856" TargetMode="External"/><Relationship Id="rId3834" Type="http://schemas.openxmlformats.org/officeDocument/2006/relationships/hyperlink" Target="2020_11/12.11.2020/147029" TargetMode="External"/><Relationship Id="rId548" Type="http://schemas.openxmlformats.org/officeDocument/2006/relationships/hyperlink" Target="2019_12\18.12.2019\71974" TargetMode="External"/><Relationship Id="rId755" Type="http://schemas.openxmlformats.org/officeDocument/2006/relationships/hyperlink" Target="2019_12/31.12.2019/80331" TargetMode="External"/><Relationship Id="rId962" Type="http://schemas.openxmlformats.org/officeDocument/2006/relationships/hyperlink" Target="2020_01/23.01.2020/88410" TargetMode="External"/><Relationship Id="rId1178" Type="http://schemas.openxmlformats.org/officeDocument/2006/relationships/hyperlink" Target="2020_02\10.02.2020\90157" TargetMode="External"/><Relationship Id="rId1385" Type="http://schemas.openxmlformats.org/officeDocument/2006/relationships/hyperlink" Target="2020_03\02.03.2020\18043" TargetMode="External"/><Relationship Id="rId1592" Type="http://schemas.openxmlformats.org/officeDocument/2006/relationships/hyperlink" Target="2020_03\19.03.2020\20363" TargetMode="External"/><Relationship Id="rId2229" Type="http://schemas.openxmlformats.org/officeDocument/2006/relationships/hyperlink" Target="2020_06/01.06.2020/65125" TargetMode="External"/><Relationship Id="rId2436" Type="http://schemas.openxmlformats.org/officeDocument/2006/relationships/hyperlink" Target="2020_06/16.06.2020/65280" TargetMode="External"/><Relationship Id="rId2643" Type="http://schemas.openxmlformats.org/officeDocument/2006/relationships/hyperlink" Target="2020_06\29.06.2020\79081" TargetMode="External"/><Relationship Id="rId2850" Type="http://schemas.openxmlformats.org/officeDocument/2006/relationships/hyperlink" Target="2020_08\03.08.2020\90044" TargetMode="External"/><Relationship Id="rId91" Type="http://schemas.openxmlformats.org/officeDocument/2006/relationships/hyperlink" Target="2019_10\31.10.2019\37196" TargetMode="External"/><Relationship Id="rId408" Type="http://schemas.openxmlformats.org/officeDocument/2006/relationships/hyperlink" Target="2019_11/28.11.2019/60329" TargetMode="External"/><Relationship Id="rId615" Type="http://schemas.openxmlformats.org/officeDocument/2006/relationships/hyperlink" Target="2019_12/23.12.2019/66274" TargetMode="External"/><Relationship Id="rId822" Type="http://schemas.openxmlformats.org/officeDocument/2006/relationships/hyperlink" Target="2020_01\14.01.2020\74506" TargetMode="External"/><Relationship Id="rId1038" Type="http://schemas.openxmlformats.org/officeDocument/2006/relationships/hyperlink" Target="2020_01\30.01.2020\0-915" TargetMode="External"/><Relationship Id="rId1245" Type="http://schemas.openxmlformats.org/officeDocument/2006/relationships/hyperlink" Target="2020_02\19.02.2020\-3651" TargetMode="External"/><Relationship Id="rId1452" Type="http://schemas.openxmlformats.org/officeDocument/2006/relationships/hyperlink" Target="2020_03\06.03.2020\22446" TargetMode="External"/><Relationship Id="rId2503" Type="http://schemas.openxmlformats.org/officeDocument/2006/relationships/hyperlink" Target="2020_06/16.06.2020/62633" TargetMode="External"/><Relationship Id="rId3901" Type="http://schemas.openxmlformats.org/officeDocument/2006/relationships/hyperlink" Target="2020_11/19.11.2020/138370" TargetMode="External"/><Relationship Id="rId1105" Type="http://schemas.openxmlformats.org/officeDocument/2006/relationships/hyperlink" Target="2020_02\03.02.2020\-2067" TargetMode="External"/><Relationship Id="rId1312" Type="http://schemas.openxmlformats.org/officeDocument/2006/relationships/hyperlink" Target="2020_02/26.02.2020/-7989" TargetMode="External"/><Relationship Id="rId2710" Type="http://schemas.openxmlformats.org/officeDocument/2006/relationships/hyperlink" Target="2020_07/07.07.2020/82590" TargetMode="External"/><Relationship Id="rId3277" Type="http://schemas.openxmlformats.org/officeDocument/2006/relationships/hyperlink" Target="2020_09/15.09.2020/115109" TargetMode="External"/><Relationship Id="rId198" Type="http://schemas.openxmlformats.org/officeDocument/2006/relationships/hyperlink" Target="2019_10\29.10.2019\35778" TargetMode="External"/><Relationship Id="rId2086" Type="http://schemas.openxmlformats.org/officeDocument/2006/relationships/hyperlink" Target="2020_06/05.06.2020/43135" TargetMode="External"/><Relationship Id="rId3484" Type="http://schemas.openxmlformats.org/officeDocument/2006/relationships/hyperlink" Target="2020_09/28.09.2020/129512" TargetMode="External"/><Relationship Id="rId3691" Type="http://schemas.openxmlformats.org/officeDocument/2006/relationships/hyperlink" Target="2020_10/14.10.2020/130414" TargetMode="External"/><Relationship Id="rId2293" Type="http://schemas.openxmlformats.org/officeDocument/2006/relationships/hyperlink" Target="2020_06\16.06.2020\61565" TargetMode="External"/><Relationship Id="rId3137" Type="http://schemas.openxmlformats.org/officeDocument/2006/relationships/hyperlink" Target="2020_08/28.08.2020/106070" TargetMode="External"/><Relationship Id="rId3344" Type="http://schemas.openxmlformats.org/officeDocument/2006/relationships/hyperlink" Target="2020_09\21.09.2020\126492" TargetMode="External"/><Relationship Id="rId3551" Type="http://schemas.openxmlformats.org/officeDocument/2006/relationships/hyperlink" Target="2020_10/05.10.2020/125574" TargetMode="External"/><Relationship Id="rId265" Type="http://schemas.openxmlformats.org/officeDocument/2006/relationships/hyperlink" Target="2019_11\07.11.2019\47513" TargetMode="External"/><Relationship Id="rId472" Type="http://schemas.openxmlformats.org/officeDocument/2006/relationships/hyperlink" Target="2019_12\10.12.2019\67143" TargetMode="External"/><Relationship Id="rId2153" Type="http://schemas.openxmlformats.org/officeDocument/2006/relationships/hyperlink" Target="2020_06/03.06.2020/42945" TargetMode="External"/><Relationship Id="rId2360" Type="http://schemas.openxmlformats.org/officeDocument/2006/relationships/hyperlink" Target="2020_06\09.06.2020\70502" TargetMode="External"/><Relationship Id="rId3204" Type="http://schemas.openxmlformats.org/officeDocument/2006/relationships/hyperlink" Target="2020_09\08.09.2020\103337" TargetMode="External"/><Relationship Id="rId3411" Type="http://schemas.openxmlformats.org/officeDocument/2006/relationships/hyperlink" Target="2020_09/22.09.2020/118701" TargetMode="External"/><Relationship Id="rId125" Type="http://schemas.openxmlformats.org/officeDocument/2006/relationships/hyperlink" Target="https://smp.sfurf.office/sd/operator/index.jsp;jsessionid=4B56FDB405CD332F2E4AE6AEC0BFEE05" TargetMode="External"/><Relationship Id="rId332" Type="http://schemas.openxmlformats.org/officeDocument/2006/relationships/hyperlink" Target="2019_12\05.12.2019\56271" TargetMode="External"/><Relationship Id="rId2013" Type="http://schemas.openxmlformats.org/officeDocument/2006/relationships/hyperlink" Target="2020_05/22.05.2020/46274" TargetMode="External"/><Relationship Id="rId2220" Type="http://schemas.openxmlformats.org/officeDocument/2006/relationships/hyperlink" Target="2020_06/11.06.2020/47097" TargetMode="External"/><Relationship Id="rId1779" Type="http://schemas.openxmlformats.org/officeDocument/2006/relationships/hyperlink" Target="2020_04\09.04.2020\38442" TargetMode="External"/><Relationship Id="rId1986" Type="http://schemas.openxmlformats.org/officeDocument/2006/relationships/hyperlink" Target="2020_05\25.05.2020\33213" TargetMode="External"/><Relationship Id="rId1639" Type="http://schemas.openxmlformats.org/officeDocument/2006/relationships/hyperlink" Target="2020_03\25.03.2020\33242" TargetMode="External"/><Relationship Id="rId1846" Type="http://schemas.openxmlformats.org/officeDocument/2006/relationships/hyperlink" Target="2020_05/19.05.2020/43942" TargetMode="External"/><Relationship Id="rId3061" Type="http://schemas.openxmlformats.org/officeDocument/2006/relationships/hyperlink" Target="2020_08/19.08.2020/100852" TargetMode="External"/><Relationship Id="rId1706" Type="http://schemas.openxmlformats.org/officeDocument/2006/relationships/hyperlink" Target="2020_03\27.03.2020\34891" TargetMode="External"/><Relationship Id="rId1913" Type="http://schemas.openxmlformats.org/officeDocument/2006/relationships/hyperlink" Target="2020_05/21.05.2020/45086" TargetMode="External"/><Relationship Id="rId3878" Type="http://schemas.openxmlformats.org/officeDocument/2006/relationships/hyperlink" Target="2020_11/17.11.2020/157605" TargetMode="External"/><Relationship Id="rId799" Type="http://schemas.openxmlformats.org/officeDocument/2006/relationships/hyperlink" Target="2020_01/13.01.2020/74132" TargetMode="External"/><Relationship Id="rId2687" Type="http://schemas.openxmlformats.org/officeDocument/2006/relationships/hyperlink" Target="2020_06\30.06.2020\79757" TargetMode="External"/><Relationship Id="rId2894" Type="http://schemas.openxmlformats.org/officeDocument/2006/relationships/hyperlink" Target="2020_08/06.08.2020/84075" TargetMode="External"/><Relationship Id="rId3738" Type="http://schemas.openxmlformats.org/officeDocument/2006/relationships/hyperlink" Target="2020_11/02.11.2020/141432" TargetMode="External"/><Relationship Id="rId659" Type="http://schemas.openxmlformats.org/officeDocument/2006/relationships/hyperlink" Target="2019_12/25.12.2019/76326" TargetMode="External"/><Relationship Id="rId866" Type="http://schemas.openxmlformats.org/officeDocument/2006/relationships/hyperlink" Target="2020_01\16.01.2020\76463" TargetMode="External"/><Relationship Id="rId1289" Type="http://schemas.openxmlformats.org/officeDocument/2006/relationships/hyperlink" Target="2020_02/21.02.2020/-5211" TargetMode="External"/><Relationship Id="rId1496" Type="http://schemas.openxmlformats.org/officeDocument/2006/relationships/hyperlink" Target="2020_03/11.03.2020/23308" TargetMode="External"/><Relationship Id="rId2547" Type="http://schemas.openxmlformats.org/officeDocument/2006/relationships/hyperlink" Target="2020_06/22.06.2020/75467" TargetMode="External"/><Relationship Id="rId3945" Type="http://schemas.openxmlformats.org/officeDocument/2006/relationships/hyperlink" Target="2020_12/10.12.2020/162954" TargetMode="External"/><Relationship Id="rId519" Type="http://schemas.openxmlformats.org/officeDocument/2006/relationships/hyperlink" Target="2019_12\16.12.2019\61930" TargetMode="External"/><Relationship Id="rId1149" Type="http://schemas.openxmlformats.org/officeDocument/2006/relationships/hyperlink" Target="2020_02\07.02.2020\89041" TargetMode="External"/><Relationship Id="rId1356" Type="http://schemas.openxmlformats.org/officeDocument/2006/relationships/hyperlink" Target="2020_02\27.02.2020\16797" TargetMode="External"/><Relationship Id="rId2754" Type="http://schemas.openxmlformats.org/officeDocument/2006/relationships/hyperlink" Target="2020_07/10.07.2020/77580" TargetMode="External"/><Relationship Id="rId2961" Type="http://schemas.openxmlformats.org/officeDocument/2006/relationships/hyperlink" Target="2020_08/12.08.2020/96198" TargetMode="External"/><Relationship Id="rId3805" Type="http://schemas.openxmlformats.org/officeDocument/2006/relationships/hyperlink" Target="2020_11/10.11.2020/153059" TargetMode="External"/><Relationship Id="rId726" Type="http://schemas.openxmlformats.org/officeDocument/2006/relationships/hyperlink" Target="2019_12/30.12.2019/71068" TargetMode="External"/><Relationship Id="rId933" Type="http://schemas.openxmlformats.org/officeDocument/2006/relationships/hyperlink" Target="2020_01\22.01.2020\87436" TargetMode="External"/><Relationship Id="rId1009" Type="http://schemas.openxmlformats.org/officeDocument/2006/relationships/hyperlink" Target="2020_01/28.01.2020/90717" TargetMode="External"/><Relationship Id="rId1563" Type="http://schemas.openxmlformats.org/officeDocument/2006/relationships/hyperlink" Target="2020_03\18.03.2020\18829" TargetMode="External"/><Relationship Id="rId1770" Type="http://schemas.openxmlformats.org/officeDocument/2006/relationships/hyperlink" Target="2020_04\08.04.2020\19208" TargetMode="External"/><Relationship Id="rId2407" Type="http://schemas.openxmlformats.org/officeDocument/2006/relationships/hyperlink" Target="2020_06\16.06.2020\62312" TargetMode="External"/><Relationship Id="rId2614" Type="http://schemas.openxmlformats.org/officeDocument/2006/relationships/hyperlink" Target="2020_06/26.06.2020/70847" TargetMode="External"/><Relationship Id="rId2821" Type="http://schemas.openxmlformats.org/officeDocument/2006/relationships/hyperlink" Target="2020_07/27.07.2020/85987" TargetMode="External"/><Relationship Id="rId62" Type="http://schemas.openxmlformats.org/officeDocument/2006/relationships/hyperlink" Target="https://smp.sfurf.office/sd/operator/" TargetMode="External"/><Relationship Id="rId1216" Type="http://schemas.openxmlformats.org/officeDocument/2006/relationships/hyperlink" Target="2020_02\12.02.2020\91451" TargetMode="External"/><Relationship Id="rId1423" Type="http://schemas.openxmlformats.org/officeDocument/2006/relationships/hyperlink" Target="2020_03\04.03.2020\11095" TargetMode="External"/><Relationship Id="rId1630" Type="http://schemas.openxmlformats.org/officeDocument/2006/relationships/hyperlink" Target="2020_03\23.03.2020\21691" TargetMode="External"/><Relationship Id="rId3388" Type="http://schemas.openxmlformats.org/officeDocument/2006/relationships/hyperlink" Target="2020_09/22.09.2020/125725" TargetMode="External"/><Relationship Id="rId3595" Type="http://schemas.openxmlformats.org/officeDocument/2006/relationships/hyperlink" Target="2020_10/07.10.2020/127713" TargetMode="External"/><Relationship Id="rId2197" Type="http://schemas.openxmlformats.org/officeDocument/2006/relationships/hyperlink" Target="2020_06/10.06.2020/46632" TargetMode="External"/><Relationship Id="rId3248" Type="http://schemas.openxmlformats.org/officeDocument/2006/relationships/hyperlink" Target="2020_09/09.09.2020/120028" TargetMode="External"/><Relationship Id="rId3455" Type="http://schemas.openxmlformats.org/officeDocument/2006/relationships/hyperlink" Target="2020_09/24.09.2020/120232" TargetMode="External"/><Relationship Id="rId3662" Type="http://schemas.openxmlformats.org/officeDocument/2006/relationships/hyperlink" Target="2020_10/13.10.2020/130885" TargetMode="External"/><Relationship Id="rId169" Type="http://schemas.openxmlformats.org/officeDocument/2006/relationships/hyperlink" Target="2019_10\25.10.2019\42282" TargetMode="External"/><Relationship Id="rId376" Type="http://schemas.openxmlformats.org/officeDocument/2006/relationships/hyperlink" Target="https://smp.sfurf.office/sd/operator/" TargetMode="External"/><Relationship Id="rId583" Type="http://schemas.openxmlformats.org/officeDocument/2006/relationships/hyperlink" Target="2019_12\19.12.2019\73318" TargetMode="External"/><Relationship Id="rId790" Type="http://schemas.openxmlformats.org/officeDocument/2006/relationships/hyperlink" Target="2020_01/10.01.2020/73368" TargetMode="External"/><Relationship Id="rId2057" Type="http://schemas.openxmlformats.org/officeDocument/2006/relationships/hyperlink" Target="2020_06/01.06.2020/59556" TargetMode="External"/><Relationship Id="rId2264" Type="http://schemas.openxmlformats.org/officeDocument/2006/relationships/hyperlink" Target="2020_06\16.06.2020\58170" TargetMode="External"/><Relationship Id="rId2471" Type="http://schemas.openxmlformats.org/officeDocument/2006/relationships/hyperlink" Target="2020_06/16.06.2020/51062" TargetMode="External"/><Relationship Id="rId3108" Type="http://schemas.openxmlformats.org/officeDocument/2006/relationships/hyperlink" Target="2020_08/27.08.2020/105707" TargetMode="External"/><Relationship Id="rId3315" Type="http://schemas.openxmlformats.org/officeDocument/2006/relationships/hyperlink" Target="2020_09/17.09.2020/116990" TargetMode="External"/><Relationship Id="rId3522" Type="http://schemas.openxmlformats.org/officeDocument/2006/relationships/hyperlink" Target="2020_10/01.10.2020/132171" TargetMode="External"/><Relationship Id="rId236" Type="http://schemas.openxmlformats.org/officeDocument/2006/relationships/hyperlink" Target="https://smp.sfurf.office/sd/operator/" TargetMode="External"/><Relationship Id="rId443" Type="http://schemas.openxmlformats.org/officeDocument/2006/relationships/hyperlink" Target="2019_12\10.12.2019\66660" TargetMode="External"/><Relationship Id="rId650" Type="http://schemas.openxmlformats.org/officeDocument/2006/relationships/hyperlink" Target="2019_12\25.12.2019\68075" TargetMode="External"/><Relationship Id="rId1073" Type="http://schemas.openxmlformats.org/officeDocument/2006/relationships/hyperlink" Target="2020_01\31.01.2020\0-919" TargetMode="External"/><Relationship Id="rId1280" Type="http://schemas.openxmlformats.org/officeDocument/2006/relationships/hyperlink" Target="2020_02/21.02.2020/-4993" TargetMode="External"/><Relationship Id="rId2124" Type="http://schemas.openxmlformats.org/officeDocument/2006/relationships/hyperlink" Target="2020_06/01.06.2020/63264" TargetMode="External"/><Relationship Id="rId2331" Type="http://schemas.openxmlformats.org/officeDocument/2006/relationships/hyperlink" Target="2020_06\16.06.2020\60870" TargetMode="External"/><Relationship Id="rId303" Type="http://schemas.openxmlformats.org/officeDocument/2006/relationships/hyperlink" Target="https://smp.sfurf.office/sd/operator/index.jsp;jsessionid=4B56FDB405CD332F2E4AE6AEC0BFEE05" TargetMode="External"/><Relationship Id="rId1140" Type="http://schemas.openxmlformats.org/officeDocument/2006/relationships/hyperlink" Target="2020_02\06.02.2020\88812" TargetMode="External"/><Relationship Id="rId510" Type="http://schemas.openxmlformats.org/officeDocument/2006/relationships/hyperlink" Target="2019_12\13.12.2019\70802" TargetMode="External"/><Relationship Id="rId1000" Type="http://schemas.openxmlformats.org/officeDocument/2006/relationships/hyperlink" Target="2020_01\27.01.2020\82851" TargetMode="External"/><Relationship Id="rId1957" Type="http://schemas.openxmlformats.org/officeDocument/2006/relationships/hyperlink" Target="2020_05\21.05.2020\36423" TargetMode="External"/><Relationship Id="rId1817" Type="http://schemas.openxmlformats.org/officeDocument/2006/relationships/hyperlink" Target="2020_05/13.05.2020/40148" TargetMode="External"/><Relationship Id="rId3172" Type="http://schemas.openxmlformats.org/officeDocument/2006/relationships/hyperlink" Target="2020_09/02.09.2020/108067" TargetMode="External"/><Relationship Id="rId3032" Type="http://schemas.openxmlformats.org/officeDocument/2006/relationships/hyperlink" Target="2020_08/14.08.2020/05993" TargetMode="External"/><Relationship Id="rId160" Type="http://schemas.openxmlformats.org/officeDocument/2006/relationships/hyperlink" Target="2019_11\11.11.2019\34369" TargetMode="External"/><Relationship Id="rId2798" Type="http://schemas.openxmlformats.org/officeDocument/2006/relationships/hyperlink" Target="2020_07/28.07.2020/86393" TargetMode="External"/><Relationship Id="rId3849" Type="http://schemas.openxmlformats.org/officeDocument/2006/relationships/hyperlink" Target="2020_11/16.11.2020/148582" TargetMode="External"/><Relationship Id="rId977" Type="http://schemas.openxmlformats.org/officeDocument/2006/relationships/hyperlink" Target="2020_01\27.01.2020\82946" TargetMode="External"/><Relationship Id="rId2658" Type="http://schemas.openxmlformats.org/officeDocument/2006/relationships/hyperlink" Target="2020_06\30.06.2020\72190" TargetMode="External"/><Relationship Id="rId2865" Type="http://schemas.openxmlformats.org/officeDocument/2006/relationships/hyperlink" Target="2020_08/04.08.2020/99727" TargetMode="External"/><Relationship Id="rId3709" Type="http://schemas.openxmlformats.org/officeDocument/2006/relationships/hyperlink" Target="2020_10/16.10.2020/132898" TargetMode="External"/><Relationship Id="rId3916" Type="http://schemas.openxmlformats.org/officeDocument/2006/relationships/hyperlink" Target="2020_11/18.11.2020/157852" TargetMode="External"/><Relationship Id="rId837" Type="http://schemas.openxmlformats.org/officeDocument/2006/relationships/hyperlink" Target="2020_01\15.01.2020\84501" TargetMode="External"/><Relationship Id="rId1467" Type="http://schemas.openxmlformats.org/officeDocument/2006/relationships/hyperlink" Target="2020_03\06.03.2020\22965" TargetMode="External"/><Relationship Id="rId1674" Type="http://schemas.openxmlformats.org/officeDocument/2006/relationships/hyperlink" Target="2020_03/26.03.2020/24850" TargetMode="External"/><Relationship Id="rId1881" Type="http://schemas.openxmlformats.org/officeDocument/2006/relationships/hyperlink" Target="2020_05\18.05.2020\33385" TargetMode="External"/><Relationship Id="rId2518" Type="http://schemas.openxmlformats.org/officeDocument/2006/relationships/hyperlink" Target="2020_06/19.06.2020/74811" TargetMode="External"/><Relationship Id="rId2725" Type="http://schemas.openxmlformats.org/officeDocument/2006/relationships/hyperlink" Target="2020_07/08.07.2020/75592" TargetMode="External"/><Relationship Id="rId2932" Type="http://schemas.openxmlformats.org/officeDocument/2006/relationships/hyperlink" Target="2020_08/11.08.2020/02823" TargetMode="External"/><Relationship Id="rId904" Type="http://schemas.openxmlformats.org/officeDocument/2006/relationships/hyperlink" Target="2020_01/20.01.2020/78179" TargetMode="External"/><Relationship Id="rId1327" Type="http://schemas.openxmlformats.org/officeDocument/2006/relationships/hyperlink" Target="2020_02/26.02.2020/16350" TargetMode="External"/><Relationship Id="rId1534" Type="http://schemas.openxmlformats.org/officeDocument/2006/relationships/hyperlink" Target="2020_03\16.03.2020\26932" TargetMode="External"/><Relationship Id="rId1741" Type="http://schemas.openxmlformats.org/officeDocument/2006/relationships/hyperlink" Target="2020_04\07.04.2020\27772" TargetMode="External"/><Relationship Id="rId33" Type="http://schemas.openxmlformats.org/officeDocument/2006/relationships/hyperlink" Target="https://smp.sfurf.office/sd/operator/" TargetMode="External"/><Relationship Id="rId1601" Type="http://schemas.openxmlformats.org/officeDocument/2006/relationships/hyperlink" Target="2020_03\20.03.2020\21190" TargetMode="External"/><Relationship Id="rId3499" Type="http://schemas.openxmlformats.org/officeDocument/2006/relationships/hyperlink" Target="2020_09\29.09.2020\130799" TargetMode="External"/><Relationship Id="rId3359" Type="http://schemas.openxmlformats.org/officeDocument/2006/relationships/hyperlink" Target="2020_09\18.09.2020\125068" TargetMode="External"/><Relationship Id="rId3566" Type="http://schemas.openxmlformats.org/officeDocument/2006/relationships/hyperlink" Target="2020_10/06.10.2020/118732" TargetMode="External"/><Relationship Id="rId487" Type="http://schemas.openxmlformats.org/officeDocument/2006/relationships/hyperlink" Target="2019_12/11.12.2019/59875" TargetMode="External"/><Relationship Id="rId694" Type="http://schemas.openxmlformats.org/officeDocument/2006/relationships/hyperlink" Target="2019_12/27.12.2019/77545" TargetMode="External"/><Relationship Id="rId2168" Type="http://schemas.openxmlformats.org/officeDocument/2006/relationships/hyperlink" Target="2020_06\15.06.2020\48985" TargetMode="External"/><Relationship Id="rId2375" Type="http://schemas.openxmlformats.org/officeDocument/2006/relationships/hyperlink" Target="2020_06/16.06.2020/56627" TargetMode="External"/><Relationship Id="rId3219" Type="http://schemas.openxmlformats.org/officeDocument/2006/relationships/hyperlink" Target="2020_09\09.09.2020\120315" TargetMode="External"/><Relationship Id="rId3773" Type="http://schemas.openxmlformats.org/officeDocument/2006/relationships/hyperlink" Target="2020_11/06.11.2020/143700" TargetMode="External"/><Relationship Id="rId3980" Type="http://schemas.openxmlformats.org/officeDocument/2006/relationships/hyperlink" Target="2020_12/18.12.2020/167638" TargetMode="External"/><Relationship Id="rId347" Type="http://schemas.openxmlformats.org/officeDocument/2006/relationships/hyperlink" Target="https://smp.sfurf.office/sd/operator/" TargetMode="External"/><Relationship Id="rId1184" Type="http://schemas.openxmlformats.org/officeDocument/2006/relationships/hyperlink" Target="2020_02\11.02.2020\-8032" TargetMode="External"/><Relationship Id="rId2028" Type="http://schemas.openxmlformats.org/officeDocument/2006/relationships/hyperlink" Target="2020_05/27.05.2020/52960" TargetMode="External"/><Relationship Id="rId2582" Type="http://schemas.openxmlformats.org/officeDocument/2006/relationships/hyperlink" Target="2020_06/23.06.2020/76049" TargetMode="External"/><Relationship Id="rId3426" Type="http://schemas.openxmlformats.org/officeDocument/2006/relationships/hyperlink" Target="2020_09/24.09.2020/128740" TargetMode="External"/><Relationship Id="rId3633" Type="http://schemas.openxmlformats.org/officeDocument/2006/relationships/hyperlink" Target="2020_10\09.10.2020\136356" TargetMode="External"/><Relationship Id="rId3840" Type="http://schemas.openxmlformats.org/officeDocument/2006/relationships/hyperlink" Target="2020_11/13.11.2020/155717" TargetMode="External"/><Relationship Id="rId554" Type="http://schemas.openxmlformats.org/officeDocument/2006/relationships/hyperlink" Target="2019_12\18.12.2019\63593" TargetMode="External"/><Relationship Id="rId761" Type="http://schemas.openxmlformats.org/officeDocument/2006/relationships/hyperlink" Target="2020_01\09.01.2020\80427" TargetMode="External"/><Relationship Id="rId1391" Type="http://schemas.openxmlformats.org/officeDocument/2006/relationships/hyperlink" Target="2020_03/03.03.2020/10312" TargetMode="External"/><Relationship Id="rId2235" Type="http://schemas.openxmlformats.org/officeDocument/2006/relationships/hyperlink" Target="2020_06/02.06.2020/65747" TargetMode="External"/><Relationship Id="rId2442" Type="http://schemas.openxmlformats.org/officeDocument/2006/relationships/hyperlink" Target="2020_06/16.06.2020/63339" TargetMode="External"/><Relationship Id="rId3700" Type="http://schemas.openxmlformats.org/officeDocument/2006/relationships/hyperlink" Target="2020_10\15.10.2020\124701" TargetMode="External"/><Relationship Id="rId207" Type="http://schemas.openxmlformats.org/officeDocument/2006/relationships/hyperlink" Target="https://smp.sfurf.office/sd/operator/" TargetMode="External"/><Relationship Id="rId414" Type="http://schemas.openxmlformats.org/officeDocument/2006/relationships/hyperlink" Target="https://smp.sfurf.office/sd/operator/" TargetMode="External"/><Relationship Id="rId621" Type="http://schemas.openxmlformats.org/officeDocument/2006/relationships/hyperlink" Target="2019_12\24.12.2019\67016" TargetMode="External"/><Relationship Id="rId1044" Type="http://schemas.openxmlformats.org/officeDocument/2006/relationships/hyperlink" Target="2020_01\30.01.2020\85034" TargetMode="External"/><Relationship Id="rId1251" Type="http://schemas.openxmlformats.org/officeDocument/2006/relationships/hyperlink" Target="2020_02\19.02.2020\-3835" TargetMode="External"/><Relationship Id="rId2302" Type="http://schemas.openxmlformats.org/officeDocument/2006/relationships/hyperlink" Target="2020_06/16.06.2020/54008" TargetMode="External"/><Relationship Id="rId1111" Type="http://schemas.openxmlformats.org/officeDocument/2006/relationships/hyperlink" Target="2020_02\05.02.2020\87427" TargetMode="External"/><Relationship Id="rId3076" Type="http://schemas.openxmlformats.org/officeDocument/2006/relationships/hyperlink" Target="2020_08/21.08.2020/102332" TargetMode="External"/><Relationship Id="rId3283" Type="http://schemas.openxmlformats.org/officeDocument/2006/relationships/hyperlink" Target="2020_09\15.09.2020\122470" TargetMode="External"/><Relationship Id="rId3490" Type="http://schemas.openxmlformats.org/officeDocument/2006/relationships/hyperlink" Target="2020_09/29.09.2020/123368" TargetMode="External"/><Relationship Id="rId1928" Type="http://schemas.openxmlformats.org/officeDocument/2006/relationships/hyperlink" Target="2020_05/20.05.2020/34547" TargetMode="External"/><Relationship Id="rId2092" Type="http://schemas.openxmlformats.org/officeDocument/2006/relationships/hyperlink" Target="2020_06/01.06.2020/60876" TargetMode="External"/><Relationship Id="rId3143" Type="http://schemas.openxmlformats.org/officeDocument/2006/relationships/hyperlink" Target="2020_08/31.08.2020/114415" TargetMode="External"/><Relationship Id="rId3350" Type="http://schemas.openxmlformats.org/officeDocument/2006/relationships/hyperlink" Target="2020_09/21.09.2020/118219" TargetMode="External"/><Relationship Id="rId271" Type="http://schemas.openxmlformats.org/officeDocument/2006/relationships/hyperlink" Target="https://smp.sfurf.office/sd/operator/" TargetMode="External"/><Relationship Id="rId3003" Type="http://schemas.openxmlformats.org/officeDocument/2006/relationships/hyperlink" Target="2020_08/14.08.2020/97553" TargetMode="External"/><Relationship Id="rId131" Type="http://schemas.openxmlformats.org/officeDocument/2006/relationships/hyperlink" Target="..\Users\shilyaevan\AppData\Roaming\Microsoft\Excel\2019_10\21.10.2019\31807" TargetMode="External"/><Relationship Id="rId3210" Type="http://schemas.openxmlformats.org/officeDocument/2006/relationships/hyperlink" Target="2020_09/08.09.2020/111429" TargetMode="External"/><Relationship Id="rId2769" Type="http://schemas.openxmlformats.org/officeDocument/2006/relationships/hyperlink" Target="2020_07\23.07.2020\83983" TargetMode="External"/><Relationship Id="rId2976" Type="http://schemas.openxmlformats.org/officeDocument/2006/relationships/hyperlink" Target="2020_08/13.08.2020/96612" TargetMode="External"/><Relationship Id="rId948" Type="http://schemas.openxmlformats.org/officeDocument/2006/relationships/hyperlink" Target="2020_01\22.01.2020\87793" TargetMode="External"/><Relationship Id="rId1578" Type="http://schemas.openxmlformats.org/officeDocument/2006/relationships/hyperlink" Target="2020_03\18.03.2020\20448" TargetMode="External"/><Relationship Id="rId1785" Type="http://schemas.openxmlformats.org/officeDocument/2006/relationships/hyperlink" Target="2020_04\08.04.2020\37447" TargetMode="External"/><Relationship Id="rId1992" Type="http://schemas.openxmlformats.org/officeDocument/2006/relationships/hyperlink" Target="2020_05/26.05.2020/39719" TargetMode="External"/><Relationship Id="rId2629" Type="http://schemas.openxmlformats.org/officeDocument/2006/relationships/hyperlink" Target="2020_06/25.06.2020/69324" TargetMode="External"/><Relationship Id="rId2836" Type="http://schemas.openxmlformats.org/officeDocument/2006/relationships/hyperlink" Target="2020_08/04.08.2020/90620" TargetMode="External"/><Relationship Id="rId77" Type="http://schemas.openxmlformats.org/officeDocument/2006/relationships/hyperlink" Target="https://smp.sfurf.office/sd/operator/index.jsp;jsessionid=4B56FDB405CD332F2E4AE6AEC0BFEE05" TargetMode="External"/><Relationship Id="rId808" Type="http://schemas.openxmlformats.org/officeDocument/2006/relationships/hyperlink" Target="2020_01\14.01.2020\61953" TargetMode="External"/><Relationship Id="rId1438" Type="http://schemas.openxmlformats.org/officeDocument/2006/relationships/hyperlink" Target="2020_03\05.03.2020\12316" TargetMode="External"/><Relationship Id="rId1645" Type="http://schemas.openxmlformats.org/officeDocument/2006/relationships/hyperlink" Target="2020_03\24.03.2020\32068" TargetMode="External"/><Relationship Id="rId1852" Type="http://schemas.openxmlformats.org/officeDocument/2006/relationships/hyperlink" Target="2020_05/13.05.2020/21482" TargetMode="External"/><Relationship Id="rId2903" Type="http://schemas.openxmlformats.org/officeDocument/2006/relationships/hyperlink" Target="2020_08\07.08.2020\93805" TargetMode="External"/><Relationship Id="rId1505" Type="http://schemas.openxmlformats.org/officeDocument/2006/relationships/hyperlink" Target="2020_03\12.03.2020\16077" TargetMode="External"/><Relationship Id="rId1712" Type="http://schemas.openxmlformats.org/officeDocument/2006/relationships/hyperlink" Target="2020_04\06.04.2020\35995" TargetMode="External"/><Relationship Id="rId3677" Type="http://schemas.openxmlformats.org/officeDocument/2006/relationships/hyperlink" Target="2020_10\13.10.2020\130873" TargetMode="External"/><Relationship Id="rId3884" Type="http://schemas.openxmlformats.org/officeDocument/2006/relationships/hyperlink" Target="2020_11/18.11.2020/149730" TargetMode="External"/><Relationship Id="rId598" Type="http://schemas.openxmlformats.org/officeDocument/2006/relationships/hyperlink" Target="2019_12\20.12.2019\73579" TargetMode="External"/><Relationship Id="rId2279" Type="http://schemas.openxmlformats.org/officeDocument/2006/relationships/hyperlink" Target="2020_06/16.06.2020/50780" TargetMode="External"/><Relationship Id="rId2486" Type="http://schemas.openxmlformats.org/officeDocument/2006/relationships/hyperlink" Target="2020_06/17.06.2020/66188" TargetMode="External"/><Relationship Id="rId2693" Type="http://schemas.openxmlformats.org/officeDocument/2006/relationships/hyperlink" Target="2020_07/03.07.2020/74090" TargetMode="External"/><Relationship Id="rId3537" Type="http://schemas.openxmlformats.org/officeDocument/2006/relationships/hyperlink" Target="2020_10/01.10.2020/123848" TargetMode="External"/><Relationship Id="rId3744" Type="http://schemas.openxmlformats.org/officeDocument/2006/relationships/hyperlink" Target="2020_11/02.11.2020/141552" TargetMode="External"/><Relationship Id="rId3951" Type="http://schemas.openxmlformats.org/officeDocument/2006/relationships/hyperlink" Target="2020_12/11.12.2020/163816" TargetMode="External"/><Relationship Id="rId458" Type="http://schemas.openxmlformats.org/officeDocument/2006/relationships/hyperlink" Target="2019_12\09.12.2019\53078" TargetMode="External"/><Relationship Id="rId665" Type="http://schemas.openxmlformats.org/officeDocument/2006/relationships/hyperlink" Target="2019_12/26.12.2019/69250" TargetMode="External"/><Relationship Id="rId872" Type="http://schemas.openxmlformats.org/officeDocument/2006/relationships/hyperlink" Target="2020_01/16.01.2020/84486" TargetMode="External"/><Relationship Id="rId1088" Type="http://schemas.openxmlformats.org/officeDocument/2006/relationships/hyperlink" Target="2020_01/31.01.2020/0-724" TargetMode="External"/><Relationship Id="rId1295" Type="http://schemas.openxmlformats.org/officeDocument/2006/relationships/hyperlink" Target="2020_02/25.02.2020/-6431" TargetMode="External"/><Relationship Id="rId2139" Type="http://schemas.openxmlformats.org/officeDocument/2006/relationships/hyperlink" Target="2020_06\01.06.2020\61567" TargetMode="External"/><Relationship Id="rId2346" Type="http://schemas.openxmlformats.org/officeDocument/2006/relationships/hyperlink" Target="2020_06/16.06.2020/59660" TargetMode="External"/><Relationship Id="rId2553" Type="http://schemas.openxmlformats.org/officeDocument/2006/relationships/hyperlink" Target="2020_06/23.06.2020/55183" TargetMode="External"/><Relationship Id="rId2760" Type="http://schemas.openxmlformats.org/officeDocument/2006/relationships/hyperlink" Target="2020_07/10.07.2020/73560" TargetMode="External"/><Relationship Id="rId3604" Type="http://schemas.openxmlformats.org/officeDocument/2006/relationships/hyperlink" Target="2020_10/08.10.2020/128379" TargetMode="External"/><Relationship Id="rId3811" Type="http://schemas.openxmlformats.org/officeDocument/2006/relationships/hyperlink" Target="2020_11/09.11.2020/144665" TargetMode="External"/><Relationship Id="rId318" Type="http://schemas.openxmlformats.org/officeDocument/2006/relationships/hyperlink" Target="2019_12\03.12.2019\54137" TargetMode="External"/><Relationship Id="rId525" Type="http://schemas.openxmlformats.org/officeDocument/2006/relationships/hyperlink" Target="2019_12\16.12.2019\71272" TargetMode="External"/><Relationship Id="rId732" Type="http://schemas.openxmlformats.org/officeDocument/2006/relationships/hyperlink" Target="2019_12/31.12.2019/72185" TargetMode="External"/><Relationship Id="rId1155" Type="http://schemas.openxmlformats.org/officeDocument/2006/relationships/hyperlink" Target="2020_02\12.02.2020\-8165" TargetMode="External"/><Relationship Id="rId1362" Type="http://schemas.openxmlformats.org/officeDocument/2006/relationships/hyperlink" Target="2020_02\28.02.2020\-9696" TargetMode="External"/><Relationship Id="rId2206" Type="http://schemas.openxmlformats.org/officeDocument/2006/relationships/hyperlink" Target="2020_06/09.06.2020/46237" TargetMode="External"/><Relationship Id="rId2413" Type="http://schemas.openxmlformats.org/officeDocument/2006/relationships/hyperlink" Target="2020_06/16.06.2020/51528" TargetMode="External"/><Relationship Id="rId2620" Type="http://schemas.openxmlformats.org/officeDocument/2006/relationships/hyperlink" Target="2020_06/25.06.2020/77789" TargetMode="External"/><Relationship Id="rId1015" Type="http://schemas.openxmlformats.org/officeDocument/2006/relationships/hyperlink" Target="2020_01/28.01.2020/82974" TargetMode="External"/><Relationship Id="rId1222" Type="http://schemas.openxmlformats.org/officeDocument/2006/relationships/hyperlink" Target="2020_02/12.02.2020/-8682" TargetMode="External"/><Relationship Id="rId3187" Type="http://schemas.openxmlformats.org/officeDocument/2006/relationships/hyperlink" Target="2020_09/03.09.2020/108998" TargetMode="External"/><Relationship Id="rId3394" Type="http://schemas.openxmlformats.org/officeDocument/2006/relationships/hyperlink" Target="2020_09/22.09.2020/126956" TargetMode="External"/><Relationship Id="rId3047" Type="http://schemas.openxmlformats.org/officeDocument/2006/relationships/hyperlink" Target="2020_08/18.08.2020/108102" TargetMode="External"/><Relationship Id="rId175" Type="http://schemas.openxmlformats.org/officeDocument/2006/relationships/hyperlink" Target="https://smp.sfurf.office/sd/operator/index.jsp;jsessionid=4B56FDB405CD332F2E4AE6AEC0BFEE05" TargetMode="External"/><Relationship Id="rId3254" Type="http://schemas.openxmlformats.org/officeDocument/2006/relationships/hyperlink" Target="2020_09/11.09.2020/121956" TargetMode="External"/><Relationship Id="rId3461" Type="http://schemas.openxmlformats.org/officeDocument/2006/relationships/hyperlink" Target="2020_09\24.09.2020\127962" TargetMode="External"/><Relationship Id="rId382" Type="http://schemas.openxmlformats.org/officeDocument/2006/relationships/hyperlink" Target="2019_11\27.11.2019\59774" TargetMode="External"/><Relationship Id="rId2063" Type="http://schemas.openxmlformats.org/officeDocument/2006/relationships/hyperlink" Target="2020_06\01.06.2020\59655" TargetMode="External"/><Relationship Id="rId2270" Type="http://schemas.openxmlformats.org/officeDocument/2006/relationships/hyperlink" Target="2020_06/16.06.2020/52431" TargetMode="External"/><Relationship Id="rId3114" Type="http://schemas.openxmlformats.org/officeDocument/2006/relationships/hyperlink" Target="2020_08\27.08.2020\104599" TargetMode="External"/><Relationship Id="rId3321" Type="http://schemas.openxmlformats.org/officeDocument/2006/relationships/hyperlink" Target="2020_09\16.09.2020\116078" TargetMode="External"/><Relationship Id="rId242" Type="http://schemas.openxmlformats.org/officeDocument/2006/relationships/hyperlink" Target="https://smp.sfurf.office/sd/operator/" TargetMode="External"/><Relationship Id="rId2130" Type="http://schemas.openxmlformats.org/officeDocument/2006/relationships/hyperlink" Target="2020_06/10.06.2020/47413" TargetMode="External"/><Relationship Id="rId102" Type="http://schemas.openxmlformats.org/officeDocument/2006/relationships/hyperlink" Target="2019_10\18.10.2019\37857" TargetMode="External"/><Relationship Id="rId1689" Type="http://schemas.openxmlformats.org/officeDocument/2006/relationships/hyperlink" Target="2020_03\26.03.2020\24258" TargetMode="External"/><Relationship Id="rId1896" Type="http://schemas.openxmlformats.org/officeDocument/2006/relationships/hyperlink" Target="2020_05/18.05.2020/33374" TargetMode="External"/><Relationship Id="rId2947" Type="http://schemas.openxmlformats.org/officeDocument/2006/relationships/hyperlink" Target="2020_08/12.08.2020/95987" TargetMode="External"/><Relationship Id="rId919" Type="http://schemas.openxmlformats.org/officeDocument/2006/relationships/hyperlink" Target="2020_01/21.01.2020/86730" TargetMode="External"/><Relationship Id="rId1549" Type="http://schemas.openxmlformats.org/officeDocument/2006/relationships/hyperlink" Target="2020_03\17.03.2020\18131" TargetMode="External"/><Relationship Id="rId1756" Type="http://schemas.openxmlformats.org/officeDocument/2006/relationships/hyperlink" Target="2020_04/08.04.2020/28306" TargetMode="External"/><Relationship Id="rId1963" Type="http://schemas.openxmlformats.org/officeDocument/2006/relationships/hyperlink" Target="2020_05\22.05.2020\37561" TargetMode="External"/><Relationship Id="rId2807" Type="http://schemas.openxmlformats.org/officeDocument/2006/relationships/hyperlink" Target="2020_07\29.07.2020\95902" TargetMode="External"/><Relationship Id="rId48" Type="http://schemas.openxmlformats.org/officeDocument/2006/relationships/hyperlink" Target="https://smp.sfurf.office/sd/operator/" TargetMode="External"/><Relationship Id="rId1409" Type="http://schemas.openxmlformats.org/officeDocument/2006/relationships/hyperlink" Target="2020_03/03.03.2020/10345" TargetMode="External"/><Relationship Id="rId1616" Type="http://schemas.openxmlformats.org/officeDocument/2006/relationships/hyperlink" Target="2020_03\23.03.2020\22110" TargetMode="External"/><Relationship Id="rId1823" Type="http://schemas.openxmlformats.org/officeDocument/2006/relationships/hyperlink" Target="2020_05\13.05.2020\30289" TargetMode="External"/><Relationship Id="rId3788" Type="http://schemas.openxmlformats.org/officeDocument/2006/relationships/hyperlink" Target="2020_11/10.11.2020/137962" TargetMode="External"/><Relationship Id="rId2597" Type="http://schemas.openxmlformats.org/officeDocument/2006/relationships/hyperlink" Target="2020_06/25.06.2020/70555" TargetMode="External"/><Relationship Id="rId3648" Type="http://schemas.openxmlformats.org/officeDocument/2006/relationships/hyperlink" Target="2020_10/12.10.2020/129995" TargetMode="External"/><Relationship Id="rId3855" Type="http://schemas.openxmlformats.org/officeDocument/2006/relationships/hyperlink" Target="2020_11/13.11.2020/155896" TargetMode="External"/><Relationship Id="rId569" Type="http://schemas.openxmlformats.org/officeDocument/2006/relationships/hyperlink" Target="2019_12\19.12.2019\64815" TargetMode="External"/><Relationship Id="rId776" Type="http://schemas.openxmlformats.org/officeDocument/2006/relationships/hyperlink" Target="2020_01/09.01.2020/80453" TargetMode="External"/><Relationship Id="rId983" Type="http://schemas.openxmlformats.org/officeDocument/2006/relationships/hyperlink" Target="2020_01/27.01.2020/81820" TargetMode="External"/><Relationship Id="rId1199" Type="http://schemas.openxmlformats.org/officeDocument/2006/relationships/hyperlink" Target="2020_02\11.02.2020\-6912" TargetMode="External"/><Relationship Id="rId2457" Type="http://schemas.openxmlformats.org/officeDocument/2006/relationships/hyperlink" Target="2020_06/16.06.2020/55114" TargetMode="External"/><Relationship Id="rId2664" Type="http://schemas.openxmlformats.org/officeDocument/2006/relationships/hyperlink" Target="2020_07/02.07.2020/80386" TargetMode="External"/><Relationship Id="rId3508" Type="http://schemas.openxmlformats.org/officeDocument/2006/relationships/hyperlink" Target="2020_09/30.09.2020/131156" TargetMode="External"/><Relationship Id="rId429" Type="http://schemas.openxmlformats.org/officeDocument/2006/relationships/hyperlink" Target="https://smp.sfurf.office/sd/operator/" TargetMode="External"/><Relationship Id="rId636" Type="http://schemas.openxmlformats.org/officeDocument/2006/relationships/hyperlink" Target="2019_12/24.12.2019/67151" TargetMode="External"/><Relationship Id="rId1059" Type="http://schemas.openxmlformats.org/officeDocument/2006/relationships/hyperlink" Target="2020_01\31.01.2020\0-719" TargetMode="External"/><Relationship Id="rId1266" Type="http://schemas.openxmlformats.org/officeDocument/2006/relationships/hyperlink" Target="2020_02/20.02.2020/-4452" TargetMode="External"/><Relationship Id="rId1473" Type="http://schemas.openxmlformats.org/officeDocument/2006/relationships/hyperlink" Target="2020_03\10.03.2020\13639" TargetMode="External"/><Relationship Id="rId2317" Type="http://schemas.openxmlformats.org/officeDocument/2006/relationships/hyperlink" Target="2020_06/16.06.2020/59600" TargetMode="External"/><Relationship Id="rId2871" Type="http://schemas.openxmlformats.org/officeDocument/2006/relationships/hyperlink" Target="2020_08/06.08.2020/84282" TargetMode="External"/><Relationship Id="rId3715" Type="http://schemas.openxmlformats.org/officeDocument/2006/relationships/hyperlink" Target="2020_10/15.10.2020/132060" TargetMode="External"/><Relationship Id="rId3922" Type="http://schemas.openxmlformats.org/officeDocument/2006/relationships/hyperlink" Target="2020_11/20.11.2020/151878" TargetMode="External"/><Relationship Id="rId843" Type="http://schemas.openxmlformats.org/officeDocument/2006/relationships/hyperlink" Target="2020_01/15.01.2020/83757" TargetMode="External"/><Relationship Id="rId1126" Type="http://schemas.openxmlformats.org/officeDocument/2006/relationships/hyperlink" Target="2020_02\05.02.2020\-3518" TargetMode="External"/><Relationship Id="rId1680" Type="http://schemas.openxmlformats.org/officeDocument/2006/relationships/hyperlink" Target="2020_03\26.03.2020\24867" TargetMode="External"/><Relationship Id="rId2524" Type="http://schemas.openxmlformats.org/officeDocument/2006/relationships/hyperlink" Target="2020_06\18.06.2020\67139" TargetMode="External"/><Relationship Id="rId2731" Type="http://schemas.openxmlformats.org/officeDocument/2006/relationships/hyperlink" Target="2020_07/09.07.2020/84020" TargetMode="External"/><Relationship Id="rId703" Type="http://schemas.openxmlformats.org/officeDocument/2006/relationships/hyperlink" Target="2019_12\30.12.2019\70444" TargetMode="External"/><Relationship Id="rId910" Type="http://schemas.openxmlformats.org/officeDocument/2006/relationships/hyperlink" Target="2020_01/20.01.2020/86131" TargetMode="External"/><Relationship Id="rId1333" Type="http://schemas.openxmlformats.org/officeDocument/2006/relationships/hyperlink" Target="2020_02/26.02.2020/-7351" TargetMode="External"/><Relationship Id="rId1540" Type="http://schemas.openxmlformats.org/officeDocument/2006/relationships/hyperlink" Target="2020_03\16.03.2020\17646" TargetMode="External"/><Relationship Id="rId1400" Type="http://schemas.openxmlformats.org/officeDocument/2006/relationships/hyperlink" Target="2020_03\02.03.2020\10031" TargetMode="External"/><Relationship Id="rId3298" Type="http://schemas.openxmlformats.org/officeDocument/2006/relationships/hyperlink" Target="2020_09\16.09.2020\116249" TargetMode="External"/><Relationship Id="rId3158" Type="http://schemas.openxmlformats.org/officeDocument/2006/relationships/hyperlink" Target="2020_09\01.09.2020\107090" TargetMode="External"/><Relationship Id="rId3365" Type="http://schemas.openxmlformats.org/officeDocument/2006/relationships/hyperlink" Target="2020_09/22.09.2020/118590" TargetMode="External"/><Relationship Id="rId3572" Type="http://schemas.openxmlformats.org/officeDocument/2006/relationships/hyperlink" Target="2020_10\06.10.2020\126966" TargetMode="External"/><Relationship Id="rId286" Type="http://schemas.openxmlformats.org/officeDocument/2006/relationships/hyperlink" Target="2019_11\11.11.2019\49679" TargetMode="External"/><Relationship Id="rId493" Type="http://schemas.openxmlformats.org/officeDocument/2006/relationships/hyperlink" Target="2019_12\12.12.2019\69727" TargetMode="External"/><Relationship Id="rId2174" Type="http://schemas.openxmlformats.org/officeDocument/2006/relationships/hyperlink" Target="2020_05/25.05.2020/44788" TargetMode="External"/><Relationship Id="rId2381" Type="http://schemas.openxmlformats.org/officeDocument/2006/relationships/hyperlink" Target="2020_06/16.06.2020/53048" TargetMode="External"/><Relationship Id="rId3018" Type="http://schemas.openxmlformats.org/officeDocument/2006/relationships/hyperlink" Target="2020_08/19.08.2020/00343" TargetMode="External"/><Relationship Id="rId3225" Type="http://schemas.openxmlformats.org/officeDocument/2006/relationships/hyperlink" Target="2020_09/09.09.2020/120299" TargetMode="External"/><Relationship Id="rId3432" Type="http://schemas.openxmlformats.org/officeDocument/2006/relationships/hyperlink" Target="2020_09\23.09.2020\119776" TargetMode="External"/><Relationship Id="rId146" Type="http://schemas.openxmlformats.org/officeDocument/2006/relationships/hyperlink" Target="2019_11\07.11.2019\39995" TargetMode="External"/><Relationship Id="rId353" Type="http://schemas.openxmlformats.org/officeDocument/2006/relationships/hyperlink" Target="https://smp.sfurf.office/sd/operator/" TargetMode="External"/><Relationship Id="rId560" Type="http://schemas.openxmlformats.org/officeDocument/2006/relationships/hyperlink" Target="2019_12\18.12.2019\64038" TargetMode="External"/><Relationship Id="rId1190" Type="http://schemas.openxmlformats.org/officeDocument/2006/relationships/hyperlink" Target="2020_02/11.02.2020/90716" TargetMode="External"/><Relationship Id="rId2034" Type="http://schemas.openxmlformats.org/officeDocument/2006/relationships/hyperlink" Target="2020_05/13.05.2020/39265" TargetMode="External"/><Relationship Id="rId2241" Type="http://schemas.openxmlformats.org/officeDocument/2006/relationships/hyperlink" Target="2020_06/01.06.2020/63638" TargetMode="External"/><Relationship Id="rId213" Type="http://schemas.openxmlformats.org/officeDocument/2006/relationships/hyperlink" Target="..\..\2019_11\28.11.2019\43845" TargetMode="External"/><Relationship Id="rId420" Type="http://schemas.openxmlformats.org/officeDocument/2006/relationships/hyperlink" Target="2019_12\03.12.2019\63068" TargetMode="External"/><Relationship Id="rId1050" Type="http://schemas.openxmlformats.org/officeDocument/2006/relationships/hyperlink" Target="2020_01\31.01.2020\0-957" TargetMode="External"/><Relationship Id="rId2101" Type="http://schemas.openxmlformats.org/officeDocument/2006/relationships/hyperlink" Target="2020_06\01.06.2020\61571" TargetMode="External"/><Relationship Id="rId1867" Type="http://schemas.openxmlformats.org/officeDocument/2006/relationships/hyperlink" Target="2020_05/15.05.2020/32092" TargetMode="External"/><Relationship Id="rId2918" Type="http://schemas.openxmlformats.org/officeDocument/2006/relationships/hyperlink" Target="2020_08/10.08.2020/03300" TargetMode="External"/><Relationship Id="rId1727" Type="http://schemas.openxmlformats.org/officeDocument/2006/relationships/hyperlink" Target="2020_04/06.04.2020/26757" TargetMode="External"/><Relationship Id="rId1934" Type="http://schemas.openxmlformats.org/officeDocument/2006/relationships/hyperlink" Target="2020_05/20.05.2020/34702" TargetMode="External"/><Relationship Id="rId3082" Type="http://schemas.openxmlformats.org/officeDocument/2006/relationships/hyperlink" Target="2020_08\25.08.2020\103005" TargetMode="External"/><Relationship Id="rId19" Type="http://schemas.openxmlformats.org/officeDocument/2006/relationships/hyperlink" Target="https://smp.sfurf.office/sd/operator/index.jsp;jsessionid=4B56FDB405CD332F2E4AE6AEC0BFEE05" TargetMode="External"/><Relationship Id="rId3899" Type="http://schemas.openxmlformats.org/officeDocument/2006/relationships/hyperlink" Target="2020_11/19.11.2020/158934" TargetMode="External"/><Relationship Id="rId3759" Type="http://schemas.openxmlformats.org/officeDocument/2006/relationships/hyperlink" Target="2020_11/03.11.2020/142453" TargetMode="External"/><Relationship Id="rId3966" Type="http://schemas.openxmlformats.org/officeDocument/2006/relationships/hyperlink" Target="2020_12/16.12.2020/166406" TargetMode="External"/><Relationship Id="rId3" Type="http://schemas.openxmlformats.org/officeDocument/2006/relationships/hyperlink" Target="https://smp.sfurf.office/sd/operator/index.jsp;jsessionid=4B56FDB405CD332F2E4AE6AEC0BFEE05" TargetMode="External"/><Relationship Id="rId887" Type="http://schemas.openxmlformats.org/officeDocument/2006/relationships/hyperlink" Target="2020_01/17.01.2020/64290" TargetMode="External"/><Relationship Id="rId2568" Type="http://schemas.openxmlformats.org/officeDocument/2006/relationships/hyperlink" Target="2020_06/22.06.2020/67985" TargetMode="External"/><Relationship Id="rId2775" Type="http://schemas.openxmlformats.org/officeDocument/2006/relationships/hyperlink" Target="2020_07\24.07.2020\94383" TargetMode="External"/><Relationship Id="rId2982" Type="http://schemas.openxmlformats.org/officeDocument/2006/relationships/hyperlink" Target="2020_08/13.08.2020/97297" TargetMode="External"/><Relationship Id="rId3619" Type="http://schemas.openxmlformats.org/officeDocument/2006/relationships/hyperlink" Target="2020_10/08.10.2020/135664" TargetMode="External"/><Relationship Id="rId3826" Type="http://schemas.openxmlformats.org/officeDocument/2006/relationships/hyperlink" Target="2020_11/12.11.2020/146974" TargetMode="External"/><Relationship Id="rId747" Type="http://schemas.openxmlformats.org/officeDocument/2006/relationships/hyperlink" Target="2019_12/31.12.2019/79778" TargetMode="External"/><Relationship Id="rId954" Type="http://schemas.openxmlformats.org/officeDocument/2006/relationships/hyperlink" Target="2020_01\23.01.2020\80679" TargetMode="External"/><Relationship Id="rId1377" Type="http://schemas.openxmlformats.org/officeDocument/2006/relationships/hyperlink" Target="2020_03/02.03.2020/10541" TargetMode="External"/><Relationship Id="rId1584" Type="http://schemas.openxmlformats.org/officeDocument/2006/relationships/hyperlink" Target="2020_03/19.03.2020/28587" TargetMode="External"/><Relationship Id="rId1791" Type="http://schemas.openxmlformats.org/officeDocument/2006/relationships/hyperlink" Target="2020_05/07.05.2020/27275" TargetMode="External"/><Relationship Id="rId2428" Type="http://schemas.openxmlformats.org/officeDocument/2006/relationships/hyperlink" Target="2020_06/15.06.2020/72042" TargetMode="External"/><Relationship Id="rId2635" Type="http://schemas.openxmlformats.org/officeDocument/2006/relationships/hyperlink" Target="2020_06\29.06.2020\71681" TargetMode="External"/><Relationship Id="rId2842" Type="http://schemas.openxmlformats.org/officeDocument/2006/relationships/hyperlink" Target="2020_08/03.08.2020/89929" TargetMode="External"/><Relationship Id="rId83" Type="http://schemas.openxmlformats.org/officeDocument/2006/relationships/hyperlink" Target="../Users/shilyaevan/AppData/Roaming/Microsoft/Excel/2019_10/16.10.2019/36544" TargetMode="External"/><Relationship Id="rId607" Type="http://schemas.openxmlformats.org/officeDocument/2006/relationships/hyperlink" Target="2019_12\23.12.2019\74396" TargetMode="External"/><Relationship Id="rId814" Type="http://schemas.openxmlformats.org/officeDocument/2006/relationships/hyperlink" Target="2020_01\13.01.2020\82752" TargetMode="External"/><Relationship Id="rId1237" Type="http://schemas.openxmlformats.org/officeDocument/2006/relationships/hyperlink" Target="2020_02/18.02.2020/-2153" TargetMode="External"/><Relationship Id="rId1444" Type="http://schemas.openxmlformats.org/officeDocument/2006/relationships/hyperlink" Target="2020_03\05.03.2020\21863" TargetMode="External"/><Relationship Id="rId1651" Type="http://schemas.openxmlformats.org/officeDocument/2006/relationships/hyperlink" Target="2020_03\24.03.2020\22684" TargetMode="External"/><Relationship Id="rId2702" Type="http://schemas.openxmlformats.org/officeDocument/2006/relationships/hyperlink" Target="2020_07/06.07.2020/74722" TargetMode="External"/><Relationship Id="rId1304" Type="http://schemas.openxmlformats.org/officeDocument/2006/relationships/hyperlink" Target="2020_02/25.02.2020/15094" TargetMode="External"/><Relationship Id="rId1511" Type="http://schemas.openxmlformats.org/officeDocument/2006/relationships/hyperlink" Target="2020_03/12.03.2020/15515" TargetMode="External"/><Relationship Id="rId3269" Type="http://schemas.openxmlformats.org/officeDocument/2006/relationships/hyperlink" Target="2020_09/14.09.2020/122579" TargetMode="External"/><Relationship Id="rId3476" Type="http://schemas.openxmlformats.org/officeDocument/2006/relationships/hyperlink" Target="2020_09/24.09.2020/119750" TargetMode="External"/><Relationship Id="rId3683" Type="http://schemas.openxmlformats.org/officeDocument/2006/relationships/hyperlink" Target="2020_10/14.10.2020/139698" TargetMode="External"/><Relationship Id="rId10" Type="http://schemas.openxmlformats.org/officeDocument/2006/relationships/hyperlink" Target="https://smp.sfurf.office/sd/operator/index.jsp;jsessionid=4B56FDB405CD332F2E4AE6AEC0BFEE05" TargetMode="External"/><Relationship Id="rId397" Type="http://schemas.openxmlformats.org/officeDocument/2006/relationships/hyperlink" Target="https://smp.sfurf.office/sd/operator/" TargetMode="External"/><Relationship Id="rId2078" Type="http://schemas.openxmlformats.org/officeDocument/2006/relationships/hyperlink" Target="2020_06/04.06.2020/42226" TargetMode="External"/><Relationship Id="rId2285" Type="http://schemas.openxmlformats.org/officeDocument/2006/relationships/hyperlink" Target="2020_06\15.06.2020\48885" TargetMode="External"/><Relationship Id="rId2492" Type="http://schemas.openxmlformats.org/officeDocument/2006/relationships/hyperlink" Target="2020_06/16.06.2020/64052" TargetMode="External"/><Relationship Id="rId3129" Type="http://schemas.openxmlformats.org/officeDocument/2006/relationships/hyperlink" Target="2020_08\27.08.2020\113450" TargetMode="External"/><Relationship Id="rId3336" Type="http://schemas.openxmlformats.org/officeDocument/2006/relationships/hyperlink" Target="2020_09/18.09.2020/124997" TargetMode="External"/><Relationship Id="rId3890" Type="http://schemas.openxmlformats.org/officeDocument/2006/relationships/hyperlink" Target="2020_11/19.11.2020/150821" TargetMode="External"/><Relationship Id="rId257" Type="http://schemas.openxmlformats.org/officeDocument/2006/relationships/hyperlink" Target="2019_11\05.11.2019\47166" TargetMode="External"/><Relationship Id="rId464" Type="http://schemas.openxmlformats.org/officeDocument/2006/relationships/hyperlink" Target="2019_12\09.12.2019\67460" TargetMode="External"/><Relationship Id="rId1094" Type="http://schemas.openxmlformats.org/officeDocument/2006/relationships/hyperlink" Target="2020_02\05.02.2020\-3092" TargetMode="External"/><Relationship Id="rId2145" Type="http://schemas.openxmlformats.org/officeDocument/2006/relationships/hyperlink" Target="2020_06/01.06.2020/63248" TargetMode="External"/><Relationship Id="rId3543" Type="http://schemas.openxmlformats.org/officeDocument/2006/relationships/hyperlink" Target="2020_10/02.10.2020/125490" TargetMode="External"/><Relationship Id="rId3750" Type="http://schemas.openxmlformats.org/officeDocument/2006/relationships/hyperlink" Target="2020_11/05.11.2020/135515" TargetMode="External"/><Relationship Id="rId117" Type="http://schemas.openxmlformats.org/officeDocument/2006/relationships/hyperlink" Target="https://smp.sfurf.office/sd/operator/index.jsp;jsessionid=4B56FDB405CD332F2E4AE6AEC0BFEE05" TargetMode="External"/><Relationship Id="rId671" Type="http://schemas.openxmlformats.org/officeDocument/2006/relationships/hyperlink" Target="2019_12/26.12.2019/69816" TargetMode="External"/><Relationship Id="rId2352" Type="http://schemas.openxmlformats.org/officeDocument/2006/relationships/hyperlink" Target="2020_06/16.06.2020/61347" TargetMode="External"/><Relationship Id="rId3403" Type="http://schemas.openxmlformats.org/officeDocument/2006/relationships/hyperlink" Target="2020_09\24.09.2020\128378" TargetMode="External"/><Relationship Id="rId3610" Type="http://schemas.openxmlformats.org/officeDocument/2006/relationships/hyperlink" Target="2020_10/09.10.2020/124388" TargetMode="External"/><Relationship Id="rId324" Type="http://schemas.openxmlformats.org/officeDocument/2006/relationships/hyperlink" Target="2019_11\19.11.2019\54318" TargetMode="External"/><Relationship Id="rId531" Type="http://schemas.openxmlformats.org/officeDocument/2006/relationships/hyperlink" Target="2019_12\17.12.2019\62750" TargetMode="External"/><Relationship Id="rId1161" Type="http://schemas.openxmlformats.org/officeDocument/2006/relationships/hyperlink" Target="2020_02\07.02.2020\89491" TargetMode="External"/><Relationship Id="rId2005" Type="http://schemas.openxmlformats.org/officeDocument/2006/relationships/hyperlink" Target="2020_05\26.05.2020\38285" TargetMode="External"/><Relationship Id="rId2212" Type="http://schemas.openxmlformats.org/officeDocument/2006/relationships/hyperlink" Target="2020_06/11.06.2020/48433" TargetMode="External"/><Relationship Id="rId1021" Type="http://schemas.openxmlformats.org/officeDocument/2006/relationships/hyperlink" Target="2020_01\29.01.2020\83302" TargetMode="External"/><Relationship Id="rId1978" Type="http://schemas.openxmlformats.org/officeDocument/2006/relationships/hyperlink" Target="2020_05/22.05.2020/36950" TargetMode="External"/><Relationship Id="rId3193" Type="http://schemas.openxmlformats.org/officeDocument/2006/relationships/hyperlink" Target="2020_09\04.09.2020\101801" TargetMode="External"/><Relationship Id="rId1838" Type="http://schemas.openxmlformats.org/officeDocument/2006/relationships/hyperlink" Target="2020_05/15.05.2020/41611" TargetMode="External"/><Relationship Id="rId3053" Type="http://schemas.openxmlformats.org/officeDocument/2006/relationships/hyperlink" Target="2020_08/17.08.2020/106861" TargetMode="External"/><Relationship Id="rId3260" Type="http://schemas.openxmlformats.org/officeDocument/2006/relationships/hyperlink" Target="2020_09/14.09.2020/114953" TargetMode="External"/><Relationship Id="rId181" Type="http://schemas.openxmlformats.org/officeDocument/2006/relationships/hyperlink" Target="2019_11\12.11.2019\42151" TargetMode="External"/><Relationship Id="rId1905" Type="http://schemas.openxmlformats.org/officeDocument/2006/relationships/hyperlink" Target="2020_05/21.05.2020/35958" TargetMode="External"/><Relationship Id="rId3120" Type="http://schemas.openxmlformats.org/officeDocument/2006/relationships/hyperlink" Target="2020_08/27.08.2020/104859" TargetMode="External"/><Relationship Id="rId998" Type="http://schemas.openxmlformats.org/officeDocument/2006/relationships/hyperlink" Target="2020_01/27.01.2020/89969" TargetMode="External"/><Relationship Id="rId2679" Type="http://schemas.openxmlformats.org/officeDocument/2006/relationships/hyperlink" Target="2020_07/02.07.2020/73775" TargetMode="External"/><Relationship Id="rId2886" Type="http://schemas.openxmlformats.org/officeDocument/2006/relationships/hyperlink" Target="2020_08\05.08.2020\92107" TargetMode="External"/><Relationship Id="rId3937" Type="http://schemas.openxmlformats.org/officeDocument/2006/relationships/hyperlink" Target="2020_12\10.12.2020\171085" TargetMode="External"/><Relationship Id="rId858" Type="http://schemas.openxmlformats.org/officeDocument/2006/relationships/hyperlink" Target="2020_01/16.01.2020/76375" TargetMode="External"/><Relationship Id="rId1488" Type="http://schemas.openxmlformats.org/officeDocument/2006/relationships/hyperlink" Target="2020_03/11.03.2020/14307" TargetMode="External"/><Relationship Id="rId1695" Type="http://schemas.openxmlformats.org/officeDocument/2006/relationships/hyperlink" Target="2020_03\27.03.2020\25720" TargetMode="External"/><Relationship Id="rId2539" Type="http://schemas.openxmlformats.org/officeDocument/2006/relationships/hyperlink" Target="2020_06/22.06.2020/48169" TargetMode="External"/><Relationship Id="rId2746" Type="http://schemas.openxmlformats.org/officeDocument/2006/relationships/hyperlink" Target="2020_07\10.07.2020\77030" TargetMode="External"/><Relationship Id="rId2953" Type="http://schemas.openxmlformats.org/officeDocument/2006/relationships/hyperlink" Target="2020_08/11.08.2020/03746" TargetMode="External"/><Relationship Id="rId718" Type="http://schemas.openxmlformats.org/officeDocument/2006/relationships/hyperlink" Target="2019_12/31.12.2019/80031" TargetMode="External"/><Relationship Id="rId925" Type="http://schemas.openxmlformats.org/officeDocument/2006/relationships/hyperlink" Target="2020_01/22.01.2020/79203" TargetMode="External"/><Relationship Id="rId1348" Type="http://schemas.openxmlformats.org/officeDocument/2006/relationships/hyperlink" Target="2020_02\27.02.2020\16823" TargetMode="External"/><Relationship Id="rId1555" Type="http://schemas.openxmlformats.org/officeDocument/2006/relationships/hyperlink" Target="2020_03\17.03.2020\18062" TargetMode="External"/><Relationship Id="rId1762" Type="http://schemas.openxmlformats.org/officeDocument/2006/relationships/hyperlink" Target="2020_04\08.04.2020\38407" TargetMode="External"/><Relationship Id="rId2606" Type="http://schemas.openxmlformats.org/officeDocument/2006/relationships/hyperlink" Target="2020_06/25.06.2020/77232" TargetMode="External"/><Relationship Id="rId1208" Type="http://schemas.openxmlformats.org/officeDocument/2006/relationships/hyperlink" Target="2020_02/12.02.2020/-8550" TargetMode="External"/><Relationship Id="rId1415" Type="http://schemas.openxmlformats.org/officeDocument/2006/relationships/hyperlink" Target="2020_03/04.03.2020/11303" TargetMode="External"/><Relationship Id="rId2813" Type="http://schemas.openxmlformats.org/officeDocument/2006/relationships/hyperlink" Target="2020_07/29.07.2020/95522" TargetMode="External"/><Relationship Id="rId54" Type="http://schemas.openxmlformats.org/officeDocument/2006/relationships/hyperlink" Target="https://smp.sfurf.office/sd/operator/" TargetMode="External"/><Relationship Id="rId1622" Type="http://schemas.openxmlformats.org/officeDocument/2006/relationships/hyperlink" Target="2020_03\23.03.2020\22321" TargetMode="External"/><Relationship Id="rId2189" Type="http://schemas.openxmlformats.org/officeDocument/2006/relationships/hyperlink" Target="2020_06/16.06.2020/49381" TargetMode="External"/><Relationship Id="rId3587" Type="http://schemas.openxmlformats.org/officeDocument/2006/relationships/hyperlink" Target="2020_10/07.10.2020/127180" TargetMode="External"/><Relationship Id="rId3794" Type="http://schemas.openxmlformats.org/officeDocument/2006/relationships/hyperlink" Target="2020_11/06.11.2020/143897" TargetMode="External"/><Relationship Id="rId2396" Type="http://schemas.openxmlformats.org/officeDocument/2006/relationships/hyperlink" Target="2020_06\08.06.2020\69868" TargetMode="External"/><Relationship Id="rId3447" Type="http://schemas.openxmlformats.org/officeDocument/2006/relationships/hyperlink" Target="2020_09/22.09.2020/119330" TargetMode="External"/><Relationship Id="rId3654" Type="http://schemas.openxmlformats.org/officeDocument/2006/relationships/hyperlink" Target="2020_10\12.10.2020\137415" TargetMode="External"/><Relationship Id="rId3861" Type="http://schemas.openxmlformats.org/officeDocument/2006/relationships/hyperlink" Target="2020_11/17.11.2020/149265" TargetMode="External"/><Relationship Id="rId368" Type="http://schemas.openxmlformats.org/officeDocument/2006/relationships/hyperlink" Target="2019_11\25.11.2019\58302" TargetMode="External"/><Relationship Id="rId575" Type="http://schemas.openxmlformats.org/officeDocument/2006/relationships/hyperlink" Target="2019_12\19.12.2019\73199" TargetMode="External"/><Relationship Id="rId782" Type="http://schemas.openxmlformats.org/officeDocument/2006/relationships/hyperlink" Target="2020_01\09.01.2020\80454" TargetMode="External"/><Relationship Id="rId2049" Type="http://schemas.openxmlformats.org/officeDocument/2006/relationships/hyperlink" Target="2020_05/27.05.2020/39696" TargetMode="External"/><Relationship Id="rId2256" Type="http://schemas.openxmlformats.org/officeDocument/2006/relationships/hyperlink" Target="2020_06\16.06.2020\61569" TargetMode="External"/><Relationship Id="rId2463" Type="http://schemas.openxmlformats.org/officeDocument/2006/relationships/hyperlink" Target="2020_06/16.06.2020/64969" TargetMode="External"/><Relationship Id="rId2670" Type="http://schemas.openxmlformats.org/officeDocument/2006/relationships/hyperlink" Target="2020_07/02.07.2020/72958" TargetMode="External"/><Relationship Id="rId3307" Type="http://schemas.openxmlformats.org/officeDocument/2006/relationships/hyperlink" Target="2020_09/16.09.2020/115871" TargetMode="External"/><Relationship Id="rId3514" Type="http://schemas.openxmlformats.org/officeDocument/2006/relationships/hyperlink" Target="2020_09/30.09.2020/131684" TargetMode="External"/><Relationship Id="rId3721" Type="http://schemas.openxmlformats.org/officeDocument/2006/relationships/hyperlink" Target="2020_10/16.10.2020/140718" TargetMode="External"/><Relationship Id="rId228" Type="http://schemas.openxmlformats.org/officeDocument/2006/relationships/hyperlink" Target="https://smp.sfurf.office/sd/operator/" TargetMode="External"/><Relationship Id="rId435" Type="http://schemas.openxmlformats.org/officeDocument/2006/relationships/hyperlink" Target="https://smp.sfurf.office/sd/operator/" TargetMode="External"/><Relationship Id="rId642" Type="http://schemas.openxmlformats.org/officeDocument/2006/relationships/hyperlink" Target="2019_12/24.12.2019/67950" TargetMode="External"/><Relationship Id="rId1065" Type="http://schemas.openxmlformats.org/officeDocument/2006/relationships/hyperlink" Target="2020_01\30.01.2020\0-497" TargetMode="External"/><Relationship Id="rId1272" Type="http://schemas.openxmlformats.org/officeDocument/2006/relationships/hyperlink" Target="2020_02\20.02.2020\-3966" TargetMode="External"/><Relationship Id="rId2116" Type="http://schemas.openxmlformats.org/officeDocument/2006/relationships/hyperlink" Target="2020_05/27.05.2020/45846" TargetMode="External"/><Relationship Id="rId2323" Type="http://schemas.openxmlformats.org/officeDocument/2006/relationships/hyperlink" Target="2020_06/02.06.2020/66747" TargetMode="External"/><Relationship Id="rId2530" Type="http://schemas.openxmlformats.org/officeDocument/2006/relationships/hyperlink" Target="2020_06/19.06.2020/67277" TargetMode="External"/><Relationship Id="rId502" Type="http://schemas.openxmlformats.org/officeDocument/2006/relationships/hyperlink" Target="2019_12\13.12.2019\69999" TargetMode="External"/><Relationship Id="rId1132" Type="http://schemas.openxmlformats.org/officeDocument/2006/relationships/hyperlink" Target="2020_02/06.02.2020/80715" TargetMode="External"/><Relationship Id="rId3097" Type="http://schemas.openxmlformats.org/officeDocument/2006/relationships/hyperlink" Target="2020_08/26.08.2020/104421" TargetMode="External"/><Relationship Id="rId1949" Type="http://schemas.openxmlformats.org/officeDocument/2006/relationships/hyperlink" Target="2020_05\19.05.2020\20182" TargetMode="External"/><Relationship Id="rId3164" Type="http://schemas.openxmlformats.org/officeDocument/2006/relationships/hyperlink" Target="2020_09/02.09.2020/107667" TargetMode="External"/><Relationship Id="rId292" Type="http://schemas.openxmlformats.org/officeDocument/2006/relationships/hyperlink" Target="2019_11\13.11.2019\50842" TargetMode="External"/><Relationship Id="rId1809" Type="http://schemas.openxmlformats.org/officeDocument/2006/relationships/hyperlink" Target="2020_05/13.05.2020/29721" TargetMode="External"/><Relationship Id="rId3371" Type="http://schemas.openxmlformats.org/officeDocument/2006/relationships/hyperlink" Target="2020_09\21.09.2020\126559" TargetMode="External"/><Relationship Id="rId2180" Type="http://schemas.openxmlformats.org/officeDocument/2006/relationships/hyperlink" Target="2020_06/09.06.2020/46767" TargetMode="External"/><Relationship Id="rId3024" Type="http://schemas.openxmlformats.org/officeDocument/2006/relationships/hyperlink" Target="2020_08/17.08.2020/99197" TargetMode="External"/><Relationship Id="rId3231" Type="http://schemas.openxmlformats.org/officeDocument/2006/relationships/hyperlink" Target="2020_09/10.09.2020/112977" TargetMode="External"/><Relationship Id="rId152" Type="http://schemas.openxmlformats.org/officeDocument/2006/relationships/hyperlink" Target="2019_11\08.11.2019\33034" TargetMode="External"/><Relationship Id="rId2040" Type="http://schemas.openxmlformats.org/officeDocument/2006/relationships/hyperlink" Target="2020_05\27.05.2020\52759" TargetMode="External"/><Relationship Id="rId2997" Type="http://schemas.openxmlformats.org/officeDocument/2006/relationships/hyperlink" Target="2020_08/13.08.2020/96413" TargetMode="External"/><Relationship Id="rId969" Type="http://schemas.openxmlformats.org/officeDocument/2006/relationships/hyperlink" Target="2020_01\24.01.2020\89633" TargetMode="External"/><Relationship Id="rId1599" Type="http://schemas.openxmlformats.org/officeDocument/2006/relationships/hyperlink" Target="2020_03/19.03.2020/19981" TargetMode="External"/><Relationship Id="rId1459" Type="http://schemas.openxmlformats.org/officeDocument/2006/relationships/hyperlink" Target="2020_03\06.03.2020\13332" TargetMode="External"/><Relationship Id="rId2857" Type="http://schemas.openxmlformats.org/officeDocument/2006/relationships/hyperlink" Target="2020_08/04.08.2020/91341" TargetMode="External"/><Relationship Id="rId3908" Type="http://schemas.openxmlformats.org/officeDocument/2006/relationships/hyperlink" Target="2020_11\20.11.2020\160043" TargetMode="External"/><Relationship Id="rId98" Type="http://schemas.openxmlformats.org/officeDocument/2006/relationships/hyperlink" Target="../Users/shilyaevan/AppData/Roaming/Microsoft/Excel/2019_10/15.10.2019/21070" TargetMode="External"/><Relationship Id="rId829" Type="http://schemas.openxmlformats.org/officeDocument/2006/relationships/hyperlink" Target="2020_01/15.01.2020/83634" TargetMode="External"/><Relationship Id="rId1666" Type="http://schemas.openxmlformats.org/officeDocument/2006/relationships/hyperlink" Target="2020_03/25.03.2020/23643" TargetMode="External"/><Relationship Id="rId1873" Type="http://schemas.openxmlformats.org/officeDocument/2006/relationships/hyperlink" Target="2020_05/15.05.2020/41793" TargetMode="External"/><Relationship Id="rId2717" Type="http://schemas.openxmlformats.org/officeDocument/2006/relationships/hyperlink" Target="2020_07/07.07.2020/71356" TargetMode="External"/><Relationship Id="rId2924" Type="http://schemas.openxmlformats.org/officeDocument/2006/relationships/hyperlink" Target="2020_08/10.08.2020/01960" TargetMode="External"/><Relationship Id="rId1319" Type="http://schemas.openxmlformats.org/officeDocument/2006/relationships/hyperlink" Target="2020_02/26.02.2020/-7126" TargetMode="External"/><Relationship Id="rId1526" Type="http://schemas.openxmlformats.org/officeDocument/2006/relationships/hyperlink" Target="2020_03/12.03.2020/15862" TargetMode="External"/><Relationship Id="rId1733" Type="http://schemas.openxmlformats.org/officeDocument/2006/relationships/hyperlink" Target="2020_04\06.04.2020\35383" TargetMode="External"/><Relationship Id="rId1940" Type="http://schemas.openxmlformats.org/officeDocument/2006/relationships/hyperlink" Target="2020_05/20.05.2020/34438" TargetMode="External"/><Relationship Id="rId25" Type="http://schemas.openxmlformats.org/officeDocument/2006/relationships/hyperlink" Target="https://smp.sfurf.office/sd/operator/index.jsp;jsessionid=4B56FDB405CD332F2E4AE6AEC0BFEE05" TargetMode="External"/><Relationship Id="rId1800" Type="http://schemas.openxmlformats.org/officeDocument/2006/relationships/hyperlink" Target="2020_05/12.05.2020/39160" TargetMode="External"/><Relationship Id="rId3698" Type="http://schemas.openxmlformats.org/officeDocument/2006/relationships/hyperlink" Target="2020_10/14.10.2020/131331" TargetMode="External"/><Relationship Id="rId3558" Type="http://schemas.openxmlformats.org/officeDocument/2006/relationships/hyperlink" Target="2020_10/05.10.2020/126149" TargetMode="External"/><Relationship Id="rId3765" Type="http://schemas.openxmlformats.org/officeDocument/2006/relationships/hyperlink" Target="2020_11\06.11.2020\144012" TargetMode="External"/><Relationship Id="rId3972" Type="http://schemas.openxmlformats.org/officeDocument/2006/relationships/hyperlink" Target="2020_12/17.12.2020/174916" TargetMode="External"/><Relationship Id="rId479" Type="http://schemas.openxmlformats.org/officeDocument/2006/relationships/hyperlink" Target="2019_12\10.12.2019\68276" TargetMode="External"/><Relationship Id="rId686" Type="http://schemas.openxmlformats.org/officeDocument/2006/relationships/hyperlink" Target="2019_12/26.12.2019/77071" TargetMode="External"/><Relationship Id="rId893" Type="http://schemas.openxmlformats.org/officeDocument/2006/relationships/hyperlink" Target="2020_01/17.01.2020/78245" TargetMode="External"/><Relationship Id="rId2367" Type="http://schemas.openxmlformats.org/officeDocument/2006/relationships/hyperlink" Target="2020_06/08.06.2020/68699" TargetMode="External"/><Relationship Id="rId2574" Type="http://schemas.openxmlformats.org/officeDocument/2006/relationships/hyperlink" Target="2020_06\23.06.2020\76204" TargetMode="External"/><Relationship Id="rId2781" Type="http://schemas.openxmlformats.org/officeDocument/2006/relationships/hyperlink" Target="2020_07/24.07.2020/85525" TargetMode="External"/><Relationship Id="rId3418" Type="http://schemas.openxmlformats.org/officeDocument/2006/relationships/hyperlink" Target="2020_09/23.09.2020/120288" TargetMode="External"/><Relationship Id="rId3625" Type="http://schemas.openxmlformats.org/officeDocument/2006/relationships/hyperlink" Target="2020_10/09.10.2020/128826" TargetMode="External"/><Relationship Id="rId339" Type="http://schemas.openxmlformats.org/officeDocument/2006/relationships/hyperlink" Target="https://smp.sfurf.office/sd/operator/" TargetMode="External"/><Relationship Id="rId546" Type="http://schemas.openxmlformats.org/officeDocument/2006/relationships/hyperlink" Target="2019_12\17.12.2019\62661" TargetMode="External"/><Relationship Id="rId753" Type="http://schemas.openxmlformats.org/officeDocument/2006/relationships/hyperlink" Target="2019_12\31.12.2019\79792" TargetMode="External"/><Relationship Id="rId1176" Type="http://schemas.openxmlformats.org/officeDocument/2006/relationships/hyperlink" Target="2020_02\10.02.2020\-6804" TargetMode="External"/><Relationship Id="rId1383" Type="http://schemas.openxmlformats.org/officeDocument/2006/relationships/hyperlink" Target="2020_03\02.03.2020\-9820" TargetMode="External"/><Relationship Id="rId2227" Type="http://schemas.openxmlformats.org/officeDocument/2006/relationships/hyperlink" Target="2020_06\01.06.2020\64624" TargetMode="External"/><Relationship Id="rId2434" Type="http://schemas.openxmlformats.org/officeDocument/2006/relationships/hyperlink" Target="2020_06/16.06.2020/64165" TargetMode="External"/><Relationship Id="rId3832" Type="http://schemas.openxmlformats.org/officeDocument/2006/relationships/hyperlink" Target="2020_11/11.11.2020/146207" TargetMode="External"/><Relationship Id="rId406" Type="http://schemas.openxmlformats.org/officeDocument/2006/relationships/hyperlink" Target="https://smp.sfurf.office/sd/operator/" TargetMode="External"/><Relationship Id="rId960" Type="http://schemas.openxmlformats.org/officeDocument/2006/relationships/hyperlink" Target="2020_01/23.01.2020/80815" TargetMode="External"/><Relationship Id="rId1036" Type="http://schemas.openxmlformats.org/officeDocument/2006/relationships/hyperlink" Target="2020_01/30.01.2020/85424" TargetMode="External"/><Relationship Id="rId1243" Type="http://schemas.openxmlformats.org/officeDocument/2006/relationships/hyperlink" Target="2020_02/18.02.2020/-2642" TargetMode="External"/><Relationship Id="rId1590" Type="http://schemas.openxmlformats.org/officeDocument/2006/relationships/hyperlink" Target="2020_03\19.03.2020\29017" TargetMode="External"/><Relationship Id="rId2641" Type="http://schemas.openxmlformats.org/officeDocument/2006/relationships/hyperlink" Target="2020_06\26.06.2020\78631" TargetMode="External"/><Relationship Id="rId613" Type="http://schemas.openxmlformats.org/officeDocument/2006/relationships/hyperlink" Target="2019_12\24.12.2019\67241" TargetMode="External"/><Relationship Id="rId820" Type="http://schemas.openxmlformats.org/officeDocument/2006/relationships/hyperlink" Target="2020_01/14.01.2020/74826" TargetMode="External"/><Relationship Id="rId1450" Type="http://schemas.openxmlformats.org/officeDocument/2006/relationships/hyperlink" Target="2020_03\06.03.2020\13220" TargetMode="External"/><Relationship Id="rId2501" Type="http://schemas.openxmlformats.org/officeDocument/2006/relationships/hyperlink" Target="2020_06\16.06.2020\64680" TargetMode="External"/><Relationship Id="rId1103" Type="http://schemas.openxmlformats.org/officeDocument/2006/relationships/hyperlink" Target="2020_02/03.02.2020/-1137" TargetMode="External"/><Relationship Id="rId1310" Type="http://schemas.openxmlformats.org/officeDocument/2006/relationships/hyperlink" Target="2020_02/25.02.2020/15584" TargetMode="External"/><Relationship Id="rId3068" Type="http://schemas.openxmlformats.org/officeDocument/2006/relationships/hyperlink" Target="2020_08/21.08.2020/101796" TargetMode="External"/><Relationship Id="rId3275" Type="http://schemas.openxmlformats.org/officeDocument/2006/relationships/hyperlink" Target="2020_09/14.09.2020/122024" TargetMode="External"/><Relationship Id="rId3482" Type="http://schemas.openxmlformats.org/officeDocument/2006/relationships/hyperlink" Target="2020_09/28.09.2020/130180" TargetMode="External"/><Relationship Id="rId196" Type="http://schemas.openxmlformats.org/officeDocument/2006/relationships/hyperlink" Target="https://smp.sfurf.office/sd/operator/index.jsp;jsessionid=4B56FDB405CD332F2E4AE6AEC0BFEE05" TargetMode="External"/><Relationship Id="rId2084" Type="http://schemas.openxmlformats.org/officeDocument/2006/relationships/hyperlink" Target="2020_06/01.06.2020/60838" TargetMode="External"/><Relationship Id="rId2291" Type="http://schemas.openxmlformats.org/officeDocument/2006/relationships/hyperlink" Target="2020_06/16.06.2020/61559" TargetMode="External"/><Relationship Id="rId3135" Type="http://schemas.openxmlformats.org/officeDocument/2006/relationships/hyperlink" Target="2020_08/26.08.2020/111441" TargetMode="External"/><Relationship Id="rId3342" Type="http://schemas.openxmlformats.org/officeDocument/2006/relationships/hyperlink" Target="2020_09/18.09.2020/117961" TargetMode="External"/><Relationship Id="rId263" Type="http://schemas.openxmlformats.org/officeDocument/2006/relationships/hyperlink" Target="2019_11\20.11.2019\46339" TargetMode="External"/><Relationship Id="rId470" Type="http://schemas.openxmlformats.org/officeDocument/2006/relationships/hyperlink" Target="2019_12\09.12.2019\53049" TargetMode="External"/><Relationship Id="rId2151" Type="http://schemas.openxmlformats.org/officeDocument/2006/relationships/hyperlink" Target="2020_06/04.06.2020/42833" TargetMode="External"/><Relationship Id="rId3202" Type="http://schemas.openxmlformats.org/officeDocument/2006/relationships/hyperlink" Target="2020_09\08.09.2020\119201" TargetMode="External"/><Relationship Id="rId123" Type="http://schemas.openxmlformats.org/officeDocument/2006/relationships/hyperlink" Target="https://smp.sfurf.office/sd/operator/index.jsp;jsessionid=4B56FDB405CD332F2E4AE6AEC0BFEE05" TargetMode="External"/><Relationship Id="rId330" Type="http://schemas.openxmlformats.org/officeDocument/2006/relationships/hyperlink" Target="2019_11\21.11.2019\56208" TargetMode="External"/><Relationship Id="rId2011" Type="http://schemas.openxmlformats.org/officeDocument/2006/relationships/hyperlink" Target="2020_05/27.05.2020/52566" TargetMode="External"/><Relationship Id="rId2968" Type="http://schemas.openxmlformats.org/officeDocument/2006/relationships/hyperlink" Target="2020_08/12.08.2020/96355" TargetMode="External"/><Relationship Id="rId1777" Type="http://schemas.openxmlformats.org/officeDocument/2006/relationships/hyperlink" Target="2020_04\09.04.2020\29390" TargetMode="External"/><Relationship Id="rId1984" Type="http://schemas.openxmlformats.org/officeDocument/2006/relationships/hyperlink" Target="2020_05/27.05.2020/39052" TargetMode="External"/><Relationship Id="rId2828" Type="http://schemas.openxmlformats.org/officeDocument/2006/relationships/hyperlink" Target="2020_07/31.07.2020/90272" TargetMode="External"/><Relationship Id="rId69" Type="http://schemas.openxmlformats.org/officeDocument/2006/relationships/hyperlink" Target="https://smp.sfurf.office/sd/operator/" TargetMode="External"/><Relationship Id="rId1637" Type="http://schemas.openxmlformats.org/officeDocument/2006/relationships/hyperlink" Target="2020_03\25.03.2020\23780" TargetMode="External"/><Relationship Id="rId1844" Type="http://schemas.openxmlformats.org/officeDocument/2006/relationships/hyperlink" Target="2020_05/13.05.2020/40768" TargetMode="External"/><Relationship Id="rId1704" Type="http://schemas.openxmlformats.org/officeDocument/2006/relationships/hyperlink" Target="2020_03/27.03.2020/25686" TargetMode="External"/><Relationship Id="rId1911" Type="http://schemas.openxmlformats.org/officeDocument/2006/relationships/hyperlink" Target="2020_05/21.05.2020/45184" TargetMode="External"/><Relationship Id="rId3669" Type="http://schemas.openxmlformats.org/officeDocument/2006/relationships/hyperlink" Target="2020_10/13.10.2020/138872" TargetMode="External"/><Relationship Id="rId797" Type="http://schemas.openxmlformats.org/officeDocument/2006/relationships/hyperlink" Target="2020_01/10.01.2020/81556" TargetMode="External"/><Relationship Id="rId2478" Type="http://schemas.openxmlformats.org/officeDocument/2006/relationships/hyperlink" Target="2020_06/10.06.2020/71117" TargetMode="External"/><Relationship Id="rId3876" Type="http://schemas.openxmlformats.org/officeDocument/2006/relationships/hyperlink" Target="2020_11/17.11.2020/149376" TargetMode="External"/><Relationship Id="rId1287" Type="http://schemas.openxmlformats.org/officeDocument/2006/relationships/hyperlink" Target="2020_02/21.02.2020/14541" TargetMode="External"/><Relationship Id="rId2685" Type="http://schemas.openxmlformats.org/officeDocument/2006/relationships/hyperlink" Target="2020_07/06.07.2020/74949" TargetMode="External"/><Relationship Id="rId2892" Type="http://schemas.openxmlformats.org/officeDocument/2006/relationships/hyperlink" Target="2020_08/06.08.2020/92936" TargetMode="External"/><Relationship Id="rId3529" Type="http://schemas.openxmlformats.org/officeDocument/2006/relationships/hyperlink" Target="2020_10\01.10.2020\131415" TargetMode="External"/><Relationship Id="rId3736" Type="http://schemas.openxmlformats.org/officeDocument/2006/relationships/hyperlink" Target="2020_11/02.11.2020/148954" TargetMode="External"/><Relationship Id="rId3943" Type="http://schemas.openxmlformats.org/officeDocument/2006/relationships/hyperlink" Target="2020_12\11.12.2020\163216" TargetMode="External"/><Relationship Id="rId657" Type="http://schemas.openxmlformats.org/officeDocument/2006/relationships/hyperlink" Target="2019_12/25.12.2019/68967" TargetMode="External"/><Relationship Id="rId864" Type="http://schemas.openxmlformats.org/officeDocument/2006/relationships/hyperlink" Target="2020_01/16.01.2020/76634" TargetMode="External"/><Relationship Id="rId1494" Type="http://schemas.openxmlformats.org/officeDocument/2006/relationships/hyperlink" Target="2020_03\11.03.2020\14902" TargetMode="External"/><Relationship Id="rId2338" Type="http://schemas.openxmlformats.org/officeDocument/2006/relationships/hyperlink" Target="2020_06/10.06.2020/71207" TargetMode="External"/><Relationship Id="rId2545" Type="http://schemas.openxmlformats.org/officeDocument/2006/relationships/hyperlink" Target="2020_06/22.06.2020/67989" TargetMode="External"/><Relationship Id="rId2752" Type="http://schemas.openxmlformats.org/officeDocument/2006/relationships/hyperlink" Target="2020_07/10.07.2020/77695" TargetMode="External"/><Relationship Id="rId3803" Type="http://schemas.openxmlformats.org/officeDocument/2006/relationships/hyperlink" Target="2020_11/09.11.2020/152175" TargetMode="External"/><Relationship Id="rId517" Type="http://schemas.openxmlformats.org/officeDocument/2006/relationships/hyperlink" Target="2019_12\16.12.2019\53663" TargetMode="External"/><Relationship Id="rId724" Type="http://schemas.openxmlformats.org/officeDocument/2006/relationships/hyperlink" Target="2019_12/30.12.2019/79853" TargetMode="External"/><Relationship Id="rId931" Type="http://schemas.openxmlformats.org/officeDocument/2006/relationships/hyperlink" Target="2020_01/22.01.2020/79461" TargetMode="External"/><Relationship Id="rId1147" Type="http://schemas.openxmlformats.org/officeDocument/2006/relationships/hyperlink" Target="2020_02/06.02.2020/-4114" TargetMode="External"/><Relationship Id="rId1354" Type="http://schemas.openxmlformats.org/officeDocument/2006/relationships/hyperlink" Target="2020_02\27.02.2020\-8685" TargetMode="External"/><Relationship Id="rId1561" Type="http://schemas.openxmlformats.org/officeDocument/2006/relationships/hyperlink" Target="2020_03/17.03.2020/18363" TargetMode="External"/><Relationship Id="rId2405" Type="http://schemas.openxmlformats.org/officeDocument/2006/relationships/hyperlink" Target="2020_06/09.06.2020/69265" TargetMode="External"/><Relationship Id="rId2612" Type="http://schemas.openxmlformats.org/officeDocument/2006/relationships/hyperlink" Target="2020_06/25.06.2020/78002" TargetMode="External"/><Relationship Id="rId60" Type="http://schemas.openxmlformats.org/officeDocument/2006/relationships/hyperlink" Target="https://smp.sfurf.office/sd/operator/" TargetMode="External"/><Relationship Id="rId1007" Type="http://schemas.openxmlformats.org/officeDocument/2006/relationships/hyperlink" Target="2020_01\28.01.2020\90494" TargetMode="External"/><Relationship Id="rId1214" Type="http://schemas.openxmlformats.org/officeDocument/2006/relationships/hyperlink" Target="2020_02/11.02.2020/-6453" TargetMode="External"/><Relationship Id="rId1421" Type="http://schemas.openxmlformats.org/officeDocument/2006/relationships/hyperlink" Target="2020_03\04.03.2020\20042" TargetMode="External"/><Relationship Id="rId3179" Type="http://schemas.openxmlformats.org/officeDocument/2006/relationships/hyperlink" Target="2020_09/03.09.2020/109183" TargetMode="External"/><Relationship Id="rId3386" Type="http://schemas.openxmlformats.org/officeDocument/2006/relationships/hyperlink" Target="2020_09/22.09.2020/119524" TargetMode="External"/><Relationship Id="rId3593" Type="http://schemas.openxmlformats.org/officeDocument/2006/relationships/hyperlink" Target="2020_10\07.10.2020\123075" TargetMode="External"/><Relationship Id="rId2195" Type="http://schemas.openxmlformats.org/officeDocument/2006/relationships/hyperlink" Target="2020_06/16.06.2020/52643" TargetMode="External"/><Relationship Id="rId3039" Type="http://schemas.openxmlformats.org/officeDocument/2006/relationships/hyperlink" Target="2020_08/18.08.2020/107182" TargetMode="External"/><Relationship Id="rId3246" Type="http://schemas.openxmlformats.org/officeDocument/2006/relationships/hyperlink" Target="2020_09/11.09.2020/113183" TargetMode="External"/><Relationship Id="rId3453" Type="http://schemas.openxmlformats.org/officeDocument/2006/relationships/hyperlink" Target="2020_09\24.09.2020\127538" TargetMode="External"/><Relationship Id="rId167" Type="http://schemas.openxmlformats.org/officeDocument/2006/relationships/hyperlink" Target="..\Users\shilyaevan\AppData\Roaming\Microsoft\Excel\2019_10\07.10.2019\30612" TargetMode="External"/><Relationship Id="rId374" Type="http://schemas.openxmlformats.org/officeDocument/2006/relationships/hyperlink" Target="https://smp.sfurf.office/sd/operator/" TargetMode="External"/><Relationship Id="rId581" Type="http://schemas.openxmlformats.org/officeDocument/2006/relationships/hyperlink" Target="2019_12\19.12.2019\73081" TargetMode="External"/><Relationship Id="rId2055" Type="http://schemas.openxmlformats.org/officeDocument/2006/relationships/hyperlink" Target="2020_05\27.05.2020\53878" TargetMode="External"/><Relationship Id="rId2262" Type="http://schemas.openxmlformats.org/officeDocument/2006/relationships/hyperlink" Target="2020_06/16.06.2020/61579" TargetMode="External"/><Relationship Id="rId3106" Type="http://schemas.openxmlformats.org/officeDocument/2006/relationships/hyperlink" Target="2020_08/26.08.2020/104986" TargetMode="External"/><Relationship Id="rId3660" Type="http://schemas.openxmlformats.org/officeDocument/2006/relationships/hyperlink" Target="2020_10/12.10.2020/130219" TargetMode="External"/><Relationship Id="rId234" Type="http://schemas.openxmlformats.org/officeDocument/2006/relationships/hyperlink" Target="https://smp.sfurf.office/sd/operator/" TargetMode="External"/><Relationship Id="rId3313" Type="http://schemas.openxmlformats.org/officeDocument/2006/relationships/hyperlink" Target="2020_09\17.09.2020\117010" TargetMode="External"/><Relationship Id="rId3520" Type="http://schemas.openxmlformats.org/officeDocument/2006/relationships/hyperlink" Target="2020_10/01.10.2020/120434" TargetMode="External"/><Relationship Id="rId441" Type="http://schemas.openxmlformats.org/officeDocument/2006/relationships/hyperlink" Target="https://smp.sfurf.office/sd/operator/" TargetMode="External"/><Relationship Id="rId1071" Type="http://schemas.openxmlformats.org/officeDocument/2006/relationships/hyperlink" Target="2020_02\03.02.2020\-1852" TargetMode="External"/><Relationship Id="rId2122" Type="http://schemas.openxmlformats.org/officeDocument/2006/relationships/hyperlink" Target="2020_06/01.06.2020/61016" TargetMode="External"/><Relationship Id="rId301" Type="http://schemas.openxmlformats.org/officeDocument/2006/relationships/hyperlink" Target="https://smp.sfurf.office/sd/operator/index.jsp;jsessionid=4B56FDB405CD332F2E4AE6AEC0BFEE05" TargetMode="External"/><Relationship Id="rId1888" Type="http://schemas.openxmlformats.org/officeDocument/2006/relationships/hyperlink" Target="2020_05\20.05.2020\34600" TargetMode="External"/><Relationship Id="rId2939" Type="http://schemas.openxmlformats.org/officeDocument/2006/relationships/hyperlink" Target="2020_08/10.08.2020/03426" TargetMode="External"/><Relationship Id="rId1748" Type="http://schemas.openxmlformats.org/officeDocument/2006/relationships/hyperlink" Target="2020_04\07.04.2020\37884" TargetMode="External"/><Relationship Id="rId1955" Type="http://schemas.openxmlformats.org/officeDocument/2006/relationships/hyperlink" Target="2020_05\20.05.2020\35197" TargetMode="External"/><Relationship Id="rId3170" Type="http://schemas.openxmlformats.org/officeDocument/2006/relationships/hyperlink" Target="2020_09/01.09.2020/106898" TargetMode="External"/><Relationship Id="rId1608" Type="http://schemas.openxmlformats.org/officeDocument/2006/relationships/hyperlink" Target="2020_03\20.03.2020\21127" TargetMode="External"/><Relationship Id="rId1815" Type="http://schemas.openxmlformats.org/officeDocument/2006/relationships/hyperlink" Target="2020_05\13.05.2020\39980" TargetMode="External"/><Relationship Id="rId3030" Type="http://schemas.openxmlformats.org/officeDocument/2006/relationships/hyperlink" Target="2020_08/21.08.2020/02425" TargetMode="External"/><Relationship Id="rId2589" Type="http://schemas.openxmlformats.org/officeDocument/2006/relationships/hyperlink" Target="2020_06/23.06.2020/76976" TargetMode="External"/><Relationship Id="rId2796" Type="http://schemas.openxmlformats.org/officeDocument/2006/relationships/hyperlink" Target="2020_07/24.07.2020/93631" TargetMode="External"/><Relationship Id="rId3847" Type="http://schemas.openxmlformats.org/officeDocument/2006/relationships/hyperlink" Target="2020_11\13.11.2020\147304" TargetMode="External"/><Relationship Id="rId768" Type="http://schemas.openxmlformats.org/officeDocument/2006/relationships/hyperlink" Target="2020_01\09.01.2020\81222" TargetMode="External"/><Relationship Id="rId975" Type="http://schemas.openxmlformats.org/officeDocument/2006/relationships/hyperlink" Target="2020_01/24.01.2020/81079" TargetMode="External"/><Relationship Id="rId1398" Type="http://schemas.openxmlformats.org/officeDocument/2006/relationships/hyperlink" Target="2020_03\03.03.2020\-9924" TargetMode="External"/><Relationship Id="rId2449" Type="http://schemas.openxmlformats.org/officeDocument/2006/relationships/hyperlink" Target="2020_06/17.06.2020/66732" TargetMode="External"/><Relationship Id="rId2656" Type="http://schemas.openxmlformats.org/officeDocument/2006/relationships/hyperlink" Target="2020_07/02.07.2020/72476" TargetMode="External"/><Relationship Id="rId2863" Type="http://schemas.openxmlformats.org/officeDocument/2006/relationships/hyperlink" Target="2020_08\05.08.2020\87204" TargetMode="External"/><Relationship Id="rId3707" Type="http://schemas.openxmlformats.org/officeDocument/2006/relationships/hyperlink" Target="2020_10/15.10.2020/132050" TargetMode="External"/><Relationship Id="rId3914" Type="http://schemas.openxmlformats.org/officeDocument/2006/relationships/hyperlink" Target="2020_11\18.11.2020\149910" TargetMode="External"/><Relationship Id="rId628" Type="http://schemas.openxmlformats.org/officeDocument/2006/relationships/hyperlink" Target="2019_12/24.12.2019/75140" TargetMode="External"/><Relationship Id="rId835" Type="http://schemas.openxmlformats.org/officeDocument/2006/relationships/hyperlink" Target="2020_01/15.01.2020/84467" TargetMode="External"/><Relationship Id="rId1258" Type="http://schemas.openxmlformats.org/officeDocument/2006/relationships/hyperlink" Target="2020_02\19.02.2020\11703" TargetMode="External"/><Relationship Id="rId1465" Type="http://schemas.openxmlformats.org/officeDocument/2006/relationships/hyperlink" Target="2020_03\06.03.2020\13153" TargetMode="External"/><Relationship Id="rId1672" Type="http://schemas.openxmlformats.org/officeDocument/2006/relationships/hyperlink" Target="2020_03/26.03.2020/24120" TargetMode="External"/><Relationship Id="rId2309" Type="http://schemas.openxmlformats.org/officeDocument/2006/relationships/hyperlink" Target="2020_06/16.06.2020/53377" TargetMode="External"/><Relationship Id="rId2516" Type="http://schemas.openxmlformats.org/officeDocument/2006/relationships/hyperlink" Target="2020_06/18.06.2020/67063" TargetMode="External"/><Relationship Id="rId2723" Type="http://schemas.openxmlformats.org/officeDocument/2006/relationships/hyperlink" Target="2020_07/08.07.2020/75625" TargetMode="External"/><Relationship Id="rId1118" Type="http://schemas.openxmlformats.org/officeDocument/2006/relationships/hyperlink" Target="2020_02\05.02.2020\88742" TargetMode="External"/><Relationship Id="rId1325" Type="http://schemas.openxmlformats.org/officeDocument/2006/relationships/hyperlink" Target="2020_02\26.02.2020\16115" TargetMode="External"/><Relationship Id="rId1532" Type="http://schemas.openxmlformats.org/officeDocument/2006/relationships/hyperlink" Target="2020_03\16.03.2020\17887" TargetMode="External"/><Relationship Id="rId2930" Type="http://schemas.openxmlformats.org/officeDocument/2006/relationships/hyperlink" Target="2020_08/11.08.2020/03540" TargetMode="External"/><Relationship Id="rId902" Type="http://schemas.openxmlformats.org/officeDocument/2006/relationships/hyperlink" Target="2020_01/20.01.2020/77543" TargetMode="External"/><Relationship Id="rId3497" Type="http://schemas.openxmlformats.org/officeDocument/2006/relationships/hyperlink" Target="2020_09/30.09.2020/124124" TargetMode="External"/><Relationship Id="rId31" Type="http://schemas.openxmlformats.org/officeDocument/2006/relationships/hyperlink" Target="https://smp.sfurf.office/sd/operator/" TargetMode="External"/><Relationship Id="rId2099" Type="http://schemas.openxmlformats.org/officeDocument/2006/relationships/hyperlink" Target="2020_06/01.06.2020/60494" TargetMode="External"/><Relationship Id="rId278" Type="http://schemas.openxmlformats.org/officeDocument/2006/relationships/hyperlink" Target="https://smp.sfurf.office/sd/operator/" TargetMode="External"/><Relationship Id="rId3357" Type="http://schemas.openxmlformats.org/officeDocument/2006/relationships/hyperlink" Target="2020_09\18.09.2020\117430" TargetMode="External"/><Relationship Id="rId3564" Type="http://schemas.openxmlformats.org/officeDocument/2006/relationships/hyperlink" Target="2020_10/05.10.2020/126350" TargetMode="External"/><Relationship Id="rId3771" Type="http://schemas.openxmlformats.org/officeDocument/2006/relationships/hyperlink" Target="2020_11/06.11.2020/151722" TargetMode="External"/><Relationship Id="rId485" Type="http://schemas.openxmlformats.org/officeDocument/2006/relationships/hyperlink" Target="2019_12/11.12.2019/58906" TargetMode="External"/><Relationship Id="rId692" Type="http://schemas.openxmlformats.org/officeDocument/2006/relationships/hyperlink" Target="2019_12\27.12.2019\69852" TargetMode="External"/><Relationship Id="rId2166" Type="http://schemas.openxmlformats.org/officeDocument/2006/relationships/hyperlink" Target="2020_06/08.06.2020/44071" TargetMode="External"/><Relationship Id="rId2373" Type="http://schemas.openxmlformats.org/officeDocument/2006/relationships/hyperlink" Target="2020_06/16.06.2020/56662" TargetMode="External"/><Relationship Id="rId2580" Type="http://schemas.openxmlformats.org/officeDocument/2006/relationships/hyperlink" Target="2020_06/23.06.2020/64292" TargetMode="External"/><Relationship Id="rId3217" Type="http://schemas.openxmlformats.org/officeDocument/2006/relationships/hyperlink" Target="2020_09/09.09.2020/112843" TargetMode="External"/><Relationship Id="rId3424" Type="http://schemas.openxmlformats.org/officeDocument/2006/relationships/hyperlink" Target="2020_09/22.09.2020/119165" TargetMode="External"/><Relationship Id="rId3631" Type="http://schemas.openxmlformats.org/officeDocument/2006/relationships/hyperlink" Target="2020_10/09.10.2020/129464" TargetMode="External"/><Relationship Id="rId138" Type="http://schemas.openxmlformats.org/officeDocument/2006/relationships/hyperlink" Target="2019_10\22.10.2019\39556" TargetMode="External"/><Relationship Id="rId345" Type="http://schemas.openxmlformats.org/officeDocument/2006/relationships/hyperlink" Target="https://smp.sfurf.office/sd/operator/index.jsp;jsessionid=4B56FDB405CD332F2E4AE6AEC0BFEE05" TargetMode="External"/><Relationship Id="rId552" Type="http://schemas.openxmlformats.org/officeDocument/2006/relationships/hyperlink" Target="2019_12/17.12.2019/71353" TargetMode="External"/><Relationship Id="rId1182" Type="http://schemas.openxmlformats.org/officeDocument/2006/relationships/hyperlink" Target="2020_02/11.02.2020/-8067" TargetMode="External"/><Relationship Id="rId2026" Type="http://schemas.openxmlformats.org/officeDocument/2006/relationships/hyperlink" Target="2020_05\26.05.2020\49005" TargetMode="External"/><Relationship Id="rId2233" Type="http://schemas.openxmlformats.org/officeDocument/2006/relationships/hyperlink" Target="2020_06/01.06.2020/65263" TargetMode="External"/><Relationship Id="rId2440" Type="http://schemas.openxmlformats.org/officeDocument/2006/relationships/hyperlink" Target="2020_06/16.06.2020/65281" TargetMode="External"/><Relationship Id="rId205" Type="http://schemas.openxmlformats.org/officeDocument/2006/relationships/hyperlink" Target="https://smp.sfurf.office/sd/operator/" TargetMode="External"/><Relationship Id="rId412" Type="http://schemas.openxmlformats.org/officeDocument/2006/relationships/hyperlink" Target="https://smp.sfurf.office/sd/operator/index.jsp;jsessionid=4B56FDB405CD332F2E4AE6AEC0BFEE05" TargetMode="External"/><Relationship Id="rId1042" Type="http://schemas.openxmlformats.org/officeDocument/2006/relationships/hyperlink" Target="2020_01\30.01.2020\84764" TargetMode="External"/><Relationship Id="rId2300" Type="http://schemas.openxmlformats.org/officeDocument/2006/relationships/hyperlink" Target="2020_06/01.06.2020/62327" TargetMode="External"/><Relationship Id="rId1999" Type="http://schemas.openxmlformats.org/officeDocument/2006/relationships/hyperlink" Target="2020_05/22.05.2020/36382" TargetMode="External"/><Relationship Id="rId1859" Type="http://schemas.openxmlformats.org/officeDocument/2006/relationships/hyperlink" Target="2020_05/08.05.2020/28226" TargetMode="External"/><Relationship Id="rId3074" Type="http://schemas.openxmlformats.org/officeDocument/2006/relationships/hyperlink" Target="2020_08/20.08.2020/100368" TargetMode="External"/><Relationship Id="rId1719" Type="http://schemas.openxmlformats.org/officeDocument/2006/relationships/hyperlink" Target="2020_04\06.04.2020\26440" TargetMode="External"/><Relationship Id="rId1926" Type="http://schemas.openxmlformats.org/officeDocument/2006/relationships/hyperlink" Target="2020_05/19.05.2020/33626" TargetMode="External"/><Relationship Id="rId3281" Type="http://schemas.openxmlformats.org/officeDocument/2006/relationships/hyperlink" Target="2020_09\15.09.2020\115160" TargetMode="External"/><Relationship Id="rId2090" Type="http://schemas.openxmlformats.org/officeDocument/2006/relationships/hyperlink" Target="2020_06\01.06.2020\61581" TargetMode="External"/><Relationship Id="rId3141" Type="http://schemas.openxmlformats.org/officeDocument/2006/relationships/hyperlink" Target="2020_08\31.08.2020\106651" TargetMode="External"/><Relationship Id="rId3001" Type="http://schemas.openxmlformats.org/officeDocument/2006/relationships/hyperlink" Target="2020_08/14.08.2020/97850" TargetMode="External"/><Relationship Id="rId3958" Type="http://schemas.openxmlformats.org/officeDocument/2006/relationships/hyperlink" Target="2020_12/14.12.2020/172079" TargetMode="External"/><Relationship Id="rId879" Type="http://schemas.openxmlformats.org/officeDocument/2006/relationships/hyperlink" Target="2020_01/17.01.2020/78121" TargetMode="External"/><Relationship Id="rId2767" Type="http://schemas.openxmlformats.org/officeDocument/2006/relationships/hyperlink" Target="2020_07\31.07.2020\89262" TargetMode="External"/><Relationship Id="rId739" Type="http://schemas.openxmlformats.org/officeDocument/2006/relationships/hyperlink" Target="2019_12/31.12.2019/71132" TargetMode="External"/><Relationship Id="rId1369" Type="http://schemas.openxmlformats.org/officeDocument/2006/relationships/hyperlink" Target="2020_02\28.02.2020\17791" TargetMode="External"/><Relationship Id="rId1576" Type="http://schemas.openxmlformats.org/officeDocument/2006/relationships/hyperlink" Target="2020_03\18.03.2020\19035" TargetMode="External"/><Relationship Id="rId2974" Type="http://schemas.openxmlformats.org/officeDocument/2006/relationships/hyperlink" Target="2020_08/13.08.2020/04815" TargetMode="External"/><Relationship Id="rId3818" Type="http://schemas.openxmlformats.org/officeDocument/2006/relationships/hyperlink" Target="2020_11\10.11.2020\145498" TargetMode="External"/><Relationship Id="rId946" Type="http://schemas.openxmlformats.org/officeDocument/2006/relationships/hyperlink" Target="2020_01\22.01.2020\62799" TargetMode="External"/><Relationship Id="rId1229" Type="http://schemas.openxmlformats.org/officeDocument/2006/relationships/hyperlink" Target="2020_02/12.02.2020/-8756" TargetMode="External"/><Relationship Id="rId1783" Type="http://schemas.openxmlformats.org/officeDocument/2006/relationships/hyperlink" Target="2020_04\09.04.2020\28814" TargetMode="External"/><Relationship Id="rId1990" Type="http://schemas.openxmlformats.org/officeDocument/2006/relationships/hyperlink" Target="2020_05/27.05.2020/49482" TargetMode="External"/><Relationship Id="rId2627" Type="http://schemas.openxmlformats.org/officeDocument/2006/relationships/hyperlink" Target="2020_06/25.06.2020/70132" TargetMode="External"/><Relationship Id="rId2834" Type="http://schemas.openxmlformats.org/officeDocument/2006/relationships/hyperlink" Target="2020_07/31.07.2020/89429" TargetMode="External"/><Relationship Id="rId75" Type="http://schemas.openxmlformats.org/officeDocument/2006/relationships/hyperlink" Target="https://smp.sfurf.office/sd/operator/index.jsp;jsessionid=4B56FDB405CD332F2E4AE6AEC0BFEE05" TargetMode="External"/><Relationship Id="rId806" Type="http://schemas.openxmlformats.org/officeDocument/2006/relationships/hyperlink" Target="2020_01/13.01.2020/74317" TargetMode="External"/><Relationship Id="rId1436" Type="http://schemas.openxmlformats.org/officeDocument/2006/relationships/hyperlink" Target="2020_03/05.03.2020/20749" TargetMode="External"/><Relationship Id="rId1643" Type="http://schemas.openxmlformats.org/officeDocument/2006/relationships/hyperlink" Target="2020_03\24.03.2020\13421" TargetMode="External"/><Relationship Id="rId1850" Type="http://schemas.openxmlformats.org/officeDocument/2006/relationships/hyperlink" Target="2020_05/13.05.2020/39870" TargetMode="External"/><Relationship Id="rId2901" Type="http://schemas.openxmlformats.org/officeDocument/2006/relationships/hyperlink" Target="2020_08\06.08.2020\93038" TargetMode="External"/><Relationship Id="rId1503" Type="http://schemas.openxmlformats.org/officeDocument/2006/relationships/hyperlink" Target="2020_03\12.03.2020\24563" TargetMode="External"/><Relationship Id="rId1710" Type="http://schemas.openxmlformats.org/officeDocument/2006/relationships/hyperlink" Target="2020_04\06.04.2020\27701" TargetMode="External"/><Relationship Id="rId3468" Type="http://schemas.openxmlformats.org/officeDocument/2006/relationships/hyperlink" Target="2020_09/29.09.2020/122849" TargetMode="External"/><Relationship Id="rId3675" Type="http://schemas.openxmlformats.org/officeDocument/2006/relationships/hyperlink" Target="2020_10\14.10.2020\131252" TargetMode="External"/><Relationship Id="rId3882" Type="http://schemas.openxmlformats.org/officeDocument/2006/relationships/hyperlink" Target="2020_11/20.11.2020/159934" TargetMode="External"/><Relationship Id="rId389" Type="http://schemas.openxmlformats.org/officeDocument/2006/relationships/hyperlink" Target="https://smp.sfurf.office/sd/operator/" TargetMode="External"/><Relationship Id="rId596" Type="http://schemas.openxmlformats.org/officeDocument/2006/relationships/hyperlink" Target="2019_12\20.12.2019\65795" TargetMode="External"/><Relationship Id="rId2277" Type="http://schemas.openxmlformats.org/officeDocument/2006/relationships/hyperlink" Target="2020_06/16.06.2020/50930" TargetMode="External"/><Relationship Id="rId2484" Type="http://schemas.openxmlformats.org/officeDocument/2006/relationships/hyperlink" Target="2020_06/17.06.2020/65970" TargetMode="External"/><Relationship Id="rId2691" Type="http://schemas.openxmlformats.org/officeDocument/2006/relationships/hyperlink" Target="2020_07\03.07.2020\81382" TargetMode="External"/><Relationship Id="rId3328" Type="http://schemas.openxmlformats.org/officeDocument/2006/relationships/hyperlink" Target="2020_09\17.09.2020\116674" TargetMode="External"/><Relationship Id="rId3535" Type="http://schemas.openxmlformats.org/officeDocument/2006/relationships/hyperlink" Target="2020_10/01.10.2020/131931" TargetMode="External"/><Relationship Id="rId3742" Type="http://schemas.openxmlformats.org/officeDocument/2006/relationships/hyperlink" Target="2020_11/03.11.2020/149844" TargetMode="External"/><Relationship Id="rId249" Type="http://schemas.openxmlformats.org/officeDocument/2006/relationships/hyperlink" Target="https://smp.sfurf.office/sd/operator/" TargetMode="External"/><Relationship Id="rId456" Type="http://schemas.openxmlformats.org/officeDocument/2006/relationships/hyperlink" Target="2019_12\09.12.2019\52919" TargetMode="External"/><Relationship Id="rId663" Type="http://schemas.openxmlformats.org/officeDocument/2006/relationships/hyperlink" Target="2019_12\25.12.2019\58619" TargetMode="External"/><Relationship Id="rId870" Type="http://schemas.openxmlformats.org/officeDocument/2006/relationships/hyperlink" Target="2020_01\16.01.2020\84922" TargetMode="External"/><Relationship Id="rId1086" Type="http://schemas.openxmlformats.org/officeDocument/2006/relationships/hyperlink" Target="2020_02\03.02.2020\87086" TargetMode="External"/><Relationship Id="rId1293" Type="http://schemas.openxmlformats.org/officeDocument/2006/relationships/hyperlink" Target="2020_02\21.02.2020\-4871" TargetMode="External"/><Relationship Id="rId2137" Type="http://schemas.openxmlformats.org/officeDocument/2006/relationships/hyperlink" Target="2020_06\08.06.2020\44403" TargetMode="External"/><Relationship Id="rId2344" Type="http://schemas.openxmlformats.org/officeDocument/2006/relationships/hyperlink" Target="2020_06/16.06.2020/60873" TargetMode="External"/><Relationship Id="rId2551" Type="http://schemas.openxmlformats.org/officeDocument/2006/relationships/hyperlink" Target="2020_06\23.06.2020\77636" TargetMode="External"/><Relationship Id="rId109" Type="http://schemas.openxmlformats.org/officeDocument/2006/relationships/hyperlink" Target="..\Users\shilyaevan\AppData\Roaming\Microsoft\Excel\2019_10\18.10.2019\30675" TargetMode="External"/><Relationship Id="rId316" Type="http://schemas.openxmlformats.org/officeDocument/2006/relationships/hyperlink" Target="2019_11\18.11.2019\53093" TargetMode="External"/><Relationship Id="rId523" Type="http://schemas.openxmlformats.org/officeDocument/2006/relationships/hyperlink" Target="2019_12\16.12.2019\49620" TargetMode="External"/><Relationship Id="rId1153" Type="http://schemas.openxmlformats.org/officeDocument/2006/relationships/hyperlink" Target="2020_02\06.02.2020\89370" TargetMode="External"/><Relationship Id="rId2204" Type="http://schemas.openxmlformats.org/officeDocument/2006/relationships/hyperlink" Target="2020_06/11.06.2020/47788" TargetMode="External"/><Relationship Id="rId3602" Type="http://schemas.openxmlformats.org/officeDocument/2006/relationships/hyperlink" Target="2020_10/08.10.2020/136013" TargetMode="External"/><Relationship Id="rId730" Type="http://schemas.openxmlformats.org/officeDocument/2006/relationships/hyperlink" Target="2019_12/31.12.2019/79902" TargetMode="External"/><Relationship Id="rId1013" Type="http://schemas.openxmlformats.org/officeDocument/2006/relationships/hyperlink" Target="2020_01\28.01.2020\90732" TargetMode="External"/><Relationship Id="rId1360" Type="http://schemas.openxmlformats.org/officeDocument/2006/relationships/hyperlink" Target="2020_02\28.02.2020\-9834" TargetMode="External"/><Relationship Id="rId2411" Type="http://schemas.openxmlformats.org/officeDocument/2006/relationships/hyperlink" Target="2020_06/15.06.2020/72146" TargetMode="External"/><Relationship Id="rId1220" Type="http://schemas.openxmlformats.org/officeDocument/2006/relationships/hyperlink" Target="2020_02\12.02.2020\91185" TargetMode="External"/><Relationship Id="rId3185" Type="http://schemas.openxmlformats.org/officeDocument/2006/relationships/hyperlink" Target="2020_09/02.09.2020/95908" TargetMode="External"/><Relationship Id="rId3392" Type="http://schemas.openxmlformats.org/officeDocument/2006/relationships/hyperlink" Target="2020_09/22.09.2020/126795" TargetMode="External"/><Relationship Id="rId3045" Type="http://schemas.openxmlformats.org/officeDocument/2006/relationships/hyperlink" Target="2020_08\18.08.2020\99466" TargetMode="External"/><Relationship Id="rId3252" Type="http://schemas.openxmlformats.org/officeDocument/2006/relationships/hyperlink" Target="2020_09\11.09.2020\113615" TargetMode="External"/><Relationship Id="rId173" Type="http://schemas.openxmlformats.org/officeDocument/2006/relationships/hyperlink" Target="https://smp.sfurf.office/sd/operator/index.jsp;jsessionid=4B56FDB405CD332F2E4AE6AEC0BFEE05" TargetMode="External"/><Relationship Id="rId380" Type="http://schemas.openxmlformats.org/officeDocument/2006/relationships/hyperlink" Target="https://smp.sfurf.office/sd/operator/" TargetMode="External"/><Relationship Id="rId2061" Type="http://schemas.openxmlformats.org/officeDocument/2006/relationships/hyperlink" Target="2020_06\01.06.2020\54406" TargetMode="External"/><Relationship Id="rId3112" Type="http://schemas.openxmlformats.org/officeDocument/2006/relationships/hyperlink" Target="2020_08/26.08.2020/111426" TargetMode="External"/><Relationship Id="rId240" Type="http://schemas.openxmlformats.org/officeDocument/2006/relationships/hyperlink" Target="https://smp.sfurf.office/sd/operator/" TargetMode="External"/><Relationship Id="rId100" Type="http://schemas.openxmlformats.org/officeDocument/2006/relationships/hyperlink" Target="2019_11\01.11.2019\30332" TargetMode="External"/><Relationship Id="rId2878" Type="http://schemas.openxmlformats.org/officeDocument/2006/relationships/hyperlink" Target="2020_08/07.08.2020/93332" TargetMode="External"/><Relationship Id="rId3929" Type="http://schemas.openxmlformats.org/officeDocument/2006/relationships/hyperlink" Target="2020_12\10.12.2020\170764" TargetMode="External"/><Relationship Id="rId1687" Type="http://schemas.openxmlformats.org/officeDocument/2006/relationships/hyperlink" Target="2020_03\26.03.2020\34416" TargetMode="External"/><Relationship Id="rId1894" Type="http://schemas.openxmlformats.org/officeDocument/2006/relationships/hyperlink" Target="2020_05/18.05.2020/28255" TargetMode="External"/><Relationship Id="rId2738" Type="http://schemas.openxmlformats.org/officeDocument/2006/relationships/hyperlink" Target="2020_07/09.07.2020/62843" TargetMode="External"/><Relationship Id="rId2945" Type="http://schemas.openxmlformats.org/officeDocument/2006/relationships/hyperlink" Target="2020_08/11.08.2020/94901" TargetMode="External"/><Relationship Id="rId917" Type="http://schemas.openxmlformats.org/officeDocument/2006/relationships/hyperlink" Target="2020_01\21.01.2020\71720" TargetMode="External"/><Relationship Id="rId1547" Type="http://schemas.openxmlformats.org/officeDocument/2006/relationships/hyperlink" Target="2020_03/17.03.2020/18226" TargetMode="External"/><Relationship Id="rId1754" Type="http://schemas.openxmlformats.org/officeDocument/2006/relationships/hyperlink" Target="2020_04\07.04.2020\36938" TargetMode="External"/><Relationship Id="rId1961" Type="http://schemas.openxmlformats.org/officeDocument/2006/relationships/hyperlink" Target="2020_05/27.05.2020/49489" TargetMode="External"/><Relationship Id="rId2805" Type="http://schemas.openxmlformats.org/officeDocument/2006/relationships/hyperlink" Target="2020_07/29.07.2020/87998" TargetMode="External"/><Relationship Id="rId46" Type="http://schemas.openxmlformats.org/officeDocument/2006/relationships/hyperlink" Target="https://smp.sfurf.office/sd/operator/" TargetMode="External"/><Relationship Id="rId1407" Type="http://schemas.openxmlformats.org/officeDocument/2006/relationships/hyperlink" Target="2020_03\03.03.2020\19078" TargetMode="External"/><Relationship Id="rId1614" Type="http://schemas.openxmlformats.org/officeDocument/2006/relationships/hyperlink" Target="2020_03\23.03.2020\22729" TargetMode="External"/><Relationship Id="rId1821" Type="http://schemas.openxmlformats.org/officeDocument/2006/relationships/hyperlink" Target="2020_05\12.05.2020\38692" TargetMode="External"/><Relationship Id="rId3579" Type="http://schemas.openxmlformats.org/officeDocument/2006/relationships/hyperlink" Target="2020_10\06.10.2020\134440" TargetMode="External"/><Relationship Id="rId3786" Type="http://schemas.openxmlformats.org/officeDocument/2006/relationships/hyperlink" Target="2020_11\05.11.2020\151176" TargetMode="External"/><Relationship Id="rId2388" Type="http://schemas.openxmlformats.org/officeDocument/2006/relationships/hyperlink" Target="2020_06/16.06.2020/54809" TargetMode="External"/><Relationship Id="rId2595" Type="http://schemas.openxmlformats.org/officeDocument/2006/relationships/hyperlink" Target="2020_06/25.06.2020/69372" TargetMode="External"/><Relationship Id="rId3439" Type="http://schemas.openxmlformats.org/officeDocument/2006/relationships/hyperlink" Target="2020_09\24.09.2020\127413" TargetMode="External"/><Relationship Id="rId567" Type="http://schemas.openxmlformats.org/officeDocument/2006/relationships/hyperlink" Target="2019_12/18.12.2019/71922" TargetMode="External"/><Relationship Id="rId1197" Type="http://schemas.openxmlformats.org/officeDocument/2006/relationships/hyperlink" Target="2020_02/10.02.2020/-6171" TargetMode="External"/><Relationship Id="rId2248" Type="http://schemas.openxmlformats.org/officeDocument/2006/relationships/hyperlink" Target="2020_06/16.06.2020/51011" TargetMode="External"/><Relationship Id="rId3646" Type="http://schemas.openxmlformats.org/officeDocument/2006/relationships/hyperlink" Target="2020_10/12.10.2020/129743" TargetMode="External"/><Relationship Id="rId3853" Type="http://schemas.openxmlformats.org/officeDocument/2006/relationships/hyperlink" Target="2020_11/16.11.2020/148348" TargetMode="External"/><Relationship Id="rId774" Type="http://schemas.openxmlformats.org/officeDocument/2006/relationships/hyperlink" Target="2020_01/09.01.2020/73041" TargetMode="External"/><Relationship Id="rId981" Type="http://schemas.openxmlformats.org/officeDocument/2006/relationships/hyperlink" Target="2020_01/24.01.2020/89334" TargetMode="External"/><Relationship Id="rId1057" Type="http://schemas.openxmlformats.org/officeDocument/2006/relationships/hyperlink" Target="2020_01\31.01.2020\85558" TargetMode="External"/><Relationship Id="rId2455" Type="http://schemas.openxmlformats.org/officeDocument/2006/relationships/hyperlink" Target="2020_06/16.06.2020/54896" TargetMode="External"/><Relationship Id="rId2662" Type="http://schemas.openxmlformats.org/officeDocument/2006/relationships/hyperlink" Target="2020_07\02.07.2020\73020" TargetMode="External"/><Relationship Id="rId3506" Type="http://schemas.openxmlformats.org/officeDocument/2006/relationships/hyperlink" Target="2020_10/01.10.2020/132239" TargetMode="External"/><Relationship Id="rId3713" Type="http://schemas.openxmlformats.org/officeDocument/2006/relationships/hyperlink" Target="2020_10/16.10.2020/141170" TargetMode="External"/><Relationship Id="rId3920" Type="http://schemas.openxmlformats.org/officeDocument/2006/relationships/hyperlink" Target="2020_11\20.11.2020\151343" TargetMode="External"/><Relationship Id="rId427" Type="http://schemas.openxmlformats.org/officeDocument/2006/relationships/hyperlink" Target="2019_12\06.12.2019\65746" TargetMode="External"/><Relationship Id="rId634" Type="http://schemas.openxmlformats.org/officeDocument/2006/relationships/hyperlink" Target="2019_12\24.12.2019\75555" TargetMode="External"/><Relationship Id="rId841" Type="http://schemas.openxmlformats.org/officeDocument/2006/relationships/hyperlink" Target="2020_01\15.01.2020\83390" TargetMode="External"/><Relationship Id="rId1264" Type="http://schemas.openxmlformats.org/officeDocument/2006/relationships/hyperlink" Target="2020_02/20.02.2020/12601" TargetMode="External"/><Relationship Id="rId1471" Type="http://schemas.openxmlformats.org/officeDocument/2006/relationships/hyperlink" Target="2020_03\10.03.2020\-9818" TargetMode="External"/><Relationship Id="rId2108" Type="http://schemas.openxmlformats.org/officeDocument/2006/relationships/hyperlink" Target="2020_06/01.06.2020/60872" TargetMode="External"/><Relationship Id="rId2315" Type="http://schemas.openxmlformats.org/officeDocument/2006/relationships/hyperlink" Target="2020_06\16.06.2020\59649" TargetMode="External"/><Relationship Id="rId2522" Type="http://schemas.openxmlformats.org/officeDocument/2006/relationships/hyperlink" Target="2020_06/16.06.2020/53898" TargetMode="External"/><Relationship Id="rId701" Type="http://schemas.openxmlformats.org/officeDocument/2006/relationships/hyperlink" Target="2019_12/27.12.2019/78175" TargetMode="External"/><Relationship Id="rId1124" Type="http://schemas.openxmlformats.org/officeDocument/2006/relationships/hyperlink" Target="2020_02\05.02.2020\-3736" TargetMode="External"/><Relationship Id="rId1331" Type="http://schemas.openxmlformats.org/officeDocument/2006/relationships/hyperlink" Target="2020_02\26.02.2020\-7249" TargetMode="External"/><Relationship Id="rId3089" Type="http://schemas.openxmlformats.org/officeDocument/2006/relationships/hyperlink" Target="2020_08/25.08.2020/103252" TargetMode="External"/><Relationship Id="rId3296" Type="http://schemas.openxmlformats.org/officeDocument/2006/relationships/hyperlink" Target="2020_09/16.09.2020/116305" TargetMode="External"/><Relationship Id="rId3156" Type="http://schemas.openxmlformats.org/officeDocument/2006/relationships/hyperlink" Target="2020_09/01.09.2020/107329" TargetMode="External"/><Relationship Id="rId3363" Type="http://schemas.openxmlformats.org/officeDocument/2006/relationships/hyperlink" Target="2020_09/21.09.2020/126282" TargetMode="External"/><Relationship Id="rId284" Type="http://schemas.openxmlformats.org/officeDocument/2006/relationships/hyperlink" Target="https://smp.sfurf.office/sd/operator/" TargetMode="External"/><Relationship Id="rId491" Type="http://schemas.openxmlformats.org/officeDocument/2006/relationships/hyperlink" Target="2019_12\12.12.2019\60341" TargetMode="External"/><Relationship Id="rId2172" Type="http://schemas.openxmlformats.org/officeDocument/2006/relationships/hyperlink" Target="2020_06/09.06.2020/45478" TargetMode="External"/><Relationship Id="rId3016" Type="http://schemas.openxmlformats.org/officeDocument/2006/relationships/hyperlink" Target="2020_08/19.08.2020/08352" TargetMode="External"/><Relationship Id="rId3223" Type="http://schemas.openxmlformats.org/officeDocument/2006/relationships/hyperlink" Target="2020_09/08.09.2020/118516" TargetMode="External"/><Relationship Id="rId3570" Type="http://schemas.openxmlformats.org/officeDocument/2006/relationships/hyperlink" Target="2020_10/06.10.2020/126943" TargetMode="External"/><Relationship Id="rId144" Type="http://schemas.openxmlformats.org/officeDocument/2006/relationships/hyperlink" Target="../Users/shilyaevan/AppData/Roaming/Microsoft/Excel/2019_10/23.10.2019/40009" TargetMode="External"/><Relationship Id="rId3430" Type="http://schemas.openxmlformats.org/officeDocument/2006/relationships/hyperlink" Target="2020_09/23.09.2020/127757" TargetMode="External"/><Relationship Id="rId351" Type="http://schemas.openxmlformats.org/officeDocument/2006/relationships/hyperlink" Target="https://smp.sfurf.office/sd/operator/" TargetMode="External"/><Relationship Id="rId2032" Type="http://schemas.openxmlformats.org/officeDocument/2006/relationships/hyperlink" Target="2020_05/25.05.2020/38345" TargetMode="External"/><Relationship Id="rId2989" Type="http://schemas.openxmlformats.org/officeDocument/2006/relationships/hyperlink" Target="2020_08/13.08.2020/05303" TargetMode="External"/><Relationship Id="rId211" Type="http://schemas.openxmlformats.org/officeDocument/2006/relationships/hyperlink" Target="2019_10\30.10.2019\43825" TargetMode="External"/><Relationship Id="rId1798" Type="http://schemas.openxmlformats.org/officeDocument/2006/relationships/hyperlink" Target="2020_05\12.05.2020\29121" TargetMode="External"/><Relationship Id="rId2849" Type="http://schemas.openxmlformats.org/officeDocument/2006/relationships/hyperlink" Target="2020_08/05.08.2020/92103" TargetMode="External"/><Relationship Id="rId1658" Type="http://schemas.openxmlformats.org/officeDocument/2006/relationships/hyperlink" Target="2020_03\25.03.2020\15346" TargetMode="External"/><Relationship Id="rId1865" Type="http://schemas.openxmlformats.org/officeDocument/2006/relationships/hyperlink" Target="2020_05\12.05.2020\39325" TargetMode="External"/><Relationship Id="rId2709" Type="http://schemas.openxmlformats.org/officeDocument/2006/relationships/hyperlink" Target="2020_06/29.06.2020/72060" TargetMode="External"/><Relationship Id="rId1518" Type="http://schemas.openxmlformats.org/officeDocument/2006/relationships/hyperlink" Target="2020_03/13.03.2020/17355" TargetMode="External"/><Relationship Id="rId2916" Type="http://schemas.openxmlformats.org/officeDocument/2006/relationships/hyperlink" Target="2020_08/10.08.2020/95044" TargetMode="External"/><Relationship Id="rId3080" Type="http://schemas.openxmlformats.org/officeDocument/2006/relationships/hyperlink" Target="2020_08/24.08.2020/103474" TargetMode="External"/><Relationship Id="rId1725" Type="http://schemas.openxmlformats.org/officeDocument/2006/relationships/hyperlink" Target="2020_04\06.04.2020\26217" TargetMode="External"/><Relationship Id="rId1932" Type="http://schemas.openxmlformats.org/officeDocument/2006/relationships/hyperlink" Target="2020_05\20.05.2020\44247" TargetMode="External"/><Relationship Id="rId17" Type="http://schemas.openxmlformats.org/officeDocument/2006/relationships/hyperlink" Target="https://smp.sfurf.office/sd/operator/index.jsp;jsessionid=4B56FDB405CD332F2E4AE6AEC0BFEE05" TargetMode="External"/><Relationship Id="rId3897" Type="http://schemas.openxmlformats.org/officeDocument/2006/relationships/hyperlink" Target="2020_11\18.11.2020\150282" TargetMode="External"/><Relationship Id="rId2499" Type="http://schemas.openxmlformats.org/officeDocument/2006/relationships/hyperlink" Target="2020_06/16.06.2020/60895" TargetMode="External"/><Relationship Id="rId3757" Type="http://schemas.openxmlformats.org/officeDocument/2006/relationships/hyperlink" Target="2020_11/02.11.2020/141179" TargetMode="External"/><Relationship Id="rId3964" Type="http://schemas.openxmlformats.org/officeDocument/2006/relationships/hyperlink" Target="2020_12/16.12.2020/174109" TargetMode="External"/><Relationship Id="rId1" Type="http://schemas.openxmlformats.org/officeDocument/2006/relationships/hyperlink" Target="https://smp.sfurf.office/sd/operator/index.jsp;jsessionid=4B56FDB405CD332F2E4AE6AEC0BFEE05" TargetMode="External"/><Relationship Id="rId678" Type="http://schemas.openxmlformats.org/officeDocument/2006/relationships/hyperlink" Target="2019_12/26.12.2019/77058" TargetMode="External"/><Relationship Id="rId885" Type="http://schemas.openxmlformats.org/officeDocument/2006/relationships/hyperlink" Target="2020_01/17.01.2020/85789" TargetMode="External"/><Relationship Id="rId2359" Type="http://schemas.openxmlformats.org/officeDocument/2006/relationships/hyperlink" Target="2020_06\10.06.2020\70757" TargetMode="External"/><Relationship Id="rId2566" Type="http://schemas.openxmlformats.org/officeDocument/2006/relationships/hyperlink" Target="2020_06\19.06.2020\74864" TargetMode="External"/><Relationship Id="rId2773" Type="http://schemas.openxmlformats.org/officeDocument/2006/relationships/hyperlink" Target="2020_07/24.07.2020/85202" TargetMode="External"/><Relationship Id="rId2980" Type="http://schemas.openxmlformats.org/officeDocument/2006/relationships/hyperlink" Target="2020_08/14.08.2020/97660" TargetMode="External"/><Relationship Id="rId3617" Type="http://schemas.openxmlformats.org/officeDocument/2006/relationships/hyperlink" Target="2020_10/08.10.2020/124221" TargetMode="External"/><Relationship Id="rId3824" Type="http://schemas.openxmlformats.org/officeDocument/2006/relationships/hyperlink" Target="2020_11/11.11.2020/152873" TargetMode="External"/><Relationship Id="rId538" Type="http://schemas.openxmlformats.org/officeDocument/2006/relationships/hyperlink" Target="2019_12\17.12.2019\71201" TargetMode="External"/><Relationship Id="rId745" Type="http://schemas.openxmlformats.org/officeDocument/2006/relationships/hyperlink" Target="2019_12/31.12.2019/71356" TargetMode="External"/><Relationship Id="rId952" Type="http://schemas.openxmlformats.org/officeDocument/2006/relationships/hyperlink" Target="2020_01\23.01.2020\89372" TargetMode="External"/><Relationship Id="rId1168" Type="http://schemas.openxmlformats.org/officeDocument/2006/relationships/hyperlink" Target="2020_02\11.02.2020\90485" TargetMode="External"/><Relationship Id="rId1375" Type="http://schemas.openxmlformats.org/officeDocument/2006/relationships/hyperlink" Target="2020_02\28.02.2020\-9747" TargetMode="External"/><Relationship Id="rId1582" Type="http://schemas.openxmlformats.org/officeDocument/2006/relationships/hyperlink" Target="2020_03\19.03.2020\19633" TargetMode="External"/><Relationship Id="rId2219" Type="http://schemas.openxmlformats.org/officeDocument/2006/relationships/hyperlink" Target="2020_06/11.06.2020/47999" TargetMode="External"/><Relationship Id="rId2426" Type="http://schemas.openxmlformats.org/officeDocument/2006/relationships/hyperlink" Target="2020_06/18.06.2020/74018" TargetMode="External"/><Relationship Id="rId2633" Type="http://schemas.openxmlformats.org/officeDocument/2006/relationships/hyperlink" Target="2020_06/26.06.2020/66220" TargetMode="External"/><Relationship Id="rId81" Type="http://schemas.openxmlformats.org/officeDocument/2006/relationships/hyperlink" Target="../Users/shilyaevan/AppData/Roaming/Microsoft/Excel/2019_10/16.10.2019/36139" TargetMode="External"/><Relationship Id="rId605" Type="http://schemas.openxmlformats.org/officeDocument/2006/relationships/hyperlink" Target="2019_12/23.12.2019/66340" TargetMode="External"/><Relationship Id="rId812" Type="http://schemas.openxmlformats.org/officeDocument/2006/relationships/hyperlink" Target="2020_01/13.01.2020/73977" TargetMode="External"/><Relationship Id="rId1028" Type="http://schemas.openxmlformats.org/officeDocument/2006/relationships/hyperlink" Target="2020_01/29.01.2020/84596" TargetMode="External"/><Relationship Id="rId1235" Type="http://schemas.openxmlformats.org/officeDocument/2006/relationships/hyperlink" Target="2020_02\18.02.2020\-2373" TargetMode="External"/><Relationship Id="rId1442" Type="http://schemas.openxmlformats.org/officeDocument/2006/relationships/hyperlink" Target="2020_03\05.03.2020\11996" TargetMode="External"/><Relationship Id="rId2840" Type="http://schemas.openxmlformats.org/officeDocument/2006/relationships/hyperlink" Target="2020_07/31.07.2020/89256" TargetMode="External"/><Relationship Id="rId1302" Type="http://schemas.openxmlformats.org/officeDocument/2006/relationships/hyperlink" Target="2020_02/25.02.2020/-6121" TargetMode="External"/><Relationship Id="rId2700" Type="http://schemas.openxmlformats.org/officeDocument/2006/relationships/hyperlink" Target="2020_07/06.07.2020/82474" TargetMode="External"/><Relationship Id="rId3267" Type="http://schemas.openxmlformats.org/officeDocument/2006/relationships/hyperlink" Target="2020_09/14.09.2020/114931" TargetMode="External"/><Relationship Id="rId188" Type="http://schemas.openxmlformats.org/officeDocument/2006/relationships/hyperlink" Target="2019_10\29.10.2019\35394" TargetMode="External"/><Relationship Id="rId395" Type="http://schemas.openxmlformats.org/officeDocument/2006/relationships/hyperlink" Target="2019_11\28.11.2019\60314" TargetMode="External"/><Relationship Id="rId2076" Type="http://schemas.openxmlformats.org/officeDocument/2006/relationships/hyperlink" Target="2020_06/01.06.2020/54288" TargetMode="External"/><Relationship Id="rId3474" Type="http://schemas.openxmlformats.org/officeDocument/2006/relationships/hyperlink" Target="2020_09/23.09.2020/127017" TargetMode="External"/><Relationship Id="rId3681" Type="http://schemas.openxmlformats.org/officeDocument/2006/relationships/hyperlink" Target="2020_10\13.10.2020\130704" TargetMode="External"/><Relationship Id="rId2283" Type="http://schemas.openxmlformats.org/officeDocument/2006/relationships/hyperlink" Target="2020_06/16.06.2020/54636" TargetMode="External"/><Relationship Id="rId2490" Type="http://schemas.openxmlformats.org/officeDocument/2006/relationships/hyperlink" Target="2020_06/16.06.2020/65428" TargetMode="External"/><Relationship Id="rId3127" Type="http://schemas.openxmlformats.org/officeDocument/2006/relationships/hyperlink" Target="2020_08/26.08.2020/103718" TargetMode="External"/><Relationship Id="rId3334" Type="http://schemas.openxmlformats.org/officeDocument/2006/relationships/hyperlink" Target="2020_09/18.09.2020/117454" TargetMode="External"/><Relationship Id="rId3541" Type="http://schemas.openxmlformats.org/officeDocument/2006/relationships/hyperlink" Target="2020_10/02.10.2020/125445" TargetMode="External"/><Relationship Id="rId255" Type="http://schemas.openxmlformats.org/officeDocument/2006/relationships/hyperlink" Target="2019_11\05.11.2019\47112" TargetMode="External"/><Relationship Id="rId462" Type="http://schemas.openxmlformats.org/officeDocument/2006/relationships/hyperlink" Target="2019_12\09.12.2019\67302" TargetMode="External"/><Relationship Id="rId1092" Type="http://schemas.openxmlformats.org/officeDocument/2006/relationships/hyperlink" Target="2020_02\05.02.2020\80050" TargetMode="External"/><Relationship Id="rId2143" Type="http://schemas.openxmlformats.org/officeDocument/2006/relationships/hyperlink" Target="2020_06\04.06.2020\42737" TargetMode="External"/><Relationship Id="rId2350" Type="http://schemas.openxmlformats.org/officeDocument/2006/relationships/hyperlink" Target="2020_06\16.06.2020\52845" TargetMode="External"/><Relationship Id="rId3401" Type="http://schemas.openxmlformats.org/officeDocument/2006/relationships/hyperlink" Target="2020_09/23.09.2020/127565" TargetMode="External"/><Relationship Id="rId115" Type="http://schemas.openxmlformats.org/officeDocument/2006/relationships/hyperlink" Target="https://smp.sfurf.office/sd/operator/index.jsp;jsessionid=4B56FDB405CD332F2E4AE6AEC0BFEE05" TargetMode="External"/><Relationship Id="rId322" Type="http://schemas.openxmlformats.org/officeDocument/2006/relationships/hyperlink" Target="2019_12\03.12.2019\54180" TargetMode="External"/><Relationship Id="rId2003" Type="http://schemas.openxmlformats.org/officeDocument/2006/relationships/hyperlink" Target="2020_05/25.05.2020/47150" TargetMode="External"/><Relationship Id="rId2210" Type="http://schemas.openxmlformats.org/officeDocument/2006/relationships/hyperlink" Target="2020_06/11.06.2020/48368" TargetMode="External"/><Relationship Id="rId1769" Type="http://schemas.openxmlformats.org/officeDocument/2006/relationships/hyperlink" Target="2020_04\08.04.2020\37546" TargetMode="External"/><Relationship Id="rId1976" Type="http://schemas.openxmlformats.org/officeDocument/2006/relationships/hyperlink" Target="2020_05/21.05.2020/36529" TargetMode="External"/><Relationship Id="rId3191" Type="http://schemas.openxmlformats.org/officeDocument/2006/relationships/hyperlink" Target="2020_09/04.09.2020/109900" TargetMode="External"/><Relationship Id="rId1629" Type="http://schemas.openxmlformats.org/officeDocument/2006/relationships/hyperlink" Target="2020_03/23.03.2020/21746" TargetMode="External"/><Relationship Id="rId1836" Type="http://schemas.openxmlformats.org/officeDocument/2006/relationships/hyperlink" Target="2020_05\14.05.2020\31379" TargetMode="External"/><Relationship Id="rId1903" Type="http://schemas.openxmlformats.org/officeDocument/2006/relationships/hyperlink" Target="2020_05/20.05.2020/29724" TargetMode="External"/><Relationship Id="rId3051" Type="http://schemas.openxmlformats.org/officeDocument/2006/relationships/hyperlink" Target="2020_08/19.08.2020/100390" TargetMode="External"/><Relationship Id="rId3868" Type="http://schemas.openxmlformats.org/officeDocument/2006/relationships/hyperlink" Target="2020_11/17.11.2020/149189" TargetMode="External"/><Relationship Id="rId789" Type="http://schemas.openxmlformats.org/officeDocument/2006/relationships/hyperlink" Target="2020_01/10.01.2020/73367" TargetMode="External"/><Relationship Id="rId996" Type="http://schemas.openxmlformats.org/officeDocument/2006/relationships/hyperlink" Target="2020_01\28.01.2020\90484" TargetMode="External"/><Relationship Id="rId2677" Type="http://schemas.openxmlformats.org/officeDocument/2006/relationships/hyperlink" Target="2020_07/02.07.2020/80462" TargetMode="External"/><Relationship Id="rId2884" Type="http://schemas.openxmlformats.org/officeDocument/2006/relationships/hyperlink" Target="2020_08/07.08.2020/94291" TargetMode="External"/><Relationship Id="rId3728" Type="http://schemas.openxmlformats.org/officeDocument/2006/relationships/hyperlink" Target="2020_11/02.11.2020/141732" TargetMode="External"/><Relationship Id="rId649" Type="http://schemas.openxmlformats.org/officeDocument/2006/relationships/hyperlink" Target="2019_12/25.12.2019/68372" TargetMode="External"/><Relationship Id="rId856" Type="http://schemas.openxmlformats.org/officeDocument/2006/relationships/hyperlink" Target="2020_01\16.01.2020\85426" TargetMode="External"/><Relationship Id="rId1279" Type="http://schemas.openxmlformats.org/officeDocument/2006/relationships/hyperlink" Target="2020_02/21.02.2020/-4977" TargetMode="External"/><Relationship Id="rId1486" Type="http://schemas.openxmlformats.org/officeDocument/2006/relationships/hyperlink" Target="2020_03/10.03.2020/13865" TargetMode="External"/><Relationship Id="rId2537" Type="http://schemas.openxmlformats.org/officeDocument/2006/relationships/hyperlink" Target="2020_06/23.06.2020/68443" TargetMode="External"/><Relationship Id="rId3935" Type="http://schemas.openxmlformats.org/officeDocument/2006/relationships/hyperlink" Target="2020_12/08.12.2020/160960" TargetMode="External"/><Relationship Id="rId509" Type="http://schemas.openxmlformats.org/officeDocument/2006/relationships/hyperlink" Target="2019_12\13.12.2019\61023" TargetMode="External"/><Relationship Id="rId1139" Type="http://schemas.openxmlformats.org/officeDocument/2006/relationships/hyperlink" Target="2020_02\06.02.2020\88811" TargetMode="External"/><Relationship Id="rId1346" Type="http://schemas.openxmlformats.org/officeDocument/2006/relationships/hyperlink" Target="2020_02/27.02.2020/-8540" TargetMode="External"/><Relationship Id="rId1693" Type="http://schemas.openxmlformats.org/officeDocument/2006/relationships/hyperlink" Target="2020_03\27.03.2020\25846" TargetMode="External"/><Relationship Id="rId2744" Type="http://schemas.openxmlformats.org/officeDocument/2006/relationships/hyperlink" Target="2020_07/09.07.2020/77492" TargetMode="External"/><Relationship Id="rId2951" Type="http://schemas.openxmlformats.org/officeDocument/2006/relationships/hyperlink" Target="2020_08/11.08.2020/04131" TargetMode="External"/><Relationship Id="rId716" Type="http://schemas.openxmlformats.org/officeDocument/2006/relationships/hyperlink" Target="2019_12\30.12.2019\78936" TargetMode="External"/><Relationship Id="rId923" Type="http://schemas.openxmlformats.org/officeDocument/2006/relationships/hyperlink" Target="2020_01/22.01.2020/79420" TargetMode="External"/><Relationship Id="rId1553" Type="http://schemas.openxmlformats.org/officeDocument/2006/relationships/hyperlink" Target="2020_03\17.03.2020\27323" TargetMode="External"/><Relationship Id="rId1760" Type="http://schemas.openxmlformats.org/officeDocument/2006/relationships/hyperlink" Target="2020_04\08.04.2020\37150" TargetMode="External"/><Relationship Id="rId2604" Type="http://schemas.openxmlformats.org/officeDocument/2006/relationships/hyperlink" Target="2020_06/29.06.2020/71530" TargetMode="External"/><Relationship Id="rId2811" Type="http://schemas.openxmlformats.org/officeDocument/2006/relationships/hyperlink" Target="2020_07/29.07.2020/96139" TargetMode="External"/><Relationship Id="rId52" Type="http://schemas.openxmlformats.org/officeDocument/2006/relationships/hyperlink" Target="https://smp.sfurf.office/sd/operator/" TargetMode="External"/><Relationship Id="rId1206" Type="http://schemas.openxmlformats.org/officeDocument/2006/relationships/hyperlink" Target="2020_02\12.02.2020\91825" TargetMode="External"/><Relationship Id="rId1413" Type="http://schemas.openxmlformats.org/officeDocument/2006/relationships/hyperlink" Target="2020_03\04.03.2020\20136" TargetMode="External"/><Relationship Id="rId1620" Type="http://schemas.openxmlformats.org/officeDocument/2006/relationships/hyperlink" Target="2020_03/23.03.2020/21680" TargetMode="External"/><Relationship Id="rId3378" Type="http://schemas.openxmlformats.org/officeDocument/2006/relationships/hyperlink" Target="2020_09/22.09.2020/118915" TargetMode="External"/><Relationship Id="rId3585" Type="http://schemas.openxmlformats.org/officeDocument/2006/relationships/hyperlink" Target="2020_10/07.10.2020/127642" TargetMode="External"/><Relationship Id="rId3792" Type="http://schemas.openxmlformats.org/officeDocument/2006/relationships/hyperlink" Target="2020_11\06.11.2020\151919" TargetMode="External"/><Relationship Id="rId299" Type="http://schemas.openxmlformats.org/officeDocument/2006/relationships/hyperlink" Target="2019_11/28.11.2019/51569" TargetMode="External"/><Relationship Id="rId2187" Type="http://schemas.openxmlformats.org/officeDocument/2006/relationships/hyperlink" Target="2020_05/28.05.2020/47045" TargetMode="External"/><Relationship Id="rId2394" Type="http://schemas.openxmlformats.org/officeDocument/2006/relationships/hyperlink" Target="2020_06/16.06.2020/53244" TargetMode="External"/><Relationship Id="rId3238" Type="http://schemas.openxmlformats.org/officeDocument/2006/relationships/hyperlink" Target="2020_09/10.09.2020/120958" TargetMode="External"/><Relationship Id="rId3445" Type="http://schemas.openxmlformats.org/officeDocument/2006/relationships/hyperlink" Target="2020_09\24.09.2020\120418" TargetMode="External"/><Relationship Id="rId3652" Type="http://schemas.openxmlformats.org/officeDocument/2006/relationships/hyperlink" Target="2020_10\12.10.2020\130110" TargetMode="External"/><Relationship Id="rId159" Type="http://schemas.openxmlformats.org/officeDocument/2006/relationships/hyperlink" Target="2019_10\25.10.2019\34358" TargetMode="External"/><Relationship Id="rId366" Type="http://schemas.openxmlformats.org/officeDocument/2006/relationships/hyperlink" Target="https://smp.sfurf.office/sd/operator/" TargetMode="External"/><Relationship Id="rId573" Type="http://schemas.openxmlformats.org/officeDocument/2006/relationships/hyperlink" Target="2019_12\19.12.2019\65371" TargetMode="External"/><Relationship Id="rId780" Type="http://schemas.openxmlformats.org/officeDocument/2006/relationships/hyperlink" Target="2020_01/09.01.2020/73376" TargetMode="External"/><Relationship Id="rId2047" Type="http://schemas.openxmlformats.org/officeDocument/2006/relationships/hyperlink" Target="2020_05/27.05.2020/50566" TargetMode="External"/><Relationship Id="rId2254" Type="http://schemas.openxmlformats.org/officeDocument/2006/relationships/hyperlink" Target="2020_06/16.06.2020/54449" TargetMode="External"/><Relationship Id="rId2461" Type="http://schemas.openxmlformats.org/officeDocument/2006/relationships/hyperlink" Target="2020_06/16.06.2020/64132" TargetMode="External"/><Relationship Id="rId3305" Type="http://schemas.openxmlformats.org/officeDocument/2006/relationships/hyperlink" Target="2020_09/17.09.2020/112115" TargetMode="External"/><Relationship Id="rId3512" Type="http://schemas.openxmlformats.org/officeDocument/2006/relationships/hyperlink" Target="2020_09/30.09.2020/123707" TargetMode="External"/><Relationship Id="rId226" Type="http://schemas.openxmlformats.org/officeDocument/2006/relationships/hyperlink" Target="https://smp.sfurf.office/sd/operator/index.jsp;jsessionid=4B56FDB405CD332F2E4AE6AEC0BFEE05" TargetMode="External"/><Relationship Id="rId433" Type="http://schemas.openxmlformats.org/officeDocument/2006/relationships/hyperlink" Target="https://smp.sfurf.office/sd/operator/" TargetMode="External"/><Relationship Id="rId1063" Type="http://schemas.openxmlformats.org/officeDocument/2006/relationships/hyperlink" Target="2020_01\31.01.2020\0-202" TargetMode="External"/><Relationship Id="rId1270" Type="http://schemas.openxmlformats.org/officeDocument/2006/relationships/hyperlink" Target="2020_02/20.02.2020/13062" TargetMode="External"/><Relationship Id="rId2114" Type="http://schemas.openxmlformats.org/officeDocument/2006/relationships/hyperlink" Target="2020_06\01.06.2020\62315" TargetMode="External"/><Relationship Id="rId640" Type="http://schemas.openxmlformats.org/officeDocument/2006/relationships/hyperlink" Target="2019_12\24.12.2019\76214" TargetMode="External"/><Relationship Id="rId2321" Type="http://schemas.openxmlformats.org/officeDocument/2006/relationships/hyperlink" Target="2020_06/16.06.2020/51761" TargetMode="External"/><Relationship Id="rId500" Type="http://schemas.openxmlformats.org/officeDocument/2006/relationships/hyperlink" Target="2019_12\12.12.2019\59980" TargetMode="External"/><Relationship Id="rId1130" Type="http://schemas.openxmlformats.org/officeDocument/2006/relationships/hyperlink" Target="2020_02\05.02.2020\-3529" TargetMode="External"/><Relationship Id="rId1947" Type="http://schemas.openxmlformats.org/officeDocument/2006/relationships/hyperlink" Target="2020_05/21.05.2020/35405" TargetMode="External"/><Relationship Id="rId3095" Type="http://schemas.openxmlformats.org/officeDocument/2006/relationships/hyperlink" Target="2020_08/26.08.2020/103889" TargetMode="External"/><Relationship Id="rId1807" Type="http://schemas.openxmlformats.org/officeDocument/2006/relationships/hyperlink" Target="2020_05\12.05.2020\38119" TargetMode="External"/><Relationship Id="rId3162" Type="http://schemas.openxmlformats.org/officeDocument/2006/relationships/hyperlink" Target="2020_09/02.09.2020/115636" TargetMode="External"/><Relationship Id="rId290" Type="http://schemas.openxmlformats.org/officeDocument/2006/relationships/hyperlink" Target="2019_11\26.11.2019\50122" TargetMode="External"/><Relationship Id="rId3022" Type="http://schemas.openxmlformats.org/officeDocument/2006/relationships/hyperlink" Target="2020_08\14.08.2020\06393" TargetMode="External"/><Relationship Id="rId150" Type="http://schemas.openxmlformats.org/officeDocument/2006/relationships/hyperlink" Target="2019_11\08.11.2019\33028" TargetMode="External"/><Relationship Id="rId3979" Type="http://schemas.openxmlformats.org/officeDocument/2006/relationships/hyperlink" Target="2020_12/18.12.2020/167568" TargetMode="External"/><Relationship Id="rId2788" Type="http://schemas.openxmlformats.org/officeDocument/2006/relationships/hyperlink" Target="2020_07\30.07.2020\88291" TargetMode="External"/><Relationship Id="rId2995" Type="http://schemas.openxmlformats.org/officeDocument/2006/relationships/hyperlink" Target="2020_08/14.08.2020/98416" TargetMode="External"/><Relationship Id="rId3839" Type="http://schemas.openxmlformats.org/officeDocument/2006/relationships/hyperlink" Target="2020_11/13.11.2020/156032" TargetMode="External"/><Relationship Id="rId967" Type="http://schemas.openxmlformats.org/officeDocument/2006/relationships/hyperlink" Target="2020_01/24.01.2020/81937" TargetMode="External"/><Relationship Id="rId1597" Type="http://schemas.openxmlformats.org/officeDocument/2006/relationships/hyperlink" Target="2020_03/19.03.2020/28529" TargetMode="External"/><Relationship Id="rId2648" Type="http://schemas.openxmlformats.org/officeDocument/2006/relationships/hyperlink" Target="2020_06/26.06.2020/78205" TargetMode="External"/><Relationship Id="rId2855" Type="http://schemas.openxmlformats.org/officeDocument/2006/relationships/hyperlink" Target="2020_08/05.08.2020/92122" TargetMode="External"/><Relationship Id="rId3906" Type="http://schemas.openxmlformats.org/officeDocument/2006/relationships/hyperlink" Target="2020_11\19.11.2020\158796" TargetMode="External"/><Relationship Id="rId96" Type="http://schemas.openxmlformats.org/officeDocument/2006/relationships/hyperlink" Target="2019_10\31.10.2019\29976" TargetMode="External"/><Relationship Id="rId827" Type="http://schemas.openxmlformats.org/officeDocument/2006/relationships/hyperlink" Target="2020_01/15.01.2020/75449" TargetMode="External"/><Relationship Id="rId1457" Type="http://schemas.openxmlformats.org/officeDocument/2006/relationships/hyperlink" Target="2020_03/06.03.2020/22441" TargetMode="External"/><Relationship Id="rId1664" Type="http://schemas.openxmlformats.org/officeDocument/2006/relationships/hyperlink" Target="2020_03\25.03.2020\33592" TargetMode="External"/><Relationship Id="rId1871" Type="http://schemas.openxmlformats.org/officeDocument/2006/relationships/hyperlink" Target="2020_05/14.05.2020/42042" TargetMode="External"/><Relationship Id="rId2508" Type="http://schemas.openxmlformats.org/officeDocument/2006/relationships/hyperlink" Target="2020_06/18.06.2020/67103" TargetMode="External"/><Relationship Id="rId2715" Type="http://schemas.openxmlformats.org/officeDocument/2006/relationships/hyperlink" Target="2020_07/07.07.2020/75006" TargetMode="External"/><Relationship Id="rId2922" Type="http://schemas.openxmlformats.org/officeDocument/2006/relationships/hyperlink" Target="2020_08/10.08.2020/02020" TargetMode="External"/><Relationship Id="rId1317" Type="http://schemas.openxmlformats.org/officeDocument/2006/relationships/hyperlink" Target="2020_02/26.02.2020/-7120" TargetMode="External"/><Relationship Id="rId1524" Type="http://schemas.openxmlformats.org/officeDocument/2006/relationships/hyperlink" Target="2020_03/13.03.2020/25497" TargetMode="External"/><Relationship Id="rId1731" Type="http://schemas.openxmlformats.org/officeDocument/2006/relationships/hyperlink" Target="2020_04\06.04.2020\35869" TargetMode="External"/><Relationship Id="rId23" Type="http://schemas.openxmlformats.org/officeDocument/2006/relationships/hyperlink" Target="https://smp.sfurf.office/sd/operator/index.jsp;jsessionid=4B56FDB405CD332F2E4AE6AEC0BFEE05" TargetMode="External"/><Relationship Id="rId3489" Type="http://schemas.openxmlformats.org/officeDocument/2006/relationships/hyperlink" Target="2020_09/29.09.2020/122565" TargetMode="External"/><Relationship Id="rId3696" Type="http://schemas.openxmlformats.org/officeDocument/2006/relationships/hyperlink" Target="2020_10\14.10.2020\131243" TargetMode="External"/><Relationship Id="rId2298" Type="http://schemas.openxmlformats.org/officeDocument/2006/relationships/hyperlink" Target="2020_06/02.06.2020/66330" TargetMode="External"/><Relationship Id="rId3349" Type="http://schemas.openxmlformats.org/officeDocument/2006/relationships/hyperlink" Target="2020_09/17.09.2020/116501" TargetMode="External"/><Relationship Id="rId3556" Type="http://schemas.openxmlformats.org/officeDocument/2006/relationships/hyperlink" Target="2020_10/05.10.2020/133516" TargetMode="External"/><Relationship Id="rId477" Type="http://schemas.openxmlformats.org/officeDocument/2006/relationships/hyperlink" Target="2019_12\10.12.2019\54166" TargetMode="External"/><Relationship Id="rId684" Type="http://schemas.openxmlformats.org/officeDocument/2006/relationships/hyperlink" Target="2019_12/26.12.2019/69367" TargetMode="External"/><Relationship Id="rId2158" Type="http://schemas.openxmlformats.org/officeDocument/2006/relationships/hyperlink" Target="2020_06/01.06.2020/63387" TargetMode="External"/><Relationship Id="rId2365" Type="http://schemas.openxmlformats.org/officeDocument/2006/relationships/hyperlink" Target="2020_06/16.06.2020/48933" TargetMode="External"/><Relationship Id="rId3209" Type="http://schemas.openxmlformats.org/officeDocument/2006/relationships/hyperlink" Target="2020_09\08.09.2020\119019" TargetMode="External"/><Relationship Id="rId3763" Type="http://schemas.openxmlformats.org/officeDocument/2006/relationships/hyperlink" Target="2020_11/05.11.2020/151046" TargetMode="External"/><Relationship Id="rId3970" Type="http://schemas.openxmlformats.org/officeDocument/2006/relationships/hyperlink" Target="2020_12\17.12.2020\174570" TargetMode="External"/><Relationship Id="rId337" Type="http://schemas.openxmlformats.org/officeDocument/2006/relationships/hyperlink" Target="2019_11\22.11.2019\56299" TargetMode="External"/><Relationship Id="rId891" Type="http://schemas.openxmlformats.org/officeDocument/2006/relationships/hyperlink" Target="2020_01/17.01.2020/77344" TargetMode="External"/><Relationship Id="rId2018" Type="http://schemas.openxmlformats.org/officeDocument/2006/relationships/hyperlink" Target="2020_05/25.05.2020/47165" TargetMode="External"/><Relationship Id="rId2572" Type="http://schemas.openxmlformats.org/officeDocument/2006/relationships/hyperlink" Target="2020_06/23.06.2020/55266" TargetMode="External"/><Relationship Id="rId3416" Type="http://schemas.openxmlformats.org/officeDocument/2006/relationships/hyperlink" Target="2020_09/23.09.2020/127338" TargetMode="External"/><Relationship Id="rId3623" Type="http://schemas.openxmlformats.org/officeDocument/2006/relationships/hyperlink" Target="2020_10\09.10.2020\129113" TargetMode="External"/><Relationship Id="rId3830" Type="http://schemas.openxmlformats.org/officeDocument/2006/relationships/hyperlink" Target="2020_11/11.11.2020/146337" TargetMode="External"/><Relationship Id="rId544" Type="http://schemas.openxmlformats.org/officeDocument/2006/relationships/hyperlink" Target="2019_12\17.12.2019\71208" TargetMode="External"/><Relationship Id="rId751" Type="http://schemas.openxmlformats.org/officeDocument/2006/relationships/hyperlink" Target="2020_01\09.01.2020\80605" TargetMode="External"/><Relationship Id="rId1174" Type="http://schemas.openxmlformats.org/officeDocument/2006/relationships/hyperlink" Target="2020_02\10.02.2020\-7122" TargetMode="External"/><Relationship Id="rId1381" Type="http://schemas.openxmlformats.org/officeDocument/2006/relationships/hyperlink" Target="2020_03\02.03.2020\10090" TargetMode="External"/><Relationship Id="rId2225" Type="http://schemas.openxmlformats.org/officeDocument/2006/relationships/hyperlink" Target="2020_06/02.06.2020/66343" TargetMode="External"/><Relationship Id="rId2432" Type="http://schemas.openxmlformats.org/officeDocument/2006/relationships/hyperlink" Target="2020_06/16.06.2020/73372" TargetMode="External"/><Relationship Id="rId404" Type="http://schemas.openxmlformats.org/officeDocument/2006/relationships/hyperlink" Target="https://smp.sfurf.office/sd/operator/" TargetMode="External"/><Relationship Id="rId611" Type="http://schemas.openxmlformats.org/officeDocument/2006/relationships/hyperlink" Target="2019_12\24.12.2019\67356" TargetMode="External"/><Relationship Id="rId1034" Type="http://schemas.openxmlformats.org/officeDocument/2006/relationships/hyperlink" Target="2020_01\29.01.2020\83273" TargetMode="External"/><Relationship Id="rId1241" Type="http://schemas.openxmlformats.org/officeDocument/2006/relationships/hyperlink" Target="2020_02\18.02.2020\11347" TargetMode="External"/><Relationship Id="rId1101" Type="http://schemas.openxmlformats.org/officeDocument/2006/relationships/hyperlink" Target="2020_02\04.02.2020\86581" TargetMode="External"/><Relationship Id="rId3066" Type="http://schemas.openxmlformats.org/officeDocument/2006/relationships/hyperlink" Target="2020_08\20.08.2020\92527" TargetMode="External"/><Relationship Id="rId3273" Type="http://schemas.openxmlformats.org/officeDocument/2006/relationships/hyperlink" Target="2020_09\11.09.2020\120757" TargetMode="External"/><Relationship Id="rId3480" Type="http://schemas.openxmlformats.org/officeDocument/2006/relationships/hyperlink" Target="2020_09/28.09.2020/122483" TargetMode="External"/><Relationship Id="rId194" Type="http://schemas.openxmlformats.org/officeDocument/2006/relationships/hyperlink" Target="2019_11\13.11.2019\42993" TargetMode="External"/><Relationship Id="rId1918" Type="http://schemas.openxmlformats.org/officeDocument/2006/relationships/hyperlink" Target="2020_05/19.05.2020/33910" TargetMode="External"/><Relationship Id="rId2082" Type="http://schemas.openxmlformats.org/officeDocument/2006/relationships/hyperlink" Target="2020_06\01.06.2020\61583" TargetMode="External"/><Relationship Id="rId3133" Type="http://schemas.openxmlformats.org/officeDocument/2006/relationships/hyperlink" Target="2020_08\27.08.2020\105241" TargetMode="External"/><Relationship Id="rId261" Type="http://schemas.openxmlformats.org/officeDocument/2006/relationships/hyperlink" Target="2019_11\20.11.2019\46330" TargetMode="External"/><Relationship Id="rId3340" Type="http://schemas.openxmlformats.org/officeDocument/2006/relationships/hyperlink" Target="2020_09/17.09.2020/124973" TargetMode="External"/><Relationship Id="rId2899" Type="http://schemas.openxmlformats.org/officeDocument/2006/relationships/hyperlink" Target="2020_08/06.08.2020/92240" TargetMode="External"/><Relationship Id="rId3200" Type="http://schemas.openxmlformats.org/officeDocument/2006/relationships/hyperlink" Target="2020_09/07.09.2020/109971" TargetMode="External"/><Relationship Id="rId121" Type="http://schemas.openxmlformats.org/officeDocument/2006/relationships/hyperlink" Target="https://smp.sfurf.office/sd/operator/index.jsp;jsessionid=4B56FDB405CD332F2E4AE6AEC0BFEE05" TargetMode="External"/><Relationship Id="rId2759" Type="http://schemas.openxmlformats.org/officeDocument/2006/relationships/hyperlink" Target="2020_07\10.07.2020\85708" TargetMode="External"/><Relationship Id="rId2966" Type="http://schemas.openxmlformats.org/officeDocument/2006/relationships/hyperlink" Target="2020_08/12.08.2020/04180" TargetMode="External"/><Relationship Id="rId938" Type="http://schemas.openxmlformats.org/officeDocument/2006/relationships/hyperlink" Target="2020_01/22.01.2020/79805" TargetMode="External"/><Relationship Id="rId1568" Type="http://schemas.openxmlformats.org/officeDocument/2006/relationships/hyperlink" Target="2020_03\18.03.2020\19166" TargetMode="External"/><Relationship Id="rId1775" Type="http://schemas.openxmlformats.org/officeDocument/2006/relationships/hyperlink" Target="2020_04/08.04.2020/37089" TargetMode="External"/><Relationship Id="rId2619" Type="http://schemas.openxmlformats.org/officeDocument/2006/relationships/hyperlink" Target="2020_06\25.06.2020\77210" TargetMode="External"/><Relationship Id="rId2826" Type="http://schemas.openxmlformats.org/officeDocument/2006/relationships/hyperlink" Target="2020_07/30.07.2020/96714" TargetMode="External"/><Relationship Id="rId67" Type="http://schemas.openxmlformats.org/officeDocument/2006/relationships/hyperlink" Target="https://smp.sfurf.office/sd/operator/" TargetMode="External"/><Relationship Id="rId1428" Type="http://schemas.openxmlformats.org/officeDocument/2006/relationships/hyperlink" Target="2020_03/04.03.2020/11642" TargetMode="External"/><Relationship Id="rId1635" Type="http://schemas.openxmlformats.org/officeDocument/2006/relationships/hyperlink" Target="2020_03\23.03.2020\31252" TargetMode="External"/><Relationship Id="rId1982" Type="http://schemas.openxmlformats.org/officeDocument/2006/relationships/hyperlink" Target="2020_05/26.05.2020/38233" TargetMode="External"/><Relationship Id="rId1842" Type="http://schemas.openxmlformats.org/officeDocument/2006/relationships/hyperlink" Target="2020_05\14.05.2020\41741" TargetMode="External"/><Relationship Id="rId1702" Type="http://schemas.openxmlformats.org/officeDocument/2006/relationships/hyperlink" Target="2020_03\27.03.2020\35256" TargetMode="External"/><Relationship Id="rId3667" Type="http://schemas.openxmlformats.org/officeDocument/2006/relationships/hyperlink" Target="2020_10/13.10.2020/130770" TargetMode="External"/><Relationship Id="rId3874" Type="http://schemas.openxmlformats.org/officeDocument/2006/relationships/hyperlink" Target="2020_11/17.11.2020/149187" TargetMode="External"/><Relationship Id="rId588" Type="http://schemas.openxmlformats.org/officeDocument/2006/relationships/hyperlink" Target="2019_12\20.12.2019\65903" TargetMode="External"/><Relationship Id="rId795" Type="http://schemas.openxmlformats.org/officeDocument/2006/relationships/hyperlink" Target="2020_01\10.01.2020\81542" TargetMode="External"/><Relationship Id="rId2269" Type="http://schemas.openxmlformats.org/officeDocument/2006/relationships/hyperlink" Target="2020_06/16.06.2020/59637" TargetMode="External"/><Relationship Id="rId2476" Type="http://schemas.openxmlformats.org/officeDocument/2006/relationships/hyperlink" Target="2020_06/16.06.2020/63891" TargetMode="External"/><Relationship Id="rId2683" Type="http://schemas.openxmlformats.org/officeDocument/2006/relationships/hyperlink" Target="2020_07/03.07.2020/73051" TargetMode="External"/><Relationship Id="rId2890" Type="http://schemas.openxmlformats.org/officeDocument/2006/relationships/hyperlink" Target="2020_08\05.08.2020\91291" TargetMode="External"/><Relationship Id="rId3527" Type="http://schemas.openxmlformats.org/officeDocument/2006/relationships/hyperlink" Target="2020_10\01.10.2020\132119" TargetMode="External"/><Relationship Id="rId3734" Type="http://schemas.openxmlformats.org/officeDocument/2006/relationships/hyperlink" Target="2020_11/02.11.2020/148962" TargetMode="External"/><Relationship Id="rId3941" Type="http://schemas.openxmlformats.org/officeDocument/2006/relationships/hyperlink" Target="2020_12/09.12.2020/161864" TargetMode="External"/><Relationship Id="rId448" Type="http://schemas.openxmlformats.org/officeDocument/2006/relationships/hyperlink" Target="https://smp.sfurf.office/sd/operator/" TargetMode="External"/><Relationship Id="rId655" Type="http://schemas.openxmlformats.org/officeDocument/2006/relationships/hyperlink" Target="2019_12/25.12.2019/76197" TargetMode="External"/><Relationship Id="rId862" Type="http://schemas.openxmlformats.org/officeDocument/2006/relationships/hyperlink" Target="2020_01/16.01.2020/77343" TargetMode="External"/><Relationship Id="rId1078" Type="http://schemas.openxmlformats.org/officeDocument/2006/relationships/hyperlink" Target="2020_02\03.02.2020\86059" TargetMode="External"/><Relationship Id="rId1285" Type="http://schemas.openxmlformats.org/officeDocument/2006/relationships/hyperlink" Target="2020_02/21.02.2020/-5755" TargetMode="External"/><Relationship Id="rId1492" Type="http://schemas.openxmlformats.org/officeDocument/2006/relationships/hyperlink" Target="2020_03/11.03.2020/14887" TargetMode="External"/><Relationship Id="rId2129" Type="http://schemas.openxmlformats.org/officeDocument/2006/relationships/hyperlink" Target="2020_06/10.06.2020/45803" TargetMode="External"/><Relationship Id="rId2336" Type="http://schemas.openxmlformats.org/officeDocument/2006/relationships/hyperlink" Target="2020_06/16.06.2020/59646" TargetMode="External"/><Relationship Id="rId2543" Type="http://schemas.openxmlformats.org/officeDocument/2006/relationships/hyperlink" Target="2020_06/22.06.2020/67971" TargetMode="External"/><Relationship Id="rId2750" Type="http://schemas.openxmlformats.org/officeDocument/2006/relationships/hyperlink" Target="2020_07/10.07.2020/77231" TargetMode="External"/><Relationship Id="rId3801" Type="http://schemas.openxmlformats.org/officeDocument/2006/relationships/hyperlink" Target="2020_11/11.11.2020/145107" TargetMode="External"/><Relationship Id="rId308" Type="http://schemas.openxmlformats.org/officeDocument/2006/relationships/hyperlink" Target="https://smp.sfurf.office/sd/operator/index.jsp;jsessionid=4B56FDB405CD332F2E4AE6AEC0BFEE05" TargetMode="External"/><Relationship Id="rId515" Type="http://schemas.openxmlformats.org/officeDocument/2006/relationships/hyperlink" Target="2019_12\16.12.2019\62063" TargetMode="External"/><Relationship Id="rId722" Type="http://schemas.openxmlformats.org/officeDocument/2006/relationships/hyperlink" Target="2019_12/30.12.2019/70638" TargetMode="External"/><Relationship Id="rId1145" Type="http://schemas.openxmlformats.org/officeDocument/2006/relationships/hyperlink" Target="2020_02\07.02.2020\89489" TargetMode="External"/><Relationship Id="rId1352" Type="http://schemas.openxmlformats.org/officeDocument/2006/relationships/hyperlink" Target="2020_02\27.02.2020\-8338" TargetMode="External"/><Relationship Id="rId2403" Type="http://schemas.openxmlformats.org/officeDocument/2006/relationships/hyperlink" Target="2020_06\09.06.2020\69628" TargetMode="External"/><Relationship Id="rId1005" Type="http://schemas.openxmlformats.org/officeDocument/2006/relationships/hyperlink" Target="2020_01\28.01.2020\82560" TargetMode="External"/><Relationship Id="rId1212" Type="http://schemas.openxmlformats.org/officeDocument/2006/relationships/hyperlink" Target="2020_02/12.02.2020/91012" TargetMode="External"/><Relationship Id="rId2610" Type="http://schemas.openxmlformats.org/officeDocument/2006/relationships/hyperlink" Target="2020_06/29.06.2020/71344" TargetMode="External"/><Relationship Id="rId3177" Type="http://schemas.openxmlformats.org/officeDocument/2006/relationships/hyperlink" Target="2020_09/03.09.2020/109691" TargetMode="External"/><Relationship Id="rId3037" Type="http://schemas.openxmlformats.org/officeDocument/2006/relationships/hyperlink" Target="2020_08/18.08.2020/99027" TargetMode="External"/><Relationship Id="rId3384" Type="http://schemas.openxmlformats.org/officeDocument/2006/relationships/hyperlink" Target="2020_09/21.09.2020/125675" TargetMode="External"/><Relationship Id="rId3591" Type="http://schemas.openxmlformats.org/officeDocument/2006/relationships/hyperlink" Target="2020_10/07.10.2020/135333" TargetMode="External"/><Relationship Id="rId2193" Type="http://schemas.openxmlformats.org/officeDocument/2006/relationships/hyperlink" Target="2020_06/16.06.2020/49400" TargetMode="External"/><Relationship Id="rId3244" Type="http://schemas.openxmlformats.org/officeDocument/2006/relationships/hyperlink" Target="2020_09\11.09.2020\121617" TargetMode="External"/><Relationship Id="rId3451" Type="http://schemas.openxmlformats.org/officeDocument/2006/relationships/hyperlink" Target="2020_09\24.09.2020\120739" TargetMode="External"/><Relationship Id="rId165" Type="http://schemas.openxmlformats.org/officeDocument/2006/relationships/hyperlink" Target="2019_10\25.10.2019\41534" TargetMode="External"/><Relationship Id="rId372" Type="http://schemas.openxmlformats.org/officeDocument/2006/relationships/hyperlink" Target="2019_11\25.11.2019\49692" TargetMode="External"/><Relationship Id="rId2053" Type="http://schemas.openxmlformats.org/officeDocument/2006/relationships/hyperlink" Target="2020_05\27.05.2020\40437" TargetMode="External"/><Relationship Id="rId2260" Type="http://schemas.openxmlformats.org/officeDocument/2006/relationships/hyperlink" Target="2020_06/16.06.2020/50675" TargetMode="External"/><Relationship Id="rId3104" Type="http://schemas.openxmlformats.org/officeDocument/2006/relationships/hyperlink" Target="2020_08/26.08.2020/103533" TargetMode="External"/><Relationship Id="rId3311" Type="http://schemas.openxmlformats.org/officeDocument/2006/relationships/hyperlink" Target="2020_09/17.09.2020/116474" TargetMode="External"/><Relationship Id="rId232" Type="http://schemas.openxmlformats.org/officeDocument/2006/relationships/hyperlink" Target="https://smp.sfurf.office/sd/operator/" TargetMode="External"/><Relationship Id="rId2120" Type="http://schemas.openxmlformats.org/officeDocument/2006/relationships/hyperlink" Target="2020_06\01.06.2020\61574" TargetMode="External"/><Relationship Id="rId1679" Type="http://schemas.openxmlformats.org/officeDocument/2006/relationships/hyperlink" Target="2020_03\26.03.2020\24849" TargetMode="External"/><Relationship Id="rId1886" Type="http://schemas.openxmlformats.org/officeDocument/2006/relationships/hyperlink" Target="2020_05\18.05.2020\42553" TargetMode="External"/><Relationship Id="rId2937" Type="http://schemas.openxmlformats.org/officeDocument/2006/relationships/hyperlink" Target="2020_08/10.08.2020/95316" TargetMode="External"/><Relationship Id="rId909" Type="http://schemas.openxmlformats.org/officeDocument/2006/relationships/hyperlink" Target="2020_01/20.01.2020/78309" TargetMode="External"/><Relationship Id="rId1539" Type="http://schemas.openxmlformats.org/officeDocument/2006/relationships/hyperlink" Target="2020_03\16.03.2020\17196" TargetMode="External"/><Relationship Id="rId1746" Type="http://schemas.openxmlformats.org/officeDocument/2006/relationships/hyperlink" Target="2020_04/07.04.2020/27310" TargetMode="External"/><Relationship Id="rId1953" Type="http://schemas.openxmlformats.org/officeDocument/2006/relationships/hyperlink" Target="2020_05/22.05.2020/46724" TargetMode="External"/><Relationship Id="rId38" Type="http://schemas.openxmlformats.org/officeDocument/2006/relationships/hyperlink" Target="https://smp.sfurf.office/sd/operator/" TargetMode="External"/><Relationship Id="rId1606" Type="http://schemas.openxmlformats.org/officeDocument/2006/relationships/hyperlink" Target="2020_03\20.03.2020\20649" TargetMode="External"/><Relationship Id="rId1813" Type="http://schemas.openxmlformats.org/officeDocument/2006/relationships/hyperlink" Target="2020_05\13.05.2020\30413" TargetMode="External"/><Relationship Id="rId3778" Type="http://schemas.openxmlformats.org/officeDocument/2006/relationships/hyperlink" Target="2020_11\09.11.2020\144571" TargetMode="External"/><Relationship Id="rId3985" Type="http://schemas.openxmlformats.org/officeDocument/2006/relationships/printerSettings" Target="../printerSettings/printerSettings7.bin"/><Relationship Id="rId699" Type="http://schemas.openxmlformats.org/officeDocument/2006/relationships/hyperlink" Target="2019_12\27.12.2019\78382" TargetMode="External"/><Relationship Id="rId2587" Type="http://schemas.openxmlformats.org/officeDocument/2006/relationships/hyperlink" Target="2020_06\23.06.2020\62652" TargetMode="External"/><Relationship Id="rId2794" Type="http://schemas.openxmlformats.org/officeDocument/2006/relationships/hyperlink" Target="2020_07\27.07.2020\86490" TargetMode="External"/><Relationship Id="rId3638" Type="http://schemas.openxmlformats.org/officeDocument/2006/relationships/hyperlink" Target="2020_10/12.10.2020/129419" TargetMode="External"/><Relationship Id="rId3845" Type="http://schemas.openxmlformats.org/officeDocument/2006/relationships/hyperlink" Target="2020_11\13.11.2020\148185" TargetMode="External"/><Relationship Id="rId559" Type="http://schemas.openxmlformats.org/officeDocument/2006/relationships/hyperlink" Target="2019_12/18.12.2019/64041" TargetMode="External"/><Relationship Id="rId766" Type="http://schemas.openxmlformats.org/officeDocument/2006/relationships/hyperlink" Target="2020_01\09.01.2020\72940" TargetMode="External"/><Relationship Id="rId1189" Type="http://schemas.openxmlformats.org/officeDocument/2006/relationships/hyperlink" Target="2020_02/11.02.2020/90336" TargetMode="External"/><Relationship Id="rId1396" Type="http://schemas.openxmlformats.org/officeDocument/2006/relationships/hyperlink" Target="2020_03\03.03.2020\10979" TargetMode="External"/><Relationship Id="rId2447" Type="http://schemas.openxmlformats.org/officeDocument/2006/relationships/hyperlink" Target="2020_06\16.06.2020\63424" TargetMode="External"/><Relationship Id="rId419" Type="http://schemas.openxmlformats.org/officeDocument/2006/relationships/hyperlink" Target="2019_12\03.12.2019\62996" TargetMode="External"/><Relationship Id="rId626" Type="http://schemas.openxmlformats.org/officeDocument/2006/relationships/hyperlink" Target="2019_12\24.12.2019\66570" TargetMode="External"/><Relationship Id="rId973" Type="http://schemas.openxmlformats.org/officeDocument/2006/relationships/hyperlink" Target="2020_01/24.01.2020/81423" TargetMode="External"/><Relationship Id="rId1049" Type="http://schemas.openxmlformats.org/officeDocument/2006/relationships/hyperlink" Target="2020_01\31.01.2020\85802" TargetMode="External"/><Relationship Id="rId1256" Type="http://schemas.openxmlformats.org/officeDocument/2006/relationships/hyperlink" Target="2020_02/19.02.2020/-3084" TargetMode="External"/><Relationship Id="rId2307" Type="http://schemas.openxmlformats.org/officeDocument/2006/relationships/hyperlink" Target="2020_06/16.06.2020/53596" TargetMode="External"/><Relationship Id="rId2654" Type="http://schemas.openxmlformats.org/officeDocument/2006/relationships/hyperlink" Target="2020_06/30.06.2020/71710" TargetMode="External"/><Relationship Id="rId2861" Type="http://schemas.openxmlformats.org/officeDocument/2006/relationships/hyperlink" Target="2020_08/05.08.2020/00396" TargetMode="External"/><Relationship Id="rId3705" Type="http://schemas.openxmlformats.org/officeDocument/2006/relationships/hyperlink" Target="2020_10\16.10.2020\132590" TargetMode="External"/><Relationship Id="rId3912" Type="http://schemas.openxmlformats.org/officeDocument/2006/relationships/hyperlink" Target="2020_11/20.11.2020/151268" TargetMode="External"/><Relationship Id="rId833" Type="http://schemas.openxmlformats.org/officeDocument/2006/relationships/hyperlink" Target="2020_01\15.01.2020\76232" TargetMode="External"/><Relationship Id="rId1116" Type="http://schemas.openxmlformats.org/officeDocument/2006/relationships/hyperlink" Target="2020_02\05.02.2020\87758" TargetMode="External"/><Relationship Id="rId1463" Type="http://schemas.openxmlformats.org/officeDocument/2006/relationships/hyperlink" Target="2020_03\06.03.2020\23162" TargetMode="External"/><Relationship Id="rId1670" Type="http://schemas.openxmlformats.org/officeDocument/2006/relationships/hyperlink" Target="2020_03\25.03.2020\33449" TargetMode="External"/><Relationship Id="rId2514" Type="http://schemas.openxmlformats.org/officeDocument/2006/relationships/hyperlink" Target="2020_07/06.07.2020/73868" TargetMode="External"/><Relationship Id="rId2721" Type="http://schemas.openxmlformats.org/officeDocument/2006/relationships/hyperlink" Target="2020_07\08.07.2020\75856" TargetMode="External"/><Relationship Id="rId900" Type="http://schemas.openxmlformats.org/officeDocument/2006/relationships/hyperlink" Target="2020_01\20.01.2020\86130" TargetMode="External"/><Relationship Id="rId1323" Type="http://schemas.openxmlformats.org/officeDocument/2006/relationships/hyperlink" Target="2020_02/25.02.2020/14531" TargetMode="External"/><Relationship Id="rId1530" Type="http://schemas.openxmlformats.org/officeDocument/2006/relationships/hyperlink" Target="2020_03\13.03.2020\25577" TargetMode="External"/><Relationship Id="rId3288" Type="http://schemas.openxmlformats.org/officeDocument/2006/relationships/hyperlink" Target="2020_09/15.09.2020/122339" TargetMode="External"/><Relationship Id="rId3495" Type="http://schemas.openxmlformats.org/officeDocument/2006/relationships/hyperlink" Target="2020_09/29.09.2020/122103" TargetMode="External"/><Relationship Id="rId2097" Type="http://schemas.openxmlformats.org/officeDocument/2006/relationships/hyperlink" Target="2020_06/01.06.2020/51000" TargetMode="External"/><Relationship Id="rId3148" Type="http://schemas.openxmlformats.org/officeDocument/2006/relationships/hyperlink" Target="2020_08/28.08.2020/106398" TargetMode="External"/><Relationship Id="rId3355" Type="http://schemas.openxmlformats.org/officeDocument/2006/relationships/hyperlink" Target="2020_09/21.09.2020/125742" TargetMode="External"/><Relationship Id="rId3562" Type="http://schemas.openxmlformats.org/officeDocument/2006/relationships/hyperlink" Target="2020_10/05.10.2020/125893" TargetMode="External"/><Relationship Id="rId276" Type="http://schemas.openxmlformats.org/officeDocument/2006/relationships/hyperlink" Target="https://smp.sfurf.office/sd/operator/" TargetMode="External"/><Relationship Id="rId483" Type="http://schemas.openxmlformats.org/officeDocument/2006/relationships/hyperlink" Target="2019_12/11.12.2019/58519" TargetMode="External"/><Relationship Id="rId690" Type="http://schemas.openxmlformats.org/officeDocument/2006/relationships/hyperlink" Target="2019_12/26.12.2019/77035" TargetMode="External"/><Relationship Id="rId2164" Type="http://schemas.openxmlformats.org/officeDocument/2006/relationships/hyperlink" Target="2020_06/08.06.2020/44519" TargetMode="External"/><Relationship Id="rId2371" Type="http://schemas.openxmlformats.org/officeDocument/2006/relationships/hyperlink" Target="2020_06/09.06.2020/70036" TargetMode="External"/><Relationship Id="rId3008" Type="http://schemas.openxmlformats.org/officeDocument/2006/relationships/hyperlink" Target="2020_08\13.08.2020\96399" TargetMode="External"/><Relationship Id="rId3215" Type="http://schemas.openxmlformats.org/officeDocument/2006/relationships/hyperlink" Target="2020_09/09.09.2020/111438" TargetMode="External"/><Relationship Id="rId3422" Type="http://schemas.openxmlformats.org/officeDocument/2006/relationships/hyperlink" Target="2020_09/24.09.2020/120766" TargetMode="External"/><Relationship Id="rId136" Type="http://schemas.openxmlformats.org/officeDocument/2006/relationships/hyperlink" Target="../Users/shilyaevan/AppData/Roaming/Microsoft/Excel/2019_10/22.10.2019/32548" TargetMode="External"/><Relationship Id="rId343" Type="http://schemas.openxmlformats.org/officeDocument/2006/relationships/hyperlink" Target="https://smp.sfurf.office/sd/operator/" TargetMode="External"/><Relationship Id="rId550" Type="http://schemas.openxmlformats.org/officeDocument/2006/relationships/hyperlink" Target="2019_12\18.12.2019\71930" TargetMode="External"/><Relationship Id="rId1180" Type="http://schemas.openxmlformats.org/officeDocument/2006/relationships/hyperlink" Target="2020_02\10.02.2020\89680" TargetMode="External"/><Relationship Id="rId2024" Type="http://schemas.openxmlformats.org/officeDocument/2006/relationships/hyperlink" Target="2020_05/26.05.2020/39644" TargetMode="External"/><Relationship Id="rId2231" Type="http://schemas.openxmlformats.org/officeDocument/2006/relationships/hyperlink" Target="2020_06/01.06.2020/63081" TargetMode="External"/><Relationship Id="rId203" Type="http://schemas.openxmlformats.org/officeDocument/2006/relationships/hyperlink" Target="2019_10\09.10.2019\25579" TargetMode="External"/><Relationship Id="rId1040" Type="http://schemas.openxmlformats.org/officeDocument/2006/relationships/hyperlink" Target="2020_01\30.01.2020\84788" TargetMode="External"/><Relationship Id="rId410" Type="http://schemas.openxmlformats.org/officeDocument/2006/relationships/hyperlink" Target="https://smp.sfurf.office/sd/operator/" TargetMode="External"/><Relationship Id="rId1997" Type="http://schemas.openxmlformats.org/officeDocument/2006/relationships/hyperlink" Target="2020_05/22.05.2020/45776" TargetMode="External"/><Relationship Id="rId1857" Type="http://schemas.openxmlformats.org/officeDocument/2006/relationships/hyperlink" Target="2020_05/15.05.2020/31571" TargetMode="External"/><Relationship Id="rId2908" Type="http://schemas.openxmlformats.org/officeDocument/2006/relationships/hyperlink" Target="2020_08/07.08.2020/93082" TargetMode="External"/><Relationship Id="rId1717" Type="http://schemas.openxmlformats.org/officeDocument/2006/relationships/hyperlink" Target="2020_04\06.04.2020\26735" TargetMode="External"/><Relationship Id="rId1924" Type="http://schemas.openxmlformats.org/officeDocument/2006/relationships/hyperlink" Target="2020_05/19.05.2020/44004" TargetMode="External"/><Relationship Id="rId3072" Type="http://schemas.openxmlformats.org/officeDocument/2006/relationships/hyperlink" Target="2020_08\20.08.2020\108983" TargetMode="External"/><Relationship Id="rId3889" Type="http://schemas.openxmlformats.org/officeDocument/2006/relationships/hyperlink" Target="2020_11/18.11.2020/157351" TargetMode="External"/><Relationship Id="rId2698" Type="http://schemas.openxmlformats.org/officeDocument/2006/relationships/hyperlink" Target="2020_07\06.07.2020\70267" TargetMode="External"/><Relationship Id="rId3749" Type="http://schemas.openxmlformats.org/officeDocument/2006/relationships/hyperlink" Target="2020_11/03.11.2020/142530" TargetMode="External"/><Relationship Id="rId3956" Type="http://schemas.openxmlformats.org/officeDocument/2006/relationships/hyperlink" Target="2020_12/14.12.2020/172637" TargetMode="External"/><Relationship Id="rId877" Type="http://schemas.openxmlformats.org/officeDocument/2006/relationships/hyperlink" Target="2020_01/17.01.2020/85190" TargetMode="External"/><Relationship Id="rId2558" Type="http://schemas.openxmlformats.org/officeDocument/2006/relationships/hyperlink" Target="2020_06\23.06.2020\76852" TargetMode="External"/><Relationship Id="rId2765" Type="http://schemas.openxmlformats.org/officeDocument/2006/relationships/hyperlink" Target="2020_07/10.07.2020/84983" TargetMode="External"/><Relationship Id="rId2972" Type="http://schemas.openxmlformats.org/officeDocument/2006/relationships/hyperlink" Target="2020_08\13.08.2020\97202" TargetMode="External"/><Relationship Id="rId3609" Type="http://schemas.openxmlformats.org/officeDocument/2006/relationships/hyperlink" Target="2020_10/09.10.2020/128800" TargetMode="External"/><Relationship Id="rId3816" Type="http://schemas.openxmlformats.org/officeDocument/2006/relationships/hyperlink" Target="2020_11\10.11.2020\145348" TargetMode="External"/><Relationship Id="rId737" Type="http://schemas.openxmlformats.org/officeDocument/2006/relationships/hyperlink" Target="2019_12/31.12.2019/79602" TargetMode="External"/><Relationship Id="rId944" Type="http://schemas.openxmlformats.org/officeDocument/2006/relationships/hyperlink" Target="2020_01/22.01.2020/87763" TargetMode="External"/><Relationship Id="rId1367" Type="http://schemas.openxmlformats.org/officeDocument/2006/relationships/hyperlink" Target="2020_02\28.02.2020\-9181" TargetMode="External"/><Relationship Id="rId1574" Type="http://schemas.openxmlformats.org/officeDocument/2006/relationships/hyperlink" Target="2020_03\18.03.2020\28075" TargetMode="External"/><Relationship Id="rId1781" Type="http://schemas.openxmlformats.org/officeDocument/2006/relationships/hyperlink" Target="2020_04/09.04.2020/28690" TargetMode="External"/><Relationship Id="rId2418" Type="http://schemas.openxmlformats.org/officeDocument/2006/relationships/hyperlink" Target="2020_06/16.06.2020/56899" TargetMode="External"/><Relationship Id="rId2625" Type="http://schemas.openxmlformats.org/officeDocument/2006/relationships/hyperlink" Target="2020_06\25.06.2020\76736" TargetMode="External"/><Relationship Id="rId2832" Type="http://schemas.openxmlformats.org/officeDocument/2006/relationships/hyperlink" Target="2020_08\03.08.2020\91010" TargetMode="External"/><Relationship Id="rId73" Type="http://schemas.openxmlformats.org/officeDocument/2006/relationships/hyperlink" Target="https://smp.sfurf.office/sd/operator/index.jsp;jsessionid=4B56FDB405CD332F2E4AE6AEC0BFEE05" TargetMode="External"/><Relationship Id="rId804" Type="http://schemas.openxmlformats.org/officeDocument/2006/relationships/hyperlink" Target="2020_01/13.01.2020/81866" TargetMode="External"/><Relationship Id="rId1227" Type="http://schemas.openxmlformats.org/officeDocument/2006/relationships/hyperlink" Target="2020_02/12.02.2020/-8689" TargetMode="External"/><Relationship Id="rId1434" Type="http://schemas.openxmlformats.org/officeDocument/2006/relationships/hyperlink" Target="2020_03\05.03.2020\21444" TargetMode="External"/><Relationship Id="rId1641" Type="http://schemas.openxmlformats.org/officeDocument/2006/relationships/hyperlink" Target="2020_03\24.03.2020\32016" TargetMode="External"/><Relationship Id="rId1501" Type="http://schemas.openxmlformats.org/officeDocument/2006/relationships/hyperlink" Target="2020_03/11.03.2020/14693" TargetMode="External"/><Relationship Id="rId3399" Type="http://schemas.openxmlformats.org/officeDocument/2006/relationships/hyperlink" Target="2020_09/23.09.2020/127583" TargetMode="External"/><Relationship Id="rId3259" Type="http://schemas.openxmlformats.org/officeDocument/2006/relationships/hyperlink" Target="2020_09/14.09.2020/114367" TargetMode="External"/><Relationship Id="rId3466" Type="http://schemas.openxmlformats.org/officeDocument/2006/relationships/hyperlink" Target="2020_09/25.09.2020/121784" TargetMode="External"/><Relationship Id="rId387" Type="http://schemas.openxmlformats.org/officeDocument/2006/relationships/hyperlink" Target="https://smp.sfurf.office/sd/operator/" TargetMode="External"/><Relationship Id="rId594" Type="http://schemas.openxmlformats.org/officeDocument/2006/relationships/hyperlink" Target="2019_12\20.12.2019\73942" TargetMode="External"/><Relationship Id="rId2068" Type="http://schemas.openxmlformats.org/officeDocument/2006/relationships/hyperlink" Target="2020_05/20.05.2020/31967" TargetMode="External"/><Relationship Id="rId2275" Type="http://schemas.openxmlformats.org/officeDocument/2006/relationships/hyperlink" Target="2020_06/16.06.2020/51342" TargetMode="External"/><Relationship Id="rId3119" Type="http://schemas.openxmlformats.org/officeDocument/2006/relationships/hyperlink" Target="2020_08/27.08.2020/105250" TargetMode="External"/><Relationship Id="rId3326" Type="http://schemas.openxmlformats.org/officeDocument/2006/relationships/hyperlink" Target="2020_09/18.09.2020/110303" TargetMode="External"/><Relationship Id="rId3673" Type="http://schemas.openxmlformats.org/officeDocument/2006/relationships/hyperlink" Target="2020_10/13.10.2020/138262" TargetMode="External"/><Relationship Id="rId3880" Type="http://schemas.openxmlformats.org/officeDocument/2006/relationships/hyperlink" Target="2020_11/17.11.2020/149359" TargetMode="External"/><Relationship Id="rId247" Type="http://schemas.openxmlformats.org/officeDocument/2006/relationships/hyperlink" Target="https://smp.sfurf.office/sd/operator/" TargetMode="External"/><Relationship Id="rId1084" Type="http://schemas.openxmlformats.org/officeDocument/2006/relationships/hyperlink" Target="2020_01/31.01.2020/20-70" TargetMode="External"/><Relationship Id="rId2482" Type="http://schemas.openxmlformats.org/officeDocument/2006/relationships/hyperlink" Target="2020_06/16.06.2020/65337" TargetMode="External"/><Relationship Id="rId3533" Type="http://schemas.openxmlformats.org/officeDocument/2006/relationships/hyperlink" Target="2020_10/02.10.2020/132936" TargetMode="External"/><Relationship Id="rId3740" Type="http://schemas.openxmlformats.org/officeDocument/2006/relationships/hyperlink" Target="2020_11/02.11.2020/141256" TargetMode="External"/><Relationship Id="rId107" Type="http://schemas.openxmlformats.org/officeDocument/2006/relationships/hyperlink" Target="https://smp.sfurf.office/sd/operator/" TargetMode="External"/><Relationship Id="rId454" Type="http://schemas.openxmlformats.org/officeDocument/2006/relationships/hyperlink" Target="https://smp.sfurf.office/sd/operator/index.jsp;jsessionid=4B56FDB405CD332F2E4AE6AEC0BFEE05" TargetMode="External"/><Relationship Id="rId661" Type="http://schemas.openxmlformats.org/officeDocument/2006/relationships/hyperlink" Target="2019_12/25.12.2019/76332" TargetMode="External"/><Relationship Id="rId1291" Type="http://schemas.openxmlformats.org/officeDocument/2006/relationships/hyperlink" Target="2020_02/21.02.2020/13985" TargetMode="External"/><Relationship Id="rId2135" Type="http://schemas.openxmlformats.org/officeDocument/2006/relationships/hyperlink" Target="2020_06/08.06.2020/44137" TargetMode="External"/><Relationship Id="rId2342" Type="http://schemas.openxmlformats.org/officeDocument/2006/relationships/hyperlink" Target="2020_06/16.06.2020/51857" TargetMode="External"/><Relationship Id="rId3600" Type="http://schemas.openxmlformats.org/officeDocument/2006/relationships/hyperlink" Target="2020_10\07.10.2020\135041" TargetMode="External"/><Relationship Id="rId314" Type="http://schemas.openxmlformats.org/officeDocument/2006/relationships/hyperlink" Target="2019_11\18.11.2019\52840" TargetMode="External"/><Relationship Id="rId521" Type="http://schemas.openxmlformats.org/officeDocument/2006/relationships/hyperlink" Target="2019_12\16.12.2019\71260" TargetMode="External"/><Relationship Id="rId1151" Type="http://schemas.openxmlformats.org/officeDocument/2006/relationships/hyperlink" Target="2020_02\06.02.2020\-4382" TargetMode="External"/><Relationship Id="rId2202" Type="http://schemas.openxmlformats.org/officeDocument/2006/relationships/hyperlink" Target="2020_06/10.06.2020/46468" TargetMode="External"/><Relationship Id="rId1011" Type="http://schemas.openxmlformats.org/officeDocument/2006/relationships/hyperlink" Target="2020_01\28.01.2020\83183" TargetMode="External"/><Relationship Id="rId1968" Type="http://schemas.openxmlformats.org/officeDocument/2006/relationships/hyperlink" Target="2020_05/22.05.2020/46758" TargetMode="External"/><Relationship Id="rId3183" Type="http://schemas.openxmlformats.org/officeDocument/2006/relationships/hyperlink" Target="2020_09/03.09.2020/116833" TargetMode="External"/><Relationship Id="rId3390" Type="http://schemas.openxmlformats.org/officeDocument/2006/relationships/hyperlink" Target="2020_09/23.09.2020/119625" TargetMode="External"/><Relationship Id="rId1828" Type="http://schemas.openxmlformats.org/officeDocument/2006/relationships/hyperlink" Target="2020_05\06.05.2020\35702" TargetMode="External"/><Relationship Id="rId3043" Type="http://schemas.openxmlformats.org/officeDocument/2006/relationships/hyperlink" Target="2020_08\18.08.2020\95749" TargetMode="External"/><Relationship Id="rId3250" Type="http://schemas.openxmlformats.org/officeDocument/2006/relationships/hyperlink" Target="2020_09\10.09.2020\104898" TargetMode="External"/><Relationship Id="rId171" Type="http://schemas.openxmlformats.org/officeDocument/2006/relationships/hyperlink" Target="https://smp.sfurf.office/sd/operator/index.jsp;jsessionid=4B56FDB405CD332F2E4AE6AEC0BFEE05" TargetMode="External"/><Relationship Id="rId3110" Type="http://schemas.openxmlformats.org/officeDocument/2006/relationships/hyperlink" Target="2020_08\26.08.2020\103827" TargetMode="External"/><Relationship Id="rId988" Type="http://schemas.openxmlformats.org/officeDocument/2006/relationships/hyperlink" Target="2020_01\27.01.2020\82326" TargetMode="External"/><Relationship Id="rId2669" Type="http://schemas.openxmlformats.org/officeDocument/2006/relationships/hyperlink" Target="2020_07/02.07.2020/61586" TargetMode="External"/><Relationship Id="rId2876" Type="http://schemas.openxmlformats.org/officeDocument/2006/relationships/hyperlink" Target="2020_08/03.08.2020/98516" TargetMode="External"/><Relationship Id="rId3927" Type="http://schemas.openxmlformats.org/officeDocument/2006/relationships/hyperlink" Target="2020_12/08.12.2020/161570" TargetMode="External"/><Relationship Id="rId848" Type="http://schemas.openxmlformats.org/officeDocument/2006/relationships/hyperlink" Target="2020_01/15.01.2020/66379" TargetMode="External"/><Relationship Id="rId1478" Type="http://schemas.openxmlformats.org/officeDocument/2006/relationships/hyperlink" Target="2020_03\11.03.2020\14941" TargetMode="External"/><Relationship Id="rId1685" Type="http://schemas.openxmlformats.org/officeDocument/2006/relationships/hyperlink" Target="2020_03\26.03.2020\24709" TargetMode="External"/><Relationship Id="rId1892" Type="http://schemas.openxmlformats.org/officeDocument/2006/relationships/hyperlink" Target="2020_05/20.05.2020/34809" TargetMode="External"/><Relationship Id="rId2529" Type="http://schemas.openxmlformats.org/officeDocument/2006/relationships/hyperlink" Target="2020_06/19.06.2020/67335" TargetMode="External"/><Relationship Id="rId2736" Type="http://schemas.openxmlformats.org/officeDocument/2006/relationships/hyperlink" Target="2020_07\09.07.2020\76745" TargetMode="External"/><Relationship Id="rId708" Type="http://schemas.openxmlformats.org/officeDocument/2006/relationships/hyperlink" Target="2019_12/30.12.2019/70186" TargetMode="External"/><Relationship Id="rId915" Type="http://schemas.openxmlformats.org/officeDocument/2006/relationships/hyperlink" Target="2020_01\21.01.2020\87965" TargetMode="External"/><Relationship Id="rId1338" Type="http://schemas.openxmlformats.org/officeDocument/2006/relationships/hyperlink" Target="2020_02\27.02.2020\-8273" TargetMode="External"/><Relationship Id="rId1545" Type="http://schemas.openxmlformats.org/officeDocument/2006/relationships/hyperlink" Target="2020_03/13.03.2020/-7358" TargetMode="External"/><Relationship Id="rId2943" Type="http://schemas.openxmlformats.org/officeDocument/2006/relationships/hyperlink" Target="2020_08/10.08.2020/02705" TargetMode="External"/><Relationship Id="rId1405" Type="http://schemas.openxmlformats.org/officeDocument/2006/relationships/hyperlink" Target="2020_03/03.03.2020/10977" TargetMode="External"/><Relationship Id="rId1752" Type="http://schemas.openxmlformats.org/officeDocument/2006/relationships/hyperlink" Target="2020_04\07.04.2020\36818" TargetMode="External"/><Relationship Id="rId2803" Type="http://schemas.openxmlformats.org/officeDocument/2006/relationships/hyperlink" Target="2020_07/31.07.2020/81043" TargetMode="External"/><Relationship Id="rId44" Type="http://schemas.openxmlformats.org/officeDocument/2006/relationships/hyperlink" Target="https://smp.sfurf.office/sd/operator/" TargetMode="External"/><Relationship Id="rId1612" Type="http://schemas.openxmlformats.org/officeDocument/2006/relationships/hyperlink" Target="2020_03\23.03.2020\22894" TargetMode="External"/><Relationship Id="rId498" Type="http://schemas.openxmlformats.org/officeDocument/2006/relationships/hyperlink" Target="2019_12\12.12.2019\60381" TargetMode="External"/><Relationship Id="rId2179" Type="http://schemas.openxmlformats.org/officeDocument/2006/relationships/hyperlink" Target="2020_06/04.06.2020/42748" TargetMode="External"/><Relationship Id="rId3577" Type="http://schemas.openxmlformats.org/officeDocument/2006/relationships/hyperlink" Target="2020_10/06.10.2020/118221" TargetMode="External"/><Relationship Id="rId3784" Type="http://schemas.openxmlformats.org/officeDocument/2006/relationships/hyperlink" Target="2020_11/09.11.2020/144294" TargetMode="External"/><Relationship Id="rId2386" Type="http://schemas.openxmlformats.org/officeDocument/2006/relationships/hyperlink" Target="2020_06/16.06.2020/54679" TargetMode="External"/><Relationship Id="rId2593" Type="http://schemas.openxmlformats.org/officeDocument/2006/relationships/hyperlink" Target="2020_06\25.06.2020\78381" TargetMode="External"/><Relationship Id="rId3437" Type="http://schemas.openxmlformats.org/officeDocument/2006/relationships/hyperlink" Target="2020_09/25.09.2020/121618" TargetMode="External"/><Relationship Id="rId3644" Type="http://schemas.openxmlformats.org/officeDocument/2006/relationships/hyperlink" Target="2020_10/12.10.2020/125883" TargetMode="External"/><Relationship Id="rId3851" Type="http://schemas.openxmlformats.org/officeDocument/2006/relationships/hyperlink" Target="2020_11/16.11.2020/148311" TargetMode="External"/><Relationship Id="rId358" Type="http://schemas.openxmlformats.org/officeDocument/2006/relationships/hyperlink" Target="https://smp.sfurf.office/sd/operator/" TargetMode="External"/><Relationship Id="rId565" Type="http://schemas.openxmlformats.org/officeDocument/2006/relationships/hyperlink" Target="2019_12/18.12.2019/63919" TargetMode="External"/><Relationship Id="rId772" Type="http://schemas.openxmlformats.org/officeDocument/2006/relationships/hyperlink" Target="2020_01/09.01.2020/80106" TargetMode="External"/><Relationship Id="rId1195" Type="http://schemas.openxmlformats.org/officeDocument/2006/relationships/hyperlink" Target="2020_02\11.02.2020\90949" TargetMode="External"/><Relationship Id="rId2039" Type="http://schemas.openxmlformats.org/officeDocument/2006/relationships/hyperlink" Target="2020_05\27.05.2020\53014" TargetMode="External"/><Relationship Id="rId2246" Type="http://schemas.openxmlformats.org/officeDocument/2006/relationships/hyperlink" Target="2020_06/16.06.2020/51559" TargetMode="External"/><Relationship Id="rId2453" Type="http://schemas.openxmlformats.org/officeDocument/2006/relationships/hyperlink" Target="2020_06/16.06.2020/52963" TargetMode="External"/><Relationship Id="rId2660" Type="http://schemas.openxmlformats.org/officeDocument/2006/relationships/hyperlink" Target="2020_06\30.06.2020\72240" TargetMode="External"/><Relationship Id="rId3504" Type="http://schemas.openxmlformats.org/officeDocument/2006/relationships/hyperlink" Target="2020_10/01.10.2020/124748" TargetMode="External"/><Relationship Id="rId3711" Type="http://schemas.openxmlformats.org/officeDocument/2006/relationships/hyperlink" Target="2020_10/16.10.2020/140616" TargetMode="External"/><Relationship Id="rId218" Type="http://schemas.openxmlformats.org/officeDocument/2006/relationships/hyperlink" Target="2019_11\15.11.2019\44813" TargetMode="External"/><Relationship Id="rId425" Type="http://schemas.openxmlformats.org/officeDocument/2006/relationships/hyperlink" Target="2019_12\05.12.2019\64813" TargetMode="External"/><Relationship Id="rId632" Type="http://schemas.openxmlformats.org/officeDocument/2006/relationships/hyperlink" Target="2019_12\24.12.2019\75413" TargetMode="External"/><Relationship Id="rId1055" Type="http://schemas.openxmlformats.org/officeDocument/2006/relationships/hyperlink" Target="2020_01\31.01.2020\85385" TargetMode="External"/><Relationship Id="rId1262" Type="http://schemas.openxmlformats.org/officeDocument/2006/relationships/hyperlink" Target="2020_02/20.02.2020/-4212" TargetMode="External"/><Relationship Id="rId2106" Type="http://schemas.openxmlformats.org/officeDocument/2006/relationships/hyperlink" Target="2020_06/01.06.2020/60485" TargetMode="External"/><Relationship Id="rId2313" Type="http://schemas.openxmlformats.org/officeDocument/2006/relationships/hyperlink" Target="2020_06\15.06.2020\49065" TargetMode="External"/><Relationship Id="rId2520" Type="http://schemas.openxmlformats.org/officeDocument/2006/relationships/hyperlink" Target="2020_06/19.06.2020/67823" TargetMode="External"/><Relationship Id="rId1122" Type="http://schemas.openxmlformats.org/officeDocument/2006/relationships/hyperlink" Target="2020_02/05.02.2020/-3652" TargetMode="External"/><Relationship Id="rId3087" Type="http://schemas.openxmlformats.org/officeDocument/2006/relationships/hyperlink" Target="2020_08/25.08.2020/103976" TargetMode="External"/><Relationship Id="rId3294" Type="http://schemas.openxmlformats.org/officeDocument/2006/relationships/hyperlink" Target="2020_09\15.09.2020\107032" TargetMode="External"/><Relationship Id="rId1939" Type="http://schemas.openxmlformats.org/officeDocument/2006/relationships/hyperlink" Target="2020_05/20.05.2020/35589" TargetMode="External"/><Relationship Id="rId3154" Type="http://schemas.openxmlformats.org/officeDocument/2006/relationships/hyperlink" Target="2020_09/01.09.2020/115789" TargetMode="External"/><Relationship Id="rId3361" Type="http://schemas.openxmlformats.org/officeDocument/2006/relationships/hyperlink" Target="2020_09\21.09.2020\126442" TargetMode="External"/><Relationship Id="rId282" Type="http://schemas.openxmlformats.org/officeDocument/2006/relationships/hyperlink" Target="https://smp.sfurf.office/sd/operator/" TargetMode="External"/><Relationship Id="rId2170" Type="http://schemas.openxmlformats.org/officeDocument/2006/relationships/hyperlink" Target="2020_06\10.06.2020\47478" TargetMode="External"/><Relationship Id="rId3014" Type="http://schemas.openxmlformats.org/officeDocument/2006/relationships/hyperlink" Target="2020_08/18.08.2020/00007" TargetMode="External"/><Relationship Id="rId3221" Type="http://schemas.openxmlformats.org/officeDocument/2006/relationships/hyperlink" Target="2020_09\09.09.2020\120374" TargetMode="External"/><Relationship Id="rId8" Type="http://schemas.openxmlformats.org/officeDocument/2006/relationships/hyperlink" Target="https://smp.sfurf.office/sd/operator/index.jsp;jsessionid=4B56FDB405CD332F2E4AE6AEC0BFEE05" TargetMode="External"/><Relationship Id="rId142" Type="http://schemas.openxmlformats.org/officeDocument/2006/relationships/hyperlink" Target="..\Users\shilyaevan\AppData\Roaming\Microsoft\Excel\2019_10\23.10.2019\32435" TargetMode="External"/><Relationship Id="rId2030" Type="http://schemas.openxmlformats.org/officeDocument/2006/relationships/hyperlink" Target="2020_05\26.05.2020\39363" TargetMode="External"/><Relationship Id="rId2987" Type="http://schemas.openxmlformats.org/officeDocument/2006/relationships/hyperlink" Target="2020_08/13.08.2020/05600" TargetMode="External"/><Relationship Id="rId959" Type="http://schemas.openxmlformats.org/officeDocument/2006/relationships/hyperlink" Target="2020_01\23.01.2020\88905" TargetMode="External"/><Relationship Id="rId1589" Type="http://schemas.openxmlformats.org/officeDocument/2006/relationships/hyperlink" Target="2020_03\19.03.2020\28874" TargetMode="External"/><Relationship Id="rId1449" Type="http://schemas.openxmlformats.org/officeDocument/2006/relationships/hyperlink" Target="2020_03/06.03.2020/12979" TargetMode="External"/><Relationship Id="rId1796" Type="http://schemas.openxmlformats.org/officeDocument/2006/relationships/hyperlink" Target="2020_05/12.05.2020/38597" TargetMode="External"/><Relationship Id="rId2847" Type="http://schemas.openxmlformats.org/officeDocument/2006/relationships/hyperlink" Target="2020_08\04.08.2020\99438" TargetMode="External"/><Relationship Id="rId88" Type="http://schemas.openxmlformats.org/officeDocument/2006/relationships/hyperlink" Target="../Users/shilyaevan/AppData/Roaming/Microsoft/Excel/2019_10/16.10.2019/22638" TargetMode="External"/><Relationship Id="rId819" Type="http://schemas.openxmlformats.org/officeDocument/2006/relationships/hyperlink" Target="2020_01/14.01.2020/74822" TargetMode="External"/><Relationship Id="rId1656" Type="http://schemas.openxmlformats.org/officeDocument/2006/relationships/hyperlink" Target="2020_03\25.03.2020\23458" TargetMode="External"/><Relationship Id="rId1863" Type="http://schemas.openxmlformats.org/officeDocument/2006/relationships/hyperlink" Target="2020_05/18.05.2020/32828" TargetMode="External"/><Relationship Id="rId2707" Type="http://schemas.openxmlformats.org/officeDocument/2006/relationships/hyperlink" Target="2020_07/07.07.2020/75144" TargetMode="External"/><Relationship Id="rId2914" Type="http://schemas.openxmlformats.org/officeDocument/2006/relationships/hyperlink" Target="2020_08/07.08.2020/93450" TargetMode="External"/><Relationship Id="rId1309" Type="http://schemas.openxmlformats.org/officeDocument/2006/relationships/hyperlink" Target="2020_02/25.02.2020/-6178" TargetMode="External"/><Relationship Id="rId1516" Type="http://schemas.openxmlformats.org/officeDocument/2006/relationships/hyperlink" Target="2020_03\13.03.2020\25483" TargetMode="External"/><Relationship Id="rId1723" Type="http://schemas.openxmlformats.org/officeDocument/2006/relationships/hyperlink" Target="2020_04\06.04.2020\35734" TargetMode="External"/><Relationship Id="rId1930" Type="http://schemas.openxmlformats.org/officeDocument/2006/relationships/hyperlink" Target="2020_05/20.05.2020/44642" TargetMode="External"/><Relationship Id="rId15" Type="http://schemas.openxmlformats.org/officeDocument/2006/relationships/hyperlink" Target="https://smp.sfurf.office/sd/operator/index.jsp;jsessionid=4B56FDB405CD332F2E4AE6AEC0BFEE05" TargetMode="External"/><Relationship Id="rId3688" Type="http://schemas.openxmlformats.org/officeDocument/2006/relationships/hyperlink" Target="2020_10/14.10.2020/131633" TargetMode="External"/><Relationship Id="rId3895" Type="http://schemas.openxmlformats.org/officeDocument/2006/relationships/hyperlink" Target="2020_11/16.11.2020/148774" TargetMode="External"/><Relationship Id="rId2497" Type="http://schemas.openxmlformats.org/officeDocument/2006/relationships/hyperlink" Target="2020_06/16.06.2020/63882" TargetMode="External"/><Relationship Id="rId3548" Type="http://schemas.openxmlformats.org/officeDocument/2006/relationships/hyperlink" Target="2020_10/02.10.2020/125049" TargetMode="External"/><Relationship Id="rId3755" Type="http://schemas.openxmlformats.org/officeDocument/2006/relationships/hyperlink" Target="2020_11/05.11.2020/135192" TargetMode="External"/><Relationship Id="rId469" Type="http://schemas.openxmlformats.org/officeDocument/2006/relationships/hyperlink" Target="2019_12\10.12.2019\67283" TargetMode="External"/><Relationship Id="rId676" Type="http://schemas.openxmlformats.org/officeDocument/2006/relationships/hyperlink" Target="2019_12/26.12.2019/69441" TargetMode="External"/><Relationship Id="rId883" Type="http://schemas.openxmlformats.org/officeDocument/2006/relationships/hyperlink" Target="2020_01/17.01.2020/78246" TargetMode="External"/><Relationship Id="rId1099" Type="http://schemas.openxmlformats.org/officeDocument/2006/relationships/hyperlink" Target="2020_02\04.02.2020\-2650" TargetMode="External"/><Relationship Id="rId2357" Type="http://schemas.openxmlformats.org/officeDocument/2006/relationships/hyperlink" Target="2020_06\11.06.2020\72062" TargetMode="External"/><Relationship Id="rId2564" Type="http://schemas.openxmlformats.org/officeDocument/2006/relationships/hyperlink" Target="2020_06/18.06.2020/67062" TargetMode="External"/><Relationship Id="rId3408" Type="http://schemas.openxmlformats.org/officeDocument/2006/relationships/hyperlink" Target="2020_09\22.09.2020\118154" TargetMode="External"/><Relationship Id="rId3615" Type="http://schemas.openxmlformats.org/officeDocument/2006/relationships/hyperlink" Target="2020_10\08.10.2020\128551" TargetMode="External"/><Relationship Id="rId3962" Type="http://schemas.openxmlformats.org/officeDocument/2006/relationships/hyperlink" Target="2020_12/15.12.2020/165741" TargetMode="External"/><Relationship Id="rId329" Type="http://schemas.openxmlformats.org/officeDocument/2006/relationships/hyperlink" Target="2019_12\04.12.2019\55619" TargetMode="External"/><Relationship Id="rId536" Type="http://schemas.openxmlformats.org/officeDocument/2006/relationships/hyperlink" Target="2019_12\17.12.2019\62803" TargetMode="External"/><Relationship Id="rId1166" Type="http://schemas.openxmlformats.org/officeDocument/2006/relationships/hyperlink" Target="2020_02\11.02.2020\83850" TargetMode="External"/><Relationship Id="rId1373" Type="http://schemas.openxmlformats.org/officeDocument/2006/relationships/hyperlink" Target="2020_02/28.02.2020/18010" TargetMode="External"/><Relationship Id="rId2217" Type="http://schemas.openxmlformats.org/officeDocument/2006/relationships/hyperlink" Target="2020_06/15.06.2020/49257" TargetMode="External"/><Relationship Id="rId2771" Type="http://schemas.openxmlformats.org/officeDocument/2006/relationships/hyperlink" Target="2020_07/24.07.2020/93563" TargetMode="External"/><Relationship Id="rId3822" Type="http://schemas.openxmlformats.org/officeDocument/2006/relationships/hyperlink" Target="2020_11\11.11.2020\146271" TargetMode="External"/><Relationship Id="rId743" Type="http://schemas.openxmlformats.org/officeDocument/2006/relationships/hyperlink" Target="2019_12/31.12.2019/72208" TargetMode="External"/><Relationship Id="rId950" Type="http://schemas.openxmlformats.org/officeDocument/2006/relationships/hyperlink" Target="2020_01/23.01.2020/81229" TargetMode="External"/><Relationship Id="rId1026" Type="http://schemas.openxmlformats.org/officeDocument/2006/relationships/hyperlink" Target="2020_01\29.01.2020\91533" TargetMode="External"/><Relationship Id="rId1580" Type="http://schemas.openxmlformats.org/officeDocument/2006/relationships/hyperlink" Target="2020_03/18.03.2020/18991" TargetMode="External"/><Relationship Id="rId2424" Type="http://schemas.openxmlformats.org/officeDocument/2006/relationships/hyperlink" Target="2020_06/16.06.2020/64574" TargetMode="External"/><Relationship Id="rId2631" Type="http://schemas.openxmlformats.org/officeDocument/2006/relationships/hyperlink" Target="2020_06\26.06.2020\71180" TargetMode="External"/><Relationship Id="rId603" Type="http://schemas.openxmlformats.org/officeDocument/2006/relationships/hyperlink" Target="2019_12/23.12.2019/74824" TargetMode="External"/><Relationship Id="rId810" Type="http://schemas.openxmlformats.org/officeDocument/2006/relationships/hyperlink" Target="2020_01/14.01.2020/83847" TargetMode="External"/><Relationship Id="rId1233" Type="http://schemas.openxmlformats.org/officeDocument/2006/relationships/hyperlink" Target="2020_02/18.02.2020/11402" TargetMode="External"/><Relationship Id="rId1440" Type="http://schemas.openxmlformats.org/officeDocument/2006/relationships/hyperlink" Target="2020_03\05.03.2020\20709" TargetMode="External"/><Relationship Id="rId1300" Type="http://schemas.openxmlformats.org/officeDocument/2006/relationships/hyperlink" Target="2020_02/25.02.2020/-6318" TargetMode="External"/><Relationship Id="rId3198" Type="http://schemas.openxmlformats.org/officeDocument/2006/relationships/hyperlink" Target="2020_09/07.09.2020/110934" TargetMode="External"/><Relationship Id="rId3058" Type="http://schemas.openxmlformats.org/officeDocument/2006/relationships/hyperlink" Target="2020_08/20.08.2020/100924" TargetMode="External"/><Relationship Id="rId3265" Type="http://schemas.openxmlformats.org/officeDocument/2006/relationships/hyperlink" Target="2020_09/14.09.2020/115056" TargetMode="External"/><Relationship Id="rId3472" Type="http://schemas.openxmlformats.org/officeDocument/2006/relationships/hyperlink" Target="2020_09/28.09.2020/122609" TargetMode="External"/><Relationship Id="rId186" Type="http://schemas.openxmlformats.org/officeDocument/2006/relationships/hyperlink" Target="https://smp.sfurf.office/sd/operator/index.jsp;jsessionid=4B56FDB405CD332F2E4AE6AEC0BFEE05" TargetMode="External"/><Relationship Id="rId393" Type="http://schemas.openxmlformats.org/officeDocument/2006/relationships/hyperlink" Target="2019_11\28.11.2019\60339" TargetMode="External"/><Relationship Id="rId2074" Type="http://schemas.openxmlformats.org/officeDocument/2006/relationships/hyperlink" Target="2020_06/01.06.2020/58078" TargetMode="External"/><Relationship Id="rId2281" Type="http://schemas.openxmlformats.org/officeDocument/2006/relationships/hyperlink" Target="2020_06/16.06.2020/50751" TargetMode="External"/><Relationship Id="rId3125" Type="http://schemas.openxmlformats.org/officeDocument/2006/relationships/hyperlink" Target="2020_08/28.08.2020/106517" TargetMode="External"/><Relationship Id="rId3332" Type="http://schemas.openxmlformats.org/officeDocument/2006/relationships/hyperlink" Target="2020_09/18.09.2020/124849" TargetMode="External"/><Relationship Id="rId3777" Type="http://schemas.openxmlformats.org/officeDocument/2006/relationships/hyperlink" Target="2020_11/05.11.2020/142894" TargetMode="External"/><Relationship Id="rId3984" Type="http://schemas.openxmlformats.org/officeDocument/2006/relationships/hyperlink" Target="2020_12/17.12.2020/175174" TargetMode="External"/><Relationship Id="rId253" Type="http://schemas.openxmlformats.org/officeDocument/2006/relationships/hyperlink" Target="2019_11\18.11.2019\44902" TargetMode="External"/><Relationship Id="rId460" Type="http://schemas.openxmlformats.org/officeDocument/2006/relationships/hyperlink" Target="2019_12\09.12.2019\66336" TargetMode="External"/><Relationship Id="rId698" Type="http://schemas.openxmlformats.org/officeDocument/2006/relationships/hyperlink" Target="2019_12\27.12.2019\70039" TargetMode="External"/><Relationship Id="rId1090" Type="http://schemas.openxmlformats.org/officeDocument/2006/relationships/hyperlink" Target="2020_02\04.02.2020\87984" TargetMode="External"/><Relationship Id="rId2141" Type="http://schemas.openxmlformats.org/officeDocument/2006/relationships/hyperlink" Target="2020_06\01.06.2020\63290" TargetMode="External"/><Relationship Id="rId2379" Type="http://schemas.openxmlformats.org/officeDocument/2006/relationships/hyperlink" Target="2020_06/16.06.2020/54952" TargetMode="External"/><Relationship Id="rId2586" Type="http://schemas.openxmlformats.org/officeDocument/2006/relationships/hyperlink" Target="2020_06/23.06.2020/76519" TargetMode="External"/><Relationship Id="rId2793" Type="http://schemas.openxmlformats.org/officeDocument/2006/relationships/hyperlink" Target="2020_07/27.07.2020/94629" TargetMode="External"/><Relationship Id="rId3637" Type="http://schemas.openxmlformats.org/officeDocument/2006/relationships/hyperlink" Target="2020_10/12.10.2020/137403" TargetMode="External"/><Relationship Id="rId3844" Type="http://schemas.openxmlformats.org/officeDocument/2006/relationships/hyperlink" Target="2020_11/12.11.2020/154890" TargetMode="External"/><Relationship Id="rId113" Type="http://schemas.openxmlformats.org/officeDocument/2006/relationships/hyperlink" Target="https://smp.sfurf.office/sd/operator/index.jsp;jsessionid=4B56FDB405CD332F2E4AE6AEC0BFEE05" TargetMode="External"/><Relationship Id="rId320" Type="http://schemas.openxmlformats.org/officeDocument/2006/relationships/hyperlink" Target="2019_12\03.12.2019\54150" TargetMode="External"/><Relationship Id="rId558" Type="http://schemas.openxmlformats.org/officeDocument/2006/relationships/hyperlink" Target="2019_12/18.12.2019/63734" TargetMode="External"/><Relationship Id="rId765" Type="http://schemas.openxmlformats.org/officeDocument/2006/relationships/hyperlink" Target="2020_01/09.01.2020/72938" TargetMode="External"/><Relationship Id="rId972" Type="http://schemas.openxmlformats.org/officeDocument/2006/relationships/hyperlink" Target="2020_01\24.01.2020\81417" TargetMode="External"/><Relationship Id="rId1188" Type="http://schemas.openxmlformats.org/officeDocument/2006/relationships/hyperlink" Target="2020_02/11.02.2020/-8031" TargetMode="External"/><Relationship Id="rId1395" Type="http://schemas.openxmlformats.org/officeDocument/2006/relationships/hyperlink" Target="2020_03\03.03.2020\10778" TargetMode="External"/><Relationship Id="rId2001" Type="http://schemas.openxmlformats.org/officeDocument/2006/relationships/hyperlink" Target="2020_05/25.05.2020/38505" TargetMode="External"/><Relationship Id="rId2239" Type="http://schemas.openxmlformats.org/officeDocument/2006/relationships/hyperlink" Target="2020_06\03.06.2020\66891" TargetMode="External"/><Relationship Id="rId2446" Type="http://schemas.openxmlformats.org/officeDocument/2006/relationships/hyperlink" Target="2020_06/16.06.2020/72524" TargetMode="External"/><Relationship Id="rId2653" Type="http://schemas.openxmlformats.org/officeDocument/2006/relationships/hyperlink" Target="2020_06/30.06.2020/71788" TargetMode="External"/><Relationship Id="rId2860" Type="http://schemas.openxmlformats.org/officeDocument/2006/relationships/hyperlink" Target="2020_08/04.08.2020/99265" TargetMode="External"/><Relationship Id="rId3704" Type="http://schemas.openxmlformats.org/officeDocument/2006/relationships/hyperlink" Target="2020_10/16.10.2020/140520" TargetMode="External"/><Relationship Id="rId418" Type="http://schemas.openxmlformats.org/officeDocument/2006/relationships/hyperlink" Target="2019_12\03.12.2019\62980" TargetMode="External"/><Relationship Id="rId625" Type="http://schemas.openxmlformats.org/officeDocument/2006/relationships/hyperlink" Target="2019_12\24.12.2019\75566" TargetMode="External"/><Relationship Id="rId832" Type="http://schemas.openxmlformats.org/officeDocument/2006/relationships/hyperlink" Target="2020_01/15.01.2020/76221" TargetMode="External"/><Relationship Id="rId1048" Type="http://schemas.openxmlformats.org/officeDocument/2006/relationships/hyperlink" Target="2020_01\30.01.2020\84558" TargetMode="External"/><Relationship Id="rId1255" Type="http://schemas.openxmlformats.org/officeDocument/2006/relationships/hyperlink" Target="2020_02/19.02.2020/-4045" TargetMode="External"/><Relationship Id="rId1462" Type="http://schemas.openxmlformats.org/officeDocument/2006/relationships/hyperlink" Target="2020_03\06.03.2020\22578" TargetMode="External"/><Relationship Id="rId2306" Type="http://schemas.openxmlformats.org/officeDocument/2006/relationships/hyperlink" Target="2020_06/16.06.2020/54005" TargetMode="External"/><Relationship Id="rId2513" Type="http://schemas.openxmlformats.org/officeDocument/2006/relationships/hyperlink" Target="2020_06/16.06.2020/62628" TargetMode="External"/><Relationship Id="rId2958" Type="http://schemas.openxmlformats.org/officeDocument/2006/relationships/hyperlink" Target="2020_08/11.08.2020/95160" TargetMode="External"/><Relationship Id="rId3911" Type="http://schemas.openxmlformats.org/officeDocument/2006/relationships/hyperlink" Target="2020_11/18.11.2020/146111" TargetMode="External"/><Relationship Id="rId1115" Type="http://schemas.openxmlformats.org/officeDocument/2006/relationships/hyperlink" Target="2020_02\05.02.2020\87810" TargetMode="External"/><Relationship Id="rId1322" Type="http://schemas.openxmlformats.org/officeDocument/2006/relationships/hyperlink" Target="2020_02/25.02.2020/14407" TargetMode="External"/><Relationship Id="rId1767" Type="http://schemas.openxmlformats.org/officeDocument/2006/relationships/hyperlink" Target="2020_04\06.04.2020\26380" TargetMode="External"/><Relationship Id="rId1974" Type="http://schemas.openxmlformats.org/officeDocument/2006/relationships/hyperlink" Target="2020_05/19.05.2020/43321" TargetMode="External"/><Relationship Id="rId2720" Type="http://schemas.openxmlformats.org/officeDocument/2006/relationships/hyperlink" Target="2020_07/08.07.2020/75094" TargetMode="External"/><Relationship Id="rId2818" Type="http://schemas.openxmlformats.org/officeDocument/2006/relationships/hyperlink" Target="2020_07/27.07.2020/94736" TargetMode="External"/><Relationship Id="rId59" Type="http://schemas.openxmlformats.org/officeDocument/2006/relationships/hyperlink" Target="https://smp.sfurf.office/sd/operator/" TargetMode="External"/><Relationship Id="rId1627" Type="http://schemas.openxmlformats.org/officeDocument/2006/relationships/hyperlink" Target="2020_03\23.03.2020\22554" TargetMode="External"/><Relationship Id="rId1834" Type="http://schemas.openxmlformats.org/officeDocument/2006/relationships/hyperlink" Target="2020_05/14.05.2020/30736" TargetMode="External"/><Relationship Id="rId3287" Type="http://schemas.openxmlformats.org/officeDocument/2006/relationships/hyperlink" Target="2020_09/15.09.2020/115467" TargetMode="External"/><Relationship Id="rId2096" Type="http://schemas.openxmlformats.org/officeDocument/2006/relationships/hyperlink" Target="2020_06/08.06.2020/44626" TargetMode="External"/><Relationship Id="rId3494" Type="http://schemas.openxmlformats.org/officeDocument/2006/relationships/hyperlink" Target="2020_09/29.09.2020/130800" TargetMode="External"/><Relationship Id="rId3799" Type="http://schemas.openxmlformats.org/officeDocument/2006/relationships/hyperlink" Target="2020_11/10.11.2020/153565" TargetMode="External"/><Relationship Id="rId1901" Type="http://schemas.openxmlformats.org/officeDocument/2006/relationships/hyperlink" Target="2020_05\18.05.2020\32819" TargetMode="External"/><Relationship Id="rId3147" Type="http://schemas.openxmlformats.org/officeDocument/2006/relationships/hyperlink" Target="2020_08/31.08.2020/106731" TargetMode="External"/><Relationship Id="rId3354" Type="http://schemas.openxmlformats.org/officeDocument/2006/relationships/hyperlink" Target="2020_09/21.09.2020/118510" TargetMode="External"/><Relationship Id="rId3561" Type="http://schemas.openxmlformats.org/officeDocument/2006/relationships/hyperlink" Target="2020_10/05.10.2020/125417" TargetMode="External"/><Relationship Id="rId3659" Type="http://schemas.openxmlformats.org/officeDocument/2006/relationships/hyperlink" Target="2020_10/12.10.2020/138022" TargetMode="External"/><Relationship Id="rId275" Type="http://schemas.openxmlformats.org/officeDocument/2006/relationships/hyperlink" Target="2019_11\08.11.2019\48833" TargetMode="External"/><Relationship Id="rId482" Type="http://schemas.openxmlformats.org/officeDocument/2006/relationships/hyperlink" Target="2019_12\11.12.2019\68548" TargetMode="External"/><Relationship Id="rId2163" Type="http://schemas.openxmlformats.org/officeDocument/2006/relationships/hyperlink" Target="2020_06\05.06.2020\43530" TargetMode="External"/><Relationship Id="rId2370" Type="http://schemas.openxmlformats.org/officeDocument/2006/relationships/hyperlink" Target="2020_06\05.06.2020\68777" TargetMode="External"/><Relationship Id="rId3007" Type="http://schemas.openxmlformats.org/officeDocument/2006/relationships/hyperlink" Target="2020_08\13.08.2020\96696" TargetMode="External"/><Relationship Id="rId3214" Type="http://schemas.openxmlformats.org/officeDocument/2006/relationships/hyperlink" Target="2020_09\09.09.2020\112520" TargetMode="External"/><Relationship Id="rId3421" Type="http://schemas.openxmlformats.org/officeDocument/2006/relationships/hyperlink" Target="2020_09/24.09.2020/120371" TargetMode="External"/><Relationship Id="rId3866" Type="http://schemas.openxmlformats.org/officeDocument/2006/relationships/hyperlink" Target="2020_11/17.11.2020/149634" TargetMode="External"/><Relationship Id="rId135" Type="http://schemas.openxmlformats.org/officeDocument/2006/relationships/hyperlink" Target="2019_11\20.11.2019\32531" TargetMode="External"/><Relationship Id="rId342" Type="http://schemas.openxmlformats.org/officeDocument/2006/relationships/hyperlink" Target="https://smp.sfurf.office/sd/operator/" TargetMode="External"/><Relationship Id="rId787" Type="http://schemas.openxmlformats.org/officeDocument/2006/relationships/hyperlink" Target="2020_01/10.01.2020/73388" TargetMode="External"/><Relationship Id="rId994" Type="http://schemas.openxmlformats.org/officeDocument/2006/relationships/hyperlink" Target="2020_01/28.01.2020/78556" TargetMode="External"/><Relationship Id="rId2023" Type="http://schemas.openxmlformats.org/officeDocument/2006/relationships/hyperlink" Target="2020_05/27.05.2020/39047" TargetMode="External"/><Relationship Id="rId2230" Type="http://schemas.openxmlformats.org/officeDocument/2006/relationships/hyperlink" Target="2020_06/01.06.2020/64655" TargetMode="External"/><Relationship Id="rId2468" Type="http://schemas.openxmlformats.org/officeDocument/2006/relationships/hyperlink" Target="2020_06/16.06.2020/51869" TargetMode="External"/><Relationship Id="rId2675" Type="http://schemas.openxmlformats.org/officeDocument/2006/relationships/hyperlink" Target="2020_07/02.07.2020/73684" TargetMode="External"/><Relationship Id="rId2882" Type="http://schemas.openxmlformats.org/officeDocument/2006/relationships/hyperlink" Target="2020_08/03.08.2020/98013" TargetMode="External"/><Relationship Id="rId3519" Type="http://schemas.openxmlformats.org/officeDocument/2006/relationships/hyperlink" Target="2020_10\02.10.2020\132823" TargetMode="External"/><Relationship Id="rId3726" Type="http://schemas.openxmlformats.org/officeDocument/2006/relationships/hyperlink" Target="2020_10/16.10.2020/132783" TargetMode="External"/><Relationship Id="rId3933" Type="http://schemas.openxmlformats.org/officeDocument/2006/relationships/hyperlink" Target="2020_12\08.12.2020\169685" TargetMode="External"/><Relationship Id="rId202" Type="http://schemas.openxmlformats.org/officeDocument/2006/relationships/hyperlink" Target="2019_10\10.10.2019\26025" TargetMode="External"/><Relationship Id="rId647" Type="http://schemas.openxmlformats.org/officeDocument/2006/relationships/hyperlink" Target="2019_12\25.12.2019\68575" TargetMode="External"/><Relationship Id="rId854" Type="http://schemas.openxmlformats.org/officeDocument/2006/relationships/hyperlink" Target="2020_01/16.01.2020/77409" TargetMode="External"/><Relationship Id="rId1277" Type="http://schemas.openxmlformats.org/officeDocument/2006/relationships/hyperlink" Target="2020_02/20.02.2020/13081" TargetMode="External"/><Relationship Id="rId1484" Type="http://schemas.openxmlformats.org/officeDocument/2006/relationships/hyperlink" Target="2020_03\12.03.2020\16439" TargetMode="External"/><Relationship Id="rId1691" Type="http://schemas.openxmlformats.org/officeDocument/2006/relationships/hyperlink" Target="2020_03/26.03.2020/35080" TargetMode="External"/><Relationship Id="rId2328" Type="http://schemas.openxmlformats.org/officeDocument/2006/relationships/hyperlink" Target="2020_06/16.06.2020/59651" TargetMode="External"/><Relationship Id="rId2535" Type="http://schemas.openxmlformats.org/officeDocument/2006/relationships/hyperlink" Target="2020_06/22.06.2020/75631" TargetMode="External"/><Relationship Id="rId2742" Type="http://schemas.openxmlformats.org/officeDocument/2006/relationships/hyperlink" Target="2020_07/09.07.2020/76559" TargetMode="External"/><Relationship Id="rId507" Type="http://schemas.openxmlformats.org/officeDocument/2006/relationships/hyperlink" Target="2019_12\13.12.2019\60598" TargetMode="External"/><Relationship Id="rId714" Type="http://schemas.openxmlformats.org/officeDocument/2006/relationships/hyperlink" Target="2019_12/30.12.2019/78933" TargetMode="External"/><Relationship Id="rId921" Type="http://schemas.openxmlformats.org/officeDocument/2006/relationships/hyperlink" Target="2020_01\21.01.2020\87146" TargetMode="External"/><Relationship Id="rId1137" Type="http://schemas.openxmlformats.org/officeDocument/2006/relationships/hyperlink" Target="2020_02\06.02.2020\88904" TargetMode="External"/><Relationship Id="rId1344" Type="http://schemas.openxmlformats.org/officeDocument/2006/relationships/hyperlink" Target="2020_02/27.02.2020/16606" TargetMode="External"/><Relationship Id="rId1551" Type="http://schemas.openxmlformats.org/officeDocument/2006/relationships/hyperlink" Target="2020_03\17.03.2020\27072" TargetMode="External"/><Relationship Id="rId1789" Type="http://schemas.openxmlformats.org/officeDocument/2006/relationships/hyperlink" Target="2020_04/08.04.2020/28210" TargetMode="External"/><Relationship Id="rId1996" Type="http://schemas.openxmlformats.org/officeDocument/2006/relationships/hyperlink" Target="2020_05/22.05.2020/36986" TargetMode="External"/><Relationship Id="rId2602" Type="http://schemas.openxmlformats.org/officeDocument/2006/relationships/hyperlink" Target="2020_06/25.06.2020/69873" TargetMode="External"/><Relationship Id="rId50" Type="http://schemas.openxmlformats.org/officeDocument/2006/relationships/hyperlink" Target="https://smp.sfurf.office/sd/operator/" TargetMode="External"/><Relationship Id="rId1204" Type="http://schemas.openxmlformats.org/officeDocument/2006/relationships/hyperlink" Target="2020_02/11.02.2020/90972" TargetMode="External"/><Relationship Id="rId1411" Type="http://schemas.openxmlformats.org/officeDocument/2006/relationships/hyperlink" Target="2020_03/03.03.2020/10820" TargetMode="External"/><Relationship Id="rId1649" Type="http://schemas.openxmlformats.org/officeDocument/2006/relationships/hyperlink" Target="2020_03\24.03.2020\22838" TargetMode="External"/><Relationship Id="rId1856" Type="http://schemas.openxmlformats.org/officeDocument/2006/relationships/hyperlink" Target="2020_05\12.05.2020\38770" TargetMode="External"/><Relationship Id="rId2907" Type="http://schemas.openxmlformats.org/officeDocument/2006/relationships/hyperlink" Target="2020_08/07.08.2020/93095" TargetMode="External"/><Relationship Id="rId3071" Type="http://schemas.openxmlformats.org/officeDocument/2006/relationships/hyperlink" Target="2020_08/21.08.2020/102013" TargetMode="External"/><Relationship Id="rId1509" Type="http://schemas.openxmlformats.org/officeDocument/2006/relationships/hyperlink" Target="2020_03\12.03.2020\15224" TargetMode="External"/><Relationship Id="rId1716" Type="http://schemas.openxmlformats.org/officeDocument/2006/relationships/hyperlink" Target="2020_04\06.04.2020\26518" TargetMode="External"/><Relationship Id="rId1923" Type="http://schemas.openxmlformats.org/officeDocument/2006/relationships/hyperlink" Target="2020_05/19.05.2020/33637" TargetMode="External"/><Relationship Id="rId3169" Type="http://schemas.openxmlformats.org/officeDocument/2006/relationships/hyperlink" Target="2020_09\01.09.2020\107482" TargetMode="External"/><Relationship Id="rId3376" Type="http://schemas.openxmlformats.org/officeDocument/2006/relationships/hyperlink" Target="2020_09/22.09.2020/119611" TargetMode="External"/><Relationship Id="rId3583" Type="http://schemas.openxmlformats.org/officeDocument/2006/relationships/hyperlink" Target="2020_10\05.10.2020\134099" TargetMode="External"/><Relationship Id="rId297" Type="http://schemas.openxmlformats.org/officeDocument/2006/relationships/hyperlink" Target="2019_11\14.11.2019\51370" TargetMode="External"/><Relationship Id="rId2185" Type="http://schemas.openxmlformats.org/officeDocument/2006/relationships/hyperlink" Target="2020_06\05.06.2020\43197" TargetMode="External"/><Relationship Id="rId2392" Type="http://schemas.openxmlformats.org/officeDocument/2006/relationships/hyperlink" Target="2020_06/16.06.2020/57094" TargetMode="External"/><Relationship Id="rId3029" Type="http://schemas.openxmlformats.org/officeDocument/2006/relationships/hyperlink" Target="2020_08/17.08.2020/98423" TargetMode="External"/><Relationship Id="rId3236" Type="http://schemas.openxmlformats.org/officeDocument/2006/relationships/hyperlink" Target="2020_09/10.09.2020/120798" TargetMode="External"/><Relationship Id="rId3790" Type="http://schemas.openxmlformats.org/officeDocument/2006/relationships/hyperlink" Target="2020_11\06.11.2020\144121" TargetMode="External"/><Relationship Id="rId3888" Type="http://schemas.openxmlformats.org/officeDocument/2006/relationships/hyperlink" Target="2020_11/18.11.2020/150327" TargetMode="External"/><Relationship Id="rId157" Type="http://schemas.openxmlformats.org/officeDocument/2006/relationships/hyperlink" Target="2019_10\24.10.2019\40767" TargetMode="External"/><Relationship Id="rId364" Type="http://schemas.openxmlformats.org/officeDocument/2006/relationships/hyperlink" Target="https://smp.sfurf.office/sd/operator/" TargetMode="External"/><Relationship Id="rId2045" Type="http://schemas.openxmlformats.org/officeDocument/2006/relationships/hyperlink" Target="2020_05/27.05.2020/50721" TargetMode="External"/><Relationship Id="rId2697" Type="http://schemas.openxmlformats.org/officeDocument/2006/relationships/hyperlink" Target="2020_07/02.07.2020/73777" TargetMode="External"/><Relationship Id="rId3443" Type="http://schemas.openxmlformats.org/officeDocument/2006/relationships/hyperlink" Target="2020_09/23.09.2020/127941" TargetMode="External"/><Relationship Id="rId3650" Type="http://schemas.openxmlformats.org/officeDocument/2006/relationships/hyperlink" Target="2020_10/12.10.2020/137294" TargetMode="External"/><Relationship Id="rId3748" Type="http://schemas.openxmlformats.org/officeDocument/2006/relationships/hyperlink" Target="2020_11/03.11.2020/142410" TargetMode="External"/><Relationship Id="rId571" Type="http://schemas.openxmlformats.org/officeDocument/2006/relationships/hyperlink" Target="2019_12\19.12.2019\65196" TargetMode="External"/><Relationship Id="rId669" Type="http://schemas.openxmlformats.org/officeDocument/2006/relationships/hyperlink" Target="2019_12/26.12.2019/55919" TargetMode="External"/><Relationship Id="rId876" Type="http://schemas.openxmlformats.org/officeDocument/2006/relationships/hyperlink" Target="2020_01/17.01.2020/77082" TargetMode="External"/><Relationship Id="rId1299" Type="http://schemas.openxmlformats.org/officeDocument/2006/relationships/hyperlink" Target="2020_02/25.02.2020/14427" TargetMode="External"/><Relationship Id="rId2252" Type="http://schemas.openxmlformats.org/officeDocument/2006/relationships/hyperlink" Target="2020_06/01.06.2020/62336" TargetMode="External"/><Relationship Id="rId2557" Type="http://schemas.openxmlformats.org/officeDocument/2006/relationships/hyperlink" Target="2020_06/23.06.2020/69190" TargetMode="External"/><Relationship Id="rId3303" Type="http://schemas.openxmlformats.org/officeDocument/2006/relationships/hyperlink" Target="2020_09/15.09.2020/114916" TargetMode="External"/><Relationship Id="rId3510" Type="http://schemas.openxmlformats.org/officeDocument/2006/relationships/hyperlink" Target="2020_09/30.09.2020/124200" TargetMode="External"/><Relationship Id="rId3608" Type="http://schemas.openxmlformats.org/officeDocument/2006/relationships/hyperlink" Target="2020_10/09.10.2020/136707" TargetMode="External"/><Relationship Id="rId3955" Type="http://schemas.openxmlformats.org/officeDocument/2006/relationships/hyperlink" Target="2020_12\14.12.2020\160383" TargetMode="External"/><Relationship Id="rId224" Type="http://schemas.openxmlformats.org/officeDocument/2006/relationships/hyperlink" Target="2019_10\07.10.2019\17626" TargetMode="External"/><Relationship Id="rId431" Type="http://schemas.openxmlformats.org/officeDocument/2006/relationships/hyperlink" Target="https://smp.sfurf.office/sd/operator/" TargetMode="External"/><Relationship Id="rId529" Type="http://schemas.openxmlformats.org/officeDocument/2006/relationships/hyperlink" Target="2019_12\16.12.2019\70169" TargetMode="External"/><Relationship Id="rId736" Type="http://schemas.openxmlformats.org/officeDocument/2006/relationships/hyperlink" Target="2019_12/31.12.2019/79597" TargetMode="External"/><Relationship Id="rId1061" Type="http://schemas.openxmlformats.org/officeDocument/2006/relationships/hyperlink" Target="2020_01/31.01.2020/86045" TargetMode="External"/><Relationship Id="rId1159" Type="http://schemas.openxmlformats.org/officeDocument/2006/relationships/hyperlink" Target="2020_02\10.02.2020\89955" TargetMode="External"/><Relationship Id="rId1366" Type="http://schemas.openxmlformats.org/officeDocument/2006/relationships/hyperlink" Target="2020_02/28.02.2020/-9170" TargetMode="External"/><Relationship Id="rId2112" Type="http://schemas.openxmlformats.org/officeDocument/2006/relationships/hyperlink" Target="2020_06\01.06.2020\51313" TargetMode="External"/><Relationship Id="rId2417" Type="http://schemas.openxmlformats.org/officeDocument/2006/relationships/hyperlink" Target="2020_06/16.06.2020/64467" TargetMode="External"/><Relationship Id="rId2764" Type="http://schemas.openxmlformats.org/officeDocument/2006/relationships/hyperlink" Target="2020_07\09.07.2020\84339" TargetMode="External"/><Relationship Id="rId2971" Type="http://schemas.openxmlformats.org/officeDocument/2006/relationships/hyperlink" Target="2020_08\12.08.2020\04189" TargetMode="External"/><Relationship Id="rId3815" Type="http://schemas.openxmlformats.org/officeDocument/2006/relationships/hyperlink" Target="2020_11/10.11.2020/145515" TargetMode="External"/><Relationship Id="rId943" Type="http://schemas.openxmlformats.org/officeDocument/2006/relationships/hyperlink" Target="2020_01/21.01.2020/87964" TargetMode="External"/><Relationship Id="rId1019" Type="http://schemas.openxmlformats.org/officeDocument/2006/relationships/hyperlink" Target="2020_01\29.01.2020\83264" TargetMode="External"/><Relationship Id="rId1573" Type="http://schemas.openxmlformats.org/officeDocument/2006/relationships/hyperlink" Target="2020_03\18.03.2020\19363" TargetMode="External"/><Relationship Id="rId1780" Type="http://schemas.openxmlformats.org/officeDocument/2006/relationships/hyperlink" Target="2020_04\09.04.2020\39326" TargetMode="External"/><Relationship Id="rId1878" Type="http://schemas.openxmlformats.org/officeDocument/2006/relationships/hyperlink" Target="2020_05/15.05.2020/41820" TargetMode="External"/><Relationship Id="rId2624" Type="http://schemas.openxmlformats.org/officeDocument/2006/relationships/hyperlink" Target="2020_06\25.06.2020\76974" TargetMode="External"/><Relationship Id="rId2831" Type="http://schemas.openxmlformats.org/officeDocument/2006/relationships/hyperlink" Target="2020_08/03.08.2020/90396" TargetMode="External"/><Relationship Id="rId2929" Type="http://schemas.openxmlformats.org/officeDocument/2006/relationships/hyperlink" Target="2020_08\10.08.2020\95203" TargetMode="External"/><Relationship Id="rId72" Type="http://schemas.openxmlformats.org/officeDocument/2006/relationships/hyperlink" Target="https://smp.sfurf.office/sd/operator/index.jsp;jsessionid=4B56FDB405CD332F2E4AE6AEC0BFEE05" TargetMode="External"/><Relationship Id="rId803" Type="http://schemas.openxmlformats.org/officeDocument/2006/relationships/hyperlink" Target="2020_01/13.01.2020/81860" TargetMode="External"/><Relationship Id="rId1226" Type="http://schemas.openxmlformats.org/officeDocument/2006/relationships/hyperlink" Target="2020_02/12.02.2020/-8296" TargetMode="External"/><Relationship Id="rId1433" Type="http://schemas.openxmlformats.org/officeDocument/2006/relationships/hyperlink" Target="2020_03\05.03.2020\12602" TargetMode="External"/><Relationship Id="rId1640" Type="http://schemas.openxmlformats.org/officeDocument/2006/relationships/hyperlink" Target="2020_03\24.03.2020\23172" TargetMode="External"/><Relationship Id="rId1738" Type="http://schemas.openxmlformats.org/officeDocument/2006/relationships/hyperlink" Target="2020_04\07.04.2020\36216" TargetMode="External"/><Relationship Id="rId3093" Type="http://schemas.openxmlformats.org/officeDocument/2006/relationships/hyperlink" Target="2020_08/25.08.2020/111368" TargetMode="External"/><Relationship Id="rId1500" Type="http://schemas.openxmlformats.org/officeDocument/2006/relationships/hyperlink" Target="2020_03\11.03.2020\14540" TargetMode="External"/><Relationship Id="rId1945" Type="http://schemas.openxmlformats.org/officeDocument/2006/relationships/hyperlink" Target="2020_05/21.05.2020/26104" TargetMode="External"/><Relationship Id="rId3160" Type="http://schemas.openxmlformats.org/officeDocument/2006/relationships/hyperlink" Target="2020_09/01.09.2020/107536" TargetMode="External"/><Relationship Id="rId3398" Type="http://schemas.openxmlformats.org/officeDocument/2006/relationships/hyperlink" Target="2020_09/23.09.2020/120265" TargetMode="External"/><Relationship Id="rId1805" Type="http://schemas.openxmlformats.org/officeDocument/2006/relationships/hyperlink" Target="2020_05/13.05.2020/30955" TargetMode="External"/><Relationship Id="rId3020" Type="http://schemas.openxmlformats.org/officeDocument/2006/relationships/hyperlink" Target="2020_08/20.08.2020/00586" TargetMode="External"/><Relationship Id="rId3258" Type="http://schemas.openxmlformats.org/officeDocument/2006/relationships/hyperlink" Target="2020_09/14.09.2020/114278" TargetMode="External"/><Relationship Id="rId3465" Type="http://schemas.openxmlformats.org/officeDocument/2006/relationships/hyperlink" Target="2020_09/25.09.2020/128911" TargetMode="External"/><Relationship Id="rId3672" Type="http://schemas.openxmlformats.org/officeDocument/2006/relationships/hyperlink" Target="2020_10/13.10.2020/130909" TargetMode="External"/><Relationship Id="rId179" Type="http://schemas.openxmlformats.org/officeDocument/2006/relationships/hyperlink" Target="2019_11\12.11.2019\42131" TargetMode="External"/><Relationship Id="rId386" Type="http://schemas.openxmlformats.org/officeDocument/2006/relationships/hyperlink" Target="https://smp.sfurf.office/sd/operator/" TargetMode="External"/><Relationship Id="rId593" Type="http://schemas.openxmlformats.org/officeDocument/2006/relationships/hyperlink" Target="2019_12\20.12.2019\65688" TargetMode="External"/><Relationship Id="rId2067" Type="http://schemas.openxmlformats.org/officeDocument/2006/relationships/hyperlink" Target="2020_05/12.05.2020/49762" TargetMode="External"/><Relationship Id="rId2274" Type="http://schemas.openxmlformats.org/officeDocument/2006/relationships/hyperlink" Target="2020_06/16.06.2020/51354" TargetMode="External"/><Relationship Id="rId2481" Type="http://schemas.openxmlformats.org/officeDocument/2006/relationships/hyperlink" Target="2020_06/16.06.2020/64461" TargetMode="External"/><Relationship Id="rId3118" Type="http://schemas.openxmlformats.org/officeDocument/2006/relationships/hyperlink" Target="2020_08/27.08.2020/104814" TargetMode="External"/><Relationship Id="rId3325" Type="http://schemas.openxmlformats.org/officeDocument/2006/relationships/hyperlink" Target="2020_09/18.09.2020/110243" TargetMode="External"/><Relationship Id="rId3532" Type="http://schemas.openxmlformats.org/officeDocument/2006/relationships/hyperlink" Target="2020_10/02.10.2020/132937" TargetMode="External"/><Relationship Id="rId3977" Type="http://schemas.openxmlformats.org/officeDocument/2006/relationships/hyperlink" Target="2020_12/17.12.2020/175129" TargetMode="External"/><Relationship Id="rId246" Type="http://schemas.openxmlformats.org/officeDocument/2006/relationships/hyperlink" Target="https://smp.sfurf.office/sd/operator/" TargetMode="External"/><Relationship Id="rId453" Type="http://schemas.openxmlformats.org/officeDocument/2006/relationships/hyperlink" Target="https://smp.sfurf.office/sd/operator/index.jsp;jsessionid=4B56FDB405CD332F2E4AE6AEC0BFEE05" TargetMode="External"/><Relationship Id="rId660" Type="http://schemas.openxmlformats.org/officeDocument/2006/relationships/hyperlink" Target="2019_12\25.12.2019\59201" TargetMode="External"/><Relationship Id="rId898" Type="http://schemas.openxmlformats.org/officeDocument/2006/relationships/hyperlink" Target="2020_01\20.01.2020\77899" TargetMode="External"/><Relationship Id="rId1083" Type="http://schemas.openxmlformats.org/officeDocument/2006/relationships/hyperlink" Target="2020_02\03.02.2020\-1831" TargetMode="External"/><Relationship Id="rId1290" Type="http://schemas.openxmlformats.org/officeDocument/2006/relationships/hyperlink" Target="2020_02\21.02.2020\13844" TargetMode="External"/><Relationship Id="rId2134" Type="http://schemas.openxmlformats.org/officeDocument/2006/relationships/hyperlink" Target="2020_06/05.06.2020/43132" TargetMode="External"/><Relationship Id="rId2341" Type="http://schemas.openxmlformats.org/officeDocument/2006/relationships/hyperlink" Target="2020_06/16.06.2020/52029" TargetMode="External"/><Relationship Id="rId2579" Type="http://schemas.openxmlformats.org/officeDocument/2006/relationships/hyperlink" Target="2020_06/23.06.2020/64362" TargetMode="External"/><Relationship Id="rId2786" Type="http://schemas.openxmlformats.org/officeDocument/2006/relationships/hyperlink" Target="2020_07/27.07.2020/86482" TargetMode="External"/><Relationship Id="rId2993" Type="http://schemas.openxmlformats.org/officeDocument/2006/relationships/hyperlink" Target="2020_08/14.08.2020/98333" TargetMode="External"/><Relationship Id="rId3837" Type="http://schemas.openxmlformats.org/officeDocument/2006/relationships/hyperlink" Target="2020_11\13.11.2020\155397" TargetMode="External"/><Relationship Id="rId106" Type="http://schemas.openxmlformats.org/officeDocument/2006/relationships/hyperlink" Target="..\Users\shilyaevan\AppData\Roaming\Microsoft\Excel\2019_10\18.10.2019\37747" TargetMode="External"/><Relationship Id="rId313" Type="http://schemas.openxmlformats.org/officeDocument/2006/relationships/hyperlink" Target="https://smp.sfurf.office/sd/operator/index.jsp;jsessionid=4B56FDB405CD332F2E4AE6AEC0BFEE05" TargetMode="External"/><Relationship Id="rId758" Type="http://schemas.openxmlformats.org/officeDocument/2006/relationships/hyperlink" Target="2019_12/31.12.2019/79907" TargetMode="External"/><Relationship Id="rId965" Type="http://schemas.openxmlformats.org/officeDocument/2006/relationships/hyperlink" Target="2020_01/24.01.2020/89494" TargetMode="External"/><Relationship Id="rId1150" Type="http://schemas.openxmlformats.org/officeDocument/2006/relationships/hyperlink" Target="2020_02\07.02.2020\-4874" TargetMode="External"/><Relationship Id="rId1388" Type="http://schemas.openxmlformats.org/officeDocument/2006/relationships/hyperlink" Target="2020_03\02.03.2020\10174" TargetMode="External"/><Relationship Id="rId1595" Type="http://schemas.openxmlformats.org/officeDocument/2006/relationships/hyperlink" Target="2020_03/19.03.2020/19657" TargetMode="External"/><Relationship Id="rId2439" Type="http://schemas.openxmlformats.org/officeDocument/2006/relationships/hyperlink" Target="2020_06/16.06.2020/64887" TargetMode="External"/><Relationship Id="rId2646" Type="http://schemas.openxmlformats.org/officeDocument/2006/relationships/hyperlink" Target="2020_06\26.06.2020\41725" TargetMode="External"/><Relationship Id="rId2853" Type="http://schemas.openxmlformats.org/officeDocument/2006/relationships/hyperlink" Target="2020_08/03.08.2020/91165" TargetMode="External"/><Relationship Id="rId3904" Type="http://schemas.openxmlformats.org/officeDocument/2006/relationships/hyperlink" Target="2020_11/17.11.2020/156956" TargetMode="External"/><Relationship Id="rId94" Type="http://schemas.openxmlformats.org/officeDocument/2006/relationships/hyperlink" Target="..\Users\shilyaevan\AppData\Roaming\Microsoft\Excel\2019_10\17.10.2019\37189" TargetMode="External"/><Relationship Id="rId520" Type="http://schemas.openxmlformats.org/officeDocument/2006/relationships/hyperlink" Target="2019_12\16.12.2019\71719" TargetMode="External"/><Relationship Id="rId618" Type="http://schemas.openxmlformats.org/officeDocument/2006/relationships/hyperlink" Target="2019_12\24.12.2019\75945" TargetMode="External"/><Relationship Id="rId825" Type="http://schemas.openxmlformats.org/officeDocument/2006/relationships/hyperlink" Target="2019_01/14.01.2019/75457" TargetMode="External"/><Relationship Id="rId1248" Type="http://schemas.openxmlformats.org/officeDocument/2006/relationships/hyperlink" Target="2020_02/19.02.2020/-3749" TargetMode="External"/><Relationship Id="rId1455" Type="http://schemas.openxmlformats.org/officeDocument/2006/relationships/hyperlink" Target="2020_03/06.03.2020/13129" TargetMode="External"/><Relationship Id="rId1662" Type="http://schemas.openxmlformats.org/officeDocument/2006/relationships/hyperlink" Target="2020_03\25.03.2020\33148" TargetMode="External"/><Relationship Id="rId2201" Type="http://schemas.openxmlformats.org/officeDocument/2006/relationships/hyperlink" Target="2020_06/15.06.2020/48732" TargetMode="External"/><Relationship Id="rId2506" Type="http://schemas.openxmlformats.org/officeDocument/2006/relationships/hyperlink" Target="2020_06/17.06.2020/73464" TargetMode="External"/><Relationship Id="rId1010" Type="http://schemas.openxmlformats.org/officeDocument/2006/relationships/hyperlink" Target="2020_01\28.01.2020\90728" TargetMode="External"/><Relationship Id="rId1108" Type="http://schemas.openxmlformats.org/officeDocument/2006/relationships/hyperlink" Target="2020_02\04.02.2020\87480" TargetMode="External"/><Relationship Id="rId1315" Type="http://schemas.openxmlformats.org/officeDocument/2006/relationships/hyperlink" Target="2020_02/26.02.2020/-7584" TargetMode="External"/><Relationship Id="rId1967" Type="http://schemas.openxmlformats.org/officeDocument/2006/relationships/hyperlink" Target="2020_05\22.05.2020\46372" TargetMode="External"/><Relationship Id="rId2713" Type="http://schemas.openxmlformats.org/officeDocument/2006/relationships/hyperlink" Target="2020_07\07.07.2020\75576" TargetMode="External"/><Relationship Id="rId2920" Type="http://schemas.openxmlformats.org/officeDocument/2006/relationships/hyperlink" Target="2020_08/07.08.2020/01527" TargetMode="External"/><Relationship Id="rId1522" Type="http://schemas.openxmlformats.org/officeDocument/2006/relationships/hyperlink" Target="2020_03/13.03.2020/16640" TargetMode="External"/><Relationship Id="rId21" Type="http://schemas.openxmlformats.org/officeDocument/2006/relationships/hyperlink" Target="https://smp.sfurf.office/sd/operator/index.jsp;jsessionid=4B56FDB405CD332F2E4AE6AEC0BFEE05" TargetMode="External"/><Relationship Id="rId2089" Type="http://schemas.openxmlformats.org/officeDocument/2006/relationships/hyperlink" Target="2020_07/02.07.2020/61592" TargetMode="External"/><Relationship Id="rId3487" Type="http://schemas.openxmlformats.org/officeDocument/2006/relationships/hyperlink" Target="2020_09/29.09.2020/123199" TargetMode="External"/><Relationship Id="rId3694" Type="http://schemas.openxmlformats.org/officeDocument/2006/relationships/hyperlink" Target="2020_10/13.10.2020/138615" TargetMode="External"/><Relationship Id="rId2296" Type="http://schemas.openxmlformats.org/officeDocument/2006/relationships/hyperlink" Target="2020_06/16.06.2020/50647" TargetMode="External"/><Relationship Id="rId3347" Type="http://schemas.openxmlformats.org/officeDocument/2006/relationships/hyperlink" Target="2020_09/14.09.2020/122781" TargetMode="External"/><Relationship Id="rId3554" Type="http://schemas.openxmlformats.org/officeDocument/2006/relationships/hyperlink" Target="2020_10/05.10.2020/133273" TargetMode="External"/><Relationship Id="rId3761" Type="http://schemas.openxmlformats.org/officeDocument/2006/relationships/hyperlink" Target="2020_11/05.11.2020/142869" TargetMode="External"/><Relationship Id="rId268" Type="http://schemas.openxmlformats.org/officeDocument/2006/relationships/hyperlink" Target="2019_11\07.11.2019\47531" TargetMode="External"/><Relationship Id="rId475" Type="http://schemas.openxmlformats.org/officeDocument/2006/relationships/hyperlink" Target="2019_12\11.12.2019\59775" TargetMode="External"/><Relationship Id="rId682" Type="http://schemas.openxmlformats.org/officeDocument/2006/relationships/hyperlink" Target="2019_12/27.12.2019/61067" TargetMode="External"/><Relationship Id="rId2156" Type="http://schemas.openxmlformats.org/officeDocument/2006/relationships/hyperlink" Target="2020_06/01.06.2020/65041" TargetMode="External"/><Relationship Id="rId2363" Type="http://schemas.openxmlformats.org/officeDocument/2006/relationships/hyperlink" Target="2020_06/04.06.2020/42475" TargetMode="External"/><Relationship Id="rId2570" Type="http://schemas.openxmlformats.org/officeDocument/2006/relationships/hyperlink" Target="2020_06/23.06.2020/59149" TargetMode="External"/><Relationship Id="rId3207" Type="http://schemas.openxmlformats.org/officeDocument/2006/relationships/hyperlink" Target="2020_09\08.09.2020\111928" TargetMode="External"/><Relationship Id="rId3414" Type="http://schemas.openxmlformats.org/officeDocument/2006/relationships/hyperlink" Target="2020_09/23.09.2020/119123" TargetMode="External"/><Relationship Id="rId3621" Type="http://schemas.openxmlformats.org/officeDocument/2006/relationships/hyperlink" Target="2020_10\09.10.2020\128774" TargetMode="External"/><Relationship Id="rId128" Type="http://schemas.openxmlformats.org/officeDocument/2006/relationships/hyperlink" Target="2019_10\21.10.2019\38722" TargetMode="External"/><Relationship Id="rId335" Type="http://schemas.openxmlformats.org/officeDocument/2006/relationships/hyperlink" Target="2019_11\22.11.2019\56289" TargetMode="External"/><Relationship Id="rId542" Type="http://schemas.openxmlformats.org/officeDocument/2006/relationships/hyperlink" Target="2019_12\17.12.2019\63885" TargetMode="External"/><Relationship Id="rId1172" Type="http://schemas.openxmlformats.org/officeDocument/2006/relationships/hyperlink" Target="2020_02\10.02.2020\90388" TargetMode="External"/><Relationship Id="rId2016" Type="http://schemas.openxmlformats.org/officeDocument/2006/relationships/hyperlink" Target="2020_05/25.05.2020/38895" TargetMode="External"/><Relationship Id="rId2223" Type="http://schemas.openxmlformats.org/officeDocument/2006/relationships/hyperlink" Target="2020_06\01.06.2020\64513" TargetMode="External"/><Relationship Id="rId2430" Type="http://schemas.openxmlformats.org/officeDocument/2006/relationships/hyperlink" Target="2020_06/16.06.2020/64630" TargetMode="External"/><Relationship Id="rId402" Type="http://schemas.openxmlformats.org/officeDocument/2006/relationships/hyperlink" Target="2019_11\27.11.2019\50215" TargetMode="External"/><Relationship Id="rId1032" Type="http://schemas.openxmlformats.org/officeDocument/2006/relationships/hyperlink" Target="2020_01\29.01.2020\91537" TargetMode="External"/><Relationship Id="rId1989" Type="http://schemas.openxmlformats.org/officeDocument/2006/relationships/hyperlink" Target="2020_05\27.05.2020\49548" TargetMode="External"/><Relationship Id="rId1849" Type="http://schemas.openxmlformats.org/officeDocument/2006/relationships/hyperlink" Target="2020_05/15.05.2020/42399" TargetMode="External"/><Relationship Id="rId3064" Type="http://schemas.openxmlformats.org/officeDocument/2006/relationships/hyperlink" Target="2020_08\20.08.2020\101384" TargetMode="External"/><Relationship Id="rId192" Type="http://schemas.openxmlformats.org/officeDocument/2006/relationships/hyperlink" Target="2019_11\27.11.2019\42971" TargetMode="External"/><Relationship Id="rId1709" Type="http://schemas.openxmlformats.org/officeDocument/2006/relationships/hyperlink" Target="2020_04\06.04.2020\26926" TargetMode="External"/><Relationship Id="rId1916" Type="http://schemas.openxmlformats.org/officeDocument/2006/relationships/hyperlink" Target="2020_05\19.05.2020\34346" TargetMode="External"/><Relationship Id="rId3271" Type="http://schemas.openxmlformats.org/officeDocument/2006/relationships/hyperlink" Target="2020_09/15.09.2020/115482" TargetMode="External"/><Relationship Id="rId2080" Type="http://schemas.openxmlformats.org/officeDocument/2006/relationships/hyperlink" Target="2020_06/01.06.2020/58117" TargetMode="External"/><Relationship Id="rId3131" Type="http://schemas.openxmlformats.org/officeDocument/2006/relationships/hyperlink" Target="2020_08\27.08.2020\105093" TargetMode="External"/><Relationship Id="rId2897" Type="http://schemas.openxmlformats.org/officeDocument/2006/relationships/hyperlink" Target="2020_08/06.08.2020/92224" TargetMode="External"/><Relationship Id="rId3948" Type="http://schemas.openxmlformats.org/officeDocument/2006/relationships/hyperlink" Target="2020_12/14.12.2020/164398" TargetMode="External"/><Relationship Id="rId869" Type="http://schemas.openxmlformats.org/officeDocument/2006/relationships/hyperlink" Target="2020_01/16.01.2020/84917" TargetMode="External"/><Relationship Id="rId1499" Type="http://schemas.openxmlformats.org/officeDocument/2006/relationships/hyperlink" Target="2020_03\11.03.2020\23928" TargetMode="External"/><Relationship Id="rId729" Type="http://schemas.openxmlformats.org/officeDocument/2006/relationships/hyperlink" Target="2019_12/31.12.2019/72068" TargetMode="External"/><Relationship Id="rId1359" Type="http://schemas.openxmlformats.org/officeDocument/2006/relationships/hyperlink" Target="2020_02/27.02.2020/17274" TargetMode="External"/><Relationship Id="rId2757" Type="http://schemas.openxmlformats.org/officeDocument/2006/relationships/hyperlink" Target="2020_07\10.07.2020\78304" TargetMode="External"/><Relationship Id="rId2964" Type="http://schemas.openxmlformats.org/officeDocument/2006/relationships/hyperlink" Target="2020_08/07.08.2020/93403" TargetMode="External"/><Relationship Id="rId3808" Type="http://schemas.openxmlformats.org/officeDocument/2006/relationships/hyperlink" Target="2020_11/11.11.2020/146143" TargetMode="External"/><Relationship Id="rId936" Type="http://schemas.openxmlformats.org/officeDocument/2006/relationships/hyperlink" Target="2020_01/21.01.2020/79905" TargetMode="External"/><Relationship Id="rId1219" Type="http://schemas.openxmlformats.org/officeDocument/2006/relationships/hyperlink" Target="2020_02\12.02.2020\91849" TargetMode="External"/><Relationship Id="rId1566" Type="http://schemas.openxmlformats.org/officeDocument/2006/relationships/hyperlink" Target="2020_03\18.03.2020\28365" TargetMode="External"/><Relationship Id="rId1773" Type="http://schemas.openxmlformats.org/officeDocument/2006/relationships/hyperlink" Target="2020_04\06.04.2020\26398" TargetMode="External"/><Relationship Id="rId1980" Type="http://schemas.openxmlformats.org/officeDocument/2006/relationships/hyperlink" Target="2020_05/22.05.2020/47173" TargetMode="External"/><Relationship Id="rId2617" Type="http://schemas.openxmlformats.org/officeDocument/2006/relationships/hyperlink" Target="2020_06/29.06.2020/71896" TargetMode="External"/><Relationship Id="rId2824" Type="http://schemas.openxmlformats.org/officeDocument/2006/relationships/hyperlink" Target="2020_07/30.07.2020/97057" TargetMode="External"/><Relationship Id="rId65" Type="http://schemas.openxmlformats.org/officeDocument/2006/relationships/hyperlink" Target="https://smp.sfurf.office/sd/operator/" TargetMode="External"/><Relationship Id="rId1426" Type="http://schemas.openxmlformats.org/officeDocument/2006/relationships/hyperlink" Target="2020_03\04.03.2020\20380" TargetMode="External"/><Relationship Id="rId1633" Type="http://schemas.openxmlformats.org/officeDocument/2006/relationships/hyperlink" Target="2020_03\23.03.2020\30767" TargetMode="External"/><Relationship Id="rId1840" Type="http://schemas.openxmlformats.org/officeDocument/2006/relationships/hyperlink" Target="2020_05/15.05.2020/32330" TargetMode="External"/><Relationship Id="rId1700" Type="http://schemas.openxmlformats.org/officeDocument/2006/relationships/hyperlink" Target="2020_03\27.03.2020\25621" TargetMode="External"/><Relationship Id="rId3598" Type="http://schemas.openxmlformats.org/officeDocument/2006/relationships/hyperlink" Target="2020_10/07.10.2020/134980" TargetMode="External"/><Relationship Id="rId3458" Type="http://schemas.openxmlformats.org/officeDocument/2006/relationships/hyperlink" Target="2020_09\23.09.2020\127736" TargetMode="External"/><Relationship Id="rId3665" Type="http://schemas.openxmlformats.org/officeDocument/2006/relationships/hyperlink" Target="2020_10/13.10.2020/138130" TargetMode="External"/><Relationship Id="rId3872" Type="http://schemas.openxmlformats.org/officeDocument/2006/relationships/hyperlink" Target="2020_11\19.11.2020\159236" TargetMode="External"/><Relationship Id="rId379" Type="http://schemas.openxmlformats.org/officeDocument/2006/relationships/hyperlink" Target="2019_11\26.11.2019\57831" TargetMode="External"/><Relationship Id="rId586" Type="http://schemas.openxmlformats.org/officeDocument/2006/relationships/hyperlink" Target="2019_12\19.12.2019\73133" TargetMode="External"/><Relationship Id="rId793" Type="http://schemas.openxmlformats.org/officeDocument/2006/relationships/hyperlink" Target="2020_01\10.01.2020\73089" TargetMode="External"/><Relationship Id="rId2267" Type="http://schemas.openxmlformats.org/officeDocument/2006/relationships/hyperlink" Target="2020_06/16.06.2020/54844" TargetMode="External"/><Relationship Id="rId2474" Type="http://schemas.openxmlformats.org/officeDocument/2006/relationships/hyperlink" Target="2020_06/18.06.2020/66828" TargetMode="External"/><Relationship Id="rId2681" Type="http://schemas.openxmlformats.org/officeDocument/2006/relationships/hyperlink" Target="2020_07\03.07.2020\73966" TargetMode="External"/><Relationship Id="rId3318" Type="http://schemas.openxmlformats.org/officeDocument/2006/relationships/hyperlink" Target="2020_09/17.09.2020/124733" TargetMode="External"/><Relationship Id="rId3525" Type="http://schemas.openxmlformats.org/officeDocument/2006/relationships/hyperlink" Target="2020_09/28.09.2020/122187" TargetMode="External"/><Relationship Id="rId239" Type="http://schemas.openxmlformats.org/officeDocument/2006/relationships/hyperlink" Target="https://smp.sfurf.office/sd/operator/" TargetMode="External"/><Relationship Id="rId446" Type="http://schemas.openxmlformats.org/officeDocument/2006/relationships/hyperlink" Target="https://smp.sfurf.office/sd/operator/" TargetMode="External"/><Relationship Id="rId653" Type="http://schemas.openxmlformats.org/officeDocument/2006/relationships/hyperlink" Target="2019_12/25.12.2019/68043" TargetMode="External"/><Relationship Id="rId1076" Type="http://schemas.openxmlformats.org/officeDocument/2006/relationships/hyperlink" Target="2020_02/03.02.2020/-2083" TargetMode="External"/><Relationship Id="rId1283" Type="http://schemas.openxmlformats.org/officeDocument/2006/relationships/hyperlink" Target="2020_02/21.02.2020/14514" TargetMode="External"/><Relationship Id="rId1490" Type="http://schemas.openxmlformats.org/officeDocument/2006/relationships/hyperlink" Target="2020_03/11.03.2020/14909" TargetMode="External"/><Relationship Id="rId2127" Type="http://schemas.openxmlformats.org/officeDocument/2006/relationships/hyperlink" Target="2020_06/02.06.2020/40854" TargetMode="External"/><Relationship Id="rId2334" Type="http://schemas.openxmlformats.org/officeDocument/2006/relationships/hyperlink" Target="2020_06/16.06.2020/51607" TargetMode="External"/><Relationship Id="rId3732" Type="http://schemas.openxmlformats.org/officeDocument/2006/relationships/hyperlink" Target="2020_10\30.10.2020\140811" TargetMode="External"/><Relationship Id="rId306" Type="http://schemas.openxmlformats.org/officeDocument/2006/relationships/hyperlink" Target="2019_11\15.11.2019\52556" TargetMode="External"/><Relationship Id="rId860" Type="http://schemas.openxmlformats.org/officeDocument/2006/relationships/hyperlink" Target="2020_01/16.01.2020/84785" TargetMode="External"/><Relationship Id="rId1143" Type="http://schemas.openxmlformats.org/officeDocument/2006/relationships/hyperlink" Target="2020_02\07.02.2020\89626" TargetMode="External"/><Relationship Id="rId2541" Type="http://schemas.openxmlformats.org/officeDocument/2006/relationships/hyperlink" Target="2020_06/19.06.2020/75046" TargetMode="External"/><Relationship Id="rId513" Type="http://schemas.openxmlformats.org/officeDocument/2006/relationships/hyperlink" Target="2019_12/16.12.2019/57025" TargetMode="External"/><Relationship Id="rId720" Type="http://schemas.openxmlformats.org/officeDocument/2006/relationships/hyperlink" Target="2019_12/30.12.2019/78673" TargetMode="External"/><Relationship Id="rId1350" Type="http://schemas.openxmlformats.org/officeDocument/2006/relationships/hyperlink" Target="2020_02/27.02.2020/16668" TargetMode="External"/><Relationship Id="rId2401" Type="http://schemas.openxmlformats.org/officeDocument/2006/relationships/hyperlink" Target="2020_06/08.06.2020/69043" TargetMode="External"/><Relationship Id="rId1003" Type="http://schemas.openxmlformats.org/officeDocument/2006/relationships/hyperlink" Target="2020_01\28.01.2020\82925" TargetMode="External"/><Relationship Id="rId1210" Type="http://schemas.openxmlformats.org/officeDocument/2006/relationships/hyperlink" Target="2020_02\12.02.2020\91739" TargetMode="External"/><Relationship Id="rId3175" Type="http://schemas.openxmlformats.org/officeDocument/2006/relationships/hyperlink" Target="2020_09/03.09.2020/109598" TargetMode="External"/><Relationship Id="rId3382" Type="http://schemas.openxmlformats.org/officeDocument/2006/relationships/hyperlink" Target="2020_09\21.09.2020\118052" TargetMode="External"/><Relationship Id="rId2191" Type="http://schemas.openxmlformats.org/officeDocument/2006/relationships/hyperlink" Target="2020_06\16.06.2020\48882" TargetMode="External"/><Relationship Id="rId3035" Type="http://schemas.openxmlformats.org/officeDocument/2006/relationships/hyperlink" Target="2020_08\18.08.2020\95481" TargetMode="External"/><Relationship Id="rId3242" Type="http://schemas.openxmlformats.org/officeDocument/2006/relationships/hyperlink" Target="2020_09/11.09.2020/121532" TargetMode="External"/><Relationship Id="rId163" Type="http://schemas.openxmlformats.org/officeDocument/2006/relationships/hyperlink" Target="2019_11\11.11.2019\41539" TargetMode="External"/><Relationship Id="rId370" Type="http://schemas.openxmlformats.org/officeDocument/2006/relationships/hyperlink" Target="2019_11\25.11.2019\58341" TargetMode="External"/><Relationship Id="rId2051" Type="http://schemas.openxmlformats.org/officeDocument/2006/relationships/hyperlink" Target="2020_05/27.05.2020/50790" TargetMode="External"/><Relationship Id="rId3102" Type="http://schemas.openxmlformats.org/officeDocument/2006/relationships/hyperlink" Target="2020_08/21.08.2020/102436" TargetMode="External"/><Relationship Id="rId230" Type="http://schemas.openxmlformats.org/officeDocument/2006/relationships/hyperlink" Target="https://smp.sfurf.office/sd/operator/" TargetMode="External"/><Relationship Id="rId2868" Type="http://schemas.openxmlformats.org/officeDocument/2006/relationships/hyperlink" Target="2020_08/05.08.2020/91879" TargetMode="External"/><Relationship Id="rId3919" Type="http://schemas.openxmlformats.org/officeDocument/2006/relationships/hyperlink" Target="2020_11\19.11.2020\151250" TargetMode="External"/><Relationship Id="rId1677" Type="http://schemas.openxmlformats.org/officeDocument/2006/relationships/hyperlink" Target="2020_03\26.03.2020\24635" TargetMode="External"/><Relationship Id="rId1884" Type="http://schemas.openxmlformats.org/officeDocument/2006/relationships/hyperlink" Target="2020_05/18.05.2020/27789" TargetMode="External"/><Relationship Id="rId2728" Type="http://schemas.openxmlformats.org/officeDocument/2006/relationships/hyperlink" Target="2020_07/08.07.2020/83957" TargetMode="External"/><Relationship Id="rId2935" Type="http://schemas.openxmlformats.org/officeDocument/2006/relationships/hyperlink" Target="2020_08/11.08.2020/02818" TargetMode="External"/><Relationship Id="rId907" Type="http://schemas.openxmlformats.org/officeDocument/2006/relationships/hyperlink" Target="2020_01\20.01.2020\78380" TargetMode="External"/><Relationship Id="rId1537" Type="http://schemas.openxmlformats.org/officeDocument/2006/relationships/hyperlink" Target="2020_03\16.03.2020\17935" TargetMode="External"/><Relationship Id="rId1744" Type="http://schemas.openxmlformats.org/officeDocument/2006/relationships/hyperlink" Target="2020_04/07.04.2020/37393" TargetMode="External"/><Relationship Id="rId1951" Type="http://schemas.openxmlformats.org/officeDocument/2006/relationships/hyperlink" Target="2020_05/21.05.2020/35886" TargetMode="External"/><Relationship Id="rId36" Type="http://schemas.openxmlformats.org/officeDocument/2006/relationships/hyperlink" Target="https://smp.sfurf.office/sd/operator/" TargetMode="External"/><Relationship Id="rId1604" Type="http://schemas.openxmlformats.org/officeDocument/2006/relationships/hyperlink" Target="2020_03\20.03.2020\21267" TargetMode="External"/><Relationship Id="rId1811" Type="http://schemas.openxmlformats.org/officeDocument/2006/relationships/hyperlink" Target="2020_05\12.05.2020\28646" TargetMode="External"/><Relationship Id="rId3569" Type="http://schemas.openxmlformats.org/officeDocument/2006/relationships/hyperlink" Target="2020_10/06.10.2020/126918" TargetMode="External"/><Relationship Id="rId697" Type="http://schemas.openxmlformats.org/officeDocument/2006/relationships/hyperlink" Target="2019_12/27.12.2019/70687" TargetMode="External"/><Relationship Id="rId2378" Type="http://schemas.openxmlformats.org/officeDocument/2006/relationships/hyperlink" Target="2020_06/16.06.2020/54955" TargetMode="External"/><Relationship Id="rId3429" Type="http://schemas.openxmlformats.org/officeDocument/2006/relationships/hyperlink" Target="2020_09/21.09.2020/126285" TargetMode="External"/><Relationship Id="rId3776" Type="http://schemas.openxmlformats.org/officeDocument/2006/relationships/hyperlink" Target="2020_11\03.11.2020\137737" TargetMode="External"/><Relationship Id="rId3983" Type="http://schemas.openxmlformats.org/officeDocument/2006/relationships/hyperlink" Target="2020_12/18.12.2020/168104" TargetMode="External"/><Relationship Id="rId1187" Type="http://schemas.openxmlformats.org/officeDocument/2006/relationships/hyperlink" Target="2020_02\11.02.2020\90733" TargetMode="External"/><Relationship Id="rId2585" Type="http://schemas.openxmlformats.org/officeDocument/2006/relationships/hyperlink" Target="2020_06/25.06.2020/70454" TargetMode="External"/><Relationship Id="rId2792" Type="http://schemas.openxmlformats.org/officeDocument/2006/relationships/hyperlink" Target="2020_07/28.07.2020/86340" TargetMode="External"/><Relationship Id="rId3636" Type="http://schemas.openxmlformats.org/officeDocument/2006/relationships/hyperlink" Target="2020_10/12.10.2020/130343" TargetMode="External"/><Relationship Id="rId3843" Type="http://schemas.openxmlformats.org/officeDocument/2006/relationships/hyperlink" Target="2020_11/13.11.2020/139813" TargetMode="External"/><Relationship Id="rId557" Type="http://schemas.openxmlformats.org/officeDocument/2006/relationships/hyperlink" Target="2019_12\18.12.2019\72368" TargetMode="External"/><Relationship Id="rId764" Type="http://schemas.openxmlformats.org/officeDocument/2006/relationships/hyperlink" Target="2020_01/10.01.2020/81093" TargetMode="External"/><Relationship Id="rId971" Type="http://schemas.openxmlformats.org/officeDocument/2006/relationships/hyperlink" Target="2020_01\23.01.2020\88969" TargetMode="External"/><Relationship Id="rId1394" Type="http://schemas.openxmlformats.org/officeDocument/2006/relationships/hyperlink" Target="2020_03/03.03.2020/10089" TargetMode="External"/><Relationship Id="rId2238" Type="http://schemas.openxmlformats.org/officeDocument/2006/relationships/hyperlink" Target="2020_06/02.06.2020/66437" TargetMode="External"/><Relationship Id="rId2445" Type="http://schemas.openxmlformats.org/officeDocument/2006/relationships/hyperlink" Target="2020_06/16.06.2020/65714" TargetMode="External"/><Relationship Id="rId2652" Type="http://schemas.openxmlformats.org/officeDocument/2006/relationships/hyperlink" Target="2020_06/30.06.2020/72295" TargetMode="External"/><Relationship Id="rId3703" Type="http://schemas.openxmlformats.org/officeDocument/2006/relationships/hyperlink" Target="2020_10/12.10.2020/129972" TargetMode="External"/><Relationship Id="rId3910" Type="http://schemas.openxmlformats.org/officeDocument/2006/relationships/hyperlink" Target="2020_11\17.11.2020\156898" TargetMode="External"/><Relationship Id="rId417" Type="http://schemas.openxmlformats.org/officeDocument/2006/relationships/hyperlink" Target="2019_12\02.12.2019\61506" TargetMode="External"/><Relationship Id="rId624" Type="http://schemas.openxmlformats.org/officeDocument/2006/relationships/hyperlink" Target="2019_12\24.12.2019\75443" TargetMode="External"/><Relationship Id="rId831" Type="http://schemas.openxmlformats.org/officeDocument/2006/relationships/hyperlink" Target="2020_01\15.01.2020\83660" TargetMode="External"/><Relationship Id="rId1047" Type="http://schemas.openxmlformats.org/officeDocument/2006/relationships/hyperlink" Target="2020_01\30.01.2020\84409" TargetMode="External"/><Relationship Id="rId1254" Type="http://schemas.openxmlformats.org/officeDocument/2006/relationships/hyperlink" Target="2020_02/19.02.2020/-3901" TargetMode="External"/><Relationship Id="rId1461" Type="http://schemas.openxmlformats.org/officeDocument/2006/relationships/hyperlink" Target="2020_03\06.03.2020\22129" TargetMode="External"/><Relationship Id="rId2305" Type="http://schemas.openxmlformats.org/officeDocument/2006/relationships/hyperlink" Target="2020_06\01.06.2020\60880" TargetMode="External"/><Relationship Id="rId2512" Type="http://schemas.openxmlformats.org/officeDocument/2006/relationships/hyperlink" Target="2020_06\16.06.2020\65328" TargetMode="External"/><Relationship Id="rId1114" Type="http://schemas.openxmlformats.org/officeDocument/2006/relationships/hyperlink" Target="2020_02\05.02.2020\87668" TargetMode="External"/><Relationship Id="rId1321" Type="http://schemas.openxmlformats.org/officeDocument/2006/relationships/hyperlink" Target="2020_02/26.02.2020/-7484" TargetMode="External"/><Relationship Id="rId3079" Type="http://schemas.openxmlformats.org/officeDocument/2006/relationships/hyperlink" Target="2020_08/24.08.2020/110550" TargetMode="External"/><Relationship Id="rId3286" Type="http://schemas.openxmlformats.org/officeDocument/2006/relationships/hyperlink" Target="2020_09/15.09.2020/123186" TargetMode="External"/><Relationship Id="rId3493" Type="http://schemas.openxmlformats.org/officeDocument/2006/relationships/hyperlink" Target="2020_09/28.09.2020/129474" TargetMode="External"/><Relationship Id="rId2095" Type="http://schemas.openxmlformats.org/officeDocument/2006/relationships/hyperlink" Target="2020_06/08.06.2020/44691" TargetMode="External"/><Relationship Id="rId3146" Type="http://schemas.openxmlformats.org/officeDocument/2006/relationships/hyperlink" Target="2020_08/31.08.2020/106246" TargetMode="External"/><Relationship Id="rId3353" Type="http://schemas.openxmlformats.org/officeDocument/2006/relationships/hyperlink" Target="2020_09/21.09.2020/125886" TargetMode="External"/><Relationship Id="rId274" Type="http://schemas.openxmlformats.org/officeDocument/2006/relationships/hyperlink" Target="2019_11\08.11.2019\48715" TargetMode="External"/><Relationship Id="rId481" Type="http://schemas.openxmlformats.org/officeDocument/2006/relationships/hyperlink" Target="2019_12/11.12.2019/68473" TargetMode="External"/><Relationship Id="rId2162" Type="http://schemas.openxmlformats.org/officeDocument/2006/relationships/hyperlink" Target="2020_06/04.06.2020/42991" TargetMode="External"/><Relationship Id="rId3006" Type="http://schemas.openxmlformats.org/officeDocument/2006/relationships/hyperlink" Target="2020_08/17.08.2020/98870" TargetMode="External"/><Relationship Id="rId3560" Type="http://schemas.openxmlformats.org/officeDocument/2006/relationships/hyperlink" Target="2020_10/05.10.2020/126453" TargetMode="External"/><Relationship Id="rId134" Type="http://schemas.openxmlformats.org/officeDocument/2006/relationships/hyperlink" Target="2019_11\06.11.2019\32569" TargetMode="External"/><Relationship Id="rId3213" Type="http://schemas.openxmlformats.org/officeDocument/2006/relationships/hyperlink" Target="2020_09/08.09.2020/111882" TargetMode="External"/><Relationship Id="rId3420" Type="http://schemas.openxmlformats.org/officeDocument/2006/relationships/hyperlink" Target="2020_09/23.09.2020/120329" TargetMode="External"/><Relationship Id="rId341" Type="http://schemas.openxmlformats.org/officeDocument/2006/relationships/hyperlink" Target="https://smp.sfurf.office/sd/operator/" TargetMode="External"/><Relationship Id="rId2022" Type="http://schemas.openxmlformats.org/officeDocument/2006/relationships/hyperlink" Target="2020_05\27.05.2020\39137" TargetMode="External"/><Relationship Id="rId2979" Type="http://schemas.openxmlformats.org/officeDocument/2006/relationships/hyperlink" Target="2020_08/14.08.2020/97630" TargetMode="External"/><Relationship Id="rId201" Type="http://schemas.openxmlformats.org/officeDocument/2006/relationships/hyperlink" Target="2019_10\15.10.2019\35398" TargetMode="External"/><Relationship Id="rId1788" Type="http://schemas.openxmlformats.org/officeDocument/2006/relationships/hyperlink" Target="2020_04/08.04.2020/38309" TargetMode="External"/><Relationship Id="rId1995" Type="http://schemas.openxmlformats.org/officeDocument/2006/relationships/hyperlink" Target="2020_05/22.05.2020/46417" TargetMode="External"/><Relationship Id="rId2839" Type="http://schemas.openxmlformats.org/officeDocument/2006/relationships/hyperlink" Target="2020_07/31.07.2020/85286" TargetMode="External"/><Relationship Id="rId1648" Type="http://schemas.openxmlformats.org/officeDocument/2006/relationships/hyperlink" Target="2020_03\24.03.2020\32338" TargetMode="External"/><Relationship Id="rId1508" Type="http://schemas.openxmlformats.org/officeDocument/2006/relationships/hyperlink" Target="2020_03/11.03.2020/24526" TargetMode="External"/><Relationship Id="rId1855" Type="http://schemas.openxmlformats.org/officeDocument/2006/relationships/hyperlink" Target="2020_05/14.05.2020/31215" TargetMode="External"/><Relationship Id="rId2906" Type="http://schemas.openxmlformats.org/officeDocument/2006/relationships/hyperlink" Target="2020_08/06.08.2020/00986" TargetMode="External"/><Relationship Id="rId3070" Type="http://schemas.openxmlformats.org/officeDocument/2006/relationships/hyperlink" Target="2020_08/21.08.2020/102547" TargetMode="External"/><Relationship Id="rId1715" Type="http://schemas.openxmlformats.org/officeDocument/2006/relationships/hyperlink" Target="2020_04/06.04.2020/26185" TargetMode="External"/><Relationship Id="rId1922" Type="http://schemas.openxmlformats.org/officeDocument/2006/relationships/hyperlink" Target="2020_05/19.05.2020/43624" TargetMode="External"/><Relationship Id="rId3887" Type="http://schemas.openxmlformats.org/officeDocument/2006/relationships/hyperlink" Target="2020_11/18.11.2020/150307" TargetMode="External"/><Relationship Id="rId2489" Type="http://schemas.openxmlformats.org/officeDocument/2006/relationships/hyperlink" Target="2020_06/16.06.2020/64455" TargetMode="External"/><Relationship Id="rId2696" Type="http://schemas.openxmlformats.org/officeDocument/2006/relationships/hyperlink" Target="2020_07\03.07.2020\74210" TargetMode="External"/><Relationship Id="rId3747" Type="http://schemas.openxmlformats.org/officeDocument/2006/relationships/hyperlink" Target="2020_11/03.11.2020/142280" TargetMode="External"/><Relationship Id="rId3954" Type="http://schemas.openxmlformats.org/officeDocument/2006/relationships/hyperlink" Target="2020_12\11.12.2020\171291" TargetMode="External"/><Relationship Id="rId668" Type="http://schemas.openxmlformats.org/officeDocument/2006/relationships/hyperlink" Target="2019_12/26.12.2019/69945" TargetMode="External"/><Relationship Id="rId875" Type="http://schemas.openxmlformats.org/officeDocument/2006/relationships/hyperlink" Target="2020_01\17.01.2020\77075" TargetMode="External"/><Relationship Id="rId1298" Type="http://schemas.openxmlformats.org/officeDocument/2006/relationships/hyperlink" Target="2020_02/25.02.2020/14417" TargetMode="External"/><Relationship Id="rId2349" Type="http://schemas.openxmlformats.org/officeDocument/2006/relationships/hyperlink" Target="2020_06/16.06.2020/60881" TargetMode="External"/><Relationship Id="rId2556" Type="http://schemas.openxmlformats.org/officeDocument/2006/relationships/hyperlink" Target="2020_06/23.06.2020/50256" TargetMode="External"/><Relationship Id="rId2763" Type="http://schemas.openxmlformats.org/officeDocument/2006/relationships/hyperlink" Target="2020_07\10.07.2020\85728" TargetMode="External"/><Relationship Id="rId2970" Type="http://schemas.openxmlformats.org/officeDocument/2006/relationships/hyperlink" Target="2020_08/13.08.2020/87915" TargetMode="External"/><Relationship Id="rId3607" Type="http://schemas.openxmlformats.org/officeDocument/2006/relationships/hyperlink" Target="2020_10\08.10.2020\128481" TargetMode="External"/><Relationship Id="rId3814" Type="http://schemas.openxmlformats.org/officeDocument/2006/relationships/hyperlink" Target="2020_11\10.11.2020\145004" TargetMode="External"/><Relationship Id="rId528" Type="http://schemas.openxmlformats.org/officeDocument/2006/relationships/hyperlink" Target="2019_12\16.12.2019\70080" TargetMode="External"/><Relationship Id="rId735" Type="http://schemas.openxmlformats.org/officeDocument/2006/relationships/hyperlink" Target="2019_12\30.12.2019\70184" TargetMode="External"/><Relationship Id="rId942" Type="http://schemas.openxmlformats.org/officeDocument/2006/relationships/hyperlink" Target="2020_01/22.01.2020/87825" TargetMode="External"/><Relationship Id="rId1158" Type="http://schemas.openxmlformats.org/officeDocument/2006/relationships/hyperlink" Target="2020_02\10.02.2020\-6122" TargetMode="External"/><Relationship Id="rId1365" Type="http://schemas.openxmlformats.org/officeDocument/2006/relationships/hyperlink" Target="2020_02/28.02.2020/17577" TargetMode="External"/><Relationship Id="rId1572" Type="http://schemas.openxmlformats.org/officeDocument/2006/relationships/hyperlink" Target="2020_03\18.03.2020\19318" TargetMode="External"/><Relationship Id="rId2209" Type="http://schemas.openxmlformats.org/officeDocument/2006/relationships/hyperlink" Target="2020_06/01.06.2020/63665" TargetMode="External"/><Relationship Id="rId2416" Type="http://schemas.openxmlformats.org/officeDocument/2006/relationships/hyperlink" Target="2020_06/16.06.2020/61590" TargetMode="External"/><Relationship Id="rId2623" Type="http://schemas.openxmlformats.org/officeDocument/2006/relationships/hyperlink" Target="2020_06/25.06.2020/65776" TargetMode="External"/><Relationship Id="rId1018" Type="http://schemas.openxmlformats.org/officeDocument/2006/relationships/hyperlink" Target="2020_01\28.01.2020\91032" TargetMode="External"/><Relationship Id="rId1225" Type="http://schemas.openxmlformats.org/officeDocument/2006/relationships/hyperlink" Target="2020_02\12.02.2020\-8294" TargetMode="External"/><Relationship Id="rId1432" Type="http://schemas.openxmlformats.org/officeDocument/2006/relationships/hyperlink" Target="2020_03\05.03.2020\12493" TargetMode="External"/><Relationship Id="rId2830" Type="http://schemas.openxmlformats.org/officeDocument/2006/relationships/hyperlink" Target="2020_07/30.07.2020/97222" TargetMode="External"/><Relationship Id="rId71" Type="http://schemas.openxmlformats.org/officeDocument/2006/relationships/hyperlink" Target="https://smp.sfurf.office/sd/operator/index.jsp;jsessionid=4B56FDB405CD332F2E4AE6AEC0BFEE05" TargetMode="External"/><Relationship Id="rId802" Type="http://schemas.openxmlformats.org/officeDocument/2006/relationships/hyperlink" Target="2020_01/13.01.2020/74319" TargetMode="External"/><Relationship Id="rId3397" Type="http://schemas.openxmlformats.org/officeDocument/2006/relationships/hyperlink" Target="2020_09/23.09.2020/119529" TargetMode="External"/><Relationship Id="rId178" Type="http://schemas.openxmlformats.org/officeDocument/2006/relationships/hyperlink" Target="2019_10\28.10.2019\34683" TargetMode="External"/><Relationship Id="rId3257" Type="http://schemas.openxmlformats.org/officeDocument/2006/relationships/hyperlink" Target="2020_09/14.09.2020/114100" TargetMode="External"/><Relationship Id="rId3464" Type="http://schemas.openxmlformats.org/officeDocument/2006/relationships/hyperlink" Target="2020_09/25.09.2020/129110" TargetMode="External"/><Relationship Id="rId3671" Type="http://schemas.openxmlformats.org/officeDocument/2006/relationships/hyperlink" Target="2020_10/13.10.2020/119176" TargetMode="External"/><Relationship Id="rId385" Type="http://schemas.openxmlformats.org/officeDocument/2006/relationships/hyperlink" Target="2019_11\27.11.2019\60319" TargetMode="External"/><Relationship Id="rId592" Type="http://schemas.openxmlformats.org/officeDocument/2006/relationships/hyperlink" Target="2019_12\20.12.2019\74795" TargetMode="External"/><Relationship Id="rId2066" Type="http://schemas.openxmlformats.org/officeDocument/2006/relationships/hyperlink" Target="2020_06\01.06.2020\59596" TargetMode="External"/><Relationship Id="rId2273" Type="http://schemas.openxmlformats.org/officeDocument/2006/relationships/hyperlink" Target="2020_06/16.06.2020/51374" TargetMode="External"/><Relationship Id="rId2480" Type="http://schemas.openxmlformats.org/officeDocument/2006/relationships/hyperlink" Target="2020_06/16.06.2020/73042" TargetMode="External"/><Relationship Id="rId3117" Type="http://schemas.openxmlformats.org/officeDocument/2006/relationships/hyperlink" Target="2020_08/28.08.2020/113510" TargetMode="External"/><Relationship Id="rId3324" Type="http://schemas.openxmlformats.org/officeDocument/2006/relationships/hyperlink" Target="2020_09/17.09.2020/124624" TargetMode="External"/><Relationship Id="rId3531" Type="http://schemas.openxmlformats.org/officeDocument/2006/relationships/hyperlink" Target="2020_10/02.10.2020/124891" TargetMode="External"/><Relationship Id="rId245" Type="http://schemas.openxmlformats.org/officeDocument/2006/relationships/hyperlink" Target="https://smp.sfurf.office/sd/operator/" TargetMode="External"/><Relationship Id="rId452" Type="http://schemas.openxmlformats.org/officeDocument/2006/relationships/hyperlink" Target="https://smp.sfurf.office/sd/operator/" TargetMode="External"/><Relationship Id="rId1082" Type="http://schemas.openxmlformats.org/officeDocument/2006/relationships/hyperlink" Target="2020_02\03.02.2020\-1702" TargetMode="External"/><Relationship Id="rId2133" Type="http://schemas.openxmlformats.org/officeDocument/2006/relationships/hyperlink" Target="2020_06\09.06.2020\45518" TargetMode="External"/><Relationship Id="rId2340" Type="http://schemas.openxmlformats.org/officeDocument/2006/relationships/hyperlink" Target="2020_06/04.06.2020/67226" TargetMode="External"/><Relationship Id="rId105" Type="http://schemas.openxmlformats.org/officeDocument/2006/relationships/hyperlink" Target="2019_11\01.11.2019\37843" TargetMode="External"/><Relationship Id="rId312" Type="http://schemas.openxmlformats.org/officeDocument/2006/relationships/hyperlink" Target="2019_11\15.11.2019\55592" TargetMode="External"/><Relationship Id="rId2200" Type="http://schemas.openxmlformats.org/officeDocument/2006/relationships/hyperlink" Target="2020_06/11.06.2020/48255" TargetMode="External"/><Relationship Id="rId1899" Type="http://schemas.openxmlformats.org/officeDocument/2006/relationships/hyperlink" Target="2020_05\18.05.2020\32838" TargetMode="External"/><Relationship Id="rId1759" Type="http://schemas.openxmlformats.org/officeDocument/2006/relationships/hyperlink" Target="2020_04\08.04.2020\28182" TargetMode="External"/><Relationship Id="rId1966" Type="http://schemas.openxmlformats.org/officeDocument/2006/relationships/hyperlink" Target="2020_05/22.05.2020/46216" TargetMode="External"/><Relationship Id="rId3181" Type="http://schemas.openxmlformats.org/officeDocument/2006/relationships/hyperlink" Target="2020_09/03.09.2020/109805" TargetMode="External"/><Relationship Id="rId1619" Type="http://schemas.openxmlformats.org/officeDocument/2006/relationships/hyperlink" Target="2020_03\23.03.2020\31455" TargetMode="External"/><Relationship Id="rId1826" Type="http://schemas.openxmlformats.org/officeDocument/2006/relationships/hyperlink" Target="2020_05/06.05.2020/36208" TargetMode="External"/><Relationship Id="rId3041" Type="http://schemas.openxmlformats.org/officeDocument/2006/relationships/hyperlink" Target="2020_08/18.08.2020/99542" TargetMode="External"/><Relationship Id="rId3858" Type="http://schemas.openxmlformats.org/officeDocument/2006/relationships/hyperlink" Target="2020_11/16.11.2020/148851" TargetMode="External"/><Relationship Id="rId779" Type="http://schemas.openxmlformats.org/officeDocument/2006/relationships/hyperlink" Target="2020_01/09.01.2020/81213" TargetMode="External"/><Relationship Id="rId986" Type="http://schemas.openxmlformats.org/officeDocument/2006/relationships/hyperlink" Target="2020_01\27.01.2020\89679" TargetMode="External"/><Relationship Id="rId2667" Type="http://schemas.openxmlformats.org/officeDocument/2006/relationships/hyperlink" Target="2020_06/30.06.2020/79516" TargetMode="External"/><Relationship Id="rId3718" Type="http://schemas.openxmlformats.org/officeDocument/2006/relationships/hyperlink" Target="2020_10/16.10.2020/140524" TargetMode="External"/><Relationship Id="rId639" Type="http://schemas.openxmlformats.org/officeDocument/2006/relationships/hyperlink" Target="2019_12/24.12.2019/75634" TargetMode="External"/><Relationship Id="rId1269" Type="http://schemas.openxmlformats.org/officeDocument/2006/relationships/hyperlink" Target="2020_02\20.02.2020\13374" TargetMode="External"/><Relationship Id="rId1476" Type="http://schemas.openxmlformats.org/officeDocument/2006/relationships/hyperlink" Target="2020_03\10.03.2020\13856" TargetMode="External"/><Relationship Id="rId2874" Type="http://schemas.openxmlformats.org/officeDocument/2006/relationships/hyperlink" Target="2020_08/06.08.2020/00694" TargetMode="External"/><Relationship Id="rId3925" Type="http://schemas.openxmlformats.org/officeDocument/2006/relationships/hyperlink" Target="2020_12\09.12.2020\170184" TargetMode="External"/><Relationship Id="rId846" Type="http://schemas.openxmlformats.org/officeDocument/2006/relationships/hyperlink" Target="2020_01/15.01.2020/75500" TargetMode="External"/><Relationship Id="rId1129" Type="http://schemas.openxmlformats.org/officeDocument/2006/relationships/hyperlink" Target="2020_02\05.02.2020\-3527" TargetMode="External"/><Relationship Id="rId1683" Type="http://schemas.openxmlformats.org/officeDocument/2006/relationships/hyperlink" Target="2020_03/25.03.2020/32456" TargetMode="External"/><Relationship Id="rId1890" Type="http://schemas.openxmlformats.org/officeDocument/2006/relationships/hyperlink" Target="2020_05/20.05.2020/35426" TargetMode="External"/><Relationship Id="rId2527" Type="http://schemas.openxmlformats.org/officeDocument/2006/relationships/hyperlink" Target="2020_06\17.06.2020\73882" TargetMode="External"/><Relationship Id="rId2734" Type="http://schemas.openxmlformats.org/officeDocument/2006/relationships/hyperlink" Target="2020_07/09.07.2020/77495" TargetMode="External"/><Relationship Id="rId2941" Type="http://schemas.openxmlformats.org/officeDocument/2006/relationships/hyperlink" Target="2020_08/10.08.2020/95253" TargetMode="External"/><Relationship Id="rId706" Type="http://schemas.openxmlformats.org/officeDocument/2006/relationships/hyperlink" Target="2019_12/30.12.2019/79057" TargetMode="External"/><Relationship Id="rId913" Type="http://schemas.openxmlformats.org/officeDocument/2006/relationships/hyperlink" Target="2020_01/21.01.2020/79859" TargetMode="External"/><Relationship Id="rId1336" Type="http://schemas.openxmlformats.org/officeDocument/2006/relationships/hyperlink" Target="2020_02/27.02.2020/-8271" TargetMode="External"/><Relationship Id="rId1543" Type="http://schemas.openxmlformats.org/officeDocument/2006/relationships/hyperlink" Target="2020_03\16.03.2020\26756" TargetMode="External"/><Relationship Id="rId1750" Type="http://schemas.openxmlformats.org/officeDocument/2006/relationships/hyperlink" Target="2020_04/07.04.2020/27707" TargetMode="External"/><Relationship Id="rId2801" Type="http://schemas.openxmlformats.org/officeDocument/2006/relationships/hyperlink" Target="2020_07\28.07.2020\86324" TargetMode="External"/><Relationship Id="rId42" Type="http://schemas.openxmlformats.org/officeDocument/2006/relationships/hyperlink" Target="https://smp.sfurf.office/sd/operator/" TargetMode="External"/><Relationship Id="rId1403" Type="http://schemas.openxmlformats.org/officeDocument/2006/relationships/hyperlink" Target="2020_03\03.03.2020\-5785" TargetMode="External"/><Relationship Id="rId1610" Type="http://schemas.openxmlformats.org/officeDocument/2006/relationships/hyperlink" Target="2020_03/23.03.2020/21817" TargetMode="External"/><Relationship Id="rId3368" Type="http://schemas.openxmlformats.org/officeDocument/2006/relationships/hyperlink" Target="2020_09/22.09.2020/118962" TargetMode="External"/><Relationship Id="rId3575" Type="http://schemas.openxmlformats.org/officeDocument/2006/relationships/hyperlink" Target="2020_10/01.10.2020/124570" TargetMode="External"/><Relationship Id="rId3782" Type="http://schemas.openxmlformats.org/officeDocument/2006/relationships/hyperlink" Target="2020_11/06.11.2020/151433" TargetMode="External"/><Relationship Id="rId289" Type="http://schemas.openxmlformats.org/officeDocument/2006/relationships/hyperlink" Target="2019_11\26.11.2019\50089" TargetMode="External"/><Relationship Id="rId496" Type="http://schemas.openxmlformats.org/officeDocument/2006/relationships/hyperlink" Target="2019_12\12.12.2019\60346" TargetMode="External"/><Relationship Id="rId2177" Type="http://schemas.openxmlformats.org/officeDocument/2006/relationships/hyperlink" Target="2020_06/08.06.2020/44959" TargetMode="External"/><Relationship Id="rId2384" Type="http://schemas.openxmlformats.org/officeDocument/2006/relationships/hyperlink" Target="2020_06\10.06.2020\71325" TargetMode="External"/><Relationship Id="rId2591" Type="http://schemas.openxmlformats.org/officeDocument/2006/relationships/hyperlink" Target="2020_06/25.06.2020/69774" TargetMode="External"/><Relationship Id="rId3228" Type="http://schemas.openxmlformats.org/officeDocument/2006/relationships/hyperlink" Target="2020_09\07.09.2020\118047" TargetMode="External"/><Relationship Id="rId3435" Type="http://schemas.openxmlformats.org/officeDocument/2006/relationships/hyperlink" Target="2020_09/24.09.2020/121119" TargetMode="External"/><Relationship Id="rId3642" Type="http://schemas.openxmlformats.org/officeDocument/2006/relationships/hyperlink" Target="2020_10/12.10.2020/136542" TargetMode="External"/><Relationship Id="rId149" Type="http://schemas.openxmlformats.org/officeDocument/2006/relationships/hyperlink" Target="2019_10\24.10.2019\26018" TargetMode="External"/><Relationship Id="rId356" Type="http://schemas.openxmlformats.org/officeDocument/2006/relationships/hyperlink" Target="2019_11\21.11.2019\39984" TargetMode="External"/><Relationship Id="rId563" Type="http://schemas.openxmlformats.org/officeDocument/2006/relationships/hyperlink" Target="2019_12\19.12.2019\72890" TargetMode="External"/><Relationship Id="rId770" Type="http://schemas.openxmlformats.org/officeDocument/2006/relationships/hyperlink" Target="2020_01/09.01.2020/73198" TargetMode="External"/><Relationship Id="rId1193" Type="http://schemas.openxmlformats.org/officeDocument/2006/relationships/hyperlink" Target="2020_02\11.02.2020\-7252" TargetMode="External"/><Relationship Id="rId2037" Type="http://schemas.openxmlformats.org/officeDocument/2006/relationships/hyperlink" Target="2020_05/27.05.2020/39579" TargetMode="External"/><Relationship Id="rId2244" Type="http://schemas.openxmlformats.org/officeDocument/2006/relationships/hyperlink" Target="2020_06/16.06.2020/60878" TargetMode="External"/><Relationship Id="rId2451" Type="http://schemas.openxmlformats.org/officeDocument/2006/relationships/hyperlink" Target="2020_06\15.06.2020\72222" TargetMode="External"/><Relationship Id="rId216" Type="http://schemas.openxmlformats.org/officeDocument/2006/relationships/hyperlink" Target="https://smp.sfurf.office/sd/operator/" TargetMode="External"/><Relationship Id="rId423" Type="http://schemas.openxmlformats.org/officeDocument/2006/relationships/hyperlink" Target="2019_12\04.12.2019\64007" TargetMode="External"/><Relationship Id="rId1053" Type="http://schemas.openxmlformats.org/officeDocument/2006/relationships/hyperlink" Target="2020_01\31.01.2020\0-926" TargetMode="External"/><Relationship Id="rId1260" Type="http://schemas.openxmlformats.org/officeDocument/2006/relationships/hyperlink" Target="2020_02/19.02.2020/12060" TargetMode="External"/><Relationship Id="rId2104" Type="http://schemas.openxmlformats.org/officeDocument/2006/relationships/hyperlink" Target="2020_05\29.05.2020\38146" TargetMode="External"/><Relationship Id="rId3502" Type="http://schemas.openxmlformats.org/officeDocument/2006/relationships/hyperlink" Target="2020_09/30.09.2020/131082" TargetMode="External"/><Relationship Id="rId630" Type="http://schemas.openxmlformats.org/officeDocument/2006/relationships/hyperlink" Target="2019_12\24.12.2019\75623" TargetMode="External"/><Relationship Id="rId2311" Type="http://schemas.openxmlformats.org/officeDocument/2006/relationships/hyperlink" Target="2020_06/16.06.2020/56556" TargetMode="External"/><Relationship Id="rId1120" Type="http://schemas.openxmlformats.org/officeDocument/2006/relationships/hyperlink" Target="2020_02\05.02.2020\-3658" TargetMode="External"/><Relationship Id="rId1937" Type="http://schemas.openxmlformats.org/officeDocument/2006/relationships/hyperlink" Target="2020_05/20.05.2020/35950" TargetMode="External"/><Relationship Id="rId3085" Type="http://schemas.openxmlformats.org/officeDocument/2006/relationships/hyperlink" Target="2020_08/25.08.2020/103188" TargetMode="External"/><Relationship Id="rId3292" Type="http://schemas.openxmlformats.org/officeDocument/2006/relationships/hyperlink" Target="2020_09/15.09.2020/123097" TargetMode="External"/><Relationship Id="rId3152" Type="http://schemas.openxmlformats.org/officeDocument/2006/relationships/hyperlink" Target="2020_09/01.09.2020/115341" TargetMode="External"/><Relationship Id="rId280" Type="http://schemas.openxmlformats.org/officeDocument/2006/relationships/hyperlink" Target="https://smp.sfurf.office/sd/operator/" TargetMode="External"/><Relationship Id="rId3012" Type="http://schemas.openxmlformats.org/officeDocument/2006/relationships/hyperlink" Target="2020_08/17.08.2020/06534" TargetMode="External"/><Relationship Id="rId140" Type="http://schemas.openxmlformats.org/officeDocument/2006/relationships/hyperlink" Target="../Users/shilyaevan/AppData/Roaming/Microsoft/Excel/2019_10/22.10.2019/39567" TargetMode="External"/><Relationship Id="rId3969" Type="http://schemas.openxmlformats.org/officeDocument/2006/relationships/hyperlink" Target="2020_12/14.12.2020/172136" TargetMode="External"/><Relationship Id="rId6" Type="http://schemas.openxmlformats.org/officeDocument/2006/relationships/hyperlink" Target="https://smp.sfurf.office/sd/operator/index.jsp;jsessionid=4B56FDB405CD332F2E4AE6AEC0BFEE05" TargetMode="External"/><Relationship Id="rId2778" Type="http://schemas.openxmlformats.org/officeDocument/2006/relationships/hyperlink" Target="2020_07/29.07.2020/87745" TargetMode="External"/><Relationship Id="rId2985" Type="http://schemas.openxmlformats.org/officeDocument/2006/relationships/hyperlink" Target="2020_08/12.08.2020/95487" TargetMode="External"/><Relationship Id="rId3829" Type="http://schemas.openxmlformats.org/officeDocument/2006/relationships/hyperlink" Target="2020_11/11.11.2020/154271" TargetMode="External"/><Relationship Id="rId957" Type="http://schemas.openxmlformats.org/officeDocument/2006/relationships/hyperlink" Target="2020_01/23.01.2020/80101" TargetMode="External"/><Relationship Id="rId1587" Type="http://schemas.openxmlformats.org/officeDocument/2006/relationships/hyperlink" Target="2020_03\19.03.2020\21388" TargetMode="External"/><Relationship Id="rId1794" Type="http://schemas.openxmlformats.org/officeDocument/2006/relationships/hyperlink" Target="2020_05/08.05.2020/37284" TargetMode="External"/><Relationship Id="rId2638" Type="http://schemas.openxmlformats.org/officeDocument/2006/relationships/hyperlink" Target="2020_06/29.06.2020/71988" TargetMode="External"/><Relationship Id="rId2845" Type="http://schemas.openxmlformats.org/officeDocument/2006/relationships/hyperlink" Target="2020_08\03.08.2020\98933" TargetMode="External"/><Relationship Id="rId86" Type="http://schemas.openxmlformats.org/officeDocument/2006/relationships/hyperlink" Target="https://smp.sfurf.office/sd/operator/" TargetMode="External"/><Relationship Id="rId817" Type="http://schemas.openxmlformats.org/officeDocument/2006/relationships/hyperlink" Target="2020_01/14.01.2020/74420" TargetMode="External"/><Relationship Id="rId1447" Type="http://schemas.openxmlformats.org/officeDocument/2006/relationships/hyperlink" Target="2020_03\05.03.2020\21504" TargetMode="External"/><Relationship Id="rId1654" Type="http://schemas.openxmlformats.org/officeDocument/2006/relationships/hyperlink" Target="2020_03\24.03.2020\32474" TargetMode="External"/><Relationship Id="rId1861" Type="http://schemas.openxmlformats.org/officeDocument/2006/relationships/hyperlink" Target="2020_05/15.05.2020/33208" TargetMode="External"/><Relationship Id="rId2705" Type="http://schemas.openxmlformats.org/officeDocument/2006/relationships/hyperlink" Target="2020_07\06.07.2020\81606" TargetMode="External"/><Relationship Id="rId2912" Type="http://schemas.openxmlformats.org/officeDocument/2006/relationships/hyperlink" Target="2020_08/07.08.2020/94488" TargetMode="External"/><Relationship Id="rId1307" Type="http://schemas.openxmlformats.org/officeDocument/2006/relationships/hyperlink" Target="2020_02\25.02.2020\-6262" TargetMode="External"/><Relationship Id="rId1514" Type="http://schemas.openxmlformats.org/officeDocument/2006/relationships/hyperlink" Target="2020_03/13.03.2020/16526" TargetMode="External"/><Relationship Id="rId1721" Type="http://schemas.openxmlformats.org/officeDocument/2006/relationships/hyperlink" Target="2020_04/06.04.2020/35309" TargetMode="External"/><Relationship Id="rId13" Type="http://schemas.openxmlformats.org/officeDocument/2006/relationships/hyperlink" Target="https://smp.sfurf.office/sd/operator/index.jsp;jsessionid=4B56FDB405CD332F2E4AE6AEC0BFEE05" TargetMode="External"/><Relationship Id="rId3479" Type="http://schemas.openxmlformats.org/officeDocument/2006/relationships/hyperlink" Target="2020_09/28.09.2020/122502" TargetMode="External"/><Relationship Id="rId3686" Type="http://schemas.openxmlformats.org/officeDocument/2006/relationships/hyperlink" Target="2020_10/14.10.2020/131473" TargetMode="External"/><Relationship Id="rId2288" Type="http://schemas.openxmlformats.org/officeDocument/2006/relationships/hyperlink" Target="2020_06/09.06.2020/36681" TargetMode="External"/><Relationship Id="rId2495" Type="http://schemas.openxmlformats.org/officeDocument/2006/relationships/hyperlink" Target="2020_06/17.06.2020/66475" TargetMode="External"/><Relationship Id="rId3339" Type="http://schemas.openxmlformats.org/officeDocument/2006/relationships/hyperlink" Target="2020_09\18.09.2020\124610" TargetMode="External"/><Relationship Id="rId3893" Type="http://schemas.openxmlformats.org/officeDocument/2006/relationships/hyperlink" Target="2020_11/17.11.2020/157567" TargetMode="External"/><Relationship Id="rId467" Type="http://schemas.openxmlformats.org/officeDocument/2006/relationships/hyperlink" Target="2019_12\09.12.2019\58110" TargetMode="External"/><Relationship Id="rId1097" Type="http://schemas.openxmlformats.org/officeDocument/2006/relationships/hyperlink" Target="2020_02\04.02.2020\87152" TargetMode="External"/><Relationship Id="rId2148" Type="http://schemas.openxmlformats.org/officeDocument/2006/relationships/hyperlink" Target="2020_06\03.06.2020\41414" TargetMode="External"/><Relationship Id="rId3546" Type="http://schemas.openxmlformats.org/officeDocument/2006/relationships/hyperlink" Target="2020_10/02.10.2020/132918" TargetMode="External"/><Relationship Id="rId3753" Type="http://schemas.openxmlformats.org/officeDocument/2006/relationships/hyperlink" Target="2020_11/03.11.2020/142423" TargetMode="External"/><Relationship Id="rId3960" Type="http://schemas.openxmlformats.org/officeDocument/2006/relationships/hyperlink" Target="2020_12/15.12.2020/173556" TargetMode="External"/><Relationship Id="rId674" Type="http://schemas.openxmlformats.org/officeDocument/2006/relationships/hyperlink" Target="2019_12/26.12.2019/69710" TargetMode="External"/><Relationship Id="rId881" Type="http://schemas.openxmlformats.org/officeDocument/2006/relationships/hyperlink" Target="2020_01/17.01.2020/85423" TargetMode="External"/><Relationship Id="rId2355" Type="http://schemas.openxmlformats.org/officeDocument/2006/relationships/hyperlink" Target="2020_06/16.06.2020/60890" TargetMode="External"/><Relationship Id="rId2562" Type="http://schemas.openxmlformats.org/officeDocument/2006/relationships/hyperlink" Target="2020_06/19.06.2020/68144" TargetMode="External"/><Relationship Id="rId3406" Type="http://schemas.openxmlformats.org/officeDocument/2006/relationships/hyperlink" Target="2020_09\22.09.2020\119012" TargetMode="External"/><Relationship Id="rId3613" Type="http://schemas.openxmlformats.org/officeDocument/2006/relationships/hyperlink" Target="2020_10/08.10.2020/135821" TargetMode="External"/><Relationship Id="rId3820" Type="http://schemas.openxmlformats.org/officeDocument/2006/relationships/hyperlink" Target="2020_11/11.11.2020/145976" TargetMode="External"/><Relationship Id="rId327" Type="http://schemas.openxmlformats.org/officeDocument/2006/relationships/hyperlink" Target="2019_11\20.11.2019\55596" TargetMode="External"/><Relationship Id="rId534" Type="http://schemas.openxmlformats.org/officeDocument/2006/relationships/hyperlink" Target="2019_12\17.12.2019\63081" TargetMode="External"/><Relationship Id="rId741" Type="http://schemas.openxmlformats.org/officeDocument/2006/relationships/hyperlink" Target="2019_12/31.12.2019/79598" TargetMode="External"/><Relationship Id="rId1164" Type="http://schemas.openxmlformats.org/officeDocument/2006/relationships/hyperlink" Target="2020_02\11.02.2020\90696" TargetMode="External"/><Relationship Id="rId1371" Type="http://schemas.openxmlformats.org/officeDocument/2006/relationships/hyperlink" Target="2020_02/28.02.2020/17586" TargetMode="External"/><Relationship Id="rId2008" Type="http://schemas.openxmlformats.org/officeDocument/2006/relationships/hyperlink" Target="2020_05/26.05.2020/39925" TargetMode="External"/><Relationship Id="rId2215" Type="http://schemas.openxmlformats.org/officeDocument/2006/relationships/hyperlink" Target="2020_06/16.06.2020/50414" TargetMode="External"/><Relationship Id="rId2422" Type="http://schemas.openxmlformats.org/officeDocument/2006/relationships/hyperlink" Target="2020_06\16.06.2020\51776" TargetMode="External"/><Relationship Id="rId601" Type="http://schemas.openxmlformats.org/officeDocument/2006/relationships/hyperlink" Target="2019_12/23.12.2019/66158" TargetMode="External"/><Relationship Id="rId1024" Type="http://schemas.openxmlformats.org/officeDocument/2006/relationships/hyperlink" Target="2020_01\29.01.2020\83393" TargetMode="External"/><Relationship Id="rId1231" Type="http://schemas.openxmlformats.org/officeDocument/2006/relationships/hyperlink" Target="2020_02/18.02.2020/-3120" TargetMode="External"/><Relationship Id="rId3196" Type="http://schemas.openxmlformats.org/officeDocument/2006/relationships/hyperlink" Target="2020_09/04.09.2020/110018" TargetMode="External"/><Relationship Id="rId3056" Type="http://schemas.openxmlformats.org/officeDocument/2006/relationships/hyperlink" Target="2020_08/18.08.2020/100111" TargetMode="External"/><Relationship Id="rId3263" Type="http://schemas.openxmlformats.org/officeDocument/2006/relationships/hyperlink" Target="2020_09/14.09.2020/122787" TargetMode="External"/><Relationship Id="rId3470" Type="http://schemas.openxmlformats.org/officeDocument/2006/relationships/hyperlink" Target="2020_09/28.09.2020/122681" TargetMode="External"/><Relationship Id="rId184" Type="http://schemas.openxmlformats.org/officeDocument/2006/relationships/hyperlink" Target="https://smp.sfurf.office/sd/operator/index.jsp;jsessionid=4B56FDB405CD332F2E4AE6AEC0BFEE05" TargetMode="External"/><Relationship Id="rId391" Type="http://schemas.openxmlformats.org/officeDocument/2006/relationships/hyperlink" Target="2019_11\28.11.2019\60330" TargetMode="External"/><Relationship Id="rId1908" Type="http://schemas.openxmlformats.org/officeDocument/2006/relationships/hyperlink" Target="2020_05/19.05.2020/34169" TargetMode="External"/><Relationship Id="rId2072" Type="http://schemas.openxmlformats.org/officeDocument/2006/relationships/hyperlink" Target="2020_05\19.05.2020\41968" TargetMode="External"/><Relationship Id="rId3123" Type="http://schemas.openxmlformats.org/officeDocument/2006/relationships/hyperlink" Target="2020_08\28.08.2020\113174" TargetMode="External"/><Relationship Id="rId251" Type="http://schemas.openxmlformats.org/officeDocument/2006/relationships/hyperlink" Target="2019_11\01.11.2019\44891" TargetMode="External"/><Relationship Id="rId3330" Type="http://schemas.openxmlformats.org/officeDocument/2006/relationships/hyperlink" Target="2020_09/17.09.2020/116876" TargetMode="External"/><Relationship Id="rId2889" Type="http://schemas.openxmlformats.org/officeDocument/2006/relationships/hyperlink" Target="2020_08/05.08.2020/00771" TargetMode="External"/><Relationship Id="rId111" Type="http://schemas.openxmlformats.org/officeDocument/2006/relationships/hyperlink" Target="https://smp.sfurf.office/sd/operator/index.jsp;jsessionid=4B56FDB405CD332F2E4AE6AEC0BFEE05" TargetMode="External"/><Relationship Id="rId1698" Type="http://schemas.openxmlformats.org/officeDocument/2006/relationships/hyperlink" Target="2020_03\27.03.2020\25176" TargetMode="External"/><Relationship Id="rId2749" Type="http://schemas.openxmlformats.org/officeDocument/2006/relationships/hyperlink" Target="2020_07/10.07.2020/77165" TargetMode="External"/><Relationship Id="rId2956" Type="http://schemas.openxmlformats.org/officeDocument/2006/relationships/hyperlink" Target="2020_08/11.08.2020/03343" TargetMode="External"/><Relationship Id="rId928" Type="http://schemas.openxmlformats.org/officeDocument/2006/relationships/hyperlink" Target="2020_01\21.01.2020\87496" TargetMode="External"/><Relationship Id="rId1558" Type="http://schemas.openxmlformats.org/officeDocument/2006/relationships/hyperlink" Target="2020_03/16.03.2020/26545" TargetMode="External"/><Relationship Id="rId1765" Type="http://schemas.openxmlformats.org/officeDocument/2006/relationships/hyperlink" Target="2020_04/08.04.2020/28389" TargetMode="External"/><Relationship Id="rId2609" Type="http://schemas.openxmlformats.org/officeDocument/2006/relationships/hyperlink" Target="2020_06/29.06.2020/78809" TargetMode="External"/><Relationship Id="rId57" Type="http://schemas.openxmlformats.org/officeDocument/2006/relationships/hyperlink" Target="https://smp.sfurf.office/sd/operator/" TargetMode="External"/><Relationship Id="rId1418" Type="http://schemas.openxmlformats.org/officeDocument/2006/relationships/hyperlink" Target="2020_03/04.03.2020/10692" TargetMode="External"/><Relationship Id="rId1972" Type="http://schemas.openxmlformats.org/officeDocument/2006/relationships/hyperlink" Target="2020_05/21.05.2020/46762" TargetMode="External"/><Relationship Id="rId2816" Type="http://schemas.openxmlformats.org/officeDocument/2006/relationships/hyperlink" Target="2020_07/30.07.2020/88000" TargetMode="External"/><Relationship Id="rId1625" Type="http://schemas.openxmlformats.org/officeDocument/2006/relationships/hyperlink" Target="2020_03\23.03.2020\30825" TargetMode="External"/><Relationship Id="rId1832" Type="http://schemas.openxmlformats.org/officeDocument/2006/relationships/hyperlink" Target="2020_05/14.05.2020/30994" TargetMode="External"/><Relationship Id="rId3797" Type="http://schemas.openxmlformats.org/officeDocument/2006/relationships/hyperlink" Target="2020_11/09.11.2020/144605" TargetMode="External"/><Relationship Id="rId2399" Type="http://schemas.openxmlformats.org/officeDocument/2006/relationships/hyperlink" Target="2020_06\04.06.2020\67611" TargetMode="External"/><Relationship Id="rId3657" Type="http://schemas.openxmlformats.org/officeDocument/2006/relationships/hyperlink" Target="2020_10/13.10.2020/138765" TargetMode="External"/><Relationship Id="rId3864" Type="http://schemas.openxmlformats.org/officeDocument/2006/relationships/hyperlink" Target="2020_11/19.11.2020/150787" TargetMode="External"/><Relationship Id="rId578" Type="http://schemas.openxmlformats.org/officeDocument/2006/relationships/hyperlink" Target="2019_12\19.12.2019\65449" TargetMode="External"/><Relationship Id="rId785" Type="http://schemas.openxmlformats.org/officeDocument/2006/relationships/hyperlink" Target="2020_01\10.01.2020\73387" TargetMode="External"/><Relationship Id="rId992" Type="http://schemas.openxmlformats.org/officeDocument/2006/relationships/hyperlink" Target="2020_01/27.01.2020/83178" TargetMode="External"/><Relationship Id="rId2259" Type="http://schemas.openxmlformats.org/officeDocument/2006/relationships/hyperlink" Target="2020_06/16.06.2020/50682" TargetMode="External"/><Relationship Id="rId2466" Type="http://schemas.openxmlformats.org/officeDocument/2006/relationships/hyperlink" Target="2020_06/16.06.2020/51305" TargetMode="External"/><Relationship Id="rId2673" Type="http://schemas.openxmlformats.org/officeDocument/2006/relationships/hyperlink" Target="2020_07/02.07.2020/73592" TargetMode="External"/><Relationship Id="rId2880" Type="http://schemas.openxmlformats.org/officeDocument/2006/relationships/hyperlink" Target="2020_08/07.08.2020/93852" TargetMode="External"/><Relationship Id="rId3517" Type="http://schemas.openxmlformats.org/officeDocument/2006/relationships/hyperlink" Target="2020_10/01.10.2020/120283" TargetMode="External"/><Relationship Id="rId3724" Type="http://schemas.openxmlformats.org/officeDocument/2006/relationships/hyperlink" Target="2020_10/15.10.2020/132553" TargetMode="External"/><Relationship Id="rId3931" Type="http://schemas.openxmlformats.org/officeDocument/2006/relationships/hyperlink" Target="2020_12/10.12.2020/163134" TargetMode="External"/><Relationship Id="rId438" Type="http://schemas.openxmlformats.org/officeDocument/2006/relationships/hyperlink" Target="https://smp.sfurf.office/sd/operator/" TargetMode="External"/><Relationship Id="rId645" Type="http://schemas.openxmlformats.org/officeDocument/2006/relationships/hyperlink" Target="2019_12/25.12.2019/58552" TargetMode="External"/><Relationship Id="rId852" Type="http://schemas.openxmlformats.org/officeDocument/2006/relationships/hyperlink" Target="2020_01\16.01.2020\76456" TargetMode="External"/><Relationship Id="rId1068" Type="http://schemas.openxmlformats.org/officeDocument/2006/relationships/hyperlink" Target="2020_02\03.02.2020\-1183" TargetMode="External"/><Relationship Id="rId1275" Type="http://schemas.openxmlformats.org/officeDocument/2006/relationships/hyperlink" Target="2020_02\20.02.2020\-4129" TargetMode="External"/><Relationship Id="rId1482" Type="http://schemas.openxmlformats.org/officeDocument/2006/relationships/hyperlink" Target="2020_03\12.03.2020\15491" TargetMode="External"/><Relationship Id="rId2119" Type="http://schemas.openxmlformats.org/officeDocument/2006/relationships/hyperlink" Target="2020_06\01.06.2020\61584" TargetMode="External"/><Relationship Id="rId2326" Type="http://schemas.openxmlformats.org/officeDocument/2006/relationships/hyperlink" Target="2020_06/04.06.2020/42667" TargetMode="External"/><Relationship Id="rId2533" Type="http://schemas.openxmlformats.org/officeDocument/2006/relationships/hyperlink" Target="2020_06/22.06.2020/68904" TargetMode="External"/><Relationship Id="rId2740" Type="http://schemas.openxmlformats.org/officeDocument/2006/relationships/hyperlink" Target="2020_07/09.07.2020/75830" TargetMode="External"/><Relationship Id="rId505" Type="http://schemas.openxmlformats.org/officeDocument/2006/relationships/hyperlink" Target="2019_12\13.12.2019\61027" TargetMode="External"/><Relationship Id="rId712" Type="http://schemas.openxmlformats.org/officeDocument/2006/relationships/hyperlink" Target="2019_12\30.12.2019\71679" TargetMode="External"/><Relationship Id="rId1135" Type="http://schemas.openxmlformats.org/officeDocument/2006/relationships/hyperlink" Target="2020_02\06.02.2020\88942" TargetMode="External"/><Relationship Id="rId1342" Type="http://schemas.openxmlformats.org/officeDocument/2006/relationships/hyperlink" Target="2020_02/27.02.2020/-8999" TargetMode="External"/><Relationship Id="rId1202" Type="http://schemas.openxmlformats.org/officeDocument/2006/relationships/hyperlink" Target="2020_02/11.02.2020/90554" TargetMode="External"/><Relationship Id="rId2600" Type="http://schemas.openxmlformats.org/officeDocument/2006/relationships/hyperlink" Target="2020_06/25.06.2020/78072" TargetMode="External"/><Relationship Id="rId3167" Type="http://schemas.openxmlformats.org/officeDocument/2006/relationships/hyperlink" Target="2020_08/31.08.2020/107336" TargetMode="External"/><Relationship Id="rId295" Type="http://schemas.openxmlformats.org/officeDocument/2006/relationships/hyperlink" Target="2019_11\14.11.2019\36363" TargetMode="External"/><Relationship Id="rId3374" Type="http://schemas.openxmlformats.org/officeDocument/2006/relationships/hyperlink" Target="2020_09/22.09.2020/118870" TargetMode="External"/><Relationship Id="rId3581" Type="http://schemas.openxmlformats.org/officeDocument/2006/relationships/hyperlink" Target="2020_10\07.10.2020\135255" TargetMode="External"/><Relationship Id="rId2183" Type="http://schemas.openxmlformats.org/officeDocument/2006/relationships/hyperlink" Target="2020_06/08.06.2020/44723" TargetMode="External"/><Relationship Id="rId2390" Type="http://schemas.openxmlformats.org/officeDocument/2006/relationships/hyperlink" Target="2020_06\16.06.2020\56585" TargetMode="External"/><Relationship Id="rId3027" Type="http://schemas.openxmlformats.org/officeDocument/2006/relationships/hyperlink" Target="2020_08/21.08.2020/01701" TargetMode="External"/><Relationship Id="rId3234" Type="http://schemas.openxmlformats.org/officeDocument/2006/relationships/hyperlink" Target="2020_09/10.09.2020/120923" TargetMode="External"/><Relationship Id="rId3441" Type="http://schemas.openxmlformats.org/officeDocument/2006/relationships/hyperlink" Target="2020_09/25.09.2020/121482" TargetMode="External"/><Relationship Id="rId155" Type="http://schemas.openxmlformats.org/officeDocument/2006/relationships/hyperlink" Target="2019_11\08.11.2019\40773" TargetMode="External"/><Relationship Id="rId362" Type="http://schemas.openxmlformats.org/officeDocument/2006/relationships/hyperlink" Target="2019_11\22.11.2019\48874" TargetMode="External"/><Relationship Id="rId2043" Type="http://schemas.openxmlformats.org/officeDocument/2006/relationships/hyperlink" Target="2020_05/27.05.2020/52735" TargetMode="External"/><Relationship Id="rId2250" Type="http://schemas.openxmlformats.org/officeDocument/2006/relationships/hyperlink" Target="2020_06\16.06.2020\51945" TargetMode="External"/><Relationship Id="rId3301" Type="http://schemas.openxmlformats.org/officeDocument/2006/relationships/hyperlink" Target="2020_09/16.09.2020/124074" TargetMode="External"/><Relationship Id="rId222" Type="http://schemas.openxmlformats.org/officeDocument/2006/relationships/hyperlink" Target="https://smp.sfurf.office/sd/operator/index.jsp;jsessionid=4B56FDB405CD332F2E4AE6AEC0BFEE05" TargetMode="External"/><Relationship Id="rId2110" Type="http://schemas.openxmlformats.org/officeDocument/2006/relationships/hyperlink" Target="2020_06/01.06.2020/52326" TargetMode="External"/><Relationship Id="rId1669" Type="http://schemas.openxmlformats.org/officeDocument/2006/relationships/hyperlink" Target="2020_03/25.03.2020/33392" TargetMode="External"/><Relationship Id="rId1876" Type="http://schemas.openxmlformats.org/officeDocument/2006/relationships/hyperlink" Target="2020_05\18.05.2020\32669" TargetMode="External"/><Relationship Id="rId2927" Type="http://schemas.openxmlformats.org/officeDocument/2006/relationships/hyperlink" Target="2020_08\10.08.2020\02048" TargetMode="External"/><Relationship Id="rId3091" Type="http://schemas.openxmlformats.org/officeDocument/2006/relationships/hyperlink" Target="2020_08/25.08.2020/103564" TargetMode="External"/><Relationship Id="rId1529" Type="http://schemas.openxmlformats.org/officeDocument/2006/relationships/hyperlink" Target="2020_03\13.03.2020\25312" TargetMode="External"/><Relationship Id="rId1736" Type="http://schemas.openxmlformats.org/officeDocument/2006/relationships/hyperlink" Target="2020_04/07.04.2020/27007" TargetMode="External"/><Relationship Id="rId1943" Type="http://schemas.openxmlformats.org/officeDocument/2006/relationships/hyperlink" Target="2020_05\20.05.2020\44289" TargetMode="External"/><Relationship Id="rId28" Type="http://schemas.openxmlformats.org/officeDocument/2006/relationships/hyperlink" Target="https://smp.sfurf.office/sd/operator/index.jsp;jsessionid=4B56FDB405CD332F2E4AE6AEC0BFEE05" TargetMode="External"/><Relationship Id="rId1803" Type="http://schemas.openxmlformats.org/officeDocument/2006/relationships/hyperlink" Target="2020_05/07.05.2020/36237" TargetMode="External"/><Relationship Id="rId3768" Type="http://schemas.openxmlformats.org/officeDocument/2006/relationships/hyperlink" Target="2020_11/06.11.2020/143705" TargetMode="External"/><Relationship Id="rId3975" Type="http://schemas.openxmlformats.org/officeDocument/2006/relationships/hyperlink" Target="2020_12/17.12.2020/174338" TargetMode="External"/><Relationship Id="rId689" Type="http://schemas.openxmlformats.org/officeDocument/2006/relationships/hyperlink" Target="2019_12/26.12.2019/77368" TargetMode="External"/><Relationship Id="rId896" Type="http://schemas.openxmlformats.org/officeDocument/2006/relationships/hyperlink" Target="2020_01\20.01.2020\77551" TargetMode="External"/><Relationship Id="rId2577" Type="http://schemas.openxmlformats.org/officeDocument/2006/relationships/hyperlink" Target="2020_06/23.06.2020/64259" TargetMode="External"/><Relationship Id="rId2784" Type="http://schemas.openxmlformats.org/officeDocument/2006/relationships/hyperlink" Target="2020_07\24.07.2020\93643" TargetMode="External"/><Relationship Id="rId3628" Type="http://schemas.openxmlformats.org/officeDocument/2006/relationships/hyperlink" Target="2020_10\09.10.2020\136627" TargetMode="External"/><Relationship Id="rId549" Type="http://schemas.openxmlformats.org/officeDocument/2006/relationships/hyperlink" Target="2019_12\18.12.2019\72036" TargetMode="External"/><Relationship Id="rId756" Type="http://schemas.openxmlformats.org/officeDocument/2006/relationships/hyperlink" Target="2019_12/31.12.2019/80333" TargetMode="External"/><Relationship Id="rId1179" Type="http://schemas.openxmlformats.org/officeDocument/2006/relationships/hyperlink" Target="2020_02\10.02.2020\89678" TargetMode="External"/><Relationship Id="rId1386" Type="http://schemas.openxmlformats.org/officeDocument/2006/relationships/hyperlink" Target="2020_03\02.03.2020\18367" TargetMode="External"/><Relationship Id="rId1593" Type="http://schemas.openxmlformats.org/officeDocument/2006/relationships/hyperlink" Target="2020_03\19.03.2020\20372" TargetMode="External"/><Relationship Id="rId2437" Type="http://schemas.openxmlformats.org/officeDocument/2006/relationships/hyperlink" Target="2020_06/16.06.2020/65531" TargetMode="External"/><Relationship Id="rId2991" Type="http://schemas.openxmlformats.org/officeDocument/2006/relationships/hyperlink" Target="2020_08\14.08.2020\97477" TargetMode="External"/><Relationship Id="rId3835" Type="http://schemas.openxmlformats.org/officeDocument/2006/relationships/hyperlink" Target="2020_11/12.11.2020/146609" TargetMode="External"/><Relationship Id="rId409" Type="http://schemas.openxmlformats.org/officeDocument/2006/relationships/hyperlink" Target="2019_11\28.11.2019\60326" TargetMode="External"/><Relationship Id="rId963" Type="http://schemas.openxmlformats.org/officeDocument/2006/relationships/hyperlink" Target="2020_01/24.01.2020/81541" TargetMode="External"/><Relationship Id="rId1039" Type="http://schemas.openxmlformats.org/officeDocument/2006/relationships/hyperlink" Target="2020_01\30.01.2020\84787" TargetMode="External"/><Relationship Id="rId1246" Type="http://schemas.openxmlformats.org/officeDocument/2006/relationships/hyperlink" Target="2020_02\19.02.2020\-3657" TargetMode="External"/><Relationship Id="rId2644" Type="http://schemas.openxmlformats.org/officeDocument/2006/relationships/hyperlink" Target="2020_06\29.06.2020\79077" TargetMode="External"/><Relationship Id="rId2851" Type="http://schemas.openxmlformats.org/officeDocument/2006/relationships/hyperlink" Target="2020_08/03.08.2020/90201" TargetMode="External"/><Relationship Id="rId3902" Type="http://schemas.openxmlformats.org/officeDocument/2006/relationships/hyperlink" Target="2020_11/20.11.2020/151850" TargetMode="External"/><Relationship Id="rId92" Type="http://schemas.openxmlformats.org/officeDocument/2006/relationships/hyperlink" Target="2019_11\15.11.2019\37280" TargetMode="External"/><Relationship Id="rId616" Type="http://schemas.openxmlformats.org/officeDocument/2006/relationships/hyperlink" Target="2019_12/24.12.2019/59170" TargetMode="External"/><Relationship Id="rId823" Type="http://schemas.openxmlformats.org/officeDocument/2006/relationships/hyperlink" Target="2020_01\14.01.2020\74642" TargetMode="External"/><Relationship Id="rId1453" Type="http://schemas.openxmlformats.org/officeDocument/2006/relationships/hyperlink" Target="2020_03\06.03.2020\22453" TargetMode="External"/><Relationship Id="rId1660" Type="http://schemas.openxmlformats.org/officeDocument/2006/relationships/hyperlink" Target="2020_03\25.03.2020\24006" TargetMode="External"/><Relationship Id="rId2504" Type="http://schemas.openxmlformats.org/officeDocument/2006/relationships/hyperlink" Target="2020_06\16.06.2020\64821" TargetMode="External"/><Relationship Id="rId2711" Type="http://schemas.openxmlformats.org/officeDocument/2006/relationships/hyperlink" Target="2020_07/07.07.2020/75027" TargetMode="External"/><Relationship Id="rId1106" Type="http://schemas.openxmlformats.org/officeDocument/2006/relationships/hyperlink" Target="2020_02/03.02.2020/86347" TargetMode="External"/><Relationship Id="rId1313" Type="http://schemas.openxmlformats.org/officeDocument/2006/relationships/hyperlink" Target="2020_02/26.02.2020/-8053" TargetMode="External"/><Relationship Id="rId1520" Type="http://schemas.openxmlformats.org/officeDocument/2006/relationships/hyperlink" Target="2020_03/13.03.2020/25408" TargetMode="External"/><Relationship Id="rId3278" Type="http://schemas.openxmlformats.org/officeDocument/2006/relationships/hyperlink" Target="2020_09/15.09.2020/115524" TargetMode="External"/><Relationship Id="rId3485" Type="http://schemas.openxmlformats.org/officeDocument/2006/relationships/hyperlink" Target="2020_09/28.09.2020/129666" TargetMode="External"/><Relationship Id="rId3692" Type="http://schemas.openxmlformats.org/officeDocument/2006/relationships/hyperlink" Target="2020_10/14.10.2020/139280" TargetMode="External"/><Relationship Id="rId199" Type="http://schemas.openxmlformats.org/officeDocument/2006/relationships/hyperlink" Target="2019_11\13.11.2019\43791" TargetMode="External"/><Relationship Id="rId2087" Type="http://schemas.openxmlformats.org/officeDocument/2006/relationships/hyperlink" Target="2020_06\05.06.2020\43516" TargetMode="External"/><Relationship Id="rId2294" Type="http://schemas.openxmlformats.org/officeDocument/2006/relationships/hyperlink" Target="2020_06/16.06.2020/57133" TargetMode="External"/><Relationship Id="rId3138" Type="http://schemas.openxmlformats.org/officeDocument/2006/relationships/hyperlink" Target="2020_08/28.08.2020/113194" TargetMode="External"/><Relationship Id="rId3345" Type="http://schemas.openxmlformats.org/officeDocument/2006/relationships/hyperlink" Target="2020_09/17.09.2020/124453" TargetMode="External"/><Relationship Id="rId3552" Type="http://schemas.openxmlformats.org/officeDocument/2006/relationships/hyperlink" Target="2020_10/05.10.2020/125791" TargetMode="External"/><Relationship Id="rId266" Type="http://schemas.openxmlformats.org/officeDocument/2006/relationships/hyperlink" Target="2019_11\21.11.2019\47518" TargetMode="External"/><Relationship Id="rId473" Type="http://schemas.openxmlformats.org/officeDocument/2006/relationships/hyperlink" Target="2019_12\10.12.2019\57744" TargetMode="External"/><Relationship Id="rId680" Type="http://schemas.openxmlformats.org/officeDocument/2006/relationships/hyperlink" Target="2019_12/26.12.2019/77623" TargetMode="External"/><Relationship Id="rId2154" Type="http://schemas.openxmlformats.org/officeDocument/2006/relationships/hyperlink" Target="2020_06/01.06.2020/60897" TargetMode="External"/><Relationship Id="rId2361" Type="http://schemas.openxmlformats.org/officeDocument/2006/relationships/hyperlink" Target="2020_06/10.06.2020/70287" TargetMode="External"/><Relationship Id="rId3205" Type="http://schemas.openxmlformats.org/officeDocument/2006/relationships/hyperlink" Target="2020_09\08.09.2020\110585" TargetMode="External"/><Relationship Id="rId3412" Type="http://schemas.openxmlformats.org/officeDocument/2006/relationships/hyperlink" Target="2020_09/22.09.2020/126925" TargetMode="External"/><Relationship Id="rId126" Type="http://schemas.openxmlformats.org/officeDocument/2006/relationships/hyperlink" Target="https://smp.sfurf.office/sd/operator/index.jsp;jsessionid=4B56FDB405CD332F2E4AE6AEC0BFEE05" TargetMode="External"/><Relationship Id="rId333" Type="http://schemas.openxmlformats.org/officeDocument/2006/relationships/hyperlink" Target="2019_12\05.12.2019\56286" TargetMode="External"/><Relationship Id="rId540" Type="http://schemas.openxmlformats.org/officeDocument/2006/relationships/hyperlink" Target="2019_12/17.12.2019/54196" TargetMode="External"/><Relationship Id="rId1170" Type="http://schemas.openxmlformats.org/officeDocument/2006/relationships/hyperlink" Target="2020_02\11.02.2020\-7125" TargetMode="External"/><Relationship Id="rId2014" Type="http://schemas.openxmlformats.org/officeDocument/2006/relationships/hyperlink" Target="2020_05\25.05.2020\33502" TargetMode="External"/><Relationship Id="rId2221" Type="http://schemas.openxmlformats.org/officeDocument/2006/relationships/hyperlink" Target="2020_06/05.06.2020/43915" TargetMode="External"/><Relationship Id="rId1030" Type="http://schemas.openxmlformats.org/officeDocument/2006/relationships/hyperlink" Target="2020_01\29.01.2020\83972" TargetMode="External"/><Relationship Id="rId400" Type="http://schemas.openxmlformats.org/officeDocument/2006/relationships/hyperlink" Target="2019_11\29.11.2019\61003" TargetMode="External"/><Relationship Id="rId1987" Type="http://schemas.openxmlformats.org/officeDocument/2006/relationships/hyperlink" Target="2020_05/27.05.2020/49014" TargetMode="External"/><Relationship Id="rId1847" Type="http://schemas.openxmlformats.org/officeDocument/2006/relationships/hyperlink" Target="2020_05\19.05.2020\43300" TargetMode="External"/><Relationship Id="rId1707" Type="http://schemas.openxmlformats.org/officeDocument/2006/relationships/hyperlink" Target="2020_03\27.03.2020\34996" TargetMode="External"/><Relationship Id="rId3062" Type="http://schemas.openxmlformats.org/officeDocument/2006/relationships/hyperlink" Target="2020_08/20.08.2020/101386" TargetMode="External"/><Relationship Id="rId190" Type="http://schemas.openxmlformats.org/officeDocument/2006/relationships/hyperlink" Target="2019_10\29.10.2019\35540" TargetMode="External"/><Relationship Id="rId1914" Type="http://schemas.openxmlformats.org/officeDocument/2006/relationships/hyperlink" Target="2020_05/22.05.2020/37955" TargetMode="External"/><Relationship Id="rId3879" Type="http://schemas.openxmlformats.org/officeDocument/2006/relationships/hyperlink" Target="2020_11/17.11.2020/148905" TargetMode="External"/><Relationship Id="rId2688" Type="http://schemas.openxmlformats.org/officeDocument/2006/relationships/hyperlink" Target="2020_07/02.07.2020/73117" TargetMode="External"/><Relationship Id="rId2895" Type="http://schemas.openxmlformats.org/officeDocument/2006/relationships/hyperlink" Target="2020_08/06.08.2020/92885" TargetMode="External"/><Relationship Id="rId3739" Type="http://schemas.openxmlformats.org/officeDocument/2006/relationships/hyperlink" Target="2020_11\02.11.2020\141898" TargetMode="External"/><Relationship Id="rId3946" Type="http://schemas.openxmlformats.org/officeDocument/2006/relationships/hyperlink" Target="2020_12/14.12.2020/164851" TargetMode="External"/><Relationship Id="rId867" Type="http://schemas.openxmlformats.org/officeDocument/2006/relationships/hyperlink" Target="2020_01\16.01.2020\84904" TargetMode="External"/><Relationship Id="rId1497" Type="http://schemas.openxmlformats.org/officeDocument/2006/relationships/hyperlink" Target="2020_03\11.03.2020\24021" TargetMode="External"/><Relationship Id="rId2548" Type="http://schemas.openxmlformats.org/officeDocument/2006/relationships/hyperlink" Target="2020_06/22.06.2020/68226" TargetMode="External"/><Relationship Id="rId2755" Type="http://schemas.openxmlformats.org/officeDocument/2006/relationships/hyperlink" Target="2020_07\10.07.2020\85684" TargetMode="External"/><Relationship Id="rId2962" Type="http://schemas.openxmlformats.org/officeDocument/2006/relationships/hyperlink" Target="2020_08\11.08.2020\03068" TargetMode="External"/><Relationship Id="rId3806" Type="http://schemas.openxmlformats.org/officeDocument/2006/relationships/hyperlink" Target="2020_11/10.11.2020/145402" TargetMode="External"/><Relationship Id="rId727" Type="http://schemas.openxmlformats.org/officeDocument/2006/relationships/hyperlink" Target="2019_12/31.12.2019/71599" TargetMode="External"/><Relationship Id="rId934" Type="http://schemas.openxmlformats.org/officeDocument/2006/relationships/hyperlink" Target="2020_01\22.01.2020\80189" TargetMode="External"/><Relationship Id="rId1357" Type="http://schemas.openxmlformats.org/officeDocument/2006/relationships/hyperlink" Target="2020_02/27.02.2020/-8996" TargetMode="External"/><Relationship Id="rId1564" Type="http://schemas.openxmlformats.org/officeDocument/2006/relationships/hyperlink" Target="2020_03\18.03.2020\19551" TargetMode="External"/><Relationship Id="rId1771" Type="http://schemas.openxmlformats.org/officeDocument/2006/relationships/hyperlink" Target="2020_04\08.04.2020\27991" TargetMode="External"/><Relationship Id="rId2408" Type="http://schemas.openxmlformats.org/officeDocument/2006/relationships/hyperlink" Target="2020_06\16.06.2020\54981" TargetMode="External"/><Relationship Id="rId2615" Type="http://schemas.openxmlformats.org/officeDocument/2006/relationships/hyperlink" Target="2020_06/25.06.2020/78312" TargetMode="External"/><Relationship Id="rId2822" Type="http://schemas.openxmlformats.org/officeDocument/2006/relationships/hyperlink" Target="2020_07/30.07.2020/88974" TargetMode="External"/><Relationship Id="rId63" Type="http://schemas.openxmlformats.org/officeDocument/2006/relationships/hyperlink" Target="https://smp.sfurf.office/sd/operator/" TargetMode="External"/><Relationship Id="rId1217" Type="http://schemas.openxmlformats.org/officeDocument/2006/relationships/hyperlink" Target="2020_02/12.02.2020/-8358" TargetMode="External"/><Relationship Id="rId1424" Type="http://schemas.openxmlformats.org/officeDocument/2006/relationships/hyperlink" Target="2020_03/04.03.2020/11415" TargetMode="External"/><Relationship Id="rId1631" Type="http://schemas.openxmlformats.org/officeDocument/2006/relationships/hyperlink" Target="2020_03\23.03.2020\22476" TargetMode="External"/><Relationship Id="rId3389" Type="http://schemas.openxmlformats.org/officeDocument/2006/relationships/hyperlink" Target="2020_09/22.09.2020/126086" TargetMode="External"/><Relationship Id="rId3596" Type="http://schemas.openxmlformats.org/officeDocument/2006/relationships/hyperlink" Target="2020_10/08.10.2020/135911" TargetMode="External"/><Relationship Id="rId2198" Type="http://schemas.openxmlformats.org/officeDocument/2006/relationships/hyperlink" Target="2020_06\10.06.2020\46679" TargetMode="External"/><Relationship Id="rId3249" Type="http://schemas.openxmlformats.org/officeDocument/2006/relationships/hyperlink" Target="2020_09\11.09.2020\109984" TargetMode="External"/><Relationship Id="rId3456" Type="http://schemas.openxmlformats.org/officeDocument/2006/relationships/hyperlink" Target="2020_09/25.09.2020/121585" TargetMode="External"/><Relationship Id="rId377" Type="http://schemas.openxmlformats.org/officeDocument/2006/relationships/hyperlink" Target="https://smp.sfurf.office/sd/operator/" TargetMode="External"/><Relationship Id="rId584" Type="http://schemas.openxmlformats.org/officeDocument/2006/relationships/hyperlink" Target="2019_12\19.12.2019\73360" TargetMode="External"/><Relationship Id="rId2058" Type="http://schemas.openxmlformats.org/officeDocument/2006/relationships/hyperlink" Target="2020_06/01.06.2020/58256" TargetMode="External"/><Relationship Id="rId2265" Type="http://schemas.openxmlformats.org/officeDocument/2006/relationships/hyperlink" Target="2020_06/16.06.2020/58192" TargetMode="External"/><Relationship Id="rId3109" Type="http://schemas.openxmlformats.org/officeDocument/2006/relationships/hyperlink" Target="2020_08/28.08.2020/106258" TargetMode="External"/><Relationship Id="rId3663" Type="http://schemas.openxmlformats.org/officeDocument/2006/relationships/hyperlink" Target="2020_10/13.10.2020/130974" TargetMode="External"/><Relationship Id="rId3870" Type="http://schemas.openxmlformats.org/officeDocument/2006/relationships/hyperlink" Target="2020_11/17.11.2020/157070" TargetMode="External"/><Relationship Id="rId237" Type="http://schemas.openxmlformats.org/officeDocument/2006/relationships/hyperlink" Target="https://smp.sfurf.office/sd/operator/" TargetMode="External"/><Relationship Id="rId791" Type="http://schemas.openxmlformats.org/officeDocument/2006/relationships/hyperlink" Target="2020_01\10.01.2020\81084" TargetMode="External"/><Relationship Id="rId1074" Type="http://schemas.openxmlformats.org/officeDocument/2006/relationships/hyperlink" Target="2020_02\03.02.2020\-1833" TargetMode="External"/><Relationship Id="rId2472" Type="http://schemas.openxmlformats.org/officeDocument/2006/relationships/hyperlink" Target="2020_06\16.06.2020\51192" TargetMode="External"/><Relationship Id="rId3316" Type="http://schemas.openxmlformats.org/officeDocument/2006/relationships/hyperlink" Target="2020_09/17.09.2020/117035" TargetMode="External"/><Relationship Id="rId3523" Type="http://schemas.openxmlformats.org/officeDocument/2006/relationships/hyperlink" Target="2020_10/01.10.2020/131988" TargetMode="External"/><Relationship Id="rId3730" Type="http://schemas.openxmlformats.org/officeDocument/2006/relationships/hyperlink" Target="2020_10/29.10.2020/140187" TargetMode="External"/><Relationship Id="rId444" Type="http://schemas.openxmlformats.org/officeDocument/2006/relationships/hyperlink" Target="https://smp.sfurf.office/sd/operator/" TargetMode="External"/><Relationship Id="rId651" Type="http://schemas.openxmlformats.org/officeDocument/2006/relationships/hyperlink" Target="2019_12/25.12.2019/76459" TargetMode="External"/><Relationship Id="rId1281" Type="http://schemas.openxmlformats.org/officeDocument/2006/relationships/hyperlink" Target="2020_02\21.02.2020\-5100" TargetMode="External"/><Relationship Id="rId2125" Type="http://schemas.openxmlformats.org/officeDocument/2006/relationships/hyperlink" Target="2020_06\01.06.2020\63071" TargetMode="External"/><Relationship Id="rId2332" Type="http://schemas.openxmlformats.org/officeDocument/2006/relationships/hyperlink" Target="2020_06/16.06.2020/59661" TargetMode="External"/><Relationship Id="rId304" Type="http://schemas.openxmlformats.org/officeDocument/2006/relationships/hyperlink" Target="https://smp.sfurf.office/sd/operator/index.jsp;jsessionid=4B56FDB405CD332F2E4AE6AEC0BFEE05" TargetMode="External"/><Relationship Id="rId511" Type="http://schemas.openxmlformats.org/officeDocument/2006/relationships/hyperlink" Target="2019_12\16.12.2019\56847" TargetMode="External"/><Relationship Id="rId1141" Type="http://schemas.openxmlformats.org/officeDocument/2006/relationships/hyperlink" Target="2020_02\06.02.2020\88411" TargetMode="External"/><Relationship Id="rId1001" Type="http://schemas.openxmlformats.org/officeDocument/2006/relationships/hyperlink" Target="2020_01/27.01.2020/90337" TargetMode="External"/><Relationship Id="rId1958" Type="http://schemas.openxmlformats.org/officeDocument/2006/relationships/hyperlink" Target="2020_05\25.05.2020\47067" TargetMode="External"/><Relationship Id="rId3173" Type="http://schemas.openxmlformats.org/officeDocument/2006/relationships/hyperlink" Target="2020_09\01.09.2020\115357" TargetMode="External"/><Relationship Id="rId3380" Type="http://schemas.openxmlformats.org/officeDocument/2006/relationships/hyperlink" Target="2020_09/16.09.2020/123725" TargetMode="External"/><Relationship Id="rId1818" Type="http://schemas.openxmlformats.org/officeDocument/2006/relationships/hyperlink" Target="2020_05/13.05.2020/40163" TargetMode="External"/><Relationship Id="rId3033" Type="http://schemas.openxmlformats.org/officeDocument/2006/relationships/hyperlink" Target="2020_08/18.08.2020/98836" TargetMode="External"/><Relationship Id="rId3240" Type="http://schemas.openxmlformats.org/officeDocument/2006/relationships/hyperlink" Target="2020_09/11.09.2020/113076" TargetMode="External"/><Relationship Id="rId161" Type="http://schemas.openxmlformats.org/officeDocument/2006/relationships/hyperlink" Target="2019_10\25.10.2019\41542" TargetMode="External"/><Relationship Id="rId2799" Type="http://schemas.openxmlformats.org/officeDocument/2006/relationships/hyperlink" Target="2020_07/30.07.2020/96586" TargetMode="External"/><Relationship Id="rId3100" Type="http://schemas.openxmlformats.org/officeDocument/2006/relationships/hyperlink" Target="2020_08/25.08.2020/103393" TargetMode="External"/><Relationship Id="rId978" Type="http://schemas.openxmlformats.org/officeDocument/2006/relationships/hyperlink" Target="2020_01\27.01.2020\82964" TargetMode="External"/><Relationship Id="rId2659" Type="http://schemas.openxmlformats.org/officeDocument/2006/relationships/hyperlink" Target="2020_06/30.06.2020/79487" TargetMode="External"/><Relationship Id="rId2866" Type="http://schemas.openxmlformats.org/officeDocument/2006/relationships/hyperlink" Target="2020_08/04.08.2020/99870" TargetMode="External"/><Relationship Id="rId3917" Type="http://schemas.openxmlformats.org/officeDocument/2006/relationships/hyperlink" Target="2020_11/19.11.2020/159061" TargetMode="External"/><Relationship Id="rId838" Type="http://schemas.openxmlformats.org/officeDocument/2006/relationships/hyperlink" Target="2020_01\15.01.2020\75054" TargetMode="External"/><Relationship Id="rId1468" Type="http://schemas.openxmlformats.org/officeDocument/2006/relationships/hyperlink" Target="2020_03/10.03.2020/13611" TargetMode="External"/><Relationship Id="rId1675" Type="http://schemas.openxmlformats.org/officeDocument/2006/relationships/hyperlink" Target="2020_03\26.03.2020\34351" TargetMode="External"/><Relationship Id="rId1882" Type="http://schemas.openxmlformats.org/officeDocument/2006/relationships/hyperlink" Target="2020_05/18.05.2020/33030" TargetMode="External"/><Relationship Id="rId2519" Type="http://schemas.openxmlformats.org/officeDocument/2006/relationships/hyperlink" Target="2020_06/19.06.2020/67807" TargetMode="External"/><Relationship Id="rId2726" Type="http://schemas.openxmlformats.org/officeDocument/2006/relationships/hyperlink" Target="2020_07/08.07.2020/48306" TargetMode="External"/><Relationship Id="rId1328" Type="http://schemas.openxmlformats.org/officeDocument/2006/relationships/hyperlink" Target="2020_02\26.02.2020\15425" TargetMode="External"/><Relationship Id="rId1535" Type="http://schemas.openxmlformats.org/officeDocument/2006/relationships/hyperlink" Target="2020_03\16.03.2020\17574" TargetMode="External"/><Relationship Id="rId2933" Type="http://schemas.openxmlformats.org/officeDocument/2006/relationships/hyperlink" Target="2020_08/11.08.2020/02874" TargetMode="External"/><Relationship Id="rId905" Type="http://schemas.openxmlformats.org/officeDocument/2006/relationships/hyperlink" Target="2020_01/21.01.2020/79044" TargetMode="External"/><Relationship Id="rId1742" Type="http://schemas.openxmlformats.org/officeDocument/2006/relationships/hyperlink" Target="2020_04\07.04.2020\27691" TargetMode="External"/><Relationship Id="rId34" Type="http://schemas.openxmlformats.org/officeDocument/2006/relationships/hyperlink" Target="https://smp.sfurf.office/sd/operator/" TargetMode="External"/><Relationship Id="rId1602" Type="http://schemas.openxmlformats.org/officeDocument/2006/relationships/hyperlink" Target="2020_03\20.03.2020\21808" TargetMode="External"/><Relationship Id="rId3567" Type="http://schemas.openxmlformats.org/officeDocument/2006/relationships/hyperlink" Target="2020_10/06.10.2020/126576" TargetMode="External"/><Relationship Id="rId3774" Type="http://schemas.openxmlformats.org/officeDocument/2006/relationships/hyperlink" Target="2020_11/02.11.2020/149412" TargetMode="External"/><Relationship Id="rId3981" Type="http://schemas.openxmlformats.org/officeDocument/2006/relationships/hyperlink" Target="2020_12/18.12.2020/167840" TargetMode="External"/><Relationship Id="rId488" Type="http://schemas.openxmlformats.org/officeDocument/2006/relationships/hyperlink" Target="2019_12\12.12.2019\60483" TargetMode="External"/><Relationship Id="rId695" Type="http://schemas.openxmlformats.org/officeDocument/2006/relationships/hyperlink" Target="2019_12/27.12.2019/70085" TargetMode="External"/><Relationship Id="rId2169" Type="http://schemas.openxmlformats.org/officeDocument/2006/relationships/hyperlink" Target="2020_06/15.06.2020/48837" TargetMode="External"/><Relationship Id="rId2376" Type="http://schemas.openxmlformats.org/officeDocument/2006/relationships/hyperlink" Target="2020_06/16.06.2020/56574" TargetMode="External"/><Relationship Id="rId2583" Type="http://schemas.openxmlformats.org/officeDocument/2006/relationships/hyperlink" Target="2020_06\23.06.2020\76037" TargetMode="External"/><Relationship Id="rId2790" Type="http://schemas.openxmlformats.org/officeDocument/2006/relationships/hyperlink" Target="2020_07\30.07.2020\96579" TargetMode="External"/><Relationship Id="rId3427" Type="http://schemas.openxmlformats.org/officeDocument/2006/relationships/hyperlink" Target="2020_09/24.09.2020/128296" TargetMode="External"/><Relationship Id="rId3634" Type="http://schemas.openxmlformats.org/officeDocument/2006/relationships/hyperlink" Target="2020_10\12.10.2020\137713" TargetMode="External"/><Relationship Id="rId3841" Type="http://schemas.openxmlformats.org/officeDocument/2006/relationships/hyperlink" Target="2020_11/13.11.2020/155246" TargetMode="External"/><Relationship Id="rId348" Type="http://schemas.openxmlformats.org/officeDocument/2006/relationships/hyperlink" Target="https://smp.sfurf.office/sd/operator/" TargetMode="External"/><Relationship Id="rId555" Type="http://schemas.openxmlformats.org/officeDocument/2006/relationships/hyperlink" Target="2019_12\18.12.2019\63600" TargetMode="External"/><Relationship Id="rId762" Type="http://schemas.openxmlformats.org/officeDocument/2006/relationships/hyperlink" Target="2020_01/09.01.2020/80426" TargetMode="External"/><Relationship Id="rId1185" Type="http://schemas.openxmlformats.org/officeDocument/2006/relationships/hyperlink" Target="2020_02/11.02.2020/90630" TargetMode="External"/><Relationship Id="rId1392" Type="http://schemas.openxmlformats.org/officeDocument/2006/relationships/hyperlink" Target="2020_03\03.03.2020\10441" TargetMode="External"/><Relationship Id="rId2029" Type="http://schemas.openxmlformats.org/officeDocument/2006/relationships/hyperlink" Target="2020_05/26.05.2020/49407" TargetMode="External"/><Relationship Id="rId2236" Type="http://schemas.openxmlformats.org/officeDocument/2006/relationships/hyperlink" Target="2020_06\02.06.2020\65916" TargetMode="External"/><Relationship Id="rId2443" Type="http://schemas.openxmlformats.org/officeDocument/2006/relationships/hyperlink" Target="2020_06/16.06.2020/64468" TargetMode="External"/><Relationship Id="rId2650" Type="http://schemas.openxmlformats.org/officeDocument/2006/relationships/hyperlink" Target="2020_06/29.06.2020/79096" TargetMode="External"/><Relationship Id="rId3701" Type="http://schemas.openxmlformats.org/officeDocument/2006/relationships/hyperlink" Target="2020_10/15.10.2020/131532" TargetMode="External"/><Relationship Id="rId208" Type="http://schemas.openxmlformats.org/officeDocument/2006/relationships/hyperlink" Target="https://smp.sfurf.office/sd/operator/" TargetMode="External"/><Relationship Id="rId415" Type="http://schemas.openxmlformats.org/officeDocument/2006/relationships/hyperlink" Target="https://smp.sfurf.office/sd/operator/" TargetMode="External"/><Relationship Id="rId622" Type="http://schemas.openxmlformats.org/officeDocument/2006/relationships/hyperlink" Target="2019_12\24.12.2019\68356" TargetMode="External"/><Relationship Id="rId1045" Type="http://schemas.openxmlformats.org/officeDocument/2006/relationships/hyperlink" Target="2020_01/30.01.2020/84268" TargetMode="External"/><Relationship Id="rId1252" Type="http://schemas.openxmlformats.org/officeDocument/2006/relationships/hyperlink" Target="2020_02\19.02.2020\-3896" TargetMode="External"/><Relationship Id="rId2303" Type="http://schemas.openxmlformats.org/officeDocument/2006/relationships/hyperlink" Target="2020_06/03.06.2020/67306" TargetMode="External"/><Relationship Id="rId2510" Type="http://schemas.openxmlformats.org/officeDocument/2006/relationships/hyperlink" Target="2020_06/19.06.2020/67728" TargetMode="External"/><Relationship Id="rId1112" Type="http://schemas.openxmlformats.org/officeDocument/2006/relationships/hyperlink" Target="2020_02\05.02.2020\87433" TargetMode="External"/><Relationship Id="rId3077" Type="http://schemas.openxmlformats.org/officeDocument/2006/relationships/hyperlink" Target="2020_08\24.08.2020\109966" TargetMode="External"/><Relationship Id="rId3284" Type="http://schemas.openxmlformats.org/officeDocument/2006/relationships/hyperlink" Target="2020_09/15.09.2020/115551" TargetMode="External"/><Relationship Id="rId1929" Type="http://schemas.openxmlformats.org/officeDocument/2006/relationships/hyperlink" Target="2020_05/19.05.2020/34147" TargetMode="External"/><Relationship Id="rId2093" Type="http://schemas.openxmlformats.org/officeDocument/2006/relationships/hyperlink" Target="2020_06/01.06.2020/60452" TargetMode="External"/><Relationship Id="rId3491" Type="http://schemas.openxmlformats.org/officeDocument/2006/relationships/hyperlink" Target="2020_09/29.09.2020/130492" TargetMode="External"/><Relationship Id="rId3144" Type="http://schemas.openxmlformats.org/officeDocument/2006/relationships/hyperlink" Target="2020_08\31.08.2020\115036" TargetMode="External"/><Relationship Id="rId3351" Type="http://schemas.openxmlformats.org/officeDocument/2006/relationships/hyperlink" Target="2020_09/21.09.2020/118797" TargetMode="External"/><Relationship Id="rId272" Type="http://schemas.openxmlformats.org/officeDocument/2006/relationships/hyperlink" Target="https://smp.sfurf.office/sd/operator/" TargetMode="External"/><Relationship Id="rId2160" Type="http://schemas.openxmlformats.org/officeDocument/2006/relationships/hyperlink" Target="2020_06\11.06.2020\48054" TargetMode="External"/><Relationship Id="rId3004" Type="http://schemas.openxmlformats.org/officeDocument/2006/relationships/hyperlink" Target="2020_08/14.08.2020/97372" TargetMode="External"/><Relationship Id="rId3211" Type="http://schemas.openxmlformats.org/officeDocument/2006/relationships/hyperlink" Target="2020_09/08.09.2020/118522" TargetMode="External"/><Relationship Id="rId132" Type="http://schemas.openxmlformats.org/officeDocument/2006/relationships/hyperlink" Target="2019_10\21.10.2019\31805" TargetMode="External"/><Relationship Id="rId2020" Type="http://schemas.openxmlformats.org/officeDocument/2006/relationships/hyperlink" Target="2020_05\25.05.2020\48057" TargetMode="External"/><Relationship Id="rId1579" Type="http://schemas.openxmlformats.org/officeDocument/2006/relationships/hyperlink" Target="2020_03\18.03.2020\28399" TargetMode="External"/><Relationship Id="rId2977" Type="http://schemas.openxmlformats.org/officeDocument/2006/relationships/hyperlink" Target="2020_08/14.08.2020/06613" TargetMode="External"/><Relationship Id="rId949" Type="http://schemas.openxmlformats.org/officeDocument/2006/relationships/hyperlink" Target="2020_01/22.01.2020/87809" TargetMode="External"/><Relationship Id="rId1786" Type="http://schemas.openxmlformats.org/officeDocument/2006/relationships/hyperlink" Target="2020_04/07.04.2020/36920" TargetMode="External"/><Relationship Id="rId1993" Type="http://schemas.openxmlformats.org/officeDocument/2006/relationships/hyperlink" Target="2020_05/25.05.2020/38108" TargetMode="External"/><Relationship Id="rId2837" Type="http://schemas.openxmlformats.org/officeDocument/2006/relationships/hyperlink" Target="2020_08/04.08.2020/91482" TargetMode="External"/><Relationship Id="rId78" Type="http://schemas.openxmlformats.org/officeDocument/2006/relationships/hyperlink" Target="https://smp.sfurf.office/sd/operator/index.jsp;jsessionid=4B56FDB405CD332F2E4AE6AEC0BFEE05" TargetMode="External"/><Relationship Id="rId809" Type="http://schemas.openxmlformats.org/officeDocument/2006/relationships/hyperlink" Target="2020_01/14.01.2020/67152" TargetMode="External"/><Relationship Id="rId1439" Type="http://schemas.openxmlformats.org/officeDocument/2006/relationships/hyperlink" Target="2020_03\05.03.2020\12654" TargetMode="External"/><Relationship Id="rId1646" Type="http://schemas.openxmlformats.org/officeDocument/2006/relationships/hyperlink" Target="2020_03\24.03.2020\14146" TargetMode="External"/><Relationship Id="rId1853" Type="http://schemas.openxmlformats.org/officeDocument/2006/relationships/hyperlink" Target="2020_05/14.05.2020/31016" TargetMode="External"/><Relationship Id="rId2904" Type="http://schemas.openxmlformats.org/officeDocument/2006/relationships/hyperlink" Target="2020_08/06.08.2020/00392" TargetMode="External"/><Relationship Id="rId1506" Type="http://schemas.openxmlformats.org/officeDocument/2006/relationships/hyperlink" Target="2020_03\12.03.2020\-2409" TargetMode="External"/><Relationship Id="rId1713" Type="http://schemas.openxmlformats.org/officeDocument/2006/relationships/hyperlink" Target="2020_04\06.04.2020\36629" TargetMode="External"/><Relationship Id="rId1920" Type="http://schemas.openxmlformats.org/officeDocument/2006/relationships/hyperlink" Target="2020_05/19.05.2020/34291" TargetMode="External"/><Relationship Id="rId3678" Type="http://schemas.openxmlformats.org/officeDocument/2006/relationships/hyperlink" Target="2020_10\13.10.2020\138875" TargetMode="External"/><Relationship Id="rId3885" Type="http://schemas.openxmlformats.org/officeDocument/2006/relationships/hyperlink" Target="2020_11/18.11.2020/149991" TargetMode="External"/><Relationship Id="rId599" Type="http://schemas.openxmlformats.org/officeDocument/2006/relationships/hyperlink" Target="2019_12\23.12.2019\66351" TargetMode="External"/><Relationship Id="rId2487" Type="http://schemas.openxmlformats.org/officeDocument/2006/relationships/hyperlink" Target="2020_06\17.06.2020\74158" TargetMode="External"/><Relationship Id="rId2694" Type="http://schemas.openxmlformats.org/officeDocument/2006/relationships/hyperlink" Target="2020_07\03.07.2020\81532" TargetMode="External"/><Relationship Id="rId3538" Type="http://schemas.openxmlformats.org/officeDocument/2006/relationships/hyperlink" Target="2020_10/02.10.2020/132637" TargetMode="External"/><Relationship Id="rId3745" Type="http://schemas.openxmlformats.org/officeDocument/2006/relationships/hyperlink" Target="2020_11/02.11.2020/148898" TargetMode="External"/><Relationship Id="rId459" Type="http://schemas.openxmlformats.org/officeDocument/2006/relationships/hyperlink" Target="2019_12\09.12.2019\58319" TargetMode="External"/><Relationship Id="rId666" Type="http://schemas.openxmlformats.org/officeDocument/2006/relationships/hyperlink" Target="2019_12/26.12.2019/55760" TargetMode="External"/><Relationship Id="rId873" Type="http://schemas.openxmlformats.org/officeDocument/2006/relationships/hyperlink" Target="2020_01\16.01.2020\84488" TargetMode="External"/><Relationship Id="rId1089" Type="http://schemas.openxmlformats.org/officeDocument/2006/relationships/hyperlink" Target="2020_02\04.02.2020\87971" TargetMode="External"/><Relationship Id="rId1296" Type="http://schemas.openxmlformats.org/officeDocument/2006/relationships/hyperlink" Target="2020_02/25.02.2020/-6613" TargetMode="External"/><Relationship Id="rId2347" Type="http://schemas.openxmlformats.org/officeDocument/2006/relationships/hyperlink" Target="2020_06/16.06.2020/59663" TargetMode="External"/><Relationship Id="rId2554" Type="http://schemas.openxmlformats.org/officeDocument/2006/relationships/hyperlink" Target="2020_06/23.06.2020/76939" TargetMode="External"/><Relationship Id="rId3952" Type="http://schemas.openxmlformats.org/officeDocument/2006/relationships/hyperlink" Target="2020_12\11.12.2020\163818" TargetMode="External"/><Relationship Id="rId319" Type="http://schemas.openxmlformats.org/officeDocument/2006/relationships/hyperlink" Target="2019_11\19.11.2019\54139" TargetMode="External"/><Relationship Id="rId526" Type="http://schemas.openxmlformats.org/officeDocument/2006/relationships/hyperlink" Target="2019_12\16.12.2019\70198" TargetMode="External"/><Relationship Id="rId1156" Type="http://schemas.openxmlformats.org/officeDocument/2006/relationships/hyperlink" Target="2020_02\10.02.2020\90553" TargetMode="External"/><Relationship Id="rId1363" Type="http://schemas.openxmlformats.org/officeDocument/2006/relationships/hyperlink" Target="2020_02/28.02.2020/-9644" TargetMode="External"/><Relationship Id="rId2207" Type="http://schemas.openxmlformats.org/officeDocument/2006/relationships/hyperlink" Target="2020_06/02.06.2020/66357" TargetMode="External"/><Relationship Id="rId2761" Type="http://schemas.openxmlformats.org/officeDocument/2006/relationships/hyperlink" Target="2020_07\10.07.2020\77838" TargetMode="External"/><Relationship Id="rId3605" Type="http://schemas.openxmlformats.org/officeDocument/2006/relationships/hyperlink" Target="2020_10/08.10.2020/135693" TargetMode="External"/><Relationship Id="rId3812" Type="http://schemas.openxmlformats.org/officeDocument/2006/relationships/hyperlink" Target="2020_11/09.11.2020/137014" TargetMode="External"/><Relationship Id="rId733" Type="http://schemas.openxmlformats.org/officeDocument/2006/relationships/hyperlink" Target="2019_12/31.12.2019/79596" TargetMode="External"/><Relationship Id="rId940" Type="http://schemas.openxmlformats.org/officeDocument/2006/relationships/hyperlink" Target="2020_01/22.01.2020/79903" TargetMode="External"/><Relationship Id="rId1016" Type="http://schemas.openxmlformats.org/officeDocument/2006/relationships/hyperlink" Target="2020_01\28.01.2020\82978" TargetMode="External"/><Relationship Id="rId1570" Type="http://schemas.openxmlformats.org/officeDocument/2006/relationships/hyperlink" Target="2020_03\18.03.2020\27948" TargetMode="External"/><Relationship Id="rId2414" Type="http://schemas.openxmlformats.org/officeDocument/2006/relationships/hyperlink" Target="2020_06/16.06.2020/61576" TargetMode="External"/><Relationship Id="rId2621" Type="http://schemas.openxmlformats.org/officeDocument/2006/relationships/hyperlink" Target="2020_06/26.06.2020/70541" TargetMode="External"/><Relationship Id="rId800" Type="http://schemas.openxmlformats.org/officeDocument/2006/relationships/hyperlink" Target="2020_01/13.01.2020/82286" TargetMode="External"/><Relationship Id="rId1223" Type="http://schemas.openxmlformats.org/officeDocument/2006/relationships/hyperlink" Target="2020_02/11.02.2020/90958" TargetMode="External"/><Relationship Id="rId1430" Type="http://schemas.openxmlformats.org/officeDocument/2006/relationships/hyperlink" Target="2020_03/04.03.2020/11441" TargetMode="External"/><Relationship Id="rId3188" Type="http://schemas.openxmlformats.org/officeDocument/2006/relationships/hyperlink" Target="2020_09\03.09.2020\116387" TargetMode="External"/><Relationship Id="rId3395" Type="http://schemas.openxmlformats.org/officeDocument/2006/relationships/hyperlink" Target="2020_09/22.09.2020/119023" TargetMode="External"/><Relationship Id="rId3048" Type="http://schemas.openxmlformats.org/officeDocument/2006/relationships/hyperlink" Target="2020_08/17.08.2020/97991" TargetMode="External"/><Relationship Id="rId3255" Type="http://schemas.openxmlformats.org/officeDocument/2006/relationships/hyperlink" Target="2020_09\14.09.2020\110183" TargetMode="External"/><Relationship Id="rId3462" Type="http://schemas.openxmlformats.org/officeDocument/2006/relationships/hyperlink" Target="2020_09/24.09.2020/127292" TargetMode="External"/><Relationship Id="rId176" Type="http://schemas.openxmlformats.org/officeDocument/2006/relationships/hyperlink" Target="https://smp.sfurf.office/sd/operator/index.jsp;jsessionid=4B56FDB405CD332F2E4AE6AEC0BFEE05" TargetMode="External"/><Relationship Id="rId383" Type="http://schemas.openxmlformats.org/officeDocument/2006/relationships/hyperlink" Target="2019_11\27.11.2019\59810" TargetMode="External"/><Relationship Id="rId590" Type="http://schemas.openxmlformats.org/officeDocument/2006/relationships/hyperlink" Target="2019_12\20.12.2019\74332" TargetMode="External"/><Relationship Id="rId2064" Type="http://schemas.openxmlformats.org/officeDocument/2006/relationships/hyperlink" Target="2020_06/01.06.2020/59650" TargetMode="External"/><Relationship Id="rId2271" Type="http://schemas.openxmlformats.org/officeDocument/2006/relationships/hyperlink" Target="2020_06/16.06.2020/52630" TargetMode="External"/><Relationship Id="rId3115" Type="http://schemas.openxmlformats.org/officeDocument/2006/relationships/hyperlink" Target="2020_08/21.08.2020/101738" TargetMode="External"/><Relationship Id="rId3322" Type="http://schemas.openxmlformats.org/officeDocument/2006/relationships/hyperlink" Target="2020_09/17.09.2020/124051" TargetMode="External"/><Relationship Id="rId243" Type="http://schemas.openxmlformats.org/officeDocument/2006/relationships/hyperlink" Target="https://smp.sfurf.office/sd/operator/" TargetMode="External"/><Relationship Id="rId450" Type="http://schemas.openxmlformats.org/officeDocument/2006/relationships/hyperlink" Target="https://smp.sfurf.office/sd/operator/" TargetMode="External"/><Relationship Id="rId1080" Type="http://schemas.openxmlformats.org/officeDocument/2006/relationships/hyperlink" Target="2020_02\03.02.2020\-1667" TargetMode="External"/><Relationship Id="rId2131" Type="http://schemas.openxmlformats.org/officeDocument/2006/relationships/hyperlink" Target="2020_06/09.06.2020/45088" TargetMode="External"/><Relationship Id="rId103" Type="http://schemas.openxmlformats.org/officeDocument/2006/relationships/hyperlink" Target="../Users/shilyaevan/AppData/Roaming/Microsoft/Excel/2019_10/18.10.2019/37856" TargetMode="External"/><Relationship Id="rId310" Type="http://schemas.openxmlformats.org/officeDocument/2006/relationships/hyperlink" Target="https://smp.sfurf.office/sd/operator/index.jsp;jsessionid=4B56FDB405CD332F2E4AE6AEC0BFEE05" TargetMode="External"/><Relationship Id="rId1897" Type="http://schemas.openxmlformats.org/officeDocument/2006/relationships/hyperlink" Target="2020_05\18.05.2020\32922" TargetMode="External"/><Relationship Id="rId2948" Type="http://schemas.openxmlformats.org/officeDocument/2006/relationships/hyperlink" Target="2020_08/12.08.2020/95613" TargetMode="External"/><Relationship Id="rId1757" Type="http://schemas.openxmlformats.org/officeDocument/2006/relationships/hyperlink" Target="2020_04\08.04.2020\37550" TargetMode="External"/><Relationship Id="rId1964" Type="http://schemas.openxmlformats.org/officeDocument/2006/relationships/hyperlink" Target="2020_05\22.05.2020\36549" TargetMode="External"/><Relationship Id="rId2808" Type="http://schemas.openxmlformats.org/officeDocument/2006/relationships/hyperlink" Target="2020_07/30.07.2020/88583" TargetMode="External"/><Relationship Id="rId49" Type="http://schemas.openxmlformats.org/officeDocument/2006/relationships/hyperlink" Target="https://smp.sfurf.office/sd/operator/" TargetMode="External"/><Relationship Id="rId1617" Type="http://schemas.openxmlformats.org/officeDocument/2006/relationships/hyperlink" Target="2020_03/23.03.2020/22168" TargetMode="External"/><Relationship Id="rId1824" Type="http://schemas.openxmlformats.org/officeDocument/2006/relationships/hyperlink" Target="2020_05\13.05.2020\39537" TargetMode="External"/><Relationship Id="rId3789" Type="http://schemas.openxmlformats.org/officeDocument/2006/relationships/hyperlink" Target="2020_11/10.11.2020/145731" TargetMode="External"/><Relationship Id="rId2598" Type="http://schemas.openxmlformats.org/officeDocument/2006/relationships/hyperlink" Target="2020_06/25.06.2020/69252" TargetMode="External"/><Relationship Id="rId3649" Type="http://schemas.openxmlformats.org/officeDocument/2006/relationships/hyperlink" Target="2020_10/12.10.2020/130112" TargetMode="External"/><Relationship Id="rId3856" Type="http://schemas.openxmlformats.org/officeDocument/2006/relationships/hyperlink" Target="2020_11/16.11.2020/148249" TargetMode="External"/><Relationship Id="rId777" Type="http://schemas.openxmlformats.org/officeDocument/2006/relationships/hyperlink" Target="2020_01/10.01.2020/64467" TargetMode="External"/><Relationship Id="rId984" Type="http://schemas.openxmlformats.org/officeDocument/2006/relationships/hyperlink" Target="2020_01\27.01.2020\81822" TargetMode="External"/><Relationship Id="rId2458" Type="http://schemas.openxmlformats.org/officeDocument/2006/relationships/hyperlink" Target="2020_06/16.06.2020/60871" TargetMode="External"/><Relationship Id="rId2665" Type="http://schemas.openxmlformats.org/officeDocument/2006/relationships/hyperlink" Target="2020_07\02.07.2020\73147" TargetMode="External"/><Relationship Id="rId2872" Type="http://schemas.openxmlformats.org/officeDocument/2006/relationships/hyperlink" Target="2020_08/06.08.2020/92229" TargetMode="External"/><Relationship Id="rId3509" Type="http://schemas.openxmlformats.org/officeDocument/2006/relationships/hyperlink" Target="2020_09/30.09.2020/124287" TargetMode="External"/><Relationship Id="rId3716" Type="http://schemas.openxmlformats.org/officeDocument/2006/relationships/hyperlink" Target="2020_10/15.10.2020/132210" TargetMode="External"/><Relationship Id="rId3923" Type="http://schemas.openxmlformats.org/officeDocument/2006/relationships/hyperlink" Target="2020_11/20.11.2020/159862" TargetMode="External"/><Relationship Id="rId637" Type="http://schemas.openxmlformats.org/officeDocument/2006/relationships/hyperlink" Target="2019_12/24.12.2019/75138" TargetMode="External"/><Relationship Id="rId844" Type="http://schemas.openxmlformats.org/officeDocument/2006/relationships/hyperlink" Target="2020_01/15.01.2020/83760" TargetMode="External"/><Relationship Id="rId1267" Type="http://schemas.openxmlformats.org/officeDocument/2006/relationships/hyperlink" Target="2020_02\20.02.2020\-4386" TargetMode="External"/><Relationship Id="rId1474" Type="http://schemas.openxmlformats.org/officeDocument/2006/relationships/hyperlink" Target="2020_03\10.03.2020\23255" TargetMode="External"/><Relationship Id="rId1681" Type="http://schemas.openxmlformats.org/officeDocument/2006/relationships/hyperlink" Target="2020_03\26.03.2020\24869" TargetMode="External"/><Relationship Id="rId2318" Type="http://schemas.openxmlformats.org/officeDocument/2006/relationships/hyperlink" Target="2020_06\16.06.2020\54874" TargetMode="External"/><Relationship Id="rId2525" Type="http://schemas.openxmlformats.org/officeDocument/2006/relationships/hyperlink" Target="2020_06/16.06.2020/64780" TargetMode="External"/><Relationship Id="rId2732" Type="http://schemas.openxmlformats.org/officeDocument/2006/relationships/hyperlink" Target="2020_07/09.07.2020/76239" TargetMode="External"/><Relationship Id="rId704" Type="http://schemas.openxmlformats.org/officeDocument/2006/relationships/hyperlink" Target="2019_12/27.12.2019/78076" TargetMode="External"/><Relationship Id="rId911" Type="http://schemas.openxmlformats.org/officeDocument/2006/relationships/hyperlink" Target="2020_01/21.01.2020/79053" TargetMode="External"/><Relationship Id="rId1127" Type="http://schemas.openxmlformats.org/officeDocument/2006/relationships/hyperlink" Target="2020_02/05.02.2020/-3524" TargetMode="External"/><Relationship Id="rId1334" Type="http://schemas.openxmlformats.org/officeDocument/2006/relationships/hyperlink" Target="2020_02\26.02.2020\15949" TargetMode="External"/><Relationship Id="rId1541" Type="http://schemas.openxmlformats.org/officeDocument/2006/relationships/hyperlink" Target="2020_03\16.03.2020\17357" TargetMode="External"/><Relationship Id="rId40" Type="http://schemas.openxmlformats.org/officeDocument/2006/relationships/hyperlink" Target="https://smp.sfurf.office/sd/operator/" TargetMode="External"/><Relationship Id="rId1401" Type="http://schemas.openxmlformats.org/officeDocument/2006/relationships/hyperlink" Target="2020_03/02.03.2020/18075" TargetMode="External"/><Relationship Id="rId3299" Type="http://schemas.openxmlformats.org/officeDocument/2006/relationships/hyperlink" Target="2020_09\16.09.2020\111772" TargetMode="External"/><Relationship Id="rId3159" Type="http://schemas.openxmlformats.org/officeDocument/2006/relationships/hyperlink" Target="2020_08/28.08.2020/106024" TargetMode="External"/><Relationship Id="rId3366" Type="http://schemas.openxmlformats.org/officeDocument/2006/relationships/hyperlink" Target="2020_09/22.09.2020/119539" TargetMode="External"/><Relationship Id="rId3573" Type="http://schemas.openxmlformats.org/officeDocument/2006/relationships/hyperlink" Target="2020_09/29.09.2020/130512" TargetMode="External"/><Relationship Id="rId287" Type="http://schemas.openxmlformats.org/officeDocument/2006/relationships/hyperlink" Target="2019_11\25.11.2019\49686" TargetMode="External"/><Relationship Id="rId494" Type="http://schemas.openxmlformats.org/officeDocument/2006/relationships/hyperlink" Target="2019_12\12.12.2019\69728" TargetMode="External"/><Relationship Id="rId2175" Type="http://schemas.openxmlformats.org/officeDocument/2006/relationships/hyperlink" Target="2020_06/08.06.2020/45105" TargetMode="External"/><Relationship Id="rId2382" Type="http://schemas.openxmlformats.org/officeDocument/2006/relationships/hyperlink" Target="2020_06/08.06.2020/68401" TargetMode="External"/><Relationship Id="rId3019" Type="http://schemas.openxmlformats.org/officeDocument/2006/relationships/hyperlink" Target="2020_08/20.08.2020/00444" TargetMode="External"/><Relationship Id="rId3226" Type="http://schemas.openxmlformats.org/officeDocument/2006/relationships/hyperlink" Target="2020_09/09.09.2020/111373" TargetMode="External"/><Relationship Id="rId3780" Type="http://schemas.openxmlformats.org/officeDocument/2006/relationships/hyperlink" Target="2020_11/09.11.2020/144693" TargetMode="External"/><Relationship Id="rId147" Type="http://schemas.openxmlformats.org/officeDocument/2006/relationships/hyperlink" Target="2019_11\07.11.2019\39993" TargetMode="External"/><Relationship Id="rId354" Type="http://schemas.openxmlformats.org/officeDocument/2006/relationships/hyperlink" Target="https://smp.sfurf.office/sd/operator/" TargetMode="External"/><Relationship Id="rId1191" Type="http://schemas.openxmlformats.org/officeDocument/2006/relationships/hyperlink" Target="2020_02/11.02.2020/91417" TargetMode="External"/><Relationship Id="rId2035" Type="http://schemas.openxmlformats.org/officeDocument/2006/relationships/hyperlink" Target="2020_05/21.05.2020/46195" TargetMode="External"/><Relationship Id="rId3433" Type="http://schemas.openxmlformats.org/officeDocument/2006/relationships/hyperlink" Target="2020_09/24.09.2020/128069" TargetMode="External"/><Relationship Id="rId3640" Type="http://schemas.openxmlformats.org/officeDocument/2006/relationships/hyperlink" Target="2020_10/09.10.2020/136987" TargetMode="External"/><Relationship Id="rId561" Type="http://schemas.openxmlformats.org/officeDocument/2006/relationships/hyperlink" Target="2019_12\18.12.2019\64278" TargetMode="External"/><Relationship Id="rId2242" Type="http://schemas.openxmlformats.org/officeDocument/2006/relationships/hyperlink" Target="2020_06/02.06.2020/65780" TargetMode="External"/><Relationship Id="rId3500" Type="http://schemas.openxmlformats.org/officeDocument/2006/relationships/hyperlink" Target="2020_09/30.09.2020/123871" TargetMode="External"/><Relationship Id="rId214" Type="http://schemas.openxmlformats.org/officeDocument/2006/relationships/hyperlink" Target="2019_10\30.10.2019\43852" TargetMode="External"/><Relationship Id="rId421" Type="http://schemas.openxmlformats.org/officeDocument/2006/relationships/hyperlink" Target="2019_12\04.12.2019\64001" TargetMode="External"/><Relationship Id="rId1051" Type="http://schemas.openxmlformats.org/officeDocument/2006/relationships/hyperlink" Target="2020_01\31.01.2020\85184" TargetMode="External"/><Relationship Id="rId2102" Type="http://schemas.openxmlformats.org/officeDocument/2006/relationships/hyperlink" Target="2020_06\01.06.2020\51103" TargetMode="External"/><Relationship Id="rId1868" Type="http://schemas.openxmlformats.org/officeDocument/2006/relationships/hyperlink" Target="2020_05\14.05.2020\30979" TargetMode="External"/><Relationship Id="rId2919" Type="http://schemas.openxmlformats.org/officeDocument/2006/relationships/hyperlink" Target="2020_08/07.08.2020/01113" TargetMode="External"/><Relationship Id="rId3083" Type="http://schemas.openxmlformats.org/officeDocument/2006/relationships/hyperlink" Target="2020_08/25.08.2020/103025" TargetMode="External"/><Relationship Id="rId3290" Type="http://schemas.openxmlformats.org/officeDocument/2006/relationships/hyperlink" Target="2020_09/15.09.2020/115519" TargetMode="External"/><Relationship Id="rId1728" Type="http://schemas.openxmlformats.org/officeDocument/2006/relationships/hyperlink" Target="2020_04/06.04.2020/36589" TargetMode="External"/><Relationship Id="rId1935" Type="http://schemas.openxmlformats.org/officeDocument/2006/relationships/hyperlink" Target="2020_05/20.05.2020/45166" TargetMode="External"/><Relationship Id="rId3150" Type="http://schemas.openxmlformats.org/officeDocument/2006/relationships/hyperlink" Target="2020_09/01.09.2020/115521" TargetMode="External"/><Relationship Id="rId3010" Type="http://schemas.openxmlformats.org/officeDocument/2006/relationships/hyperlink" Target="2020_08/17.08.2020/98064" TargetMode="External"/><Relationship Id="rId3967" Type="http://schemas.openxmlformats.org/officeDocument/2006/relationships/hyperlink" Target="2020_12/17.12.2020/166735" TargetMode="External"/><Relationship Id="rId4" Type="http://schemas.openxmlformats.org/officeDocument/2006/relationships/hyperlink" Target="https://smp.sfurf.office/sd/operator/index.jsp;jsessionid=4B56FDB405CD332F2E4AE6AEC0BFEE05" TargetMode="External"/><Relationship Id="rId888" Type="http://schemas.openxmlformats.org/officeDocument/2006/relationships/hyperlink" Target="2020_01/17.01.2020/85296" TargetMode="External"/><Relationship Id="rId2569" Type="http://schemas.openxmlformats.org/officeDocument/2006/relationships/hyperlink" Target="2020_06/23.06.2020/64324" TargetMode="External"/><Relationship Id="rId2776" Type="http://schemas.openxmlformats.org/officeDocument/2006/relationships/hyperlink" Target="2020_07/24.07.2020/85825" TargetMode="External"/><Relationship Id="rId2983" Type="http://schemas.openxmlformats.org/officeDocument/2006/relationships/hyperlink" Target="2020_08\13.08.2020\04728" TargetMode="External"/><Relationship Id="rId3827" Type="http://schemas.openxmlformats.org/officeDocument/2006/relationships/hyperlink" Target="2020_11/11.11.2020/153366" TargetMode="External"/><Relationship Id="rId748" Type="http://schemas.openxmlformats.org/officeDocument/2006/relationships/hyperlink" Target="2019_12/31.12.2019/79787" TargetMode="External"/><Relationship Id="rId955" Type="http://schemas.openxmlformats.org/officeDocument/2006/relationships/hyperlink" Target="2020_01\23.01.2020\88992" TargetMode="External"/><Relationship Id="rId1378" Type="http://schemas.openxmlformats.org/officeDocument/2006/relationships/hyperlink" Target="2020_03/02.03.2020/10574" TargetMode="External"/><Relationship Id="rId1585" Type="http://schemas.openxmlformats.org/officeDocument/2006/relationships/hyperlink" Target="2020_03/19.03.2020/29315" TargetMode="External"/><Relationship Id="rId1792" Type="http://schemas.openxmlformats.org/officeDocument/2006/relationships/hyperlink" Target="2020_05\08.05.2020\28503" TargetMode="External"/><Relationship Id="rId2429" Type="http://schemas.openxmlformats.org/officeDocument/2006/relationships/hyperlink" Target="2020_06\16.06.2020\54757" TargetMode="External"/><Relationship Id="rId2636" Type="http://schemas.openxmlformats.org/officeDocument/2006/relationships/hyperlink" Target="2020_06/29.06.2020/78627" TargetMode="External"/><Relationship Id="rId2843" Type="http://schemas.openxmlformats.org/officeDocument/2006/relationships/hyperlink" Target="2020_08/03.08.2020/89999" TargetMode="External"/><Relationship Id="rId84" Type="http://schemas.openxmlformats.org/officeDocument/2006/relationships/hyperlink" Target="2019_10\30.10.2019\28979" TargetMode="External"/><Relationship Id="rId608" Type="http://schemas.openxmlformats.org/officeDocument/2006/relationships/hyperlink" Target="2019_12/23.12.2019/66986" TargetMode="External"/><Relationship Id="rId815" Type="http://schemas.openxmlformats.org/officeDocument/2006/relationships/hyperlink" Target="2020_01\14.01.2020\74580" TargetMode="External"/><Relationship Id="rId1238" Type="http://schemas.openxmlformats.org/officeDocument/2006/relationships/hyperlink" Target="2020_02/18.02.2020/11241" TargetMode="External"/><Relationship Id="rId1445" Type="http://schemas.openxmlformats.org/officeDocument/2006/relationships/hyperlink" Target="2020_03\05.03.2020\21608" TargetMode="External"/><Relationship Id="rId1652" Type="http://schemas.openxmlformats.org/officeDocument/2006/relationships/hyperlink" Target="2020_03\24.03.2020\23442" TargetMode="External"/><Relationship Id="rId1305" Type="http://schemas.openxmlformats.org/officeDocument/2006/relationships/hyperlink" Target="2020_02/25.02.2020/-7175" TargetMode="External"/><Relationship Id="rId2703" Type="http://schemas.openxmlformats.org/officeDocument/2006/relationships/hyperlink" Target="2020_07/06.07.2020/74539" TargetMode="External"/><Relationship Id="rId2910" Type="http://schemas.openxmlformats.org/officeDocument/2006/relationships/hyperlink" Target="2020_08/07.08.2020/94024" TargetMode="External"/><Relationship Id="rId1512" Type="http://schemas.openxmlformats.org/officeDocument/2006/relationships/hyperlink" Target="2020_03/12.03.2020/16129" TargetMode="External"/><Relationship Id="rId11" Type="http://schemas.openxmlformats.org/officeDocument/2006/relationships/hyperlink" Target="https://smp.sfurf.office/sd/operator/index.jsp;jsessionid=4B56FDB405CD332F2E4AE6AEC0BFEE05" TargetMode="External"/><Relationship Id="rId398" Type="http://schemas.openxmlformats.org/officeDocument/2006/relationships/hyperlink" Target="https://smp.sfurf.office/sd/operator/" TargetMode="External"/><Relationship Id="rId2079" Type="http://schemas.openxmlformats.org/officeDocument/2006/relationships/hyperlink" Target="2020_06/01.06.2020/60451" TargetMode="External"/><Relationship Id="rId3477" Type="http://schemas.openxmlformats.org/officeDocument/2006/relationships/hyperlink" Target="2020_09/28.09.2020/122218" TargetMode="External"/><Relationship Id="rId3684" Type="http://schemas.openxmlformats.org/officeDocument/2006/relationships/hyperlink" Target="2020_10/14.10.2020/127423" TargetMode="External"/><Relationship Id="rId3891" Type="http://schemas.openxmlformats.org/officeDocument/2006/relationships/hyperlink" Target="2020_11/19.11.2020/151092" TargetMode="External"/><Relationship Id="rId2286" Type="http://schemas.openxmlformats.org/officeDocument/2006/relationships/hyperlink" Target="2020_06/08.06.2020/68665" TargetMode="External"/><Relationship Id="rId2493" Type="http://schemas.openxmlformats.org/officeDocument/2006/relationships/hyperlink" Target="2020_06\16.06.2020\61568" TargetMode="External"/><Relationship Id="rId3337" Type="http://schemas.openxmlformats.org/officeDocument/2006/relationships/hyperlink" Target="2020_09/18.09.2020/125286" TargetMode="External"/><Relationship Id="rId3544" Type="http://schemas.openxmlformats.org/officeDocument/2006/relationships/hyperlink" Target="2020_10/02.10.2020/133100" TargetMode="External"/><Relationship Id="rId3751" Type="http://schemas.openxmlformats.org/officeDocument/2006/relationships/hyperlink" Target="2020_11/05.11.2020/143065" TargetMode="External"/><Relationship Id="rId258" Type="http://schemas.openxmlformats.org/officeDocument/2006/relationships/hyperlink" Target="2019_11\05.11.2019\47206" TargetMode="External"/><Relationship Id="rId465" Type="http://schemas.openxmlformats.org/officeDocument/2006/relationships/hyperlink" Target="2019_12\09.12.2019\53072" TargetMode="External"/><Relationship Id="rId672" Type="http://schemas.openxmlformats.org/officeDocument/2006/relationships/hyperlink" Target="2019_12/26.12.2019/77094" TargetMode="External"/><Relationship Id="rId1095" Type="http://schemas.openxmlformats.org/officeDocument/2006/relationships/hyperlink" Target="2020_02\04.02.2020\86933" TargetMode="External"/><Relationship Id="rId2146" Type="http://schemas.openxmlformats.org/officeDocument/2006/relationships/hyperlink" Target="2020_06/15.06.2020/49561" TargetMode="External"/><Relationship Id="rId2353" Type="http://schemas.openxmlformats.org/officeDocument/2006/relationships/hyperlink" Target="2020_06\16.06.2020\56667" TargetMode="External"/><Relationship Id="rId2560" Type="http://schemas.openxmlformats.org/officeDocument/2006/relationships/hyperlink" Target="2020_06/23.06.2020/76814" TargetMode="External"/><Relationship Id="rId3404" Type="http://schemas.openxmlformats.org/officeDocument/2006/relationships/hyperlink" Target="2020_09/18.09.2020/125623" TargetMode="External"/><Relationship Id="rId3611" Type="http://schemas.openxmlformats.org/officeDocument/2006/relationships/hyperlink" Target="2020_10/09.10.2020/129356" TargetMode="External"/><Relationship Id="rId118" Type="http://schemas.openxmlformats.org/officeDocument/2006/relationships/hyperlink" Target="https://smp.sfurf.office/sd/operator/index.jsp;jsessionid=4B56FDB405CD332F2E4AE6AEC0BFEE05" TargetMode="External"/><Relationship Id="rId325" Type="http://schemas.openxmlformats.org/officeDocument/2006/relationships/hyperlink" Target="2019_11\19.11.2019\54338" TargetMode="External"/><Relationship Id="rId532" Type="http://schemas.openxmlformats.org/officeDocument/2006/relationships/hyperlink" Target="2019_12\17.12.2019\62786" TargetMode="External"/><Relationship Id="rId1162" Type="http://schemas.openxmlformats.org/officeDocument/2006/relationships/hyperlink" Target="2020_02\07.02.2020\-5154" TargetMode="External"/><Relationship Id="rId2006" Type="http://schemas.openxmlformats.org/officeDocument/2006/relationships/hyperlink" Target="2020_05\26.05.2020\49302" TargetMode="External"/><Relationship Id="rId2213" Type="http://schemas.openxmlformats.org/officeDocument/2006/relationships/hyperlink" Target="2020_06\10.06.2020\46348" TargetMode="External"/><Relationship Id="rId2420" Type="http://schemas.openxmlformats.org/officeDocument/2006/relationships/hyperlink" Target="2020_06/16.06.2020/60666" TargetMode="External"/><Relationship Id="rId1022" Type="http://schemas.openxmlformats.org/officeDocument/2006/relationships/hyperlink" Target="2020_01\29.01.2020\83308" TargetMode="External"/><Relationship Id="rId1979" Type="http://schemas.openxmlformats.org/officeDocument/2006/relationships/hyperlink" Target="2020_05/19.05.2020/43475" TargetMode="External"/><Relationship Id="rId3194" Type="http://schemas.openxmlformats.org/officeDocument/2006/relationships/hyperlink" Target="2020_09/04.09.2020/117668" TargetMode="External"/><Relationship Id="rId1839" Type="http://schemas.openxmlformats.org/officeDocument/2006/relationships/hyperlink" Target="2020_05/15.05.2020/32147" TargetMode="External"/><Relationship Id="rId3054" Type="http://schemas.openxmlformats.org/officeDocument/2006/relationships/hyperlink" Target="2020_08\19.08.2020\99760" TargetMode="External"/><Relationship Id="rId182" Type="http://schemas.openxmlformats.org/officeDocument/2006/relationships/hyperlink" Target="https://smp.sfurf.office/sd/operator/index.jsp;jsessionid=4B56FDB405CD332F2E4AE6AEC0BFEE05" TargetMode="External"/><Relationship Id="rId1906" Type="http://schemas.openxmlformats.org/officeDocument/2006/relationships/hyperlink" Target="2020_05/19.05.2020/43461" TargetMode="External"/><Relationship Id="rId3261" Type="http://schemas.openxmlformats.org/officeDocument/2006/relationships/hyperlink" Target="2020_09/14.09.2020/114463" TargetMode="External"/><Relationship Id="rId2070" Type="http://schemas.openxmlformats.org/officeDocument/2006/relationships/hyperlink" Target="2020_06\01.06.2020\62325" TargetMode="External"/><Relationship Id="rId3121" Type="http://schemas.openxmlformats.org/officeDocument/2006/relationships/hyperlink" Target="2020_08/24.08.2020/95219" TargetMode="External"/><Relationship Id="rId999" Type="http://schemas.openxmlformats.org/officeDocument/2006/relationships/hyperlink" Target="2020_01/27.01.2020/83190" TargetMode="External"/><Relationship Id="rId2887" Type="http://schemas.openxmlformats.org/officeDocument/2006/relationships/hyperlink" Target="2020_08/04.08.2020/98973" TargetMode="External"/><Relationship Id="rId859" Type="http://schemas.openxmlformats.org/officeDocument/2006/relationships/hyperlink" Target="2020_01/16.01.2020/76377" TargetMode="External"/><Relationship Id="rId1489" Type="http://schemas.openxmlformats.org/officeDocument/2006/relationships/hyperlink" Target="2020_03/10.03.2020/-5754" TargetMode="External"/><Relationship Id="rId1696" Type="http://schemas.openxmlformats.org/officeDocument/2006/relationships/hyperlink" Target="2020_03\27.03.2020\16914" TargetMode="External"/><Relationship Id="rId3938" Type="http://schemas.openxmlformats.org/officeDocument/2006/relationships/hyperlink" Target="2020_12/10.12.2020/163054" TargetMode="External"/><Relationship Id="rId1349" Type="http://schemas.openxmlformats.org/officeDocument/2006/relationships/hyperlink" Target="2020_02/27.02.2020/16590" TargetMode="External"/><Relationship Id="rId2747" Type="http://schemas.openxmlformats.org/officeDocument/2006/relationships/hyperlink" Target="2020_07/10.07.2020/77788" TargetMode="External"/><Relationship Id="rId2954" Type="http://schemas.openxmlformats.org/officeDocument/2006/relationships/hyperlink" Target="2020_08/11.08.2020/02951" TargetMode="External"/><Relationship Id="rId719" Type="http://schemas.openxmlformats.org/officeDocument/2006/relationships/hyperlink" Target="2019_12\30.12.2019\78668" TargetMode="External"/><Relationship Id="rId926" Type="http://schemas.openxmlformats.org/officeDocument/2006/relationships/hyperlink" Target="2020_01/22.01.2020/79294" TargetMode="External"/><Relationship Id="rId1556" Type="http://schemas.openxmlformats.org/officeDocument/2006/relationships/hyperlink" Target="2020_03\17.03.2020\18209" TargetMode="External"/><Relationship Id="rId1763" Type="http://schemas.openxmlformats.org/officeDocument/2006/relationships/hyperlink" Target="2020_04/08.04.2020/37879" TargetMode="External"/><Relationship Id="rId1970" Type="http://schemas.openxmlformats.org/officeDocument/2006/relationships/hyperlink" Target="2020_05\21.05.2020\45575" TargetMode="External"/><Relationship Id="rId2607" Type="http://schemas.openxmlformats.org/officeDocument/2006/relationships/hyperlink" Target="2020_06/25.06.2020/69350" TargetMode="External"/><Relationship Id="rId2814" Type="http://schemas.openxmlformats.org/officeDocument/2006/relationships/hyperlink" Target="2020_07/29.07.2020/87378" TargetMode="External"/><Relationship Id="rId55" Type="http://schemas.openxmlformats.org/officeDocument/2006/relationships/hyperlink" Target="https://smp.sfurf.office/sd/operator/" TargetMode="External"/><Relationship Id="rId1209" Type="http://schemas.openxmlformats.org/officeDocument/2006/relationships/hyperlink" Target="2020_02\12.02.2020\-8552" TargetMode="External"/><Relationship Id="rId1416" Type="http://schemas.openxmlformats.org/officeDocument/2006/relationships/hyperlink" Target="2020_03/04.03.2020/11386" TargetMode="External"/><Relationship Id="rId1623" Type="http://schemas.openxmlformats.org/officeDocument/2006/relationships/hyperlink" Target="2020_03\23.03.2020\30647" TargetMode="External"/><Relationship Id="rId1830" Type="http://schemas.openxmlformats.org/officeDocument/2006/relationships/hyperlink" Target="2020_05/14.05.2020/41358" TargetMode="External"/><Relationship Id="rId3588" Type="http://schemas.openxmlformats.org/officeDocument/2006/relationships/hyperlink" Target="2020_10/07.10.2020/127692" TargetMode="External"/><Relationship Id="rId3795" Type="http://schemas.openxmlformats.org/officeDocument/2006/relationships/hyperlink" Target="2020_11\09.11.2020\152253" TargetMode="External"/><Relationship Id="rId2397" Type="http://schemas.openxmlformats.org/officeDocument/2006/relationships/hyperlink" Target="2020_06/16.06.2020/54058" TargetMode="External"/><Relationship Id="rId3448" Type="http://schemas.openxmlformats.org/officeDocument/2006/relationships/hyperlink" Target="2020_09/25.09.2020/129307" TargetMode="External"/><Relationship Id="rId3655" Type="http://schemas.openxmlformats.org/officeDocument/2006/relationships/hyperlink" Target="2020_10/13.10.2020/130857" TargetMode="External"/><Relationship Id="rId3862" Type="http://schemas.openxmlformats.org/officeDocument/2006/relationships/hyperlink" Target="2020_11\18.11.2020\150065" TargetMode="External"/><Relationship Id="rId369" Type="http://schemas.openxmlformats.org/officeDocument/2006/relationships/hyperlink" Target="2019_11\25.11.2019\58323" TargetMode="External"/><Relationship Id="rId576" Type="http://schemas.openxmlformats.org/officeDocument/2006/relationships/hyperlink" Target="2019_12\19.12.2019\73379" TargetMode="External"/><Relationship Id="rId783" Type="http://schemas.openxmlformats.org/officeDocument/2006/relationships/hyperlink" Target="2020_01\09.01.2020\80675" TargetMode="External"/><Relationship Id="rId990" Type="http://schemas.openxmlformats.org/officeDocument/2006/relationships/hyperlink" Target="2020_01\27.01.2020\89974" TargetMode="External"/><Relationship Id="rId2257" Type="http://schemas.openxmlformats.org/officeDocument/2006/relationships/hyperlink" Target="2020_06/16.06.2020/52371" TargetMode="External"/><Relationship Id="rId2464" Type="http://schemas.openxmlformats.org/officeDocument/2006/relationships/hyperlink" Target="2020_06/16.06.2020/65725" TargetMode="External"/><Relationship Id="rId2671" Type="http://schemas.openxmlformats.org/officeDocument/2006/relationships/hyperlink" Target="2020_07\02.07.2020\80472" TargetMode="External"/><Relationship Id="rId3308" Type="http://schemas.openxmlformats.org/officeDocument/2006/relationships/hyperlink" Target="2020_09/16.09.2020/123189" TargetMode="External"/><Relationship Id="rId3515" Type="http://schemas.openxmlformats.org/officeDocument/2006/relationships/hyperlink" Target="2020_10\01.10.2020\131452" TargetMode="External"/><Relationship Id="rId229" Type="http://schemas.openxmlformats.org/officeDocument/2006/relationships/hyperlink" Target="https://smp.sfurf.office/sd/operator/" TargetMode="External"/><Relationship Id="rId436" Type="http://schemas.openxmlformats.org/officeDocument/2006/relationships/hyperlink" Target="https://smp.sfurf.office/sd/operator/" TargetMode="External"/><Relationship Id="rId643" Type="http://schemas.openxmlformats.org/officeDocument/2006/relationships/hyperlink" Target="2019_12/25.12.2019/76597" TargetMode="External"/><Relationship Id="rId1066" Type="http://schemas.openxmlformats.org/officeDocument/2006/relationships/hyperlink" Target="2020_02\03.02.2020\81991" TargetMode="External"/><Relationship Id="rId1273" Type="http://schemas.openxmlformats.org/officeDocument/2006/relationships/hyperlink" Target="2020_02\20.02.2020\12775" TargetMode="External"/><Relationship Id="rId1480" Type="http://schemas.openxmlformats.org/officeDocument/2006/relationships/hyperlink" Target="2020_03\11.03.2020\24090" TargetMode="External"/><Relationship Id="rId2117" Type="http://schemas.openxmlformats.org/officeDocument/2006/relationships/hyperlink" Target="2020_05\27.05.2020\47027" TargetMode="External"/><Relationship Id="rId2324" Type="http://schemas.openxmlformats.org/officeDocument/2006/relationships/hyperlink" Target="2020_06\03.06.2020\66752" TargetMode="External"/><Relationship Id="rId3722" Type="http://schemas.openxmlformats.org/officeDocument/2006/relationships/hyperlink" Target="2020_10\16.10.2020\133005" TargetMode="External"/><Relationship Id="rId850" Type="http://schemas.openxmlformats.org/officeDocument/2006/relationships/hyperlink" Target="2020_01\15.01.2020\75649" TargetMode="External"/><Relationship Id="rId1133" Type="http://schemas.openxmlformats.org/officeDocument/2006/relationships/hyperlink" Target="2020_02\06.02.2020\-4348" TargetMode="External"/><Relationship Id="rId2531" Type="http://schemas.openxmlformats.org/officeDocument/2006/relationships/hyperlink" Target="2020_06/11.06.2020/71846" TargetMode="External"/><Relationship Id="rId503" Type="http://schemas.openxmlformats.org/officeDocument/2006/relationships/hyperlink" Target="2019_12/13.12.2019/69430" TargetMode="External"/><Relationship Id="rId710" Type="http://schemas.openxmlformats.org/officeDocument/2006/relationships/hyperlink" Target="2019_12/30.12.2019/71263" TargetMode="External"/><Relationship Id="rId1340" Type="http://schemas.openxmlformats.org/officeDocument/2006/relationships/hyperlink" Target="2020_02/26.02.2020/-7626" TargetMode="External"/><Relationship Id="rId3098" Type="http://schemas.openxmlformats.org/officeDocument/2006/relationships/hyperlink" Target="2020_08\25.08.2020\102984" TargetMode="External"/><Relationship Id="rId1200" Type="http://schemas.openxmlformats.org/officeDocument/2006/relationships/hyperlink" Target="2020_02\11.02.2020\-6871" TargetMode="External"/><Relationship Id="rId3165" Type="http://schemas.openxmlformats.org/officeDocument/2006/relationships/hyperlink" Target="2020_09\02.09.2020\108110" TargetMode="External"/><Relationship Id="rId3372" Type="http://schemas.openxmlformats.org/officeDocument/2006/relationships/hyperlink" Target="2020_09/22.09.2020/115786" TargetMode="External"/><Relationship Id="rId293" Type="http://schemas.openxmlformats.org/officeDocument/2006/relationships/hyperlink" Target="2019_11\13.11.2019\50889" TargetMode="External"/><Relationship Id="rId2181" Type="http://schemas.openxmlformats.org/officeDocument/2006/relationships/hyperlink" Target="2020_06/09.06.2020/46672" TargetMode="External"/><Relationship Id="rId3025" Type="http://schemas.openxmlformats.org/officeDocument/2006/relationships/hyperlink" Target="2020_08/17.08.2020/98863" TargetMode="External"/><Relationship Id="rId3232" Type="http://schemas.openxmlformats.org/officeDocument/2006/relationships/hyperlink" Target="2020_09/11.09.2020/114041" TargetMode="External"/><Relationship Id="rId153" Type="http://schemas.openxmlformats.org/officeDocument/2006/relationships/hyperlink" Target="../Users/shilyaevan/AppData/Roaming/Microsoft/Excel/2019_10/24.10.2019/40776" TargetMode="External"/><Relationship Id="rId360" Type="http://schemas.openxmlformats.org/officeDocument/2006/relationships/hyperlink" Target="2019_11\22.11.2019\49082" TargetMode="External"/><Relationship Id="rId2041" Type="http://schemas.openxmlformats.org/officeDocument/2006/relationships/hyperlink" Target="2020_05/27.05.2020/50569" TargetMode="External"/><Relationship Id="rId220" Type="http://schemas.openxmlformats.org/officeDocument/2006/relationships/hyperlink" Target="2019_11\15.11.2019\44853" TargetMode="External"/><Relationship Id="rId2998" Type="http://schemas.openxmlformats.org/officeDocument/2006/relationships/hyperlink" Target="2020_08/13.08.2020/97392" TargetMode="External"/><Relationship Id="rId2858" Type="http://schemas.openxmlformats.org/officeDocument/2006/relationships/hyperlink" Target="2020_08/04.08.2020/90815" TargetMode="External"/><Relationship Id="rId3909" Type="http://schemas.openxmlformats.org/officeDocument/2006/relationships/hyperlink" Target="2020_11/20.11.2020/159604" TargetMode="External"/><Relationship Id="rId99" Type="http://schemas.openxmlformats.org/officeDocument/2006/relationships/hyperlink" Target="2019_11\01.11.2019\37850" TargetMode="External"/><Relationship Id="rId1667" Type="http://schemas.openxmlformats.org/officeDocument/2006/relationships/hyperlink" Target="2020_03/25.03.2020/32583" TargetMode="External"/><Relationship Id="rId1874" Type="http://schemas.openxmlformats.org/officeDocument/2006/relationships/hyperlink" Target="2020_05/15.05.2020/32097" TargetMode="External"/><Relationship Id="rId2718" Type="http://schemas.openxmlformats.org/officeDocument/2006/relationships/hyperlink" Target="2020_07/07.07.2020/82435" TargetMode="External"/><Relationship Id="rId2925" Type="http://schemas.openxmlformats.org/officeDocument/2006/relationships/hyperlink" Target="2020_08/10.08.2020/94838" TargetMode="External"/><Relationship Id="rId1527" Type="http://schemas.openxmlformats.org/officeDocument/2006/relationships/hyperlink" Target="2020_03\13.03.2020\16833" TargetMode="External"/><Relationship Id="rId1734" Type="http://schemas.openxmlformats.org/officeDocument/2006/relationships/hyperlink" Target="2020_04\07.04.2020\18736" TargetMode="External"/><Relationship Id="rId1941" Type="http://schemas.openxmlformats.org/officeDocument/2006/relationships/hyperlink" Target="2020_05\20.05.2020\35805" TargetMode="External"/><Relationship Id="rId26" Type="http://schemas.openxmlformats.org/officeDocument/2006/relationships/hyperlink" Target="https://smp.sfurf.office/sd/operator/index.jsp;jsessionid=4B56FDB405CD332F2E4AE6AEC0BFEE05" TargetMode="External"/><Relationship Id="rId3699" Type="http://schemas.openxmlformats.org/officeDocument/2006/relationships/hyperlink" Target="2020_10/15.10.2020/140085" TargetMode="External"/><Relationship Id="rId1801" Type="http://schemas.openxmlformats.org/officeDocument/2006/relationships/hyperlink" Target="2020_05\06.05.2020\36005" TargetMode="External"/><Relationship Id="rId3559" Type="http://schemas.openxmlformats.org/officeDocument/2006/relationships/hyperlink" Target="2020_10/05.10.2020/126172" TargetMode="External"/><Relationship Id="rId687" Type="http://schemas.openxmlformats.org/officeDocument/2006/relationships/hyperlink" Target="2019_12/26.12.2019/69449" TargetMode="External"/><Relationship Id="rId2368" Type="http://schemas.openxmlformats.org/officeDocument/2006/relationships/hyperlink" Target="2020_06\16.06.2020\59659" TargetMode="External"/><Relationship Id="rId3766" Type="http://schemas.openxmlformats.org/officeDocument/2006/relationships/hyperlink" Target="2020_11\06.11.2020\143794" TargetMode="External"/><Relationship Id="rId3973" Type="http://schemas.openxmlformats.org/officeDocument/2006/relationships/hyperlink" Target="2020_12/17.12.2020/174972" TargetMode="External"/><Relationship Id="rId894" Type="http://schemas.openxmlformats.org/officeDocument/2006/relationships/hyperlink" Target="2020_01\20.01.2020\85898" TargetMode="External"/><Relationship Id="rId1177" Type="http://schemas.openxmlformats.org/officeDocument/2006/relationships/hyperlink" Target="2020_02\10.02.2020\-6833" TargetMode="External"/><Relationship Id="rId2575" Type="http://schemas.openxmlformats.org/officeDocument/2006/relationships/hyperlink" Target="2020_06/23.06.2020/76206" TargetMode="External"/><Relationship Id="rId2782" Type="http://schemas.openxmlformats.org/officeDocument/2006/relationships/hyperlink" Target="2020_07/21.07.2020/91493" TargetMode="External"/><Relationship Id="rId3419" Type="http://schemas.openxmlformats.org/officeDocument/2006/relationships/hyperlink" Target="2020_09/23.09.2020/120055" TargetMode="External"/><Relationship Id="rId3626" Type="http://schemas.openxmlformats.org/officeDocument/2006/relationships/hyperlink" Target="2020_10/09.10.2020/129239" TargetMode="External"/><Relationship Id="rId3833" Type="http://schemas.openxmlformats.org/officeDocument/2006/relationships/hyperlink" Target="2020_11/12.11.2020/154648" TargetMode="External"/><Relationship Id="rId547" Type="http://schemas.openxmlformats.org/officeDocument/2006/relationships/hyperlink" Target="2019_12/17.12.2019/62659" TargetMode="External"/><Relationship Id="rId754" Type="http://schemas.openxmlformats.org/officeDocument/2006/relationships/hyperlink" Target="2019_12\31.12.2019\79793" TargetMode="External"/><Relationship Id="rId961" Type="http://schemas.openxmlformats.org/officeDocument/2006/relationships/hyperlink" Target="2020_01/22.01.2020/88640" TargetMode="External"/><Relationship Id="rId1384" Type="http://schemas.openxmlformats.org/officeDocument/2006/relationships/hyperlink" Target="2020_03\02.03.2020\-9825" TargetMode="External"/><Relationship Id="rId1591" Type="http://schemas.openxmlformats.org/officeDocument/2006/relationships/hyperlink" Target="2020_03\19.03.2020\19748" TargetMode="External"/><Relationship Id="rId2228" Type="http://schemas.openxmlformats.org/officeDocument/2006/relationships/hyperlink" Target="2020_06\03.06.2020\66688" TargetMode="External"/><Relationship Id="rId2435" Type="http://schemas.openxmlformats.org/officeDocument/2006/relationships/hyperlink" Target="2020_06/16.06.2020/65439" TargetMode="External"/><Relationship Id="rId2642" Type="http://schemas.openxmlformats.org/officeDocument/2006/relationships/hyperlink" Target="2020_06\29.06.2020\72113" TargetMode="External"/><Relationship Id="rId3900" Type="http://schemas.openxmlformats.org/officeDocument/2006/relationships/hyperlink" Target="2020_11/20.11.2020/151724" TargetMode="External"/><Relationship Id="rId90" Type="http://schemas.openxmlformats.org/officeDocument/2006/relationships/hyperlink" Target="2019_10\31.10.2019\37199" TargetMode="External"/><Relationship Id="rId407" Type="http://schemas.openxmlformats.org/officeDocument/2006/relationships/hyperlink" Target="https://smp.sfurf.office/sd/operator/" TargetMode="External"/><Relationship Id="rId614" Type="http://schemas.openxmlformats.org/officeDocument/2006/relationships/hyperlink" Target="2019_12/24.12.2019/67243" TargetMode="External"/><Relationship Id="rId821" Type="http://schemas.openxmlformats.org/officeDocument/2006/relationships/hyperlink" Target="2020_01\14.01.2020\82484" TargetMode="External"/><Relationship Id="rId1037" Type="http://schemas.openxmlformats.org/officeDocument/2006/relationships/hyperlink" Target="2020_01\30.01.2020\85429" TargetMode="External"/><Relationship Id="rId1244" Type="http://schemas.openxmlformats.org/officeDocument/2006/relationships/hyperlink" Target="2020_02\19.02.2020\-3078" TargetMode="External"/><Relationship Id="rId1451" Type="http://schemas.openxmlformats.org/officeDocument/2006/relationships/hyperlink" Target="2020_03\06.03.2020\21703" TargetMode="External"/><Relationship Id="rId2502" Type="http://schemas.openxmlformats.org/officeDocument/2006/relationships/hyperlink" Target="2020_06/16.06.2020/62635" TargetMode="External"/><Relationship Id="rId1104" Type="http://schemas.openxmlformats.org/officeDocument/2006/relationships/hyperlink" Target="2020_02/04.02.2020/86995" TargetMode="External"/><Relationship Id="rId1311" Type="http://schemas.openxmlformats.org/officeDocument/2006/relationships/hyperlink" Target="2020_02/25.02.2020/14539" TargetMode="External"/><Relationship Id="rId3069" Type="http://schemas.openxmlformats.org/officeDocument/2006/relationships/hyperlink" Target="2020_08/21.08.2020/101211" TargetMode="External"/><Relationship Id="rId3276" Type="http://schemas.openxmlformats.org/officeDocument/2006/relationships/hyperlink" Target="2020_09\15.09.2020\123136" TargetMode="External"/><Relationship Id="rId3483" Type="http://schemas.openxmlformats.org/officeDocument/2006/relationships/hyperlink" Target="2020_09/28.09.2020/122683" TargetMode="External"/><Relationship Id="rId3690" Type="http://schemas.openxmlformats.org/officeDocument/2006/relationships/hyperlink" Target="2020_10/14.10.2020/139695" TargetMode="External"/><Relationship Id="rId197" Type="http://schemas.openxmlformats.org/officeDocument/2006/relationships/hyperlink" Target="https://smp.sfurf.office/sd/operator/index.jsp;jsessionid=4B56FDB405CD332F2E4AE6AEC0BFEE05" TargetMode="External"/><Relationship Id="rId2085" Type="http://schemas.openxmlformats.org/officeDocument/2006/relationships/hyperlink" Target="2020_06\01.06.2020\61558" TargetMode="External"/><Relationship Id="rId2292" Type="http://schemas.openxmlformats.org/officeDocument/2006/relationships/hyperlink" Target="2020_06/16.06.2020/61587" TargetMode="External"/><Relationship Id="rId3136" Type="http://schemas.openxmlformats.org/officeDocument/2006/relationships/hyperlink" Target="2020_08\28.08.2020\106368" TargetMode="External"/><Relationship Id="rId3343" Type="http://schemas.openxmlformats.org/officeDocument/2006/relationships/hyperlink" Target="2020_09/18.09.2020/116912" TargetMode="External"/><Relationship Id="rId264" Type="http://schemas.openxmlformats.org/officeDocument/2006/relationships/hyperlink" Target="2019_11\07.11.2019\47502" TargetMode="External"/><Relationship Id="rId471" Type="http://schemas.openxmlformats.org/officeDocument/2006/relationships/hyperlink" Target="2019_12\10.12.2019\58469" TargetMode="External"/><Relationship Id="rId2152" Type="http://schemas.openxmlformats.org/officeDocument/2006/relationships/hyperlink" Target="2020_06/04.06.2020/42634" TargetMode="External"/><Relationship Id="rId3550" Type="http://schemas.openxmlformats.org/officeDocument/2006/relationships/hyperlink" Target="2020_10/02.10.2020/124990" TargetMode="External"/><Relationship Id="rId124" Type="http://schemas.openxmlformats.org/officeDocument/2006/relationships/hyperlink" Target="https://smp.sfurf.office/sd/operator/index.jsp;jsessionid=4B56FDB405CD332F2E4AE6AEC0BFEE05" TargetMode="External"/><Relationship Id="rId3203" Type="http://schemas.openxmlformats.org/officeDocument/2006/relationships/hyperlink" Target="2020_09\04.09.2020\117705" TargetMode="External"/><Relationship Id="rId3410" Type="http://schemas.openxmlformats.org/officeDocument/2006/relationships/hyperlink" Target="2020_09/22.09.2020/126175" TargetMode="External"/><Relationship Id="rId331" Type="http://schemas.openxmlformats.org/officeDocument/2006/relationships/hyperlink" Target="2019_12\05.12.2019\56220" TargetMode="External"/><Relationship Id="rId2012" Type="http://schemas.openxmlformats.org/officeDocument/2006/relationships/hyperlink" Target="2020_05/27.05.2020/39822" TargetMode="External"/><Relationship Id="rId2969" Type="http://schemas.openxmlformats.org/officeDocument/2006/relationships/hyperlink" Target="2020_08/12.08.2020/96310" TargetMode="External"/><Relationship Id="rId1778" Type="http://schemas.openxmlformats.org/officeDocument/2006/relationships/hyperlink" Target="2020_04\09.04.2020\29487" TargetMode="External"/><Relationship Id="rId1985" Type="http://schemas.openxmlformats.org/officeDocument/2006/relationships/hyperlink" Target="2020_05/25.05.2020/48387" TargetMode="External"/><Relationship Id="rId2829" Type="http://schemas.openxmlformats.org/officeDocument/2006/relationships/hyperlink" Target="2020_07/31.07.2020/98446" TargetMode="External"/><Relationship Id="rId1638" Type="http://schemas.openxmlformats.org/officeDocument/2006/relationships/hyperlink" Target="2020_03\25.03.2020\24410" TargetMode="External"/><Relationship Id="rId1845" Type="http://schemas.openxmlformats.org/officeDocument/2006/relationships/hyperlink" Target="2020_05\13.05.2020\29607" TargetMode="External"/><Relationship Id="rId3060" Type="http://schemas.openxmlformats.org/officeDocument/2006/relationships/hyperlink" Target="2020_08\19.08.2020\95656" TargetMode="External"/><Relationship Id="rId1705" Type="http://schemas.openxmlformats.org/officeDocument/2006/relationships/hyperlink" Target="2020_03/27.03.2020/34639" TargetMode="External"/><Relationship Id="rId1912" Type="http://schemas.openxmlformats.org/officeDocument/2006/relationships/hyperlink" Target="2020_05/21.05.2020/36302" TargetMode="External"/><Relationship Id="rId3877" Type="http://schemas.openxmlformats.org/officeDocument/2006/relationships/hyperlink" Target="2020_11\17.11.2020\157602" TargetMode="External"/><Relationship Id="rId798" Type="http://schemas.openxmlformats.org/officeDocument/2006/relationships/hyperlink" Target="2020_01/13.01.2020/65867" TargetMode="External"/><Relationship Id="rId2479" Type="http://schemas.openxmlformats.org/officeDocument/2006/relationships/hyperlink" Target="2020_06\16.06.2020\73301" TargetMode="External"/><Relationship Id="rId2686" Type="http://schemas.openxmlformats.org/officeDocument/2006/relationships/hyperlink" Target="2020_06\29.06.2020\78897" TargetMode="External"/><Relationship Id="rId2893" Type="http://schemas.openxmlformats.org/officeDocument/2006/relationships/hyperlink" Target="2020_08/05.08.2020/99789" TargetMode="External"/><Relationship Id="rId3737" Type="http://schemas.openxmlformats.org/officeDocument/2006/relationships/hyperlink" Target="2020_11/02.11.2020/148688" TargetMode="External"/><Relationship Id="rId3944" Type="http://schemas.openxmlformats.org/officeDocument/2006/relationships/hyperlink" Target="2020_12\11.12.2020\171801" TargetMode="External"/><Relationship Id="rId658" Type="http://schemas.openxmlformats.org/officeDocument/2006/relationships/hyperlink" Target="2019_12/25.12.2019/77403" TargetMode="External"/><Relationship Id="rId865" Type="http://schemas.openxmlformats.org/officeDocument/2006/relationships/hyperlink" Target="2020_01\16.01.2020\76460" TargetMode="External"/><Relationship Id="rId1288" Type="http://schemas.openxmlformats.org/officeDocument/2006/relationships/hyperlink" Target="2020_02\21.02.2020\89586" TargetMode="External"/><Relationship Id="rId1495" Type="http://schemas.openxmlformats.org/officeDocument/2006/relationships/hyperlink" Target="2020_03\11.03.2020\14955" TargetMode="External"/><Relationship Id="rId2339" Type="http://schemas.openxmlformats.org/officeDocument/2006/relationships/hyperlink" Target="2020_06/10.06.2020/70450" TargetMode="External"/><Relationship Id="rId2546" Type="http://schemas.openxmlformats.org/officeDocument/2006/relationships/hyperlink" Target="2020_06/22.06.2020/68257" TargetMode="External"/><Relationship Id="rId2753" Type="http://schemas.openxmlformats.org/officeDocument/2006/relationships/hyperlink" Target="2020_07\03.07.2020\81301" TargetMode="External"/><Relationship Id="rId2960" Type="http://schemas.openxmlformats.org/officeDocument/2006/relationships/hyperlink" Target="2020_08/12.08.2020/95699" TargetMode="External"/><Relationship Id="rId3804" Type="http://schemas.openxmlformats.org/officeDocument/2006/relationships/hyperlink" Target="2020_11/10.11.2020/153126" TargetMode="External"/><Relationship Id="rId518" Type="http://schemas.openxmlformats.org/officeDocument/2006/relationships/hyperlink" Target="2019_12\16.12.2019\61675" TargetMode="External"/><Relationship Id="rId725" Type="http://schemas.openxmlformats.org/officeDocument/2006/relationships/hyperlink" Target="2019_12\30.12.2019\70436" TargetMode="External"/><Relationship Id="rId932" Type="http://schemas.openxmlformats.org/officeDocument/2006/relationships/hyperlink" Target="2020_01\21.01.2020\86974" TargetMode="External"/><Relationship Id="rId1148" Type="http://schemas.openxmlformats.org/officeDocument/2006/relationships/hyperlink" Target="2020_02\07.02.2020\89023" TargetMode="External"/><Relationship Id="rId1355" Type="http://schemas.openxmlformats.org/officeDocument/2006/relationships/hyperlink" Target="2020_02\27.02.2020\-8978" TargetMode="External"/><Relationship Id="rId1562" Type="http://schemas.openxmlformats.org/officeDocument/2006/relationships/hyperlink" Target="2020_03/17.03.2020/27724" TargetMode="External"/><Relationship Id="rId2406" Type="http://schemas.openxmlformats.org/officeDocument/2006/relationships/hyperlink" Target="2020_06/11.06.2020/71909" TargetMode="External"/><Relationship Id="rId2613" Type="http://schemas.openxmlformats.org/officeDocument/2006/relationships/hyperlink" Target="2020_06/26.06.2020/70895" TargetMode="External"/><Relationship Id="rId1008" Type="http://schemas.openxmlformats.org/officeDocument/2006/relationships/hyperlink" Target="2020_01\28.01.2020\90708" TargetMode="External"/><Relationship Id="rId1215" Type="http://schemas.openxmlformats.org/officeDocument/2006/relationships/hyperlink" Target="2020_02\11.02.2020\-7482" TargetMode="External"/><Relationship Id="rId1422" Type="http://schemas.openxmlformats.org/officeDocument/2006/relationships/hyperlink" Target="2020_03\04.03.2020\20319" TargetMode="External"/><Relationship Id="rId2820" Type="http://schemas.openxmlformats.org/officeDocument/2006/relationships/hyperlink" Target="2020_07/30.07.2020/88270" TargetMode="External"/><Relationship Id="rId61" Type="http://schemas.openxmlformats.org/officeDocument/2006/relationships/hyperlink" Target="https://smp.sfurf.office/sd/operator/" TargetMode="External"/><Relationship Id="rId3387" Type="http://schemas.openxmlformats.org/officeDocument/2006/relationships/hyperlink" Target="2020_09/22.09.2020/119193" TargetMode="External"/><Relationship Id="rId2196" Type="http://schemas.openxmlformats.org/officeDocument/2006/relationships/hyperlink" Target="2020_06/09.06.2020/46486" TargetMode="External"/><Relationship Id="rId3594" Type="http://schemas.openxmlformats.org/officeDocument/2006/relationships/hyperlink" Target="2020_10\07.10.2020\126637" TargetMode="External"/><Relationship Id="rId168" Type="http://schemas.openxmlformats.org/officeDocument/2006/relationships/hyperlink" Target="2019_10\08.10.2019\32608" TargetMode="External"/><Relationship Id="rId3247" Type="http://schemas.openxmlformats.org/officeDocument/2006/relationships/hyperlink" Target="2020_09\11.09.2020\113189" TargetMode="External"/><Relationship Id="rId3454" Type="http://schemas.openxmlformats.org/officeDocument/2006/relationships/hyperlink" Target="2020_09/24.09.2020/116183" TargetMode="External"/><Relationship Id="rId3661" Type="http://schemas.openxmlformats.org/officeDocument/2006/relationships/hyperlink" Target="2020_10/13.10.2020/130581" TargetMode="External"/><Relationship Id="rId375" Type="http://schemas.openxmlformats.org/officeDocument/2006/relationships/hyperlink" Target="https://smp.sfurf.office/sd/operator/" TargetMode="External"/><Relationship Id="rId582" Type="http://schemas.openxmlformats.org/officeDocument/2006/relationships/hyperlink" Target="2019_12\19.12.2019\73301" TargetMode="External"/><Relationship Id="rId2056" Type="http://schemas.openxmlformats.org/officeDocument/2006/relationships/hyperlink" Target="2020_05/27.05.2020/50206" TargetMode="External"/><Relationship Id="rId2263" Type="http://schemas.openxmlformats.org/officeDocument/2006/relationships/hyperlink" Target="2020_06/16.06.2020/59638" TargetMode="External"/><Relationship Id="rId2470" Type="http://schemas.openxmlformats.org/officeDocument/2006/relationships/hyperlink" Target="2020_06\16.06.2020\51573" TargetMode="External"/><Relationship Id="rId3107" Type="http://schemas.openxmlformats.org/officeDocument/2006/relationships/hyperlink" Target="2020_08/26.08.2020/104987" TargetMode="External"/><Relationship Id="rId3314" Type="http://schemas.openxmlformats.org/officeDocument/2006/relationships/hyperlink" Target="2020_09/17.09.2020/124521" TargetMode="External"/><Relationship Id="rId3521" Type="http://schemas.openxmlformats.org/officeDocument/2006/relationships/hyperlink" Target="2020_10/01.10.2020/131916" TargetMode="External"/><Relationship Id="rId235" Type="http://schemas.openxmlformats.org/officeDocument/2006/relationships/hyperlink" Target="https://smp.sfurf.office/sd/operator/" TargetMode="External"/><Relationship Id="rId442" Type="http://schemas.openxmlformats.org/officeDocument/2006/relationships/hyperlink" Target="2019_12\10.12.2019\66592" TargetMode="External"/><Relationship Id="rId1072" Type="http://schemas.openxmlformats.org/officeDocument/2006/relationships/hyperlink" Target="2020_02\03.02.2020\-1836" TargetMode="External"/><Relationship Id="rId2123" Type="http://schemas.openxmlformats.org/officeDocument/2006/relationships/hyperlink" Target="2020_06/01.06.2020/52553" TargetMode="External"/><Relationship Id="rId2330" Type="http://schemas.openxmlformats.org/officeDocument/2006/relationships/hyperlink" Target="2020_06/16.06.2020/59653" TargetMode="External"/><Relationship Id="rId302" Type="http://schemas.openxmlformats.org/officeDocument/2006/relationships/hyperlink" Target="https://smp.sfurf.office/sd/operator/index.jsp;jsessionid=4B56FDB405CD332F2E4AE6AEC0BFEE05" TargetMode="External"/><Relationship Id="rId1889" Type="http://schemas.openxmlformats.org/officeDocument/2006/relationships/hyperlink" Target="2020_05/18.05.2020/33288" TargetMode="External"/><Relationship Id="rId1749" Type="http://schemas.openxmlformats.org/officeDocument/2006/relationships/hyperlink" Target="2020_04/07.04.2020/37022" TargetMode="External"/><Relationship Id="rId1956" Type="http://schemas.openxmlformats.org/officeDocument/2006/relationships/hyperlink" Target="2020_05/18.05.2020/33479" TargetMode="External"/><Relationship Id="rId3171" Type="http://schemas.openxmlformats.org/officeDocument/2006/relationships/hyperlink" Target="2020_09\02.09.2020\108037" TargetMode="External"/><Relationship Id="rId1609" Type="http://schemas.openxmlformats.org/officeDocument/2006/relationships/hyperlink" Target="2020_03\20.03.2020\21498" TargetMode="External"/><Relationship Id="rId1816" Type="http://schemas.openxmlformats.org/officeDocument/2006/relationships/hyperlink" Target="2020_05/13.05.2020/39809" TargetMode="External"/><Relationship Id="rId3031" Type="http://schemas.openxmlformats.org/officeDocument/2006/relationships/hyperlink" Target="2020_08/21.08.2020/10225" TargetMode="External"/><Relationship Id="rId2797" Type="http://schemas.openxmlformats.org/officeDocument/2006/relationships/hyperlink" Target="2020_07/27.07.2020/94821" TargetMode="External"/><Relationship Id="rId3848" Type="http://schemas.openxmlformats.org/officeDocument/2006/relationships/hyperlink" Target="2020_11/16.11.2020/148702" TargetMode="External"/><Relationship Id="rId769" Type="http://schemas.openxmlformats.org/officeDocument/2006/relationships/hyperlink" Target="2020_01\09.01.2020\72337" TargetMode="External"/><Relationship Id="rId976" Type="http://schemas.openxmlformats.org/officeDocument/2006/relationships/hyperlink" Target="2020_01/23.01.2020/89368" TargetMode="External"/><Relationship Id="rId1399" Type="http://schemas.openxmlformats.org/officeDocument/2006/relationships/hyperlink" Target="2020_03/02.03.2020/10029" TargetMode="External"/><Relationship Id="rId2657" Type="http://schemas.openxmlformats.org/officeDocument/2006/relationships/hyperlink" Target="2020_07/02.07.2020/73151" TargetMode="External"/><Relationship Id="rId629" Type="http://schemas.openxmlformats.org/officeDocument/2006/relationships/hyperlink" Target="2019_12/24.12.2019/75141" TargetMode="External"/><Relationship Id="rId1259" Type="http://schemas.openxmlformats.org/officeDocument/2006/relationships/hyperlink" Target="2020_02\19.02.2020\12152" TargetMode="External"/><Relationship Id="rId1466" Type="http://schemas.openxmlformats.org/officeDocument/2006/relationships/hyperlink" Target="2020_03\06.03.2020\14148" TargetMode="External"/><Relationship Id="rId2864" Type="http://schemas.openxmlformats.org/officeDocument/2006/relationships/hyperlink" Target="2020_08/04.08.2020/99999" TargetMode="External"/><Relationship Id="rId3708" Type="http://schemas.openxmlformats.org/officeDocument/2006/relationships/hyperlink" Target="2020_10/15.10.2020/140018" TargetMode="External"/><Relationship Id="rId3915" Type="http://schemas.openxmlformats.org/officeDocument/2006/relationships/hyperlink" Target="2020_11\18.11.2020\145456" TargetMode="External"/><Relationship Id="rId836" Type="http://schemas.openxmlformats.org/officeDocument/2006/relationships/hyperlink" Target="2020_01\15.01.2020\84475" TargetMode="External"/><Relationship Id="rId1119" Type="http://schemas.openxmlformats.org/officeDocument/2006/relationships/hyperlink" Target="2020_02\05.02.2020\-3654" TargetMode="External"/><Relationship Id="rId1673" Type="http://schemas.openxmlformats.org/officeDocument/2006/relationships/hyperlink" Target="2020_03\26.03.2020\24259" TargetMode="External"/><Relationship Id="rId1880" Type="http://schemas.openxmlformats.org/officeDocument/2006/relationships/hyperlink" Target="2020_05/15.05.2020/31510" TargetMode="External"/><Relationship Id="rId2517" Type="http://schemas.openxmlformats.org/officeDocument/2006/relationships/hyperlink" Target="2020_06/18.06.2020/74402" TargetMode="External"/><Relationship Id="rId2724" Type="http://schemas.openxmlformats.org/officeDocument/2006/relationships/hyperlink" Target="2020_07/08.07.2020/83755" TargetMode="External"/><Relationship Id="rId2931" Type="http://schemas.openxmlformats.org/officeDocument/2006/relationships/hyperlink" Target="2020_08/11.08.2020/95650" TargetMode="External"/><Relationship Id="rId903" Type="http://schemas.openxmlformats.org/officeDocument/2006/relationships/hyperlink" Target="2020_01/20.01.2020/78162" TargetMode="External"/><Relationship Id="rId1326" Type="http://schemas.openxmlformats.org/officeDocument/2006/relationships/hyperlink" Target="2020_02\26.02.2020\-2329" TargetMode="External"/><Relationship Id="rId1533" Type="http://schemas.openxmlformats.org/officeDocument/2006/relationships/hyperlink" Target="2020_03\16.03.2020\26133" TargetMode="External"/><Relationship Id="rId1740" Type="http://schemas.openxmlformats.org/officeDocument/2006/relationships/hyperlink" Target="2020_04\07.04.2020\27673" TargetMode="External"/><Relationship Id="rId32" Type="http://schemas.openxmlformats.org/officeDocument/2006/relationships/hyperlink" Target="https://smp.sfurf.office/sd/operator/" TargetMode="External"/><Relationship Id="rId1600" Type="http://schemas.openxmlformats.org/officeDocument/2006/relationships/hyperlink" Target="2020_03/20.03.2020/20954" TargetMode="External"/><Relationship Id="rId3498" Type="http://schemas.openxmlformats.org/officeDocument/2006/relationships/hyperlink" Target="2020_09\29.09.2020\130869" TargetMode="External"/><Relationship Id="rId3358" Type="http://schemas.openxmlformats.org/officeDocument/2006/relationships/hyperlink" Target="2020_09/18.09.2020/117674" TargetMode="External"/><Relationship Id="rId3565" Type="http://schemas.openxmlformats.org/officeDocument/2006/relationships/hyperlink" Target="2020_10/06.10.2020/134616" TargetMode="External"/><Relationship Id="rId3772" Type="http://schemas.openxmlformats.org/officeDocument/2006/relationships/hyperlink" Target="2020_11/05.11.2020/151191" TargetMode="External"/><Relationship Id="rId279" Type="http://schemas.openxmlformats.org/officeDocument/2006/relationships/hyperlink" Target="https://smp.sfurf.office/sd/operator/" TargetMode="External"/><Relationship Id="rId486" Type="http://schemas.openxmlformats.org/officeDocument/2006/relationships/hyperlink" Target="2019_12\11.12.2019\59761" TargetMode="External"/><Relationship Id="rId693" Type="http://schemas.openxmlformats.org/officeDocument/2006/relationships/hyperlink" Target="2019_12/27.12.2019/77901" TargetMode="External"/><Relationship Id="rId2167" Type="http://schemas.openxmlformats.org/officeDocument/2006/relationships/hyperlink" Target="2020_06/05.06.2020/43611" TargetMode="External"/><Relationship Id="rId2374" Type="http://schemas.openxmlformats.org/officeDocument/2006/relationships/hyperlink" Target="2020_06/16.06.2020/56897" TargetMode="External"/><Relationship Id="rId2581" Type="http://schemas.openxmlformats.org/officeDocument/2006/relationships/hyperlink" Target="2020_06\23.06.2020\49262" TargetMode="External"/><Relationship Id="rId3218" Type="http://schemas.openxmlformats.org/officeDocument/2006/relationships/hyperlink" Target="2020_09/09.09.2020/120252" TargetMode="External"/><Relationship Id="rId3425" Type="http://schemas.openxmlformats.org/officeDocument/2006/relationships/hyperlink" Target="2020_09\23.09.2020\120129" TargetMode="External"/><Relationship Id="rId3632" Type="http://schemas.openxmlformats.org/officeDocument/2006/relationships/hyperlink" Target="2020_10/09.10.2020/128869" TargetMode="External"/><Relationship Id="rId139" Type="http://schemas.openxmlformats.org/officeDocument/2006/relationships/hyperlink" Target="../Users/shilyaevan/AppData/Roaming/Microsoft/Excel/2019_10/22.10.2019/39566" TargetMode="External"/><Relationship Id="rId346" Type="http://schemas.openxmlformats.org/officeDocument/2006/relationships/hyperlink" Target="https://smp.sfurf.office/sd/operator/index.jsp;jsessionid=4B56FDB405CD332F2E4AE6AEC0BFEE05" TargetMode="External"/><Relationship Id="rId553" Type="http://schemas.openxmlformats.org/officeDocument/2006/relationships/hyperlink" Target="2019_12\18.12.2019\63463" TargetMode="External"/><Relationship Id="rId760" Type="http://schemas.openxmlformats.org/officeDocument/2006/relationships/hyperlink" Target="2020_01/09.01.2020/80247" TargetMode="External"/><Relationship Id="rId1183" Type="http://schemas.openxmlformats.org/officeDocument/2006/relationships/hyperlink" Target="2020_02/11.02.2020/-8106" TargetMode="External"/><Relationship Id="rId1390" Type="http://schemas.openxmlformats.org/officeDocument/2006/relationships/hyperlink" Target="2020_03\02.03.2020\18053" TargetMode="External"/><Relationship Id="rId2027" Type="http://schemas.openxmlformats.org/officeDocument/2006/relationships/hyperlink" Target="2020_05/27.05.2020/51641" TargetMode="External"/><Relationship Id="rId2234" Type="http://schemas.openxmlformats.org/officeDocument/2006/relationships/hyperlink" Target="2020_06/01.06.2020/64135" TargetMode="External"/><Relationship Id="rId2441" Type="http://schemas.openxmlformats.org/officeDocument/2006/relationships/hyperlink" Target="2020_06/16.06.2020/62932" TargetMode="External"/><Relationship Id="rId206" Type="http://schemas.openxmlformats.org/officeDocument/2006/relationships/hyperlink" Target="https://smp.sfurf.office/sd/operator/" TargetMode="External"/><Relationship Id="rId413" Type="http://schemas.openxmlformats.org/officeDocument/2006/relationships/hyperlink" Target="2019_11\29.11.2019\61262" TargetMode="External"/><Relationship Id="rId1043" Type="http://schemas.openxmlformats.org/officeDocument/2006/relationships/hyperlink" Target="2020_01\30.01.2020\85032" TargetMode="External"/><Relationship Id="rId620" Type="http://schemas.openxmlformats.org/officeDocument/2006/relationships/hyperlink" Target="2019_12\24.12.2019\75139" TargetMode="External"/><Relationship Id="rId1250" Type="http://schemas.openxmlformats.org/officeDocument/2006/relationships/hyperlink" Target="2020_02/19.02.2020/91660" TargetMode="External"/><Relationship Id="rId2301" Type="http://schemas.openxmlformats.org/officeDocument/2006/relationships/hyperlink" Target="2020_06/04.06.2020/67623" TargetMode="External"/><Relationship Id="rId1110" Type="http://schemas.openxmlformats.org/officeDocument/2006/relationships/hyperlink" Target="2020_02/04.02.2020/-2457" TargetMode="External"/><Relationship Id="rId1927" Type="http://schemas.openxmlformats.org/officeDocument/2006/relationships/hyperlink" Target="2020_05/19.05.2020/43694" TargetMode="External"/><Relationship Id="rId3075" Type="http://schemas.openxmlformats.org/officeDocument/2006/relationships/hyperlink" Target="2020_08\20.08.2020\109547" TargetMode="External"/><Relationship Id="rId3282" Type="http://schemas.openxmlformats.org/officeDocument/2006/relationships/hyperlink" Target="2020_09/15.09.2020/123514" TargetMode="External"/><Relationship Id="rId2091" Type="http://schemas.openxmlformats.org/officeDocument/2006/relationships/hyperlink" Target="2020_06\01.06.2020\60885" TargetMode="External"/><Relationship Id="rId3142" Type="http://schemas.openxmlformats.org/officeDocument/2006/relationships/hyperlink" Target="2020_08/31.08.2020/113938" TargetMode="External"/><Relationship Id="rId270" Type="http://schemas.openxmlformats.org/officeDocument/2006/relationships/hyperlink" Target="https://smp.sfurf.office/sd/operator/" TargetMode="External"/><Relationship Id="rId3002" Type="http://schemas.openxmlformats.org/officeDocument/2006/relationships/hyperlink" Target="2020_08\14.08.2020\97546" TargetMode="External"/><Relationship Id="rId130" Type="http://schemas.openxmlformats.org/officeDocument/2006/relationships/hyperlink" Target="../Users/shilyaevan/AppData/Roaming/Microsoft/Excel/2019_10/21.10.2019/38767" TargetMode="External"/><Relationship Id="rId3959" Type="http://schemas.openxmlformats.org/officeDocument/2006/relationships/hyperlink" Target="2020_12/15.12.2020/165409" TargetMode="External"/><Relationship Id="rId2768" Type="http://schemas.openxmlformats.org/officeDocument/2006/relationships/hyperlink" Target="2020_07\23.07.2020\92311" TargetMode="External"/><Relationship Id="rId2975" Type="http://schemas.openxmlformats.org/officeDocument/2006/relationships/hyperlink" Target="2020_08/13.08.2020/97006" TargetMode="External"/><Relationship Id="rId3819" Type="http://schemas.openxmlformats.org/officeDocument/2006/relationships/hyperlink" Target="2020_11\11.11.2020\146531" TargetMode="External"/><Relationship Id="rId947" Type="http://schemas.openxmlformats.org/officeDocument/2006/relationships/hyperlink" Target="2020_01\22.01.2020\87766" TargetMode="External"/><Relationship Id="rId1577" Type="http://schemas.openxmlformats.org/officeDocument/2006/relationships/hyperlink" Target="2020_03\18.03.2020\19464" TargetMode="External"/><Relationship Id="rId1784" Type="http://schemas.openxmlformats.org/officeDocument/2006/relationships/hyperlink" Target="2020_04\09.04.2020\38492" TargetMode="External"/><Relationship Id="rId1991" Type="http://schemas.openxmlformats.org/officeDocument/2006/relationships/hyperlink" Target="2020_05/27.05.2020/49375" TargetMode="External"/><Relationship Id="rId2628" Type="http://schemas.openxmlformats.org/officeDocument/2006/relationships/hyperlink" Target="2020_06/25.06.2020/69590" TargetMode="External"/><Relationship Id="rId2835" Type="http://schemas.openxmlformats.org/officeDocument/2006/relationships/hyperlink" Target="2020_07/31.07.2020/90511" TargetMode="External"/><Relationship Id="rId76" Type="http://schemas.openxmlformats.org/officeDocument/2006/relationships/hyperlink" Target="https://smp.sfurf.office/sd/operator/index.jsp;jsessionid=4B56FDB405CD332F2E4AE6AEC0BFEE05" TargetMode="External"/><Relationship Id="rId807" Type="http://schemas.openxmlformats.org/officeDocument/2006/relationships/hyperlink" Target="2020_01\13.01.2020\82960" TargetMode="External"/><Relationship Id="rId1437" Type="http://schemas.openxmlformats.org/officeDocument/2006/relationships/hyperlink" Target="2020_03/05.03.2020/11801" TargetMode="External"/><Relationship Id="rId1644" Type="http://schemas.openxmlformats.org/officeDocument/2006/relationships/hyperlink" Target="2020_03\24.03.2020\32000" TargetMode="External"/><Relationship Id="rId1851" Type="http://schemas.openxmlformats.org/officeDocument/2006/relationships/hyperlink" Target="2020_05\15.05.2020\41705" TargetMode="External"/><Relationship Id="rId2902" Type="http://schemas.openxmlformats.org/officeDocument/2006/relationships/hyperlink" Target="2020_08/07.08.2020/93520" TargetMode="External"/><Relationship Id="rId1504" Type="http://schemas.openxmlformats.org/officeDocument/2006/relationships/hyperlink" Target="2020_03/12.03.2020/24235" TargetMode="External"/><Relationship Id="rId1711" Type="http://schemas.openxmlformats.org/officeDocument/2006/relationships/hyperlink" Target="2020_04\06.04.2020\35388" TargetMode="External"/><Relationship Id="rId3469" Type="http://schemas.openxmlformats.org/officeDocument/2006/relationships/hyperlink" Target="2020_09/29.09.2020/123383" TargetMode="External"/><Relationship Id="rId3676" Type="http://schemas.openxmlformats.org/officeDocument/2006/relationships/hyperlink" Target="2020_10/14.10.2020/131393" TargetMode="External"/><Relationship Id="rId597" Type="http://schemas.openxmlformats.org/officeDocument/2006/relationships/hyperlink" Target="2019_12\20.12.2019\73578" TargetMode="External"/><Relationship Id="rId2278" Type="http://schemas.openxmlformats.org/officeDocument/2006/relationships/hyperlink" Target="2020_06/04.06.2020/67330" TargetMode="External"/><Relationship Id="rId2485" Type="http://schemas.openxmlformats.org/officeDocument/2006/relationships/hyperlink" Target="2020_06/17.06.2020/74094" TargetMode="External"/><Relationship Id="rId3329" Type="http://schemas.openxmlformats.org/officeDocument/2006/relationships/hyperlink" Target="2020_09/17.09.2020/112517" TargetMode="External"/><Relationship Id="rId3883" Type="http://schemas.openxmlformats.org/officeDocument/2006/relationships/hyperlink" Target="2020_11/20.11.2020/151920" TargetMode="External"/><Relationship Id="rId457" Type="http://schemas.openxmlformats.org/officeDocument/2006/relationships/hyperlink" Target="2019_12\09.12.2019\57718" TargetMode="External"/><Relationship Id="rId1087" Type="http://schemas.openxmlformats.org/officeDocument/2006/relationships/hyperlink" Target="2020_02\03.02.2020\-1136" TargetMode="External"/><Relationship Id="rId1294" Type="http://schemas.openxmlformats.org/officeDocument/2006/relationships/hyperlink" Target="2020_02\21.02.2020\13901" TargetMode="External"/><Relationship Id="rId2138" Type="http://schemas.openxmlformats.org/officeDocument/2006/relationships/hyperlink" Target="2020_06\08.06.2020\44269" TargetMode="External"/><Relationship Id="rId2692" Type="http://schemas.openxmlformats.org/officeDocument/2006/relationships/hyperlink" Target="2020_07/03.07.2020/73693" TargetMode="External"/><Relationship Id="rId3536" Type="http://schemas.openxmlformats.org/officeDocument/2006/relationships/hyperlink" Target="2020_10/02.10.2020/124979" TargetMode="External"/><Relationship Id="rId3743" Type="http://schemas.openxmlformats.org/officeDocument/2006/relationships/hyperlink" Target="2020_11/02.11.2020/141471" TargetMode="External"/><Relationship Id="rId3950" Type="http://schemas.openxmlformats.org/officeDocument/2006/relationships/hyperlink" Target="2020_12/11.12.2020/163556" TargetMode="External"/><Relationship Id="rId664" Type="http://schemas.openxmlformats.org/officeDocument/2006/relationships/hyperlink" Target="2019_12\26.12.2019\77649" TargetMode="External"/><Relationship Id="rId871" Type="http://schemas.openxmlformats.org/officeDocument/2006/relationships/hyperlink" Target="2020_01\16.01.2020\76196" TargetMode="External"/><Relationship Id="rId2345" Type="http://schemas.openxmlformats.org/officeDocument/2006/relationships/hyperlink" Target="2020_06/16.06.2020/60889" TargetMode="External"/><Relationship Id="rId2552" Type="http://schemas.openxmlformats.org/officeDocument/2006/relationships/hyperlink" Target="2020_06\23.06.2020\69042" TargetMode="External"/><Relationship Id="rId3603" Type="http://schemas.openxmlformats.org/officeDocument/2006/relationships/hyperlink" Target="2020_10\08.10.2020\127466" TargetMode="External"/><Relationship Id="rId3810" Type="http://schemas.openxmlformats.org/officeDocument/2006/relationships/hyperlink" Target="2020_11\11.11.2020\146422" TargetMode="External"/><Relationship Id="rId317" Type="http://schemas.openxmlformats.org/officeDocument/2006/relationships/hyperlink" Target="2019_11\19.11.2019\46264" TargetMode="External"/><Relationship Id="rId524" Type="http://schemas.openxmlformats.org/officeDocument/2006/relationships/hyperlink" Target="2019_12\16.12.2019\61612" TargetMode="External"/><Relationship Id="rId731" Type="http://schemas.openxmlformats.org/officeDocument/2006/relationships/hyperlink" Target="2019_12/31.12.2019/79909" TargetMode="External"/><Relationship Id="rId1154" Type="http://schemas.openxmlformats.org/officeDocument/2006/relationships/hyperlink" Target="2020_02\12.02.2020\91775" TargetMode="External"/><Relationship Id="rId1361" Type="http://schemas.openxmlformats.org/officeDocument/2006/relationships/hyperlink" Target="2020_02\28.02.2020\-9689" TargetMode="External"/><Relationship Id="rId2205" Type="http://schemas.openxmlformats.org/officeDocument/2006/relationships/hyperlink" Target="2020_06/08.06.2020/44704" TargetMode="External"/><Relationship Id="rId2412" Type="http://schemas.openxmlformats.org/officeDocument/2006/relationships/hyperlink" Target="2020_06/16.06.2020/56552" TargetMode="External"/><Relationship Id="rId1014" Type="http://schemas.openxmlformats.org/officeDocument/2006/relationships/hyperlink" Target="2020_01\28.01.2020\90815" TargetMode="External"/><Relationship Id="rId1221" Type="http://schemas.openxmlformats.org/officeDocument/2006/relationships/hyperlink" Target="2020_02/12.02.2020/91852" TargetMode="External"/><Relationship Id="rId3186" Type="http://schemas.openxmlformats.org/officeDocument/2006/relationships/hyperlink" Target="2020_09/02.09.2020/115968" TargetMode="External"/><Relationship Id="rId3393" Type="http://schemas.openxmlformats.org/officeDocument/2006/relationships/hyperlink" Target="2020_09/23.09.2020/127943" TargetMode="External"/><Relationship Id="rId3046" Type="http://schemas.openxmlformats.org/officeDocument/2006/relationships/hyperlink" Target="2020_08\18.08.2020\99792" TargetMode="External"/><Relationship Id="rId3253" Type="http://schemas.openxmlformats.org/officeDocument/2006/relationships/hyperlink" Target="2020_09\11.09.2020\121936" TargetMode="External"/><Relationship Id="rId3460" Type="http://schemas.openxmlformats.org/officeDocument/2006/relationships/hyperlink" Target="2020_09\23.09.2020\120368" TargetMode="External"/><Relationship Id="rId174" Type="http://schemas.openxmlformats.org/officeDocument/2006/relationships/hyperlink" Target="https://smp.sfurf.office/sd/operator/index.jsp;jsessionid=4B56FDB405CD332F2E4AE6AEC0BFEE05" TargetMode="External"/><Relationship Id="rId381" Type="http://schemas.openxmlformats.org/officeDocument/2006/relationships/hyperlink" Target="https://smp.sfurf.office/sd/operator/" TargetMode="External"/><Relationship Id="rId2062" Type="http://schemas.openxmlformats.org/officeDocument/2006/relationships/hyperlink" Target="2020_06/01.06.2020/59665" TargetMode="External"/><Relationship Id="rId3113" Type="http://schemas.openxmlformats.org/officeDocument/2006/relationships/hyperlink" Target="2020_08/26.08.2020/104307" TargetMode="External"/><Relationship Id="rId241" Type="http://schemas.openxmlformats.org/officeDocument/2006/relationships/hyperlink" Target="https://smp.sfurf.office/sd/operator/" TargetMode="External"/><Relationship Id="rId3320" Type="http://schemas.openxmlformats.org/officeDocument/2006/relationships/hyperlink" Target="2020_09/17.09.2020/116649" TargetMode="External"/><Relationship Id="rId2879" Type="http://schemas.openxmlformats.org/officeDocument/2006/relationships/hyperlink" Target="2020_08/07.08.2020/93747" TargetMode="External"/><Relationship Id="rId101" Type="http://schemas.openxmlformats.org/officeDocument/2006/relationships/hyperlink" Target="../Users/shilyaevan/AppData/Roaming/Microsoft/Excel/2019_10/18.10.2019/30509" TargetMode="External"/><Relationship Id="rId1688" Type="http://schemas.openxmlformats.org/officeDocument/2006/relationships/hyperlink" Target="2020_03\26.03.2020\24216" TargetMode="External"/><Relationship Id="rId1895" Type="http://schemas.openxmlformats.org/officeDocument/2006/relationships/hyperlink" Target="2020_05/18.05.2020/32496" TargetMode="External"/><Relationship Id="rId2739" Type="http://schemas.openxmlformats.org/officeDocument/2006/relationships/hyperlink" Target="2020_07/09.07.2020/84466" TargetMode="External"/><Relationship Id="rId2946" Type="http://schemas.openxmlformats.org/officeDocument/2006/relationships/hyperlink" Target="2020_08/11.08.2020/95391" TargetMode="External"/><Relationship Id="rId918" Type="http://schemas.openxmlformats.org/officeDocument/2006/relationships/hyperlink" Target="2020_01\21.01.2020\86479" TargetMode="External"/><Relationship Id="rId1548" Type="http://schemas.openxmlformats.org/officeDocument/2006/relationships/hyperlink" Target="2020_03\17.03.2020\18769" TargetMode="External"/><Relationship Id="rId1755" Type="http://schemas.openxmlformats.org/officeDocument/2006/relationships/hyperlink" Target="2020_04/08.04.2020/28072" TargetMode="External"/><Relationship Id="rId1408" Type="http://schemas.openxmlformats.org/officeDocument/2006/relationships/hyperlink" Target="2020_03\03.03.2020\11061" TargetMode="External"/><Relationship Id="rId1962" Type="http://schemas.openxmlformats.org/officeDocument/2006/relationships/hyperlink" Target="2020_05/21.05.2020/36508" TargetMode="External"/><Relationship Id="rId2806" Type="http://schemas.openxmlformats.org/officeDocument/2006/relationships/hyperlink" Target="2020_07/29.07.2020/95608" TargetMode="External"/><Relationship Id="rId47" Type="http://schemas.openxmlformats.org/officeDocument/2006/relationships/hyperlink" Target="https://smp.sfurf.office/sd/operator/" TargetMode="External"/><Relationship Id="rId1615" Type="http://schemas.openxmlformats.org/officeDocument/2006/relationships/hyperlink" Target="2020_03\23.03.2020\31140" TargetMode="External"/><Relationship Id="rId1822" Type="http://schemas.openxmlformats.org/officeDocument/2006/relationships/hyperlink" Target="2020_05/12.05.2020/28781" TargetMode="External"/><Relationship Id="rId3787" Type="http://schemas.openxmlformats.org/officeDocument/2006/relationships/hyperlink" Target="2020_11/06.11.2020/143656" TargetMode="External"/><Relationship Id="rId2389" Type="http://schemas.openxmlformats.org/officeDocument/2006/relationships/hyperlink" Target="2020_06/16.06.2020/55190" TargetMode="External"/><Relationship Id="rId2596" Type="http://schemas.openxmlformats.org/officeDocument/2006/relationships/hyperlink" Target="2020_06/25.06.2020/69601" TargetMode="External"/><Relationship Id="rId3647" Type="http://schemas.openxmlformats.org/officeDocument/2006/relationships/hyperlink" Target="2020_10/12.10.2020/129465" TargetMode="External"/><Relationship Id="rId3854" Type="http://schemas.openxmlformats.org/officeDocument/2006/relationships/hyperlink" Target="2020_11/16.11.2020/156210" TargetMode="External"/><Relationship Id="rId568" Type="http://schemas.openxmlformats.org/officeDocument/2006/relationships/hyperlink" Target="2019_12/18.12.2019/72900" TargetMode="External"/><Relationship Id="rId775" Type="http://schemas.openxmlformats.org/officeDocument/2006/relationships/hyperlink" Target="2020_01/09.01.2020/73194" TargetMode="External"/><Relationship Id="rId982" Type="http://schemas.openxmlformats.org/officeDocument/2006/relationships/hyperlink" Target="2020_01/24.01.2020/89630" TargetMode="External"/><Relationship Id="rId1198" Type="http://schemas.openxmlformats.org/officeDocument/2006/relationships/hyperlink" Target="2020_02\10.02.2020\90151" TargetMode="External"/><Relationship Id="rId2249" Type="http://schemas.openxmlformats.org/officeDocument/2006/relationships/hyperlink" Target="2020_06\15.06.2020\48257" TargetMode="External"/><Relationship Id="rId2456" Type="http://schemas.openxmlformats.org/officeDocument/2006/relationships/hyperlink" Target="2020_06/16.06.2020/52642" TargetMode="External"/><Relationship Id="rId2663" Type="http://schemas.openxmlformats.org/officeDocument/2006/relationships/hyperlink" Target="2020_07/02.07.2020/73292" TargetMode="External"/><Relationship Id="rId2870" Type="http://schemas.openxmlformats.org/officeDocument/2006/relationships/hyperlink" Target="2020_08/05.08.2020/91970" TargetMode="External"/><Relationship Id="rId3507" Type="http://schemas.openxmlformats.org/officeDocument/2006/relationships/hyperlink" Target="2020_10/01.10.2020/124090" TargetMode="External"/><Relationship Id="rId3714" Type="http://schemas.openxmlformats.org/officeDocument/2006/relationships/hyperlink" Target="2020_10/15.10.2020/140293" TargetMode="External"/><Relationship Id="rId3921" Type="http://schemas.openxmlformats.org/officeDocument/2006/relationships/hyperlink" Target="2020_11/19.11.2020/150974" TargetMode="External"/><Relationship Id="rId428" Type="http://schemas.openxmlformats.org/officeDocument/2006/relationships/hyperlink" Target="2019_12\06.12.2019\65747" TargetMode="External"/><Relationship Id="rId635" Type="http://schemas.openxmlformats.org/officeDocument/2006/relationships/hyperlink" Target="2019_12/24.12.2019/66937" TargetMode="External"/><Relationship Id="rId842" Type="http://schemas.openxmlformats.org/officeDocument/2006/relationships/hyperlink" Target="2020_01\15.01.2020\83401" TargetMode="External"/><Relationship Id="rId1058" Type="http://schemas.openxmlformats.org/officeDocument/2006/relationships/hyperlink" Target="2020_01\31.01.2020\85562" TargetMode="External"/><Relationship Id="rId1265" Type="http://schemas.openxmlformats.org/officeDocument/2006/relationships/hyperlink" Target="2020_02/20.02.2020/-4451" TargetMode="External"/><Relationship Id="rId1472" Type="http://schemas.openxmlformats.org/officeDocument/2006/relationships/hyperlink" Target="2020_03\10.03.2020\14560" TargetMode="External"/><Relationship Id="rId2109" Type="http://schemas.openxmlformats.org/officeDocument/2006/relationships/hyperlink" Target="2020_06/01.06.2020/60869" TargetMode="External"/><Relationship Id="rId2316" Type="http://schemas.openxmlformats.org/officeDocument/2006/relationships/hyperlink" Target="2020_06/16.06.2020/58263" TargetMode="External"/><Relationship Id="rId2523" Type="http://schemas.openxmlformats.org/officeDocument/2006/relationships/hyperlink" Target="2020_06/18.06.2020/66723" TargetMode="External"/><Relationship Id="rId2730" Type="http://schemas.openxmlformats.org/officeDocument/2006/relationships/hyperlink" Target="2020_07\09.07.2020\84124" TargetMode="External"/><Relationship Id="rId702" Type="http://schemas.openxmlformats.org/officeDocument/2006/relationships/hyperlink" Target="2019_12/27.12.2019/77898" TargetMode="External"/><Relationship Id="rId1125" Type="http://schemas.openxmlformats.org/officeDocument/2006/relationships/hyperlink" Target="2020_02/05.02.2020/-3503" TargetMode="External"/><Relationship Id="rId1332" Type="http://schemas.openxmlformats.org/officeDocument/2006/relationships/hyperlink" Target="2020_02\26.02.2020\-7254" TargetMode="External"/><Relationship Id="rId3297" Type="http://schemas.openxmlformats.org/officeDocument/2006/relationships/hyperlink" Target="2020_09\16.09.2020\115877" TargetMode="External"/><Relationship Id="rId3157" Type="http://schemas.openxmlformats.org/officeDocument/2006/relationships/hyperlink" Target="2020_09/01.09.2020/115261" TargetMode="External"/><Relationship Id="rId285" Type="http://schemas.openxmlformats.org/officeDocument/2006/relationships/hyperlink" Target="https://smp.sfurf.office/sd/operator/" TargetMode="External"/><Relationship Id="rId3364" Type="http://schemas.openxmlformats.org/officeDocument/2006/relationships/hyperlink" Target="2020_09/22.09.2020/118642" TargetMode="External"/><Relationship Id="rId3571" Type="http://schemas.openxmlformats.org/officeDocument/2006/relationships/hyperlink" Target="2020_10/06.10.2020/134866" TargetMode="External"/><Relationship Id="rId492" Type="http://schemas.openxmlformats.org/officeDocument/2006/relationships/hyperlink" Target="2019_12\12.12.2019\69403" TargetMode="External"/><Relationship Id="rId2173" Type="http://schemas.openxmlformats.org/officeDocument/2006/relationships/hyperlink" Target="2020_06/09.06.2020/45461" TargetMode="External"/><Relationship Id="rId2380" Type="http://schemas.openxmlformats.org/officeDocument/2006/relationships/hyperlink" Target="2020_06\16.06.2020\54770" TargetMode="External"/><Relationship Id="rId3017" Type="http://schemas.openxmlformats.org/officeDocument/2006/relationships/hyperlink" Target="2020_08/19.08.2020/00524" TargetMode="External"/><Relationship Id="rId3224" Type="http://schemas.openxmlformats.org/officeDocument/2006/relationships/hyperlink" Target="2020_09/08.09.2020/111320" TargetMode="External"/><Relationship Id="rId3431" Type="http://schemas.openxmlformats.org/officeDocument/2006/relationships/hyperlink" Target="2020_09/23.09.2020/120186" TargetMode="External"/><Relationship Id="rId145" Type="http://schemas.openxmlformats.org/officeDocument/2006/relationships/hyperlink" Target="2019_10\23.10.2019\40003" TargetMode="External"/><Relationship Id="rId352" Type="http://schemas.openxmlformats.org/officeDocument/2006/relationships/hyperlink" Target="https://smp.sfurf.office/sd/operator/" TargetMode="External"/><Relationship Id="rId2033" Type="http://schemas.openxmlformats.org/officeDocument/2006/relationships/hyperlink" Target="2020_05\25.05.2020\37291" TargetMode="External"/><Relationship Id="rId2240" Type="http://schemas.openxmlformats.org/officeDocument/2006/relationships/hyperlink" Target="2020_06/03.06.2020/66477" TargetMode="External"/><Relationship Id="rId212" Type="http://schemas.openxmlformats.org/officeDocument/2006/relationships/hyperlink" Target="2019_11\14.11.2019\43844" TargetMode="External"/><Relationship Id="rId1799" Type="http://schemas.openxmlformats.org/officeDocument/2006/relationships/hyperlink" Target="2020_05/12.05.2020/29317" TargetMode="External"/><Relationship Id="rId2100" Type="http://schemas.openxmlformats.org/officeDocument/2006/relationships/hyperlink" Target="2020_06/16.06.2020/61570" TargetMode="External"/><Relationship Id="rId1659" Type="http://schemas.openxmlformats.org/officeDocument/2006/relationships/hyperlink" Target="2020_03\25.03.2020\23946" TargetMode="External"/><Relationship Id="rId1866" Type="http://schemas.openxmlformats.org/officeDocument/2006/relationships/hyperlink" Target="2020_05/18.05.2020/42345" TargetMode="External"/><Relationship Id="rId2917" Type="http://schemas.openxmlformats.org/officeDocument/2006/relationships/hyperlink" Target="2020_08/10.08.2020/94907" TargetMode="External"/><Relationship Id="rId3081" Type="http://schemas.openxmlformats.org/officeDocument/2006/relationships/hyperlink" Target="2020_08/24.08.2020/110551" TargetMode="External"/><Relationship Id="rId1519" Type="http://schemas.openxmlformats.org/officeDocument/2006/relationships/hyperlink" Target="2020_03/13.03.2020/17305" TargetMode="External"/><Relationship Id="rId1726" Type="http://schemas.openxmlformats.org/officeDocument/2006/relationships/hyperlink" Target="2020_04\06.04.2020\26357" TargetMode="External"/><Relationship Id="rId1933" Type="http://schemas.openxmlformats.org/officeDocument/2006/relationships/hyperlink" Target="2020_05/20.05.2020/44033" TargetMode="External"/><Relationship Id="rId18" Type="http://schemas.openxmlformats.org/officeDocument/2006/relationships/hyperlink" Target="https://smp.sfurf.office/sd/operator/index.jsp;jsessionid=4B56FDB405CD332F2E4AE6AEC0BFEE05" TargetMode="External"/><Relationship Id="rId3898" Type="http://schemas.openxmlformats.org/officeDocument/2006/relationships/hyperlink" Target="2020_11\19.11.2020\151100" TargetMode="External"/><Relationship Id="rId3758" Type="http://schemas.openxmlformats.org/officeDocument/2006/relationships/hyperlink" Target="2020_11/03.11.2020/149993" TargetMode="External"/><Relationship Id="rId3965" Type="http://schemas.openxmlformats.org/officeDocument/2006/relationships/hyperlink" Target="2020_12/16.12.2020/166486" TargetMode="External"/><Relationship Id="rId679" Type="http://schemas.openxmlformats.org/officeDocument/2006/relationships/hyperlink" Target="2019_12/26.12.2019/77100" TargetMode="External"/><Relationship Id="rId886" Type="http://schemas.openxmlformats.org/officeDocument/2006/relationships/hyperlink" Target="2020_01\17.01.2020\76827" TargetMode="External"/><Relationship Id="rId2567" Type="http://schemas.openxmlformats.org/officeDocument/2006/relationships/hyperlink" Target="2020_06/22.06.2020/67747" TargetMode="External"/><Relationship Id="rId2774" Type="http://schemas.openxmlformats.org/officeDocument/2006/relationships/hyperlink" Target="2020_07\24.07.2020\85180" TargetMode="External"/><Relationship Id="rId3618" Type="http://schemas.openxmlformats.org/officeDocument/2006/relationships/hyperlink" Target="2020_10/08.10.2020/128673" TargetMode="External"/><Relationship Id="rId2" Type="http://schemas.openxmlformats.org/officeDocument/2006/relationships/hyperlink" Target="https://smp.sfurf.office/sd/operator/index.jsp;jsessionid=4B56FDB405CD332F2E4AE6AEC0BFEE05" TargetMode="External"/><Relationship Id="rId539" Type="http://schemas.openxmlformats.org/officeDocument/2006/relationships/hyperlink" Target="2019_12\17.12.2019\71892" TargetMode="External"/><Relationship Id="rId746" Type="http://schemas.openxmlformats.org/officeDocument/2006/relationships/hyperlink" Target="2019_12/31.12.2019/71378" TargetMode="External"/><Relationship Id="rId1169" Type="http://schemas.openxmlformats.org/officeDocument/2006/relationships/hyperlink" Target="2020_02\11.02.2020\90488" TargetMode="External"/><Relationship Id="rId1376" Type="http://schemas.openxmlformats.org/officeDocument/2006/relationships/hyperlink" Target="2020_03/02.03.2020/20-88" TargetMode="External"/><Relationship Id="rId1583" Type="http://schemas.openxmlformats.org/officeDocument/2006/relationships/hyperlink" Target="2020_03/19.03.2020/19970" TargetMode="External"/><Relationship Id="rId2427" Type="http://schemas.openxmlformats.org/officeDocument/2006/relationships/hyperlink" Target="2020_06/10.06.2020/70525" TargetMode="External"/><Relationship Id="rId2981" Type="http://schemas.openxmlformats.org/officeDocument/2006/relationships/hyperlink" Target="2020_08\13.08.2020\96844" TargetMode="External"/><Relationship Id="rId3825" Type="http://schemas.openxmlformats.org/officeDocument/2006/relationships/hyperlink" Target="2020_11/12.11.2020/146880" TargetMode="External"/><Relationship Id="rId953" Type="http://schemas.openxmlformats.org/officeDocument/2006/relationships/hyperlink" Target="2020_01/22.01.2020/88638" TargetMode="External"/><Relationship Id="rId1029" Type="http://schemas.openxmlformats.org/officeDocument/2006/relationships/hyperlink" Target="2020_01\29.01.2020\83935" TargetMode="External"/><Relationship Id="rId1236" Type="http://schemas.openxmlformats.org/officeDocument/2006/relationships/hyperlink" Target="2020_02\18.02.2020\-2086" TargetMode="External"/><Relationship Id="rId1790" Type="http://schemas.openxmlformats.org/officeDocument/2006/relationships/hyperlink" Target="2020_04/09.04.2020/28808" TargetMode="External"/><Relationship Id="rId2634" Type="http://schemas.openxmlformats.org/officeDocument/2006/relationships/hyperlink" Target="2020_06/29.06.2020/78818" TargetMode="External"/><Relationship Id="rId2841" Type="http://schemas.openxmlformats.org/officeDocument/2006/relationships/hyperlink" Target="2020_08/03.08.2020/89556" TargetMode="External"/><Relationship Id="rId82" Type="http://schemas.openxmlformats.org/officeDocument/2006/relationships/hyperlink" Target="..\Users\shilyaevan\AppData\Roaming\Microsoft\Excel\2019_10\16.10.2019\36122" TargetMode="External"/><Relationship Id="rId606" Type="http://schemas.openxmlformats.org/officeDocument/2006/relationships/hyperlink" Target="2019_12/23.12.2019/67308" TargetMode="External"/><Relationship Id="rId813" Type="http://schemas.openxmlformats.org/officeDocument/2006/relationships/hyperlink" Target="2020_01\13.01.2020\74799" TargetMode="External"/><Relationship Id="rId1443" Type="http://schemas.openxmlformats.org/officeDocument/2006/relationships/hyperlink" Target="2020_03/05.03.2020/12478" TargetMode="External"/><Relationship Id="rId1650" Type="http://schemas.openxmlformats.org/officeDocument/2006/relationships/hyperlink" Target="2020_03\24.03.2020\23533" TargetMode="External"/><Relationship Id="rId2701" Type="http://schemas.openxmlformats.org/officeDocument/2006/relationships/hyperlink" Target="2020_07/06.07.2020/74322" TargetMode="External"/><Relationship Id="rId1303" Type="http://schemas.openxmlformats.org/officeDocument/2006/relationships/hyperlink" Target="2020_02/25.02.2020/14441" TargetMode="External"/><Relationship Id="rId1510" Type="http://schemas.openxmlformats.org/officeDocument/2006/relationships/hyperlink" Target="2020_03\12.03.2020\15620" TargetMode="External"/><Relationship Id="rId3268" Type="http://schemas.openxmlformats.org/officeDocument/2006/relationships/hyperlink" Target="2020_09/14.09.2020/114464" TargetMode="External"/><Relationship Id="rId3475" Type="http://schemas.openxmlformats.org/officeDocument/2006/relationships/hyperlink" Target="2020_09/24.09.2020/120576" TargetMode="External"/><Relationship Id="rId3682" Type="http://schemas.openxmlformats.org/officeDocument/2006/relationships/hyperlink" Target="2020_10/14.10.2020/139364" TargetMode="External"/><Relationship Id="rId189" Type="http://schemas.openxmlformats.org/officeDocument/2006/relationships/hyperlink" Target="2019_10\29.10.2019\35390" TargetMode="External"/><Relationship Id="rId396" Type="http://schemas.openxmlformats.org/officeDocument/2006/relationships/hyperlink" Target="https://smp.sfurf.office/sd/operator/" TargetMode="External"/><Relationship Id="rId2077" Type="http://schemas.openxmlformats.org/officeDocument/2006/relationships/hyperlink" Target="2020_06/04.06.2020/42918" TargetMode="External"/><Relationship Id="rId2284" Type="http://schemas.openxmlformats.org/officeDocument/2006/relationships/hyperlink" Target="2020_06/16.06.2020/54143" TargetMode="External"/><Relationship Id="rId2491" Type="http://schemas.openxmlformats.org/officeDocument/2006/relationships/hyperlink" Target="2020_06\16.06.2020\65630" TargetMode="External"/><Relationship Id="rId3128" Type="http://schemas.openxmlformats.org/officeDocument/2006/relationships/hyperlink" Target="2020_08\26.08.2020\112201" TargetMode="External"/><Relationship Id="rId3335" Type="http://schemas.openxmlformats.org/officeDocument/2006/relationships/hyperlink" Target="2020_09/18.09.2020/125508" TargetMode="External"/><Relationship Id="rId3542" Type="http://schemas.openxmlformats.org/officeDocument/2006/relationships/hyperlink" Target="2020_10/02.10.2020/120624" TargetMode="External"/><Relationship Id="rId256" Type="http://schemas.openxmlformats.org/officeDocument/2006/relationships/hyperlink" Target="2019_11\05.11.2019\47129" TargetMode="External"/><Relationship Id="rId463" Type="http://schemas.openxmlformats.org/officeDocument/2006/relationships/hyperlink" Target="2019_12\09.12.2019\67458" TargetMode="External"/><Relationship Id="rId670" Type="http://schemas.openxmlformats.org/officeDocument/2006/relationships/hyperlink" Target="2019_12/26.12.2019/69707" TargetMode="External"/><Relationship Id="rId1093" Type="http://schemas.openxmlformats.org/officeDocument/2006/relationships/hyperlink" Target="2020_02\05.02.2020\88207" TargetMode="External"/><Relationship Id="rId2144" Type="http://schemas.openxmlformats.org/officeDocument/2006/relationships/hyperlink" Target="2020_06\01.06.2020\63959" TargetMode="External"/><Relationship Id="rId2351" Type="http://schemas.openxmlformats.org/officeDocument/2006/relationships/hyperlink" Target="2020_06\04.06.2020\67731" TargetMode="External"/><Relationship Id="rId3402" Type="http://schemas.openxmlformats.org/officeDocument/2006/relationships/hyperlink" Target="2020_09/24.09.2020/120204" TargetMode="External"/><Relationship Id="rId116" Type="http://schemas.openxmlformats.org/officeDocument/2006/relationships/hyperlink" Target="https://smp.sfurf.office/sd/operator/index.jsp;jsessionid=4B56FDB405CD332F2E4AE6AEC0BFEE05" TargetMode="External"/><Relationship Id="rId323" Type="http://schemas.openxmlformats.org/officeDocument/2006/relationships/hyperlink" Target="2019_11\19.11.2019\54236" TargetMode="External"/><Relationship Id="rId530" Type="http://schemas.openxmlformats.org/officeDocument/2006/relationships/hyperlink" Target="2019_12\17.12.2019\70844" TargetMode="External"/><Relationship Id="rId1160" Type="http://schemas.openxmlformats.org/officeDocument/2006/relationships/hyperlink" Target="2020_02\10.02.2020\90149" TargetMode="External"/><Relationship Id="rId2004" Type="http://schemas.openxmlformats.org/officeDocument/2006/relationships/hyperlink" Target="2020_05/25.05.2020/36990" TargetMode="External"/><Relationship Id="rId2211" Type="http://schemas.openxmlformats.org/officeDocument/2006/relationships/hyperlink" Target="2020_06/02.06.2020/66822" TargetMode="External"/><Relationship Id="rId1020" Type="http://schemas.openxmlformats.org/officeDocument/2006/relationships/hyperlink" Target="2020_01\29.01.2020\91853" TargetMode="External"/><Relationship Id="rId1977" Type="http://schemas.openxmlformats.org/officeDocument/2006/relationships/hyperlink" Target="2020_05/21.05.2020/36941" TargetMode="External"/><Relationship Id="rId1837" Type="http://schemas.openxmlformats.org/officeDocument/2006/relationships/hyperlink" Target="2020_03/25.03.2020/33156" TargetMode="External"/><Relationship Id="rId3192" Type="http://schemas.openxmlformats.org/officeDocument/2006/relationships/hyperlink" Target="2020_09/04.09.2020/109885" TargetMode="External"/><Relationship Id="rId3052" Type="http://schemas.openxmlformats.org/officeDocument/2006/relationships/hyperlink" Target="2020_08/19.08.2020/108245" TargetMode="External"/><Relationship Id="rId180" Type="http://schemas.openxmlformats.org/officeDocument/2006/relationships/hyperlink" Target="2019_11\12.11.2019\42132" TargetMode="External"/><Relationship Id="rId1904" Type="http://schemas.openxmlformats.org/officeDocument/2006/relationships/hyperlink" Target="2020_05/19.05.2020/43447" TargetMode="External"/><Relationship Id="rId3869" Type="http://schemas.openxmlformats.org/officeDocument/2006/relationships/hyperlink" Target="2020_11/17.11.2020/149540" TargetMode="External"/><Relationship Id="rId997" Type="http://schemas.openxmlformats.org/officeDocument/2006/relationships/hyperlink" Target="2020_01\28.01.2020\90486" TargetMode="External"/><Relationship Id="rId2678" Type="http://schemas.openxmlformats.org/officeDocument/2006/relationships/hyperlink" Target="2020_07/02.07.2020/73687" TargetMode="External"/><Relationship Id="rId2885" Type="http://schemas.openxmlformats.org/officeDocument/2006/relationships/hyperlink" Target="2020_08/07.08.2020/93221" TargetMode="External"/><Relationship Id="rId3729" Type="http://schemas.openxmlformats.org/officeDocument/2006/relationships/hyperlink" Target="2020_10/28.10.2020/147356" TargetMode="External"/><Relationship Id="rId3936" Type="http://schemas.openxmlformats.org/officeDocument/2006/relationships/hyperlink" Target="2020_12/08.12.2020/160801" TargetMode="External"/><Relationship Id="rId857" Type="http://schemas.openxmlformats.org/officeDocument/2006/relationships/hyperlink" Target="2020_01/16.01.2020/85428" TargetMode="External"/><Relationship Id="rId1487" Type="http://schemas.openxmlformats.org/officeDocument/2006/relationships/hyperlink" Target="2020_03\10.03.2020\23224" TargetMode="External"/><Relationship Id="rId1694" Type="http://schemas.openxmlformats.org/officeDocument/2006/relationships/hyperlink" Target="2020_03\27.03.2020\25162" TargetMode="External"/><Relationship Id="rId2538" Type="http://schemas.openxmlformats.org/officeDocument/2006/relationships/hyperlink" Target="2020_06/19.06.2020/67740" TargetMode="External"/><Relationship Id="rId2745" Type="http://schemas.openxmlformats.org/officeDocument/2006/relationships/hyperlink" Target="2020_07/09.07.2020/75965" TargetMode="External"/><Relationship Id="rId2952" Type="http://schemas.openxmlformats.org/officeDocument/2006/relationships/hyperlink" Target="2020_08/13.08.2020/97326" TargetMode="External"/><Relationship Id="rId717" Type="http://schemas.openxmlformats.org/officeDocument/2006/relationships/hyperlink" Target="2019_12/31.12.2019/80041" TargetMode="External"/><Relationship Id="rId924" Type="http://schemas.openxmlformats.org/officeDocument/2006/relationships/hyperlink" Target="2020_01\22.01.2020\88647" TargetMode="External"/><Relationship Id="rId1347" Type="http://schemas.openxmlformats.org/officeDocument/2006/relationships/hyperlink" Target="2020_02/27.02.2020/16402" TargetMode="External"/><Relationship Id="rId1554" Type="http://schemas.openxmlformats.org/officeDocument/2006/relationships/hyperlink" Target="2020_03\17.03.2020\10034" TargetMode="External"/><Relationship Id="rId1761" Type="http://schemas.openxmlformats.org/officeDocument/2006/relationships/hyperlink" Target="2020_04\08.04.2020\37625" TargetMode="External"/><Relationship Id="rId2605" Type="http://schemas.openxmlformats.org/officeDocument/2006/relationships/hyperlink" Target="2020_06/25.06.2020/69777" TargetMode="External"/><Relationship Id="rId2812" Type="http://schemas.openxmlformats.org/officeDocument/2006/relationships/hyperlink" Target="2020_07/27.07.2020/94422" TargetMode="External"/><Relationship Id="rId53" Type="http://schemas.openxmlformats.org/officeDocument/2006/relationships/hyperlink" Target="https://smp.sfurf.office/sd/operator/" TargetMode="External"/><Relationship Id="rId1207" Type="http://schemas.openxmlformats.org/officeDocument/2006/relationships/hyperlink" Target="2020_02\12.02.2020\91832" TargetMode="External"/><Relationship Id="rId1414" Type="http://schemas.openxmlformats.org/officeDocument/2006/relationships/hyperlink" Target="2020_03/04.03.2020/10878" TargetMode="External"/><Relationship Id="rId1621" Type="http://schemas.openxmlformats.org/officeDocument/2006/relationships/hyperlink" Target="2020_03/23.03.2020/21923" TargetMode="External"/><Relationship Id="rId3379" Type="http://schemas.openxmlformats.org/officeDocument/2006/relationships/hyperlink" Target="2020_09/17.09.2020/124683" TargetMode="External"/><Relationship Id="rId3586" Type="http://schemas.openxmlformats.org/officeDocument/2006/relationships/hyperlink" Target="2020_10\07.10.2020\126970" TargetMode="External"/><Relationship Id="rId3793" Type="http://schemas.openxmlformats.org/officeDocument/2006/relationships/hyperlink" Target="2020_11/06.11.2020/143524" TargetMode="External"/><Relationship Id="rId2188" Type="http://schemas.openxmlformats.org/officeDocument/2006/relationships/hyperlink" Target="2020_06\16.06.2020\49289" TargetMode="External"/><Relationship Id="rId2395" Type="http://schemas.openxmlformats.org/officeDocument/2006/relationships/hyperlink" Target="2020_06/16.06.2020/53938" TargetMode="External"/><Relationship Id="rId3239" Type="http://schemas.openxmlformats.org/officeDocument/2006/relationships/hyperlink" Target="2020_09/10.09.2020/113358" TargetMode="External"/><Relationship Id="rId3446" Type="http://schemas.openxmlformats.org/officeDocument/2006/relationships/hyperlink" Target="2020_09/24.09.2020/120345" TargetMode="External"/><Relationship Id="rId367" Type="http://schemas.openxmlformats.org/officeDocument/2006/relationships/hyperlink" Target="2019_12\04.12.2019\46327" TargetMode="External"/><Relationship Id="rId574" Type="http://schemas.openxmlformats.org/officeDocument/2006/relationships/hyperlink" Target="2019_12\19.12.2019\72868" TargetMode="External"/><Relationship Id="rId2048" Type="http://schemas.openxmlformats.org/officeDocument/2006/relationships/hyperlink" Target="2020_05/27.05.2020/50558" TargetMode="External"/><Relationship Id="rId2255" Type="http://schemas.openxmlformats.org/officeDocument/2006/relationships/hyperlink" Target="2020_06/16.06.2020/56968" TargetMode="External"/><Relationship Id="rId3653" Type="http://schemas.openxmlformats.org/officeDocument/2006/relationships/hyperlink" Target="2020_10/12.10.2020/129829" TargetMode="External"/><Relationship Id="rId3860" Type="http://schemas.openxmlformats.org/officeDocument/2006/relationships/hyperlink" Target="2020_11/17.11.2020/149188" TargetMode="External"/><Relationship Id="rId227" Type="http://schemas.openxmlformats.org/officeDocument/2006/relationships/hyperlink" Target="https://smp.sfurf.office/sd/operator/" TargetMode="External"/><Relationship Id="rId781" Type="http://schemas.openxmlformats.org/officeDocument/2006/relationships/hyperlink" Target="2020_01/09.01.2020/80444" TargetMode="External"/><Relationship Id="rId2462" Type="http://schemas.openxmlformats.org/officeDocument/2006/relationships/hyperlink" Target="2020_06/16.06.2020/64252" TargetMode="External"/><Relationship Id="rId3306" Type="http://schemas.openxmlformats.org/officeDocument/2006/relationships/hyperlink" Target="2020_09/17.09.2020/112405" TargetMode="External"/><Relationship Id="rId3513" Type="http://schemas.openxmlformats.org/officeDocument/2006/relationships/hyperlink" Target="2020_09/30.09.2020/123599" TargetMode="External"/><Relationship Id="rId3720" Type="http://schemas.openxmlformats.org/officeDocument/2006/relationships/hyperlink" Target="2020_10\14.10.2020\139040" TargetMode="External"/><Relationship Id="rId434" Type="http://schemas.openxmlformats.org/officeDocument/2006/relationships/hyperlink" Target="https://smp.sfurf.office/sd/operator/" TargetMode="External"/><Relationship Id="rId641" Type="http://schemas.openxmlformats.org/officeDocument/2006/relationships/hyperlink" Target="2019_12/25.12.2019/68633" TargetMode="External"/><Relationship Id="rId1064" Type="http://schemas.openxmlformats.org/officeDocument/2006/relationships/hyperlink" Target="2020_01\31.01.2020\0-207" TargetMode="External"/><Relationship Id="rId1271" Type="http://schemas.openxmlformats.org/officeDocument/2006/relationships/hyperlink" Target="2020_02/20.02.2020/-3964" TargetMode="External"/><Relationship Id="rId2115" Type="http://schemas.openxmlformats.org/officeDocument/2006/relationships/hyperlink" Target="2020_06\01.06.2020\62326" TargetMode="External"/><Relationship Id="rId2322" Type="http://schemas.openxmlformats.org/officeDocument/2006/relationships/hyperlink" Target="2020_06/05.06.2020/67804" TargetMode="External"/><Relationship Id="rId501" Type="http://schemas.openxmlformats.org/officeDocument/2006/relationships/hyperlink" Target="2019_12\12.12.2019\60129" TargetMode="External"/><Relationship Id="rId1131" Type="http://schemas.openxmlformats.org/officeDocument/2006/relationships/hyperlink" Target="2020_02/06.02.2020/89371" TargetMode="External"/><Relationship Id="rId3096" Type="http://schemas.openxmlformats.org/officeDocument/2006/relationships/hyperlink" Target="2020_08\25.08.2020\103537" TargetMode="External"/><Relationship Id="rId1948" Type="http://schemas.openxmlformats.org/officeDocument/2006/relationships/hyperlink" Target="2020_05/21.05.2020/35865" TargetMode="External"/><Relationship Id="rId3163" Type="http://schemas.openxmlformats.org/officeDocument/2006/relationships/hyperlink" Target="2020_09/02.09.2020/108502" TargetMode="External"/><Relationship Id="rId3370" Type="http://schemas.openxmlformats.org/officeDocument/2006/relationships/hyperlink" Target="2020_09\22.09.2020\127119" TargetMode="External"/><Relationship Id="rId291" Type="http://schemas.openxmlformats.org/officeDocument/2006/relationships/hyperlink" Target="2019_11\12.11.2019\50123" TargetMode="External"/><Relationship Id="rId1808" Type="http://schemas.openxmlformats.org/officeDocument/2006/relationships/hyperlink" Target="2020_05/13.05.2020/40204" TargetMode="External"/><Relationship Id="rId3023" Type="http://schemas.openxmlformats.org/officeDocument/2006/relationships/hyperlink" Target="2020_08\17.08.2020\98347" TargetMode="External"/><Relationship Id="rId151" Type="http://schemas.openxmlformats.org/officeDocument/2006/relationships/hyperlink" Target="2019_10\24.10.2019\33031" TargetMode="External"/><Relationship Id="rId3230" Type="http://schemas.openxmlformats.org/officeDocument/2006/relationships/hyperlink" Target="2020_09/09.09.2020/119675" TargetMode="External"/><Relationship Id="rId2789" Type="http://schemas.openxmlformats.org/officeDocument/2006/relationships/hyperlink" Target="2020_07\30.07.2020\88806" TargetMode="External"/><Relationship Id="rId2996" Type="http://schemas.openxmlformats.org/officeDocument/2006/relationships/hyperlink" Target="2020_08/13.08.2020/96854" TargetMode="External"/><Relationship Id="rId968" Type="http://schemas.openxmlformats.org/officeDocument/2006/relationships/hyperlink" Target="2020_01\24.01.2020\81962" TargetMode="External"/><Relationship Id="rId1598" Type="http://schemas.openxmlformats.org/officeDocument/2006/relationships/hyperlink" Target="2020_03\19.03.2020\28703" TargetMode="External"/><Relationship Id="rId2649" Type="http://schemas.openxmlformats.org/officeDocument/2006/relationships/hyperlink" Target="2020_06\26.06.2020\78349" TargetMode="External"/><Relationship Id="rId2856" Type="http://schemas.openxmlformats.org/officeDocument/2006/relationships/hyperlink" Target="2020_08/04.08.2020/90641" TargetMode="External"/><Relationship Id="rId3907" Type="http://schemas.openxmlformats.org/officeDocument/2006/relationships/hyperlink" Target="2020_11/19.11.2020/158781" TargetMode="External"/><Relationship Id="rId97" Type="http://schemas.openxmlformats.org/officeDocument/2006/relationships/hyperlink" Target="../Users/shilyaevan/AppData/Roaming/Microsoft/Excel/2019_10/17.10.2019/23137" TargetMode="External"/><Relationship Id="rId828" Type="http://schemas.openxmlformats.org/officeDocument/2006/relationships/hyperlink" Target="2020_01/15.01.2020/75453" TargetMode="External"/><Relationship Id="rId1458" Type="http://schemas.openxmlformats.org/officeDocument/2006/relationships/hyperlink" Target="2020_03\06.03.2020\13163" TargetMode="External"/><Relationship Id="rId1665" Type="http://schemas.openxmlformats.org/officeDocument/2006/relationships/hyperlink" Target="2020_03/25.03.2020/23444" TargetMode="External"/><Relationship Id="rId1872" Type="http://schemas.openxmlformats.org/officeDocument/2006/relationships/hyperlink" Target="2020_05\12.05.2020\38142" TargetMode="External"/><Relationship Id="rId2509" Type="http://schemas.openxmlformats.org/officeDocument/2006/relationships/hyperlink" Target="2020_06\19.06.2020\74724" TargetMode="External"/><Relationship Id="rId2716" Type="http://schemas.openxmlformats.org/officeDocument/2006/relationships/hyperlink" Target="2020_07/08.07.2020/75770" TargetMode="External"/><Relationship Id="rId1318" Type="http://schemas.openxmlformats.org/officeDocument/2006/relationships/hyperlink" Target="2020_02\26.02.2020\-7123" TargetMode="External"/><Relationship Id="rId1525" Type="http://schemas.openxmlformats.org/officeDocument/2006/relationships/hyperlink" Target="2020_03/13.03.2020/25747" TargetMode="External"/><Relationship Id="rId2923" Type="http://schemas.openxmlformats.org/officeDocument/2006/relationships/hyperlink" Target="2020_08/10.08.2020/02417" TargetMode="External"/><Relationship Id="rId1732" Type="http://schemas.openxmlformats.org/officeDocument/2006/relationships/hyperlink" Target="2020_04/06.04.2020/26233" TargetMode="External"/><Relationship Id="rId24" Type="http://schemas.openxmlformats.org/officeDocument/2006/relationships/hyperlink" Target="https://smp.sfurf.office/sd/operator/index.jsp;jsessionid=4B56FDB405CD332F2E4AE6AEC0BFEE05" TargetMode="External"/><Relationship Id="rId2299" Type="http://schemas.openxmlformats.org/officeDocument/2006/relationships/hyperlink" Target="2020_06\01.06.2020\64121" TargetMode="External"/><Relationship Id="rId3697" Type="http://schemas.openxmlformats.org/officeDocument/2006/relationships/hyperlink" Target="2020_10/14.10.2020/131540" TargetMode="External"/><Relationship Id="rId3557" Type="http://schemas.openxmlformats.org/officeDocument/2006/relationships/hyperlink" Target="2020_10/05.10.2020/133219" TargetMode="External"/><Relationship Id="rId3764" Type="http://schemas.openxmlformats.org/officeDocument/2006/relationships/hyperlink" Target="2020_11/06.11.2020/144148" TargetMode="External"/><Relationship Id="rId3971" Type="http://schemas.openxmlformats.org/officeDocument/2006/relationships/hyperlink" Target="2020_12/16.12.2020/174044" TargetMode="External"/><Relationship Id="rId478" Type="http://schemas.openxmlformats.org/officeDocument/2006/relationships/hyperlink" Target="2019_12\10.12.2019\57880" TargetMode="External"/><Relationship Id="rId685" Type="http://schemas.openxmlformats.org/officeDocument/2006/relationships/hyperlink" Target="2019_12\27.12.2019\70779" TargetMode="External"/><Relationship Id="rId892" Type="http://schemas.openxmlformats.org/officeDocument/2006/relationships/hyperlink" Target="2020_01/17.01.2020/77355" TargetMode="External"/><Relationship Id="rId2159" Type="http://schemas.openxmlformats.org/officeDocument/2006/relationships/hyperlink" Target="2020_06/01.06.2020/63647" TargetMode="External"/><Relationship Id="rId2366" Type="http://schemas.openxmlformats.org/officeDocument/2006/relationships/hyperlink" Target="2020_06/16.06.2020/55939" TargetMode="External"/><Relationship Id="rId2573" Type="http://schemas.openxmlformats.org/officeDocument/2006/relationships/hyperlink" Target="2020_06/23.06.2020/69945" TargetMode="External"/><Relationship Id="rId2780" Type="http://schemas.openxmlformats.org/officeDocument/2006/relationships/hyperlink" Target="2020_07/23.07.2020/92851" TargetMode="External"/><Relationship Id="rId3417" Type="http://schemas.openxmlformats.org/officeDocument/2006/relationships/hyperlink" Target="2020_09/23.09.2020/120214" TargetMode="External"/><Relationship Id="rId3624" Type="http://schemas.openxmlformats.org/officeDocument/2006/relationships/hyperlink" Target="2020_10/09.10.2020/129005" TargetMode="External"/><Relationship Id="rId3831" Type="http://schemas.openxmlformats.org/officeDocument/2006/relationships/hyperlink" Target="2020_11/11.11.2020/153730" TargetMode="External"/><Relationship Id="rId338" Type="http://schemas.openxmlformats.org/officeDocument/2006/relationships/hyperlink" Target="https://smp.sfurf.office/sd/operator/" TargetMode="External"/><Relationship Id="rId545" Type="http://schemas.openxmlformats.org/officeDocument/2006/relationships/hyperlink" Target="2019_12/17.12.2019/71393" TargetMode="External"/><Relationship Id="rId752" Type="http://schemas.openxmlformats.org/officeDocument/2006/relationships/hyperlink" Target="2019_12\31.12.2019\79789" TargetMode="External"/><Relationship Id="rId1175" Type="http://schemas.openxmlformats.org/officeDocument/2006/relationships/hyperlink" Target="2020_02\10.02.2020\-7150" TargetMode="External"/><Relationship Id="rId1382" Type="http://schemas.openxmlformats.org/officeDocument/2006/relationships/hyperlink" Target="2020_03\02.03.2020\18177" TargetMode="External"/><Relationship Id="rId2019" Type="http://schemas.openxmlformats.org/officeDocument/2006/relationships/hyperlink" Target="2020_05/25.05.2020/47607" TargetMode="External"/><Relationship Id="rId2226" Type="http://schemas.openxmlformats.org/officeDocument/2006/relationships/hyperlink" Target="2020_06\01.06.2020\63092" TargetMode="External"/><Relationship Id="rId2433" Type="http://schemas.openxmlformats.org/officeDocument/2006/relationships/hyperlink" Target="2020_06/16.06.2020/65227" TargetMode="External"/><Relationship Id="rId2640" Type="http://schemas.openxmlformats.org/officeDocument/2006/relationships/hyperlink" Target="2020_06/29.06.2020/78463" TargetMode="External"/><Relationship Id="rId405" Type="http://schemas.openxmlformats.org/officeDocument/2006/relationships/hyperlink" Target="https://smp.sfurf.office/sd/operator/" TargetMode="External"/><Relationship Id="rId612" Type="http://schemas.openxmlformats.org/officeDocument/2006/relationships/hyperlink" Target="2019_12/24.12.2019/67166" TargetMode="External"/><Relationship Id="rId1035" Type="http://schemas.openxmlformats.org/officeDocument/2006/relationships/hyperlink" Target="2020_01\29.01.2020\91765" TargetMode="External"/><Relationship Id="rId1242" Type="http://schemas.openxmlformats.org/officeDocument/2006/relationships/hyperlink" Target="2020_02/18.02.2020/-2638" TargetMode="External"/><Relationship Id="rId2500" Type="http://schemas.openxmlformats.org/officeDocument/2006/relationships/hyperlink" Target="2020_06\16.06.2020\61349" TargetMode="External"/><Relationship Id="rId1102" Type="http://schemas.openxmlformats.org/officeDocument/2006/relationships/hyperlink" Target="2020_02\04.02.2020\-2119" TargetMode="External"/><Relationship Id="rId3067" Type="http://schemas.openxmlformats.org/officeDocument/2006/relationships/hyperlink" Target="2020_08\18.08.2020\107553" TargetMode="External"/><Relationship Id="rId3274" Type="http://schemas.openxmlformats.org/officeDocument/2006/relationships/hyperlink" Target="2020_09/09.09.2020/120516" TargetMode="External"/><Relationship Id="rId195" Type="http://schemas.openxmlformats.org/officeDocument/2006/relationships/hyperlink" Target="2019_11\13.11.2019\43004" TargetMode="External"/><Relationship Id="rId1919" Type="http://schemas.openxmlformats.org/officeDocument/2006/relationships/hyperlink" Target="2020_05/19.05.2020/34319" TargetMode="External"/><Relationship Id="rId3481" Type="http://schemas.openxmlformats.org/officeDocument/2006/relationships/hyperlink" Target="2020_09/28.09.2020/122334" TargetMode="External"/><Relationship Id="rId2083" Type="http://schemas.openxmlformats.org/officeDocument/2006/relationships/hyperlink" Target="2020_06/05.06.2020/43678" TargetMode="External"/><Relationship Id="rId2290" Type="http://schemas.openxmlformats.org/officeDocument/2006/relationships/hyperlink" Target="2020_06/08.06.2020/69274" TargetMode="External"/><Relationship Id="rId3134" Type="http://schemas.openxmlformats.org/officeDocument/2006/relationships/hyperlink" Target="2020_08\27.08.2020\113431" TargetMode="External"/><Relationship Id="rId3341" Type="http://schemas.openxmlformats.org/officeDocument/2006/relationships/hyperlink" Target="2020_09\17.09.2020\116915" TargetMode="External"/><Relationship Id="rId262" Type="http://schemas.openxmlformats.org/officeDocument/2006/relationships/hyperlink" Target="2019_11\20.11.2019\46333" TargetMode="External"/><Relationship Id="rId2150" Type="http://schemas.openxmlformats.org/officeDocument/2006/relationships/hyperlink" Target="2020_06/03.06.2020/41114" TargetMode="External"/><Relationship Id="rId3201" Type="http://schemas.openxmlformats.org/officeDocument/2006/relationships/hyperlink" Target="2020_09/07.09.2020/109975" TargetMode="External"/><Relationship Id="rId122" Type="http://schemas.openxmlformats.org/officeDocument/2006/relationships/hyperlink" Target="https://smp.sfurf.office/sd/operator/index.jsp;jsessionid=4B56FDB405CD332F2E4AE6AEC0BFEE05" TargetMode="External"/><Relationship Id="rId2010" Type="http://schemas.openxmlformats.org/officeDocument/2006/relationships/hyperlink" Target="2020_05/27.05.2020/39995" TargetMode="External"/><Relationship Id="rId1569" Type="http://schemas.openxmlformats.org/officeDocument/2006/relationships/hyperlink" Target="2020_03\18.03.2020\19684" TargetMode="External"/><Relationship Id="rId2967" Type="http://schemas.openxmlformats.org/officeDocument/2006/relationships/hyperlink" Target="2020_08/12.08.2020/04956" TargetMode="External"/><Relationship Id="rId939" Type="http://schemas.openxmlformats.org/officeDocument/2006/relationships/hyperlink" Target="2020_01\22.01.2020\87759" TargetMode="External"/><Relationship Id="rId1776" Type="http://schemas.openxmlformats.org/officeDocument/2006/relationships/hyperlink" Target="2020_04\09.04.2020\28742" TargetMode="External"/><Relationship Id="rId1983" Type="http://schemas.openxmlformats.org/officeDocument/2006/relationships/hyperlink" Target="2020_05/25.05.2020/47602" TargetMode="External"/><Relationship Id="rId2827" Type="http://schemas.openxmlformats.org/officeDocument/2006/relationships/hyperlink" Target="2020_07/31.07.2020/88744" TargetMode="External"/><Relationship Id="rId68" Type="http://schemas.openxmlformats.org/officeDocument/2006/relationships/hyperlink" Target="https://smp.sfurf.office/sd/operator/" TargetMode="External"/><Relationship Id="rId1429" Type="http://schemas.openxmlformats.org/officeDocument/2006/relationships/hyperlink" Target="2020_03\04.03.2020\21364" TargetMode="External"/><Relationship Id="rId1636" Type="http://schemas.openxmlformats.org/officeDocument/2006/relationships/hyperlink" Target="2020_03/25.03.2020/23560" TargetMode="External"/><Relationship Id="rId1843" Type="http://schemas.openxmlformats.org/officeDocument/2006/relationships/hyperlink" Target="2020_05/13.05.2020/29981" TargetMode="External"/><Relationship Id="rId1703" Type="http://schemas.openxmlformats.org/officeDocument/2006/relationships/hyperlink" Target="2020_03/27.03.2020/25400" TargetMode="External"/><Relationship Id="rId1910" Type="http://schemas.openxmlformats.org/officeDocument/2006/relationships/hyperlink" Target="2020_05/21.05.2020/45853" TargetMode="External"/><Relationship Id="rId3668" Type="http://schemas.openxmlformats.org/officeDocument/2006/relationships/hyperlink" Target="2020_10/13.10.2020/130677" TargetMode="External"/><Relationship Id="rId3875" Type="http://schemas.openxmlformats.org/officeDocument/2006/relationships/hyperlink" Target="2020_11/17.11.2020/149208" TargetMode="External"/><Relationship Id="rId589" Type="http://schemas.openxmlformats.org/officeDocument/2006/relationships/hyperlink" Target="2019_12\20.12.2019\65914" TargetMode="External"/><Relationship Id="rId796" Type="http://schemas.openxmlformats.org/officeDocument/2006/relationships/hyperlink" Target="2020_01/10.01.2020/81347" TargetMode="External"/><Relationship Id="rId2477" Type="http://schemas.openxmlformats.org/officeDocument/2006/relationships/hyperlink" Target="2020_06/16.06.2020/72874" TargetMode="External"/><Relationship Id="rId2684" Type="http://schemas.openxmlformats.org/officeDocument/2006/relationships/hyperlink" Target="2020_07/03.07.2020/73581" TargetMode="External"/><Relationship Id="rId3528" Type="http://schemas.openxmlformats.org/officeDocument/2006/relationships/hyperlink" Target="2020_10/02.10.2020/124846" TargetMode="External"/><Relationship Id="rId3735" Type="http://schemas.openxmlformats.org/officeDocument/2006/relationships/hyperlink" Target="2020_11/02.11.2020/148939" TargetMode="External"/><Relationship Id="rId449" Type="http://schemas.openxmlformats.org/officeDocument/2006/relationships/hyperlink" Target="https://smp.sfurf.office/sd/operator/" TargetMode="External"/><Relationship Id="rId656" Type="http://schemas.openxmlformats.org/officeDocument/2006/relationships/hyperlink" Target="2019_12\25.12.2019\69187" TargetMode="External"/><Relationship Id="rId863" Type="http://schemas.openxmlformats.org/officeDocument/2006/relationships/hyperlink" Target="2020_01\16.01.2020\85029" TargetMode="External"/><Relationship Id="rId1079" Type="http://schemas.openxmlformats.org/officeDocument/2006/relationships/hyperlink" Target="2020_02\03.02.2020\-1665" TargetMode="External"/><Relationship Id="rId1286" Type="http://schemas.openxmlformats.org/officeDocument/2006/relationships/hyperlink" Target="2020_02\21.02.2020\13872" TargetMode="External"/><Relationship Id="rId1493" Type="http://schemas.openxmlformats.org/officeDocument/2006/relationships/hyperlink" Target="2020_03/10.03.2020/23088" TargetMode="External"/><Relationship Id="rId2337" Type="http://schemas.openxmlformats.org/officeDocument/2006/relationships/hyperlink" Target="2020_06/16.06.2020/51502" TargetMode="External"/><Relationship Id="rId2544" Type="http://schemas.openxmlformats.org/officeDocument/2006/relationships/hyperlink" Target="2020_06/22.06.2020/75715" TargetMode="External"/><Relationship Id="rId2891" Type="http://schemas.openxmlformats.org/officeDocument/2006/relationships/hyperlink" Target="2020_08/05.08.2020/91491" TargetMode="External"/><Relationship Id="rId3942" Type="http://schemas.openxmlformats.org/officeDocument/2006/relationships/hyperlink" Target="2020_12\09.12.2020\162278" TargetMode="External"/><Relationship Id="rId309" Type="http://schemas.openxmlformats.org/officeDocument/2006/relationships/hyperlink" Target="https://smp.sfurf.office/sd/operator/index.jsp;jsessionid=4B56FDB405CD332F2E4AE6AEC0BFEE05" TargetMode="External"/><Relationship Id="rId516" Type="http://schemas.openxmlformats.org/officeDocument/2006/relationships/hyperlink" Target="2019_12\16.12.2019\71715" TargetMode="External"/><Relationship Id="rId1146" Type="http://schemas.openxmlformats.org/officeDocument/2006/relationships/hyperlink" Target="2020_02\07.02.2020\89636" TargetMode="External"/><Relationship Id="rId2751" Type="http://schemas.openxmlformats.org/officeDocument/2006/relationships/hyperlink" Target="2020_07/10.07.2020/77523" TargetMode="External"/><Relationship Id="rId3802" Type="http://schemas.openxmlformats.org/officeDocument/2006/relationships/hyperlink" Target="2020_11/06.11.2020/151765" TargetMode="External"/><Relationship Id="rId723" Type="http://schemas.openxmlformats.org/officeDocument/2006/relationships/hyperlink" Target="2019_12\30.12.2019\79851" TargetMode="External"/><Relationship Id="rId930" Type="http://schemas.openxmlformats.org/officeDocument/2006/relationships/hyperlink" Target="2020_01/22.01.2020/88641" TargetMode="External"/><Relationship Id="rId1006" Type="http://schemas.openxmlformats.org/officeDocument/2006/relationships/hyperlink" Target="2020_01\28.01.2020\90491" TargetMode="External"/><Relationship Id="rId1353" Type="http://schemas.openxmlformats.org/officeDocument/2006/relationships/hyperlink" Target="2020_02\27.02.2020\-8343" TargetMode="External"/><Relationship Id="rId1560" Type="http://schemas.openxmlformats.org/officeDocument/2006/relationships/hyperlink" Target="2020_03\17.03.2020\27276" TargetMode="External"/><Relationship Id="rId2404" Type="http://schemas.openxmlformats.org/officeDocument/2006/relationships/hyperlink" Target="2020_06/09.06.2020/69860" TargetMode="External"/><Relationship Id="rId2611" Type="http://schemas.openxmlformats.org/officeDocument/2006/relationships/hyperlink" Target="2020_06/23.06.2020/68902" TargetMode="External"/><Relationship Id="rId1213" Type="http://schemas.openxmlformats.org/officeDocument/2006/relationships/hyperlink" Target="2020_02\12.02.2020\-8166" TargetMode="External"/><Relationship Id="rId1420" Type="http://schemas.openxmlformats.org/officeDocument/2006/relationships/hyperlink" Target="2020_03/04.03.2020/11546" TargetMode="External"/><Relationship Id="rId3178" Type="http://schemas.openxmlformats.org/officeDocument/2006/relationships/hyperlink" Target="2020_09/03.09.2020/108991" TargetMode="External"/><Relationship Id="rId3385" Type="http://schemas.openxmlformats.org/officeDocument/2006/relationships/hyperlink" Target="2020_09\22.09.2020\126822" TargetMode="External"/><Relationship Id="rId3592" Type="http://schemas.openxmlformats.org/officeDocument/2006/relationships/hyperlink" Target="2020_10/07.10.2020/135310" TargetMode="External"/><Relationship Id="rId2194" Type="http://schemas.openxmlformats.org/officeDocument/2006/relationships/hyperlink" Target="2020_06/16.06.2020/52546" TargetMode="External"/><Relationship Id="rId3038" Type="http://schemas.openxmlformats.org/officeDocument/2006/relationships/hyperlink" Target="2020_08/18.08.2020/99979" TargetMode="External"/><Relationship Id="rId3245" Type="http://schemas.openxmlformats.org/officeDocument/2006/relationships/hyperlink" Target="2020_09\11.09.2020\114062" TargetMode="External"/><Relationship Id="rId3452" Type="http://schemas.openxmlformats.org/officeDocument/2006/relationships/hyperlink" Target="2020_09/24.09.2020/120914" TargetMode="External"/><Relationship Id="rId166" Type="http://schemas.openxmlformats.org/officeDocument/2006/relationships/hyperlink" Target="2019_11\11.11.2019\41532" TargetMode="External"/><Relationship Id="rId373" Type="http://schemas.openxmlformats.org/officeDocument/2006/relationships/hyperlink" Target="2019_11\25.11.2019\49697" TargetMode="External"/><Relationship Id="rId580" Type="http://schemas.openxmlformats.org/officeDocument/2006/relationships/hyperlink" Target="2019_12\19.12.2019\64814" TargetMode="External"/><Relationship Id="rId2054" Type="http://schemas.openxmlformats.org/officeDocument/2006/relationships/hyperlink" Target="2020_05/27.05.2020/53695" TargetMode="External"/><Relationship Id="rId2261" Type="http://schemas.openxmlformats.org/officeDocument/2006/relationships/hyperlink" Target="2020_06/16.06.2020/50466" TargetMode="External"/><Relationship Id="rId3105" Type="http://schemas.openxmlformats.org/officeDocument/2006/relationships/hyperlink" Target="2020_08/26.08.2020/104082" TargetMode="External"/><Relationship Id="rId3312" Type="http://schemas.openxmlformats.org/officeDocument/2006/relationships/hyperlink" Target="2020_09/17.09.2020/116854" TargetMode="External"/><Relationship Id="rId233" Type="http://schemas.openxmlformats.org/officeDocument/2006/relationships/hyperlink" Target="https://smp.sfurf.office/sd/operator/" TargetMode="External"/><Relationship Id="rId440" Type="http://schemas.openxmlformats.org/officeDocument/2006/relationships/hyperlink" Target="https://smp.sfurf.office/sd/operator/" TargetMode="External"/><Relationship Id="rId1070" Type="http://schemas.openxmlformats.org/officeDocument/2006/relationships/hyperlink" Target="2020_02\03.02.2020\86281" TargetMode="External"/><Relationship Id="rId2121" Type="http://schemas.openxmlformats.org/officeDocument/2006/relationships/hyperlink" Target="2020_06/01.06.2020/64117" TargetMode="External"/><Relationship Id="rId300" Type="http://schemas.openxmlformats.org/officeDocument/2006/relationships/hyperlink" Target="https://smp.sfurf.office/sd/operator/index.jsp;jsessionid=4B56FDB405CD332F2E4AE6AEC0BFEE05" TargetMode="External"/><Relationship Id="rId1887" Type="http://schemas.openxmlformats.org/officeDocument/2006/relationships/hyperlink" Target="2020_05/18.05.2020/33541" TargetMode="External"/><Relationship Id="rId2938" Type="http://schemas.openxmlformats.org/officeDocument/2006/relationships/hyperlink" Target="2020_08/10.08.2020/94830" TargetMode="External"/><Relationship Id="rId1747" Type="http://schemas.openxmlformats.org/officeDocument/2006/relationships/hyperlink" Target="2020_04\07.04.2020\36339" TargetMode="External"/><Relationship Id="rId1954" Type="http://schemas.openxmlformats.org/officeDocument/2006/relationships/hyperlink" Target="2020_05\18.05.2020\42372" TargetMode="External"/><Relationship Id="rId39" Type="http://schemas.openxmlformats.org/officeDocument/2006/relationships/hyperlink" Target="https://smp.sfurf.office/sd/operator/" TargetMode="External"/><Relationship Id="rId1607" Type="http://schemas.openxmlformats.org/officeDocument/2006/relationships/hyperlink" Target="2020_03\20.03.2020\20694" TargetMode="External"/><Relationship Id="rId1814" Type="http://schemas.openxmlformats.org/officeDocument/2006/relationships/hyperlink" Target="2020_05/12.05.2020/29222" TargetMode="External"/><Relationship Id="rId3779" Type="http://schemas.openxmlformats.org/officeDocument/2006/relationships/hyperlink" Target="2020_11\09.11.2020\144612" TargetMode="External"/><Relationship Id="rId2588" Type="http://schemas.openxmlformats.org/officeDocument/2006/relationships/hyperlink" Target="2020_06/23.06.2020/76312" TargetMode="External"/><Relationship Id="rId1397" Type="http://schemas.openxmlformats.org/officeDocument/2006/relationships/hyperlink" Target="2020_03\03.03.2020\-2466" TargetMode="External"/><Relationship Id="rId2795" Type="http://schemas.openxmlformats.org/officeDocument/2006/relationships/hyperlink" Target="2020_07/23.07.2020/84361" TargetMode="External"/><Relationship Id="rId3639" Type="http://schemas.openxmlformats.org/officeDocument/2006/relationships/hyperlink" Target="2020_10\12.10.2020\130314" TargetMode="External"/><Relationship Id="rId3846" Type="http://schemas.openxmlformats.org/officeDocument/2006/relationships/hyperlink" Target="2020_11/13.11.2020/147678" TargetMode="External"/><Relationship Id="rId767" Type="http://schemas.openxmlformats.org/officeDocument/2006/relationships/hyperlink" Target="2020_01/09.01.2020/81219" TargetMode="External"/><Relationship Id="rId974" Type="http://schemas.openxmlformats.org/officeDocument/2006/relationships/hyperlink" Target="2020_01\24.01.2020\81035" TargetMode="External"/><Relationship Id="rId2448" Type="http://schemas.openxmlformats.org/officeDocument/2006/relationships/hyperlink" Target="2020_06/16.06.2020/63652" TargetMode="External"/><Relationship Id="rId2655" Type="http://schemas.openxmlformats.org/officeDocument/2006/relationships/hyperlink" Target="2020_06/30.06.2020/72053" TargetMode="External"/><Relationship Id="rId2862" Type="http://schemas.openxmlformats.org/officeDocument/2006/relationships/hyperlink" Target="2020_08/05.08.2020/00573" TargetMode="External"/><Relationship Id="rId3706" Type="http://schemas.openxmlformats.org/officeDocument/2006/relationships/hyperlink" Target="2020_10/15.10.2020/132384" TargetMode="External"/><Relationship Id="rId3913" Type="http://schemas.openxmlformats.org/officeDocument/2006/relationships/hyperlink" Target="2020_11\18.11.2020\157937" TargetMode="External"/><Relationship Id="rId627" Type="http://schemas.openxmlformats.org/officeDocument/2006/relationships/hyperlink" Target="2019_12\24.12.2019\68112" TargetMode="External"/><Relationship Id="rId834" Type="http://schemas.openxmlformats.org/officeDocument/2006/relationships/hyperlink" Target="2020_01/15.01.2020/76234" TargetMode="External"/><Relationship Id="rId1257" Type="http://schemas.openxmlformats.org/officeDocument/2006/relationships/hyperlink" Target="2020_02\19.02.2020\-3086" TargetMode="External"/><Relationship Id="rId1464" Type="http://schemas.openxmlformats.org/officeDocument/2006/relationships/hyperlink" Target="2020_03\06.03.2020\12953" TargetMode="External"/><Relationship Id="rId1671" Type="http://schemas.openxmlformats.org/officeDocument/2006/relationships/hyperlink" Target="2020_03\25.03.2020\23965" TargetMode="External"/><Relationship Id="rId2308" Type="http://schemas.openxmlformats.org/officeDocument/2006/relationships/hyperlink" Target="2020_06/16.06.2020/53573" TargetMode="External"/><Relationship Id="rId2515" Type="http://schemas.openxmlformats.org/officeDocument/2006/relationships/hyperlink" Target="2020_06\19.06.2020\67692" TargetMode="External"/><Relationship Id="rId2722" Type="http://schemas.openxmlformats.org/officeDocument/2006/relationships/hyperlink" Target="2020_07\09.07.2020\61970" TargetMode="External"/><Relationship Id="rId901" Type="http://schemas.openxmlformats.org/officeDocument/2006/relationships/hyperlink" Target="2020_01\20.01.2020\78346" TargetMode="External"/><Relationship Id="rId1117" Type="http://schemas.openxmlformats.org/officeDocument/2006/relationships/hyperlink" Target="2020_02\05.02.2020\87764" TargetMode="External"/><Relationship Id="rId1324" Type="http://schemas.openxmlformats.org/officeDocument/2006/relationships/hyperlink" Target="2020_02\26.02.2020\-7516" TargetMode="External"/><Relationship Id="rId1531" Type="http://schemas.openxmlformats.org/officeDocument/2006/relationships/hyperlink" Target="2020_03\16.03.2020\17371" TargetMode="External"/><Relationship Id="rId30" Type="http://schemas.openxmlformats.org/officeDocument/2006/relationships/hyperlink" Target="https://smp.sfurf.office/sd/operator/" TargetMode="External"/><Relationship Id="rId3289" Type="http://schemas.openxmlformats.org/officeDocument/2006/relationships/hyperlink" Target="2020_09\16.09.2020\109074" TargetMode="External"/><Relationship Id="rId3496" Type="http://schemas.openxmlformats.org/officeDocument/2006/relationships/hyperlink" Target="2020_09/29.09.2020/122934" TargetMode="External"/><Relationship Id="rId2098" Type="http://schemas.openxmlformats.org/officeDocument/2006/relationships/hyperlink" Target="2020_06/01.06.2020/51128" TargetMode="External"/><Relationship Id="rId3149" Type="http://schemas.openxmlformats.org/officeDocument/2006/relationships/hyperlink" Target="2020_08/28.08.2020/106001" TargetMode="External"/><Relationship Id="rId3356" Type="http://schemas.openxmlformats.org/officeDocument/2006/relationships/hyperlink" Target="2020_09\18.09.2020\125511" TargetMode="External"/><Relationship Id="rId3563" Type="http://schemas.openxmlformats.org/officeDocument/2006/relationships/hyperlink" Target="2020_10/05.10.2020/125903" TargetMode="External"/><Relationship Id="rId277" Type="http://schemas.openxmlformats.org/officeDocument/2006/relationships/hyperlink" Target="https://smp.sfurf.office/sd/operator/" TargetMode="External"/><Relationship Id="rId484" Type="http://schemas.openxmlformats.org/officeDocument/2006/relationships/hyperlink" Target="2019_12\11.12.2019\67958" TargetMode="External"/><Relationship Id="rId2165" Type="http://schemas.openxmlformats.org/officeDocument/2006/relationships/hyperlink" Target="2020_06/08.06.2020/44217" TargetMode="External"/><Relationship Id="rId3009" Type="http://schemas.openxmlformats.org/officeDocument/2006/relationships/hyperlink" Target="2020_08/17.08.2020/98695" TargetMode="External"/><Relationship Id="rId3216" Type="http://schemas.openxmlformats.org/officeDocument/2006/relationships/hyperlink" Target="2020_09\07.09.2020\110416" TargetMode="External"/><Relationship Id="rId3770" Type="http://schemas.openxmlformats.org/officeDocument/2006/relationships/hyperlink" Target="2020_11/06.11.2020/151442" TargetMode="External"/><Relationship Id="rId137" Type="http://schemas.openxmlformats.org/officeDocument/2006/relationships/hyperlink" Target="2019_11\06.11.2019\39542" TargetMode="External"/><Relationship Id="rId344" Type="http://schemas.openxmlformats.org/officeDocument/2006/relationships/hyperlink" Target="https://smp.sfurf.office/sd/operator/index.jsp;jsessionid=4B56FDB405CD332F2E4AE6AEC0BFEE05" TargetMode="External"/><Relationship Id="rId691" Type="http://schemas.openxmlformats.org/officeDocument/2006/relationships/hyperlink" Target="2019_12/26.12.2019/69700" TargetMode="External"/><Relationship Id="rId2025" Type="http://schemas.openxmlformats.org/officeDocument/2006/relationships/hyperlink" Target="2020_05/26.05.2020/39826" TargetMode="External"/><Relationship Id="rId2372" Type="http://schemas.openxmlformats.org/officeDocument/2006/relationships/hyperlink" Target="2020_06/16.06.2020/56754" TargetMode="External"/><Relationship Id="rId3423" Type="http://schemas.openxmlformats.org/officeDocument/2006/relationships/hyperlink" Target="2020_09/24.09.2020/127508" TargetMode="External"/><Relationship Id="rId3630" Type="http://schemas.openxmlformats.org/officeDocument/2006/relationships/hyperlink" Target="2020_10/09.10.2020/129156" TargetMode="External"/><Relationship Id="rId551" Type="http://schemas.openxmlformats.org/officeDocument/2006/relationships/hyperlink" Target="2019_12/17.12.2019/62654" TargetMode="External"/><Relationship Id="rId1181" Type="http://schemas.openxmlformats.org/officeDocument/2006/relationships/hyperlink" Target="2020_02\10.02.2020\-6175" TargetMode="External"/><Relationship Id="rId2232" Type="http://schemas.openxmlformats.org/officeDocument/2006/relationships/hyperlink" Target="2020_06/03.06.2020/66985" TargetMode="External"/><Relationship Id="rId204" Type="http://schemas.openxmlformats.org/officeDocument/2006/relationships/hyperlink" Target="https://smp.sfurf.office/sd/operator/" TargetMode="External"/><Relationship Id="rId411" Type="http://schemas.openxmlformats.org/officeDocument/2006/relationships/hyperlink" Target="2019_11/28.11.2019/60365" TargetMode="External"/><Relationship Id="rId1041" Type="http://schemas.openxmlformats.org/officeDocument/2006/relationships/hyperlink" Target="2020_01\30.01.2020\84790" TargetMode="External"/><Relationship Id="rId1998" Type="http://schemas.openxmlformats.org/officeDocument/2006/relationships/hyperlink" Target="2020_05/22.05.2020/36579" TargetMode="External"/><Relationship Id="rId1858" Type="http://schemas.openxmlformats.org/officeDocument/2006/relationships/hyperlink" Target="2020_05/14.05.2020/42114" TargetMode="External"/><Relationship Id="rId2909" Type="http://schemas.openxmlformats.org/officeDocument/2006/relationships/hyperlink" Target="2020_08/07.08.2020/93987" TargetMode="External"/><Relationship Id="rId3073" Type="http://schemas.openxmlformats.org/officeDocument/2006/relationships/hyperlink" Target="2020_08\20.08.2020\101450" TargetMode="External"/><Relationship Id="rId3280" Type="http://schemas.openxmlformats.org/officeDocument/2006/relationships/hyperlink" Target="2020_09/15.09.2020/114684" TargetMode="External"/><Relationship Id="rId1718" Type="http://schemas.openxmlformats.org/officeDocument/2006/relationships/hyperlink" Target="2020_05\06.05.2020\35934" TargetMode="External"/><Relationship Id="rId1925" Type="http://schemas.openxmlformats.org/officeDocument/2006/relationships/hyperlink" Target="2020_05/19.05.2020/43951" TargetMode="External"/><Relationship Id="rId3140" Type="http://schemas.openxmlformats.org/officeDocument/2006/relationships/hyperlink" Target="2020_08/31.08.2020/106210" TargetMode="External"/><Relationship Id="rId2699" Type="http://schemas.openxmlformats.org/officeDocument/2006/relationships/hyperlink" Target="2020_07/06.07.2020/74638" TargetMode="External"/><Relationship Id="rId3000" Type="http://schemas.openxmlformats.org/officeDocument/2006/relationships/hyperlink" Target="2020_08/14.08.2020/97823" TargetMode="External"/><Relationship Id="rId3957" Type="http://schemas.openxmlformats.org/officeDocument/2006/relationships/hyperlink" Target="2020_12/14.12.2020/165056" TargetMode="External"/><Relationship Id="rId878" Type="http://schemas.openxmlformats.org/officeDocument/2006/relationships/hyperlink" Target="2020_01/17.01.2020/77099" TargetMode="External"/><Relationship Id="rId2559" Type="http://schemas.openxmlformats.org/officeDocument/2006/relationships/hyperlink" Target="2020_06/17.06.2020/66416" TargetMode="External"/><Relationship Id="rId2766" Type="http://schemas.openxmlformats.org/officeDocument/2006/relationships/hyperlink" Target="2020_07/09.07.2020/84229" TargetMode="External"/><Relationship Id="rId2973" Type="http://schemas.openxmlformats.org/officeDocument/2006/relationships/hyperlink" Target="2020_08/13.08.2020/05037" TargetMode="External"/><Relationship Id="rId3817" Type="http://schemas.openxmlformats.org/officeDocument/2006/relationships/hyperlink" Target="2020_11/10.11.2020/145092" TargetMode="External"/><Relationship Id="rId738" Type="http://schemas.openxmlformats.org/officeDocument/2006/relationships/hyperlink" Target="2019_12/31.12.2019/80032" TargetMode="External"/><Relationship Id="rId945" Type="http://schemas.openxmlformats.org/officeDocument/2006/relationships/hyperlink" Target="2020_01/22.01.2020/79856" TargetMode="External"/><Relationship Id="rId1368" Type="http://schemas.openxmlformats.org/officeDocument/2006/relationships/hyperlink" Target="2020_02/28.02.2020/17456" TargetMode="External"/><Relationship Id="rId1575" Type="http://schemas.openxmlformats.org/officeDocument/2006/relationships/hyperlink" Target="2020_03\18.03.2020\28401" TargetMode="External"/><Relationship Id="rId1782" Type="http://schemas.openxmlformats.org/officeDocument/2006/relationships/hyperlink" Target="2020_04\09.04.2020\28799" TargetMode="External"/><Relationship Id="rId2419" Type="http://schemas.openxmlformats.org/officeDocument/2006/relationships/hyperlink" Target="2020_06/16.06.2020/63120" TargetMode="External"/><Relationship Id="rId2626" Type="http://schemas.openxmlformats.org/officeDocument/2006/relationships/hyperlink" Target="2020_06\25.06.2020\69727" TargetMode="External"/><Relationship Id="rId2833" Type="http://schemas.openxmlformats.org/officeDocument/2006/relationships/hyperlink" Target="2020_08/03.08.2020/89975" TargetMode="External"/><Relationship Id="rId74" Type="http://schemas.openxmlformats.org/officeDocument/2006/relationships/hyperlink" Target="https://smp.sfurf.office/sd/operator/index.jsp;jsessionid=4B56FDB405CD332F2E4AE6AEC0BFEE05" TargetMode="External"/><Relationship Id="rId805" Type="http://schemas.openxmlformats.org/officeDocument/2006/relationships/hyperlink" Target="2020_01\13.01.2020\66025" TargetMode="External"/><Relationship Id="rId1228" Type="http://schemas.openxmlformats.org/officeDocument/2006/relationships/hyperlink" Target="2020_02\12.02.2020\-8339" TargetMode="External"/><Relationship Id="rId1435" Type="http://schemas.openxmlformats.org/officeDocument/2006/relationships/hyperlink" Target="2020_03/05.03.2020/12646" TargetMode="External"/><Relationship Id="rId1642" Type="http://schemas.openxmlformats.org/officeDocument/2006/relationships/hyperlink" Target="2020_03\24.03.2020\33217" TargetMode="External"/><Relationship Id="rId2900" Type="http://schemas.openxmlformats.org/officeDocument/2006/relationships/hyperlink" Target="2020_08/06.08.2020/92463" TargetMode="External"/><Relationship Id="rId1502" Type="http://schemas.openxmlformats.org/officeDocument/2006/relationships/hyperlink" Target="2020_03/12.03.2020/-7500" TargetMode="External"/><Relationship Id="rId388" Type="http://schemas.openxmlformats.org/officeDocument/2006/relationships/hyperlink" Target="https://smp.sfurf.office/sd/operator/" TargetMode="External"/><Relationship Id="rId2069" Type="http://schemas.openxmlformats.org/officeDocument/2006/relationships/hyperlink" Target="2020_06\01.06.2020\62319" TargetMode="External"/><Relationship Id="rId3467" Type="http://schemas.openxmlformats.org/officeDocument/2006/relationships/hyperlink" Target="2020_09/25.09.2020/121526" TargetMode="External"/><Relationship Id="rId3674" Type="http://schemas.openxmlformats.org/officeDocument/2006/relationships/hyperlink" Target="2020_10/14.10.2020/131468" TargetMode="External"/><Relationship Id="rId3881" Type="http://schemas.openxmlformats.org/officeDocument/2006/relationships/hyperlink" Target="2020_11/17.11.2020/149707" TargetMode="External"/><Relationship Id="rId595" Type="http://schemas.openxmlformats.org/officeDocument/2006/relationships/hyperlink" Target="2019_12\20.12.2019\65782" TargetMode="External"/><Relationship Id="rId2276" Type="http://schemas.openxmlformats.org/officeDocument/2006/relationships/hyperlink" Target="2020_06/16.06.2020/51066" TargetMode="External"/><Relationship Id="rId2483" Type="http://schemas.openxmlformats.org/officeDocument/2006/relationships/hyperlink" Target="2020_06/16.06.2020/56948" TargetMode="External"/><Relationship Id="rId2690" Type="http://schemas.openxmlformats.org/officeDocument/2006/relationships/hyperlink" Target="2020_07/02.07.2020/81073" TargetMode="External"/><Relationship Id="rId3327" Type="http://schemas.openxmlformats.org/officeDocument/2006/relationships/hyperlink" Target="2020_09/16.09.2020/123617" TargetMode="External"/><Relationship Id="rId3534" Type="http://schemas.openxmlformats.org/officeDocument/2006/relationships/hyperlink" Target="2020_09/29.09.2020/130916" TargetMode="External"/><Relationship Id="rId3741" Type="http://schemas.openxmlformats.org/officeDocument/2006/relationships/hyperlink" Target="2020_11/02.11.2020/141880" TargetMode="External"/><Relationship Id="rId248" Type="http://schemas.openxmlformats.org/officeDocument/2006/relationships/hyperlink" Target="https://smp.sfurf.office/sd/operator/" TargetMode="External"/><Relationship Id="rId455" Type="http://schemas.openxmlformats.org/officeDocument/2006/relationships/hyperlink" Target="2019_12\09.12.2019\49635" TargetMode="External"/><Relationship Id="rId662" Type="http://schemas.openxmlformats.org/officeDocument/2006/relationships/hyperlink" Target="2019_12/25.12.2019/68452" TargetMode="External"/><Relationship Id="rId1085" Type="http://schemas.openxmlformats.org/officeDocument/2006/relationships/hyperlink" Target="2020_02\03.02.2020\85896" TargetMode="External"/><Relationship Id="rId1292" Type="http://schemas.openxmlformats.org/officeDocument/2006/relationships/hyperlink" Target="2020_02/21.02.2020/-4869" TargetMode="External"/><Relationship Id="rId2136" Type="http://schemas.openxmlformats.org/officeDocument/2006/relationships/hyperlink" Target="2020_06\01.06.2020\62314" TargetMode="External"/><Relationship Id="rId2343" Type="http://schemas.openxmlformats.org/officeDocument/2006/relationships/hyperlink" Target="2020_06/16.06.2020/51610" TargetMode="External"/><Relationship Id="rId2550" Type="http://schemas.openxmlformats.org/officeDocument/2006/relationships/hyperlink" Target="2020_06/23.06.2020/77731" TargetMode="External"/><Relationship Id="rId3601" Type="http://schemas.openxmlformats.org/officeDocument/2006/relationships/hyperlink" Target="2020_10/08.10.2020/128397" TargetMode="External"/><Relationship Id="rId108" Type="http://schemas.openxmlformats.org/officeDocument/2006/relationships/hyperlink" Target="https://smp.sfurf.office/sd/operator/" TargetMode="External"/><Relationship Id="rId315" Type="http://schemas.openxmlformats.org/officeDocument/2006/relationships/hyperlink" Target="2019_11\18.11.2019\52841" TargetMode="External"/><Relationship Id="rId522" Type="http://schemas.openxmlformats.org/officeDocument/2006/relationships/hyperlink" Target="2019_12\16.12.2019\61717" TargetMode="External"/><Relationship Id="rId1152" Type="http://schemas.openxmlformats.org/officeDocument/2006/relationships/hyperlink" Target="2020_02\07.02.2020\-4996" TargetMode="External"/><Relationship Id="rId2203" Type="http://schemas.openxmlformats.org/officeDocument/2006/relationships/hyperlink" Target="2020_06/10.06.2020/46023" TargetMode="External"/><Relationship Id="rId2410" Type="http://schemas.openxmlformats.org/officeDocument/2006/relationships/hyperlink" Target="2020_06/15.06.2020/72249" TargetMode="External"/><Relationship Id="rId1012" Type="http://schemas.openxmlformats.org/officeDocument/2006/relationships/hyperlink" Target="2020_01\28.01.2020\83721" TargetMode="External"/><Relationship Id="rId1969" Type="http://schemas.openxmlformats.org/officeDocument/2006/relationships/hyperlink" Target="2020_05\21.05.2020\44987" TargetMode="External"/><Relationship Id="rId3184" Type="http://schemas.openxmlformats.org/officeDocument/2006/relationships/hyperlink" Target="2020_09\04.09.2020\109760" TargetMode="External"/><Relationship Id="rId1829" Type="http://schemas.openxmlformats.org/officeDocument/2006/relationships/hyperlink" Target="2020_05\12.05.2020\29149" TargetMode="External"/><Relationship Id="rId3391" Type="http://schemas.openxmlformats.org/officeDocument/2006/relationships/hyperlink" Target="2020_09\22.09.2020\119473" TargetMode="External"/><Relationship Id="rId3044" Type="http://schemas.openxmlformats.org/officeDocument/2006/relationships/hyperlink" Target="2020_08/18.08.2020/99482" TargetMode="External"/><Relationship Id="rId3251" Type="http://schemas.openxmlformats.org/officeDocument/2006/relationships/hyperlink" Target="2020_09\10.09.2020\121038" TargetMode="External"/><Relationship Id="rId172" Type="http://schemas.openxmlformats.org/officeDocument/2006/relationships/hyperlink" Target="2019_10\25.10.2019\34548" TargetMode="External"/><Relationship Id="rId2060" Type="http://schemas.openxmlformats.org/officeDocument/2006/relationships/hyperlink" Target="2020_06/01.06.2020/57008" TargetMode="External"/><Relationship Id="rId3111" Type="http://schemas.openxmlformats.org/officeDocument/2006/relationships/hyperlink" Target="2020_08\26.08.2020\103770" TargetMode="External"/><Relationship Id="rId989" Type="http://schemas.openxmlformats.org/officeDocument/2006/relationships/hyperlink" Target="2020_01\27.01.2020\82354" TargetMode="External"/><Relationship Id="rId2877" Type="http://schemas.openxmlformats.org/officeDocument/2006/relationships/hyperlink" Target="2020_08/06.08.2020/00716" TargetMode="External"/><Relationship Id="rId849" Type="http://schemas.openxmlformats.org/officeDocument/2006/relationships/hyperlink" Target="2020_01/15.01.2020/75547" TargetMode="External"/><Relationship Id="rId1479" Type="http://schemas.openxmlformats.org/officeDocument/2006/relationships/hyperlink" Target="2020_03\11.03.2020\23773" TargetMode="External"/><Relationship Id="rId1686" Type="http://schemas.openxmlformats.org/officeDocument/2006/relationships/hyperlink" Target="2020_03\26.03.2020\25684" TargetMode="External"/><Relationship Id="rId3928" Type="http://schemas.openxmlformats.org/officeDocument/2006/relationships/hyperlink" Target="2020_12/11.12.2020/159497" TargetMode="External"/><Relationship Id="rId1339" Type="http://schemas.openxmlformats.org/officeDocument/2006/relationships/hyperlink" Target="2020_02\27.02.2020\16278" TargetMode="External"/><Relationship Id="rId1893" Type="http://schemas.openxmlformats.org/officeDocument/2006/relationships/hyperlink" Target="2020_05/20.05.2020/44244" TargetMode="External"/><Relationship Id="rId2737" Type="http://schemas.openxmlformats.org/officeDocument/2006/relationships/hyperlink" Target="2020_07/09.07.2020/76640" TargetMode="External"/><Relationship Id="rId2944" Type="http://schemas.openxmlformats.org/officeDocument/2006/relationships/hyperlink" Target="2020_08\11.08.2020\95140" TargetMode="External"/><Relationship Id="rId709" Type="http://schemas.openxmlformats.org/officeDocument/2006/relationships/hyperlink" Target="2019_12/30.12.2019/70683" TargetMode="External"/><Relationship Id="rId916" Type="http://schemas.openxmlformats.org/officeDocument/2006/relationships/hyperlink" Target="2020_01\21.01.2020\87979" TargetMode="External"/><Relationship Id="rId1546" Type="http://schemas.openxmlformats.org/officeDocument/2006/relationships/hyperlink" Target="2020_03/17.03.2020/18163" TargetMode="External"/><Relationship Id="rId1753" Type="http://schemas.openxmlformats.org/officeDocument/2006/relationships/hyperlink" Target="2020_04\07.04.2020\36975" TargetMode="External"/><Relationship Id="rId1960" Type="http://schemas.openxmlformats.org/officeDocument/2006/relationships/hyperlink" Target="2020_05/21.05.2020/35897" TargetMode="External"/><Relationship Id="rId2804" Type="http://schemas.openxmlformats.org/officeDocument/2006/relationships/hyperlink" Target="2020_07\31.07.2020\90290" TargetMode="External"/><Relationship Id="rId45" Type="http://schemas.openxmlformats.org/officeDocument/2006/relationships/hyperlink" Target="https://smp.sfurf.office/sd/operator/" TargetMode="External"/><Relationship Id="rId1406" Type="http://schemas.openxmlformats.org/officeDocument/2006/relationships/hyperlink" Target="2020_03\03.03.2020\18846" TargetMode="External"/><Relationship Id="rId1613" Type="http://schemas.openxmlformats.org/officeDocument/2006/relationships/hyperlink" Target="2020_03\23.03.2020\21828" TargetMode="External"/><Relationship Id="rId1820" Type="http://schemas.openxmlformats.org/officeDocument/2006/relationships/hyperlink" Target="2020_05\13.05.2020\39518" TargetMode="External"/><Relationship Id="rId3578" Type="http://schemas.openxmlformats.org/officeDocument/2006/relationships/hyperlink" Target="2020_10/06.10.2020/126957" TargetMode="External"/><Relationship Id="rId3785" Type="http://schemas.openxmlformats.org/officeDocument/2006/relationships/hyperlink" Target="2020_11/05.11.2020/151206" TargetMode="External"/><Relationship Id="rId499" Type="http://schemas.openxmlformats.org/officeDocument/2006/relationships/hyperlink" Target="2019_12/12.12.2019/55244" TargetMode="External"/><Relationship Id="rId2387" Type="http://schemas.openxmlformats.org/officeDocument/2006/relationships/hyperlink" Target="2020_06/16.06.2020/56566" TargetMode="External"/><Relationship Id="rId2594" Type="http://schemas.openxmlformats.org/officeDocument/2006/relationships/hyperlink" Target="2020_06\25.06.2020\77646" TargetMode="External"/><Relationship Id="rId3438" Type="http://schemas.openxmlformats.org/officeDocument/2006/relationships/hyperlink" Target="2020_09/25.09.2020/129187" TargetMode="External"/><Relationship Id="rId3645" Type="http://schemas.openxmlformats.org/officeDocument/2006/relationships/hyperlink" Target="2020_10/12.10.2020/137441" TargetMode="External"/><Relationship Id="rId3852" Type="http://schemas.openxmlformats.org/officeDocument/2006/relationships/hyperlink" Target="2020_11/16.11.2020/148500" TargetMode="External"/><Relationship Id="rId359" Type="http://schemas.openxmlformats.org/officeDocument/2006/relationships/hyperlink" Target="2019_11\22.11.2019\48957" TargetMode="External"/><Relationship Id="rId566" Type="http://schemas.openxmlformats.org/officeDocument/2006/relationships/hyperlink" Target="2019_12\18.12.2019\73215" TargetMode="External"/><Relationship Id="rId773" Type="http://schemas.openxmlformats.org/officeDocument/2006/relationships/hyperlink" Target="2020_01/09.01.2020/81467" TargetMode="External"/><Relationship Id="rId1196" Type="http://schemas.openxmlformats.org/officeDocument/2006/relationships/hyperlink" Target="2020_02/11.02.2020/-7596" TargetMode="External"/><Relationship Id="rId2247" Type="http://schemas.openxmlformats.org/officeDocument/2006/relationships/hyperlink" Target="2020_06/16.06.2020/51286" TargetMode="External"/><Relationship Id="rId2454" Type="http://schemas.openxmlformats.org/officeDocument/2006/relationships/hyperlink" Target="2020_06/16.06.2020/53274" TargetMode="External"/><Relationship Id="rId3505" Type="http://schemas.openxmlformats.org/officeDocument/2006/relationships/hyperlink" Target="2020_10/01.10.2020/124408" TargetMode="External"/><Relationship Id="rId219" Type="http://schemas.openxmlformats.org/officeDocument/2006/relationships/hyperlink" Target="2019_11\15.11.2019\44845" TargetMode="External"/><Relationship Id="rId426" Type="http://schemas.openxmlformats.org/officeDocument/2006/relationships/hyperlink" Target="2019_12\06.12.2019\65730" TargetMode="External"/><Relationship Id="rId633" Type="http://schemas.openxmlformats.org/officeDocument/2006/relationships/hyperlink" Target="2019_12/24.12.2019/67690" TargetMode="External"/><Relationship Id="rId980" Type="http://schemas.openxmlformats.org/officeDocument/2006/relationships/hyperlink" Target="2020_01/24.01.2020/89186" TargetMode="External"/><Relationship Id="rId1056" Type="http://schemas.openxmlformats.org/officeDocument/2006/relationships/hyperlink" Target="2020_01\31.01.2020\0-598" TargetMode="External"/><Relationship Id="rId1263" Type="http://schemas.openxmlformats.org/officeDocument/2006/relationships/hyperlink" Target="2020_02/20.02.2020/-4213" TargetMode="External"/><Relationship Id="rId2107" Type="http://schemas.openxmlformats.org/officeDocument/2006/relationships/hyperlink" Target="2020_06/16.06.2020/50273" TargetMode="External"/><Relationship Id="rId2314" Type="http://schemas.openxmlformats.org/officeDocument/2006/relationships/hyperlink" Target="2020_06/16.06.2020/59641" TargetMode="External"/><Relationship Id="rId2661" Type="http://schemas.openxmlformats.org/officeDocument/2006/relationships/hyperlink" Target="2020_06/30.06.2020/72665" TargetMode="External"/><Relationship Id="rId3712" Type="http://schemas.openxmlformats.org/officeDocument/2006/relationships/hyperlink" Target="2020_10/16.10.2020/141087" TargetMode="External"/><Relationship Id="rId840" Type="http://schemas.openxmlformats.org/officeDocument/2006/relationships/hyperlink" Target="2020_01\15.01.2020\75143" TargetMode="External"/><Relationship Id="rId1470" Type="http://schemas.openxmlformats.org/officeDocument/2006/relationships/hyperlink" Target="2020_03\10.03.2020\23012" TargetMode="External"/><Relationship Id="rId2521" Type="http://schemas.openxmlformats.org/officeDocument/2006/relationships/hyperlink" Target="2020_06\16.06.2020\54529" TargetMode="External"/><Relationship Id="rId700" Type="http://schemas.openxmlformats.org/officeDocument/2006/relationships/hyperlink" Target="2019_12/27.12.2019/78031" TargetMode="External"/><Relationship Id="rId1123" Type="http://schemas.openxmlformats.org/officeDocument/2006/relationships/hyperlink" Target="2020_02\05.02.2020\-3743" TargetMode="External"/><Relationship Id="rId1330" Type="http://schemas.openxmlformats.org/officeDocument/2006/relationships/hyperlink" Target="2020_02\26.02.2020\15823" TargetMode="External"/><Relationship Id="rId3088" Type="http://schemas.openxmlformats.org/officeDocument/2006/relationships/hyperlink" Target="2020_08/25.08.2020/91225" TargetMode="External"/><Relationship Id="rId3295" Type="http://schemas.openxmlformats.org/officeDocument/2006/relationships/hyperlink" Target="2020_09\16.09.2020\123583" TargetMode="External"/><Relationship Id="rId3155" Type="http://schemas.openxmlformats.org/officeDocument/2006/relationships/hyperlink" Target="2020_08\26.08.2020\104253" TargetMode="External"/><Relationship Id="rId3362" Type="http://schemas.openxmlformats.org/officeDocument/2006/relationships/hyperlink" Target="2020_09/21.09.2020/117786" TargetMode="External"/><Relationship Id="rId283" Type="http://schemas.openxmlformats.org/officeDocument/2006/relationships/hyperlink" Target="https://smp.sfurf.office/sd/operator/" TargetMode="External"/><Relationship Id="rId490" Type="http://schemas.openxmlformats.org/officeDocument/2006/relationships/hyperlink" Target="2019_12/12.12.2019/60138" TargetMode="External"/><Relationship Id="rId2171" Type="http://schemas.openxmlformats.org/officeDocument/2006/relationships/hyperlink" Target="2020_06/10.06.2020/47093" TargetMode="External"/><Relationship Id="rId3015" Type="http://schemas.openxmlformats.org/officeDocument/2006/relationships/hyperlink" Target="2020_08/19.08.2020/08489" TargetMode="External"/><Relationship Id="rId3222" Type="http://schemas.openxmlformats.org/officeDocument/2006/relationships/hyperlink" Target="2020_09/09.09.2020/118980" TargetMode="External"/><Relationship Id="rId143" Type="http://schemas.openxmlformats.org/officeDocument/2006/relationships/hyperlink" Target="../Users/shilyaevan/AppData/Roaming/Microsoft/Excel/2019_10/23.10.2019/32440" TargetMode="External"/><Relationship Id="rId350" Type="http://schemas.openxmlformats.org/officeDocument/2006/relationships/hyperlink" Target="https://smp.sfurf.office/sd/operator/" TargetMode="External"/><Relationship Id="rId2031" Type="http://schemas.openxmlformats.org/officeDocument/2006/relationships/hyperlink" Target="2020_05/26.05.2020/38595" TargetMode="External"/><Relationship Id="rId9" Type="http://schemas.openxmlformats.org/officeDocument/2006/relationships/hyperlink" Target="https://smp.sfurf.office/sd/operator/index.jsp;jsessionid=4B56FDB405CD332F2E4AE6AEC0BFEE05" TargetMode="External"/><Relationship Id="rId210" Type="http://schemas.openxmlformats.org/officeDocument/2006/relationships/hyperlink" Target="2019_10\30.10.2019\43304" TargetMode="External"/><Relationship Id="rId2988" Type="http://schemas.openxmlformats.org/officeDocument/2006/relationships/hyperlink" Target="2020_08\13.08.2020\05095" TargetMode="External"/><Relationship Id="rId1797" Type="http://schemas.openxmlformats.org/officeDocument/2006/relationships/hyperlink" Target="2020_05/12.05.2020/29542" TargetMode="External"/><Relationship Id="rId2848" Type="http://schemas.openxmlformats.org/officeDocument/2006/relationships/hyperlink" Target="2020_08/04.08.2020/99275" TargetMode="External"/><Relationship Id="rId89" Type="http://schemas.openxmlformats.org/officeDocument/2006/relationships/hyperlink" Target="https://smp.sfurf.office/sd/operator/" TargetMode="External"/><Relationship Id="rId1657" Type="http://schemas.openxmlformats.org/officeDocument/2006/relationships/hyperlink" Target="2020_03\25.03.2020\23511" TargetMode="External"/><Relationship Id="rId1864" Type="http://schemas.openxmlformats.org/officeDocument/2006/relationships/hyperlink" Target="2020_05/14.05.2020/30928" TargetMode="External"/><Relationship Id="rId2708" Type="http://schemas.openxmlformats.org/officeDocument/2006/relationships/hyperlink" Target="2020_07/03.07.2020/80718" TargetMode="External"/><Relationship Id="rId2915" Type="http://schemas.openxmlformats.org/officeDocument/2006/relationships/hyperlink" Target="2020_08\10.08.2020\95046" TargetMode="External"/><Relationship Id="rId1517" Type="http://schemas.openxmlformats.org/officeDocument/2006/relationships/hyperlink" Target="2020_03/13.03.2020/16542" TargetMode="External"/><Relationship Id="rId1724" Type="http://schemas.openxmlformats.org/officeDocument/2006/relationships/hyperlink" Target="2020_04\06.04.2020\35883" TargetMode="External"/><Relationship Id="rId16" Type="http://schemas.openxmlformats.org/officeDocument/2006/relationships/hyperlink" Target="https://smp.sfurf.office/sd/operator/index.jsp;jsessionid=4B56FDB405CD332F2E4AE6AEC0BFEE05" TargetMode="External"/><Relationship Id="rId1931" Type="http://schemas.openxmlformats.org/officeDocument/2006/relationships/hyperlink" Target="2020_05/20.05.2020/44054" TargetMode="External"/><Relationship Id="rId3689" Type="http://schemas.openxmlformats.org/officeDocument/2006/relationships/hyperlink" Target="2020_10/14.10.2020/139202" TargetMode="External"/><Relationship Id="rId3896" Type="http://schemas.openxmlformats.org/officeDocument/2006/relationships/hyperlink" Target="2020_11\16.11.2020\156571" TargetMode="External"/><Relationship Id="rId2498" Type="http://schemas.openxmlformats.org/officeDocument/2006/relationships/hyperlink" Target="2020_06\16.06.2020\64321" TargetMode="External"/><Relationship Id="rId3549" Type="http://schemas.openxmlformats.org/officeDocument/2006/relationships/hyperlink" Target="2020_10/02.10.2020/125607" TargetMode="External"/><Relationship Id="rId677" Type="http://schemas.openxmlformats.org/officeDocument/2006/relationships/hyperlink" Target="2019_12/26.12.2019/69550" TargetMode="External"/><Relationship Id="rId2358" Type="http://schemas.openxmlformats.org/officeDocument/2006/relationships/hyperlink" Target="2020_06\10.06.2020\70635" TargetMode="External"/><Relationship Id="rId3756" Type="http://schemas.openxmlformats.org/officeDocument/2006/relationships/hyperlink" Target="2020_11/05.11.2020/142964" TargetMode="External"/><Relationship Id="rId3963" Type="http://schemas.openxmlformats.org/officeDocument/2006/relationships/hyperlink" Target="2020_12/15.12.2020/165689" TargetMode="External"/><Relationship Id="rId884" Type="http://schemas.openxmlformats.org/officeDocument/2006/relationships/hyperlink" Target="2020_01/17.01.2020/77632" TargetMode="External"/><Relationship Id="rId2565" Type="http://schemas.openxmlformats.org/officeDocument/2006/relationships/hyperlink" Target="2020_06/19.06.2020/37752" TargetMode="External"/><Relationship Id="rId2772" Type="http://schemas.openxmlformats.org/officeDocument/2006/relationships/hyperlink" Target="2020_07\24.07.2020\85471" TargetMode="External"/><Relationship Id="rId3409" Type="http://schemas.openxmlformats.org/officeDocument/2006/relationships/hyperlink" Target="2020_09/22.09.2020/118143" TargetMode="External"/><Relationship Id="rId3616" Type="http://schemas.openxmlformats.org/officeDocument/2006/relationships/hyperlink" Target="2020_10/08.10.2020/123896" TargetMode="External"/><Relationship Id="rId3823" Type="http://schemas.openxmlformats.org/officeDocument/2006/relationships/hyperlink" Target="2020_11\11.11.2020\145245" TargetMode="External"/><Relationship Id="rId537" Type="http://schemas.openxmlformats.org/officeDocument/2006/relationships/hyperlink" Target="2019_12\17.12.2019\62804" TargetMode="External"/><Relationship Id="rId744" Type="http://schemas.openxmlformats.org/officeDocument/2006/relationships/hyperlink" Target="2019_12/31.12.2019/79306" TargetMode="External"/><Relationship Id="rId951" Type="http://schemas.openxmlformats.org/officeDocument/2006/relationships/hyperlink" Target="2020_01/23.01.2020/81252" TargetMode="External"/><Relationship Id="rId1167" Type="http://schemas.openxmlformats.org/officeDocument/2006/relationships/hyperlink" Target="2020_02\11.02.2020\87798" TargetMode="External"/><Relationship Id="rId1374" Type="http://schemas.openxmlformats.org/officeDocument/2006/relationships/hyperlink" Target="2020_02\28.02.2020\-9746" TargetMode="External"/><Relationship Id="rId1581" Type="http://schemas.openxmlformats.org/officeDocument/2006/relationships/hyperlink" Target="2020_03\19.03.2020\21060" TargetMode="External"/><Relationship Id="rId2218" Type="http://schemas.openxmlformats.org/officeDocument/2006/relationships/hyperlink" Target="2020_06/11.06.2020/48079" TargetMode="External"/><Relationship Id="rId2425" Type="http://schemas.openxmlformats.org/officeDocument/2006/relationships/hyperlink" Target="2020_06/16.06.2020/64111" TargetMode="External"/><Relationship Id="rId2632" Type="http://schemas.openxmlformats.org/officeDocument/2006/relationships/hyperlink" Target="2020_06/19.06.2020/75658" TargetMode="External"/><Relationship Id="rId80" Type="http://schemas.openxmlformats.org/officeDocument/2006/relationships/hyperlink" Target="..\Users\shilyaevan\AppData\Roaming\Microsoft\Excel\2019_10\16.10.2019\36140" TargetMode="External"/><Relationship Id="rId604" Type="http://schemas.openxmlformats.org/officeDocument/2006/relationships/hyperlink" Target="2019_12/23.12.2019/74372" TargetMode="External"/><Relationship Id="rId811" Type="http://schemas.openxmlformats.org/officeDocument/2006/relationships/hyperlink" Target="2020_01\13.01.2020\82856" TargetMode="External"/><Relationship Id="rId1027" Type="http://schemas.openxmlformats.org/officeDocument/2006/relationships/hyperlink" Target="2020_01\29.01.2020\75840" TargetMode="External"/><Relationship Id="rId1234" Type="http://schemas.openxmlformats.org/officeDocument/2006/relationships/hyperlink" Target="2020_02/18.02.2020/11637" TargetMode="External"/><Relationship Id="rId1441" Type="http://schemas.openxmlformats.org/officeDocument/2006/relationships/hyperlink" Target="2020_03\05.03.2020\20711" TargetMode="External"/><Relationship Id="rId1301" Type="http://schemas.openxmlformats.org/officeDocument/2006/relationships/hyperlink" Target="2020_02/25.02.2020/-6891" TargetMode="External"/><Relationship Id="rId3199" Type="http://schemas.openxmlformats.org/officeDocument/2006/relationships/hyperlink" Target="2020_09/07.09.2020/110985" TargetMode="External"/><Relationship Id="rId3059" Type="http://schemas.openxmlformats.org/officeDocument/2006/relationships/hyperlink" Target="2020_08/19.08.2020/100198" TargetMode="External"/><Relationship Id="rId3266" Type="http://schemas.openxmlformats.org/officeDocument/2006/relationships/hyperlink" Target="2020_09/14.09.2020/106863" TargetMode="External"/><Relationship Id="rId3473" Type="http://schemas.openxmlformats.org/officeDocument/2006/relationships/hyperlink" Target="2020_09/28.09.2020/122615" TargetMode="External"/><Relationship Id="rId187" Type="http://schemas.openxmlformats.org/officeDocument/2006/relationships/hyperlink" Target="2019_11\13.11.2019\35414" TargetMode="External"/><Relationship Id="rId394" Type="http://schemas.openxmlformats.org/officeDocument/2006/relationships/hyperlink" Target="https://smp.sfurf.office/sd/operator/index.jsp;jsessionid=4B56FDB405CD332F2E4AE6AEC0BFEE05" TargetMode="External"/><Relationship Id="rId2075" Type="http://schemas.openxmlformats.org/officeDocument/2006/relationships/hyperlink" Target="2020_06/01.06.2020/58066" TargetMode="External"/><Relationship Id="rId2282" Type="http://schemas.openxmlformats.org/officeDocument/2006/relationships/hyperlink" Target="2020_06/16.06.2020/50640" TargetMode="External"/><Relationship Id="rId3126" Type="http://schemas.openxmlformats.org/officeDocument/2006/relationships/hyperlink" Target="2020_08\28.08.2020\105539" TargetMode="External"/><Relationship Id="rId3680" Type="http://schemas.openxmlformats.org/officeDocument/2006/relationships/hyperlink" Target="2020_10/13.10.2020/130610" TargetMode="External"/><Relationship Id="rId254" Type="http://schemas.openxmlformats.org/officeDocument/2006/relationships/hyperlink" Target="2019_11\18.11.2019\45273" TargetMode="External"/><Relationship Id="rId1091" Type="http://schemas.openxmlformats.org/officeDocument/2006/relationships/hyperlink" Target="2020_02\04.02.2020\-3112" TargetMode="External"/><Relationship Id="rId3333" Type="http://schemas.openxmlformats.org/officeDocument/2006/relationships/hyperlink" Target="2020_09/18.09.2020/113732" TargetMode="External"/><Relationship Id="rId3540" Type="http://schemas.openxmlformats.org/officeDocument/2006/relationships/hyperlink" Target="2020_10\01.10.2020\132008" TargetMode="External"/><Relationship Id="rId114" Type="http://schemas.openxmlformats.org/officeDocument/2006/relationships/hyperlink" Target="https://smp.sfurf.office/sd/operator/index.jsp;jsessionid=4B56FDB405CD332F2E4AE6AEC0BFEE05" TargetMode="External"/><Relationship Id="rId461" Type="http://schemas.openxmlformats.org/officeDocument/2006/relationships/hyperlink" Target="2019_12\09.12.2019\66345" TargetMode="External"/><Relationship Id="rId2142" Type="http://schemas.openxmlformats.org/officeDocument/2006/relationships/hyperlink" Target="2020_06/01.06.2020/63223" TargetMode="External"/><Relationship Id="rId3400" Type="http://schemas.openxmlformats.org/officeDocument/2006/relationships/hyperlink" Target="2020_09/23.09.2020/120128" TargetMode="External"/><Relationship Id="rId321" Type="http://schemas.openxmlformats.org/officeDocument/2006/relationships/hyperlink" Target="2019_12\03.12.2019\54161" TargetMode="External"/><Relationship Id="rId2002" Type="http://schemas.openxmlformats.org/officeDocument/2006/relationships/hyperlink" Target="2020_05\25.05.2020\47873" TargetMode="External"/><Relationship Id="rId2959" Type="http://schemas.openxmlformats.org/officeDocument/2006/relationships/hyperlink" Target="2020_08/11.08.2020/95542" TargetMode="External"/><Relationship Id="rId1768" Type="http://schemas.openxmlformats.org/officeDocument/2006/relationships/hyperlink" Target="2020_04\08.04.2020\27970" TargetMode="External"/><Relationship Id="rId2819" Type="http://schemas.openxmlformats.org/officeDocument/2006/relationships/hyperlink" Target="2020_07/30.07.2020/88160" TargetMode="External"/><Relationship Id="rId1628" Type="http://schemas.openxmlformats.org/officeDocument/2006/relationships/hyperlink" Target="2020_03\23.03.2020\30984" TargetMode="External"/><Relationship Id="rId1975" Type="http://schemas.openxmlformats.org/officeDocument/2006/relationships/hyperlink" Target="2020_05/18.05.2020/42957" TargetMode="External"/><Relationship Id="rId3190" Type="http://schemas.openxmlformats.org/officeDocument/2006/relationships/hyperlink" Target="2020_09\03.09.2020\116636" TargetMode="External"/><Relationship Id="rId1835" Type="http://schemas.openxmlformats.org/officeDocument/2006/relationships/hyperlink" Target="2020_05/14.05.2020/40961" TargetMode="External"/><Relationship Id="rId3050" Type="http://schemas.openxmlformats.org/officeDocument/2006/relationships/hyperlink" Target="2020_08/19.08.2020/100149" TargetMode="External"/><Relationship Id="rId1902" Type="http://schemas.openxmlformats.org/officeDocument/2006/relationships/hyperlink" Target="2020_05/18.05.2020/32725" TargetMode="External"/><Relationship Id="rId3867" Type="http://schemas.openxmlformats.org/officeDocument/2006/relationships/hyperlink" Target="2020_11/16.11.2020/156757" TargetMode="External"/><Relationship Id="rId788" Type="http://schemas.openxmlformats.org/officeDocument/2006/relationships/hyperlink" Target="2020_01/10.01.2020/73748" TargetMode="External"/><Relationship Id="rId995" Type="http://schemas.openxmlformats.org/officeDocument/2006/relationships/hyperlink" Target="2020_01\28.01.2020\83854" TargetMode="External"/><Relationship Id="rId2469" Type="http://schemas.openxmlformats.org/officeDocument/2006/relationships/hyperlink" Target="2020_06/16.06.2020/52050" TargetMode="External"/><Relationship Id="rId2676" Type="http://schemas.openxmlformats.org/officeDocument/2006/relationships/hyperlink" Target="2020_07/02.07.2020/63441" TargetMode="External"/><Relationship Id="rId2883" Type="http://schemas.openxmlformats.org/officeDocument/2006/relationships/hyperlink" Target="2020_08/03.08.2020/99097" TargetMode="External"/><Relationship Id="rId3727" Type="http://schemas.openxmlformats.org/officeDocument/2006/relationships/hyperlink" Target="2020_10/16.10.2020/129322" TargetMode="External"/><Relationship Id="rId3934" Type="http://schemas.openxmlformats.org/officeDocument/2006/relationships/hyperlink" Target="2020_12/08.12.2020/169193" TargetMode="External"/><Relationship Id="rId648" Type="http://schemas.openxmlformats.org/officeDocument/2006/relationships/hyperlink" Target="2019_12/25.12.2019/76369" TargetMode="External"/><Relationship Id="rId855" Type="http://schemas.openxmlformats.org/officeDocument/2006/relationships/hyperlink" Target="2020_01/16.01.2020/85422" TargetMode="External"/><Relationship Id="rId1278" Type="http://schemas.openxmlformats.org/officeDocument/2006/relationships/hyperlink" Target="2020_02/21.02.2020/-4976" TargetMode="External"/><Relationship Id="rId1485" Type="http://schemas.openxmlformats.org/officeDocument/2006/relationships/hyperlink" Target="2020_03\12.03.2020\24911" TargetMode="External"/><Relationship Id="rId1692" Type="http://schemas.openxmlformats.org/officeDocument/2006/relationships/hyperlink" Target="2020_03/27.03.2020/25404" TargetMode="External"/><Relationship Id="rId2329" Type="http://schemas.openxmlformats.org/officeDocument/2006/relationships/hyperlink" Target="2020_06/16.06.2020/56661" TargetMode="External"/><Relationship Id="rId2536" Type="http://schemas.openxmlformats.org/officeDocument/2006/relationships/hyperlink" Target="2020_06/23.06.2020/69016" TargetMode="External"/><Relationship Id="rId2743" Type="http://schemas.openxmlformats.org/officeDocument/2006/relationships/hyperlink" Target="2020_07/09.07.2020/77188" TargetMode="External"/><Relationship Id="rId508" Type="http://schemas.openxmlformats.org/officeDocument/2006/relationships/hyperlink" Target="2019_12/13.12.2019/60998" TargetMode="External"/><Relationship Id="rId715" Type="http://schemas.openxmlformats.org/officeDocument/2006/relationships/hyperlink" Target="2019_12/30.12.2019/78934" TargetMode="External"/><Relationship Id="rId922" Type="http://schemas.openxmlformats.org/officeDocument/2006/relationships/hyperlink" Target="2020_01/21.01.2020/87161" TargetMode="External"/><Relationship Id="rId1138" Type="http://schemas.openxmlformats.org/officeDocument/2006/relationships/hyperlink" Target="2020_02\06.02.2020\-4485" TargetMode="External"/><Relationship Id="rId1345" Type="http://schemas.openxmlformats.org/officeDocument/2006/relationships/hyperlink" Target="2020_02/27.02.2020/-8530" TargetMode="External"/><Relationship Id="rId1552" Type="http://schemas.openxmlformats.org/officeDocument/2006/relationships/hyperlink" Target="2020_03\17.03.2020\27300" TargetMode="External"/><Relationship Id="rId2603" Type="http://schemas.openxmlformats.org/officeDocument/2006/relationships/hyperlink" Target="2020_06/26.06.2020/70761" TargetMode="External"/><Relationship Id="rId2950" Type="http://schemas.openxmlformats.org/officeDocument/2006/relationships/hyperlink" Target="2020_08/11.08.2020/95972" TargetMode="External"/><Relationship Id="rId1205" Type="http://schemas.openxmlformats.org/officeDocument/2006/relationships/hyperlink" Target="2020_02/11.02.2020/-7623" TargetMode="External"/><Relationship Id="rId2810" Type="http://schemas.openxmlformats.org/officeDocument/2006/relationships/hyperlink" Target="2020_07/29.07.2020/87565" TargetMode="External"/><Relationship Id="rId51" Type="http://schemas.openxmlformats.org/officeDocument/2006/relationships/hyperlink" Target="https://smp.sfurf.office/sd/operator/" TargetMode="External"/><Relationship Id="rId1412" Type="http://schemas.openxmlformats.org/officeDocument/2006/relationships/hyperlink" Target="2020_03\03.03.2020\19212" TargetMode="External"/><Relationship Id="rId3377" Type="http://schemas.openxmlformats.org/officeDocument/2006/relationships/hyperlink" Target="2020_09/22.09.2020/118096" TargetMode="External"/><Relationship Id="rId298" Type="http://schemas.openxmlformats.org/officeDocument/2006/relationships/hyperlink" Target="2019_11\28.11.2019\51437" TargetMode="External"/><Relationship Id="rId3584" Type="http://schemas.openxmlformats.org/officeDocument/2006/relationships/hyperlink" Target="2020_10/07.10.2020/126594" TargetMode="External"/><Relationship Id="rId3791" Type="http://schemas.openxmlformats.org/officeDocument/2006/relationships/hyperlink" Target="2020_11/06.11.2020/151646" TargetMode="External"/><Relationship Id="rId158" Type="http://schemas.openxmlformats.org/officeDocument/2006/relationships/hyperlink" Target="2019_11\11.11.2019\34354" TargetMode="External"/><Relationship Id="rId2186" Type="http://schemas.openxmlformats.org/officeDocument/2006/relationships/hyperlink" Target="2020_06/04.06.2020/42939" TargetMode="External"/><Relationship Id="rId2393" Type="http://schemas.openxmlformats.org/officeDocument/2006/relationships/hyperlink" Target="2020_06\16.06.2020\62334" TargetMode="External"/><Relationship Id="rId3237" Type="http://schemas.openxmlformats.org/officeDocument/2006/relationships/hyperlink" Target="2020_09/10.09.2020/113448" TargetMode="External"/><Relationship Id="rId3444" Type="http://schemas.openxmlformats.org/officeDocument/2006/relationships/hyperlink" Target="2020_09/23.09.2020/127412" TargetMode="External"/><Relationship Id="rId3651" Type="http://schemas.openxmlformats.org/officeDocument/2006/relationships/hyperlink" Target="2020_10/12.10.2020/138134" TargetMode="External"/><Relationship Id="rId365" Type="http://schemas.openxmlformats.org/officeDocument/2006/relationships/hyperlink" Target="https://smp.sfurf.office/sd/operator/" TargetMode="External"/><Relationship Id="rId572" Type="http://schemas.openxmlformats.org/officeDocument/2006/relationships/hyperlink" Target="2019_12\18.12.2019\71897" TargetMode="External"/><Relationship Id="rId2046" Type="http://schemas.openxmlformats.org/officeDocument/2006/relationships/hyperlink" Target="2020_05/27.05.2020/50590" TargetMode="External"/><Relationship Id="rId2253" Type="http://schemas.openxmlformats.org/officeDocument/2006/relationships/hyperlink" Target="2020_06\01.06.2020\62323" TargetMode="External"/><Relationship Id="rId2460" Type="http://schemas.openxmlformats.org/officeDocument/2006/relationships/hyperlink" Target="2020_06/16.06.2020/60896" TargetMode="External"/><Relationship Id="rId3304" Type="http://schemas.openxmlformats.org/officeDocument/2006/relationships/hyperlink" Target="2020_09/17.09.2020/105003" TargetMode="External"/><Relationship Id="rId3511" Type="http://schemas.openxmlformats.org/officeDocument/2006/relationships/hyperlink" Target="2020_09/30.09.2020/124241" TargetMode="External"/><Relationship Id="rId225" Type="http://schemas.openxmlformats.org/officeDocument/2006/relationships/hyperlink" Target="2019_10\08.10.2019\18264" TargetMode="External"/><Relationship Id="rId432" Type="http://schemas.openxmlformats.org/officeDocument/2006/relationships/hyperlink" Target="https://smp.sfurf.office/sd/operator/" TargetMode="External"/><Relationship Id="rId1062" Type="http://schemas.openxmlformats.org/officeDocument/2006/relationships/hyperlink" Target="2020_01\31.01.2020\77890" TargetMode="External"/><Relationship Id="rId2113" Type="http://schemas.openxmlformats.org/officeDocument/2006/relationships/hyperlink" Target="2020_06/01.06.2020/63279" TargetMode="External"/><Relationship Id="rId2320" Type="http://schemas.openxmlformats.org/officeDocument/2006/relationships/hyperlink" Target="2020_06/16.06.2020/61560" TargetMode="External"/><Relationship Id="rId1879" Type="http://schemas.openxmlformats.org/officeDocument/2006/relationships/hyperlink" Target="2020_05\15.05.2020\31544" TargetMode="External"/><Relationship Id="rId3094" Type="http://schemas.openxmlformats.org/officeDocument/2006/relationships/hyperlink" Target="2020_08/25.08.2020/103619" TargetMode="External"/><Relationship Id="rId1739" Type="http://schemas.openxmlformats.org/officeDocument/2006/relationships/hyperlink" Target="2020_04/07.04.2020/36277" TargetMode="External"/><Relationship Id="rId1946" Type="http://schemas.openxmlformats.org/officeDocument/2006/relationships/hyperlink" Target="2020_05/22.05.2020/36575" TargetMode="External"/><Relationship Id="rId1806" Type="http://schemas.openxmlformats.org/officeDocument/2006/relationships/hyperlink" Target="2020_05/13.05.2020/29727" TargetMode="External"/><Relationship Id="rId3161" Type="http://schemas.openxmlformats.org/officeDocument/2006/relationships/hyperlink" Target="2020_09/02.09.2020/108839" TargetMode="External"/><Relationship Id="rId3021" Type="http://schemas.openxmlformats.org/officeDocument/2006/relationships/hyperlink" Target="2020_08\14.08.2020\06301" TargetMode="External"/><Relationship Id="rId3978" Type="http://schemas.openxmlformats.org/officeDocument/2006/relationships/hyperlink" Target="2020_12/17.12.2020/175204" TargetMode="External"/><Relationship Id="rId899" Type="http://schemas.openxmlformats.org/officeDocument/2006/relationships/hyperlink" Target="2020_01\20.01.2020\85897" TargetMode="External"/><Relationship Id="rId2787" Type="http://schemas.openxmlformats.org/officeDocument/2006/relationships/hyperlink" Target="2020_07/27.07.2020/86689" TargetMode="External"/><Relationship Id="rId3838" Type="http://schemas.openxmlformats.org/officeDocument/2006/relationships/hyperlink" Target="2020_11/13.11.2020/155488" TargetMode="External"/><Relationship Id="rId759" Type="http://schemas.openxmlformats.org/officeDocument/2006/relationships/hyperlink" Target="2019_12\31.12.2019\71156" TargetMode="External"/><Relationship Id="rId966" Type="http://schemas.openxmlformats.org/officeDocument/2006/relationships/hyperlink" Target="2020_01/23.01.2020/80927" TargetMode="External"/><Relationship Id="rId1389" Type="http://schemas.openxmlformats.org/officeDocument/2006/relationships/hyperlink" Target="2020_03\02.03.2020\10239" TargetMode="External"/><Relationship Id="rId1596" Type="http://schemas.openxmlformats.org/officeDocument/2006/relationships/hyperlink" Target="2020_03/19.03.2020/20049" TargetMode="External"/><Relationship Id="rId2647" Type="http://schemas.openxmlformats.org/officeDocument/2006/relationships/hyperlink" Target="2020_06\25.06.2020\76846" TargetMode="External"/><Relationship Id="rId2994" Type="http://schemas.openxmlformats.org/officeDocument/2006/relationships/hyperlink" Target="2020_08/14.08.2020/05992" TargetMode="External"/><Relationship Id="rId619" Type="http://schemas.openxmlformats.org/officeDocument/2006/relationships/hyperlink" Target="2019_12\24.12.2019\66407" TargetMode="External"/><Relationship Id="rId1249" Type="http://schemas.openxmlformats.org/officeDocument/2006/relationships/hyperlink" Target="2020_02/19.02.2020/-4263" TargetMode="External"/><Relationship Id="rId2854" Type="http://schemas.openxmlformats.org/officeDocument/2006/relationships/hyperlink" Target="2020_08/04.08.2020/90924" TargetMode="External"/><Relationship Id="rId3905" Type="http://schemas.openxmlformats.org/officeDocument/2006/relationships/hyperlink" Target="2020_11/18.11.2020/158253" TargetMode="External"/><Relationship Id="rId95" Type="http://schemas.openxmlformats.org/officeDocument/2006/relationships/hyperlink" Target="../Users/shilyaevan/AppData/Roaming/Microsoft/Excel/2019_10/17.10.2019/29362" TargetMode="External"/><Relationship Id="rId826" Type="http://schemas.openxmlformats.org/officeDocument/2006/relationships/hyperlink" Target="2020_01/15.01.2020/75447" TargetMode="External"/><Relationship Id="rId1109" Type="http://schemas.openxmlformats.org/officeDocument/2006/relationships/hyperlink" Target="2020_02/04.02.2020/-2082" TargetMode="External"/><Relationship Id="rId1456" Type="http://schemas.openxmlformats.org/officeDocument/2006/relationships/hyperlink" Target="2020_03/06.03.2020/13617" TargetMode="External"/><Relationship Id="rId1663" Type="http://schemas.openxmlformats.org/officeDocument/2006/relationships/hyperlink" Target="2020_03/25.03.2020/32667" TargetMode="External"/><Relationship Id="rId1870" Type="http://schemas.openxmlformats.org/officeDocument/2006/relationships/hyperlink" Target="2020_05/14.05.2020/40730" TargetMode="External"/><Relationship Id="rId2507" Type="http://schemas.openxmlformats.org/officeDocument/2006/relationships/hyperlink" Target="2020_06/17.06.2020/73905" TargetMode="External"/><Relationship Id="rId2714" Type="http://schemas.openxmlformats.org/officeDocument/2006/relationships/hyperlink" Target="2020_07\07.07.2020\83272" TargetMode="External"/><Relationship Id="rId2921" Type="http://schemas.openxmlformats.org/officeDocument/2006/relationships/hyperlink" Target="2020_08\10.08.2020\94214" TargetMode="External"/><Relationship Id="rId1316" Type="http://schemas.openxmlformats.org/officeDocument/2006/relationships/hyperlink" Target="2020_02\26.02.2020\-7611" TargetMode="External"/><Relationship Id="rId1523" Type="http://schemas.openxmlformats.org/officeDocument/2006/relationships/hyperlink" Target="2020_03/13.03.2020/25493" TargetMode="External"/><Relationship Id="rId1730" Type="http://schemas.openxmlformats.org/officeDocument/2006/relationships/hyperlink" Target="2020_04\06.04.2020\26821" TargetMode="External"/><Relationship Id="rId22" Type="http://schemas.openxmlformats.org/officeDocument/2006/relationships/hyperlink" Target="https://smp.sfurf.office/sd/operator/index.jsp;jsessionid=4B56FDB405CD332F2E4AE6AEC0BFEE05" TargetMode="External"/><Relationship Id="rId3488" Type="http://schemas.openxmlformats.org/officeDocument/2006/relationships/hyperlink" Target="2020_09/29.09.2020/123399" TargetMode="External"/><Relationship Id="rId3695" Type="http://schemas.openxmlformats.org/officeDocument/2006/relationships/hyperlink" Target="2020_10/14.10.2020/139454" TargetMode="External"/><Relationship Id="rId2297" Type="http://schemas.openxmlformats.org/officeDocument/2006/relationships/hyperlink" Target="2020_06/16.06.2020/54172" TargetMode="External"/><Relationship Id="rId3348" Type="http://schemas.openxmlformats.org/officeDocument/2006/relationships/hyperlink" Target="2020_09/21.09.2020/118190" TargetMode="External"/><Relationship Id="rId3555" Type="http://schemas.openxmlformats.org/officeDocument/2006/relationships/hyperlink" Target="2020_10/05.10.2020/125822" TargetMode="External"/><Relationship Id="rId3762" Type="http://schemas.openxmlformats.org/officeDocument/2006/relationships/hyperlink" Target="2020_11/05.11.2020/150601" TargetMode="External"/><Relationship Id="rId269" Type="http://schemas.openxmlformats.org/officeDocument/2006/relationships/hyperlink" Target="2019_11\22.11.2019\48948" TargetMode="External"/><Relationship Id="rId476" Type="http://schemas.openxmlformats.org/officeDocument/2006/relationships/hyperlink" Target="2019_12\10.12.2019\54117" TargetMode="External"/><Relationship Id="rId683" Type="http://schemas.openxmlformats.org/officeDocument/2006/relationships/hyperlink" Target="2019_12\26.12.2019\69530" TargetMode="External"/><Relationship Id="rId890" Type="http://schemas.openxmlformats.org/officeDocument/2006/relationships/hyperlink" Target="2020_01/17.01.2020/76831" TargetMode="External"/><Relationship Id="rId2157" Type="http://schemas.openxmlformats.org/officeDocument/2006/relationships/hyperlink" Target="2020_06/11.06.2020/48708" TargetMode="External"/><Relationship Id="rId2364" Type="http://schemas.openxmlformats.org/officeDocument/2006/relationships/hyperlink" Target="2020_06/04.06.2020/67448" TargetMode="External"/><Relationship Id="rId2571" Type="http://schemas.openxmlformats.org/officeDocument/2006/relationships/hyperlink" Target="2020_06/23.06.2020/55521" TargetMode="External"/><Relationship Id="rId3208" Type="http://schemas.openxmlformats.org/officeDocument/2006/relationships/hyperlink" Target="2020_09/08.09.2020/118601" TargetMode="External"/><Relationship Id="rId3415" Type="http://schemas.openxmlformats.org/officeDocument/2006/relationships/hyperlink" Target="2020_09\23.09.2020\119871" TargetMode="External"/><Relationship Id="rId129" Type="http://schemas.openxmlformats.org/officeDocument/2006/relationships/hyperlink" Target="2019_11\05.11.2019\38766" TargetMode="External"/><Relationship Id="rId336" Type="http://schemas.openxmlformats.org/officeDocument/2006/relationships/hyperlink" Target="2019_12\06.12.2019\56295" TargetMode="External"/><Relationship Id="rId543" Type="http://schemas.openxmlformats.org/officeDocument/2006/relationships/hyperlink" Target="2019_12\17.12.2019\71147" TargetMode="External"/><Relationship Id="rId1173" Type="http://schemas.openxmlformats.org/officeDocument/2006/relationships/hyperlink" Target="2020_02\10.02.2020\90493" TargetMode="External"/><Relationship Id="rId1380" Type="http://schemas.openxmlformats.org/officeDocument/2006/relationships/hyperlink" Target="2020_03/02.03.2020/10088" TargetMode="External"/><Relationship Id="rId2017" Type="http://schemas.openxmlformats.org/officeDocument/2006/relationships/hyperlink" Target="2020_05\25.05.2020\38425" TargetMode="External"/><Relationship Id="rId2224" Type="http://schemas.openxmlformats.org/officeDocument/2006/relationships/hyperlink" Target="2020_06\03.06.2020\66295" TargetMode="External"/><Relationship Id="rId3622" Type="http://schemas.openxmlformats.org/officeDocument/2006/relationships/hyperlink" Target="2020_10/09.10.2020/129357" TargetMode="External"/><Relationship Id="rId403" Type="http://schemas.openxmlformats.org/officeDocument/2006/relationships/hyperlink" Target="2019_11\27.11.2019\58929" TargetMode="External"/><Relationship Id="rId750" Type="http://schemas.openxmlformats.org/officeDocument/2006/relationships/hyperlink" Target="2019_12/31.12.2019/80323" TargetMode="External"/><Relationship Id="rId1033" Type="http://schemas.openxmlformats.org/officeDocument/2006/relationships/hyperlink" Target="2020_01\29.01.2020\83266" TargetMode="External"/><Relationship Id="rId2431" Type="http://schemas.openxmlformats.org/officeDocument/2006/relationships/hyperlink" Target="2020_06/16.06.2020/73330" TargetMode="External"/><Relationship Id="rId610" Type="http://schemas.openxmlformats.org/officeDocument/2006/relationships/hyperlink" Target="2019_12/24.12.2019/67344" TargetMode="External"/><Relationship Id="rId1240" Type="http://schemas.openxmlformats.org/officeDocument/2006/relationships/hyperlink" Target="2020_02\18.02.2020\90349" TargetMode="External"/><Relationship Id="rId1100" Type="http://schemas.openxmlformats.org/officeDocument/2006/relationships/hyperlink" Target="2020_02\04.02.2020\86580" TargetMode="External"/><Relationship Id="rId1917" Type="http://schemas.openxmlformats.org/officeDocument/2006/relationships/hyperlink" Target="2020_05/19.05.2020/34075" TargetMode="External"/><Relationship Id="rId3065" Type="http://schemas.openxmlformats.org/officeDocument/2006/relationships/hyperlink" Target="2020_08/20.08.2020/100906" TargetMode="External"/><Relationship Id="rId3272" Type="http://schemas.openxmlformats.org/officeDocument/2006/relationships/hyperlink" Target="2020_09\15.09.2020\115317" TargetMode="External"/><Relationship Id="rId193" Type="http://schemas.openxmlformats.org/officeDocument/2006/relationships/hyperlink" Target="2019_11\13.11.2019\42981" TargetMode="External"/><Relationship Id="rId2081" Type="http://schemas.openxmlformats.org/officeDocument/2006/relationships/hyperlink" Target="2020_06/01.06.2020/60449" TargetMode="External"/><Relationship Id="rId3132" Type="http://schemas.openxmlformats.org/officeDocument/2006/relationships/hyperlink" Target="2020_08/27.08.2020/105226" TargetMode="External"/><Relationship Id="rId260" Type="http://schemas.openxmlformats.org/officeDocument/2006/relationships/hyperlink" Target="2019_11\06.11.2019\46325" TargetMode="External"/><Relationship Id="rId120" Type="http://schemas.openxmlformats.org/officeDocument/2006/relationships/hyperlink" Target="https://smp.sfurf.office/sd/operator/index.jsp;jsessionid=4B56FDB405CD332F2E4AE6AEC0BFEE05" TargetMode="External"/><Relationship Id="rId2898" Type="http://schemas.openxmlformats.org/officeDocument/2006/relationships/hyperlink" Target="2020_08/06.08.2020/92678" TargetMode="External"/><Relationship Id="rId3949" Type="http://schemas.openxmlformats.org/officeDocument/2006/relationships/hyperlink" Target="2020_12/14.12.2020/163769" TargetMode="External"/><Relationship Id="rId2758" Type="http://schemas.openxmlformats.org/officeDocument/2006/relationships/hyperlink" Target="2020_07/10.07.2020/77574" TargetMode="External"/><Relationship Id="rId2965" Type="http://schemas.openxmlformats.org/officeDocument/2006/relationships/hyperlink" Target="2020_08/12.08.2020/04362" TargetMode="External"/><Relationship Id="rId3809" Type="http://schemas.openxmlformats.org/officeDocument/2006/relationships/hyperlink" Target="2020_11/11.11.2020/145695" TargetMode="External"/><Relationship Id="rId937" Type="http://schemas.openxmlformats.org/officeDocument/2006/relationships/hyperlink" Target="2020_01/21.01.2020/86917" TargetMode="External"/><Relationship Id="rId1567" Type="http://schemas.openxmlformats.org/officeDocument/2006/relationships/hyperlink" Target="2020_03\18.03.2020\28846" TargetMode="External"/><Relationship Id="rId1774" Type="http://schemas.openxmlformats.org/officeDocument/2006/relationships/hyperlink" Target="2020_04/08.04.2020/28076" TargetMode="External"/><Relationship Id="rId1981" Type="http://schemas.openxmlformats.org/officeDocument/2006/relationships/hyperlink" Target="2020_05\26.05.2020\39862" TargetMode="External"/><Relationship Id="rId2618" Type="http://schemas.openxmlformats.org/officeDocument/2006/relationships/hyperlink" Target="2020_06\25.06.2020\70302" TargetMode="External"/><Relationship Id="rId2825" Type="http://schemas.openxmlformats.org/officeDocument/2006/relationships/hyperlink" Target="2020_07/30.07.2020/88924" TargetMode="External"/><Relationship Id="rId66" Type="http://schemas.openxmlformats.org/officeDocument/2006/relationships/hyperlink" Target="https://smp.sfurf.office/sd/operator/" TargetMode="External"/><Relationship Id="rId1427" Type="http://schemas.openxmlformats.org/officeDocument/2006/relationships/hyperlink" Target="2020_03\04.03.2020\10658" TargetMode="External"/><Relationship Id="rId1634" Type="http://schemas.openxmlformats.org/officeDocument/2006/relationships/hyperlink" Target="2020_03\23.03.2020\30815" TargetMode="External"/><Relationship Id="rId1841" Type="http://schemas.openxmlformats.org/officeDocument/2006/relationships/hyperlink" Target="2020_05/15.05.2020/18660" TargetMode="External"/><Relationship Id="rId3599" Type="http://schemas.openxmlformats.org/officeDocument/2006/relationships/hyperlink" Target="2020_10/07.10.2020/127848" TargetMode="External"/><Relationship Id="rId1701" Type="http://schemas.openxmlformats.org/officeDocument/2006/relationships/hyperlink" Target="2020_03\27.03.2020\35013" TargetMode="External"/><Relationship Id="rId3459" Type="http://schemas.openxmlformats.org/officeDocument/2006/relationships/hyperlink" Target="2020_09\23.09.2020\127979" TargetMode="External"/><Relationship Id="rId3666" Type="http://schemas.openxmlformats.org/officeDocument/2006/relationships/hyperlink" Target="2020_10/13.10.2020/130806" TargetMode="External"/><Relationship Id="rId587" Type="http://schemas.openxmlformats.org/officeDocument/2006/relationships/hyperlink" Target="2019_12\19.12.2019\72908" TargetMode="External"/><Relationship Id="rId2268" Type="http://schemas.openxmlformats.org/officeDocument/2006/relationships/hyperlink" Target="2020_06/16.06.2020/52514" TargetMode="External"/><Relationship Id="rId3319" Type="http://schemas.openxmlformats.org/officeDocument/2006/relationships/hyperlink" Target="2020_09/17.09.2020/116927" TargetMode="External"/><Relationship Id="rId3873" Type="http://schemas.openxmlformats.org/officeDocument/2006/relationships/hyperlink" Target="2020_11\17.11.2020\149086" TargetMode="External"/><Relationship Id="rId447" Type="http://schemas.openxmlformats.org/officeDocument/2006/relationships/hyperlink" Target="https://smp.sfurf.office/sd/operator/" TargetMode="External"/><Relationship Id="rId794" Type="http://schemas.openxmlformats.org/officeDocument/2006/relationships/hyperlink" Target="2020_01/10.01.2020/73371" TargetMode="External"/><Relationship Id="rId1077" Type="http://schemas.openxmlformats.org/officeDocument/2006/relationships/hyperlink" Target="2020_02\03.02.2020\86052" TargetMode="External"/><Relationship Id="rId2128" Type="http://schemas.openxmlformats.org/officeDocument/2006/relationships/hyperlink" Target="2020_06/02.06.2020/41284" TargetMode="External"/><Relationship Id="rId2475" Type="http://schemas.openxmlformats.org/officeDocument/2006/relationships/hyperlink" Target="2020_06\18.06.2020\66572" TargetMode="External"/><Relationship Id="rId2682" Type="http://schemas.openxmlformats.org/officeDocument/2006/relationships/hyperlink" Target="2020_07/03.07.2020/73847" TargetMode="External"/><Relationship Id="rId3526" Type="http://schemas.openxmlformats.org/officeDocument/2006/relationships/hyperlink" Target="2020_09/30.09.2020/131236" TargetMode="External"/><Relationship Id="rId3733" Type="http://schemas.openxmlformats.org/officeDocument/2006/relationships/hyperlink" Target="2020_11/02.11.2020/149272" TargetMode="External"/><Relationship Id="rId3940" Type="http://schemas.openxmlformats.org/officeDocument/2006/relationships/hyperlink" Target="2020_12/08.12.2020/156963" TargetMode="External"/><Relationship Id="rId654" Type="http://schemas.openxmlformats.org/officeDocument/2006/relationships/hyperlink" Target="2019_12/25.12.2019/68463" TargetMode="External"/><Relationship Id="rId861" Type="http://schemas.openxmlformats.org/officeDocument/2006/relationships/hyperlink" Target="2020_01\16.01.2020\76195" TargetMode="External"/><Relationship Id="rId1284" Type="http://schemas.openxmlformats.org/officeDocument/2006/relationships/hyperlink" Target="2020_02\21.02.2020\14049" TargetMode="External"/><Relationship Id="rId1491" Type="http://schemas.openxmlformats.org/officeDocument/2006/relationships/hyperlink" Target="2020_03\11.03.2020\14971" TargetMode="External"/><Relationship Id="rId2335" Type="http://schemas.openxmlformats.org/officeDocument/2006/relationships/hyperlink" Target="2020_06/16.06.2020/51548" TargetMode="External"/><Relationship Id="rId2542" Type="http://schemas.openxmlformats.org/officeDocument/2006/relationships/hyperlink" Target="2020_06/22.06.2020/67938" TargetMode="External"/><Relationship Id="rId3800" Type="http://schemas.openxmlformats.org/officeDocument/2006/relationships/hyperlink" Target="2020_11/11.11.2020/145980" TargetMode="External"/><Relationship Id="rId307" Type="http://schemas.openxmlformats.org/officeDocument/2006/relationships/hyperlink" Target="2019_11\29.11.2019\52571" TargetMode="External"/><Relationship Id="rId514" Type="http://schemas.openxmlformats.org/officeDocument/2006/relationships/hyperlink" Target="2019_12\16.12.2019\61737" TargetMode="External"/><Relationship Id="rId721" Type="http://schemas.openxmlformats.org/officeDocument/2006/relationships/hyperlink" Target="2019_12\30.12.2019\78674" TargetMode="External"/><Relationship Id="rId1144" Type="http://schemas.openxmlformats.org/officeDocument/2006/relationships/hyperlink" Target="2020_02/07.02.2020/89355" TargetMode="External"/><Relationship Id="rId1351" Type="http://schemas.openxmlformats.org/officeDocument/2006/relationships/hyperlink" Target="2020_02\27.02.2020\-8337" TargetMode="External"/><Relationship Id="rId2402" Type="http://schemas.openxmlformats.org/officeDocument/2006/relationships/hyperlink" Target="2020_06/08.06.2020/69183" TargetMode="External"/><Relationship Id="rId1004" Type="http://schemas.openxmlformats.org/officeDocument/2006/relationships/hyperlink" Target="2020_01\28.01.2020\82558" TargetMode="External"/><Relationship Id="rId1211" Type="http://schemas.openxmlformats.org/officeDocument/2006/relationships/hyperlink" Target="2020_02\12.02.2020\-8117" TargetMode="External"/><Relationship Id="rId3176" Type="http://schemas.openxmlformats.org/officeDocument/2006/relationships/hyperlink" Target="2020_08/31.08.2020/106222" TargetMode="External"/><Relationship Id="rId3383" Type="http://schemas.openxmlformats.org/officeDocument/2006/relationships/hyperlink" Target="2020_09/21.09.2020/118559" TargetMode="External"/><Relationship Id="rId3590" Type="http://schemas.openxmlformats.org/officeDocument/2006/relationships/hyperlink" Target="2020_10/07.10.2020/127734" TargetMode="External"/><Relationship Id="rId2192" Type="http://schemas.openxmlformats.org/officeDocument/2006/relationships/hyperlink" Target="2020_06/16.06.2020/49432" TargetMode="External"/><Relationship Id="rId3036" Type="http://schemas.openxmlformats.org/officeDocument/2006/relationships/hyperlink" Target="2020_08/18.08.2020/07089" TargetMode="External"/><Relationship Id="rId3243" Type="http://schemas.openxmlformats.org/officeDocument/2006/relationships/hyperlink" Target="2020_09/11.09.2020/114267" TargetMode="External"/><Relationship Id="rId164" Type="http://schemas.openxmlformats.org/officeDocument/2006/relationships/hyperlink" Target="2019_11\11.11.2019\41538" TargetMode="External"/><Relationship Id="rId371" Type="http://schemas.openxmlformats.org/officeDocument/2006/relationships/hyperlink" Target="2019_11\25.11.2019\58419" TargetMode="External"/><Relationship Id="rId2052" Type="http://schemas.openxmlformats.org/officeDocument/2006/relationships/hyperlink" Target="2020_05/27.05.2020/52244" TargetMode="External"/><Relationship Id="rId3450" Type="http://schemas.openxmlformats.org/officeDocument/2006/relationships/hyperlink" Target="2020_09/25.09.2020/120658" TargetMode="External"/><Relationship Id="rId3103" Type="http://schemas.openxmlformats.org/officeDocument/2006/relationships/hyperlink" Target="2020_08/27.08.2020/104726" TargetMode="External"/><Relationship Id="rId3310" Type="http://schemas.openxmlformats.org/officeDocument/2006/relationships/hyperlink" Target="2020_09/17.09.2020/123674" TargetMode="External"/><Relationship Id="rId231" Type="http://schemas.openxmlformats.org/officeDocument/2006/relationships/hyperlink" Target="https://smp.sfurf.office/sd/operator/" TargetMode="External"/><Relationship Id="rId2869" Type="http://schemas.openxmlformats.org/officeDocument/2006/relationships/hyperlink" Target="2020_08\04.08.2020\99771" TargetMode="External"/><Relationship Id="rId1678" Type="http://schemas.openxmlformats.org/officeDocument/2006/relationships/hyperlink" Target="2020_03\26.03.2020\24746" TargetMode="External"/><Relationship Id="rId1885" Type="http://schemas.openxmlformats.org/officeDocument/2006/relationships/hyperlink" Target="2020_05/19.05.2020/33770" TargetMode="External"/><Relationship Id="rId2729" Type="http://schemas.openxmlformats.org/officeDocument/2006/relationships/hyperlink" Target="2020_07/08.07.2020/83415" TargetMode="External"/><Relationship Id="rId2936" Type="http://schemas.openxmlformats.org/officeDocument/2006/relationships/hyperlink" Target="2020_08/11.08.2020/95963" TargetMode="External"/><Relationship Id="rId908" Type="http://schemas.openxmlformats.org/officeDocument/2006/relationships/hyperlink" Target="2020_01\20.01.2020\86074" TargetMode="External"/><Relationship Id="rId1538" Type="http://schemas.openxmlformats.org/officeDocument/2006/relationships/hyperlink" Target="2020_03\16.03.2020\26736" TargetMode="External"/><Relationship Id="rId1745" Type="http://schemas.openxmlformats.org/officeDocument/2006/relationships/hyperlink" Target="2020_04/07.04.2020/18717" TargetMode="External"/><Relationship Id="rId1952" Type="http://schemas.openxmlformats.org/officeDocument/2006/relationships/hyperlink" Target="2020_05/21.05.2020/46442" TargetMode="External"/><Relationship Id="rId37" Type="http://schemas.openxmlformats.org/officeDocument/2006/relationships/hyperlink" Target="https://smp.sfurf.office/sd/operator/" TargetMode="External"/><Relationship Id="rId1605" Type="http://schemas.openxmlformats.org/officeDocument/2006/relationships/hyperlink" Target="2020_03\20.03.2020\30049" TargetMode="External"/><Relationship Id="rId1812" Type="http://schemas.openxmlformats.org/officeDocument/2006/relationships/hyperlink" Target="2020_05/13.05.2020/25388" TargetMode="Externa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42.xml"/><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 Type="http://schemas.openxmlformats.org/officeDocument/2006/relationships/vmlDrawing" Target="../drawings/vmlDrawing3.vml"/><Relationship Id="rId21" Type="http://schemas.openxmlformats.org/officeDocument/2006/relationships/ctrlProp" Target="../ctrlProps/ctrlProp20.xml"/><Relationship Id="rId7" Type="http://schemas.openxmlformats.org/officeDocument/2006/relationships/image" Target="../media/image15.emf"/><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2" Type="http://schemas.openxmlformats.org/officeDocument/2006/relationships/drawing" Target="../drawings/drawing3.xml"/><Relationship Id="rId16" Type="http://schemas.openxmlformats.org/officeDocument/2006/relationships/ctrlProp" Target="../ctrlProps/ctrlProp15.xml"/><Relationship Id="rId20" Type="http://schemas.openxmlformats.org/officeDocument/2006/relationships/ctrlProp" Target="../ctrlProps/ctrlProp19.xml"/><Relationship Id="rId1" Type="http://schemas.openxmlformats.org/officeDocument/2006/relationships/printerSettings" Target="../printerSettings/printerSettings8.bin"/><Relationship Id="rId6" Type="http://schemas.openxmlformats.org/officeDocument/2006/relationships/control" Target="../activeX/activeX41.xml"/><Relationship Id="rId11" Type="http://schemas.openxmlformats.org/officeDocument/2006/relationships/ctrlProp" Target="../ctrlProps/ctrlProp10.xml"/><Relationship Id="rId24" Type="http://schemas.openxmlformats.org/officeDocument/2006/relationships/ctrlProp" Target="../ctrlProps/ctrlProp23.xml"/><Relationship Id="rId5" Type="http://schemas.openxmlformats.org/officeDocument/2006/relationships/image" Target="../media/image14.emf"/><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comments" Target="../comments2.xml"/><Relationship Id="rId10" Type="http://schemas.openxmlformats.org/officeDocument/2006/relationships/ctrlProp" Target="../ctrlProps/ctrlProp9.xml"/><Relationship Id="rId19" Type="http://schemas.openxmlformats.org/officeDocument/2006/relationships/ctrlProp" Target="../ctrlProps/ctrlProp18.xml"/><Relationship Id="rId4" Type="http://schemas.openxmlformats.org/officeDocument/2006/relationships/control" Target="../activeX/activeX40.xml"/><Relationship Id="rId9" Type="http://schemas.openxmlformats.org/officeDocument/2006/relationships/image" Target="../media/image16.emf"/><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ctrlProp" Target="../ctrlProps/ctrlProp26.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otal"/>
  <dimension ref="A1:Q2"/>
  <sheetViews>
    <sheetView workbookViewId="0">
      <selection activeCell="F7" sqref="F7"/>
    </sheetView>
  </sheetViews>
  <sheetFormatPr defaultColWidth="8.6640625" defaultRowHeight="14.4" x14ac:dyDescent="0.3"/>
  <cols>
    <col min="1" max="6" width="12.5546875" style="5" customWidth="1"/>
    <col min="7" max="7" width="15.33203125" style="5" customWidth="1"/>
    <col min="8" max="15" width="12.5546875" style="5" customWidth="1"/>
    <col min="16" max="16" width="15.5546875" style="5" customWidth="1"/>
    <col min="17" max="17" width="14.33203125" style="5" customWidth="1"/>
    <col min="18" max="16384" width="8.6640625" style="5"/>
  </cols>
  <sheetData>
    <row r="1" spans="1:17" x14ac:dyDescent="0.3">
      <c r="A1" s="7" t="s">
        <v>27</v>
      </c>
      <c r="B1" s="7" t="s">
        <v>16</v>
      </c>
      <c r="C1" s="7" t="s">
        <v>35</v>
      </c>
      <c r="D1" s="7" t="s">
        <v>36</v>
      </c>
      <c r="E1" s="7" t="s">
        <v>106</v>
      </c>
      <c r="F1" s="7" t="s">
        <v>113</v>
      </c>
      <c r="G1" s="7" t="s">
        <v>551</v>
      </c>
      <c r="H1" s="7" t="s">
        <v>667</v>
      </c>
      <c r="I1" s="7" t="s">
        <v>668</v>
      </c>
      <c r="J1" s="7" t="s">
        <v>669</v>
      </c>
      <c r="K1" s="7" t="s">
        <v>670</v>
      </c>
      <c r="L1" s="7" t="s">
        <v>821</v>
      </c>
      <c r="M1" s="7" t="s">
        <v>822</v>
      </c>
      <c r="N1" s="7" t="s">
        <v>823</v>
      </c>
      <c r="O1" s="7" t="s">
        <v>824</v>
      </c>
      <c r="P1" s="7" t="s">
        <v>1007</v>
      </c>
      <c r="Q1" s="7" t="s">
        <v>1008</v>
      </c>
    </row>
    <row r="2" spans="1:17" x14ac:dyDescent="0.3">
      <c r="F2" s="8"/>
      <c r="G2" s="8"/>
      <c r="H2" s="8"/>
      <c r="N2" s="8"/>
      <c r="O2" s="8"/>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raft"/>
  <dimension ref="A1:AY220"/>
  <sheetViews>
    <sheetView topLeftCell="AH1" workbookViewId="0">
      <selection activeCell="AL9" sqref="AL9"/>
    </sheetView>
  </sheetViews>
  <sheetFormatPr defaultRowHeight="14.4" x14ac:dyDescent="0.3"/>
  <cols>
    <col min="1" max="1" width="10.5546875" customWidth="1"/>
    <col min="2" max="2" width="12.33203125" customWidth="1"/>
    <col min="3" max="3" width="10.33203125" customWidth="1"/>
    <col min="6" max="6" width="25.6640625" customWidth="1"/>
    <col min="7" max="7" width="23.109375" customWidth="1"/>
    <col min="8" max="8" width="23.88671875" customWidth="1"/>
    <col min="9" max="9" width="21.44140625" customWidth="1"/>
    <col min="10" max="10" width="19" customWidth="1"/>
    <col min="11" max="11" width="17.44140625" customWidth="1"/>
    <col min="12" max="12" width="22.88671875" customWidth="1"/>
    <col min="13" max="13" width="17.88671875" customWidth="1"/>
    <col min="14" max="14" width="16" customWidth="1"/>
    <col min="15" max="15" width="19.33203125" customWidth="1"/>
    <col min="16" max="16" width="25.33203125" customWidth="1"/>
    <col min="17" max="17" width="25.6640625" customWidth="1"/>
    <col min="18" max="18" width="21.44140625" customWidth="1"/>
    <col min="19" max="20" width="15.5546875" customWidth="1"/>
    <col min="21" max="21" width="23.5546875" customWidth="1"/>
    <col min="22" max="22" width="23.109375" customWidth="1"/>
    <col min="23" max="23" width="26.44140625" customWidth="1"/>
    <col min="24" max="24" width="21.88671875" customWidth="1"/>
    <col min="25" max="25" width="24.109375" customWidth="1"/>
    <col min="26" max="26" width="24.6640625" customWidth="1"/>
    <col min="27" max="27" width="58.5546875" customWidth="1"/>
    <col min="28" max="28" width="55" customWidth="1"/>
    <col min="29" max="29" width="21.109375" customWidth="1"/>
    <col min="30" max="34" width="19.109375" customWidth="1"/>
    <col min="35" max="35" width="16.109375" customWidth="1"/>
    <col min="36" max="36" width="12.44140625" customWidth="1"/>
    <col min="37" max="37" width="21.44140625" customWidth="1"/>
    <col min="38" max="38" width="13.88671875" customWidth="1"/>
    <col min="39" max="39" width="12.6640625" customWidth="1"/>
    <col min="40" max="40" width="13.88671875" customWidth="1"/>
    <col min="41" max="43" width="12.6640625" customWidth="1"/>
    <col min="44" max="45" width="16.33203125" customWidth="1"/>
    <col min="46" max="46" width="19.5546875" customWidth="1"/>
    <col min="47" max="47" width="38.44140625" customWidth="1"/>
    <col min="48" max="48" width="22.88671875" customWidth="1"/>
    <col min="49" max="50" width="16.44140625" customWidth="1"/>
    <col min="51" max="51" width="21.88671875" customWidth="1"/>
  </cols>
  <sheetData>
    <row r="1" spans="1:51" ht="44.4" thickTop="1" thickBot="1" x14ac:dyDescent="0.35">
      <c r="A1" s="43" t="s">
        <v>37</v>
      </c>
      <c r="B1" s="43" t="s">
        <v>37</v>
      </c>
      <c r="C1" s="43" t="s">
        <v>36</v>
      </c>
      <c r="D1" s="43" t="s">
        <v>35</v>
      </c>
      <c r="E1" s="43" t="s">
        <v>564</v>
      </c>
      <c r="F1" s="43" t="s">
        <v>127</v>
      </c>
      <c r="G1" s="43" t="s">
        <v>126</v>
      </c>
      <c r="H1" s="43" t="s">
        <v>125</v>
      </c>
      <c r="I1" s="43" t="s">
        <v>759</v>
      </c>
      <c r="J1" s="43" t="s">
        <v>863</v>
      </c>
      <c r="K1" s="43" t="s">
        <v>622</v>
      </c>
      <c r="L1" s="172" t="s">
        <v>1238</v>
      </c>
      <c r="M1" s="172" t="s">
        <v>1245</v>
      </c>
      <c r="N1" s="172" t="s">
        <v>1291</v>
      </c>
      <c r="O1" s="172" t="s">
        <v>1290</v>
      </c>
      <c r="P1" s="172" t="s">
        <v>1418</v>
      </c>
      <c r="Q1" s="172" t="s">
        <v>896</v>
      </c>
      <c r="R1" s="172" t="s">
        <v>1419</v>
      </c>
      <c r="S1" s="172" t="s">
        <v>3488</v>
      </c>
      <c r="T1" s="172" t="s">
        <v>3489</v>
      </c>
      <c r="U1" s="172" t="s">
        <v>1713</v>
      </c>
      <c r="V1" s="172" t="s">
        <v>1743</v>
      </c>
      <c r="W1" s="172" t="s">
        <v>663</v>
      </c>
      <c r="X1" s="172" t="s">
        <v>143</v>
      </c>
      <c r="Y1" s="172" t="s">
        <v>1916</v>
      </c>
      <c r="Z1" s="172" t="s">
        <v>1972</v>
      </c>
      <c r="AA1" s="172" t="s">
        <v>3143</v>
      </c>
      <c r="AB1" s="172" t="s">
        <v>3154</v>
      </c>
      <c r="AC1" s="172" t="s">
        <v>3490</v>
      </c>
      <c r="AD1" s="172" t="s">
        <v>4729</v>
      </c>
      <c r="AE1" s="172" t="s">
        <v>4729</v>
      </c>
      <c r="AF1" s="172" t="s">
        <v>4941</v>
      </c>
      <c r="AG1" s="172" t="s">
        <v>4942</v>
      </c>
      <c r="AH1" s="172" t="s">
        <v>4953</v>
      </c>
      <c r="AI1" s="172" t="s">
        <v>4969</v>
      </c>
      <c r="AJ1" s="172" t="s">
        <v>4964</v>
      </c>
      <c r="AK1" s="172" t="s">
        <v>1419</v>
      </c>
      <c r="AL1" s="172" t="s">
        <v>5198</v>
      </c>
      <c r="AM1" s="172" t="s">
        <v>5197</v>
      </c>
      <c r="AN1" s="172" t="s">
        <v>5214</v>
      </c>
      <c r="AO1" s="172" t="s">
        <v>5215</v>
      </c>
      <c r="AP1" s="172" t="s">
        <v>5216</v>
      </c>
      <c r="AQ1" s="172" t="s">
        <v>5233</v>
      </c>
      <c r="AR1" s="172" t="s">
        <v>5675</v>
      </c>
      <c r="AS1" s="172"/>
      <c r="AT1" s="172" t="s">
        <v>5676</v>
      </c>
      <c r="AW1" s="172" t="s">
        <v>8560</v>
      </c>
      <c r="AX1" s="172" t="s">
        <v>8561</v>
      </c>
      <c r="AY1" s="172" t="s">
        <v>10063</v>
      </c>
    </row>
    <row r="2" spans="1:51" ht="15" thickTop="1" x14ac:dyDescent="0.3">
      <c r="A2" t="s">
        <v>17</v>
      </c>
      <c r="B2" s="5" t="s">
        <v>28</v>
      </c>
      <c r="C2" t="s">
        <v>923</v>
      </c>
      <c r="D2" t="s">
        <v>8294</v>
      </c>
      <c r="E2" t="s">
        <v>556</v>
      </c>
      <c r="F2" s="10" t="s">
        <v>46</v>
      </c>
      <c r="G2" t="s">
        <v>47</v>
      </c>
      <c r="H2" t="s">
        <v>4735</v>
      </c>
      <c r="I2" t="s">
        <v>5207</v>
      </c>
      <c r="J2" t="s">
        <v>4738</v>
      </c>
      <c r="K2" t="s">
        <v>4738</v>
      </c>
      <c r="L2" s="9" t="s">
        <v>1239</v>
      </c>
      <c r="M2" s="9" t="s">
        <v>1246</v>
      </c>
      <c r="N2" s="9" t="s">
        <v>1292</v>
      </c>
      <c r="O2" s="249" t="s">
        <v>855</v>
      </c>
      <c r="P2" s="9" t="s">
        <v>213</v>
      </c>
      <c r="Q2" t="s">
        <v>1420</v>
      </c>
      <c r="R2" t="s">
        <v>1502</v>
      </c>
      <c r="S2">
        <v>3696</v>
      </c>
      <c r="T2">
        <v>3612</v>
      </c>
      <c r="U2" s="9" t="s">
        <v>1626</v>
      </c>
      <c r="V2" s="9" t="s">
        <v>1744</v>
      </c>
      <c r="W2" s="9" t="s">
        <v>2009</v>
      </c>
      <c r="X2" s="6">
        <v>42005</v>
      </c>
      <c r="Y2" t="s">
        <v>662</v>
      </c>
      <c r="Z2" t="s">
        <v>1973</v>
      </c>
      <c r="AA2" t="s">
        <v>674</v>
      </c>
      <c r="AB2" t="s">
        <v>674</v>
      </c>
      <c r="AD2" t="s">
        <v>4730</v>
      </c>
      <c r="AE2" s="385" t="str">
        <f>IF(OR(ISBLANK(A23)),"",IF((B3-(EDATE(A24,36)))&gt;0,"СРОК ДАВНОСТИ",""))</f>
        <v/>
      </c>
      <c r="AF2" s="324">
        <v>120000</v>
      </c>
      <c r="AH2" t="s">
        <v>4736</v>
      </c>
      <c r="AI2">
        <v>3490</v>
      </c>
      <c r="AJ2" s="6">
        <v>43709</v>
      </c>
      <c r="AL2" t="s">
        <v>5199</v>
      </c>
      <c r="AM2" t="s">
        <v>5262</v>
      </c>
      <c r="AN2" t="s">
        <v>4925</v>
      </c>
      <c r="AO2" t="s">
        <v>1239</v>
      </c>
      <c r="AQ2" t="s">
        <v>5234</v>
      </c>
      <c r="AR2" t="s">
        <v>5678</v>
      </c>
      <c r="AS2" t="s">
        <v>5677</v>
      </c>
      <c r="AU2" t="s">
        <v>8250</v>
      </c>
      <c r="AV2" s="10" t="s">
        <v>1246</v>
      </c>
      <c r="AW2" s="6">
        <v>42005</v>
      </c>
      <c r="AX2" s="6">
        <v>42005</v>
      </c>
      <c r="AY2" s="6">
        <v>43466</v>
      </c>
    </row>
    <row r="3" spans="1:51" x14ac:dyDescent="0.3">
      <c r="A3" t="s">
        <v>18</v>
      </c>
      <c r="B3" s="5" t="s">
        <v>29</v>
      </c>
      <c r="C3" t="s">
        <v>924</v>
      </c>
      <c r="D3" t="s">
        <v>8293</v>
      </c>
      <c r="E3" t="s">
        <v>557</v>
      </c>
      <c r="F3" s="10" t="s">
        <v>48</v>
      </c>
      <c r="G3" t="s">
        <v>49</v>
      </c>
      <c r="H3" t="s">
        <v>4736</v>
      </c>
      <c r="I3" t="s">
        <v>4737</v>
      </c>
      <c r="J3" t="s">
        <v>4739</v>
      </c>
      <c r="K3" t="s">
        <v>4739</v>
      </c>
      <c r="L3" t="s">
        <v>1240</v>
      </c>
      <c r="M3" t="s">
        <v>604</v>
      </c>
      <c r="N3" s="9" t="s">
        <v>1293</v>
      </c>
      <c r="O3" s="249" t="s">
        <v>1294</v>
      </c>
      <c r="P3" s="9" t="s">
        <v>268</v>
      </c>
      <c r="Q3" t="s">
        <v>1421</v>
      </c>
      <c r="R3" t="s">
        <v>1508</v>
      </c>
      <c r="S3">
        <v>5318</v>
      </c>
      <c r="T3">
        <v>5197</v>
      </c>
      <c r="U3" s="6">
        <v>43617</v>
      </c>
      <c r="V3" t="s">
        <v>1745</v>
      </c>
      <c r="W3" t="s">
        <v>1748</v>
      </c>
      <c r="X3" s="6">
        <v>42006</v>
      </c>
      <c r="Y3" t="s">
        <v>663</v>
      </c>
      <c r="Z3" t="s">
        <v>1974</v>
      </c>
      <c r="AA3" t="s">
        <v>3144</v>
      </c>
      <c r="AB3" t="s">
        <v>3144</v>
      </c>
      <c r="AD3" t="s">
        <v>4952</v>
      </c>
      <c r="AE3" s="385" t="str">
        <f>IF(AND(NOT(ISBLANK(F11)),NOT(ISBLANK(F15)),NOT(E18="")),IF(J3=DRAFT!P2,IF(E18="К ВИНОВНИКУ",IF(A19=FALSE,IF(F15&gt;DRAFT!AG3,DRAFT!AF3,DRAFT!AF2),IF(F15&gt;DRAFT!AG6,DRAFT!AF6,DRAFT!AF5)),IF(A19=FALSE,IF(F11&gt;DRAFT!AG3,DRAFT!AF3,DRAFT!AF2),IF(F11&gt;DRAFT!AG6,DRAFT!AF6,DRAFT!AF5))),IF(OR(J3=DRAFT!P4,J3=DRAFT!P5),IF(E18="К ВИНОВНИКУ",IF(A19=FALSE,IF(F15&gt;DRAFT!AG4,DRAFT!AF4,DRAFT!AF7),"НЕ ТУДА"),"НЕ ТУДА"),"")),"")</f>
        <v/>
      </c>
      <c r="AF3" s="324">
        <v>400000</v>
      </c>
      <c r="AG3" s="6">
        <v>41913</v>
      </c>
      <c r="AH3" t="s">
        <v>91</v>
      </c>
      <c r="AI3">
        <v>5021</v>
      </c>
      <c r="AJ3" s="6">
        <v>43715</v>
      </c>
      <c r="AL3" t="s">
        <v>5201</v>
      </c>
      <c r="AM3" t="s">
        <v>5257</v>
      </c>
      <c r="AN3" t="s">
        <v>4922</v>
      </c>
      <c r="AO3" t="s">
        <v>1240</v>
      </c>
      <c r="AP3" t="s">
        <v>5218</v>
      </c>
      <c r="AQ3" t="s">
        <v>5235</v>
      </c>
      <c r="AR3" t="s">
        <v>886</v>
      </c>
      <c r="AU3" t="s">
        <v>8351</v>
      </c>
      <c r="AV3" s="10" t="s">
        <v>1246</v>
      </c>
      <c r="AW3" s="6">
        <v>42006</v>
      </c>
      <c r="AX3" s="6">
        <v>42006</v>
      </c>
      <c r="AY3" s="6">
        <v>43467</v>
      </c>
    </row>
    <row r="4" spans="1:51" x14ac:dyDescent="0.3">
      <c r="A4" t="s">
        <v>19</v>
      </c>
      <c r="B4" s="5" t="s">
        <v>30</v>
      </c>
      <c r="C4" t="s">
        <v>925</v>
      </c>
      <c r="D4" t="s">
        <v>8293</v>
      </c>
      <c r="E4" t="s">
        <v>558</v>
      </c>
      <c r="F4" t="s">
        <v>50</v>
      </c>
      <c r="G4" t="s">
        <v>51</v>
      </c>
      <c r="H4" t="s">
        <v>52</v>
      </c>
      <c r="I4" t="s">
        <v>760</v>
      </c>
      <c r="J4" t="s">
        <v>4740</v>
      </c>
      <c r="K4" t="s">
        <v>4740</v>
      </c>
      <c r="L4" t="s">
        <v>1241</v>
      </c>
      <c r="M4" t="s">
        <v>456</v>
      </c>
      <c r="N4" t="s">
        <v>1339</v>
      </c>
      <c r="O4" s="249" t="s">
        <v>1340</v>
      </c>
      <c r="P4" t="s">
        <v>645</v>
      </c>
      <c r="Q4" t="s">
        <v>1422</v>
      </c>
      <c r="R4" t="s">
        <v>1509</v>
      </c>
      <c r="S4">
        <v>3270</v>
      </c>
      <c r="T4">
        <v>3196</v>
      </c>
      <c r="U4" s="6">
        <v>43466</v>
      </c>
      <c r="V4" t="s">
        <v>1746</v>
      </c>
      <c r="W4" t="s">
        <v>1749</v>
      </c>
      <c r="X4" s="6">
        <v>42007</v>
      </c>
      <c r="Y4" t="s">
        <v>853</v>
      </c>
      <c r="Z4" t="s">
        <v>1975</v>
      </c>
      <c r="AA4" t="s">
        <v>3131</v>
      </c>
      <c r="AB4" t="s">
        <v>3131</v>
      </c>
      <c r="AF4" s="324">
        <v>500000</v>
      </c>
      <c r="AG4" s="6">
        <v>42095</v>
      </c>
      <c r="AH4" t="s">
        <v>4954</v>
      </c>
      <c r="AI4">
        <v>3088</v>
      </c>
      <c r="AJ4" s="6">
        <v>43716</v>
      </c>
      <c r="AL4" t="s">
        <v>5200</v>
      </c>
      <c r="AM4" t="s">
        <v>5259</v>
      </c>
      <c r="AN4" t="s">
        <v>4923</v>
      </c>
      <c r="AO4" t="s">
        <v>5217</v>
      </c>
      <c r="AP4" t="s">
        <v>5221</v>
      </c>
      <c r="AQ4" t="s">
        <v>5236</v>
      </c>
      <c r="AU4" t="s">
        <v>8251</v>
      </c>
      <c r="AV4" s="10" t="s">
        <v>604</v>
      </c>
      <c r="AW4" s="6">
        <v>42007</v>
      </c>
      <c r="AX4" s="6">
        <v>42007</v>
      </c>
      <c r="AY4" s="6">
        <v>43468</v>
      </c>
    </row>
    <row r="5" spans="1:51" x14ac:dyDescent="0.3">
      <c r="E5" t="s">
        <v>559</v>
      </c>
      <c r="F5" t="s">
        <v>53</v>
      </c>
      <c r="G5" t="s">
        <v>54</v>
      </c>
      <c r="H5" t="s">
        <v>55</v>
      </c>
      <c r="I5" t="s">
        <v>761</v>
      </c>
      <c r="J5" t="s">
        <v>4741</v>
      </c>
      <c r="K5" t="s">
        <v>4741</v>
      </c>
      <c r="L5" t="s">
        <v>1242</v>
      </c>
      <c r="M5" t="s">
        <v>1247</v>
      </c>
      <c r="N5" t="s">
        <v>1607</v>
      </c>
      <c r="O5" s="249" t="s">
        <v>1606</v>
      </c>
      <c r="P5" t="s">
        <v>972</v>
      </c>
      <c r="Q5" t="s">
        <v>1423</v>
      </c>
      <c r="R5" t="s">
        <v>1510</v>
      </c>
      <c r="S5">
        <v>3013</v>
      </c>
      <c r="T5">
        <v>2945</v>
      </c>
      <c r="U5" s="6">
        <v>43281</v>
      </c>
      <c r="V5" t="s">
        <v>1747</v>
      </c>
      <c r="W5" t="s">
        <v>1750</v>
      </c>
      <c r="X5" s="6">
        <v>42008</v>
      </c>
      <c r="Y5" t="s">
        <v>1287</v>
      </c>
      <c r="Z5" t="s">
        <v>1976</v>
      </c>
      <c r="AA5" t="s">
        <v>80</v>
      </c>
      <c r="AB5" t="s">
        <v>80</v>
      </c>
      <c r="AF5" s="324">
        <v>50000</v>
      </c>
      <c r="AH5" t="s">
        <v>4966</v>
      </c>
      <c r="AI5">
        <v>2845</v>
      </c>
      <c r="AJ5" s="6">
        <v>43722</v>
      </c>
      <c r="AL5" t="s">
        <v>5202</v>
      </c>
      <c r="AM5" t="s">
        <v>5258</v>
      </c>
      <c r="AN5" t="s">
        <v>4926</v>
      </c>
      <c r="AO5" t="s">
        <v>5220</v>
      </c>
      <c r="AP5" t="s">
        <v>5219</v>
      </c>
      <c r="AU5" t="s">
        <v>8252</v>
      </c>
      <c r="AV5" t="s">
        <v>1246</v>
      </c>
      <c r="AW5" s="6">
        <v>42008</v>
      </c>
      <c r="AX5" s="6">
        <v>42008</v>
      </c>
      <c r="AY5" s="6">
        <v>43469</v>
      </c>
    </row>
    <row r="6" spans="1:51" x14ac:dyDescent="0.3">
      <c r="A6" t="s">
        <v>32</v>
      </c>
      <c r="B6" s="6" t="s">
        <v>717</v>
      </c>
      <c r="C6" s="9" t="s">
        <v>128</v>
      </c>
      <c r="D6" t="s">
        <v>3039</v>
      </c>
      <c r="E6" t="s">
        <v>214</v>
      </c>
      <c r="F6" s="10" t="s">
        <v>56</v>
      </c>
      <c r="G6" t="s">
        <v>57</v>
      </c>
      <c r="H6" t="s">
        <v>58</v>
      </c>
      <c r="I6" t="s">
        <v>762</v>
      </c>
      <c r="J6" t="s">
        <v>864</v>
      </c>
      <c r="K6" t="s">
        <v>1354</v>
      </c>
      <c r="M6" t="s">
        <v>1248</v>
      </c>
      <c r="N6" t="s">
        <v>1608</v>
      </c>
      <c r="O6" s="249" t="s">
        <v>1609</v>
      </c>
      <c r="Q6" t="s">
        <v>1424</v>
      </c>
      <c r="R6" t="s">
        <v>1137</v>
      </c>
      <c r="S6">
        <v>6216</v>
      </c>
      <c r="T6">
        <v>6216</v>
      </c>
      <c r="V6" t="s">
        <v>4713</v>
      </c>
      <c r="W6" t="s">
        <v>5687</v>
      </c>
      <c r="X6" s="6">
        <v>42009</v>
      </c>
      <c r="Y6" t="s">
        <v>8128</v>
      </c>
      <c r="AA6" t="s">
        <v>3132</v>
      </c>
      <c r="AB6" t="s">
        <v>3155</v>
      </c>
      <c r="AF6" s="381">
        <v>100000</v>
      </c>
      <c r="AG6" s="6">
        <v>43252</v>
      </c>
      <c r="AI6">
        <v>6005</v>
      </c>
      <c r="AJ6" s="6">
        <v>43723</v>
      </c>
      <c r="AL6" t="s">
        <v>5205</v>
      </c>
      <c r="AM6" t="s">
        <v>5261</v>
      </c>
      <c r="AN6" t="s">
        <v>4924</v>
      </c>
      <c r="AO6" t="s">
        <v>1242</v>
      </c>
      <c r="AP6" t="s">
        <v>5222</v>
      </c>
      <c r="AU6" t="s">
        <v>8253</v>
      </c>
      <c r="AV6" t="s">
        <v>604</v>
      </c>
      <c r="AW6" s="6">
        <v>42009</v>
      </c>
      <c r="AX6" s="6">
        <v>42009</v>
      </c>
      <c r="AY6" s="6">
        <v>43470</v>
      </c>
    </row>
    <row r="7" spans="1:51" x14ac:dyDescent="0.3">
      <c r="A7" t="s">
        <v>4</v>
      </c>
      <c r="B7" t="s">
        <v>718</v>
      </c>
      <c r="C7" s="9" t="s">
        <v>129</v>
      </c>
      <c r="D7" s="9" t="s">
        <v>3040</v>
      </c>
      <c r="E7" t="s">
        <v>560</v>
      </c>
      <c r="F7" s="10" t="s">
        <v>59</v>
      </c>
      <c r="G7" t="s">
        <v>60</v>
      </c>
      <c r="H7" t="s">
        <v>58</v>
      </c>
      <c r="I7" t="s">
        <v>1365</v>
      </c>
      <c r="J7" t="s">
        <v>864</v>
      </c>
      <c r="K7" t="s">
        <v>1362</v>
      </c>
      <c r="M7" t="s">
        <v>1117</v>
      </c>
      <c r="N7" t="s">
        <v>1632</v>
      </c>
      <c r="O7" s="257">
        <f>FILLING!D179</f>
        <v>0</v>
      </c>
      <c r="Q7" t="s">
        <v>1425</v>
      </c>
      <c r="R7" t="s">
        <v>1511</v>
      </c>
      <c r="S7">
        <v>4851</v>
      </c>
      <c r="T7">
        <v>4851</v>
      </c>
      <c r="W7" t="s">
        <v>8135</v>
      </c>
      <c r="X7" s="6">
        <v>42010</v>
      </c>
      <c r="Y7" t="s">
        <v>1749</v>
      </c>
      <c r="AA7" t="s">
        <v>3135</v>
      </c>
      <c r="AB7" t="s">
        <v>3156</v>
      </c>
      <c r="AF7" s="381">
        <v>160000</v>
      </c>
      <c r="AI7">
        <v>4686</v>
      </c>
      <c r="AJ7" s="6">
        <v>43729</v>
      </c>
      <c r="AL7" t="s">
        <v>5203</v>
      </c>
      <c r="AM7" t="s">
        <v>5196</v>
      </c>
      <c r="AU7" t="s">
        <v>8254</v>
      </c>
      <c r="AV7" s="10" t="s">
        <v>456</v>
      </c>
      <c r="AW7" s="6">
        <v>42010</v>
      </c>
      <c r="AX7" s="6">
        <v>42010</v>
      </c>
      <c r="AY7" s="6">
        <v>43471</v>
      </c>
    </row>
    <row r="8" spans="1:51" s="5" customFormat="1" x14ac:dyDescent="0.3">
      <c r="A8" s="5" t="s">
        <v>31</v>
      </c>
      <c r="B8" s="5" t="s">
        <v>8483</v>
      </c>
      <c r="E8" s="5" t="s">
        <v>480</v>
      </c>
      <c r="F8" s="350" t="s">
        <v>109</v>
      </c>
      <c r="G8" s="5" t="s">
        <v>61</v>
      </c>
      <c r="H8" s="5" t="s">
        <v>62</v>
      </c>
      <c r="I8" s="5" t="s">
        <v>763</v>
      </c>
      <c r="J8" s="5" t="s">
        <v>865</v>
      </c>
      <c r="K8" s="5" t="s">
        <v>1355</v>
      </c>
      <c r="M8" s="5" t="s">
        <v>1249</v>
      </c>
      <c r="N8" s="5" t="s">
        <v>611</v>
      </c>
      <c r="O8" s="249" t="s">
        <v>1417</v>
      </c>
      <c r="Q8" s="5" t="s">
        <v>1426</v>
      </c>
      <c r="R8" s="5" t="s">
        <v>1512</v>
      </c>
      <c r="S8" s="5">
        <v>6366</v>
      </c>
      <c r="T8" s="5">
        <v>6366</v>
      </c>
      <c r="X8" s="351">
        <v>42011</v>
      </c>
      <c r="Y8" s="5" t="s">
        <v>693</v>
      </c>
      <c r="AA8" s="5" t="s">
        <v>3133</v>
      </c>
      <c r="AB8" s="5" t="s">
        <v>3157</v>
      </c>
      <c r="AI8" s="5">
        <v>6151</v>
      </c>
      <c r="AJ8" s="6">
        <v>43730</v>
      </c>
      <c r="AL8" t="s">
        <v>5204</v>
      </c>
      <c r="AM8" t="s">
        <v>5260</v>
      </c>
      <c r="AU8" t="s">
        <v>58</v>
      </c>
      <c r="AV8" s="10" t="s">
        <v>456</v>
      </c>
      <c r="AW8" s="351">
        <v>42011</v>
      </c>
      <c r="AX8" s="351">
        <v>42011</v>
      </c>
      <c r="AY8" s="6">
        <v>43472</v>
      </c>
    </row>
    <row r="9" spans="1:51" x14ac:dyDescent="0.3">
      <c r="A9" t="s">
        <v>832</v>
      </c>
      <c r="B9" s="5" t="s">
        <v>8484</v>
      </c>
      <c r="C9" t="s">
        <v>606</v>
      </c>
      <c r="D9" s="5" t="s">
        <v>660</v>
      </c>
      <c r="E9" t="s">
        <v>561</v>
      </c>
      <c r="F9" s="10" t="s">
        <v>63</v>
      </c>
      <c r="G9" t="s">
        <v>64</v>
      </c>
      <c r="H9" t="s">
        <v>62</v>
      </c>
      <c r="I9" t="s">
        <v>1366</v>
      </c>
      <c r="J9" t="s">
        <v>865</v>
      </c>
      <c r="K9" t="s">
        <v>1363</v>
      </c>
      <c r="M9" t="s">
        <v>1116</v>
      </c>
      <c r="N9" t="s">
        <v>1633</v>
      </c>
      <c r="O9" s="257">
        <f>FILLING!D183</f>
        <v>0</v>
      </c>
      <c r="Q9" t="s">
        <v>1427</v>
      </c>
      <c r="R9" t="s">
        <v>1277</v>
      </c>
      <c r="S9">
        <v>2907</v>
      </c>
      <c r="T9">
        <v>2841</v>
      </c>
      <c r="X9" s="6">
        <v>42012</v>
      </c>
      <c r="Y9" s="5" t="s">
        <v>692</v>
      </c>
      <c r="AA9" t="s">
        <v>3134</v>
      </c>
      <c r="AB9" t="s">
        <v>3158</v>
      </c>
      <c r="AI9" s="5">
        <v>2745</v>
      </c>
      <c r="AJ9" s="6">
        <v>43736</v>
      </c>
      <c r="AL9" s="5"/>
      <c r="AM9" s="5"/>
      <c r="AU9" t="s">
        <v>8254</v>
      </c>
      <c r="AV9" s="10" t="s">
        <v>456</v>
      </c>
      <c r="AW9" s="6">
        <v>42012</v>
      </c>
      <c r="AX9" s="6">
        <v>42012</v>
      </c>
      <c r="AY9" s="6">
        <v>43473</v>
      </c>
    </row>
    <row r="10" spans="1:51" x14ac:dyDescent="0.3">
      <c r="A10" t="s">
        <v>22</v>
      </c>
      <c r="B10" s="5" t="s">
        <v>8485</v>
      </c>
      <c r="C10" t="s">
        <v>607</v>
      </c>
      <c r="D10" s="5" t="s">
        <v>8303</v>
      </c>
      <c r="E10" t="s">
        <v>562</v>
      </c>
      <c r="F10" s="10" t="s">
        <v>65</v>
      </c>
      <c r="G10" t="s">
        <v>66</v>
      </c>
      <c r="H10" t="s">
        <v>67</v>
      </c>
      <c r="I10" t="s">
        <v>764</v>
      </c>
      <c r="J10" t="s">
        <v>866</v>
      </c>
      <c r="K10" t="s">
        <v>1356</v>
      </c>
      <c r="M10" t="s">
        <v>1118</v>
      </c>
      <c r="Q10" t="s">
        <v>1428</v>
      </c>
      <c r="R10" t="s">
        <v>1513</v>
      </c>
      <c r="S10">
        <v>3072</v>
      </c>
      <c r="T10">
        <v>3003</v>
      </c>
      <c r="X10" s="6">
        <v>42058</v>
      </c>
      <c r="AA10" t="s">
        <v>3136</v>
      </c>
      <c r="AB10" t="s">
        <v>3159</v>
      </c>
      <c r="AI10">
        <v>2901</v>
      </c>
      <c r="AJ10" s="6">
        <v>43737</v>
      </c>
      <c r="AU10" s="5" t="s">
        <v>8255</v>
      </c>
      <c r="AV10" s="10" t="s">
        <v>456</v>
      </c>
      <c r="AW10" s="6">
        <v>42058</v>
      </c>
      <c r="AX10" s="6">
        <v>42013</v>
      </c>
      <c r="AY10" s="6">
        <v>43519</v>
      </c>
    </row>
    <row r="11" spans="1:51" x14ac:dyDescent="0.3">
      <c r="A11" t="s">
        <v>23</v>
      </c>
      <c r="B11" s="5" t="s">
        <v>8486</v>
      </c>
      <c r="C11" t="s">
        <v>608</v>
      </c>
      <c r="E11" t="s">
        <v>563</v>
      </c>
      <c r="F11" s="10" t="s">
        <v>68</v>
      </c>
      <c r="G11" t="s">
        <v>69</v>
      </c>
      <c r="H11" t="s">
        <v>67</v>
      </c>
      <c r="I11" t="s">
        <v>1367</v>
      </c>
      <c r="J11" t="s">
        <v>866</v>
      </c>
      <c r="K11" t="s">
        <v>1364</v>
      </c>
      <c r="M11" t="s">
        <v>1119</v>
      </c>
      <c r="Q11" t="s">
        <v>1429</v>
      </c>
      <c r="R11" t="s">
        <v>1514</v>
      </c>
      <c r="S11">
        <v>4573</v>
      </c>
      <c r="T11">
        <v>4573</v>
      </c>
      <c r="X11" s="6">
        <v>42071</v>
      </c>
      <c r="AA11" t="s">
        <v>3137</v>
      </c>
      <c r="AB11" t="s">
        <v>3160</v>
      </c>
      <c r="AI11">
        <v>4418</v>
      </c>
      <c r="AJ11" s="6">
        <v>43743</v>
      </c>
      <c r="AU11" t="s">
        <v>8255</v>
      </c>
      <c r="AV11" s="10" t="s">
        <v>456</v>
      </c>
      <c r="AW11" s="6">
        <v>42071</v>
      </c>
      <c r="AX11" s="6">
        <v>42058</v>
      </c>
      <c r="AY11" s="6">
        <v>43532</v>
      </c>
    </row>
    <row r="12" spans="1:51" x14ac:dyDescent="0.3">
      <c r="A12" t="s">
        <v>33</v>
      </c>
      <c r="C12" t="s">
        <v>609</v>
      </c>
      <c r="E12" t="s">
        <v>466</v>
      </c>
      <c r="F12" s="10" t="s">
        <v>70</v>
      </c>
      <c r="G12" t="s">
        <v>71</v>
      </c>
      <c r="H12" t="s">
        <v>62</v>
      </c>
      <c r="I12" t="s">
        <v>763</v>
      </c>
      <c r="J12" t="s">
        <v>865</v>
      </c>
      <c r="K12" t="s">
        <v>1355</v>
      </c>
      <c r="M12" t="s">
        <v>1120</v>
      </c>
      <c r="Q12" t="s">
        <v>1431</v>
      </c>
      <c r="R12" t="s">
        <v>1515</v>
      </c>
      <c r="S12" s="255" t="s">
        <v>1537</v>
      </c>
      <c r="T12" s="7" t="s">
        <v>1537</v>
      </c>
      <c r="X12" s="6">
        <v>42125</v>
      </c>
      <c r="AA12" t="s">
        <v>3138</v>
      </c>
      <c r="AB12" t="s">
        <v>3161</v>
      </c>
      <c r="AI12" s="7" t="s">
        <v>1537</v>
      </c>
      <c r="AJ12" s="6">
        <v>43744</v>
      </c>
      <c r="AU12" t="s">
        <v>8256</v>
      </c>
      <c r="AV12" s="10" t="s">
        <v>8280</v>
      </c>
      <c r="AW12" s="6">
        <v>42125</v>
      </c>
      <c r="AX12" s="6">
        <v>42071</v>
      </c>
      <c r="AY12" s="6">
        <v>43586</v>
      </c>
    </row>
    <row r="13" spans="1:51" x14ac:dyDescent="0.3">
      <c r="A13" t="s">
        <v>24</v>
      </c>
      <c r="E13" t="s">
        <v>204</v>
      </c>
      <c r="F13" s="10" t="s">
        <v>72</v>
      </c>
      <c r="G13" t="s">
        <v>73</v>
      </c>
      <c r="H13" t="s">
        <v>74</v>
      </c>
      <c r="I13" t="s">
        <v>1368</v>
      </c>
      <c r="J13" t="s">
        <v>867</v>
      </c>
      <c r="K13" t="s">
        <v>1357</v>
      </c>
      <c r="M13" t="s">
        <v>1250</v>
      </c>
      <c r="Q13" t="s">
        <v>1432</v>
      </c>
      <c r="R13" t="s">
        <v>1516</v>
      </c>
      <c r="S13">
        <v>4254</v>
      </c>
      <c r="T13">
        <v>4158</v>
      </c>
      <c r="X13" s="6">
        <v>42133</v>
      </c>
      <c r="AA13" t="s">
        <v>3141</v>
      </c>
      <c r="AB13" t="s">
        <v>3162</v>
      </c>
      <c r="AI13">
        <v>4017</v>
      </c>
      <c r="AJ13" s="6">
        <v>43750</v>
      </c>
      <c r="AU13" t="s">
        <v>8279</v>
      </c>
      <c r="AV13" s="10" t="s">
        <v>8280</v>
      </c>
      <c r="AW13" s="6">
        <v>42133</v>
      </c>
      <c r="AX13" s="6">
        <v>42072</v>
      </c>
      <c r="AY13" s="6">
        <v>43594</v>
      </c>
    </row>
    <row r="14" spans="1:51" x14ac:dyDescent="0.3">
      <c r="A14" t="s">
        <v>23</v>
      </c>
      <c r="C14" t="s">
        <v>17</v>
      </c>
      <c r="F14" s="10" t="s">
        <v>75</v>
      </c>
      <c r="G14" t="s">
        <v>60</v>
      </c>
      <c r="H14" t="s">
        <v>58</v>
      </c>
      <c r="I14" t="s">
        <v>1365</v>
      </c>
      <c r="J14" t="s">
        <v>864</v>
      </c>
      <c r="K14" t="s">
        <v>1362</v>
      </c>
      <c r="M14" t="s">
        <v>99</v>
      </c>
      <c r="Q14" t="s">
        <v>1433</v>
      </c>
      <c r="R14" s="99" t="s">
        <v>1517</v>
      </c>
      <c r="S14">
        <v>4643</v>
      </c>
      <c r="T14">
        <v>4643</v>
      </c>
      <c r="X14" s="6">
        <v>42167</v>
      </c>
      <c r="AA14" t="s">
        <v>3139</v>
      </c>
      <c r="AB14" t="s">
        <v>3163</v>
      </c>
      <c r="AI14">
        <v>4485</v>
      </c>
      <c r="AJ14" s="6">
        <v>43751</v>
      </c>
      <c r="AK14" s="99"/>
      <c r="AU14" t="s">
        <v>8256</v>
      </c>
      <c r="AV14" s="10" t="s">
        <v>456</v>
      </c>
      <c r="AW14" s="6">
        <v>42167</v>
      </c>
      <c r="AX14" s="6">
        <v>42125</v>
      </c>
      <c r="AY14" s="6">
        <v>43628</v>
      </c>
    </row>
    <row r="15" spans="1:51" x14ac:dyDescent="0.3">
      <c r="A15" t="s">
        <v>25</v>
      </c>
      <c r="C15" t="s">
        <v>18</v>
      </c>
      <c r="F15" s="10" t="s">
        <v>76</v>
      </c>
      <c r="G15" t="s">
        <v>77</v>
      </c>
      <c r="H15" t="s">
        <v>62</v>
      </c>
      <c r="I15" t="s">
        <v>1366</v>
      </c>
      <c r="J15" t="s">
        <v>865</v>
      </c>
      <c r="K15" t="s">
        <v>1363</v>
      </c>
      <c r="M15" t="s">
        <v>2861</v>
      </c>
      <c r="Q15" t="s">
        <v>1434</v>
      </c>
      <c r="R15" t="s">
        <v>1540</v>
      </c>
      <c r="S15">
        <v>4653</v>
      </c>
      <c r="T15">
        <v>4547</v>
      </c>
      <c r="X15" s="6">
        <v>42312</v>
      </c>
      <c r="AA15" t="s">
        <v>3142</v>
      </c>
      <c r="AB15" t="s">
        <v>3164</v>
      </c>
      <c r="AI15">
        <v>4393</v>
      </c>
      <c r="AJ15" s="6">
        <v>43757</v>
      </c>
      <c r="AU15" t="s">
        <v>8257</v>
      </c>
      <c r="AV15" s="10" t="s">
        <v>8280</v>
      </c>
      <c r="AW15" s="6">
        <v>42312</v>
      </c>
      <c r="AX15" s="6">
        <v>42128</v>
      </c>
      <c r="AY15" s="6">
        <v>43773</v>
      </c>
    </row>
    <row r="16" spans="1:51" x14ac:dyDescent="0.3">
      <c r="A16" t="s">
        <v>26</v>
      </c>
      <c r="C16" t="s">
        <v>19</v>
      </c>
      <c r="F16" s="10" t="s">
        <v>78</v>
      </c>
      <c r="G16" t="s">
        <v>79</v>
      </c>
      <c r="H16" t="s">
        <v>80</v>
      </c>
      <c r="I16" t="s">
        <v>79</v>
      </c>
      <c r="J16" t="s">
        <v>868</v>
      </c>
      <c r="K16" t="s">
        <v>1358</v>
      </c>
      <c r="M16" t="s">
        <v>98</v>
      </c>
      <c r="Q16" t="s">
        <v>1435</v>
      </c>
      <c r="R16" t="s">
        <v>1541</v>
      </c>
      <c r="S16" s="255" t="s">
        <v>1537</v>
      </c>
      <c r="T16" s="7" t="s">
        <v>1537</v>
      </c>
      <c r="X16" s="6">
        <v>42370</v>
      </c>
      <c r="AA16" t="s">
        <v>1351</v>
      </c>
      <c r="AB16" t="s">
        <v>3165</v>
      </c>
      <c r="AI16">
        <v>6695</v>
      </c>
      <c r="AJ16" s="6">
        <v>43758</v>
      </c>
      <c r="AU16" t="s">
        <v>8254</v>
      </c>
      <c r="AV16" s="10" t="s">
        <v>456</v>
      </c>
      <c r="AW16" s="6">
        <v>42370</v>
      </c>
      <c r="AX16" s="6">
        <v>42133</v>
      </c>
      <c r="AY16" s="6">
        <v>43831</v>
      </c>
    </row>
    <row r="17" spans="1:51" x14ac:dyDescent="0.3">
      <c r="A17" s="8" t="s">
        <v>34</v>
      </c>
      <c r="F17" s="10" t="s">
        <v>1705</v>
      </c>
      <c r="G17" t="s">
        <v>82</v>
      </c>
      <c r="H17" t="s">
        <v>83</v>
      </c>
      <c r="I17" t="s">
        <v>82</v>
      </c>
      <c r="J17" t="s">
        <v>869</v>
      </c>
      <c r="K17" t="s">
        <v>869</v>
      </c>
      <c r="M17" t="s">
        <v>1251</v>
      </c>
      <c r="Q17" t="s">
        <v>1436</v>
      </c>
      <c r="R17" t="s">
        <v>1542</v>
      </c>
      <c r="S17">
        <v>3638</v>
      </c>
      <c r="T17">
        <v>3556</v>
      </c>
      <c r="X17" s="6">
        <v>42371</v>
      </c>
      <c r="AA17" t="s">
        <v>3140</v>
      </c>
      <c r="AB17" t="s">
        <v>3166</v>
      </c>
      <c r="AI17">
        <v>3435</v>
      </c>
      <c r="AJ17" s="6">
        <v>43764</v>
      </c>
      <c r="AU17" t="s">
        <v>8258</v>
      </c>
      <c r="AV17" s="10" t="s">
        <v>456</v>
      </c>
      <c r="AW17" s="6">
        <v>42371</v>
      </c>
      <c r="AX17" s="6">
        <v>42135</v>
      </c>
      <c r="AY17" s="6">
        <v>43832</v>
      </c>
    </row>
    <row r="18" spans="1:51" x14ac:dyDescent="0.3">
      <c r="A18" s="99" t="s">
        <v>835</v>
      </c>
      <c r="C18" t="s">
        <v>660</v>
      </c>
      <c r="D18" t="s">
        <v>7361</v>
      </c>
      <c r="F18" t="s">
        <v>1704</v>
      </c>
      <c r="G18" t="s">
        <v>84</v>
      </c>
      <c r="H18" t="s">
        <v>85</v>
      </c>
      <c r="I18" t="s">
        <v>84</v>
      </c>
      <c r="J18" t="s">
        <v>870</v>
      </c>
      <c r="K18" t="s">
        <v>870</v>
      </c>
      <c r="M18" t="s">
        <v>4951</v>
      </c>
      <c r="Q18" t="s">
        <v>1437</v>
      </c>
      <c r="R18" t="s">
        <v>1543</v>
      </c>
      <c r="S18">
        <v>6150</v>
      </c>
      <c r="T18">
        <v>6150</v>
      </c>
      <c r="X18" s="6">
        <v>42372</v>
      </c>
      <c r="AA18" s="5"/>
      <c r="AI18">
        <v>5942</v>
      </c>
      <c r="AJ18" s="6">
        <v>43765</v>
      </c>
      <c r="AU18" t="s">
        <v>80</v>
      </c>
      <c r="AV18" s="10" t="s">
        <v>78</v>
      </c>
      <c r="AW18" s="6">
        <v>42372</v>
      </c>
      <c r="AX18" s="6">
        <v>42167</v>
      </c>
      <c r="AY18" s="6">
        <v>43833</v>
      </c>
    </row>
    <row r="19" spans="1:51" x14ac:dyDescent="0.3">
      <c r="A19" t="s">
        <v>38</v>
      </c>
      <c r="C19" t="s">
        <v>1243</v>
      </c>
      <c r="D19" t="s">
        <v>7362</v>
      </c>
      <c r="F19" t="s">
        <v>1702</v>
      </c>
      <c r="G19" t="s">
        <v>86</v>
      </c>
      <c r="H19" t="s">
        <v>87</v>
      </c>
      <c r="I19" t="s">
        <v>86</v>
      </c>
      <c r="J19" t="s">
        <v>871</v>
      </c>
      <c r="K19" t="s">
        <v>871</v>
      </c>
      <c r="Q19" t="s">
        <v>1438</v>
      </c>
      <c r="R19" t="s">
        <v>1539</v>
      </c>
      <c r="S19">
        <v>11167</v>
      </c>
      <c r="T19">
        <v>10914</v>
      </c>
      <c r="X19" s="6">
        <v>42373</v>
      </c>
      <c r="AA19" s="5"/>
      <c r="AI19">
        <v>10544</v>
      </c>
      <c r="AJ19" s="6">
        <v>43771</v>
      </c>
      <c r="AU19" t="s">
        <v>83</v>
      </c>
      <c r="AV19" s="10" t="s">
        <v>1248</v>
      </c>
      <c r="AW19" s="6">
        <v>42373</v>
      </c>
      <c r="AX19" s="6">
        <v>42312</v>
      </c>
      <c r="AY19" s="6">
        <v>43834</v>
      </c>
    </row>
    <row r="20" spans="1:51" x14ac:dyDescent="0.3">
      <c r="A20" t="s">
        <v>39</v>
      </c>
      <c r="C20" t="s">
        <v>1244</v>
      </c>
      <c r="F20" t="s">
        <v>1703</v>
      </c>
      <c r="G20" t="s">
        <v>88</v>
      </c>
      <c r="H20" t="s">
        <v>89</v>
      </c>
      <c r="I20" t="s">
        <v>88</v>
      </c>
      <c r="J20" t="s">
        <v>872</v>
      </c>
      <c r="K20" t="s">
        <v>872</v>
      </c>
      <c r="Q20" t="s">
        <v>1439</v>
      </c>
      <c r="R20" t="s">
        <v>1544</v>
      </c>
      <c r="S20">
        <v>5197</v>
      </c>
      <c r="T20">
        <v>5197</v>
      </c>
      <c r="X20" s="6">
        <v>42374</v>
      </c>
      <c r="AI20">
        <v>5021</v>
      </c>
      <c r="AJ20" s="6">
        <v>43772</v>
      </c>
      <c r="AU20" t="s">
        <v>8301</v>
      </c>
      <c r="AV20" s="10" t="s">
        <v>1248</v>
      </c>
      <c r="AW20" s="6">
        <v>42374</v>
      </c>
      <c r="AX20" s="6">
        <v>42370</v>
      </c>
      <c r="AY20" s="6">
        <v>43835</v>
      </c>
    </row>
    <row r="21" spans="1:51" x14ac:dyDescent="0.3">
      <c r="A21" t="s">
        <v>107</v>
      </c>
      <c r="C21" t="s">
        <v>3047</v>
      </c>
      <c r="F21" t="s">
        <v>1116</v>
      </c>
      <c r="G21" t="s">
        <v>90</v>
      </c>
      <c r="H21" t="s">
        <v>91</v>
      </c>
      <c r="I21" t="s">
        <v>90</v>
      </c>
      <c r="J21" t="s">
        <v>873</v>
      </c>
      <c r="K21" t="s">
        <v>873</v>
      </c>
      <c r="Q21" t="s">
        <v>1440</v>
      </c>
      <c r="R21" t="s">
        <v>1545</v>
      </c>
      <c r="S21">
        <v>3559</v>
      </c>
      <c r="T21">
        <v>3478</v>
      </c>
      <c r="X21" s="6">
        <v>42375</v>
      </c>
      <c r="AI21">
        <v>3360</v>
      </c>
      <c r="AJ21" s="6">
        <v>43773</v>
      </c>
      <c r="AU21" t="s">
        <v>85</v>
      </c>
      <c r="AV21" t="s">
        <v>1704</v>
      </c>
      <c r="AW21" s="6">
        <v>42375</v>
      </c>
      <c r="AX21" s="6">
        <v>42371</v>
      </c>
      <c r="AY21" s="6">
        <v>43836</v>
      </c>
    </row>
    <row r="22" spans="1:51" x14ac:dyDescent="0.3">
      <c r="A22" t="s">
        <v>108</v>
      </c>
      <c r="C22" t="s">
        <v>1858</v>
      </c>
      <c r="F22" t="s">
        <v>1117</v>
      </c>
      <c r="G22" t="s">
        <v>4954</v>
      </c>
      <c r="H22" t="s">
        <v>4954</v>
      </c>
      <c r="I22" t="s">
        <v>4955</v>
      </c>
      <c r="J22" t="s">
        <v>4956</v>
      </c>
      <c r="K22" t="s">
        <v>4956</v>
      </c>
      <c r="Q22" t="s">
        <v>1441</v>
      </c>
      <c r="R22" t="s">
        <v>1546</v>
      </c>
      <c r="S22">
        <v>2302</v>
      </c>
      <c r="T22">
        <v>2302</v>
      </c>
      <c r="X22" s="6">
        <v>42376</v>
      </c>
      <c r="AI22">
        <v>2224</v>
      </c>
      <c r="AJ22" s="6">
        <v>43778</v>
      </c>
      <c r="AU22" t="s">
        <v>87</v>
      </c>
      <c r="AV22" t="s">
        <v>1702</v>
      </c>
      <c r="AW22" s="6">
        <v>42376</v>
      </c>
      <c r="AX22" s="6">
        <v>42372</v>
      </c>
      <c r="AY22" s="6">
        <v>43837</v>
      </c>
    </row>
    <row r="23" spans="1:51" x14ac:dyDescent="0.3">
      <c r="F23" t="s">
        <v>1118</v>
      </c>
      <c r="G23" t="s">
        <v>92</v>
      </c>
      <c r="H23" t="s">
        <v>93</v>
      </c>
      <c r="I23" t="s">
        <v>92</v>
      </c>
      <c r="J23" t="s">
        <v>874</v>
      </c>
      <c r="K23" t="s">
        <v>874</v>
      </c>
      <c r="Q23" t="s">
        <v>1442</v>
      </c>
      <c r="R23" t="s">
        <v>1547</v>
      </c>
      <c r="S23">
        <v>5717</v>
      </c>
      <c r="T23">
        <v>5717</v>
      </c>
      <c r="X23" s="6">
        <v>42377</v>
      </c>
      <c r="AI23">
        <v>5523</v>
      </c>
      <c r="AJ23" s="6">
        <v>43779</v>
      </c>
      <c r="AU23" t="s">
        <v>89</v>
      </c>
      <c r="AV23" t="s">
        <v>1703</v>
      </c>
      <c r="AW23" s="6">
        <v>42377</v>
      </c>
      <c r="AX23" s="6">
        <v>42373</v>
      </c>
      <c r="AY23" s="6">
        <v>43838</v>
      </c>
    </row>
    <row r="24" spans="1:51" x14ac:dyDescent="0.3">
      <c r="A24" t="s">
        <v>111</v>
      </c>
      <c r="F24" t="s">
        <v>1119</v>
      </c>
      <c r="G24" t="s">
        <v>94</v>
      </c>
      <c r="H24" t="s">
        <v>95</v>
      </c>
      <c r="I24" t="s">
        <v>94</v>
      </c>
      <c r="J24" t="s">
        <v>875</v>
      </c>
      <c r="K24" t="s">
        <v>875</v>
      </c>
      <c r="Q24" t="s">
        <v>1443</v>
      </c>
      <c r="R24" t="s">
        <v>1548</v>
      </c>
      <c r="S24">
        <v>4909</v>
      </c>
      <c r="T24">
        <v>4797</v>
      </c>
      <c r="X24" s="6">
        <v>42423</v>
      </c>
      <c r="AA24" s="5"/>
      <c r="AI24">
        <v>4635</v>
      </c>
      <c r="AJ24" s="6">
        <v>43785</v>
      </c>
      <c r="AU24" t="s">
        <v>91</v>
      </c>
      <c r="AV24" t="s">
        <v>1116</v>
      </c>
      <c r="AW24" s="6">
        <v>42423</v>
      </c>
      <c r="AX24" s="6">
        <v>42374</v>
      </c>
      <c r="AY24" s="6">
        <v>43885</v>
      </c>
    </row>
    <row r="25" spans="1:51" x14ac:dyDescent="0.3">
      <c r="A25" t="s">
        <v>2859</v>
      </c>
      <c r="F25" t="s">
        <v>1120</v>
      </c>
      <c r="G25" t="s">
        <v>96</v>
      </c>
      <c r="H25" t="s">
        <v>97</v>
      </c>
      <c r="I25" t="s">
        <v>96</v>
      </c>
      <c r="J25" t="s">
        <v>876</v>
      </c>
      <c r="K25" t="s">
        <v>876</v>
      </c>
      <c r="Q25" t="s">
        <v>1444</v>
      </c>
      <c r="R25" t="s">
        <v>1549</v>
      </c>
      <c r="S25">
        <v>5141</v>
      </c>
      <c r="T25">
        <v>5024</v>
      </c>
      <c r="X25" s="6">
        <v>42437</v>
      </c>
      <c r="AI25">
        <v>4854</v>
      </c>
      <c r="AJ25" s="6">
        <v>43786</v>
      </c>
      <c r="AU25" t="s">
        <v>4954</v>
      </c>
      <c r="AV25" t="s">
        <v>1117</v>
      </c>
      <c r="AW25" s="6">
        <v>42437</v>
      </c>
      <c r="AX25" s="6">
        <v>42375</v>
      </c>
      <c r="AY25" s="6">
        <v>43899</v>
      </c>
    </row>
    <row r="26" spans="1:51" x14ac:dyDescent="0.3">
      <c r="A26" t="s">
        <v>4</v>
      </c>
      <c r="F26" t="s">
        <v>98</v>
      </c>
      <c r="G26" t="s">
        <v>1350</v>
      </c>
      <c r="H26" t="s">
        <v>1351</v>
      </c>
      <c r="I26" t="s">
        <v>1350</v>
      </c>
      <c r="J26" t="s">
        <v>1352</v>
      </c>
      <c r="K26" t="s">
        <v>1359</v>
      </c>
      <c r="Q26" t="s">
        <v>1445</v>
      </c>
      <c r="R26" t="s">
        <v>1550</v>
      </c>
      <c r="S26">
        <v>3545</v>
      </c>
      <c r="T26">
        <v>3465</v>
      </c>
      <c r="X26" s="6">
        <v>42491</v>
      </c>
      <c r="AI26">
        <v>3347</v>
      </c>
      <c r="AJ26" s="6">
        <v>43792</v>
      </c>
      <c r="AU26" t="s">
        <v>93</v>
      </c>
      <c r="AV26" t="s">
        <v>1118</v>
      </c>
      <c r="AW26" s="6">
        <v>42491</v>
      </c>
      <c r="AX26" s="6">
        <v>42376</v>
      </c>
      <c r="AY26" s="6">
        <v>43920</v>
      </c>
    </row>
    <row r="27" spans="1:51" x14ac:dyDescent="0.3">
      <c r="A27" s="5" t="s">
        <v>2860</v>
      </c>
      <c r="F27" t="s">
        <v>99</v>
      </c>
      <c r="G27" t="s">
        <v>100</v>
      </c>
      <c r="H27" t="s">
        <v>101</v>
      </c>
      <c r="I27" t="s">
        <v>100</v>
      </c>
      <c r="J27" t="s">
        <v>877</v>
      </c>
      <c r="K27" t="s">
        <v>877</v>
      </c>
      <c r="Q27" t="s">
        <v>1446</v>
      </c>
      <c r="R27" t="s">
        <v>1551</v>
      </c>
      <c r="S27">
        <v>4158</v>
      </c>
      <c r="T27">
        <v>4158</v>
      </c>
      <c r="X27" s="6">
        <v>42499</v>
      </c>
      <c r="AI27">
        <v>4017</v>
      </c>
      <c r="AJ27" s="6">
        <v>43793</v>
      </c>
      <c r="AU27" t="s">
        <v>95</v>
      </c>
      <c r="AV27" t="s">
        <v>1119</v>
      </c>
      <c r="AW27" s="6">
        <v>42499</v>
      </c>
      <c r="AX27" s="6">
        <v>42377</v>
      </c>
      <c r="AY27" s="6">
        <v>43921</v>
      </c>
    </row>
    <row r="28" spans="1:51" x14ac:dyDescent="0.3">
      <c r="A28" s="5" t="s">
        <v>904</v>
      </c>
      <c r="F28" t="s">
        <v>102</v>
      </c>
      <c r="G28" t="s">
        <v>110</v>
      </c>
      <c r="H28" t="s">
        <v>110</v>
      </c>
      <c r="I28" t="s">
        <v>110</v>
      </c>
      <c r="K28" t="s">
        <v>1360</v>
      </c>
      <c r="Q28" t="s">
        <v>1447</v>
      </c>
      <c r="R28" t="s">
        <v>1552</v>
      </c>
      <c r="S28">
        <v>3204</v>
      </c>
      <c r="T28">
        <v>3131</v>
      </c>
      <c r="X28" s="6">
        <v>42533</v>
      </c>
      <c r="AI28">
        <v>3025</v>
      </c>
      <c r="AJ28" s="6">
        <v>43799</v>
      </c>
      <c r="AU28" t="s">
        <v>97</v>
      </c>
      <c r="AV28" t="s">
        <v>1120</v>
      </c>
      <c r="AW28" s="6">
        <v>42533</v>
      </c>
      <c r="AX28" s="6">
        <v>42422</v>
      </c>
      <c r="AY28" s="6">
        <v>43922</v>
      </c>
    </row>
    <row r="29" spans="1:51" x14ac:dyDescent="0.3">
      <c r="A29" s="5" t="s">
        <v>3033</v>
      </c>
      <c r="B29" s="61" t="s">
        <v>3034</v>
      </c>
      <c r="F29" t="s">
        <v>103</v>
      </c>
      <c r="G29" t="s">
        <v>104</v>
      </c>
      <c r="H29" t="s">
        <v>105</v>
      </c>
      <c r="I29" t="s">
        <v>104</v>
      </c>
      <c r="K29" t="s">
        <v>105</v>
      </c>
      <c r="Q29" s="5" t="s">
        <v>1448</v>
      </c>
      <c r="R29" s="5" t="s">
        <v>1553</v>
      </c>
      <c r="S29">
        <v>6323</v>
      </c>
      <c r="T29">
        <v>6323</v>
      </c>
      <c r="X29" s="6">
        <v>42678</v>
      </c>
      <c r="AI29">
        <v>6109</v>
      </c>
      <c r="AJ29" s="6">
        <v>43800</v>
      </c>
      <c r="AK29" s="5"/>
      <c r="AU29" t="s">
        <v>1351</v>
      </c>
      <c r="AV29" t="s">
        <v>98</v>
      </c>
      <c r="AW29" s="6">
        <v>42678</v>
      </c>
      <c r="AX29" s="6">
        <v>42423</v>
      </c>
      <c r="AY29" s="6">
        <v>43923</v>
      </c>
    </row>
    <row r="30" spans="1:51" ht="15" thickBot="1" x14ac:dyDescent="0.35">
      <c r="A30" t="s">
        <v>112</v>
      </c>
      <c r="F30" t="s">
        <v>1099</v>
      </c>
      <c r="G30" t="s">
        <v>1100</v>
      </c>
      <c r="H30" t="s">
        <v>1101</v>
      </c>
      <c r="I30" t="s">
        <v>1100</v>
      </c>
      <c r="J30" t="s">
        <v>1102</v>
      </c>
      <c r="K30" t="s">
        <v>1361</v>
      </c>
      <c r="Q30" t="s">
        <v>1449</v>
      </c>
      <c r="R30" t="s">
        <v>1554</v>
      </c>
      <c r="S30" s="255" t="s">
        <v>1537</v>
      </c>
      <c r="T30" s="7" t="s">
        <v>1537</v>
      </c>
      <c r="X30" s="6">
        <v>42736</v>
      </c>
      <c r="AI30" s="7" t="s">
        <v>1537</v>
      </c>
      <c r="AJ30" s="6">
        <v>43806</v>
      </c>
      <c r="AU30" t="s">
        <v>101</v>
      </c>
      <c r="AV30" t="s">
        <v>99</v>
      </c>
      <c r="AW30" s="6">
        <v>42736</v>
      </c>
      <c r="AX30" s="6">
        <v>42436</v>
      </c>
      <c r="AY30" s="6">
        <v>43924</v>
      </c>
    </row>
    <row r="31" spans="1:51" s="5" customFormat="1" ht="15.6" thickTop="1" thickBot="1" x14ac:dyDescent="0.35">
      <c r="A31" s="44" t="s">
        <v>552</v>
      </c>
      <c r="B31" s="44" t="s">
        <v>555</v>
      </c>
      <c r="F31" s="5" t="s">
        <v>1642</v>
      </c>
      <c r="G31" s="5" t="s">
        <v>3058</v>
      </c>
      <c r="H31" s="5" t="s">
        <v>1644</v>
      </c>
      <c r="I31" s="5" t="s">
        <v>1646</v>
      </c>
      <c r="J31" s="5" t="s">
        <v>1648</v>
      </c>
      <c r="M31"/>
      <c r="Q31" t="s">
        <v>1430</v>
      </c>
      <c r="R31" t="s">
        <v>1503</v>
      </c>
      <c r="S31">
        <v>5710</v>
      </c>
      <c r="T31" s="5">
        <v>5710</v>
      </c>
      <c r="X31" s="6">
        <v>42737</v>
      </c>
      <c r="Y31"/>
      <c r="AA31"/>
      <c r="AI31" s="5">
        <v>5516</v>
      </c>
      <c r="AJ31" s="351">
        <v>43807</v>
      </c>
      <c r="AK31"/>
      <c r="AL31"/>
      <c r="AM31"/>
      <c r="AU31" t="s">
        <v>110</v>
      </c>
      <c r="AV31" t="s">
        <v>102</v>
      </c>
      <c r="AW31" s="6">
        <v>42737</v>
      </c>
      <c r="AX31" s="6">
        <v>42437</v>
      </c>
      <c r="AY31" s="6">
        <v>43925</v>
      </c>
    </row>
    <row r="32" spans="1:51" ht="15" thickTop="1" x14ac:dyDescent="0.3">
      <c r="A32" t="s">
        <v>130</v>
      </c>
      <c r="D32" t="s">
        <v>1255</v>
      </c>
      <c r="F32" s="5" t="s">
        <v>1643</v>
      </c>
      <c r="G32" s="5" t="s">
        <v>3059</v>
      </c>
      <c r="H32" s="5" t="s">
        <v>1645</v>
      </c>
      <c r="I32" s="5" t="s">
        <v>1647</v>
      </c>
      <c r="J32" s="5" t="s">
        <v>1649</v>
      </c>
      <c r="M32" s="5"/>
      <c r="Q32" t="s">
        <v>1450</v>
      </c>
      <c r="R32" t="s">
        <v>1555</v>
      </c>
      <c r="S32">
        <v>5710</v>
      </c>
      <c r="T32">
        <v>5710</v>
      </c>
      <c r="X32" s="6">
        <v>42738</v>
      </c>
      <c r="Y32" s="5"/>
      <c r="AI32" s="5">
        <v>5516</v>
      </c>
      <c r="AJ32" s="6">
        <v>43813</v>
      </c>
      <c r="AL32" s="5"/>
      <c r="AM32" s="5"/>
      <c r="AU32" t="s">
        <v>8261</v>
      </c>
      <c r="AV32" t="s">
        <v>102</v>
      </c>
      <c r="AW32" s="6">
        <v>42738</v>
      </c>
      <c r="AX32" s="6">
        <v>42491</v>
      </c>
      <c r="AY32" s="6">
        <v>43926</v>
      </c>
    </row>
    <row r="33" spans="1:51" x14ac:dyDescent="0.3">
      <c r="A33" t="s">
        <v>833</v>
      </c>
      <c r="D33" t="s">
        <v>1256</v>
      </c>
      <c r="F33" t="s">
        <v>2861</v>
      </c>
      <c r="G33" t="s">
        <v>2862</v>
      </c>
      <c r="H33" t="s">
        <v>2863</v>
      </c>
      <c r="I33" t="s">
        <v>2862</v>
      </c>
      <c r="J33" t="s">
        <v>2864</v>
      </c>
      <c r="K33" t="s">
        <v>2864</v>
      </c>
      <c r="Q33" t="s">
        <v>1451</v>
      </c>
      <c r="R33" t="s">
        <v>1556</v>
      </c>
      <c r="S33">
        <v>4303</v>
      </c>
      <c r="T33">
        <v>4205</v>
      </c>
      <c r="X33" s="6">
        <v>42739</v>
      </c>
      <c r="AI33" s="5">
        <v>4062</v>
      </c>
      <c r="AJ33" s="6">
        <v>43814</v>
      </c>
      <c r="AU33" t="s">
        <v>104</v>
      </c>
      <c r="AV33" t="s">
        <v>103</v>
      </c>
      <c r="AW33" s="6">
        <v>42739</v>
      </c>
      <c r="AX33" s="6">
        <v>42492</v>
      </c>
      <c r="AY33" s="6">
        <v>43927</v>
      </c>
    </row>
    <row r="34" spans="1:51" x14ac:dyDescent="0.3">
      <c r="A34" t="s">
        <v>131</v>
      </c>
      <c r="F34" t="s">
        <v>4951</v>
      </c>
      <c r="G34" t="s">
        <v>4966</v>
      </c>
      <c r="H34" t="s">
        <v>4966</v>
      </c>
      <c r="I34" t="s">
        <v>4967</v>
      </c>
      <c r="J34" t="s">
        <v>4968</v>
      </c>
      <c r="K34" t="s">
        <v>4968</v>
      </c>
      <c r="Q34" t="s">
        <v>1452</v>
      </c>
      <c r="R34" t="s">
        <v>1557</v>
      </c>
      <c r="S34" s="255" t="s">
        <v>1537</v>
      </c>
      <c r="T34" s="7" t="s">
        <v>1537</v>
      </c>
      <c r="X34" s="6">
        <v>42740</v>
      </c>
      <c r="AI34" s="7" t="s">
        <v>1537</v>
      </c>
      <c r="AJ34" s="6">
        <v>43820</v>
      </c>
      <c r="AU34" t="s">
        <v>1101</v>
      </c>
      <c r="AV34" t="s">
        <v>1099</v>
      </c>
      <c r="AW34" s="6">
        <v>42740</v>
      </c>
      <c r="AX34" s="6">
        <v>42493</v>
      </c>
      <c r="AY34" s="6">
        <v>43928</v>
      </c>
    </row>
    <row r="35" spans="1:51" x14ac:dyDescent="0.3">
      <c r="A35" t="s">
        <v>132</v>
      </c>
      <c r="Q35" t="s">
        <v>1453</v>
      </c>
      <c r="R35" t="s">
        <v>1558</v>
      </c>
      <c r="S35">
        <v>3756</v>
      </c>
      <c r="T35">
        <v>3756</v>
      </c>
      <c r="X35" s="6">
        <v>42741</v>
      </c>
      <c r="AI35">
        <v>3629</v>
      </c>
      <c r="AJ35" s="6">
        <v>43821</v>
      </c>
      <c r="AU35" s="5" t="s">
        <v>8259</v>
      </c>
      <c r="AV35" s="5" t="s">
        <v>8262</v>
      </c>
      <c r="AW35" s="6">
        <v>42741</v>
      </c>
      <c r="AX35" s="6">
        <v>42499</v>
      </c>
      <c r="AY35" s="6">
        <v>43929</v>
      </c>
    </row>
    <row r="36" spans="1:51" x14ac:dyDescent="0.3">
      <c r="A36" t="s">
        <v>553</v>
      </c>
      <c r="Q36" s="5" t="s">
        <v>1454</v>
      </c>
      <c r="R36" s="5" t="s">
        <v>1561</v>
      </c>
      <c r="S36">
        <v>2127</v>
      </c>
      <c r="T36">
        <v>2079</v>
      </c>
      <c r="X36" s="6">
        <v>42742</v>
      </c>
      <c r="AI36">
        <v>2008</v>
      </c>
      <c r="AJ36" s="6">
        <v>43827</v>
      </c>
      <c r="AK36" s="5"/>
      <c r="AU36" s="5" t="s">
        <v>8260</v>
      </c>
      <c r="AV36" s="5" t="s">
        <v>8263</v>
      </c>
      <c r="AW36" s="6">
        <v>42742</v>
      </c>
      <c r="AX36" s="6">
        <v>42533</v>
      </c>
      <c r="AY36" s="6">
        <v>43930</v>
      </c>
    </row>
    <row r="37" spans="1:51" s="5" customFormat="1" x14ac:dyDescent="0.3">
      <c r="A37" s="5" t="s">
        <v>133</v>
      </c>
      <c r="M37"/>
      <c r="Q37" t="s">
        <v>1455</v>
      </c>
      <c r="R37" t="s">
        <v>1559</v>
      </c>
      <c r="S37" s="5">
        <v>3635</v>
      </c>
      <c r="T37" s="5">
        <v>3553</v>
      </c>
      <c r="X37" s="6">
        <v>42743</v>
      </c>
      <c r="Y37"/>
      <c r="AA37"/>
      <c r="AI37" s="5">
        <v>3433</v>
      </c>
      <c r="AJ37" s="351">
        <v>43828</v>
      </c>
      <c r="AK37"/>
      <c r="AL37"/>
      <c r="AM37"/>
      <c r="AU37" t="s">
        <v>2863</v>
      </c>
      <c r="AV37" t="s">
        <v>2861</v>
      </c>
      <c r="AW37" s="6">
        <v>42743</v>
      </c>
      <c r="AX37" s="6">
        <v>42534</v>
      </c>
      <c r="AY37" s="6">
        <v>43931</v>
      </c>
    </row>
    <row r="38" spans="1:51" x14ac:dyDescent="0.3">
      <c r="A38" s="5" t="s">
        <v>134</v>
      </c>
      <c r="M38" s="5"/>
      <c r="Q38" t="s">
        <v>1456</v>
      </c>
      <c r="R38" t="s">
        <v>1560</v>
      </c>
      <c r="S38" s="5">
        <v>3629</v>
      </c>
      <c r="T38">
        <v>3546</v>
      </c>
      <c r="X38" s="6">
        <v>42789</v>
      </c>
      <c r="Y38" s="5"/>
      <c r="AI38" s="5">
        <v>3426</v>
      </c>
      <c r="AJ38" s="6">
        <v>43831</v>
      </c>
      <c r="AL38" s="5"/>
      <c r="AM38" s="5"/>
      <c r="AU38" t="s">
        <v>4966</v>
      </c>
      <c r="AV38" t="s">
        <v>4951</v>
      </c>
      <c r="AW38" s="6">
        <v>42789</v>
      </c>
      <c r="AX38" s="6">
        <v>42678</v>
      </c>
      <c r="AY38" s="6">
        <v>43932</v>
      </c>
    </row>
    <row r="39" spans="1:51" x14ac:dyDescent="0.3">
      <c r="A39" s="5" t="s">
        <v>1264</v>
      </c>
      <c r="Q39" t="s">
        <v>1457</v>
      </c>
      <c r="R39" t="s">
        <v>1562</v>
      </c>
      <c r="S39">
        <v>3638</v>
      </c>
      <c r="T39">
        <v>3638</v>
      </c>
      <c r="X39" s="6">
        <v>42802</v>
      </c>
      <c r="AI39">
        <v>3515</v>
      </c>
      <c r="AJ39" s="6">
        <v>43832</v>
      </c>
      <c r="AU39" t="s">
        <v>8275</v>
      </c>
      <c r="AV39" t="s">
        <v>8276</v>
      </c>
      <c r="AW39" s="6">
        <v>42802</v>
      </c>
      <c r="AX39" s="6">
        <v>42736</v>
      </c>
      <c r="AY39" s="6">
        <v>43933</v>
      </c>
    </row>
    <row r="40" spans="1:51" x14ac:dyDescent="0.3">
      <c r="A40" s="5" t="s">
        <v>135</v>
      </c>
      <c r="Q40" t="s">
        <v>1458</v>
      </c>
      <c r="R40" t="s">
        <v>1563</v>
      </c>
      <c r="S40">
        <v>5977</v>
      </c>
      <c r="T40">
        <v>5977</v>
      </c>
      <c r="X40" s="6">
        <v>42856</v>
      </c>
      <c r="AI40">
        <v>5774</v>
      </c>
      <c r="AJ40" s="6">
        <v>43833</v>
      </c>
      <c r="AU40" t="s">
        <v>8345</v>
      </c>
      <c r="AV40" t="s">
        <v>8276</v>
      </c>
      <c r="AW40" s="6">
        <v>42856</v>
      </c>
      <c r="AX40" s="6">
        <v>42737</v>
      </c>
      <c r="AY40" s="6">
        <v>43934</v>
      </c>
    </row>
    <row r="41" spans="1:51" x14ac:dyDescent="0.3">
      <c r="A41" s="5" t="s">
        <v>136</v>
      </c>
      <c r="B41" t="s">
        <v>857</v>
      </c>
      <c r="Q41" t="s">
        <v>1459</v>
      </c>
      <c r="R41" t="s">
        <v>1564</v>
      </c>
      <c r="S41">
        <v>3307</v>
      </c>
      <c r="T41">
        <v>3307</v>
      </c>
      <c r="X41" s="6">
        <v>42864</v>
      </c>
      <c r="AI41">
        <v>3195</v>
      </c>
      <c r="AJ41" s="6">
        <v>43834</v>
      </c>
      <c r="AU41" t="s">
        <v>8319</v>
      </c>
      <c r="AV41" t="s">
        <v>8320</v>
      </c>
      <c r="AW41" s="6">
        <v>42864</v>
      </c>
      <c r="AX41" s="6">
        <v>42738</v>
      </c>
      <c r="AY41" s="6">
        <v>43935</v>
      </c>
    </row>
    <row r="42" spans="1:51" x14ac:dyDescent="0.3">
      <c r="A42" s="5" t="s">
        <v>137</v>
      </c>
      <c r="B42" s="259" t="s">
        <v>1650</v>
      </c>
      <c r="C42" t="s">
        <v>1651</v>
      </c>
      <c r="Q42" t="s">
        <v>1460</v>
      </c>
      <c r="R42" t="s">
        <v>897</v>
      </c>
      <c r="S42">
        <v>3018</v>
      </c>
      <c r="T42">
        <v>3018</v>
      </c>
      <c r="X42" s="6">
        <v>42898</v>
      </c>
      <c r="AI42">
        <v>2916</v>
      </c>
      <c r="AJ42" s="6">
        <v>43835</v>
      </c>
      <c r="AU42" s="5"/>
      <c r="AV42" s="5"/>
      <c r="AW42" s="6">
        <v>42898</v>
      </c>
      <c r="AX42" s="6">
        <v>42739</v>
      </c>
      <c r="AY42" s="6">
        <v>43936</v>
      </c>
    </row>
    <row r="43" spans="1:51" x14ac:dyDescent="0.3">
      <c r="A43" s="5" t="s">
        <v>554</v>
      </c>
      <c r="B43" s="61" t="s">
        <v>3147</v>
      </c>
      <c r="C43" s="273" t="s">
        <v>4928</v>
      </c>
      <c r="Q43" t="s">
        <v>1461</v>
      </c>
      <c r="R43" t="s">
        <v>1565</v>
      </c>
      <c r="S43">
        <v>9678</v>
      </c>
      <c r="T43">
        <v>9459</v>
      </c>
      <c r="X43" s="6">
        <v>43043</v>
      </c>
      <c r="AI43">
        <v>9138</v>
      </c>
      <c r="AJ43" s="6">
        <v>43836</v>
      </c>
      <c r="AW43" s="6">
        <v>43043</v>
      </c>
      <c r="AX43" s="6">
        <v>42740</v>
      </c>
      <c r="AY43" s="6">
        <v>43937</v>
      </c>
    </row>
    <row r="44" spans="1:51" x14ac:dyDescent="0.3">
      <c r="A44" s="5" t="s">
        <v>138</v>
      </c>
      <c r="Q44" t="s">
        <v>1462</v>
      </c>
      <c r="R44" t="s">
        <v>1566</v>
      </c>
      <c r="S44">
        <v>4886</v>
      </c>
      <c r="T44">
        <v>4775</v>
      </c>
      <c r="X44" s="6">
        <v>43101</v>
      </c>
      <c r="AI44">
        <v>4613</v>
      </c>
      <c r="AJ44" s="6">
        <v>43837</v>
      </c>
      <c r="AW44" s="6">
        <v>43101</v>
      </c>
      <c r="AX44" s="6">
        <v>42741</v>
      </c>
      <c r="AY44" s="6">
        <v>43938</v>
      </c>
    </row>
    <row r="45" spans="1:51" x14ac:dyDescent="0.3">
      <c r="A45" s="5" t="s">
        <v>139</v>
      </c>
      <c r="Q45" t="s">
        <v>1463</v>
      </c>
      <c r="R45" t="s">
        <v>1143</v>
      </c>
      <c r="S45">
        <v>5318</v>
      </c>
      <c r="T45">
        <v>5197</v>
      </c>
      <c r="X45" s="6">
        <v>43102</v>
      </c>
      <c r="AI45">
        <v>5021</v>
      </c>
      <c r="AJ45" s="6">
        <v>43838</v>
      </c>
      <c r="AW45" s="6">
        <v>43102</v>
      </c>
      <c r="AX45" s="6">
        <v>42742</v>
      </c>
      <c r="AY45" s="6">
        <v>43939</v>
      </c>
    </row>
    <row r="46" spans="1:51" x14ac:dyDescent="0.3">
      <c r="A46" s="5" t="s">
        <v>834</v>
      </c>
      <c r="Q46" t="s">
        <v>1464</v>
      </c>
      <c r="R46" t="s">
        <v>1567</v>
      </c>
      <c r="S46">
        <v>2304</v>
      </c>
      <c r="T46">
        <v>2252</v>
      </c>
      <c r="X46" s="6">
        <v>43103</v>
      </c>
      <c r="AI46">
        <v>2176</v>
      </c>
      <c r="AJ46" s="6">
        <v>44176</v>
      </c>
      <c r="AW46" s="6">
        <v>43103</v>
      </c>
      <c r="AX46" s="6">
        <v>42743</v>
      </c>
      <c r="AY46" s="6">
        <v>43940</v>
      </c>
    </row>
    <row r="47" spans="1:51" x14ac:dyDescent="0.3">
      <c r="A47" s="5" t="s">
        <v>140</v>
      </c>
      <c r="Q47" t="s">
        <v>1465</v>
      </c>
      <c r="R47" t="s">
        <v>1568</v>
      </c>
      <c r="S47">
        <v>3670</v>
      </c>
      <c r="T47">
        <v>3670</v>
      </c>
      <c r="X47" s="6">
        <v>43104</v>
      </c>
      <c r="AI47">
        <v>3546</v>
      </c>
      <c r="AJ47" s="6">
        <v>44177</v>
      </c>
      <c r="AW47" s="6">
        <v>43104</v>
      </c>
      <c r="AX47" s="6">
        <v>42789</v>
      </c>
      <c r="AY47" s="6">
        <v>43941</v>
      </c>
    </row>
    <row r="48" spans="1:51" x14ac:dyDescent="0.3">
      <c r="A48" s="5" t="s">
        <v>141</v>
      </c>
      <c r="Q48" t="s">
        <v>1466</v>
      </c>
      <c r="R48" t="s">
        <v>1569</v>
      </c>
      <c r="S48">
        <v>3671</v>
      </c>
      <c r="T48">
        <v>3587</v>
      </c>
      <c r="X48" s="6">
        <v>43105</v>
      </c>
      <c r="AI48">
        <v>3466</v>
      </c>
      <c r="AJ48" s="6">
        <v>43848</v>
      </c>
      <c r="AW48" s="6">
        <v>43105</v>
      </c>
      <c r="AX48" s="6">
        <v>42790</v>
      </c>
      <c r="AY48" s="6">
        <v>43942</v>
      </c>
    </row>
    <row r="49" spans="1:51" x14ac:dyDescent="0.3">
      <c r="A49" s="5" t="s">
        <v>145</v>
      </c>
      <c r="Q49" t="s">
        <v>1467</v>
      </c>
      <c r="R49" t="s">
        <v>1570</v>
      </c>
      <c r="S49">
        <v>6132</v>
      </c>
      <c r="T49">
        <v>6132</v>
      </c>
      <c r="X49" s="6">
        <v>43106</v>
      </c>
      <c r="AI49">
        <v>5925</v>
      </c>
      <c r="AJ49" s="6">
        <v>43849</v>
      </c>
      <c r="AW49" s="6">
        <v>43106</v>
      </c>
      <c r="AX49" s="6">
        <v>42802</v>
      </c>
      <c r="AY49" s="6">
        <v>43943</v>
      </c>
    </row>
    <row r="50" spans="1:51" x14ac:dyDescent="0.3">
      <c r="A50" s="5" t="s">
        <v>146</v>
      </c>
      <c r="Q50" t="s">
        <v>1468</v>
      </c>
      <c r="R50" t="s">
        <v>1571</v>
      </c>
      <c r="S50">
        <v>3638</v>
      </c>
      <c r="T50">
        <v>3638</v>
      </c>
      <c r="X50" s="6">
        <v>43107</v>
      </c>
      <c r="AI50">
        <v>3515</v>
      </c>
      <c r="AJ50" s="6">
        <v>43855</v>
      </c>
      <c r="AW50" s="6">
        <v>43107</v>
      </c>
      <c r="AX50" s="6">
        <v>42856</v>
      </c>
      <c r="AY50" s="6">
        <v>43944</v>
      </c>
    </row>
    <row r="51" spans="1:51" x14ac:dyDescent="0.3">
      <c r="A51" s="45" t="s">
        <v>568</v>
      </c>
      <c r="Q51" t="s">
        <v>1469</v>
      </c>
      <c r="R51" t="s">
        <v>1572</v>
      </c>
      <c r="S51">
        <v>3191</v>
      </c>
      <c r="T51">
        <v>3118</v>
      </c>
      <c r="X51" s="6">
        <v>43108</v>
      </c>
      <c r="AI51">
        <v>3013</v>
      </c>
      <c r="AJ51" s="6">
        <v>43856</v>
      </c>
      <c r="AW51" s="6">
        <v>43108</v>
      </c>
      <c r="AX51" s="6">
        <v>42863</v>
      </c>
      <c r="AY51" s="6">
        <v>43945</v>
      </c>
    </row>
    <row r="52" spans="1:51" x14ac:dyDescent="0.3">
      <c r="A52" s="5" t="s">
        <v>565</v>
      </c>
      <c r="B52" s="5" t="s">
        <v>858</v>
      </c>
      <c r="Q52" t="s">
        <v>1470</v>
      </c>
      <c r="R52" t="s">
        <v>1573</v>
      </c>
      <c r="S52">
        <v>2309</v>
      </c>
      <c r="T52">
        <v>2257</v>
      </c>
      <c r="X52" s="6">
        <v>43154</v>
      </c>
      <c r="AI52">
        <v>2181</v>
      </c>
      <c r="AJ52" s="6">
        <v>43862</v>
      </c>
      <c r="AW52" s="6">
        <v>43154</v>
      </c>
      <c r="AX52" s="6">
        <v>42864</v>
      </c>
      <c r="AY52" s="6">
        <v>43946</v>
      </c>
    </row>
    <row r="53" spans="1:51" x14ac:dyDescent="0.3">
      <c r="A53" s="5" t="s">
        <v>566</v>
      </c>
      <c r="B53" s="63" t="s">
        <v>1725</v>
      </c>
      <c r="Q53" t="s">
        <v>1471</v>
      </c>
      <c r="R53" t="s">
        <v>1574</v>
      </c>
      <c r="S53" s="255" t="s">
        <v>1537</v>
      </c>
      <c r="T53" s="7" t="s">
        <v>1537</v>
      </c>
      <c r="X53" s="6">
        <v>43167</v>
      </c>
      <c r="AI53">
        <v>6918</v>
      </c>
      <c r="AJ53" s="6">
        <v>43863</v>
      </c>
      <c r="AW53" s="6">
        <v>43167</v>
      </c>
      <c r="AX53" s="6">
        <v>42898</v>
      </c>
      <c r="AY53" s="6">
        <v>43947</v>
      </c>
    </row>
    <row r="54" spans="1:51" x14ac:dyDescent="0.3">
      <c r="A54" s="5" t="s">
        <v>567</v>
      </c>
      <c r="B54" s="273" t="s">
        <v>8306</v>
      </c>
      <c r="C54" s="61" t="s">
        <v>8307</v>
      </c>
      <c r="Q54" t="s">
        <v>1472</v>
      </c>
      <c r="R54" t="s">
        <v>1575</v>
      </c>
      <c r="S54">
        <v>4847</v>
      </c>
      <c r="T54">
        <v>4737</v>
      </c>
      <c r="X54" s="6">
        <v>43221</v>
      </c>
      <c r="AI54">
        <v>4576</v>
      </c>
      <c r="AJ54" s="6">
        <v>43869</v>
      </c>
      <c r="AW54" s="6">
        <v>43221</v>
      </c>
      <c r="AX54" s="6">
        <v>43043</v>
      </c>
      <c r="AY54" s="6">
        <v>43948</v>
      </c>
    </row>
    <row r="55" spans="1:51" x14ac:dyDescent="0.3">
      <c r="A55" s="5" t="s">
        <v>598</v>
      </c>
      <c r="B55" s="61" t="s">
        <v>4965</v>
      </c>
      <c r="Q55" t="s">
        <v>1473</v>
      </c>
      <c r="R55" t="s">
        <v>1576</v>
      </c>
      <c r="S55">
        <v>3984</v>
      </c>
      <c r="T55">
        <v>3984</v>
      </c>
      <c r="X55" s="6">
        <v>43229</v>
      </c>
      <c r="AI55">
        <v>3849</v>
      </c>
      <c r="AJ55" s="6">
        <v>43870</v>
      </c>
      <c r="AW55" s="6">
        <v>43229</v>
      </c>
      <c r="AX55" s="6">
        <v>43045</v>
      </c>
      <c r="AY55" s="6">
        <v>43949</v>
      </c>
    </row>
    <row r="56" spans="1:51" x14ac:dyDescent="0.3">
      <c r="A56" s="45" t="s">
        <v>569</v>
      </c>
      <c r="Q56" t="s">
        <v>1474</v>
      </c>
      <c r="R56" t="s">
        <v>1577</v>
      </c>
      <c r="S56" s="255" t="s">
        <v>1537</v>
      </c>
      <c r="T56" s="7" t="s">
        <v>1537</v>
      </c>
      <c r="X56" s="6">
        <v>43263</v>
      </c>
      <c r="AI56">
        <v>8703</v>
      </c>
      <c r="AJ56" s="6">
        <v>43876</v>
      </c>
      <c r="AW56" s="6">
        <v>43263</v>
      </c>
      <c r="AX56" s="6">
        <v>43101</v>
      </c>
      <c r="AY56" s="6">
        <v>43950</v>
      </c>
    </row>
    <row r="57" spans="1:51" x14ac:dyDescent="0.3">
      <c r="A57" s="5" t="s">
        <v>570</v>
      </c>
      <c r="Q57" t="s">
        <v>1475</v>
      </c>
      <c r="R57" t="s">
        <v>1578</v>
      </c>
      <c r="S57">
        <v>3191</v>
      </c>
      <c r="T57">
        <v>3118</v>
      </c>
      <c r="X57" s="6">
        <v>43408</v>
      </c>
      <c r="AI57">
        <v>3013</v>
      </c>
      <c r="AJ57" s="6">
        <v>43877</v>
      </c>
      <c r="AW57" s="6">
        <v>43408</v>
      </c>
      <c r="AX57" s="6">
        <v>43102</v>
      </c>
      <c r="AY57" s="6">
        <v>43951</v>
      </c>
    </row>
    <row r="58" spans="1:51" x14ac:dyDescent="0.3">
      <c r="A58" s="5" t="s">
        <v>571</v>
      </c>
      <c r="Q58" t="s">
        <v>1476</v>
      </c>
      <c r="R58" t="s">
        <v>1579</v>
      </c>
      <c r="S58">
        <v>6236</v>
      </c>
      <c r="T58">
        <v>6236</v>
      </c>
      <c r="X58" s="6">
        <v>43466</v>
      </c>
      <c r="AI58">
        <v>6025</v>
      </c>
      <c r="AJ58" s="6">
        <v>43883</v>
      </c>
      <c r="AW58" s="6">
        <v>43466</v>
      </c>
      <c r="AX58" s="6">
        <v>43103</v>
      </c>
      <c r="AY58" s="6">
        <v>43952</v>
      </c>
    </row>
    <row r="59" spans="1:51" x14ac:dyDescent="0.3">
      <c r="A59" s="45" t="s">
        <v>572</v>
      </c>
      <c r="B59" s="58" t="s">
        <v>758</v>
      </c>
      <c r="Q59" t="s">
        <v>1538</v>
      </c>
      <c r="R59" t="s">
        <v>1580</v>
      </c>
      <c r="S59">
        <v>4009</v>
      </c>
      <c r="T59">
        <v>4009</v>
      </c>
      <c r="X59" s="6">
        <v>43467</v>
      </c>
      <c r="AI59">
        <v>3873</v>
      </c>
      <c r="AJ59" s="6">
        <v>43884</v>
      </c>
      <c r="AW59" s="6">
        <v>43467</v>
      </c>
      <c r="AX59" s="6">
        <v>43104</v>
      </c>
      <c r="AY59" s="6">
        <v>43955</v>
      </c>
    </row>
    <row r="60" spans="1:51" x14ac:dyDescent="0.3">
      <c r="A60" s="5" t="s">
        <v>639</v>
      </c>
      <c r="B60" t="s">
        <v>679</v>
      </c>
      <c r="C60" t="s">
        <v>5195</v>
      </c>
      <c r="Q60" t="s">
        <v>1477</v>
      </c>
      <c r="R60" t="s">
        <v>1581</v>
      </c>
      <c r="S60">
        <v>3722</v>
      </c>
      <c r="T60">
        <v>3638</v>
      </c>
      <c r="X60" s="6">
        <v>43468</v>
      </c>
      <c r="AI60">
        <v>3515</v>
      </c>
      <c r="AJ60" s="6">
        <v>43885</v>
      </c>
      <c r="AW60" s="6">
        <v>43468</v>
      </c>
      <c r="AX60" s="6">
        <v>43105</v>
      </c>
      <c r="AY60" s="6">
        <v>43956</v>
      </c>
    </row>
    <row r="61" spans="1:51" x14ac:dyDescent="0.3">
      <c r="A61" s="5" t="s">
        <v>574</v>
      </c>
      <c r="B61" t="s">
        <v>573</v>
      </c>
      <c r="Q61" t="s">
        <v>1478</v>
      </c>
      <c r="R61" t="s">
        <v>1582</v>
      </c>
      <c r="S61">
        <v>2659</v>
      </c>
      <c r="T61">
        <v>2599</v>
      </c>
      <c r="X61" s="6">
        <v>43469</v>
      </c>
      <c r="AI61">
        <v>2511</v>
      </c>
      <c r="AJ61" s="6">
        <v>43890</v>
      </c>
      <c r="AW61" s="6">
        <v>43469</v>
      </c>
      <c r="AX61" s="6">
        <v>43106</v>
      </c>
      <c r="AY61" s="6">
        <v>43957</v>
      </c>
    </row>
    <row r="62" spans="1:51" x14ac:dyDescent="0.3">
      <c r="A62" s="5" t="s">
        <v>637</v>
      </c>
      <c r="Q62" t="s">
        <v>1479</v>
      </c>
      <c r="R62" t="s">
        <v>1583</v>
      </c>
      <c r="S62">
        <v>5019</v>
      </c>
      <c r="T62">
        <v>4905</v>
      </c>
      <c r="X62" s="6">
        <v>43470</v>
      </c>
      <c r="AI62">
        <v>4739</v>
      </c>
      <c r="AJ62" s="6">
        <v>43891</v>
      </c>
      <c r="AW62" s="6">
        <v>43470</v>
      </c>
      <c r="AX62" s="6">
        <v>43107</v>
      </c>
      <c r="AY62" s="6">
        <v>43958</v>
      </c>
    </row>
    <row r="63" spans="1:51" x14ac:dyDescent="0.3">
      <c r="A63" s="5" t="s">
        <v>4</v>
      </c>
      <c r="Q63" t="s">
        <v>1480</v>
      </c>
      <c r="R63" t="s">
        <v>1584</v>
      </c>
      <c r="S63">
        <v>4793</v>
      </c>
      <c r="T63">
        <v>4793</v>
      </c>
      <c r="X63" s="6">
        <v>43471</v>
      </c>
      <c r="AI63">
        <v>4630</v>
      </c>
      <c r="AJ63" s="6">
        <v>43897</v>
      </c>
      <c r="AW63" s="6">
        <v>43471</v>
      </c>
      <c r="AX63" s="6">
        <v>43108</v>
      </c>
      <c r="AY63" s="6">
        <v>43959</v>
      </c>
    </row>
    <row r="64" spans="1:51" x14ac:dyDescent="0.3">
      <c r="A64" s="5" t="s">
        <v>638</v>
      </c>
      <c r="B64" t="s">
        <v>680</v>
      </c>
      <c r="C64" t="s">
        <v>5206</v>
      </c>
      <c r="Q64" t="s">
        <v>1481</v>
      </c>
      <c r="R64" t="s">
        <v>1585</v>
      </c>
      <c r="S64">
        <v>5803</v>
      </c>
      <c r="T64">
        <v>5803</v>
      </c>
      <c r="X64" s="6">
        <v>43472</v>
      </c>
      <c r="AI64">
        <v>5607</v>
      </c>
      <c r="AJ64" s="6">
        <v>43898</v>
      </c>
      <c r="AW64" s="6">
        <v>43472</v>
      </c>
      <c r="AX64" s="6">
        <v>43154</v>
      </c>
      <c r="AY64" s="6">
        <v>43960</v>
      </c>
    </row>
    <row r="65" spans="1:51" x14ac:dyDescent="0.3">
      <c r="A65" s="5" t="s">
        <v>575</v>
      </c>
      <c r="Q65" t="s">
        <v>1507</v>
      </c>
      <c r="R65" t="s">
        <v>1504</v>
      </c>
      <c r="S65">
        <v>3204</v>
      </c>
      <c r="T65">
        <v>3131</v>
      </c>
      <c r="X65" s="6">
        <v>43473</v>
      </c>
      <c r="AI65">
        <v>3025</v>
      </c>
      <c r="AJ65" s="6">
        <v>43899</v>
      </c>
      <c r="AW65" s="6">
        <v>43473</v>
      </c>
      <c r="AX65" s="6">
        <v>43167</v>
      </c>
      <c r="AY65" s="6">
        <v>43962</v>
      </c>
    </row>
    <row r="66" spans="1:51" x14ac:dyDescent="0.3">
      <c r="A66" s="5" t="s">
        <v>576</v>
      </c>
      <c r="Q66" t="s">
        <v>1482</v>
      </c>
      <c r="R66" t="s">
        <v>1586</v>
      </c>
      <c r="S66">
        <v>5197</v>
      </c>
      <c r="T66">
        <v>5197</v>
      </c>
      <c r="X66" s="6">
        <v>43519</v>
      </c>
      <c r="AI66">
        <v>5021</v>
      </c>
      <c r="AJ66" s="6">
        <v>43904</v>
      </c>
      <c r="AW66" s="6">
        <v>43519</v>
      </c>
      <c r="AX66" s="6">
        <v>43168</v>
      </c>
      <c r="AY66" s="6">
        <v>43994</v>
      </c>
    </row>
    <row r="67" spans="1:51" x14ac:dyDescent="0.3">
      <c r="A67" s="5" t="s">
        <v>646</v>
      </c>
      <c r="Q67" t="s">
        <v>1483</v>
      </c>
      <c r="R67" t="s">
        <v>1587</v>
      </c>
      <c r="S67">
        <v>5318</v>
      </c>
      <c r="T67">
        <v>5197</v>
      </c>
      <c r="X67" s="6">
        <v>43532</v>
      </c>
      <c r="AI67">
        <v>5021</v>
      </c>
      <c r="AJ67" s="6">
        <v>43905</v>
      </c>
      <c r="AW67" s="6">
        <v>43532</v>
      </c>
      <c r="AX67" s="6">
        <v>43220</v>
      </c>
      <c r="AY67" s="6">
        <v>44006</v>
      </c>
    </row>
    <row r="68" spans="1:51" x14ac:dyDescent="0.3">
      <c r="A68" s="5" t="s">
        <v>647</v>
      </c>
      <c r="B68" t="s">
        <v>1252</v>
      </c>
      <c r="Q68" t="s">
        <v>1484</v>
      </c>
      <c r="R68" t="s">
        <v>1588</v>
      </c>
      <c r="S68">
        <v>4645</v>
      </c>
      <c r="T68">
        <v>4540</v>
      </c>
      <c r="X68" s="6">
        <v>43586</v>
      </c>
      <c r="AI68">
        <v>4386</v>
      </c>
      <c r="AJ68" s="6">
        <v>43911</v>
      </c>
      <c r="AW68" s="6">
        <v>43586</v>
      </c>
      <c r="AX68" s="6">
        <v>43221</v>
      </c>
      <c r="AY68" s="6">
        <v>44013</v>
      </c>
    </row>
    <row r="69" spans="1:51" x14ac:dyDescent="0.3">
      <c r="A69" s="5" t="s">
        <v>130</v>
      </c>
      <c r="Q69" t="s">
        <v>1506</v>
      </c>
      <c r="R69" t="s">
        <v>1505</v>
      </c>
      <c r="S69">
        <v>3457</v>
      </c>
      <c r="T69">
        <v>3378</v>
      </c>
      <c r="X69" s="6">
        <v>43594</v>
      </c>
      <c r="AI69">
        <v>3264</v>
      </c>
      <c r="AJ69" s="6">
        <v>43912</v>
      </c>
      <c r="AW69" s="6">
        <v>43594</v>
      </c>
      <c r="AX69" s="6">
        <v>43222</v>
      </c>
      <c r="AY69" s="6">
        <v>44139</v>
      </c>
    </row>
    <row r="70" spans="1:51" x14ac:dyDescent="0.3">
      <c r="A70" s="5" t="s">
        <v>577</v>
      </c>
      <c r="Q70" t="s">
        <v>1485</v>
      </c>
      <c r="R70" t="s">
        <v>1589</v>
      </c>
      <c r="S70">
        <v>6132</v>
      </c>
      <c r="T70">
        <v>6132</v>
      </c>
      <c r="X70" s="6">
        <v>43628</v>
      </c>
      <c r="AI70">
        <v>5925</v>
      </c>
      <c r="AJ70" s="6">
        <v>43918</v>
      </c>
      <c r="AW70" s="6">
        <v>43628</v>
      </c>
      <c r="AX70" s="6">
        <v>43229</v>
      </c>
    </row>
    <row r="71" spans="1:51" x14ac:dyDescent="0.3">
      <c r="A71" s="5" t="s">
        <v>578</v>
      </c>
      <c r="Q71" t="s">
        <v>1486</v>
      </c>
      <c r="R71" t="s">
        <v>1590</v>
      </c>
      <c r="S71">
        <v>6236</v>
      </c>
      <c r="T71">
        <v>6236</v>
      </c>
      <c r="X71" s="6">
        <v>43773</v>
      </c>
      <c r="AI71">
        <v>6025</v>
      </c>
      <c r="AJ71" s="6">
        <v>43919</v>
      </c>
      <c r="AW71" s="6">
        <v>43773</v>
      </c>
      <c r="AX71" s="6">
        <v>43262</v>
      </c>
    </row>
    <row r="72" spans="1:51" x14ac:dyDescent="0.3">
      <c r="A72" s="5" t="s">
        <v>579</v>
      </c>
      <c r="Q72" t="s">
        <v>1487</v>
      </c>
      <c r="R72" t="s">
        <v>1591</v>
      </c>
      <c r="S72">
        <v>3786</v>
      </c>
      <c r="T72">
        <v>3786</v>
      </c>
      <c r="X72" s="6">
        <v>43831</v>
      </c>
      <c r="AI72">
        <v>3658</v>
      </c>
      <c r="AJ72" s="6">
        <v>43920</v>
      </c>
      <c r="AW72" s="6">
        <v>43831</v>
      </c>
      <c r="AX72" s="6">
        <v>43263</v>
      </c>
    </row>
    <row r="73" spans="1:51" x14ac:dyDescent="0.3">
      <c r="A73" s="45" t="s">
        <v>580</v>
      </c>
      <c r="Q73" t="s">
        <v>1488</v>
      </c>
      <c r="R73" t="s">
        <v>1592</v>
      </c>
      <c r="S73">
        <v>5197</v>
      </c>
      <c r="T73">
        <v>5197</v>
      </c>
      <c r="X73" s="6">
        <v>43832</v>
      </c>
      <c r="AI73">
        <v>5021</v>
      </c>
      <c r="AJ73" s="6">
        <v>43921</v>
      </c>
      <c r="AW73" s="6">
        <v>43832</v>
      </c>
      <c r="AX73" s="6">
        <v>43408</v>
      </c>
    </row>
    <row r="74" spans="1:51" x14ac:dyDescent="0.3">
      <c r="A74" s="5" t="s">
        <v>3153</v>
      </c>
      <c r="B74" t="s">
        <v>3145</v>
      </c>
      <c r="C74" t="s">
        <v>801</v>
      </c>
      <c r="D74" t="s">
        <v>5276</v>
      </c>
      <c r="Q74" t="s">
        <v>1489</v>
      </c>
      <c r="R74" t="s">
        <v>1593</v>
      </c>
      <c r="S74">
        <v>3571</v>
      </c>
      <c r="T74">
        <v>3489</v>
      </c>
      <c r="X74" s="6">
        <v>43833</v>
      </c>
      <c r="AI74">
        <v>3371</v>
      </c>
      <c r="AJ74" s="6">
        <v>43922</v>
      </c>
      <c r="AW74" s="6">
        <v>43833</v>
      </c>
      <c r="AX74" s="6">
        <v>43409</v>
      </c>
    </row>
    <row r="75" spans="1:51" x14ac:dyDescent="0.3">
      <c r="A75" s="5" t="s">
        <v>650</v>
      </c>
      <c r="Q75" t="s">
        <v>1490</v>
      </c>
      <c r="R75" t="s">
        <v>1594</v>
      </c>
      <c r="S75">
        <v>6266</v>
      </c>
      <c r="T75">
        <v>6266</v>
      </c>
      <c r="X75" s="6">
        <v>43834</v>
      </c>
      <c r="AI75">
        <v>6054</v>
      </c>
      <c r="AJ75" s="6">
        <v>43923</v>
      </c>
      <c r="AW75" s="6">
        <v>43834</v>
      </c>
      <c r="AX75" s="6">
        <v>43465</v>
      </c>
    </row>
    <row r="76" spans="1:51" x14ac:dyDescent="0.3">
      <c r="A76" s="5" t="s">
        <v>4</v>
      </c>
      <c r="Q76" t="s">
        <v>1491</v>
      </c>
      <c r="R76" t="s">
        <v>1595</v>
      </c>
      <c r="S76">
        <v>4389</v>
      </c>
      <c r="T76">
        <v>4290</v>
      </c>
      <c r="X76" s="6">
        <v>43835</v>
      </c>
      <c r="AI76">
        <v>4144</v>
      </c>
      <c r="AJ76" s="6">
        <v>43924</v>
      </c>
      <c r="AW76" s="6">
        <v>43835</v>
      </c>
      <c r="AX76" s="6">
        <v>43466</v>
      </c>
    </row>
    <row r="77" spans="1:51" x14ac:dyDescent="0.3">
      <c r="A77" s="45" t="s">
        <v>581</v>
      </c>
      <c r="Q77" t="s">
        <v>1492</v>
      </c>
      <c r="R77" t="s">
        <v>1596</v>
      </c>
      <c r="S77">
        <v>3846</v>
      </c>
      <c r="T77">
        <v>3846</v>
      </c>
      <c r="X77" s="6">
        <v>43836</v>
      </c>
      <c r="AI77">
        <v>3716</v>
      </c>
      <c r="AJ77" s="6">
        <v>43925</v>
      </c>
      <c r="AW77" s="6">
        <v>43836</v>
      </c>
      <c r="AX77" s="6">
        <v>43467</v>
      </c>
    </row>
    <row r="78" spans="1:51" x14ac:dyDescent="0.3">
      <c r="A78" s="5" t="s">
        <v>582</v>
      </c>
      <c r="Q78" t="s">
        <v>1493</v>
      </c>
      <c r="R78" t="s">
        <v>1597</v>
      </c>
      <c r="S78">
        <v>3415</v>
      </c>
      <c r="T78">
        <v>3415</v>
      </c>
      <c r="X78" s="6">
        <v>43837</v>
      </c>
      <c r="AI78">
        <v>3300</v>
      </c>
      <c r="AJ78" s="6">
        <v>43926</v>
      </c>
      <c r="AW78" s="6">
        <v>43837</v>
      </c>
      <c r="AX78" s="6">
        <v>43468</v>
      </c>
    </row>
    <row r="79" spans="1:51" x14ac:dyDescent="0.3">
      <c r="A79" s="5" t="s">
        <v>573</v>
      </c>
      <c r="Q79" t="s">
        <v>1494</v>
      </c>
      <c r="R79" t="s">
        <v>1598</v>
      </c>
      <c r="S79">
        <v>6204</v>
      </c>
      <c r="T79">
        <v>6063</v>
      </c>
      <c r="X79" s="6">
        <v>43838</v>
      </c>
      <c r="AI79">
        <v>5858</v>
      </c>
      <c r="AJ79" s="6">
        <v>43927</v>
      </c>
      <c r="AW79" s="6">
        <v>43838</v>
      </c>
      <c r="AX79" s="6">
        <v>43469</v>
      </c>
    </row>
    <row r="80" spans="1:51" x14ac:dyDescent="0.3">
      <c r="A80" s="5" t="s">
        <v>5210</v>
      </c>
      <c r="Q80" t="s">
        <v>1495</v>
      </c>
      <c r="R80" t="s">
        <v>1599</v>
      </c>
      <c r="S80">
        <v>6333</v>
      </c>
      <c r="T80">
        <v>6190</v>
      </c>
      <c r="X80" s="6">
        <v>43885</v>
      </c>
      <c r="AI80">
        <v>5980</v>
      </c>
      <c r="AJ80" s="6">
        <v>43928</v>
      </c>
      <c r="AW80" s="6">
        <v>43884</v>
      </c>
      <c r="AX80" s="6">
        <v>43470</v>
      </c>
    </row>
    <row r="81" spans="1:50" x14ac:dyDescent="0.3">
      <c r="A81" s="5" t="s">
        <v>583</v>
      </c>
      <c r="Q81" t="s">
        <v>1496</v>
      </c>
      <c r="R81" t="s">
        <v>1600</v>
      </c>
      <c r="S81">
        <v>5587</v>
      </c>
      <c r="T81">
        <v>5461</v>
      </c>
      <c r="X81" s="6">
        <v>43899</v>
      </c>
      <c r="AI81">
        <v>5276</v>
      </c>
      <c r="AJ81" s="6">
        <v>43929</v>
      </c>
      <c r="AM81" s="6"/>
      <c r="AW81" s="6">
        <v>43898</v>
      </c>
      <c r="AX81" s="6">
        <v>43471</v>
      </c>
    </row>
    <row r="82" spans="1:50" x14ac:dyDescent="0.3">
      <c r="A82" s="5" t="s">
        <v>5248</v>
      </c>
      <c r="B82" s="61" t="s">
        <v>5209</v>
      </c>
      <c r="C82" s="61" t="s">
        <v>5211</v>
      </c>
      <c r="Q82" t="s">
        <v>1497</v>
      </c>
      <c r="R82" t="s">
        <v>1601</v>
      </c>
      <c r="S82">
        <v>6106</v>
      </c>
      <c r="T82">
        <v>6106</v>
      </c>
      <c r="X82" s="6">
        <v>43920</v>
      </c>
      <c r="AI82">
        <v>5900</v>
      </c>
      <c r="AJ82" s="6">
        <v>43930</v>
      </c>
      <c r="AW82" s="6">
        <v>43952</v>
      </c>
      <c r="AX82" s="6">
        <v>43472</v>
      </c>
    </row>
    <row r="83" spans="1:50" x14ac:dyDescent="0.3">
      <c r="A83" s="5" t="s">
        <v>5247</v>
      </c>
      <c r="B83" s="61" t="s">
        <v>1874</v>
      </c>
      <c r="C83" s="61" t="s">
        <v>5249</v>
      </c>
      <c r="D83" s="61" t="s">
        <v>1875</v>
      </c>
      <c r="Q83" t="s">
        <v>1498</v>
      </c>
      <c r="R83" t="s">
        <v>1602</v>
      </c>
      <c r="S83">
        <v>4188</v>
      </c>
      <c r="T83">
        <v>4188</v>
      </c>
      <c r="X83" s="6">
        <v>43921</v>
      </c>
      <c r="AI83">
        <v>4046</v>
      </c>
      <c r="AJ83" s="6">
        <v>43931</v>
      </c>
      <c r="AW83" s="6">
        <v>43960</v>
      </c>
      <c r="AX83" s="6">
        <v>43473</v>
      </c>
    </row>
    <row r="84" spans="1:50" x14ac:dyDescent="0.3">
      <c r="A84" s="45" t="s">
        <v>584</v>
      </c>
      <c r="Q84" t="s">
        <v>1499</v>
      </c>
      <c r="R84" t="s">
        <v>1603</v>
      </c>
      <c r="S84" s="255" t="s">
        <v>1537</v>
      </c>
      <c r="T84" s="7" t="s">
        <v>1537</v>
      </c>
      <c r="X84" s="6">
        <v>43922</v>
      </c>
      <c r="AI84" s="7" t="s">
        <v>1537</v>
      </c>
      <c r="AJ84" s="6">
        <v>43932</v>
      </c>
      <c r="AW84" s="6">
        <v>43994</v>
      </c>
      <c r="AX84" s="6">
        <v>43519</v>
      </c>
    </row>
    <row r="85" spans="1:50" x14ac:dyDescent="0.3">
      <c r="A85" s="5" t="s">
        <v>664</v>
      </c>
      <c r="Q85" t="s">
        <v>1500</v>
      </c>
      <c r="R85" t="s">
        <v>1604</v>
      </c>
      <c r="S85">
        <v>2393</v>
      </c>
      <c r="T85">
        <v>2339</v>
      </c>
      <c r="X85" s="6">
        <v>43923</v>
      </c>
      <c r="AI85">
        <v>2259</v>
      </c>
      <c r="AJ85" s="6">
        <v>43933</v>
      </c>
      <c r="AW85" s="6">
        <v>44139</v>
      </c>
      <c r="AX85" s="6">
        <v>43532</v>
      </c>
    </row>
    <row r="86" spans="1:50" x14ac:dyDescent="0.3">
      <c r="A86" s="5" t="s">
        <v>585</v>
      </c>
      <c r="Q86" t="s">
        <v>1501</v>
      </c>
      <c r="R86" t="s">
        <v>1605</v>
      </c>
      <c r="S86">
        <v>5912</v>
      </c>
      <c r="T86">
        <v>5912</v>
      </c>
      <c r="X86" s="6">
        <v>43924</v>
      </c>
      <c r="AI86">
        <v>5711</v>
      </c>
      <c r="AJ86" s="6">
        <v>43934</v>
      </c>
      <c r="AW86" s="6">
        <v>44197</v>
      </c>
      <c r="AX86" s="6">
        <v>43586</v>
      </c>
    </row>
    <row r="87" spans="1:50" x14ac:dyDescent="0.3">
      <c r="A87" s="5" t="s">
        <v>586</v>
      </c>
      <c r="S87" s="6">
        <v>43647</v>
      </c>
      <c r="T87" s="6">
        <v>43504</v>
      </c>
      <c r="X87" s="6">
        <v>43925</v>
      </c>
      <c r="AI87" s="6">
        <v>43298</v>
      </c>
      <c r="AJ87" s="6">
        <v>43935</v>
      </c>
      <c r="AW87" s="6">
        <v>44198</v>
      </c>
      <c r="AX87" s="6">
        <v>43587</v>
      </c>
    </row>
    <row r="88" spans="1:50" x14ac:dyDescent="0.3">
      <c r="A88" s="5" t="s">
        <v>587</v>
      </c>
      <c r="S88" s="395" t="s">
        <v>5239</v>
      </c>
      <c r="T88" s="370" t="s">
        <v>3850</v>
      </c>
      <c r="X88" s="6">
        <v>43926</v>
      </c>
      <c r="AI88" s="395" t="s">
        <v>5238</v>
      </c>
      <c r="AJ88" s="6">
        <v>43936</v>
      </c>
      <c r="AW88" s="6">
        <v>44199</v>
      </c>
      <c r="AX88" s="6">
        <v>43588</v>
      </c>
    </row>
    <row r="89" spans="1:50" x14ac:dyDescent="0.3">
      <c r="A89" s="5" t="s">
        <v>588</v>
      </c>
      <c r="X89" s="6">
        <v>43927</v>
      </c>
      <c r="AJ89" s="6">
        <v>43937</v>
      </c>
      <c r="AW89" s="6">
        <v>44200</v>
      </c>
      <c r="AX89" s="6">
        <v>43594</v>
      </c>
    </row>
    <row r="90" spans="1:50" x14ac:dyDescent="0.3">
      <c r="A90" s="45" t="s">
        <v>665</v>
      </c>
      <c r="X90" s="6">
        <v>43928</v>
      </c>
      <c r="AJ90" s="6">
        <v>43938</v>
      </c>
      <c r="AW90" s="6">
        <v>44201</v>
      </c>
      <c r="AX90" s="6">
        <v>43595</v>
      </c>
    </row>
    <row r="91" spans="1:50" x14ac:dyDescent="0.3">
      <c r="A91" s="5" t="s">
        <v>765</v>
      </c>
      <c r="B91" s="61" t="s">
        <v>699</v>
      </c>
      <c r="C91" s="61" t="s">
        <v>700</v>
      </c>
      <c r="D91" s="61" t="s">
        <v>701</v>
      </c>
      <c r="E91" s="99" t="s">
        <v>573</v>
      </c>
      <c r="X91" s="6">
        <v>43929</v>
      </c>
      <c r="AJ91" s="6">
        <v>43939</v>
      </c>
      <c r="AW91" s="6">
        <v>44202</v>
      </c>
      <c r="AX91" s="6">
        <v>43628</v>
      </c>
    </row>
    <row r="92" spans="1:50" x14ac:dyDescent="0.3">
      <c r="A92" s="5" t="s">
        <v>591</v>
      </c>
      <c r="B92" s="58" t="s">
        <v>1911</v>
      </c>
      <c r="F92" s="58" t="s">
        <v>1287</v>
      </c>
      <c r="G92" s="58" t="s">
        <v>1928</v>
      </c>
      <c r="H92" s="58" t="s">
        <v>8125</v>
      </c>
      <c r="X92" s="6">
        <v>43930</v>
      </c>
      <c r="AJ92" s="6">
        <v>43940</v>
      </c>
      <c r="AW92" s="6">
        <v>44203</v>
      </c>
      <c r="AX92" s="6">
        <v>43773</v>
      </c>
    </row>
    <row r="93" spans="1:50" x14ac:dyDescent="0.3">
      <c r="A93" s="5" t="s">
        <v>592</v>
      </c>
      <c r="B93" s="61" t="s">
        <v>1910</v>
      </c>
      <c r="C93" s="61" t="s">
        <v>1912</v>
      </c>
      <c r="D93" s="61" t="s">
        <v>1913</v>
      </c>
      <c r="E93" s="61" t="s">
        <v>1914</v>
      </c>
      <c r="F93" s="273" t="s">
        <v>1915</v>
      </c>
      <c r="G93" s="61" t="s">
        <v>1929</v>
      </c>
      <c r="H93" s="273" t="s">
        <v>1912</v>
      </c>
      <c r="I93" s="273" t="s">
        <v>8126</v>
      </c>
      <c r="J93" s="273" t="s">
        <v>8127</v>
      </c>
      <c r="X93" s="6">
        <v>43931</v>
      </c>
      <c r="AJ93" s="6">
        <v>43941</v>
      </c>
      <c r="AW93" s="6">
        <v>44204</v>
      </c>
      <c r="AX93" s="6">
        <v>43831</v>
      </c>
    </row>
    <row r="94" spans="1:50" x14ac:dyDescent="0.3">
      <c r="A94" s="45" t="s">
        <v>589</v>
      </c>
      <c r="X94" s="6">
        <v>43932</v>
      </c>
      <c r="AJ94" s="6">
        <v>43942</v>
      </c>
      <c r="AW94" s="6">
        <v>44250</v>
      </c>
      <c r="AX94" s="6">
        <v>43832</v>
      </c>
    </row>
    <row r="95" spans="1:50" x14ac:dyDescent="0.3">
      <c r="A95" s="5" t="s">
        <v>565</v>
      </c>
      <c r="X95" s="6">
        <v>43933</v>
      </c>
      <c r="AJ95" s="6">
        <v>43943</v>
      </c>
      <c r="AW95" s="6">
        <v>44263</v>
      </c>
      <c r="AX95" s="6">
        <v>43833</v>
      </c>
    </row>
    <row r="96" spans="1:50" x14ac:dyDescent="0.3">
      <c r="A96" s="5" t="s">
        <v>590</v>
      </c>
      <c r="X96" s="6">
        <v>43934</v>
      </c>
      <c r="AJ96" s="6">
        <v>43944</v>
      </c>
      <c r="AW96" s="6">
        <v>44317</v>
      </c>
      <c r="AX96" s="6">
        <v>43834</v>
      </c>
    </row>
    <row r="97" spans="1:50" x14ac:dyDescent="0.3">
      <c r="A97" s="45" t="s">
        <v>656</v>
      </c>
      <c r="X97" s="6">
        <v>43935</v>
      </c>
      <c r="AJ97" s="6">
        <v>43945</v>
      </c>
      <c r="AW97" s="6">
        <v>44325</v>
      </c>
      <c r="AX97" s="6">
        <v>43835</v>
      </c>
    </row>
    <row r="98" spans="1:50" x14ac:dyDescent="0.3">
      <c r="A98" s="5" t="s">
        <v>130</v>
      </c>
      <c r="X98" s="6">
        <v>43936</v>
      </c>
      <c r="AJ98" s="6">
        <v>43946</v>
      </c>
      <c r="AW98" s="6">
        <v>44359</v>
      </c>
      <c r="AX98" s="6">
        <v>43836</v>
      </c>
    </row>
    <row r="99" spans="1:50" x14ac:dyDescent="0.3">
      <c r="A99" s="5" t="s">
        <v>577</v>
      </c>
      <c r="X99" s="6">
        <v>43937</v>
      </c>
      <c r="AJ99" s="6">
        <v>43947</v>
      </c>
      <c r="AW99" s="6">
        <v>44504</v>
      </c>
      <c r="AX99" s="6">
        <v>43837</v>
      </c>
    </row>
    <row r="100" spans="1:50" x14ac:dyDescent="0.3">
      <c r="A100" s="5" t="s">
        <v>578</v>
      </c>
      <c r="X100" s="6">
        <v>43938</v>
      </c>
      <c r="AJ100" s="6">
        <v>43948</v>
      </c>
      <c r="AW100" s="6">
        <v>44562</v>
      </c>
      <c r="AX100" s="6">
        <v>43838</v>
      </c>
    </row>
    <row r="101" spans="1:50" x14ac:dyDescent="0.3">
      <c r="A101" s="5" t="s">
        <v>666</v>
      </c>
      <c r="X101" s="6">
        <v>43939</v>
      </c>
      <c r="AJ101" s="6">
        <v>43949</v>
      </c>
      <c r="AW101" s="6">
        <v>44563</v>
      </c>
      <c r="AX101" s="6">
        <v>43884</v>
      </c>
    </row>
    <row r="102" spans="1:50" x14ac:dyDescent="0.3">
      <c r="A102" s="45" t="s">
        <v>607</v>
      </c>
      <c r="X102" s="6">
        <v>43940</v>
      </c>
      <c r="AJ102" s="6">
        <v>43950</v>
      </c>
      <c r="AW102" s="6">
        <v>44564</v>
      </c>
      <c r="AX102" s="6">
        <v>43885</v>
      </c>
    </row>
    <row r="103" spans="1:50" x14ac:dyDescent="0.3">
      <c r="A103" s="5"/>
      <c r="B103" s="5"/>
      <c r="X103" s="6">
        <v>43941</v>
      </c>
      <c r="AJ103" s="6">
        <v>43951</v>
      </c>
      <c r="AW103" s="6">
        <v>44565</v>
      </c>
      <c r="AX103" s="6">
        <v>43898</v>
      </c>
    </row>
    <row r="104" spans="1:50" x14ac:dyDescent="0.3">
      <c r="A104" s="63" t="s">
        <v>671</v>
      </c>
      <c r="B104" s="61" t="s">
        <v>704</v>
      </c>
      <c r="C104" s="61" t="s">
        <v>705</v>
      </c>
      <c r="D104" s="61" t="s">
        <v>706</v>
      </c>
      <c r="X104" s="6">
        <v>43942</v>
      </c>
      <c r="AJ104" s="6">
        <v>43952</v>
      </c>
      <c r="AW104" s="6">
        <v>44566</v>
      </c>
      <c r="AX104" s="6">
        <v>43899</v>
      </c>
    </row>
    <row r="105" spans="1:50" x14ac:dyDescent="0.3">
      <c r="A105" s="63" t="s">
        <v>672</v>
      </c>
      <c r="B105" s="61" t="s">
        <v>707</v>
      </c>
      <c r="C105" s="10"/>
      <c r="X105" s="6">
        <v>43943</v>
      </c>
      <c r="AJ105" s="6">
        <v>43953</v>
      </c>
      <c r="AW105" s="6">
        <v>44567</v>
      </c>
      <c r="AX105" s="6">
        <v>43952</v>
      </c>
    </row>
    <row r="106" spans="1:50" x14ac:dyDescent="0.3">
      <c r="A106" s="61" t="s">
        <v>673</v>
      </c>
      <c r="X106" s="6">
        <v>43944</v>
      </c>
      <c r="AJ106" s="6">
        <v>43954</v>
      </c>
      <c r="AW106" s="6">
        <v>44568</v>
      </c>
      <c r="AX106" s="6">
        <v>43955</v>
      </c>
    </row>
    <row r="107" spans="1:50" x14ac:dyDescent="0.3">
      <c r="A107" t="s">
        <v>674</v>
      </c>
      <c r="X107" s="6">
        <v>43945</v>
      </c>
      <c r="AJ107" s="6">
        <v>43955</v>
      </c>
      <c r="AW107" s="6">
        <v>44569</v>
      </c>
      <c r="AX107" s="6">
        <v>43956</v>
      </c>
    </row>
    <row r="108" spans="1:50" x14ac:dyDescent="0.3">
      <c r="A108" t="s">
        <v>675</v>
      </c>
      <c r="B108" t="s">
        <v>827</v>
      </c>
      <c r="X108" s="6">
        <v>43946</v>
      </c>
      <c r="AJ108" s="6">
        <v>43956</v>
      </c>
      <c r="AW108" s="6">
        <v>44615</v>
      </c>
      <c r="AX108" s="6">
        <v>43960</v>
      </c>
    </row>
    <row r="109" spans="1:50" x14ac:dyDescent="0.3">
      <c r="A109" t="s">
        <v>676</v>
      </c>
      <c r="B109" t="s">
        <v>677</v>
      </c>
      <c r="X109" s="6">
        <v>43947</v>
      </c>
      <c r="AJ109" s="6">
        <v>43957</v>
      </c>
      <c r="AW109" s="6">
        <v>44628</v>
      </c>
      <c r="AX109" s="6">
        <v>43962</v>
      </c>
    </row>
    <row r="110" spans="1:50" x14ac:dyDescent="0.3">
      <c r="A110" s="58" t="s">
        <v>678</v>
      </c>
      <c r="X110" s="6">
        <v>43948</v>
      </c>
      <c r="AJ110" s="6">
        <v>43958</v>
      </c>
      <c r="AW110" s="6">
        <v>44682</v>
      </c>
      <c r="AX110" s="6">
        <v>43994</v>
      </c>
    </row>
    <row r="111" spans="1:50" x14ac:dyDescent="0.3">
      <c r="A111" t="s">
        <v>679</v>
      </c>
      <c r="X111" s="6">
        <v>43949</v>
      </c>
      <c r="AJ111" s="6">
        <v>43959</v>
      </c>
      <c r="AW111" s="6">
        <v>44690</v>
      </c>
      <c r="AX111" s="6">
        <v>44006</v>
      </c>
    </row>
    <row r="112" spans="1:50" x14ac:dyDescent="0.3">
      <c r="A112" t="s">
        <v>573</v>
      </c>
      <c r="X112" s="6">
        <v>43950</v>
      </c>
      <c r="AJ112" s="6">
        <v>43960</v>
      </c>
      <c r="AW112" s="6">
        <v>44724</v>
      </c>
      <c r="AX112" s="6">
        <v>44013</v>
      </c>
    </row>
    <row r="113" spans="1:50" x14ac:dyDescent="0.3">
      <c r="A113" t="s">
        <v>4</v>
      </c>
      <c r="X113" s="6">
        <v>43951</v>
      </c>
      <c r="AJ113" s="6">
        <v>43961</v>
      </c>
      <c r="AW113" s="6">
        <v>44869</v>
      </c>
      <c r="AX113" s="6">
        <v>44139</v>
      </c>
    </row>
    <row r="114" spans="1:50" x14ac:dyDescent="0.3">
      <c r="A114" t="s">
        <v>680</v>
      </c>
      <c r="X114" s="6">
        <v>43952</v>
      </c>
      <c r="AJ114" s="6">
        <v>43962</v>
      </c>
      <c r="AX114" s="6">
        <v>44197</v>
      </c>
    </row>
    <row r="115" spans="1:50" x14ac:dyDescent="0.3">
      <c r="A115" s="5" t="s">
        <v>575</v>
      </c>
      <c r="X115" s="6">
        <v>43955</v>
      </c>
      <c r="AJ115" s="6">
        <v>43967</v>
      </c>
      <c r="AX115" s="6">
        <v>44198</v>
      </c>
    </row>
    <row r="116" spans="1:50" x14ac:dyDescent="0.3">
      <c r="A116" s="5" t="s">
        <v>576</v>
      </c>
      <c r="X116" s="6">
        <v>43956</v>
      </c>
      <c r="AJ116" s="6">
        <v>43968</v>
      </c>
      <c r="AX116" s="6">
        <v>44199</v>
      </c>
    </row>
    <row r="117" spans="1:50" x14ac:dyDescent="0.3">
      <c r="A117" s="5" t="s">
        <v>646</v>
      </c>
      <c r="X117" s="6">
        <v>43957</v>
      </c>
      <c r="AJ117" s="6">
        <v>43974</v>
      </c>
      <c r="AX117" s="6">
        <v>44200</v>
      </c>
    </row>
    <row r="118" spans="1:50" x14ac:dyDescent="0.3">
      <c r="A118" s="5" t="s">
        <v>647</v>
      </c>
      <c r="X118" s="6">
        <v>43958</v>
      </c>
      <c r="AJ118" s="6">
        <v>43975</v>
      </c>
      <c r="AX118" s="6">
        <v>44201</v>
      </c>
    </row>
    <row r="119" spans="1:50" x14ac:dyDescent="0.3">
      <c r="A119" s="45" t="s">
        <v>697</v>
      </c>
      <c r="X119" s="6">
        <v>43959</v>
      </c>
      <c r="AJ119" s="6">
        <v>43981</v>
      </c>
      <c r="AX119" s="6">
        <v>44202</v>
      </c>
    </row>
    <row r="120" spans="1:50" x14ac:dyDescent="0.3">
      <c r="A120" s="5" t="s">
        <v>698</v>
      </c>
      <c r="B120" s="61" t="s">
        <v>699</v>
      </c>
      <c r="C120" s="61" t="s">
        <v>700</v>
      </c>
      <c r="D120" s="61" t="s">
        <v>701</v>
      </c>
      <c r="X120" s="6">
        <v>43960</v>
      </c>
      <c r="AJ120" s="6">
        <v>43982</v>
      </c>
      <c r="AX120" s="6">
        <v>44203</v>
      </c>
    </row>
    <row r="121" spans="1:50" x14ac:dyDescent="0.3">
      <c r="A121" s="5" t="s">
        <v>702</v>
      </c>
      <c r="X121" s="6">
        <v>43962</v>
      </c>
      <c r="AJ121" s="6">
        <v>43988</v>
      </c>
      <c r="AX121" s="6">
        <v>44204</v>
      </c>
    </row>
    <row r="122" spans="1:50" x14ac:dyDescent="0.3">
      <c r="A122" s="5" t="s">
        <v>703</v>
      </c>
      <c r="X122" s="6">
        <v>43994</v>
      </c>
      <c r="AJ122" s="6">
        <v>43989</v>
      </c>
      <c r="AX122" s="6">
        <v>44250</v>
      </c>
    </row>
    <row r="123" spans="1:50" x14ac:dyDescent="0.3">
      <c r="A123" s="45" t="s">
        <v>715</v>
      </c>
      <c r="X123" s="6">
        <v>44006</v>
      </c>
      <c r="AJ123" s="6">
        <v>43994</v>
      </c>
      <c r="AX123" s="6">
        <v>44263</v>
      </c>
    </row>
    <row r="124" spans="1:50" x14ac:dyDescent="0.3">
      <c r="A124" s="5" t="s">
        <v>606</v>
      </c>
      <c r="X124" s="6">
        <v>44013</v>
      </c>
      <c r="AJ124" s="6">
        <v>43995</v>
      </c>
      <c r="AX124" s="6">
        <v>44317</v>
      </c>
    </row>
    <row r="125" spans="1:50" x14ac:dyDescent="0.3">
      <c r="A125" s="5" t="s">
        <v>757</v>
      </c>
      <c r="X125" s="6">
        <v>44139</v>
      </c>
      <c r="AJ125" s="6">
        <v>43996</v>
      </c>
      <c r="AX125" s="6">
        <v>44319</v>
      </c>
    </row>
    <row r="126" spans="1:50" x14ac:dyDescent="0.3">
      <c r="A126" s="45" t="s">
        <v>766</v>
      </c>
      <c r="AJ126" s="6">
        <v>44002</v>
      </c>
      <c r="AX126" s="6">
        <v>44325</v>
      </c>
    </row>
    <row r="127" spans="1:50" x14ac:dyDescent="0.3">
      <c r="A127" s="5" t="s">
        <v>1527</v>
      </c>
      <c r="AJ127" s="6">
        <v>44003</v>
      </c>
      <c r="AX127" s="6">
        <v>44326</v>
      </c>
    </row>
    <row r="128" spans="1:50" x14ac:dyDescent="0.3">
      <c r="A128" s="5" t="s">
        <v>767</v>
      </c>
      <c r="AJ128" s="6">
        <v>44036</v>
      </c>
      <c r="AX128" s="6">
        <v>44359</v>
      </c>
    </row>
    <row r="129" spans="1:50" x14ac:dyDescent="0.3">
      <c r="A129" s="45" t="s">
        <v>769</v>
      </c>
      <c r="AJ129" s="6">
        <v>44009</v>
      </c>
      <c r="AX129" s="6">
        <v>44361</v>
      </c>
    </row>
    <row r="130" spans="1:50" x14ac:dyDescent="0.3">
      <c r="A130" s="5" t="s">
        <v>770</v>
      </c>
      <c r="B130" t="s">
        <v>1353</v>
      </c>
      <c r="AJ130" s="6">
        <v>44010</v>
      </c>
      <c r="AX130" s="6">
        <v>44504</v>
      </c>
    </row>
    <row r="131" spans="1:50" x14ac:dyDescent="0.3">
      <c r="A131" s="5" t="s">
        <v>771</v>
      </c>
      <c r="AJ131" s="6">
        <v>44013</v>
      </c>
      <c r="AX131" s="6">
        <v>44562</v>
      </c>
    </row>
    <row r="132" spans="1:50" x14ac:dyDescent="0.3">
      <c r="A132" s="45" t="s">
        <v>772</v>
      </c>
      <c r="AJ132" s="6">
        <v>44016</v>
      </c>
      <c r="AX132" s="6">
        <v>44563</v>
      </c>
    </row>
    <row r="133" spans="1:50" x14ac:dyDescent="0.3">
      <c r="A133" s="5" t="s">
        <v>773</v>
      </c>
      <c r="AJ133" s="6">
        <v>44017</v>
      </c>
      <c r="AX133" s="6">
        <v>44564</v>
      </c>
    </row>
    <row r="134" spans="1:50" x14ac:dyDescent="0.3">
      <c r="A134" s="5" t="s">
        <v>774</v>
      </c>
      <c r="AJ134" s="6">
        <v>44023</v>
      </c>
      <c r="AX134" s="6">
        <v>44565</v>
      </c>
    </row>
    <row r="135" spans="1:50" x14ac:dyDescent="0.3">
      <c r="A135" s="5" t="s">
        <v>4933</v>
      </c>
      <c r="B135" t="s">
        <v>775</v>
      </c>
      <c r="AJ135" s="6">
        <v>44024</v>
      </c>
      <c r="AX135" s="6">
        <v>44566</v>
      </c>
    </row>
    <row r="136" spans="1:50" x14ac:dyDescent="0.3">
      <c r="A136" s="5" t="s">
        <v>43</v>
      </c>
      <c r="AJ136" s="6">
        <v>44030</v>
      </c>
      <c r="AX136" s="6">
        <v>44567</v>
      </c>
    </row>
    <row r="137" spans="1:50" x14ac:dyDescent="0.3">
      <c r="A137" s="5" t="s">
        <v>776</v>
      </c>
      <c r="AJ137" s="6">
        <v>44031</v>
      </c>
      <c r="AX137" s="6">
        <v>44568</v>
      </c>
    </row>
    <row r="138" spans="1:50" x14ac:dyDescent="0.3">
      <c r="A138" s="45" t="s">
        <v>777</v>
      </c>
      <c r="AJ138" s="6">
        <v>44037</v>
      </c>
      <c r="AX138" s="6">
        <v>44569</v>
      </c>
    </row>
    <row r="139" spans="1:50" x14ac:dyDescent="0.3">
      <c r="A139" s="5" t="s">
        <v>778</v>
      </c>
      <c r="AJ139" s="6">
        <v>44038</v>
      </c>
      <c r="AX139" s="6">
        <v>44615</v>
      </c>
    </row>
    <row r="140" spans="1:50" x14ac:dyDescent="0.3">
      <c r="A140" s="5" t="s">
        <v>779</v>
      </c>
      <c r="AJ140" s="6">
        <v>44044</v>
      </c>
      <c r="AX140" s="6">
        <v>44628</v>
      </c>
    </row>
    <row r="141" spans="1:50" x14ac:dyDescent="0.3">
      <c r="A141" s="5" t="s">
        <v>780</v>
      </c>
      <c r="AJ141" s="6">
        <v>44045</v>
      </c>
      <c r="AX141" s="6">
        <v>44682</v>
      </c>
    </row>
    <row r="142" spans="1:50" x14ac:dyDescent="0.3">
      <c r="A142" s="5" t="s">
        <v>781</v>
      </c>
      <c r="B142" t="s">
        <v>674</v>
      </c>
      <c r="C142" t="s">
        <v>782</v>
      </c>
      <c r="AJ142" s="6">
        <v>44051</v>
      </c>
      <c r="AX142" s="6">
        <v>44690</v>
      </c>
    </row>
    <row r="143" spans="1:50" x14ac:dyDescent="0.3">
      <c r="A143" s="45" t="s">
        <v>783</v>
      </c>
      <c r="AJ143" s="6">
        <v>44052</v>
      </c>
      <c r="AX143" s="6">
        <v>44724</v>
      </c>
    </row>
    <row r="144" spans="1:50" x14ac:dyDescent="0.3">
      <c r="A144" s="5" t="s">
        <v>784</v>
      </c>
      <c r="AJ144" s="6">
        <v>44058</v>
      </c>
      <c r="AX144" s="6">
        <v>44869</v>
      </c>
    </row>
    <row r="145" spans="1:36" x14ac:dyDescent="0.3">
      <c r="A145" s="5" t="s">
        <v>4</v>
      </c>
      <c r="AJ145" s="6">
        <v>44059</v>
      </c>
    </row>
    <row r="146" spans="1:36" x14ac:dyDescent="0.3">
      <c r="A146" s="45" t="s">
        <v>785</v>
      </c>
      <c r="AJ146" s="6">
        <v>44065</v>
      </c>
    </row>
    <row r="147" spans="1:36" x14ac:dyDescent="0.3">
      <c r="A147" t="s">
        <v>786</v>
      </c>
      <c r="AJ147" s="6">
        <v>44066</v>
      </c>
    </row>
    <row r="148" spans="1:36" x14ac:dyDescent="0.3">
      <c r="A148" t="s">
        <v>787</v>
      </c>
      <c r="AJ148" s="6">
        <v>44072</v>
      </c>
    </row>
    <row r="149" spans="1:36" x14ac:dyDescent="0.3">
      <c r="A149" t="s">
        <v>828</v>
      </c>
      <c r="AJ149" s="6">
        <v>44073</v>
      </c>
    </row>
    <row r="150" spans="1:36" x14ac:dyDescent="0.3">
      <c r="A150" t="s">
        <v>829</v>
      </c>
      <c r="AJ150" s="6">
        <v>44079</v>
      </c>
    </row>
    <row r="151" spans="1:36" x14ac:dyDescent="0.3">
      <c r="A151" t="s">
        <v>830</v>
      </c>
      <c r="B151" s="61" t="s">
        <v>8350</v>
      </c>
      <c r="AJ151" s="6">
        <v>44080</v>
      </c>
    </row>
    <row r="152" spans="1:36" x14ac:dyDescent="0.3">
      <c r="A152" t="s">
        <v>831</v>
      </c>
      <c r="AJ152" s="6">
        <v>44086</v>
      </c>
    </row>
    <row r="153" spans="1:36" x14ac:dyDescent="0.3">
      <c r="A153" s="58" t="s">
        <v>817</v>
      </c>
      <c r="AJ153" s="6">
        <v>44087</v>
      </c>
    </row>
    <row r="154" spans="1:36" x14ac:dyDescent="0.3">
      <c r="A154" t="s">
        <v>818</v>
      </c>
      <c r="AJ154" s="6">
        <v>44093</v>
      </c>
    </row>
    <row r="155" spans="1:36" x14ac:dyDescent="0.3">
      <c r="A155" t="s">
        <v>819</v>
      </c>
      <c r="AJ155" s="6">
        <v>44094</v>
      </c>
    </row>
    <row r="156" spans="1:36" x14ac:dyDescent="0.3">
      <c r="A156" t="s">
        <v>820</v>
      </c>
      <c r="AJ156" s="6">
        <v>44100</v>
      </c>
    </row>
    <row r="157" spans="1:36" x14ac:dyDescent="0.3">
      <c r="A157" s="58" t="s">
        <v>795</v>
      </c>
      <c r="AJ157" s="6">
        <v>44101</v>
      </c>
    </row>
    <row r="158" spans="1:36" x14ac:dyDescent="0.3">
      <c r="A158" s="58" t="s">
        <v>806</v>
      </c>
      <c r="AJ158" s="6">
        <v>44107</v>
      </c>
    </row>
    <row r="159" spans="1:36" x14ac:dyDescent="0.3">
      <c r="A159" t="s">
        <v>826</v>
      </c>
      <c r="AJ159" s="6">
        <v>44108</v>
      </c>
    </row>
    <row r="160" spans="1:36" x14ac:dyDescent="0.3">
      <c r="A160" t="s">
        <v>796</v>
      </c>
      <c r="AJ160" s="6">
        <v>44114</v>
      </c>
    </row>
    <row r="161" spans="1:36" x14ac:dyDescent="0.3">
      <c r="A161" t="s">
        <v>797</v>
      </c>
      <c r="AJ161" s="6">
        <v>44115</v>
      </c>
    </row>
    <row r="162" spans="1:36" x14ac:dyDescent="0.3">
      <c r="A162" t="s">
        <v>798</v>
      </c>
      <c r="AJ162" s="6">
        <v>44121</v>
      </c>
    </row>
    <row r="163" spans="1:36" x14ac:dyDescent="0.3">
      <c r="A163" t="s">
        <v>799</v>
      </c>
      <c r="AJ163" s="6">
        <v>44122</v>
      </c>
    </row>
    <row r="164" spans="1:36" x14ac:dyDescent="0.3">
      <c r="A164" t="s">
        <v>800</v>
      </c>
      <c r="AJ164" s="6">
        <v>44128</v>
      </c>
    </row>
    <row r="165" spans="1:36" x14ac:dyDescent="0.3">
      <c r="A165" t="s">
        <v>801</v>
      </c>
      <c r="AJ165" s="6">
        <v>44129</v>
      </c>
    </row>
    <row r="166" spans="1:36" x14ac:dyDescent="0.3">
      <c r="A166" t="s">
        <v>804</v>
      </c>
      <c r="AJ166" s="6">
        <v>44135</v>
      </c>
    </row>
    <row r="167" spans="1:36" x14ac:dyDescent="0.3">
      <c r="A167" t="s">
        <v>805</v>
      </c>
      <c r="AJ167" s="6">
        <v>44136</v>
      </c>
    </row>
    <row r="168" spans="1:36" x14ac:dyDescent="0.3">
      <c r="A168" t="s">
        <v>802</v>
      </c>
      <c r="AJ168" s="6">
        <v>44139</v>
      </c>
    </row>
    <row r="169" spans="1:36" x14ac:dyDescent="0.3">
      <c r="A169" t="s">
        <v>803</v>
      </c>
      <c r="AJ169" s="6">
        <v>44142</v>
      </c>
    </row>
    <row r="170" spans="1:36" x14ac:dyDescent="0.3">
      <c r="A170" t="s">
        <v>1641</v>
      </c>
      <c r="AJ170" s="6">
        <v>44143</v>
      </c>
    </row>
    <row r="171" spans="1:36" x14ac:dyDescent="0.3">
      <c r="A171" s="58" t="s">
        <v>18</v>
      </c>
      <c r="AJ171" s="6">
        <v>44149</v>
      </c>
    </row>
    <row r="172" spans="1:36" x14ac:dyDescent="0.3">
      <c r="A172" t="s">
        <v>825</v>
      </c>
      <c r="AJ172" s="6">
        <v>44150</v>
      </c>
    </row>
    <row r="173" spans="1:36" x14ac:dyDescent="0.3">
      <c r="A173" t="s">
        <v>796</v>
      </c>
      <c r="AJ173" s="6">
        <v>44156</v>
      </c>
    </row>
    <row r="174" spans="1:36" x14ac:dyDescent="0.3">
      <c r="A174" t="s">
        <v>807</v>
      </c>
      <c r="AJ174" s="6">
        <v>44157</v>
      </c>
    </row>
    <row r="175" spans="1:36" x14ac:dyDescent="0.3">
      <c r="A175" s="58" t="s">
        <v>19</v>
      </c>
      <c r="AJ175" s="6">
        <v>44163</v>
      </c>
    </row>
    <row r="176" spans="1:36" x14ac:dyDescent="0.3">
      <c r="A176" t="s">
        <v>808</v>
      </c>
      <c r="AJ176" s="6">
        <v>44164</v>
      </c>
    </row>
    <row r="177" spans="1:36" x14ac:dyDescent="0.3">
      <c r="A177" t="s">
        <v>810</v>
      </c>
      <c r="AJ177" s="6">
        <v>44170</v>
      </c>
    </row>
    <row r="178" spans="1:36" x14ac:dyDescent="0.3">
      <c r="A178" t="s">
        <v>809</v>
      </c>
      <c r="AJ178" s="6">
        <v>44171</v>
      </c>
    </row>
    <row r="179" spans="1:36" x14ac:dyDescent="0.3">
      <c r="A179" s="58" t="s">
        <v>119</v>
      </c>
      <c r="AJ179" s="6">
        <v>44177</v>
      </c>
    </row>
    <row r="180" spans="1:36" x14ac:dyDescent="0.3">
      <c r="A180" t="s">
        <v>811</v>
      </c>
      <c r="AJ180" s="6">
        <v>44178</v>
      </c>
    </row>
    <row r="181" spans="1:36" x14ac:dyDescent="0.3">
      <c r="A181" t="s">
        <v>812</v>
      </c>
      <c r="AJ181" s="6">
        <v>44184</v>
      </c>
    </row>
    <row r="182" spans="1:36" x14ac:dyDescent="0.3">
      <c r="A182" t="s">
        <v>813</v>
      </c>
      <c r="AJ182" s="6">
        <v>44185</v>
      </c>
    </row>
    <row r="183" spans="1:36" x14ac:dyDescent="0.3">
      <c r="A183" t="s">
        <v>814</v>
      </c>
      <c r="AJ183" s="6">
        <v>44191</v>
      </c>
    </row>
    <row r="184" spans="1:36" x14ac:dyDescent="0.3">
      <c r="A184" t="s">
        <v>816</v>
      </c>
      <c r="AJ184" s="6">
        <v>44192</v>
      </c>
    </row>
    <row r="185" spans="1:36" x14ac:dyDescent="0.3">
      <c r="A185" t="s">
        <v>815</v>
      </c>
    </row>
    <row r="186" spans="1:36" x14ac:dyDescent="0.3">
      <c r="A186" t="s">
        <v>836</v>
      </c>
    </row>
    <row r="187" spans="1:36" x14ac:dyDescent="0.3">
      <c r="A187" t="s">
        <v>1882</v>
      </c>
    </row>
    <row r="188" spans="1:36" x14ac:dyDescent="0.3">
      <c r="A188" s="58" t="s">
        <v>716</v>
      </c>
    </row>
    <row r="189" spans="1:36" x14ac:dyDescent="0.3">
      <c r="A189" s="5" t="s">
        <v>903</v>
      </c>
    </row>
    <row r="190" spans="1:36" x14ac:dyDescent="0.3">
      <c r="A190" t="s">
        <v>902</v>
      </c>
    </row>
    <row r="191" spans="1:36" x14ac:dyDescent="0.3">
      <c r="A191" s="58" t="s">
        <v>1000</v>
      </c>
    </row>
    <row r="192" spans="1:36" x14ac:dyDescent="0.3">
      <c r="A192" t="s">
        <v>1001</v>
      </c>
      <c r="B192" t="s">
        <v>1004</v>
      </c>
    </row>
    <row r="193" spans="1:4" x14ac:dyDescent="0.3">
      <c r="A193" t="s">
        <v>573</v>
      </c>
    </row>
    <row r="194" spans="1:4" x14ac:dyDescent="0.3">
      <c r="A194" t="s">
        <v>4</v>
      </c>
    </row>
    <row r="195" spans="1:4" x14ac:dyDescent="0.3">
      <c r="A195" t="s">
        <v>1002</v>
      </c>
    </row>
    <row r="196" spans="1:4" x14ac:dyDescent="0.3">
      <c r="A196" t="s">
        <v>1003</v>
      </c>
    </row>
    <row r="197" spans="1:4" x14ac:dyDescent="0.3">
      <c r="A197" s="58" t="s">
        <v>1716</v>
      </c>
    </row>
    <row r="198" spans="1:4" x14ac:dyDescent="0.3">
      <c r="A198" t="s">
        <v>134</v>
      </c>
    </row>
    <row r="199" spans="1:4" x14ac:dyDescent="0.3">
      <c r="A199" t="s">
        <v>1717</v>
      </c>
    </row>
    <row r="200" spans="1:4" x14ac:dyDescent="0.3">
      <c r="A200" t="s">
        <v>136</v>
      </c>
    </row>
    <row r="201" spans="1:4" x14ac:dyDescent="0.3">
      <c r="A201" t="s">
        <v>1718</v>
      </c>
    </row>
    <row r="202" spans="1:4" x14ac:dyDescent="0.3">
      <c r="A202" t="s">
        <v>1719</v>
      </c>
      <c r="B202" s="61" t="s">
        <v>1732</v>
      </c>
    </row>
    <row r="203" spans="1:4" x14ac:dyDescent="0.3">
      <c r="A203" t="s">
        <v>1720</v>
      </c>
      <c r="B203" s="61" t="s">
        <v>1724</v>
      </c>
      <c r="C203" t="s">
        <v>1735</v>
      </c>
      <c r="D203" t="s">
        <v>1736</v>
      </c>
    </row>
    <row r="204" spans="1:4" x14ac:dyDescent="0.3">
      <c r="A204" t="s">
        <v>1732</v>
      </c>
      <c r="B204" s="61" t="s">
        <v>4</v>
      </c>
    </row>
    <row r="205" spans="1:4" x14ac:dyDescent="0.3">
      <c r="A205" t="s">
        <v>1721</v>
      </c>
      <c r="B205" s="61" t="s">
        <v>1722</v>
      </c>
    </row>
    <row r="206" spans="1:4" x14ac:dyDescent="0.3">
      <c r="A206" t="s">
        <v>1723</v>
      </c>
    </row>
    <row r="207" spans="1:4" x14ac:dyDescent="0.3">
      <c r="A207" t="s">
        <v>1738</v>
      </c>
    </row>
    <row r="208" spans="1:4" x14ac:dyDescent="0.3">
      <c r="A208" s="58" t="s">
        <v>1865</v>
      </c>
    </row>
    <row r="209" spans="1:3" x14ac:dyDescent="0.3">
      <c r="A209" t="s">
        <v>1866</v>
      </c>
      <c r="B209" t="s">
        <v>1877</v>
      </c>
    </row>
    <row r="210" spans="1:3" x14ac:dyDescent="0.3">
      <c r="A210" t="s">
        <v>1867</v>
      </c>
      <c r="B210" t="s">
        <v>1868</v>
      </c>
    </row>
    <row r="211" spans="1:3" x14ac:dyDescent="0.3">
      <c r="A211" t="s">
        <v>1871</v>
      </c>
      <c r="B211" t="s">
        <v>1869</v>
      </c>
    </row>
    <row r="212" spans="1:3" x14ac:dyDescent="0.3">
      <c r="A212" t="s">
        <v>573</v>
      </c>
      <c r="B212" t="s">
        <v>1870</v>
      </c>
    </row>
    <row r="213" spans="1:3" x14ac:dyDescent="0.3">
      <c r="A213" t="s">
        <v>1872</v>
      </c>
      <c r="B213" t="s">
        <v>3053</v>
      </c>
    </row>
    <row r="214" spans="1:3" x14ac:dyDescent="0.3">
      <c r="A214" t="s">
        <v>1873</v>
      </c>
      <c r="B214" t="s">
        <v>3054</v>
      </c>
    </row>
    <row r="215" spans="1:3" x14ac:dyDescent="0.3">
      <c r="A215" t="s">
        <v>1876</v>
      </c>
      <c r="B215" t="s">
        <v>573</v>
      </c>
    </row>
    <row r="216" spans="1:3" x14ac:dyDescent="0.3">
      <c r="A216" t="s">
        <v>1874</v>
      </c>
      <c r="B216" t="s">
        <v>3055</v>
      </c>
    </row>
    <row r="217" spans="1:3" x14ac:dyDescent="0.3">
      <c r="A217" t="s">
        <v>1875</v>
      </c>
      <c r="B217" t="s">
        <v>3056</v>
      </c>
      <c r="C217" t="s">
        <v>3057</v>
      </c>
    </row>
    <row r="218" spans="1:3" x14ac:dyDescent="0.3">
      <c r="A218" t="s">
        <v>573</v>
      </c>
    </row>
    <row r="219" spans="1:3" x14ac:dyDescent="0.3">
      <c r="A219" t="s">
        <v>1878</v>
      </c>
    </row>
    <row r="220" spans="1:3" x14ac:dyDescent="0.3">
      <c r="A220" t="s">
        <v>1879</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tiv"/>
  <dimension ref="A1:AR59"/>
  <sheetViews>
    <sheetView workbookViewId="0">
      <pane xSplit="1" topLeftCell="B1" activePane="topRight" state="frozen"/>
      <selection pane="topRight" activeCell="J22" sqref="J22"/>
    </sheetView>
  </sheetViews>
  <sheetFormatPr defaultColWidth="8.6640625" defaultRowHeight="14.4" x14ac:dyDescent="0.3"/>
  <cols>
    <col min="1" max="1" width="20" style="5" customWidth="1"/>
    <col min="2" max="2" width="12.44140625" style="5" customWidth="1"/>
    <col min="3" max="16384" width="8.6640625" style="5"/>
  </cols>
  <sheetData>
    <row r="1" spans="1:21" ht="15" thickTop="1" x14ac:dyDescent="0.3">
      <c r="A1" s="1" t="s">
        <v>1107</v>
      </c>
      <c r="B1" s="1" t="s">
        <v>1106</v>
      </c>
      <c r="C1" s="1"/>
      <c r="D1" s="1"/>
      <c r="E1" s="1"/>
      <c r="F1" s="1"/>
      <c r="G1" s="1"/>
      <c r="H1" s="1"/>
      <c r="I1" s="1"/>
      <c r="J1" s="1"/>
      <c r="K1" s="1"/>
      <c r="L1" s="1"/>
      <c r="M1" s="1"/>
      <c r="N1" s="1"/>
      <c r="O1" s="1"/>
    </row>
    <row r="2" spans="1:21" ht="15" thickBot="1" x14ac:dyDescent="0.35">
      <c r="A2" s="2"/>
      <c r="B2" s="2"/>
      <c r="C2" s="2"/>
      <c r="D2" s="2"/>
      <c r="E2" s="2"/>
      <c r="F2" s="2"/>
      <c r="G2" s="2"/>
      <c r="H2" s="2"/>
      <c r="I2" s="2"/>
      <c r="J2" s="2"/>
      <c r="K2" s="2"/>
      <c r="L2" s="2"/>
      <c r="M2" s="2"/>
      <c r="N2" s="2"/>
      <c r="O2" s="2"/>
    </row>
    <row r="3" spans="1:21" ht="15" customHeight="1" thickTop="1" x14ac:dyDescent="0.3">
      <c r="A3" s="142" t="s">
        <v>906</v>
      </c>
      <c r="B3" s="5" t="s">
        <v>794</v>
      </c>
      <c r="C3" s="5" t="s">
        <v>889</v>
      </c>
      <c r="D3" s="5" t="s">
        <v>789</v>
      </c>
      <c r="E3" s="5" t="s">
        <v>790</v>
      </c>
      <c r="F3" s="5" t="s">
        <v>791</v>
      </c>
      <c r="G3" s="5" t="s">
        <v>573</v>
      </c>
      <c r="H3" s="5" t="s">
        <v>4</v>
      </c>
      <c r="I3" s="5" t="s">
        <v>793</v>
      </c>
      <c r="J3" s="241" t="s">
        <v>979</v>
      </c>
      <c r="K3" s="5" t="s">
        <v>1018</v>
      </c>
      <c r="L3" s="5" t="s">
        <v>1024</v>
      </c>
      <c r="M3" s="5" t="s">
        <v>1263</v>
      </c>
      <c r="N3" s="5" t="s">
        <v>1262</v>
      </c>
      <c r="R3" s="242" t="s">
        <v>979</v>
      </c>
      <c r="S3" s="5" t="s">
        <v>1018</v>
      </c>
      <c r="T3" s="5" t="s">
        <v>1019</v>
      </c>
      <c r="U3" s="5" t="s">
        <v>997</v>
      </c>
    </row>
    <row r="4" spans="1:21" ht="15" customHeight="1" x14ac:dyDescent="0.3">
      <c r="A4" s="143" t="s">
        <v>907</v>
      </c>
      <c r="B4" s="8" t="s">
        <v>5689</v>
      </c>
      <c r="C4" s="5" t="s">
        <v>837</v>
      </c>
      <c r="D4" s="5" t="s">
        <v>788</v>
      </c>
      <c r="E4" s="5" t="s">
        <v>838</v>
      </c>
      <c r="F4" s="5" t="s">
        <v>839</v>
      </c>
      <c r="G4" s="5" t="s">
        <v>573</v>
      </c>
      <c r="H4" s="5" t="s">
        <v>4</v>
      </c>
      <c r="I4" s="241" t="s">
        <v>1140</v>
      </c>
      <c r="J4" s="242" t="s">
        <v>4725</v>
      </c>
      <c r="K4" s="254" t="s">
        <v>4723</v>
      </c>
      <c r="L4" s="377" t="s">
        <v>4724</v>
      </c>
      <c r="M4" s="254"/>
      <c r="R4" s="254"/>
    </row>
    <row r="5" spans="1:21" s="100" customFormat="1" ht="15" customHeight="1" x14ac:dyDescent="0.3">
      <c r="A5" s="144" t="s">
        <v>840</v>
      </c>
      <c r="B5" s="100" t="s">
        <v>841</v>
      </c>
      <c r="C5" s="100" t="s">
        <v>842</v>
      </c>
      <c r="D5" s="100" t="s">
        <v>843</v>
      </c>
      <c r="E5" s="100" t="s">
        <v>844</v>
      </c>
      <c r="F5" s="100" t="s">
        <v>845</v>
      </c>
      <c r="G5" s="100" t="s">
        <v>846</v>
      </c>
      <c r="H5" s="100" t="s">
        <v>847</v>
      </c>
    </row>
    <row r="6" spans="1:21" ht="15" customHeight="1" x14ac:dyDescent="0.3">
      <c r="A6" s="143" t="s">
        <v>848</v>
      </c>
      <c r="B6" s="5" t="s">
        <v>849</v>
      </c>
      <c r="C6" s="5" t="s">
        <v>850</v>
      </c>
      <c r="D6" s="5" t="s">
        <v>851</v>
      </c>
      <c r="E6" s="5" t="s">
        <v>852</v>
      </c>
    </row>
    <row r="7" spans="1:21" ht="15" customHeight="1" x14ac:dyDescent="0.3">
      <c r="A7" s="143" t="s">
        <v>886</v>
      </c>
      <c r="B7" s="1011" t="s">
        <v>2018</v>
      </c>
      <c r="C7" s="5" t="s">
        <v>887</v>
      </c>
      <c r="D7" s="5" t="s">
        <v>888</v>
      </c>
    </row>
    <row r="8" spans="1:21" ht="15" customHeight="1" x14ac:dyDescent="0.3">
      <c r="A8" s="143" t="s">
        <v>890</v>
      </c>
      <c r="B8" s="5" t="s">
        <v>891</v>
      </c>
      <c r="C8" s="5" t="s">
        <v>892</v>
      </c>
      <c r="D8" s="5" t="s">
        <v>893</v>
      </c>
      <c r="E8" s="5" t="s">
        <v>5243</v>
      </c>
      <c r="F8" s="5" t="s">
        <v>5240</v>
      </c>
      <c r="G8" s="5" t="s">
        <v>5241</v>
      </c>
      <c r="H8" s="5" t="s">
        <v>5242</v>
      </c>
      <c r="I8" s="5" t="s">
        <v>894</v>
      </c>
      <c r="J8" s="5" t="s">
        <v>901</v>
      </c>
    </row>
    <row r="9" spans="1:21" ht="15" customHeight="1" x14ac:dyDescent="0.3">
      <c r="A9" s="143" t="s">
        <v>641</v>
      </c>
      <c r="B9" s="8" t="s">
        <v>898</v>
      </c>
      <c r="C9" s="5" t="s">
        <v>899</v>
      </c>
      <c r="D9" s="5" t="s">
        <v>900</v>
      </c>
      <c r="E9" s="110"/>
      <c r="F9" s="110"/>
    </row>
    <row r="10" spans="1:21" ht="15" customHeight="1" x14ac:dyDescent="0.3">
      <c r="A10" s="145" t="s">
        <v>905</v>
      </c>
      <c r="B10" s="116" t="s">
        <v>908</v>
      </c>
    </row>
    <row r="11" spans="1:21" ht="15" customHeight="1" x14ac:dyDescent="0.3">
      <c r="A11" s="143" t="s">
        <v>909</v>
      </c>
      <c r="B11" s="5" t="s">
        <v>1085</v>
      </c>
      <c r="C11" s="5" t="s">
        <v>910</v>
      </c>
      <c r="D11" s="5" t="s">
        <v>914</v>
      </c>
    </row>
    <row r="12" spans="1:21" ht="15" customHeight="1" x14ac:dyDescent="0.3">
      <c r="A12" s="143" t="s">
        <v>911</v>
      </c>
      <c r="B12" s="8" t="s">
        <v>2413</v>
      </c>
    </row>
    <row r="13" spans="1:21" ht="15" customHeight="1" x14ac:dyDescent="0.3">
      <c r="A13" s="143" t="s">
        <v>912</v>
      </c>
      <c r="B13" s="5" t="s">
        <v>2414</v>
      </c>
    </row>
    <row r="14" spans="1:21" ht="15" customHeight="1" x14ac:dyDescent="0.3">
      <c r="A14" s="145" t="s">
        <v>913</v>
      </c>
      <c r="B14" s="5" t="s">
        <v>2412</v>
      </c>
      <c r="C14" s="5" t="s">
        <v>1280</v>
      </c>
      <c r="D14" s="116"/>
    </row>
    <row r="15" spans="1:21" ht="15" customHeight="1" x14ac:dyDescent="0.3">
      <c r="A15" s="384" t="s">
        <v>973</v>
      </c>
      <c r="B15" s="5" t="s">
        <v>974</v>
      </c>
      <c r="C15" s="5" t="s">
        <v>975</v>
      </c>
      <c r="D15" s="5" t="s">
        <v>976</v>
      </c>
      <c r="E15" s="5" t="s">
        <v>977</v>
      </c>
      <c r="F15" s="5" t="s">
        <v>804</v>
      </c>
      <c r="G15" s="249" t="s">
        <v>978</v>
      </c>
      <c r="H15" s="5" t="s">
        <v>805</v>
      </c>
      <c r="I15" s="5" t="s">
        <v>979</v>
      </c>
      <c r="J15" s="5" t="s">
        <v>980</v>
      </c>
      <c r="K15" s="5" t="s">
        <v>987</v>
      </c>
      <c r="L15" s="5" t="s">
        <v>981</v>
      </c>
    </row>
    <row r="16" spans="1:21" ht="15" customHeight="1" x14ac:dyDescent="0.3">
      <c r="A16" s="143" t="s">
        <v>982</v>
      </c>
      <c r="B16" s="5" t="s">
        <v>986</v>
      </c>
    </row>
    <row r="17" spans="1:28" ht="15" customHeight="1" x14ac:dyDescent="0.3">
      <c r="A17" s="143" t="s">
        <v>983</v>
      </c>
      <c r="B17" s="5" t="s">
        <v>984</v>
      </c>
      <c r="C17" s="5" t="s">
        <v>985</v>
      </c>
    </row>
    <row r="18" spans="1:28" ht="15" customHeight="1" x14ac:dyDescent="0.3">
      <c r="A18" s="143" t="s">
        <v>658</v>
      </c>
      <c r="B18" s="5" t="s">
        <v>1532</v>
      </c>
      <c r="C18" s="5" t="s">
        <v>989</v>
      </c>
      <c r="D18" s="5" t="s">
        <v>990</v>
      </c>
    </row>
    <row r="19" spans="1:28" ht="15" customHeight="1" x14ac:dyDescent="0.3">
      <c r="A19" s="143" t="s">
        <v>996</v>
      </c>
      <c r="B19" s="8" t="s">
        <v>11165</v>
      </c>
      <c r="C19" s="5" t="s">
        <v>1015</v>
      </c>
      <c r="D19" s="5" t="s">
        <v>1016</v>
      </c>
      <c r="E19" s="5" t="s">
        <v>1017</v>
      </c>
      <c r="F19" s="5" t="s">
        <v>979</v>
      </c>
      <c r="G19" s="5" t="s">
        <v>1018</v>
      </c>
      <c r="H19" s="241" t="s">
        <v>1019</v>
      </c>
      <c r="I19" s="5" t="s">
        <v>1020</v>
      </c>
      <c r="J19" s="5" t="s">
        <v>1021</v>
      </c>
      <c r="K19" s="5" t="s">
        <v>1022</v>
      </c>
      <c r="L19" s="5" t="s">
        <v>997</v>
      </c>
      <c r="M19" s="242" t="s">
        <v>1024</v>
      </c>
      <c r="N19" s="5" t="s">
        <v>1025</v>
      </c>
      <c r="O19" s="5" t="s">
        <v>1026</v>
      </c>
      <c r="P19" s="5" t="s">
        <v>1028</v>
      </c>
      <c r="Q19" s="5" t="s">
        <v>1027</v>
      </c>
    </row>
    <row r="20" spans="1:28" ht="15" customHeight="1" x14ac:dyDescent="0.3">
      <c r="A20" s="384" t="s">
        <v>998</v>
      </c>
      <c r="B20" s="5" t="s">
        <v>1528</v>
      </c>
      <c r="C20" s="5" t="s">
        <v>5224</v>
      </c>
      <c r="D20" s="5" t="s">
        <v>5223</v>
      </c>
      <c r="F20" s="5" t="s">
        <v>4920</v>
      </c>
      <c r="G20" s="254" t="s">
        <v>4921</v>
      </c>
    </row>
    <row r="21" spans="1:28" ht="15" customHeight="1" x14ac:dyDescent="0.3">
      <c r="A21" s="143" t="s">
        <v>1128</v>
      </c>
      <c r="B21" s="5" t="s">
        <v>1086</v>
      </c>
      <c r="C21" s="5" t="s">
        <v>1087</v>
      </c>
      <c r="D21" s="5" t="s">
        <v>1534</v>
      </c>
      <c r="E21" s="63" t="s">
        <v>1088</v>
      </c>
      <c r="F21" s="5" t="s">
        <v>1126</v>
      </c>
      <c r="G21" s="5" t="s">
        <v>1130</v>
      </c>
      <c r="H21" s="5" t="s">
        <v>1089</v>
      </c>
      <c r="I21" s="5" t="s">
        <v>1090</v>
      </c>
      <c r="J21" s="5" t="s">
        <v>650</v>
      </c>
      <c r="K21" s="5" t="s">
        <v>1127</v>
      </c>
      <c r="L21" s="5" t="s">
        <v>1131</v>
      </c>
      <c r="M21" s="5" t="s">
        <v>1091</v>
      </c>
      <c r="N21" s="5" t="s">
        <v>1092</v>
      </c>
      <c r="O21" s="5" t="s">
        <v>1714</v>
      </c>
      <c r="P21" s="5" t="s">
        <v>1132</v>
      </c>
      <c r="Q21" s="5" t="s">
        <v>1129</v>
      </c>
      <c r="R21" s="5" t="s">
        <v>1133</v>
      </c>
      <c r="S21" s="63" t="s">
        <v>1908</v>
      </c>
      <c r="T21" s="5" t="s">
        <v>1909</v>
      </c>
    </row>
    <row r="22" spans="1:28" ht="15" customHeight="1" x14ac:dyDescent="0.3">
      <c r="A22" s="145" t="s">
        <v>1146</v>
      </c>
      <c r="B22" s="5" t="s">
        <v>1529</v>
      </c>
      <c r="Q22" s="5" t="s">
        <v>3799</v>
      </c>
    </row>
    <row r="23" spans="1:28" ht="15" customHeight="1" x14ac:dyDescent="0.3">
      <c r="A23" s="143" t="s">
        <v>1094</v>
      </c>
      <c r="B23" s="5" t="s">
        <v>1265</v>
      </c>
      <c r="C23" s="5" t="s">
        <v>1266</v>
      </c>
      <c r="D23" s="5" t="s">
        <v>1267</v>
      </c>
      <c r="E23" s="5" t="s">
        <v>1130</v>
      </c>
      <c r="F23" s="5" t="s">
        <v>1089</v>
      </c>
      <c r="G23" s="5" t="s">
        <v>1268</v>
      </c>
      <c r="H23" s="5" t="s">
        <v>1269</v>
      </c>
      <c r="I23" s="5" t="s">
        <v>1270</v>
      </c>
      <c r="J23" s="5" t="s">
        <v>1271</v>
      </c>
      <c r="K23" s="5" t="s">
        <v>4918</v>
      </c>
      <c r="L23" s="5" t="s">
        <v>1272</v>
      </c>
      <c r="M23" s="5" t="s">
        <v>1273</v>
      </c>
      <c r="N23" s="241" t="s">
        <v>1274</v>
      </c>
      <c r="O23" s="5" t="s">
        <v>1275</v>
      </c>
      <c r="P23" s="5" t="s">
        <v>1276</v>
      </c>
      <c r="Q23" s="5" t="s">
        <v>1270</v>
      </c>
      <c r="R23" s="5" t="s">
        <v>4911</v>
      </c>
      <c r="S23" s="5" t="s">
        <v>4914</v>
      </c>
      <c r="T23" s="5" t="s">
        <v>4917</v>
      </c>
      <c r="U23" s="254" t="s">
        <v>4916</v>
      </c>
      <c r="V23" s="254" t="s">
        <v>801</v>
      </c>
      <c r="W23" s="254" t="s">
        <v>4915</v>
      </c>
      <c r="X23" s="5" t="s">
        <v>4912</v>
      </c>
      <c r="Y23" s="63" t="s">
        <v>4919</v>
      </c>
    </row>
    <row r="24" spans="1:28" ht="15" customHeight="1" x14ac:dyDescent="0.3">
      <c r="A24" s="143" t="s">
        <v>1108</v>
      </c>
      <c r="B24" s="5" t="s">
        <v>1109</v>
      </c>
      <c r="C24" s="5" t="s">
        <v>1110</v>
      </c>
      <c r="D24" s="5" t="s">
        <v>1111</v>
      </c>
      <c r="E24" s="5" t="s">
        <v>1112</v>
      </c>
    </row>
    <row r="25" spans="1:28" ht="15" customHeight="1" x14ac:dyDescent="0.3">
      <c r="A25" s="143" t="s">
        <v>1113</v>
      </c>
      <c r="B25" s="5" t="s">
        <v>1114</v>
      </c>
      <c r="C25" s="5" t="s">
        <v>1115</v>
      </c>
    </row>
    <row r="26" spans="1:28" ht="15" customHeight="1" x14ac:dyDescent="0.3">
      <c r="A26" s="146" t="s">
        <v>1138</v>
      </c>
      <c r="B26" s="5" t="s">
        <v>1139</v>
      </c>
    </row>
    <row r="27" spans="1:28" ht="15" customHeight="1" x14ac:dyDescent="0.3">
      <c r="A27" s="146" t="s">
        <v>1141</v>
      </c>
      <c r="B27" s="5" t="s">
        <v>1259</v>
      </c>
      <c r="C27" s="5" t="s">
        <v>1257</v>
      </c>
    </row>
    <row r="28" spans="1:28" ht="15" customHeight="1" x14ac:dyDescent="0.3">
      <c r="A28" s="146" t="s">
        <v>652</v>
      </c>
      <c r="C28" s="5" t="s">
        <v>1142</v>
      </c>
    </row>
    <row r="29" spans="1:28" ht="15" customHeight="1" x14ac:dyDescent="0.3">
      <c r="A29" s="157" t="s">
        <v>1147</v>
      </c>
      <c r="B29" s="5" t="s">
        <v>1535</v>
      </c>
      <c r="C29" s="5" t="s">
        <v>1148</v>
      </c>
      <c r="D29" s="5" t="s">
        <v>1149</v>
      </c>
      <c r="E29" s="5" t="s">
        <v>1150</v>
      </c>
      <c r="F29" s="5" t="s">
        <v>1151</v>
      </c>
      <c r="G29" s="5" t="s">
        <v>1152</v>
      </c>
      <c r="H29" s="5" t="s">
        <v>1160</v>
      </c>
    </row>
    <row r="30" spans="1:28" ht="15" customHeight="1" x14ac:dyDescent="0.3">
      <c r="A30" s="146" t="s">
        <v>1176</v>
      </c>
      <c r="B30" s="5" t="s">
        <v>1182</v>
      </c>
      <c r="C30" s="5" t="s">
        <v>1177</v>
      </c>
      <c r="D30" s="5" t="s">
        <v>789</v>
      </c>
      <c r="E30" s="5" t="s">
        <v>1178</v>
      </c>
      <c r="F30" s="5" t="s">
        <v>839</v>
      </c>
      <c r="G30" s="5" t="s">
        <v>573</v>
      </c>
      <c r="H30" s="5" t="s">
        <v>4</v>
      </c>
      <c r="I30" s="5" t="s">
        <v>1180</v>
      </c>
      <c r="J30" s="5" t="s">
        <v>1179</v>
      </c>
      <c r="K30" s="5" t="s">
        <v>1181</v>
      </c>
    </row>
    <row r="31" spans="1:28" ht="15" customHeight="1" x14ac:dyDescent="0.3">
      <c r="A31" s="157" t="s">
        <v>1617</v>
      </c>
      <c r="B31" s="5" t="s">
        <v>1086</v>
      </c>
      <c r="C31" s="5" t="s">
        <v>1087</v>
      </c>
      <c r="D31" s="5" t="s">
        <v>1618</v>
      </c>
      <c r="E31" s="5" t="s">
        <v>1126</v>
      </c>
      <c r="F31" s="5" t="s">
        <v>1130</v>
      </c>
      <c r="G31" s="5" t="s">
        <v>1089</v>
      </c>
      <c r="H31" s="254" t="s">
        <v>1619</v>
      </c>
      <c r="I31" s="254" t="s">
        <v>1620</v>
      </c>
      <c r="J31" s="254" t="s">
        <v>1621</v>
      </c>
      <c r="K31" s="254" t="s">
        <v>44</v>
      </c>
      <c r="L31" s="254" t="s">
        <v>1628</v>
      </c>
      <c r="M31" s="254" t="s">
        <v>1622</v>
      </c>
      <c r="N31" s="254" t="s">
        <v>650</v>
      </c>
      <c r="O31" s="254" t="s">
        <v>4</v>
      </c>
      <c r="P31" s="254" t="s">
        <v>1623</v>
      </c>
      <c r="Q31" s="254" t="s">
        <v>1624</v>
      </c>
      <c r="R31" s="254" t="s">
        <v>1625</v>
      </c>
      <c r="S31" s="254" t="s">
        <v>44</v>
      </c>
      <c r="T31" s="254" t="s">
        <v>1629</v>
      </c>
      <c r="U31" s="254" t="s">
        <v>44</v>
      </c>
      <c r="V31" s="254" t="s">
        <v>1093</v>
      </c>
      <c r="W31" s="5" t="s">
        <v>1626</v>
      </c>
      <c r="X31" s="5" t="s">
        <v>1132</v>
      </c>
      <c r="Y31" s="256" t="s">
        <v>1627</v>
      </c>
      <c r="Z31" s="256" t="s">
        <v>650</v>
      </c>
      <c r="AA31" s="256" t="s">
        <v>4</v>
      </c>
      <c r="AB31" s="5" t="s">
        <v>1630</v>
      </c>
    </row>
    <row r="32" spans="1:28" ht="15" customHeight="1" x14ac:dyDescent="0.3">
      <c r="A32" s="146" t="s">
        <v>1278</v>
      </c>
      <c r="B32" s="5" t="s">
        <v>1530</v>
      </c>
      <c r="C32" s="5" t="s">
        <v>1279</v>
      </c>
    </row>
    <row r="33" spans="1:24" ht="15" customHeight="1" x14ac:dyDescent="0.3">
      <c r="A33" s="377" t="s">
        <v>1288</v>
      </c>
      <c r="B33" s="5" t="s">
        <v>1759</v>
      </c>
      <c r="C33" s="5" t="s">
        <v>1536</v>
      </c>
      <c r="D33" s="5" t="s">
        <v>1755</v>
      </c>
      <c r="E33" s="5" t="s">
        <v>1751</v>
      </c>
      <c r="F33" s="5" t="s">
        <v>1752</v>
      </c>
      <c r="G33" s="5" t="s">
        <v>1753</v>
      </c>
      <c r="H33" s="5" t="s">
        <v>1757</v>
      </c>
      <c r="I33" s="5" t="s">
        <v>1758</v>
      </c>
      <c r="J33" s="5" t="s">
        <v>1754</v>
      </c>
      <c r="K33" s="5" t="s">
        <v>1756</v>
      </c>
      <c r="L33" s="263"/>
    </row>
    <row r="34" spans="1:24" ht="15" customHeight="1" x14ac:dyDescent="0.3">
      <c r="A34" s="146" t="s">
        <v>1295</v>
      </c>
      <c r="B34" s="5" t="s">
        <v>1531</v>
      </c>
    </row>
    <row r="35" spans="1:24" ht="15" customHeight="1" x14ac:dyDescent="0.3">
      <c r="A35" s="377" t="s">
        <v>5726</v>
      </c>
      <c r="B35" s="5" t="s">
        <v>5727</v>
      </c>
      <c r="C35" s="5" t="s">
        <v>1296</v>
      </c>
      <c r="D35" s="5" t="s">
        <v>1297</v>
      </c>
      <c r="E35" s="5" t="s">
        <v>1298</v>
      </c>
      <c r="F35" s="5" t="s">
        <v>791</v>
      </c>
      <c r="G35" s="5" t="s">
        <v>573</v>
      </c>
      <c r="H35" s="5" t="s">
        <v>4</v>
      </c>
      <c r="I35" s="5" t="s">
        <v>5722</v>
      </c>
      <c r="J35" s="5" t="s">
        <v>5723</v>
      </c>
      <c r="K35" s="5" t="s">
        <v>5724</v>
      </c>
    </row>
    <row r="36" spans="1:24" ht="15" customHeight="1" x14ac:dyDescent="0.3">
      <c r="A36" s="377" t="s">
        <v>1345</v>
      </c>
      <c r="B36" s="5" t="s">
        <v>4943</v>
      </c>
      <c r="C36" s="5" t="s">
        <v>5253</v>
      </c>
      <c r="D36" s="63" t="s">
        <v>4944</v>
      </c>
      <c r="E36" s="5" t="s">
        <v>4945</v>
      </c>
      <c r="F36" s="5" t="s">
        <v>4946</v>
      </c>
      <c r="G36" s="5" t="s">
        <v>4947</v>
      </c>
      <c r="H36" s="5" t="s">
        <v>5245</v>
      </c>
      <c r="I36" s="5" t="s">
        <v>4948</v>
      </c>
      <c r="J36" s="63" t="s">
        <v>5246</v>
      </c>
      <c r="K36" s="241" t="s">
        <v>1090</v>
      </c>
      <c r="L36" s="254" t="s">
        <v>650</v>
      </c>
      <c r="M36" s="254" t="s">
        <v>4</v>
      </c>
      <c r="N36" s="256" t="s">
        <v>5256</v>
      </c>
      <c r="O36" s="254" t="s">
        <v>1872</v>
      </c>
      <c r="P36" s="63" t="s">
        <v>4949</v>
      </c>
      <c r="Q36" s="5" t="s">
        <v>44</v>
      </c>
      <c r="R36" s="5" t="s">
        <v>4950</v>
      </c>
      <c r="S36" s="5" t="s">
        <v>5250</v>
      </c>
      <c r="T36" s="5" t="s">
        <v>1093</v>
      </c>
      <c r="U36" s="5" t="s">
        <v>5251</v>
      </c>
      <c r="V36" s="5" t="s">
        <v>5252</v>
      </c>
      <c r="W36" s="63" t="s">
        <v>5254</v>
      </c>
      <c r="X36" s="241" t="s">
        <v>5255</v>
      </c>
    </row>
    <row r="37" spans="1:24" ht="15" customHeight="1" x14ac:dyDescent="0.3">
      <c r="A37" s="146" t="s">
        <v>1415</v>
      </c>
      <c r="B37" s="5" t="s">
        <v>1711</v>
      </c>
    </row>
    <row r="38" spans="1:24" ht="15" customHeight="1" x14ac:dyDescent="0.3">
      <c r="A38" s="157" t="s">
        <v>1636</v>
      </c>
      <c r="B38" s="5" t="s">
        <v>1637</v>
      </c>
      <c r="C38" s="5" t="s">
        <v>842</v>
      </c>
      <c r="D38" s="5" t="s">
        <v>1638</v>
      </c>
      <c r="E38" s="5" t="s">
        <v>1639</v>
      </c>
      <c r="F38" s="5" t="s">
        <v>1640</v>
      </c>
    </row>
    <row r="39" spans="1:24" ht="15" customHeight="1" x14ac:dyDescent="0.3">
      <c r="A39" s="556" t="s">
        <v>5712</v>
      </c>
      <c r="B39" s="5" t="s">
        <v>5725</v>
      </c>
      <c r="C39" s="5" t="s">
        <v>5713</v>
      </c>
      <c r="D39" s="5" t="s">
        <v>5714</v>
      </c>
      <c r="E39" s="5" t="s">
        <v>5715</v>
      </c>
      <c r="F39" s="5" t="s">
        <v>5716</v>
      </c>
      <c r="G39" s="5" t="s">
        <v>5717</v>
      </c>
      <c r="H39" s="5" t="s">
        <v>5718</v>
      </c>
      <c r="I39" s="5" t="s">
        <v>5719</v>
      </c>
      <c r="J39" s="5" t="s">
        <v>5720</v>
      </c>
      <c r="K39" s="5" t="s">
        <v>5721</v>
      </c>
      <c r="L39" s="5" t="s">
        <v>573</v>
      </c>
      <c r="M39" s="5" t="s">
        <v>4</v>
      </c>
      <c r="N39" s="5" t="s">
        <v>5722</v>
      </c>
      <c r="O39" s="5" t="s">
        <v>5723</v>
      </c>
      <c r="P39" s="5" t="s">
        <v>5724</v>
      </c>
    </row>
    <row r="40" spans="1:24" ht="15" customHeight="1" x14ac:dyDescent="0.3">
      <c r="A40" s="146" t="s">
        <v>1665</v>
      </c>
      <c r="B40" s="5" t="s">
        <v>1666</v>
      </c>
      <c r="C40" s="5" t="s">
        <v>1667</v>
      </c>
      <c r="D40" s="8"/>
    </row>
    <row r="41" spans="1:24" ht="15" customHeight="1" x14ac:dyDescent="0.3">
      <c r="A41" s="146" t="s">
        <v>1668</v>
      </c>
      <c r="B41" s="5" t="s">
        <v>5711</v>
      </c>
      <c r="C41" s="5" t="s">
        <v>2814</v>
      </c>
      <c r="D41" s="5" t="s">
        <v>2813</v>
      </c>
    </row>
    <row r="42" spans="1:24" ht="15" customHeight="1" x14ac:dyDescent="0.3">
      <c r="A42" s="157" t="s">
        <v>1673</v>
      </c>
      <c r="B42" s="5" t="s">
        <v>1674</v>
      </c>
      <c r="C42" s="5" t="s">
        <v>1675</v>
      </c>
      <c r="D42" s="5" t="s">
        <v>1680</v>
      </c>
      <c r="E42" s="5" t="s">
        <v>774</v>
      </c>
      <c r="F42" s="242" t="s">
        <v>1677</v>
      </c>
      <c r="G42" s="241" t="s">
        <v>1676</v>
      </c>
      <c r="H42" s="5" t="s">
        <v>1678</v>
      </c>
      <c r="I42" s="5" t="s">
        <v>1681</v>
      </c>
      <c r="J42" s="5" t="s">
        <v>1679</v>
      </c>
    </row>
    <row r="43" spans="1:24" ht="15" customHeight="1" x14ac:dyDescent="0.3">
      <c r="A43" s="146" t="s">
        <v>1698</v>
      </c>
      <c r="B43" s="5" t="s">
        <v>1699</v>
      </c>
      <c r="C43" s="5" t="s">
        <v>1700</v>
      </c>
    </row>
    <row r="44" spans="1:24" ht="15" customHeight="1" x14ac:dyDescent="0.3">
      <c r="A44" s="157" t="s">
        <v>1715</v>
      </c>
      <c r="B44" s="5" t="s">
        <v>6780</v>
      </c>
      <c r="C44" s="5" t="s">
        <v>1726</v>
      </c>
      <c r="D44" s="8" t="s">
        <v>1727</v>
      </c>
      <c r="E44" s="5" t="s">
        <v>1728</v>
      </c>
      <c r="F44" s="5" t="s">
        <v>1731</v>
      </c>
      <c r="G44" s="5" t="s">
        <v>1729</v>
      </c>
      <c r="H44" s="5" t="s">
        <v>1730</v>
      </c>
    </row>
    <row r="45" spans="1:24" ht="15" customHeight="1" x14ac:dyDescent="0.3">
      <c r="A45" s="157" t="s">
        <v>1847</v>
      </c>
      <c r="B45" s="5" t="s">
        <v>1848</v>
      </c>
    </row>
    <row r="46" spans="1:24" ht="15" customHeight="1" x14ac:dyDescent="0.3">
      <c r="A46" s="146" t="s">
        <v>1926</v>
      </c>
      <c r="B46" s="5" t="s">
        <v>1927</v>
      </c>
    </row>
    <row r="47" spans="1:24" ht="15" customHeight="1" x14ac:dyDescent="0.3">
      <c r="A47" s="146" t="s">
        <v>1934</v>
      </c>
      <c r="B47" s="5" t="s">
        <v>1933</v>
      </c>
    </row>
    <row r="48" spans="1:24" ht="15" customHeight="1" x14ac:dyDescent="0.3">
      <c r="A48" s="146" t="s">
        <v>1935</v>
      </c>
      <c r="B48" s="5" t="s">
        <v>1936</v>
      </c>
    </row>
    <row r="49" spans="1:44" ht="15" customHeight="1" x14ac:dyDescent="0.3">
      <c r="A49" s="146" t="s">
        <v>2832</v>
      </c>
      <c r="B49" s="5" t="s">
        <v>2833</v>
      </c>
    </row>
    <row r="50" spans="1:44" ht="15" customHeight="1" x14ac:dyDescent="0.3">
      <c r="A50" s="157" t="s">
        <v>3148</v>
      </c>
      <c r="B50" s="5" t="s">
        <v>4721</v>
      </c>
      <c r="C50" s="5" t="s">
        <v>4722</v>
      </c>
      <c r="D50" s="5" t="s">
        <v>4732</v>
      </c>
      <c r="E50" s="5" t="s">
        <v>4734</v>
      </c>
      <c r="F50" s="5" t="s">
        <v>4733</v>
      </c>
    </row>
    <row r="51" spans="1:44" ht="15" customHeight="1" x14ac:dyDescent="0.3">
      <c r="A51" s="157" t="s">
        <v>4714</v>
      </c>
      <c r="B51" s="5" t="s">
        <v>4720</v>
      </c>
      <c r="C51" s="5" t="s">
        <v>1088</v>
      </c>
      <c r="D51" s="5" t="s">
        <v>1126</v>
      </c>
      <c r="E51" s="5" t="s">
        <v>4719</v>
      </c>
      <c r="F51" s="5" t="s">
        <v>4715</v>
      </c>
      <c r="G51" s="5" t="s">
        <v>4716</v>
      </c>
      <c r="H51" s="5" t="s">
        <v>4717</v>
      </c>
      <c r="I51" s="5" t="s">
        <v>4718</v>
      </c>
    </row>
    <row r="52" spans="1:44" ht="15" customHeight="1" x14ac:dyDescent="0.3">
      <c r="A52" s="157" t="s">
        <v>5679</v>
      </c>
      <c r="B52" s="5" t="s">
        <v>4943</v>
      </c>
      <c r="C52" s="5" t="s">
        <v>5225</v>
      </c>
      <c r="D52" s="5" t="s">
        <v>5232</v>
      </c>
      <c r="E52" s="5" t="s">
        <v>5226</v>
      </c>
      <c r="F52" s="5" t="s">
        <v>5227</v>
      </c>
      <c r="G52" s="5" t="s">
        <v>573</v>
      </c>
      <c r="H52" s="5" t="s">
        <v>4</v>
      </c>
      <c r="I52" s="5" t="s">
        <v>5228</v>
      </c>
      <c r="J52" s="5" t="s">
        <v>5229</v>
      </c>
      <c r="K52" s="5" t="s">
        <v>5230</v>
      </c>
      <c r="L52" s="5" t="s">
        <v>5231</v>
      </c>
      <c r="M52" s="5" t="s">
        <v>5237</v>
      </c>
    </row>
    <row r="53" spans="1:44" ht="15" customHeight="1" x14ac:dyDescent="0.3">
      <c r="A53" s="157" t="s">
        <v>3150</v>
      </c>
      <c r="B53" s="5" t="s">
        <v>5681</v>
      </c>
      <c r="C53" s="5" t="s">
        <v>5690</v>
      </c>
      <c r="D53" s="5" t="s">
        <v>5682</v>
      </c>
      <c r="E53" s="5" t="s">
        <v>5691</v>
      </c>
      <c r="F53" s="5" t="s">
        <v>5692</v>
      </c>
      <c r="G53" s="5" t="s">
        <v>5683</v>
      </c>
      <c r="H53" s="5" t="s">
        <v>5688</v>
      </c>
    </row>
    <row r="54" spans="1:44" ht="15" customHeight="1" x14ac:dyDescent="0.3">
      <c r="A54" s="549" t="s">
        <v>5680</v>
      </c>
      <c r="B54" s="5" t="s">
        <v>5684</v>
      </c>
      <c r="C54" s="5" t="s">
        <v>5685</v>
      </c>
      <c r="D54" s="5" t="s">
        <v>5686</v>
      </c>
    </row>
    <row r="55" spans="1:44" ht="15" customHeight="1" x14ac:dyDescent="0.3">
      <c r="A55" s="146" t="s">
        <v>2479</v>
      </c>
      <c r="B55" s="5" t="s">
        <v>7086</v>
      </c>
    </row>
    <row r="56" spans="1:44" ht="15" customHeight="1" x14ac:dyDescent="0.3">
      <c r="A56" s="549" t="s">
        <v>8038</v>
      </c>
      <c r="B56" s="5" t="s">
        <v>8074</v>
      </c>
      <c r="C56" s="5" t="s">
        <v>1126</v>
      </c>
      <c r="D56" s="5" t="s">
        <v>1130</v>
      </c>
      <c r="E56" s="5" t="s">
        <v>8039</v>
      </c>
      <c r="F56" s="5" t="s">
        <v>1090</v>
      </c>
      <c r="G56" s="5" t="s">
        <v>8040</v>
      </c>
      <c r="H56" s="5" t="s">
        <v>4</v>
      </c>
      <c r="I56" s="5" t="s">
        <v>8041</v>
      </c>
      <c r="J56" s="5" t="s">
        <v>8042</v>
      </c>
      <c r="K56" s="5" t="s">
        <v>8043</v>
      </c>
      <c r="L56" s="5" t="s">
        <v>8044</v>
      </c>
      <c r="M56" s="5" t="s">
        <v>8045</v>
      </c>
      <c r="N56" s="5" t="s">
        <v>8046</v>
      </c>
      <c r="O56" s="5" t="s">
        <v>8047</v>
      </c>
      <c r="P56" s="241" t="s">
        <v>8048</v>
      </c>
      <c r="Q56" s="256" t="s">
        <v>8051</v>
      </c>
      <c r="R56" s="5" t="s">
        <v>8049</v>
      </c>
      <c r="S56" s="5" t="s">
        <v>8050</v>
      </c>
      <c r="T56" s="5" t="s">
        <v>8052</v>
      </c>
      <c r="U56" s="5" t="s">
        <v>8053</v>
      </c>
      <c r="V56" s="5" t="s">
        <v>8054</v>
      </c>
      <c r="W56" s="5" t="s">
        <v>8055</v>
      </c>
      <c r="X56" s="5" t="s">
        <v>8056</v>
      </c>
      <c r="Y56" s="5" t="s">
        <v>8057</v>
      </c>
      <c r="Z56" s="5" t="s">
        <v>8058</v>
      </c>
      <c r="AA56" s="5" t="s">
        <v>8059</v>
      </c>
      <c r="AB56" s="5" t="s">
        <v>8060</v>
      </c>
      <c r="AC56" s="5" t="s">
        <v>8062</v>
      </c>
      <c r="AD56" s="5" t="s">
        <v>8061</v>
      </c>
      <c r="AE56" s="5" t="s">
        <v>8063</v>
      </c>
      <c r="AF56" s="5" t="s">
        <v>8064</v>
      </c>
      <c r="AG56" s="5" t="s">
        <v>8065</v>
      </c>
      <c r="AH56" s="5" t="s">
        <v>8066</v>
      </c>
      <c r="AI56" s="5" t="s">
        <v>44</v>
      </c>
      <c r="AJ56" s="5" t="s">
        <v>8067</v>
      </c>
      <c r="AK56" s="5" t="s">
        <v>8068</v>
      </c>
      <c r="AL56" s="5" t="s">
        <v>804</v>
      </c>
      <c r="AM56" s="5" t="s">
        <v>8069</v>
      </c>
      <c r="AN56" s="5" t="s">
        <v>8070</v>
      </c>
      <c r="AO56" s="5" t="s">
        <v>8071</v>
      </c>
      <c r="AP56" s="5" t="s">
        <v>8072</v>
      </c>
      <c r="AQ56" s="5" t="s">
        <v>44</v>
      </c>
      <c r="AR56" s="5" t="s">
        <v>8073</v>
      </c>
    </row>
    <row r="57" spans="1:44" ht="15" customHeight="1" x14ac:dyDescent="0.3">
      <c r="A57" s="256" t="s">
        <v>8130</v>
      </c>
      <c r="B57" s="5" t="s">
        <v>8136</v>
      </c>
      <c r="C57" s="5" t="s">
        <v>8131</v>
      </c>
      <c r="D57" s="5" t="s">
        <v>8132</v>
      </c>
      <c r="E57" s="5" t="s">
        <v>8133</v>
      </c>
      <c r="F57" s="5" t="s">
        <v>8134</v>
      </c>
    </row>
    <row r="58" spans="1:44" ht="15" customHeight="1" x14ac:dyDescent="0.3">
      <c r="A58" s="256" t="s">
        <v>8138</v>
      </c>
      <c r="B58" s="5" t="s">
        <v>8137</v>
      </c>
    </row>
    <row r="59" spans="1:44" ht="15" customHeight="1" x14ac:dyDescent="0.3">
      <c r="A59" s="256" t="s">
        <v>6088</v>
      </c>
      <c r="B59" s="5" t="s">
        <v>8304</v>
      </c>
      <c r="C59" s="5" t="s">
        <v>8227</v>
      </c>
      <c r="D59" s="63" t="s">
        <v>8305</v>
      </c>
      <c r="E59" s="241" t="s">
        <v>8308</v>
      </c>
      <c r="F59" s="5" t="s">
        <v>8309</v>
      </c>
      <c r="G59" s="5" t="s">
        <v>8310</v>
      </c>
      <c r="H59" s="5" t="s">
        <v>8311</v>
      </c>
      <c r="I59" s="5" t="s">
        <v>8312</v>
      </c>
      <c r="J59" s="5" t="s">
        <v>8313</v>
      </c>
      <c r="K59" s="241" t="s">
        <v>132</v>
      </c>
      <c r="L59" s="5" t="s">
        <v>8314</v>
      </c>
      <c r="M59" s="5" t="s">
        <v>8315</v>
      </c>
      <c r="N59" s="5" t="s">
        <v>8316</v>
      </c>
      <c r="O59" s="5" t="s">
        <v>8317</v>
      </c>
      <c r="P59" s="5" t="s">
        <v>8318</v>
      </c>
    </row>
  </sheetData>
  <mergeCells count="2">
    <mergeCell ref="A1:A2"/>
    <mergeCell ref="B1:O2"/>
  </mergeCells>
  <pageMargins left="0.7" right="0.7" top="0.75" bottom="0.75" header="0.3" footer="0.3"/>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FO"/>
  <dimension ref="A1:P197"/>
  <sheetViews>
    <sheetView workbookViewId="0">
      <selection activeCell="E58" sqref="E58"/>
    </sheetView>
  </sheetViews>
  <sheetFormatPr defaultColWidth="8.6640625" defaultRowHeight="14.4" x14ac:dyDescent="0.3"/>
  <cols>
    <col min="1" max="1" width="21.33203125" style="19" customWidth="1"/>
    <col min="2" max="2" width="12.44140625" style="1169" customWidth="1"/>
    <col min="3" max="3" width="12.109375" style="21" customWidth="1"/>
    <col min="4" max="4" width="11.5546875" style="21" customWidth="1"/>
    <col min="5" max="5" width="11.5546875" style="20" customWidth="1"/>
    <col min="6" max="6" width="8.6640625" style="11"/>
    <col min="7" max="7" width="8.6640625" style="623"/>
    <col min="8" max="9" width="8.6640625" style="11"/>
    <col min="10" max="10" width="16.109375" style="11" customWidth="1"/>
    <col min="11" max="11" width="5.6640625" style="11" customWidth="1"/>
    <col min="12" max="12" width="10.88671875" style="11" customWidth="1"/>
    <col min="13" max="13" width="6.109375" style="11" customWidth="1"/>
    <col min="14" max="14" width="13.88671875" style="11" customWidth="1"/>
    <col min="15" max="15" width="6.44140625" style="11" customWidth="1"/>
    <col min="16" max="16384" width="8.6640625" style="11"/>
  </cols>
  <sheetData>
    <row r="1" spans="1:16" ht="15.6" thickTop="1" thickBot="1" x14ac:dyDescent="0.35">
      <c r="A1" s="1351" t="s">
        <v>7</v>
      </c>
      <c r="B1" s="1352"/>
      <c r="C1" s="1352"/>
      <c r="D1" s="1352"/>
      <c r="E1" s="1352"/>
      <c r="F1" s="1352"/>
      <c r="G1" s="1352"/>
      <c r="H1" s="1352"/>
      <c r="I1" s="1352"/>
      <c r="J1" s="1352"/>
      <c r="K1" s="1352"/>
      <c r="L1" s="1352"/>
      <c r="M1" s="1352"/>
      <c r="N1" s="1352"/>
      <c r="O1" s="1353"/>
      <c r="P1" s="20">
        <f>COUNTA(STATUS!$A:$A)-1</f>
        <v>3881</v>
      </c>
    </row>
    <row r="2" spans="1:16" ht="15.6" thickTop="1" thickBot="1" x14ac:dyDescent="0.35">
      <c r="A2" s="12" t="s">
        <v>12</v>
      </c>
      <c r="B2" s="1167" t="s">
        <v>13</v>
      </c>
      <c r="C2" s="12" t="s">
        <v>14</v>
      </c>
      <c r="D2" s="12" t="s">
        <v>11</v>
      </c>
      <c r="E2" s="12" t="s">
        <v>15</v>
      </c>
      <c r="F2" s="12" t="s">
        <v>6385</v>
      </c>
      <c r="G2" s="622" t="s">
        <v>5728</v>
      </c>
      <c r="H2" s="12" t="s">
        <v>6385</v>
      </c>
      <c r="I2" s="622" t="s">
        <v>5728</v>
      </c>
      <c r="J2" s="1350" t="s">
        <v>17</v>
      </c>
      <c r="K2" s="1350"/>
      <c r="L2" s="1350" t="s">
        <v>18</v>
      </c>
      <c r="M2" s="1350"/>
      <c r="N2" s="1350" t="s">
        <v>19</v>
      </c>
      <c r="O2" s="1350"/>
      <c r="P2" s="20">
        <f>SUM(F:F)</f>
        <v>3847</v>
      </c>
    </row>
    <row r="3" spans="1:16" ht="15" thickTop="1" x14ac:dyDescent="0.3">
      <c r="A3" s="13" t="s">
        <v>150</v>
      </c>
      <c r="B3" s="1168">
        <v>7713056834</v>
      </c>
      <c r="C3" s="13" t="s">
        <v>151</v>
      </c>
      <c r="D3" s="13" t="s">
        <v>151</v>
      </c>
      <c r="E3" s="14">
        <v>33639</v>
      </c>
      <c r="F3" s="20">
        <f>COUNTIF(STATUS!$G:$G,ФО!A3)</f>
        <v>515</v>
      </c>
      <c r="G3" s="624">
        <f>F3/(COUNTA(STATUS!$A:$A)-1)</f>
        <v>0.132697758309714</v>
      </c>
      <c r="H3" s="20">
        <f>COUNTIFS(STATUS!$G:$G,ФО!A3,STATUS!H:H,"КАСКО")</f>
        <v>9</v>
      </c>
      <c r="I3" s="624">
        <f>H3/(COUNTIF(STATUS!H:H,"КАСКО"))</f>
        <v>7.0866141732283464E-2</v>
      </c>
      <c r="J3" s="20">
        <f>COUNTIFS(STATUS!$G:$G,ФО!A$3,STATUS!$N:$N,ФО!J2)</f>
        <v>155</v>
      </c>
      <c r="K3" s="1249">
        <f>J3/($J3+$L3+$N3)</f>
        <v>0.35469107551487417</v>
      </c>
      <c r="L3" s="20">
        <f>COUNTIFS(STATUS!$G:$G,ФО!A$3,STATUS!$N:$N,ФО!L2)</f>
        <v>245</v>
      </c>
      <c r="M3" s="1249">
        <f>L3/($J3+$L3+$N3)</f>
        <v>0.5606407322654462</v>
      </c>
      <c r="N3" s="20">
        <f>COUNTIFS(STATUS!$G:$G,ФО!A$3,STATUS!$N:$N,ФО!N2)</f>
        <v>37</v>
      </c>
      <c r="O3" s="1249">
        <f>N3/($J3+$L3+$N3)</f>
        <v>8.4668192219679639E-2</v>
      </c>
    </row>
    <row r="4" spans="1:16" x14ac:dyDescent="0.3">
      <c r="A4" s="15" t="s">
        <v>157</v>
      </c>
      <c r="B4" s="376">
        <v>7725497022</v>
      </c>
      <c r="C4" s="15" t="s">
        <v>11772</v>
      </c>
      <c r="D4" s="15" t="s">
        <v>11772</v>
      </c>
      <c r="E4" s="16">
        <v>43348</v>
      </c>
      <c r="F4" s="20">
        <f>COUNTIF(STATUS!$G:$G,ФО!A4)</f>
        <v>129</v>
      </c>
      <c r="G4" s="624">
        <f>F4/(COUNTA(STATUS!$A:$A)-1)</f>
        <v>3.3238855964957487E-2</v>
      </c>
      <c r="H4" s="20">
        <f>COUNTIFS(STATUS!$G:$G,ФО!A4,STATUS!H:H,"КАСКО")</f>
        <v>3</v>
      </c>
      <c r="I4" s="624">
        <f>H4/(COUNTIF(STATUS!H:H,"КАСКО"))</f>
        <v>2.3622047244094488E-2</v>
      </c>
      <c r="J4" s="20">
        <f>COUNTIFS(STATUS!$G:$G,ФО!A4,STATUS!$N:$N,ФО!J$2)</f>
        <v>50</v>
      </c>
      <c r="K4" s="1249">
        <f>J4/($J4+$L4+$N4)</f>
        <v>0.43859649122807015</v>
      </c>
      <c r="L4" s="20">
        <f>COUNTIFS(STATUS!$G:$G,ФО!A4,STATUS!$N:$N,ФО!L$2)</f>
        <v>51</v>
      </c>
      <c r="M4" s="1249">
        <f>L4/($J4+$L4+$N4)</f>
        <v>0.44736842105263158</v>
      </c>
      <c r="N4" s="20">
        <f>COUNTIFS(STATUS!$G:$G,ФО!A4,STATUS!$N:$N,ФО!N$2)</f>
        <v>13</v>
      </c>
      <c r="O4" s="1249">
        <f>N4/($J4+$L4+$N4)</f>
        <v>0.11403508771929824</v>
      </c>
    </row>
    <row r="5" spans="1:16" x14ac:dyDescent="0.3">
      <c r="A5" s="65" t="s">
        <v>181</v>
      </c>
      <c r="B5" s="376">
        <v>8601023568</v>
      </c>
      <c r="C5" s="15" t="s">
        <v>182</v>
      </c>
      <c r="D5" s="15" t="s">
        <v>182</v>
      </c>
      <c r="E5" s="16">
        <v>38240</v>
      </c>
      <c r="F5" s="20">
        <f>COUNTIF(STATUS!$G:$G,ФО!A5)</f>
        <v>81</v>
      </c>
      <c r="G5" s="624">
        <f>F5/(COUNTA(STATUS!$A:$A)-1)</f>
        <v>2.0870909559391908E-2</v>
      </c>
      <c r="H5" s="20">
        <f>COUNTIFS(STATUS!$G:$G,ФО!A5,STATUS!H:H,"КАСКО")</f>
        <v>1</v>
      </c>
      <c r="I5" s="624">
        <f>H5/(COUNTIF(STATUS!H:H,"КАСКО"))</f>
        <v>7.874015748031496E-3</v>
      </c>
      <c r="J5" s="20">
        <f>COUNTIFS(STATUS!$G:$G,ФО!A5,STATUS!$N:$N,ФО!J$2)</f>
        <v>23</v>
      </c>
      <c r="K5" s="1249">
        <f>J5/($J5+$L5+$N5)</f>
        <v>0.323943661971831</v>
      </c>
      <c r="L5" s="20">
        <f>COUNTIFS(STATUS!$G:$G,ФО!A5,STATUS!$N:$N,ФО!L$2)</f>
        <v>33</v>
      </c>
      <c r="M5" s="1249">
        <f>L5/($J5+$L5+$N5)</f>
        <v>0.46478873239436619</v>
      </c>
      <c r="N5" s="20">
        <f>COUNTIFS(STATUS!$G:$G,ФО!A5,STATUS!$N:$N,ФО!N$2)</f>
        <v>15</v>
      </c>
      <c r="O5" s="1249">
        <f>N5/($J5+$L5+$N5)</f>
        <v>0.21126760563380281</v>
      </c>
    </row>
    <row r="6" spans="1:16" x14ac:dyDescent="0.3">
      <c r="A6" s="65" t="s">
        <v>410</v>
      </c>
      <c r="B6" s="376">
        <v>7709031643</v>
      </c>
      <c r="C6" s="15" t="s">
        <v>922</v>
      </c>
      <c r="D6" s="15" t="s">
        <v>922</v>
      </c>
      <c r="E6" s="64">
        <v>33676</v>
      </c>
      <c r="F6" s="20">
        <f>COUNTIF(STATUS!$G:$G,ФО!A6)</f>
        <v>111</v>
      </c>
      <c r="G6" s="624">
        <f>F6/(COUNTA(STATUS!$A:$A)-1)</f>
        <v>2.8600876062870394E-2</v>
      </c>
      <c r="H6" s="20">
        <f>COUNTIFS(STATUS!$G:$G,ФО!A6,STATUS!H:H,"КАСКО")</f>
        <v>1</v>
      </c>
      <c r="I6" s="624">
        <f>H6/(COUNTIF(STATUS!H:H,"КАСКО"))</f>
        <v>7.874015748031496E-3</v>
      </c>
      <c r="J6" s="20">
        <f>COUNTIFS(STATUS!$G:$G,ФО!A6,STATUS!$N:$N,ФО!J$2)</f>
        <v>28</v>
      </c>
      <c r="K6" s="1249">
        <f>J6/($J6+$L6+$N6)</f>
        <v>0.31111111111111112</v>
      </c>
      <c r="L6" s="20">
        <f>COUNTIFS(STATUS!$G:$G,ФО!A6,STATUS!$N:$N,ФО!L$2)</f>
        <v>49</v>
      </c>
      <c r="M6" s="1249">
        <f>L6/($J6+$L6+$N6)</f>
        <v>0.5444444444444444</v>
      </c>
      <c r="N6" s="20">
        <f>COUNTIFS(STATUS!$G:$G,ФО!A6,STATUS!$N:$N,ФО!N$2)</f>
        <v>13</v>
      </c>
      <c r="O6" s="1249">
        <f>N6/($J6+$L6+$N6)</f>
        <v>0.14444444444444443</v>
      </c>
    </row>
    <row r="7" spans="1:16" x14ac:dyDescent="0.3">
      <c r="A7" s="65" t="s">
        <v>183</v>
      </c>
      <c r="B7" s="376">
        <v>1657023630</v>
      </c>
      <c r="C7" s="15" t="s">
        <v>184</v>
      </c>
      <c r="D7" s="15" t="s">
        <v>185</v>
      </c>
      <c r="E7" s="64">
        <v>35384</v>
      </c>
      <c r="F7" s="20">
        <f>COUNTIF(STATUS!$G:$G,ФО!A7)</f>
        <v>0</v>
      </c>
      <c r="G7" s="624">
        <f>F7/(COUNTA(STATUS!$A:$A)-1)</f>
        <v>0</v>
      </c>
      <c r="H7" s="20">
        <f>COUNTIFS(STATUS!$G:$G,ФО!A7,STATUS!H:H,"КАСКО")</f>
        <v>0</v>
      </c>
      <c r="I7" s="624">
        <f>H7/(COUNTIF(STATUS!H:H,"КАСКО"))</f>
        <v>0</v>
      </c>
      <c r="J7" s="20">
        <f>COUNTIFS(STATUS!$G:$G,ФО!A7,STATUS!$N:$N,ФО!J$2)</f>
        <v>0</v>
      </c>
      <c r="K7" s="1249" t="e">
        <f t="shared" ref="K7:K55" si="0">J7/($J7+$L7+$N7)</f>
        <v>#DIV/0!</v>
      </c>
      <c r="L7" s="20">
        <f>COUNTIFS(STATUS!$G:$G,ФО!A7,STATUS!$N:$N,ФО!L$2)</f>
        <v>0</v>
      </c>
      <c r="M7" s="1249" t="e">
        <f t="shared" ref="M7:M55" si="1">L7/($J7+$L7+$N7)</f>
        <v>#DIV/0!</v>
      </c>
      <c r="N7" s="20">
        <f>COUNTIFS(STATUS!$G:$G,ФО!A7,STATUS!$N:$N,ФО!N$2)</f>
        <v>0</v>
      </c>
      <c r="O7" s="1249" t="e">
        <f t="shared" ref="O7:O55" si="2">N7/($J7+$L7+$N7)</f>
        <v>#DIV/0!</v>
      </c>
    </row>
    <row r="8" spans="1:16" x14ac:dyDescent="0.3">
      <c r="A8" s="65" t="s">
        <v>733</v>
      </c>
      <c r="B8" s="376">
        <v>6312013969</v>
      </c>
      <c r="C8" s="15" t="s">
        <v>753</v>
      </c>
      <c r="D8" s="15" t="s">
        <v>753</v>
      </c>
      <c r="E8" s="16">
        <v>33499</v>
      </c>
      <c r="F8" s="20">
        <f>COUNTIF(STATUS!$G:$G,ФО!A8)</f>
        <v>12</v>
      </c>
      <c r="G8" s="624">
        <f>F8/(COUNTA(STATUS!$A:$A)-1)</f>
        <v>3.0919866013913938E-3</v>
      </c>
      <c r="H8" s="20">
        <f>COUNTIFS(STATUS!$G:$G,ФО!A8,STATUS!H:H,"КАСКО")</f>
        <v>2</v>
      </c>
      <c r="I8" s="624">
        <f>H8/(COUNTIF(STATUS!H:H,"КАСКО"))</f>
        <v>1.5748031496062992E-2</v>
      </c>
      <c r="J8" s="20">
        <f>COUNTIFS(STATUS!$G:$G,ФО!A8,STATUS!$N:$N,ФО!J$2)</f>
        <v>4</v>
      </c>
      <c r="K8" s="1249">
        <f t="shared" si="0"/>
        <v>0.36363636363636365</v>
      </c>
      <c r="L8" s="20">
        <f>COUNTIFS(STATUS!$G:$G,ФО!A8,STATUS!$N:$N,ФО!L$2)</f>
        <v>6</v>
      </c>
      <c r="M8" s="1249">
        <f t="shared" si="1"/>
        <v>0.54545454545454541</v>
      </c>
      <c r="N8" s="20">
        <f>COUNTIFS(STATUS!$G:$G,ФО!A8,STATUS!$N:$N,ФО!N$2)</f>
        <v>1</v>
      </c>
      <c r="O8" s="1249">
        <f t="shared" si="2"/>
        <v>9.0909090909090912E-2</v>
      </c>
    </row>
    <row r="9" spans="1:16" x14ac:dyDescent="0.3">
      <c r="A9" s="15" t="s">
        <v>160</v>
      </c>
      <c r="B9" s="376">
        <v>6315232133</v>
      </c>
      <c r="C9" s="15" t="s">
        <v>161</v>
      </c>
      <c r="D9" s="15" t="s">
        <v>161</v>
      </c>
      <c r="E9" s="16">
        <v>34681</v>
      </c>
      <c r="F9" s="20">
        <f>COUNTIF(STATUS!$G:$G,ФО!A9)</f>
        <v>10</v>
      </c>
      <c r="G9" s="624">
        <f>F9/(COUNTA(STATUS!$A:$A)-1)</f>
        <v>2.5766555011594952E-3</v>
      </c>
      <c r="H9" s="20">
        <f>COUNTIFS(STATUS!$G:$G,ФО!A9,STATUS!H:H,"КАСКО")</f>
        <v>0</v>
      </c>
      <c r="I9" s="624">
        <f>H9/(COUNTIF(STATUS!H:H,"КАСКО"))</f>
        <v>0</v>
      </c>
      <c r="J9" s="20">
        <f>COUNTIFS(STATUS!$G:$G,ФО!A9,STATUS!$N:$N,ФО!J$2)</f>
        <v>3</v>
      </c>
      <c r="K9" s="1249">
        <f t="shared" si="0"/>
        <v>0.375</v>
      </c>
      <c r="L9" s="20">
        <f>COUNTIFS(STATUS!$G:$G,ФО!A9,STATUS!$N:$N,ФО!L$2)</f>
        <v>4</v>
      </c>
      <c r="M9" s="1249">
        <f t="shared" si="1"/>
        <v>0.5</v>
      </c>
      <c r="N9" s="20">
        <f>COUNTIFS(STATUS!$G:$G,ФО!A9,STATUS!$N:$N,ФО!N$2)</f>
        <v>1</v>
      </c>
      <c r="O9" s="1249">
        <f t="shared" si="2"/>
        <v>0.125</v>
      </c>
    </row>
    <row r="10" spans="1:16" x14ac:dyDescent="0.3">
      <c r="A10" s="15" t="s">
        <v>156</v>
      </c>
      <c r="B10" s="376">
        <v>7736035485</v>
      </c>
      <c r="C10" s="15" t="s">
        <v>9633</v>
      </c>
      <c r="D10" s="15" t="s">
        <v>9633</v>
      </c>
      <c r="E10" s="16">
        <v>34780</v>
      </c>
      <c r="F10" s="20">
        <f>COUNTIF(STATUS!$G:$G,ФО!A10)</f>
        <v>457</v>
      </c>
      <c r="G10" s="624">
        <f>F10/(COUNTA(STATUS!$A:$A)-1)</f>
        <v>0.11775315640298892</v>
      </c>
      <c r="H10" s="20">
        <f>COUNTIFS(STATUS!$G:$G,ФО!A10,STATUS!H:H,"КАСКО")</f>
        <v>7</v>
      </c>
      <c r="I10" s="624">
        <f>H10/(COUNTIF(STATUS!H:H,"КАСКО"))</f>
        <v>5.5118110236220472E-2</v>
      </c>
      <c r="J10" s="20">
        <f>COUNTIFS(STATUS!$G:$G,ФО!A10,STATUS!$N:$N,ФО!J$2)</f>
        <v>144</v>
      </c>
      <c r="K10" s="1249">
        <f t="shared" si="0"/>
        <v>0.37696335078534032</v>
      </c>
      <c r="L10" s="20">
        <f>COUNTIFS(STATUS!$G:$G,ФО!A10,STATUS!$N:$N,ФО!L$2)</f>
        <v>176</v>
      </c>
      <c r="M10" s="1249">
        <f t="shared" si="1"/>
        <v>0.4607329842931937</v>
      </c>
      <c r="N10" s="20">
        <f>COUNTIFS(STATUS!$G:$G,ФО!A10,STATUS!$N:$N,ФО!N$2)</f>
        <v>62</v>
      </c>
      <c r="O10" s="1249">
        <f t="shared" si="2"/>
        <v>0.16230366492146597</v>
      </c>
    </row>
    <row r="11" spans="1:16" x14ac:dyDescent="0.3">
      <c r="A11" s="65" t="s">
        <v>1169</v>
      </c>
      <c r="B11" s="376">
        <v>7736203789</v>
      </c>
      <c r="C11" s="15" t="s">
        <v>1170</v>
      </c>
      <c r="D11" s="15" t="s">
        <v>1170</v>
      </c>
      <c r="E11" s="16">
        <v>36637</v>
      </c>
      <c r="F11" s="20">
        <f>COUNTIF(STATUS!$G:$G,ФО!A11)</f>
        <v>0</v>
      </c>
      <c r="G11" s="624">
        <f>F11/(COUNTA(STATUS!$A:$A)-1)</f>
        <v>0</v>
      </c>
      <c r="H11" s="20">
        <f>COUNTIFS(STATUS!$G:$G,ФО!A11,STATUS!H:H,"КАСКО")</f>
        <v>0</v>
      </c>
      <c r="I11" s="624">
        <f>H11/(COUNTIF(STATUS!H:H,"КАСКО"))</f>
        <v>0</v>
      </c>
      <c r="J11" s="20">
        <f>COUNTIFS(STATUS!$G:$G,ФО!A11,STATUS!$N:$N,ФО!J$2)</f>
        <v>0</v>
      </c>
      <c r="K11" s="1249" t="e">
        <f t="shared" si="0"/>
        <v>#DIV/0!</v>
      </c>
      <c r="L11" s="20">
        <f>COUNTIFS(STATUS!$G:$G,ФО!A11,STATUS!$N:$N,ФО!L$2)</f>
        <v>0</v>
      </c>
      <c r="M11" s="1249" t="e">
        <f t="shared" si="1"/>
        <v>#DIV/0!</v>
      </c>
      <c r="N11" s="20">
        <f>COUNTIFS(STATUS!$G:$G,ФО!A11,STATUS!$N:$N,ФО!N$2)</f>
        <v>0</v>
      </c>
      <c r="O11" s="1249" t="e">
        <f t="shared" si="2"/>
        <v>#DIV/0!</v>
      </c>
    </row>
    <row r="12" spans="1:16" x14ac:dyDescent="0.3">
      <c r="A12" s="65" t="s">
        <v>189</v>
      </c>
      <c r="B12" s="376">
        <v>7704082517</v>
      </c>
      <c r="C12" s="15" t="s">
        <v>190</v>
      </c>
      <c r="D12" s="15" t="s">
        <v>190</v>
      </c>
      <c r="E12" s="16">
        <v>33982</v>
      </c>
      <c r="F12" s="20">
        <f>COUNTIF(STATUS!$G:$G,ФО!A12)</f>
        <v>83</v>
      </c>
      <c r="G12" s="624">
        <f>F12/(COUNTA(STATUS!$A:$A)-1)</f>
        <v>2.1386240659623808E-2</v>
      </c>
      <c r="H12" s="20">
        <f>COUNTIFS(STATUS!$G:$G,ФО!A12,STATUS!H:H,"КАСКО")</f>
        <v>2</v>
      </c>
      <c r="I12" s="624">
        <f>H12/(COUNTIF(STATUS!H:H,"КАСКО"))</f>
        <v>1.5748031496062992E-2</v>
      </c>
      <c r="J12" s="20">
        <f>COUNTIFS(STATUS!$G:$G,ФО!A12,STATUS!$N:$N,ФО!J$2)</f>
        <v>28</v>
      </c>
      <c r="K12" s="1249">
        <f t="shared" si="0"/>
        <v>0.4</v>
      </c>
      <c r="L12" s="20">
        <f>COUNTIFS(STATUS!$G:$G,ФО!A12,STATUS!$N:$N,ФО!L$2)</f>
        <v>35</v>
      </c>
      <c r="M12" s="1249">
        <f t="shared" si="1"/>
        <v>0.5</v>
      </c>
      <c r="N12" s="20">
        <f>COUNTIFS(STATUS!$G:$G,ФО!A12,STATUS!$N:$N,ФО!N$2)</f>
        <v>7</v>
      </c>
      <c r="O12" s="1249">
        <f t="shared" si="2"/>
        <v>0.1</v>
      </c>
    </row>
    <row r="13" spans="1:16" x14ac:dyDescent="0.3">
      <c r="A13" s="15" t="s">
        <v>162</v>
      </c>
      <c r="B13" s="376">
        <v>1656000493</v>
      </c>
      <c r="C13" s="15" t="s">
        <v>163</v>
      </c>
      <c r="D13" s="15" t="s">
        <v>163</v>
      </c>
      <c r="E13" s="16">
        <v>37341</v>
      </c>
      <c r="F13" s="20">
        <f>COUNTIF(STATUS!$G:$G,ФО!A13)</f>
        <v>13</v>
      </c>
      <c r="G13" s="624">
        <f>F13/(COUNTA(STATUS!$A:$A)-1)</f>
        <v>3.3496521515073434E-3</v>
      </c>
      <c r="H13" s="20">
        <f>COUNTIFS(STATUS!$G:$G,ФО!A13,STATUS!H:H,"КАСКО")</f>
        <v>0</v>
      </c>
      <c r="I13" s="624">
        <f>H13/(COUNTIF(STATUS!H:H,"КАСКО"))</f>
        <v>0</v>
      </c>
      <c r="J13" s="20">
        <f>COUNTIFS(STATUS!$G:$G,ФО!A13,STATUS!$N:$N,ФО!J$2)</f>
        <v>3</v>
      </c>
      <c r="K13" s="1249">
        <f t="shared" si="0"/>
        <v>0.25</v>
      </c>
      <c r="L13" s="20">
        <f>COUNTIFS(STATUS!$G:$G,ФО!A13,STATUS!$N:$N,ФО!L$2)</f>
        <v>8</v>
      </c>
      <c r="M13" s="1249">
        <f t="shared" si="1"/>
        <v>0.66666666666666663</v>
      </c>
      <c r="N13" s="20">
        <f>COUNTIFS(STATUS!$G:$G,ФО!A13,STATUS!$N:$N,ФО!N$2)</f>
        <v>1</v>
      </c>
      <c r="O13" s="1249">
        <f t="shared" si="2"/>
        <v>8.3333333333333329E-2</v>
      </c>
    </row>
    <row r="14" spans="1:16" x14ac:dyDescent="0.3">
      <c r="A14" s="65" t="s">
        <v>187</v>
      </c>
      <c r="B14" s="376">
        <v>4202000716</v>
      </c>
      <c r="C14" s="15" t="s">
        <v>188</v>
      </c>
      <c r="D14" s="15" t="s">
        <v>188</v>
      </c>
      <c r="E14" s="16">
        <v>34096</v>
      </c>
      <c r="F14" s="20">
        <f>COUNTIF(STATUS!$G:$G,ФО!A14)</f>
        <v>18</v>
      </c>
      <c r="G14" s="624">
        <f>F14/(COUNTA(STATUS!$A:$A)-1)</f>
        <v>4.6379799020870912E-3</v>
      </c>
      <c r="H14" s="20">
        <f>COUNTIFS(STATUS!$G:$G,ФО!A14,STATUS!H:H,"КАСКО")</f>
        <v>0</v>
      </c>
      <c r="I14" s="624">
        <f>H14/(COUNTIF(STATUS!H:H,"КАСКО"))</f>
        <v>0</v>
      </c>
      <c r="J14" s="20">
        <f>COUNTIFS(STATUS!$G:$G,ФО!A14,STATUS!$N:$N,ФО!J$2)</f>
        <v>2</v>
      </c>
      <c r="K14" s="1249">
        <f t="shared" si="0"/>
        <v>0.13333333333333333</v>
      </c>
      <c r="L14" s="20">
        <f>COUNTIFS(STATUS!$G:$G,ФО!A14,STATUS!$N:$N,ФО!L$2)</f>
        <v>10</v>
      </c>
      <c r="M14" s="1249">
        <f t="shared" si="1"/>
        <v>0.66666666666666663</v>
      </c>
      <c r="N14" s="20">
        <f>COUNTIFS(STATUS!$G:$G,ФО!A14,STATUS!$N:$N,ФО!N$2)</f>
        <v>3</v>
      </c>
      <c r="O14" s="1249">
        <f t="shared" si="2"/>
        <v>0.2</v>
      </c>
    </row>
    <row r="15" spans="1:16" x14ac:dyDescent="0.3">
      <c r="A15" s="15" t="s">
        <v>170</v>
      </c>
      <c r="B15" s="376">
        <v>1435159327</v>
      </c>
      <c r="C15" s="15" t="s">
        <v>171</v>
      </c>
      <c r="D15" s="15" t="s">
        <v>171</v>
      </c>
      <c r="E15" s="16">
        <v>38476</v>
      </c>
      <c r="F15" s="20">
        <f>COUNTIF(STATUS!$G:$G,ФО!A15)</f>
        <v>2</v>
      </c>
      <c r="G15" s="624">
        <f>F15/(COUNTA(STATUS!$A:$A)-1)</f>
        <v>5.1533110023189901E-4</v>
      </c>
      <c r="H15" s="20">
        <f>COUNTIFS(STATUS!$G:$G,ФО!A15,STATUS!H:H,"КАСКО")</f>
        <v>0</v>
      </c>
      <c r="I15" s="624">
        <f>H15/(COUNTIF(STATUS!H:H,"КАСКО"))</f>
        <v>0</v>
      </c>
      <c r="J15" s="20">
        <f>COUNTIFS(STATUS!$G:$G,ФО!A15,STATUS!$N:$N,ФО!J$2)</f>
        <v>1</v>
      </c>
      <c r="K15" s="1249">
        <f t="shared" si="0"/>
        <v>0.5</v>
      </c>
      <c r="L15" s="20">
        <f>COUNTIFS(STATUS!$G:$G,ФО!A15,STATUS!$N:$N,ФО!L$2)</f>
        <v>0</v>
      </c>
      <c r="M15" s="1249">
        <f t="shared" si="1"/>
        <v>0</v>
      </c>
      <c r="N15" s="20">
        <f>COUNTIFS(STATUS!$G:$G,ФО!A15,STATUS!$N:$N,ФО!N$2)</f>
        <v>1</v>
      </c>
      <c r="O15" s="1249">
        <f t="shared" si="2"/>
        <v>0.5</v>
      </c>
    </row>
    <row r="16" spans="1:16" x14ac:dyDescent="0.3">
      <c r="A16" s="65" t="s">
        <v>173</v>
      </c>
      <c r="B16" s="376">
        <v>1644001196</v>
      </c>
      <c r="C16" s="15" t="s">
        <v>174</v>
      </c>
      <c r="D16" s="15" t="s">
        <v>174</v>
      </c>
      <c r="E16" s="16">
        <v>37411</v>
      </c>
      <c r="F16" s="20">
        <f>COUNTIF(STATUS!$G:$G,ФО!A16)</f>
        <v>31</v>
      </c>
      <c r="G16" s="624">
        <f>F16/(COUNTA(STATUS!$A:$A)-1)</f>
        <v>7.9876320535944342E-3</v>
      </c>
      <c r="H16" s="20">
        <f>COUNTIFS(STATUS!$G:$G,ФО!A16,STATUS!H:H,"КАСКО")</f>
        <v>0</v>
      </c>
      <c r="I16" s="624">
        <f>H16/(COUNTIF(STATUS!H:H,"КАСКО"))</f>
        <v>0</v>
      </c>
      <c r="J16" s="20">
        <f>COUNTIFS(STATUS!$G:$G,ФО!A16,STATUS!$N:$N,ФО!J$2)</f>
        <v>11</v>
      </c>
      <c r="K16" s="1249">
        <f t="shared" si="0"/>
        <v>0.37931034482758619</v>
      </c>
      <c r="L16" s="20">
        <f>COUNTIFS(STATUS!$G:$G,ФО!A16,STATUS!$N:$N,ФО!L$2)</f>
        <v>8</v>
      </c>
      <c r="M16" s="1249">
        <f t="shared" si="1"/>
        <v>0.27586206896551724</v>
      </c>
      <c r="N16" s="20">
        <f>COUNTIFS(STATUS!$G:$G,ФО!A16,STATUS!$N:$N,ФО!N$2)</f>
        <v>10</v>
      </c>
      <c r="O16" s="1249">
        <f t="shared" si="2"/>
        <v>0.34482758620689657</v>
      </c>
    </row>
    <row r="17" spans="1:15" x14ac:dyDescent="0.3">
      <c r="A17" s="65" t="s">
        <v>191</v>
      </c>
      <c r="B17" s="376">
        <v>7728178835</v>
      </c>
      <c r="C17" s="15" t="s">
        <v>192</v>
      </c>
      <c r="D17" s="15" t="s">
        <v>192</v>
      </c>
      <c r="E17" s="16">
        <v>36123</v>
      </c>
      <c r="F17" s="20">
        <f>COUNTIF(STATUS!$G:$G,ФО!A17)</f>
        <v>6</v>
      </c>
      <c r="G17" s="624">
        <f>F17/(COUNTA(STATUS!$A:$A)-1)</f>
        <v>1.5459933006956969E-3</v>
      </c>
      <c r="H17" s="20">
        <f>COUNTIFS(STATUS!$G:$G,ФО!A17,STATUS!H:H,"КАСКО")</f>
        <v>0</v>
      </c>
      <c r="I17" s="624">
        <f>H17/(COUNTIF(STATUS!H:H,"КАСКО"))</f>
        <v>0</v>
      </c>
      <c r="J17" s="20">
        <f>COUNTIFS(STATUS!$G:$G,ФО!A17,STATUS!$N:$N,ФО!J$2)</f>
        <v>2</v>
      </c>
      <c r="K17" s="1249">
        <f t="shared" si="0"/>
        <v>0.4</v>
      </c>
      <c r="L17" s="20">
        <f>COUNTIFS(STATUS!$G:$G,ФО!A17,STATUS!$N:$N,ФО!L$2)</f>
        <v>3</v>
      </c>
      <c r="M17" s="1249">
        <f t="shared" si="1"/>
        <v>0.6</v>
      </c>
      <c r="N17" s="20">
        <f>COUNTIFS(STATUS!$G:$G,ФО!A17,STATUS!$N:$N,ФО!N$2)</f>
        <v>0</v>
      </c>
      <c r="O17" s="1249">
        <f t="shared" si="2"/>
        <v>0</v>
      </c>
    </row>
    <row r="18" spans="1:15" x14ac:dyDescent="0.3">
      <c r="A18" s="15" t="s">
        <v>172</v>
      </c>
      <c r="B18" s="376" t="s">
        <v>4747</v>
      </c>
      <c r="C18" s="15" t="s">
        <v>991</v>
      </c>
      <c r="D18" s="15" t="s">
        <v>991</v>
      </c>
      <c r="E18" s="16">
        <v>36307</v>
      </c>
      <c r="F18" s="20">
        <f>COUNTIF(STATUS!$G:$G,ФО!A18)</f>
        <v>122</v>
      </c>
      <c r="G18" s="624">
        <f>F18/(COUNTA(STATUS!$A:$A)-1)</f>
        <v>3.1435197114145837E-2</v>
      </c>
      <c r="H18" s="20">
        <f>COUNTIFS(STATUS!$G:$G,ФО!A18,STATUS!H:H,"КАСКО")</f>
        <v>0</v>
      </c>
      <c r="I18" s="624">
        <f>H18/(COUNTIF(STATUS!H:H,"КАСКО"))</f>
        <v>0</v>
      </c>
      <c r="J18" s="20">
        <f>COUNTIFS(STATUS!$G:$G,ФО!A18,STATUS!$N:$N,ФО!J$2)</f>
        <v>34</v>
      </c>
      <c r="K18" s="1249">
        <f t="shared" si="0"/>
        <v>0.32075471698113206</v>
      </c>
      <c r="L18" s="20">
        <f>COUNTIFS(STATUS!$G:$G,ФО!A18,STATUS!$N:$N,ФО!L$2)</f>
        <v>56</v>
      </c>
      <c r="M18" s="1249">
        <f t="shared" si="1"/>
        <v>0.52830188679245282</v>
      </c>
      <c r="N18" s="20">
        <f>COUNTIFS(STATUS!$G:$G,ФО!A18,STATUS!$N:$N,ФО!N$2)</f>
        <v>16</v>
      </c>
      <c r="O18" s="1249">
        <f t="shared" si="2"/>
        <v>0.15094339622641509</v>
      </c>
    </row>
    <row r="19" spans="1:15" x14ac:dyDescent="0.3">
      <c r="A19" s="65" t="s">
        <v>193</v>
      </c>
      <c r="B19" s="376">
        <v>3804002162</v>
      </c>
      <c r="C19" s="15" t="s">
        <v>194</v>
      </c>
      <c r="D19" s="15" t="s">
        <v>195</v>
      </c>
      <c r="E19" s="16">
        <v>37502</v>
      </c>
      <c r="F19" s="20">
        <f>COUNTIF(STATUS!$G:$G,ФО!A19)</f>
        <v>0</v>
      </c>
      <c r="G19" s="624">
        <f>F19/(COUNTA(STATUS!$A:$A)-1)</f>
        <v>0</v>
      </c>
      <c r="H19" s="20">
        <f>COUNTIFS(STATUS!$G:$G,ФО!A19,STATUS!H:H,"КАСКО")</f>
        <v>0</v>
      </c>
      <c r="I19" s="624">
        <f>H19/(COUNTIF(STATUS!H:H,"КАСКО"))</f>
        <v>0</v>
      </c>
      <c r="J19" s="20">
        <f>COUNTIFS(STATUS!$G:$G,ФО!A19,STATUS!$N:$N,ФО!J$2)</f>
        <v>0</v>
      </c>
      <c r="K19" s="1249" t="e">
        <f t="shared" si="0"/>
        <v>#DIV/0!</v>
      </c>
      <c r="L19" s="20">
        <f>COUNTIFS(STATUS!$G:$G,ФО!A19,STATUS!$N:$N,ФО!L$2)</f>
        <v>0</v>
      </c>
      <c r="M19" s="1249" t="e">
        <f t="shared" si="1"/>
        <v>#DIV/0!</v>
      </c>
      <c r="N19" s="20">
        <f>COUNTIFS(STATUS!$G:$G,ФО!A19,STATUS!$N:$N,ФО!N$2)</f>
        <v>0</v>
      </c>
      <c r="O19" s="1249" t="e">
        <f t="shared" si="2"/>
        <v>#DIV/0!</v>
      </c>
    </row>
    <row r="20" spans="1:15" x14ac:dyDescent="0.3">
      <c r="A20" s="15" t="s">
        <v>166</v>
      </c>
      <c r="B20" s="376">
        <v>7706196090</v>
      </c>
      <c r="C20" s="15" t="s">
        <v>167</v>
      </c>
      <c r="D20" s="15" t="s">
        <v>167</v>
      </c>
      <c r="E20" s="16">
        <v>36371</v>
      </c>
      <c r="F20" s="20">
        <f>COUNTIF(STATUS!$G:$G,ФО!A20)</f>
        <v>81</v>
      </c>
      <c r="G20" s="624">
        <f>F20/(COUNTA(STATUS!$A:$A)-1)</f>
        <v>2.0870909559391908E-2</v>
      </c>
      <c r="H20" s="20">
        <f>COUNTIFS(STATUS!$G:$G,ФО!A20,STATUS!H:H,"КАСКО")</f>
        <v>10</v>
      </c>
      <c r="I20" s="624">
        <f>H20/(COUNTIF(STATUS!H:H,"КАСКО"))</f>
        <v>7.874015748031496E-2</v>
      </c>
      <c r="J20" s="20">
        <f>COUNTIFS(STATUS!$G:$G,ФО!A20,STATUS!$N:$N,ФО!J$2)</f>
        <v>30</v>
      </c>
      <c r="K20" s="1249">
        <f t="shared" si="0"/>
        <v>0.40540540540540543</v>
      </c>
      <c r="L20" s="20">
        <f>COUNTIFS(STATUS!$G:$G,ФО!A20,STATUS!$N:$N,ФО!L$2)</f>
        <v>36</v>
      </c>
      <c r="M20" s="1249">
        <f t="shared" si="1"/>
        <v>0.48648648648648651</v>
      </c>
      <c r="N20" s="20">
        <f>COUNTIFS(STATUS!$G:$G,ФО!A20,STATUS!$N:$N,ФО!N$2)</f>
        <v>8</v>
      </c>
      <c r="O20" s="1249">
        <f t="shared" si="2"/>
        <v>0.10810810810810811</v>
      </c>
    </row>
    <row r="21" spans="1:15" x14ac:dyDescent="0.3">
      <c r="A21" s="65" t="s">
        <v>179</v>
      </c>
      <c r="B21" s="376">
        <v>4205002133</v>
      </c>
      <c r="C21" s="15" t="s">
        <v>180</v>
      </c>
      <c r="D21" s="15" t="s">
        <v>180</v>
      </c>
      <c r="E21" s="16">
        <v>34961</v>
      </c>
      <c r="F21" s="20">
        <f>COUNTIF(STATUS!$G:$G,ФО!A21)</f>
        <v>14</v>
      </c>
      <c r="G21" s="624">
        <f>F21/(COUNTA(STATUS!$A:$A)-1)</f>
        <v>3.607317701623293E-3</v>
      </c>
      <c r="H21" s="20">
        <f>COUNTIFS(STATUS!$G:$G,ФО!A21,STATUS!H:H,"КАСКО")</f>
        <v>0</v>
      </c>
      <c r="I21" s="624">
        <f>H21/(COUNTIF(STATUS!H:H,"КАСКО"))</f>
        <v>0</v>
      </c>
      <c r="J21" s="20">
        <f>COUNTIFS(STATUS!$G:$G,ФО!A21,STATUS!$N:$N,ФО!J$2)</f>
        <v>4</v>
      </c>
      <c r="K21" s="1249">
        <f t="shared" si="0"/>
        <v>0.36363636363636365</v>
      </c>
      <c r="L21" s="20">
        <f>COUNTIFS(STATUS!$G:$G,ФО!A21,STATUS!$N:$N,ФО!L$2)</f>
        <v>6</v>
      </c>
      <c r="M21" s="1249">
        <f t="shared" si="1"/>
        <v>0.54545454545454541</v>
      </c>
      <c r="N21" s="20">
        <f>COUNTIFS(STATUS!$G:$G,ФО!A21,STATUS!$N:$N,ФО!N$2)</f>
        <v>1</v>
      </c>
      <c r="O21" s="1249">
        <f t="shared" si="2"/>
        <v>9.0909090909090912E-2</v>
      </c>
    </row>
    <row r="22" spans="1:15" x14ac:dyDescent="0.3">
      <c r="A22" s="65" t="s">
        <v>1042</v>
      </c>
      <c r="B22" s="376">
        <v>8602103061</v>
      </c>
      <c r="C22" s="15" t="s">
        <v>1144</v>
      </c>
      <c r="D22" s="15" t="s">
        <v>1144</v>
      </c>
      <c r="E22" s="16">
        <v>35404</v>
      </c>
      <c r="F22" s="20">
        <f>COUNTIF(STATUS!$G:$G,ФО!A22)</f>
        <v>16</v>
      </c>
      <c r="G22" s="624">
        <f>F22/(COUNTA(STATUS!$A:$A)-1)</f>
        <v>4.1226488018551921E-3</v>
      </c>
      <c r="H22" s="20">
        <f>COUNTIFS(STATUS!$G:$G,ФО!A22,STATUS!H:H,"КАСКО")</f>
        <v>0</v>
      </c>
      <c r="I22" s="624">
        <f>H22/(COUNTIF(STATUS!H:H,"КАСКО"))</f>
        <v>0</v>
      </c>
      <c r="J22" s="20">
        <f>COUNTIFS(STATUS!$G:$G,ФО!A22,STATUS!$N:$N,ФО!J$2)</f>
        <v>5</v>
      </c>
      <c r="K22" s="1249">
        <f t="shared" si="0"/>
        <v>0.35714285714285715</v>
      </c>
      <c r="L22" s="20">
        <f>COUNTIFS(STATUS!$G:$G,ФО!A22,STATUS!$N:$N,ФО!L$2)</f>
        <v>6</v>
      </c>
      <c r="M22" s="1249">
        <f t="shared" si="1"/>
        <v>0.42857142857142855</v>
      </c>
      <c r="N22" s="20">
        <f>COUNTIFS(STATUS!$G:$G,ФО!A22,STATUS!$N:$N,ФО!N$2)</f>
        <v>3</v>
      </c>
      <c r="O22" s="1249">
        <f t="shared" si="2"/>
        <v>0.21428571428571427</v>
      </c>
    </row>
    <row r="23" spans="1:15" x14ac:dyDescent="0.3">
      <c r="A23" s="65" t="s">
        <v>935</v>
      </c>
      <c r="B23" s="376">
        <v>7705233021</v>
      </c>
      <c r="C23" s="15" t="s">
        <v>993</v>
      </c>
      <c r="D23" s="15" t="s">
        <v>993</v>
      </c>
      <c r="E23" s="16">
        <v>36145</v>
      </c>
      <c r="F23" s="20">
        <f>COUNTIF(STATUS!$G:$G,ФО!A23)</f>
        <v>6</v>
      </c>
      <c r="G23" s="624">
        <f>F23/(COUNTA(STATUS!$A:$A)-1)</f>
        <v>1.5459933006956969E-3</v>
      </c>
      <c r="H23" s="20">
        <f>COUNTIFS(STATUS!$G:$G,ФО!A23,STATUS!H:H,"КАСКО")</f>
        <v>0</v>
      </c>
      <c r="I23" s="624">
        <f>H23/(COUNTIF(STATUS!H:H,"КАСКО"))</f>
        <v>0</v>
      </c>
      <c r="J23" s="20">
        <f>COUNTIFS(STATUS!$G:$G,ФО!A23,STATUS!$N:$N,ФО!J$2)</f>
        <v>4</v>
      </c>
      <c r="K23" s="1249">
        <f t="shared" si="0"/>
        <v>0.66666666666666663</v>
      </c>
      <c r="L23" s="20">
        <f>COUNTIFS(STATUS!$G:$G,ФО!A23,STATUS!$N:$N,ФО!L$2)</f>
        <v>2</v>
      </c>
      <c r="M23" s="1249">
        <f t="shared" si="1"/>
        <v>0.33333333333333331</v>
      </c>
      <c r="N23" s="20">
        <f>COUNTIFS(STATUS!$G:$G,ФО!A23,STATUS!$N:$N,ФО!N$2)</f>
        <v>0</v>
      </c>
      <c r="O23" s="1249">
        <f t="shared" si="2"/>
        <v>0</v>
      </c>
    </row>
    <row r="24" spans="1:15" x14ac:dyDescent="0.3">
      <c r="A24" s="65" t="s">
        <v>175</v>
      </c>
      <c r="B24" s="376">
        <v>7723011286</v>
      </c>
      <c r="C24" s="15" t="s">
        <v>176</v>
      </c>
      <c r="D24" s="15" t="s">
        <v>176</v>
      </c>
      <c r="E24" s="16">
        <v>34235</v>
      </c>
      <c r="F24" s="20">
        <f>COUNTIF(STATUS!$G:$G,ФО!A24)</f>
        <v>52</v>
      </c>
      <c r="G24" s="624">
        <f>F24/(COUNTA(STATUS!$A:$A)-1)</f>
        <v>1.3398608606029374E-2</v>
      </c>
      <c r="H24" s="20">
        <f>COUNTIFS(STATUS!$G:$G,ФО!A24,STATUS!H:H,"КАСКО")</f>
        <v>0</v>
      </c>
      <c r="I24" s="624">
        <f>H24/(COUNTIF(STATUS!H:H,"КАСКО"))</f>
        <v>0</v>
      </c>
      <c r="J24" s="20">
        <f>COUNTIFS(STATUS!$G:$G,ФО!A24,STATUS!$N:$N,ФО!J$2)</f>
        <v>18</v>
      </c>
      <c r="K24" s="1249">
        <f t="shared" si="0"/>
        <v>0.375</v>
      </c>
      <c r="L24" s="20">
        <f>COUNTIFS(STATUS!$G:$G,ФО!A24,STATUS!$N:$N,ФО!L$2)</f>
        <v>26</v>
      </c>
      <c r="M24" s="1249">
        <f t="shared" si="1"/>
        <v>0.54166666666666663</v>
      </c>
      <c r="N24" s="20">
        <f>COUNTIFS(STATUS!$G:$G,ФО!A24,STATUS!$N:$N,ФО!N$2)</f>
        <v>4</v>
      </c>
      <c r="O24" s="1249">
        <f t="shared" si="2"/>
        <v>8.3333333333333329E-2</v>
      </c>
    </row>
    <row r="25" spans="1:15" x14ac:dyDescent="0.3">
      <c r="A25" s="65" t="s">
        <v>186</v>
      </c>
      <c r="B25" s="376">
        <v>7705513090</v>
      </c>
      <c r="C25" s="15" t="s">
        <v>10230</v>
      </c>
      <c r="D25" s="15" t="s">
        <v>10230</v>
      </c>
      <c r="E25" s="16">
        <v>38162</v>
      </c>
      <c r="F25" s="20">
        <f>COUNTIF(STATUS!$G:$G,ФО!A25)</f>
        <v>26</v>
      </c>
      <c r="G25" s="624">
        <f>F25/(COUNTA(STATUS!$A:$A)-1)</f>
        <v>6.6993043030146868E-3</v>
      </c>
      <c r="H25" s="20">
        <f>COUNTIFS(STATUS!$G:$G,ФО!A25,STATUS!H:H,"КАСКО")</f>
        <v>0</v>
      </c>
      <c r="I25" s="624">
        <f>H25/(COUNTIF(STATUS!H:H,"КАСКО"))</f>
        <v>0</v>
      </c>
      <c r="J25" s="20">
        <f>COUNTIFS(STATUS!$G:$G,ФО!A25,STATUS!$N:$N,ФО!J$2)</f>
        <v>10</v>
      </c>
      <c r="K25" s="1249">
        <f t="shared" si="0"/>
        <v>0.4</v>
      </c>
      <c r="L25" s="20">
        <f>COUNTIFS(STATUS!$G:$G,ФО!A25,STATUS!$N:$N,ФО!L$2)</f>
        <v>11</v>
      </c>
      <c r="M25" s="1249">
        <f t="shared" si="1"/>
        <v>0.44</v>
      </c>
      <c r="N25" s="20">
        <f>COUNTIFS(STATUS!$G:$G,ФО!A25,STATUS!$N:$N,ФО!N$2)</f>
        <v>4</v>
      </c>
      <c r="O25" s="1249">
        <f t="shared" si="2"/>
        <v>0.16</v>
      </c>
    </row>
    <row r="26" spans="1:15" x14ac:dyDescent="0.3">
      <c r="A26" s="15" t="s">
        <v>164</v>
      </c>
      <c r="B26" s="376">
        <v>7453297458</v>
      </c>
      <c r="C26" s="15" t="s">
        <v>165</v>
      </c>
      <c r="D26" s="15" t="s">
        <v>165</v>
      </c>
      <c r="E26" s="64">
        <v>42558</v>
      </c>
      <c r="F26" s="20">
        <f>COUNTIF(STATUS!$G:$G,ФО!A26)</f>
        <v>66</v>
      </c>
      <c r="G26" s="624">
        <f>F26/(COUNTA(STATUS!$A:$A)-1)</f>
        <v>1.7005926307652668E-2</v>
      </c>
      <c r="H26" s="20">
        <f>COUNTIFS(STATUS!$G:$G,ФО!A26,STATUS!H:H,"КАСКО")</f>
        <v>0</v>
      </c>
      <c r="I26" s="624">
        <f>H26/(COUNTIF(STATUS!H:H,"КАСКО"))</f>
        <v>0</v>
      </c>
      <c r="J26" s="20">
        <f>COUNTIFS(STATUS!$G:$G,ФО!A26,STATUS!$N:$N,ФО!J$2)</f>
        <v>24</v>
      </c>
      <c r="K26" s="1249">
        <f t="shared" si="0"/>
        <v>0.41379310344827586</v>
      </c>
      <c r="L26" s="20">
        <f>COUNTIFS(STATUS!$G:$G,ФО!A26,STATUS!$N:$N,ФО!L$2)</f>
        <v>30</v>
      </c>
      <c r="M26" s="1249">
        <f t="shared" si="1"/>
        <v>0.51724137931034486</v>
      </c>
      <c r="N26" s="20">
        <f>COUNTIFS(STATUS!$G:$G,ФО!A26,STATUS!$N:$N,ФО!N$2)</f>
        <v>4</v>
      </c>
      <c r="O26" s="1249">
        <f t="shared" si="2"/>
        <v>6.8965517241379309E-2</v>
      </c>
    </row>
    <row r="27" spans="1:15" x14ac:dyDescent="0.3">
      <c r="A27" s="15" t="s">
        <v>168</v>
      </c>
      <c r="B27" s="376">
        <v>7705041231</v>
      </c>
      <c r="C27" s="15" t="s">
        <v>169</v>
      </c>
      <c r="D27" s="15" t="s">
        <v>169</v>
      </c>
      <c r="E27" s="16">
        <v>33844</v>
      </c>
      <c r="F27" s="20">
        <f>COUNTIF(STATUS!$G:$G,ФО!A27)</f>
        <v>30</v>
      </c>
      <c r="G27" s="624">
        <f>F27/(COUNTA(STATUS!$A:$A)-1)</f>
        <v>7.729966503478485E-3</v>
      </c>
      <c r="H27" s="20">
        <f>COUNTIFS(STATUS!$G:$G,ФО!A27,STATUS!H:H,"КАСКО")</f>
        <v>3</v>
      </c>
      <c r="I27" s="624">
        <f>H27/(COUNTIF(STATUS!H:H,"КАСКО"))</f>
        <v>2.3622047244094488E-2</v>
      </c>
      <c r="J27" s="20">
        <f>COUNTIFS(STATUS!$G:$G,ФО!A27,STATUS!$N:$N,ФО!J$2)</f>
        <v>8</v>
      </c>
      <c r="K27" s="1249">
        <f t="shared" si="0"/>
        <v>0.33333333333333331</v>
      </c>
      <c r="L27" s="20">
        <f>COUNTIFS(STATUS!$G:$G,ФО!A27,STATUS!$N:$N,ФО!L$2)</f>
        <v>11</v>
      </c>
      <c r="M27" s="1249">
        <f t="shared" si="1"/>
        <v>0.45833333333333331</v>
      </c>
      <c r="N27" s="20">
        <f>COUNTIFS(STATUS!$G:$G,ФО!A27,STATUS!$N:$N,ФО!N$2)</f>
        <v>5</v>
      </c>
      <c r="O27" s="1249">
        <f t="shared" si="2"/>
        <v>0.20833333333333334</v>
      </c>
    </row>
    <row r="28" spans="1:15" x14ac:dyDescent="0.3">
      <c r="A28" s="15" t="s">
        <v>152</v>
      </c>
      <c r="B28" s="376">
        <v>7707067683</v>
      </c>
      <c r="C28" s="15" t="s">
        <v>153</v>
      </c>
      <c r="D28" s="15" t="s">
        <v>153</v>
      </c>
      <c r="E28" s="16">
        <v>33835</v>
      </c>
      <c r="F28" s="20">
        <f>COUNTIF(STATUS!$G:$G,ФО!A28)</f>
        <v>705</v>
      </c>
      <c r="G28" s="624">
        <f>F28/(COUNTA(STATUS!$A:$A)-1)</f>
        <v>0.1816542128317444</v>
      </c>
      <c r="H28" s="20">
        <f>COUNTIFS(STATUS!$G:$G,ФО!A28,STATUS!H:H,"КАСКО")</f>
        <v>34</v>
      </c>
      <c r="I28" s="624">
        <f>H28/(COUNTIF(STATUS!H:H,"КАСКО"))</f>
        <v>0.26771653543307089</v>
      </c>
      <c r="J28" s="20">
        <f>COUNTIFS(STATUS!$G:$G,ФО!A28,STATUS!$N:$N,ФО!J$2)</f>
        <v>269</v>
      </c>
      <c r="K28" s="1249">
        <f t="shared" si="0"/>
        <v>0.44462809917355373</v>
      </c>
      <c r="L28" s="20">
        <f>COUNTIFS(STATUS!$G:$G,ФО!A28,STATUS!$N:$N,ФО!L$2)</f>
        <v>239</v>
      </c>
      <c r="M28" s="1249">
        <f t="shared" si="1"/>
        <v>0.39504132231404959</v>
      </c>
      <c r="N28" s="20">
        <f>COUNTIFS(STATUS!$G:$G,ФО!A28,STATUS!$N:$N,ФО!N$2)</f>
        <v>97</v>
      </c>
      <c r="O28" s="1249">
        <f t="shared" si="2"/>
        <v>0.16033057851239668</v>
      </c>
    </row>
    <row r="29" spans="1:15" x14ac:dyDescent="0.3">
      <c r="A29" s="15" t="s">
        <v>154</v>
      </c>
      <c r="B29" s="376">
        <v>7710026574</v>
      </c>
      <c r="C29" s="15" t="s">
        <v>155</v>
      </c>
      <c r="D29" s="15" t="s">
        <v>155</v>
      </c>
      <c r="E29" s="16">
        <v>33645</v>
      </c>
      <c r="F29" s="20">
        <f>COUNTIF(STATUS!$G:$G,ФО!A29)</f>
        <v>245</v>
      </c>
      <c r="G29" s="624">
        <f>F29/(COUNTA(STATUS!$A:$A)-1)</f>
        <v>6.312805977840763E-2</v>
      </c>
      <c r="H29" s="20">
        <f>COUNTIFS(STATUS!$G:$G,ФО!A29,STATUS!H:H,"КАСКО")</f>
        <v>12</v>
      </c>
      <c r="I29" s="624">
        <f>H29/(COUNTIF(STATUS!H:H,"КАСКО"))</f>
        <v>9.4488188976377951E-2</v>
      </c>
      <c r="J29" s="20">
        <f>COUNTIFS(STATUS!$G:$G,ФО!A29,STATUS!$N:$N,ФО!J$2)</f>
        <v>108</v>
      </c>
      <c r="K29" s="1249">
        <f t="shared" si="0"/>
        <v>0.50467289719626163</v>
      </c>
      <c r="L29" s="20">
        <f>COUNTIFS(STATUS!$G:$G,ФО!A29,STATUS!$N:$N,ФО!L$2)</f>
        <v>75</v>
      </c>
      <c r="M29" s="1249">
        <f t="shared" si="1"/>
        <v>0.35046728971962615</v>
      </c>
      <c r="N29" s="20">
        <f>COUNTIFS(STATUS!$G:$G,ФО!A29,STATUS!$N:$N,ФО!N$2)</f>
        <v>31</v>
      </c>
      <c r="O29" s="1249">
        <f t="shared" si="2"/>
        <v>0.14485981308411214</v>
      </c>
    </row>
    <row r="30" spans="1:15" x14ac:dyDescent="0.3">
      <c r="A30" s="65" t="s">
        <v>177</v>
      </c>
      <c r="B30" s="376" t="s">
        <v>11610</v>
      </c>
      <c r="C30" s="15" t="s">
        <v>178</v>
      </c>
      <c r="D30" s="15" t="s">
        <v>178</v>
      </c>
      <c r="E30" s="16">
        <v>33522</v>
      </c>
      <c r="F30" s="20">
        <f>COUNTIF(STATUS!$G:$G,ФО!A30)</f>
        <v>34</v>
      </c>
      <c r="G30" s="624">
        <f>F30/(COUNTA(STATUS!$A:$A)-1)</f>
        <v>8.7606287039422824E-3</v>
      </c>
      <c r="H30" s="20">
        <f>COUNTIFS(STATUS!$G:$G,ФО!A30,STATUS!H:H,"КАСКО")</f>
        <v>2</v>
      </c>
      <c r="I30" s="624">
        <f>H30/(COUNTIF(STATUS!H:H,"КАСКО"))</f>
        <v>1.5748031496062992E-2</v>
      </c>
      <c r="J30" s="20">
        <f>COUNTIFS(STATUS!$G:$G,ФО!A30,STATUS!$N:$N,ФО!J$2)</f>
        <v>7</v>
      </c>
      <c r="K30" s="1249">
        <f t="shared" si="0"/>
        <v>0.2413793103448276</v>
      </c>
      <c r="L30" s="20">
        <f>COUNTIFS(STATUS!$G:$G,ФО!A30,STATUS!$N:$N,ФО!L$2)</f>
        <v>16</v>
      </c>
      <c r="M30" s="1249">
        <f t="shared" si="1"/>
        <v>0.55172413793103448</v>
      </c>
      <c r="N30" s="20">
        <f>COUNTIFS(STATUS!$G:$G,ФО!A30,STATUS!$N:$N,ФО!N$2)</f>
        <v>6</v>
      </c>
      <c r="O30" s="1249">
        <f t="shared" si="2"/>
        <v>0.20689655172413793</v>
      </c>
    </row>
    <row r="31" spans="1:15" x14ac:dyDescent="0.3">
      <c r="A31" s="65" t="s">
        <v>538</v>
      </c>
      <c r="B31" s="376">
        <v>7815025049</v>
      </c>
      <c r="C31" s="15" t="s">
        <v>719</v>
      </c>
      <c r="D31" s="15" t="s">
        <v>719</v>
      </c>
      <c r="E31" s="64">
        <v>33129</v>
      </c>
      <c r="F31" s="20">
        <f>COUNTIF(STATUS!$G:$G,ФО!A31)</f>
        <v>13</v>
      </c>
      <c r="G31" s="624">
        <f>F31/(COUNTA(STATUS!$A:$A)-1)</f>
        <v>3.3496521515073434E-3</v>
      </c>
      <c r="H31" s="20">
        <f>COUNTIFS(STATUS!$G:$G,ФО!A31,STATUS!H:H,"КАСКО")</f>
        <v>3</v>
      </c>
      <c r="I31" s="624">
        <f>H31/(COUNTIF(STATUS!H:H,"КАСКО"))</f>
        <v>2.3622047244094488E-2</v>
      </c>
      <c r="J31" s="20">
        <f>COUNTIFS(STATUS!$G:$G,ФО!A31,STATUS!$N:$N,ФО!J$2)</f>
        <v>3</v>
      </c>
      <c r="K31" s="1249">
        <f t="shared" si="0"/>
        <v>0.25</v>
      </c>
      <c r="L31" s="20">
        <f>COUNTIFS(STATUS!$G:$G,ФО!A31,STATUS!$N:$N,ФО!L$2)</f>
        <v>5</v>
      </c>
      <c r="M31" s="1249">
        <f t="shared" si="1"/>
        <v>0.41666666666666669</v>
      </c>
      <c r="N31" s="20">
        <f>COUNTIFS(STATUS!$G:$G,ФО!A31,STATUS!$N:$N,ФО!N$2)</f>
        <v>4</v>
      </c>
      <c r="O31" s="1249">
        <f t="shared" si="2"/>
        <v>0.33333333333333331</v>
      </c>
    </row>
    <row r="32" spans="1:15" x14ac:dyDescent="0.3">
      <c r="A32" s="15" t="s">
        <v>147</v>
      </c>
      <c r="B32" s="376">
        <v>7705042179</v>
      </c>
      <c r="C32" s="15" t="s">
        <v>148</v>
      </c>
      <c r="D32" s="15" t="s">
        <v>148</v>
      </c>
      <c r="E32" s="16">
        <v>33417</v>
      </c>
      <c r="F32" s="20">
        <f>COUNTIF(STATUS!$G:$G,ФО!A32)</f>
        <v>293</v>
      </c>
      <c r="G32" s="624">
        <f>F32/(COUNTA(STATUS!$A:$A)-1)</f>
        <v>7.5496006183973202E-2</v>
      </c>
      <c r="H32" s="20">
        <f>COUNTIFS(STATUS!$G:$G,ФО!A32,STATUS!H:H,"КАСКО")</f>
        <v>11</v>
      </c>
      <c r="I32" s="624">
        <f>H32/(COUNTIF(STATUS!H:H,"КАСКО"))</f>
        <v>8.6614173228346455E-2</v>
      </c>
      <c r="J32" s="20">
        <f>COUNTIFS(STATUS!$G:$G,ФО!A32,STATUS!$N:$N,ФО!J$2)</f>
        <v>81</v>
      </c>
      <c r="K32" s="1249">
        <f t="shared" si="0"/>
        <v>0.32661290322580644</v>
      </c>
      <c r="L32" s="20">
        <f>COUNTIFS(STATUS!$G:$G,ФО!A32,STATUS!$N:$N,ФО!L$2)</f>
        <v>147</v>
      </c>
      <c r="M32" s="1249">
        <f t="shared" si="1"/>
        <v>0.592741935483871</v>
      </c>
      <c r="N32" s="20">
        <f>COUNTIFS(STATUS!$G:$G,ФО!A32,STATUS!$N:$N,ФО!N$2)</f>
        <v>20</v>
      </c>
      <c r="O32" s="1249">
        <f t="shared" si="2"/>
        <v>8.0645161290322578E-2</v>
      </c>
    </row>
    <row r="33" spans="1:15" x14ac:dyDescent="0.3">
      <c r="A33" s="15" t="s">
        <v>158</v>
      </c>
      <c r="B33" s="376">
        <v>7710045520</v>
      </c>
      <c r="C33" s="15" t="s">
        <v>159</v>
      </c>
      <c r="D33" s="15" t="s">
        <v>159</v>
      </c>
      <c r="E33" s="16">
        <v>34234</v>
      </c>
      <c r="F33" s="20">
        <f>COUNTIF(STATUS!$G:$G,ФО!A33)</f>
        <v>355</v>
      </c>
      <c r="G33" s="624">
        <f>F33/(COUNTA(STATUS!$A:$A)-1)</f>
        <v>9.1471270291162074E-2</v>
      </c>
      <c r="H33" s="20">
        <f>COUNTIFS(STATUS!$G:$G,ФО!A33,STATUS!H:H,"КАСКО")</f>
        <v>16</v>
      </c>
      <c r="I33" s="624">
        <f>H33/(COUNTIF(STATUS!H:H,"КАСКО"))</f>
        <v>0.12598425196850394</v>
      </c>
      <c r="J33" s="20">
        <f>COUNTIFS(STATUS!$G:$G,ФО!A33,STATUS!$N:$N,ФО!J$2)</f>
        <v>151</v>
      </c>
      <c r="K33" s="1249">
        <f t="shared" si="0"/>
        <v>0.50166112956810627</v>
      </c>
      <c r="L33" s="20">
        <f>COUNTIFS(STATUS!$G:$G,ФО!A33,STATUS!$N:$N,ФО!L$2)</f>
        <v>122</v>
      </c>
      <c r="M33" s="1249">
        <f t="shared" si="1"/>
        <v>0.40531561461794019</v>
      </c>
      <c r="N33" s="20">
        <f>COUNTIFS(STATUS!$G:$G,ФО!A33,STATUS!$N:$N,ФО!N$2)</f>
        <v>28</v>
      </c>
      <c r="O33" s="1249">
        <f t="shared" si="2"/>
        <v>9.3023255813953487E-2</v>
      </c>
    </row>
    <row r="34" spans="1:15" x14ac:dyDescent="0.3">
      <c r="A34" s="65" t="s">
        <v>1381</v>
      </c>
      <c r="B34" s="376">
        <v>3666068423</v>
      </c>
      <c r="C34" s="15" t="s">
        <v>9493</v>
      </c>
      <c r="D34" s="15" t="s">
        <v>9493</v>
      </c>
      <c r="E34" s="64">
        <v>35698</v>
      </c>
      <c r="F34" s="20">
        <f>COUNTIF(STATUS!$G:$G,ФО!A34)</f>
        <v>6</v>
      </c>
      <c r="G34" s="624">
        <f>F34/(COUNTA(STATUS!$A:$A)-1)</f>
        <v>1.5459933006956969E-3</v>
      </c>
      <c r="H34" s="20">
        <f>COUNTIFS(STATUS!$G:$G,ФО!A34,STATUS!H:H,"КАСКО")</f>
        <v>0</v>
      </c>
      <c r="I34" s="624">
        <f>H34/(COUNTIF(STATUS!H:H,"КАСКО"))</f>
        <v>0</v>
      </c>
      <c r="J34" s="20">
        <f>COUNTIFS(STATUS!$G:$G,ФО!A34,STATUS!$N:$N,ФО!J$2)</f>
        <v>2</v>
      </c>
      <c r="K34" s="1249">
        <f t="shared" si="0"/>
        <v>0.4</v>
      </c>
      <c r="L34" s="20">
        <f>COUNTIFS(STATUS!$G:$G,ФО!A34,STATUS!$N:$N,ФО!L$2)</f>
        <v>1</v>
      </c>
      <c r="M34" s="1249">
        <f t="shared" si="1"/>
        <v>0.2</v>
      </c>
      <c r="N34" s="20">
        <f>COUNTIFS(STATUS!$G:$G,ФО!A34,STATUS!$N:$N,ФО!N$2)</f>
        <v>2</v>
      </c>
      <c r="O34" s="1249">
        <f t="shared" si="2"/>
        <v>0.4</v>
      </c>
    </row>
    <row r="35" spans="1:15" x14ac:dyDescent="0.3">
      <c r="A35" s="65" t="s">
        <v>1328</v>
      </c>
      <c r="B35" s="376">
        <v>5905013608</v>
      </c>
      <c r="C35" s="15" t="s">
        <v>1611</v>
      </c>
      <c r="D35" s="15" t="s">
        <v>1611</v>
      </c>
      <c r="E35" s="16">
        <v>36160</v>
      </c>
      <c r="F35" s="20">
        <f>COUNTIF(STATUS!$G:$G,ФО!A35)</f>
        <v>15</v>
      </c>
      <c r="G35" s="624">
        <f>F35/(COUNTA(STATUS!$A:$A)-1)</f>
        <v>3.8649832517392425E-3</v>
      </c>
      <c r="H35" s="20">
        <f>COUNTIFS(STATUS!$G:$G,ФО!A35,STATUS!H:H,"КАСКО")</f>
        <v>0</v>
      </c>
      <c r="I35" s="624">
        <f>H35/(COUNTIF(STATUS!H:H,"КАСКО"))</f>
        <v>0</v>
      </c>
      <c r="J35" s="20">
        <f>COUNTIFS(STATUS!$G:$G,ФО!A35,STATUS!$N:$N,ФО!J$2)</f>
        <v>3</v>
      </c>
      <c r="K35" s="1249">
        <f t="shared" si="0"/>
        <v>0.23076923076923078</v>
      </c>
      <c r="L35" s="20">
        <f>COUNTIFS(STATUS!$G:$G,ФО!A35,STATUS!$N:$N,ФО!L$2)</f>
        <v>4</v>
      </c>
      <c r="M35" s="1249">
        <f t="shared" si="1"/>
        <v>0.30769230769230771</v>
      </c>
      <c r="N35" s="20">
        <f>COUNTIFS(STATUS!$G:$G,ФО!A35,STATUS!$N:$N,ФО!N$2)</f>
        <v>6</v>
      </c>
      <c r="O35" s="1249">
        <f t="shared" si="2"/>
        <v>0.46153846153846156</v>
      </c>
    </row>
    <row r="36" spans="1:15" x14ac:dyDescent="0.3">
      <c r="A36" s="65" t="s">
        <v>1615</v>
      </c>
      <c r="B36" s="376">
        <v>7733013853</v>
      </c>
      <c r="C36" s="15" t="s">
        <v>1614</v>
      </c>
      <c r="D36" s="15" t="s">
        <v>1614</v>
      </c>
      <c r="E36" s="16">
        <v>35313</v>
      </c>
      <c r="F36" s="20">
        <f>COUNTIF(STATUS!$G:$G,ФО!A36)</f>
        <v>0</v>
      </c>
      <c r="G36" s="624">
        <f>F36/(COUNTA(STATUS!$A:$A)-1)</f>
        <v>0</v>
      </c>
      <c r="H36" s="20">
        <f>COUNTIFS(STATUS!$G:$G,ФО!A36,STATUS!H:H,"КАСКО")</f>
        <v>0</v>
      </c>
      <c r="I36" s="624">
        <f>H36/(COUNTIF(STATUS!H:H,"КАСКО"))</f>
        <v>0</v>
      </c>
      <c r="J36" s="20">
        <f>COUNTIFS(STATUS!$G:$G,ФО!A36,STATUS!$N:$N,ФО!J$2)</f>
        <v>0</v>
      </c>
      <c r="K36" s="1249" t="e">
        <f t="shared" si="0"/>
        <v>#DIV/0!</v>
      </c>
      <c r="L36" s="20">
        <f>COUNTIFS(STATUS!$G:$G,ФО!A36,STATUS!$N:$N,ФО!L$2)</f>
        <v>0</v>
      </c>
      <c r="M36" s="1249" t="e">
        <f t="shared" si="1"/>
        <v>#DIV/0!</v>
      </c>
      <c r="N36" s="20">
        <f>COUNTIFS(STATUS!$G:$G,ФО!A36,STATUS!$N:$N,ФО!N$2)</f>
        <v>0</v>
      </c>
      <c r="O36" s="1249" t="e">
        <f t="shared" si="2"/>
        <v>#DIV/0!</v>
      </c>
    </row>
    <row r="37" spans="1:15" x14ac:dyDescent="0.3">
      <c r="A37" s="65" t="s">
        <v>1663</v>
      </c>
      <c r="B37" s="376">
        <v>3317000799</v>
      </c>
      <c r="C37" s="15" t="s">
        <v>1664</v>
      </c>
      <c r="D37" s="15" t="s">
        <v>1664</v>
      </c>
      <c r="E37" s="16">
        <v>33619</v>
      </c>
      <c r="F37" s="20">
        <f>COUNTIF(STATUS!$G:$G,ФО!A37)</f>
        <v>0</v>
      </c>
      <c r="G37" s="624">
        <f>F37/(COUNTA(STATUS!$A:$A)-1)</f>
        <v>0</v>
      </c>
      <c r="H37" s="20">
        <f>COUNTIFS(STATUS!$G:$G,ФО!A37,STATUS!H:H,"КАСКО")</f>
        <v>0</v>
      </c>
      <c r="I37" s="624">
        <f>H37/(COUNTIF(STATUS!H:H,"КАСКО"))</f>
        <v>0</v>
      </c>
      <c r="J37" s="20">
        <f>COUNTIFS(STATUS!$G:$G,ФО!A37,STATUS!$N:$N,ФО!J$2)</f>
        <v>0</v>
      </c>
      <c r="K37" s="1249" t="e">
        <f t="shared" si="0"/>
        <v>#DIV/0!</v>
      </c>
      <c r="L37" s="20">
        <f>COUNTIFS(STATUS!$G:$G,ФО!A37,STATUS!$N:$N,ФО!L$2)</f>
        <v>0</v>
      </c>
      <c r="M37" s="1249" t="e">
        <f t="shared" si="1"/>
        <v>#DIV/0!</v>
      </c>
      <c r="N37" s="20">
        <f>COUNTIFS(STATUS!$G:$G,ФО!A37,STATUS!$N:$N,ФО!N$2)</f>
        <v>0</v>
      </c>
      <c r="O37" s="1249" t="e">
        <f t="shared" si="2"/>
        <v>#DIV/0!</v>
      </c>
    </row>
    <row r="38" spans="1:15" x14ac:dyDescent="0.3">
      <c r="A38" s="65" t="s">
        <v>1384</v>
      </c>
      <c r="B38" s="376">
        <v>1655004449</v>
      </c>
      <c r="C38" s="15" t="s">
        <v>1672</v>
      </c>
      <c r="D38" s="15" t="s">
        <v>1672</v>
      </c>
      <c r="E38" s="16">
        <v>37370</v>
      </c>
      <c r="F38" s="20">
        <f>COUNTIF(STATUS!$G:$G,ФО!A38)</f>
        <v>28</v>
      </c>
      <c r="G38" s="624">
        <f>F38/(COUNTA(STATUS!$A:$A)-1)</f>
        <v>7.2146354032465859E-3</v>
      </c>
      <c r="H38" s="20">
        <f>COUNTIFS(STATUS!$G:$G,ФО!A38,STATUS!H:H,"КАСКО")</f>
        <v>0</v>
      </c>
      <c r="I38" s="624">
        <f>H38/(COUNTIF(STATUS!H:H,"КАСКО"))</f>
        <v>0</v>
      </c>
      <c r="J38" s="20">
        <f>COUNTIFS(STATUS!$G:$G,ФО!A38,STATUS!$N:$N,ФО!J$2)</f>
        <v>7</v>
      </c>
      <c r="K38" s="1249">
        <f t="shared" si="0"/>
        <v>0.30434782608695654</v>
      </c>
      <c r="L38" s="20">
        <f>COUNTIFS(STATUS!$G:$G,ФО!A38,STATUS!$N:$N,ФО!L$2)</f>
        <v>7</v>
      </c>
      <c r="M38" s="1249">
        <f t="shared" si="1"/>
        <v>0.30434782608695654</v>
      </c>
      <c r="N38" s="20">
        <f>COUNTIFS(STATUS!$G:$G,ФО!A38,STATUS!$N:$N,ФО!N$2)</f>
        <v>9</v>
      </c>
      <c r="O38" s="1249">
        <f t="shared" si="2"/>
        <v>0.39130434782608697</v>
      </c>
    </row>
    <row r="39" spans="1:15" x14ac:dyDescent="0.3">
      <c r="A39" s="65" t="s">
        <v>1682</v>
      </c>
      <c r="B39" s="376">
        <v>7710280644</v>
      </c>
      <c r="C39" s="15" t="s">
        <v>1683</v>
      </c>
      <c r="D39" s="15" t="s">
        <v>1683</v>
      </c>
      <c r="E39" s="16">
        <v>35886</v>
      </c>
      <c r="F39" s="20">
        <f>COUNTIF(STATUS!$G:$G,ФО!A39)</f>
        <v>25</v>
      </c>
      <c r="G39" s="624">
        <f>F39/(COUNTA(STATUS!$A:$A)-1)</f>
        <v>6.4416387528987377E-3</v>
      </c>
      <c r="H39" s="20">
        <f>COUNTIFS(STATUS!$G:$G,ФО!A39,STATUS!H:H,"КАСКО")</f>
        <v>0</v>
      </c>
      <c r="I39" s="624">
        <f>H39/(COUNTIF(STATUS!H:H,"КАСКО"))</f>
        <v>0</v>
      </c>
      <c r="J39" s="20">
        <f>COUNTIFS(STATUS!$G:$G,ФО!A39,STATUS!$N:$N,ФО!J$2)</f>
        <v>4</v>
      </c>
      <c r="K39" s="1249">
        <f t="shared" si="0"/>
        <v>0.19047619047619047</v>
      </c>
      <c r="L39" s="20">
        <f>COUNTIFS(STATUS!$G:$G,ФО!A39,STATUS!$N:$N,ФО!L$2)</f>
        <v>16</v>
      </c>
      <c r="M39" s="1249">
        <f t="shared" si="1"/>
        <v>0.76190476190476186</v>
      </c>
      <c r="N39" s="20">
        <f>COUNTIFS(STATUS!$G:$G,ФО!A39,STATUS!$N:$N,ФО!N$2)</f>
        <v>1</v>
      </c>
      <c r="O39" s="1249">
        <f t="shared" si="2"/>
        <v>4.7619047619047616E-2</v>
      </c>
    </row>
    <row r="40" spans="1:15" x14ac:dyDescent="0.3">
      <c r="A40" s="65" t="s">
        <v>1689</v>
      </c>
      <c r="B40" s="376">
        <v>5402155281</v>
      </c>
      <c r="C40" s="15" t="s">
        <v>1690</v>
      </c>
      <c r="D40" s="15" t="s">
        <v>1690</v>
      </c>
      <c r="E40" s="64">
        <v>36860</v>
      </c>
      <c r="F40" s="20">
        <f>COUNTIF(STATUS!$G:$G,ФО!A40)</f>
        <v>0</v>
      </c>
      <c r="G40" s="624">
        <f>F40/(COUNTA(STATUS!$A:$A)-1)</f>
        <v>0</v>
      </c>
      <c r="H40" s="20">
        <f>COUNTIFS(STATUS!$G:$G,ФО!A40,STATUS!H:H,"КАСКО")</f>
        <v>0</v>
      </c>
      <c r="I40" s="624">
        <f>H40/(COUNTIF(STATUS!H:H,"КАСКО"))</f>
        <v>0</v>
      </c>
      <c r="J40" s="20">
        <f>COUNTIFS(STATUS!$G:$G,ФО!A40,STATUS!$N:$N,ФО!J$2)</f>
        <v>0</v>
      </c>
      <c r="K40" s="1249" t="e">
        <f t="shared" si="0"/>
        <v>#DIV/0!</v>
      </c>
      <c r="L40" s="20">
        <f>COUNTIFS(STATUS!$G:$G,ФО!A40,STATUS!$N:$N,ФО!L$2)</f>
        <v>0</v>
      </c>
      <c r="M40" s="1249" t="e">
        <f t="shared" si="1"/>
        <v>#DIV/0!</v>
      </c>
      <c r="N40" s="20">
        <f>COUNTIFS(STATUS!$G:$G,ФО!A40,STATUS!$N:$N,ФО!N$2)</f>
        <v>0</v>
      </c>
      <c r="O40" s="1249" t="e">
        <f t="shared" si="2"/>
        <v>#DIV/0!</v>
      </c>
    </row>
    <row r="41" spans="1:15" x14ac:dyDescent="0.3">
      <c r="A41" s="65" t="s">
        <v>1855</v>
      </c>
      <c r="B41" s="376">
        <v>7731041830</v>
      </c>
      <c r="C41" s="15"/>
      <c r="D41" s="15"/>
      <c r="E41" s="16">
        <v>33385</v>
      </c>
      <c r="F41" s="20">
        <f>COUNTIF(STATUS!$G:$G,ФО!A41)</f>
        <v>0</v>
      </c>
      <c r="G41" s="624">
        <f>F41/(COUNTA(STATUS!$A:$A)-1)</f>
        <v>0</v>
      </c>
      <c r="H41" s="20">
        <f>COUNTIFS(STATUS!$G:$G,ФО!A41,STATUS!H:H,"КАСКО")</f>
        <v>0</v>
      </c>
      <c r="I41" s="624">
        <f>H41/(COUNTIF(STATUS!H:H,"КАСКО"))</f>
        <v>0</v>
      </c>
      <c r="J41" s="20">
        <f>COUNTIFS(STATUS!$G:$G,ФО!A41,STATUS!$N:$N,ФО!J$2)</f>
        <v>0</v>
      </c>
      <c r="K41" s="1249" t="e">
        <f t="shared" si="0"/>
        <v>#DIV/0!</v>
      </c>
      <c r="L41" s="20">
        <f>COUNTIFS(STATUS!$G:$G,ФО!A41,STATUS!$N:$N,ФО!L$2)</f>
        <v>0</v>
      </c>
      <c r="M41" s="1249" t="e">
        <f t="shared" si="1"/>
        <v>#DIV/0!</v>
      </c>
      <c r="N41" s="20">
        <f>COUNTIFS(STATUS!$G:$G,ФО!A41,STATUS!$N:$N,ФО!N$2)</f>
        <v>0</v>
      </c>
      <c r="O41" s="1249" t="e">
        <f t="shared" si="2"/>
        <v>#DIV/0!</v>
      </c>
    </row>
    <row r="42" spans="1:15" x14ac:dyDescent="0.3">
      <c r="A42" s="65" t="s">
        <v>1221</v>
      </c>
      <c r="B42" s="376">
        <v>8901010104</v>
      </c>
      <c r="C42" s="15" t="s">
        <v>1862</v>
      </c>
      <c r="D42" s="15" t="s">
        <v>1862</v>
      </c>
      <c r="E42" s="16">
        <v>36362</v>
      </c>
      <c r="F42" s="20">
        <f>COUNTIF(STATUS!$G:$G,ФО!A42)</f>
        <v>3</v>
      </c>
      <c r="G42" s="624">
        <f>F42/(COUNTA(STATUS!$A:$A)-1)</f>
        <v>7.7299665034784846E-4</v>
      </c>
      <c r="H42" s="20">
        <f>COUNTIFS(STATUS!$G:$G,ФО!A42,STATUS!H:H,"КАСКО")</f>
        <v>0</v>
      </c>
      <c r="I42" s="624">
        <f>H42/(COUNTIF(STATUS!H:H,"КАСКО"))</f>
        <v>0</v>
      </c>
      <c r="J42" s="20">
        <f>COUNTIFS(STATUS!$G:$G,ФО!A42,STATUS!$N:$N,ФО!J$2)</f>
        <v>0</v>
      </c>
      <c r="K42" s="1249">
        <f t="shared" si="0"/>
        <v>0</v>
      </c>
      <c r="L42" s="20">
        <f>COUNTIFS(STATUS!$G:$G,ФО!A42,STATUS!$N:$N,ФО!L$2)</f>
        <v>3</v>
      </c>
      <c r="M42" s="1249">
        <f t="shared" si="1"/>
        <v>1</v>
      </c>
      <c r="N42" s="20">
        <f>COUNTIFS(STATUS!$G:$G,ФО!A42,STATUS!$N:$N,ФО!N$2)</f>
        <v>0</v>
      </c>
      <c r="O42" s="1249">
        <f t="shared" si="2"/>
        <v>0</v>
      </c>
    </row>
    <row r="43" spans="1:15" x14ac:dyDescent="0.3">
      <c r="A43" s="65" t="s">
        <v>1863</v>
      </c>
      <c r="B43" s="376"/>
      <c r="C43" s="15"/>
      <c r="D43" s="15"/>
      <c r="E43" s="17"/>
      <c r="F43" s="20">
        <f>COUNTIF(STATUS!$G:$G,ФО!A43)</f>
        <v>0</v>
      </c>
      <c r="G43" s="624">
        <f>F43/(COUNTA(STATUS!$A:$A)-1)</f>
        <v>0</v>
      </c>
      <c r="H43" s="20">
        <f>COUNTIFS(STATUS!$G:$G,ФО!A43,STATUS!H:H,"КАСКО")</f>
        <v>0</v>
      </c>
      <c r="I43" s="624">
        <f>H43/(COUNTIF(STATUS!H:H,"КАСКО"))</f>
        <v>0</v>
      </c>
      <c r="J43" s="20">
        <f>COUNTIFS(STATUS!$G:$G,ФО!A43,STATUS!$N:$N,ФО!J$2)</f>
        <v>0</v>
      </c>
      <c r="K43" s="1249" t="e">
        <f t="shared" si="0"/>
        <v>#DIV/0!</v>
      </c>
      <c r="L43" s="20">
        <f>COUNTIFS(STATUS!$G:$G,ФО!A43,STATUS!$N:$N,ФО!L$2)</f>
        <v>0</v>
      </c>
      <c r="M43" s="1249" t="e">
        <f t="shared" si="1"/>
        <v>#DIV/0!</v>
      </c>
      <c r="N43" s="20">
        <f>COUNTIFS(STATUS!$G:$G,ФО!A43,STATUS!$N:$N,ФО!N$2)</f>
        <v>0</v>
      </c>
      <c r="O43" s="1249" t="e">
        <f t="shared" si="2"/>
        <v>#DIV/0!</v>
      </c>
    </row>
    <row r="44" spans="1:15" x14ac:dyDescent="0.3">
      <c r="A44" s="65" t="s">
        <v>2718</v>
      </c>
      <c r="B44" s="376">
        <v>7714312079</v>
      </c>
      <c r="C44" s="15" t="s">
        <v>9833</v>
      </c>
      <c r="D44" s="15" t="s">
        <v>9833</v>
      </c>
      <c r="E44" s="16">
        <v>37749</v>
      </c>
      <c r="F44" s="20">
        <f>COUNTIF(STATUS!$G:$G,ФО!A44)</f>
        <v>10</v>
      </c>
      <c r="G44" s="624">
        <f>F44/(COUNTA(STATUS!$A:$A)-1)</f>
        <v>2.5766555011594952E-3</v>
      </c>
      <c r="H44" s="20">
        <f>COUNTIFS(STATUS!$G:$G,ФО!A44,STATUS!H:H,"КАСКО")</f>
        <v>0</v>
      </c>
      <c r="I44" s="624">
        <f>H44/(COUNTIF(STATUS!H:H,"КАСКО"))</f>
        <v>0</v>
      </c>
      <c r="J44" s="20">
        <f>COUNTIFS(STATUS!$G:$G,ФО!A44,STATUS!$N:$N,ФО!J$2)</f>
        <v>3</v>
      </c>
      <c r="K44" s="1249">
        <f t="shared" si="0"/>
        <v>0.375</v>
      </c>
      <c r="L44" s="20">
        <f>COUNTIFS(STATUS!$G:$G,ФО!A44,STATUS!$N:$N,ФО!L$2)</f>
        <v>5</v>
      </c>
      <c r="M44" s="1249">
        <f t="shared" si="1"/>
        <v>0.625</v>
      </c>
      <c r="N44" s="20">
        <f>COUNTIFS(STATUS!$G:$G,ФО!A44,STATUS!$N:$N,ФО!N$2)</f>
        <v>0</v>
      </c>
      <c r="O44" s="1249">
        <f t="shared" si="2"/>
        <v>0</v>
      </c>
    </row>
    <row r="45" spans="1:15" x14ac:dyDescent="0.3">
      <c r="A45" s="65" t="s">
        <v>3280</v>
      </c>
      <c r="B45" s="376">
        <v>7817021522</v>
      </c>
      <c r="C45" s="15" t="s">
        <v>3837</v>
      </c>
      <c r="D45" s="15" t="s">
        <v>3837</v>
      </c>
      <c r="E45" s="16">
        <v>34410</v>
      </c>
      <c r="F45" s="20">
        <f>COUNTIF(STATUS!$G:$G,ФО!A45)</f>
        <v>16</v>
      </c>
      <c r="G45" s="624">
        <f>F45/(COUNTA(STATUS!$A:$A)-1)</f>
        <v>4.1226488018551921E-3</v>
      </c>
      <c r="H45" s="20">
        <f>COUNTIFS(STATUS!$G:$G,ФО!A45,STATUS!H:H,"КАСКО")</f>
        <v>0</v>
      </c>
      <c r="I45" s="624">
        <f>H45/(COUNTIF(STATUS!H:H,"КАСКО"))</f>
        <v>0</v>
      </c>
      <c r="J45" s="20">
        <f>COUNTIFS(STATUS!$G:$G,ФО!A45,STATUS!$N:$N,ФО!J$2)</f>
        <v>4</v>
      </c>
      <c r="K45" s="1249">
        <f t="shared" si="0"/>
        <v>0.30769230769230771</v>
      </c>
      <c r="L45" s="20">
        <f>COUNTIFS(STATUS!$G:$G,ФО!A45,STATUS!$N:$N,ФО!L$2)</f>
        <v>9</v>
      </c>
      <c r="M45" s="1249">
        <f t="shared" si="1"/>
        <v>0.69230769230769229</v>
      </c>
      <c r="N45" s="20">
        <f>COUNTIFS(STATUS!$G:$G,ФО!A45,STATUS!$N:$N,ФО!N$2)</f>
        <v>0</v>
      </c>
      <c r="O45" s="1249">
        <f t="shared" si="2"/>
        <v>0</v>
      </c>
    </row>
    <row r="46" spans="1:15" x14ac:dyDescent="0.3">
      <c r="A46" s="65" t="s">
        <v>4169</v>
      </c>
      <c r="B46" s="376">
        <v>6608007191</v>
      </c>
      <c r="C46" s="15" t="s">
        <v>4600</v>
      </c>
      <c r="D46" s="15" t="s">
        <v>4600</v>
      </c>
      <c r="E46" s="16">
        <v>36118</v>
      </c>
      <c r="F46" s="20">
        <f>COUNTIF(STATUS!$G:$G,ФО!A46)</f>
        <v>1</v>
      </c>
      <c r="G46" s="624">
        <f>F46/(COUNTA(STATUS!$A:$A)-1)</f>
        <v>2.576655501159495E-4</v>
      </c>
      <c r="H46" s="20">
        <f>COUNTIFS(STATUS!$G:$G,ФО!A46,STATUS!H:H,"КАСКО")</f>
        <v>1</v>
      </c>
      <c r="I46" s="624">
        <f>H46/(COUNTIF(STATUS!H:H,"КАСКО"))</f>
        <v>7.874015748031496E-3</v>
      </c>
      <c r="J46" s="20">
        <f>COUNTIFS(STATUS!$G:$G,ФО!A46,STATUS!$N:$N,ФО!J$2)</f>
        <v>0</v>
      </c>
      <c r="K46" s="1249">
        <f t="shared" si="0"/>
        <v>0</v>
      </c>
      <c r="L46" s="20">
        <f>COUNTIFS(STATUS!$G:$G,ФО!A46,STATUS!$N:$N,ФО!L$2)</f>
        <v>1</v>
      </c>
      <c r="M46" s="1249">
        <f t="shared" si="1"/>
        <v>1</v>
      </c>
      <c r="N46" s="20">
        <f>COUNTIFS(STATUS!$G:$G,ФО!A46,STATUS!$N:$N,ФО!N$2)</f>
        <v>0</v>
      </c>
      <c r="O46" s="1249">
        <f t="shared" si="2"/>
        <v>0</v>
      </c>
    </row>
    <row r="47" spans="1:15" x14ac:dyDescent="0.3">
      <c r="A47" s="65" t="s">
        <v>4686</v>
      </c>
      <c r="B47" s="376">
        <v>7803025365</v>
      </c>
      <c r="C47" s="15" t="s">
        <v>5281</v>
      </c>
      <c r="D47" s="15" t="s">
        <v>5281</v>
      </c>
      <c r="E47" s="16">
        <v>33611</v>
      </c>
      <c r="F47" s="20">
        <f>COUNTIF(STATUS!$G:$G,ФО!A47)</f>
        <v>3</v>
      </c>
      <c r="G47" s="624">
        <f>F47/(COUNTA(STATUS!$A:$A)-1)</f>
        <v>7.7299665034784846E-4</v>
      </c>
      <c r="H47" s="20">
        <f>COUNTIFS(STATUS!$G:$G,ФО!A47,STATUS!H:H,"КАСКО")</f>
        <v>0</v>
      </c>
      <c r="I47" s="624">
        <f>H47/(COUNTIF(STATUS!H:H,"КАСКО"))</f>
        <v>0</v>
      </c>
      <c r="J47" s="20">
        <f>COUNTIFS(STATUS!$G:$G,ФО!A47,STATUS!$N:$N,ФО!J$2)</f>
        <v>1</v>
      </c>
      <c r="K47" s="1249">
        <f t="shared" si="0"/>
        <v>0.33333333333333331</v>
      </c>
      <c r="L47" s="20">
        <f>COUNTIFS(STATUS!$G:$G,ФО!A47,STATUS!$N:$N,ФО!L$2)</f>
        <v>2</v>
      </c>
      <c r="M47" s="1249">
        <f t="shared" si="1"/>
        <v>0.66666666666666663</v>
      </c>
      <c r="N47" s="20">
        <f>COUNTIFS(STATUS!$G:$G,ФО!A47,STATUS!$N:$N,ФО!N$2)</f>
        <v>0</v>
      </c>
      <c r="O47" s="1249">
        <f t="shared" si="2"/>
        <v>0</v>
      </c>
    </row>
    <row r="48" spans="1:15" x14ac:dyDescent="0.3">
      <c r="A48" s="65" t="s">
        <v>3771</v>
      </c>
      <c r="B48" s="376">
        <v>7809016423</v>
      </c>
      <c r="C48" s="15" t="s">
        <v>5670</v>
      </c>
      <c r="D48" s="15" t="s">
        <v>5670</v>
      </c>
      <c r="E48" s="16">
        <v>35055</v>
      </c>
      <c r="F48" s="20">
        <f>COUNTIF(STATUS!$G:$G,ФО!A48)</f>
        <v>18</v>
      </c>
      <c r="G48" s="624">
        <f>F48/(COUNTA(STATUS!$A:$A)-1)</f>
        <v>4.6379799020870912E-3</v>
      </c>
      <c r="H48" s="20">
        <f>COUNTIFS(STATUS!$G:$G,ФО!A48,STATUS!H:H,"КАСКО")</f>
        <v>0</v>
      </c>
      <c r="I48" s="624">
        <f>H48/(COUNTIF(STATUS!H:H,"КАСКО"))</f>
        <v>0</v>
      </c>
      <c r="J48" s="20">
        <f>COUNTIFS(STATUS!$G:$G,ФО!A48,STATUS!$N:$N,ФО!J$2)</f>
        <v>8</v>
      </c>
      <c r="K48" s="1249">
        <f t="shared" si="0"/>
        <v>0.47058823529411764</v>
      </c>
      <c r="L48" s="20">
        <f>COUNTIFS(STATUS!$G:$G,ФО!A48,STATUS!$N:$N,ФО!L$2)</f>
        <v>8</v>
      </c>
      <c r="M48" s="1249">
        <f t="shared" si="1"/>
        <v>0.47058823529411764</v>
      </c>
      <c r="N48" s="20">
        <f>COUNTIFS(STATUS!$G:$G,ФО!A48,STATUS!$N:$N,ФО!N$2)</f>
        <v>1</v>
      </c>
      <c r="O48" s="1249">
        <f t="shared" si="2"/>
        <v>5.8823529411764705E-2</v>
      </c>
    </row>
    <row r="49" spans="1:15" x14ac:dyDescent="0.3">
      <c r="A49" s="65" t="s">
        <v>2104</v>
      </c>
      <c r="B49" s="376">
        <v>7812016906</v>
      </c>
      <c r="C49" s="15" t="s">
        <v>5709</v>
      </c>
      <c r="D49" s="15" t="s">
        <v>5709</v>
      </c>
      <c r="E49" s="16">
        <v>34309</v>
      </c>
      <c r="F49" s="20">
        <f>COUNTIF(STATUS!$G:$G,ФО!A49)</f>
        <v>8</v>
      </c>
      <c r="G49" s="624">
        <f>F49/(COUNTA(STATUS!$A:$A)-1)</f>
        <v>2.061324400927596E-3</v>
      </c>
      <c r="H49" s="20">
        <f>COUNTIFS(STATUS!$G:$G,ФО!A49,STATUS!H:H,"КАСКО")</f>
        <v>0</v>
      </c>
      <c r="I49" s="624">
        <f>H49/(COUNTIF(STATUS!H:H,"КАСКО"))</f>
        <v>0</v>
      </c>
      <c r="J49" s="20">
        <f>COUNTIFS(STATUS!$G:$G,ФО!A49,STATUS!$N:$N,ФО!J$2)</f>
        <v>1</v>
      </c>
      <c r="K49" s="1249">
        <f t="shared" si="0"/>
        <v>0.2</v>
      </c>
      <c r="L49" s="20">
        <f>COUNTIFS(STATUS!$G:$G,ФО!A49,STATUS!$N:$N,ФО!L$2)</f>
        <v>3</v>
      </c>
      <c r="M49" s="1249">
        <f t="shared" si="1"/>
        <v>0.6</v>
      </c>
      <c r="N49" s="20">
        <f>COUNTIFS(STATUS!$G:$G,ФО!A49,STATUS!$N:$N,ФО!N$2)</f>
        <v>1</v>
      </c>
      <c r="O49" s="1249">
        <f t="shared" si="2"/>
        <v>0.2</v>
      </c>
    </row>
    <row r="50" spans="1:15" x14ac:dyDescent="0.3">
      <c r="A50" s="65" t="s">
        <v>7515</v>
      </c>
      <c r="B50" s="376">
        <v>7704216908</v>
      </c>
      <c r="C50" s="15" t="s">
        <v>8285</v>
      </c>
      <c r="D50" s="15" t="s">
        <v>8285</v>
      </c>
      <c r="E50" s="16">
        <v>36781</v>
      </c>
      <c r="F50" s="20">
        <f>COUNTIF(STATUS!$G:$G,ФО!A50)</f>
        <v>2</v>
      </c>
      <c r="G50" s="624">
        <f>F50/(COUNTA(STATUS!$A:$A)-1)</f>
        <v>5.1533110023189901E-4</v>
      </c>
      <c r="H50" s="20">
        <f>COUNTIFS(STATUS!$G:$G,ФО!A50,STATUS!H:H,"КАСКО")</f>
        <v>0</v>
      </c>
      <c r="I50" s="624">
        <f>H50/(COUNTIF(STATUS!H:H,"КАСКО"))</f>
        <v>0</v>
      </c>
      <c r="J50" s="20">
        <f>COUNTIFS(STATUS!$G:$G,ФО!A50,STATUS!$N:$N,ФО!J$2)</f>
        <v>1</v>
      </c>
      <c r="K50" s="1249">
        <f t="shared" si="0"/>
        <v>0.5</v>
      </c>
      <c r="L50" s="20">
        <f>COUNTIFS(STATUS!$G:$G,ФО!A50,STATUS!$N:$N,ФО!L$2)</f>
        <v>1</v>
      </c>
      <c r="M50" s="1249">
        <f t="shared" si="1"/>
        <v>0.5</v>
      </c>
      <c r="N50" s="20">
        <f>COUNTIFS(STATUS!$G:$G,ФО!A50,STATUS!$N:$N,ФО!N$2)</f>
        <v>0</v>
      </c>
      <c r="O50" s="1249">
        <f t="shared" si="2"/>
        <v>0</v>
      </c>
    </row>
    <row r="51" spans="1:15" x14ac:dyDescent="0.3">
      <c r="A51" s="65" t="s">
        <v>6493</v>
      </c>
      <c r="B51" s="376">
        <v>7812016906</v>
      </c>
      <c r="C51" s="15" t="s">
        <v>5709</v>
      </c>
      <c r="D51" s="15" t="s">
        <v>5709</v>
      </c>
      <c r="E51" s="16">
        <v>34309</v>
      </c>
      <c r="F51" s="20">
        <f>COUNTIF(STATUS!$G:$G,ФО!A51)</f>
        <v>18</v>
      </c>
      <c r="G51" s="624">
        <f>F51/(COUNTA(STATUS!$A:$A)-1)</f>
        <v>4.6379799020870912E-3</v>
      </c>
      <c r="H51" s="20">
        <f>COUNTIFS(STATUS!$G:$G,ФО!A51,STATUS!H:H,"КАСКО")</f>
        <v>1</v>
      </c>
      <c r="I51" s="624">
        <f>H51/(COUNTIF(STATUS!H:H,"КАСКО"))</f>
        <v>7.874015748031496E-3</v>
      </c>
      <c r="J51" s="20">
        <f>COUNTIFS(STATUS!$G:$G,ФО!A51,STATUS!$N:$N,ФО!J$2)</f>
        <v>4</v>
      </c>
      <c r="K51" s="1249">
        <f t="shared" si="0"/>
        <v>0.25</v>
      </c>
      <c r="L51" s="20">
        <f>COUNTIFS(STATUS!$G:$G,ФО!A51,STATUS!$N:$N,ФО!L$2)</f>
        <v>9</v>
      </c>
      <c r="M51" s="1249">
        <f t="shared" si="1"/>
        <v>0.5625</v>
      </c>
      <c r="N51" s="20">
        <f>COUNTIFS(STATUS!$G:$G,ФО!A51,STATUS!$N:$N,ФО!N$2)</f>
        <v>3</v>
      </c>
      <c r="O51" s="1249">
        <f t="shared" si="2"/>
        <v>0.1875</v>
      </c>
    </row>
    <row r="52" spans="1:15" x14ac:dyDescent="0.3">
      <c r="A52" s="65" t="s">
        <v>3509</v>
      </c>
      <c r="B52" s="376">
        <v>7702848563</v>
      </c>
      <c r="C52" s="15" t="s">
        <v>8410</v>
      </c>
      <c r="D52" s="15" t="s">
        <v>8410</v>
      </c>
      <c r="E52" s="16">
        <v>41953</v>
      </c>
      <c r="F52" s="20">
        <f>COUNTIF(STATUS!$G:$G,ФО!A52)</f>
        <v>5</v>
      </c>
      <c r="G52" s="624">
        <f>F52/(COUNTA(STATUS!$A:$A)-1)</f>
        <v>1.2883277505797476E-3</v>
      </c>
      <c r="H52" s="20">
        <f>COUNTIFS(STATUS!$G:$G,ФО!A52,STATUS!H:H,"КАСКО")</f>
        <v>1</v>
      </c>
      <c r="I52" s="624">
        <f>H52/(COUNTIF(STATUS!H:H,"КАСКО"))</f>
        <v>7.874015748031496E-3</v>
      </c>
      <c r="J52" s="20">
        <f>COUNTIFS(STATUS!$G:$G,ФО!A52,STATUS!$N:$N,ФО!J$2)</f>
        <v>1</v>
      </c>
      <c r="K52" s="1249">
        <f t="shared" si="0"/>
        <v>0.2</v>
      </c>
      <c r="L52" s="20">
        <f>COUNTIFS(STATUS!$G:$G,ФО!A52,STATUS!$N:$N,ФО!L$2)</f>
        <v>2</v>
      </c>
      <c r="M52" s="1249">
        <f t="shared" si="1"/>
        <v>0.4</v>
      </c>
      <c r="N52" s="20">
        <f>COUNTIFS(STATUS!$G:$G,ФО!A52,STATUS!$N:$N,ФО!N$2)</f>
        <v>2</v>
      </c>
      <c r="O52" s="1249">
        <f t="shared" si="2"/>
        <v>0.4</v>
      </c>
    </row>
    <row r="53" spans="1:15" x14ac:dyDescent="0.3">
      <c r="A53" s="65" t="s">
        <v>8909</v>
      </c>
      <c r="B53" s="376">
        <v>7815025049</v>
      </c>
      <c r="C53" s="15" t="s">
        <v>8910</v>
      </c>
      <c r="D53" s="15" t="s">
        <v>8910</v>
      </c>
      <c r="E53" s="16">
        <v>33129</v>
      </c>
      <c r="F53" s="20">
        <f>COUNTIF(STATUS!$G:$G,ФО!A53)</f>
        <v>18</v>
      </c>
      <c r="G53" s="624">
        <f>F53/(COUNTA(STATUS!$A:$A)-1)</f>
        <v>4.6379799020870912E-3</v>
      </c>
      <c r="H53" s="20">
        <f>COUNTIFS(STATUS!$G:$G,ФО!A53,STATUS!H:H,"КАСКО")</f>
        <v>0</v>
      </c>
      <c r="I53" s="624">
        <f>H53/(COUNTIF(STATUS!H:H,"КАСКО"))</f>
        <v>0</v>
      </c>
      <c r="J53" s="20">
        <f>COUNTIFS(STATUS!$G:$G,ФО!A53,STATUS!$N:$N,ФО!J$2)</f>
        <v>8</v>
      </c>
      <c r="K53" s="1249">
        <f t="shared" si="0"/>
        <v>0.44444444444444442</v>
      </c>
      <c r="L53" s="20">
        <f>COUNTIFS(STATUS!$G:$G,ФО!A53,STATUS!$N:$N,ФО!L$2)</f>
        <v>7</v>
      </c>
      <c r="M53" s="1249">
        <f t="shared" si="1"/>
        <v>0.3888888888888889</v>
      </c>
      <c r="N53" s="20">
        <f>COUNTIFS(STATUS!$G:$G,ФО!A53,STATUS!$N:$N,ФО!N$2)</f>
        <v>3</v>
      </c>
      <c r="O53" s="1249">
        <f t="shared" si="2"/>
        <v>0.16666666666666666</v>
      </c>
    </row>
    <row r="54" spans="1:15" x14ac:dyDescent="0.3">
      <c r="A54" s="65" t="s">
        <v>3014</v>
      </c>
      <c r="B54" s="376">
        <v>7714034590</v>
      </c>
      <c r="C54" s="15" t="s">
        <v>8991</v>
      </c>
      <c r="D54" s="15" t="s">
        <v>8991</v>
      </c>
      <c r="E54" s="16">
        <v>34955</v>
      </c>
      <c r="F54" s="20">
        <f>COUNTIF(STATUS!$G:$G,ФО!A54)</f>
        <v>6</v>
      </c>
      <c r="G54" s="624">
        <f>F54/(COUNTA(STATUS!$A:$A)-1)</f>
        <v>1.5459933006956969E-3</v>
      </c>
      <c r="H54" s="20">
        <f>COUNTIFS(STATUS!$G:$G,ФО!A54,STATUS!H:H,"КАСКО")</f>
        <v>0</v>
      </c>
      <c r="I54" s="624">
        <f>H54/(COUNTIF(STATUS!H:H,"КАСКО"))</f>
        <v>0</v>
      </c>
      <c r="J54" s="20">
        <f>COUNTIFS(STATUS!$G:$G,ФО!A54,STATUS!$N:$N,ФО!J$2)</f>
        <v>1</v>
      </c>
      <c r="K54" s="1249">
        <f t="shared" si="0"/>
        <v>0.16666666666666666</v>
      </c>
      <c r="L54" s="20">
        <f>COUNTIFS(STATUS!$G:$G,ФО!A54,STATUS!$N:$N,ФО!L$2)</f>
        <v>4</v>
      </c>
      <c r="M54" s="1249">
        <f t="shared" si="1"/>
        <v>0.66666666666666663</v>
      </c>
      <c r="N54" s="20">
        <f>COUNTIFS(STATUS!$G:$G,ФО!A54,STATUS!$N:$N,ФО!N$2)</f>
        <v>1</v>
      </c>
      <c r="O54" s="1249">
        <f t="shared" si="2"/>
        <v>0.16666666666666666</v>
      </c>
    </row>
    <row r="55" spans="1:15" x14ac:dyDescent="0.3">
      <c r="A55" s="15" t="s">
        <v>9119</v>
      </c>
      <c r="B55" s="376">
        <v>7710045520</v>
      </c>
      <c r="C55" s="15" t="s">
        <v>159</v>
      </c>
      <c r="D55" s="15" t="s">
        <v>159</v>
      </c>
      <c r="E55" s="16">
        <v>34234</v>
      </c>
      <c r="F55" s="20">
        <f>COUNTIF(STATUS!$G:$G,ФО!A55)</f>
        <v>128</v>
      </c>
      <c r="G55" s="624">
        <f>F55/(COUNTA(STATUS!$A:$A)-1)</f>
        <v>3.2981190414841537E-2</v>
      </c>
      <c r="H55" s="20">
        <f>COUNTIFS(STATUS!$G:$G,ФО!A55,STATUS!H:H,"КАСКО")</f>
        <v>5</v>
      </c>
      <c r="I55" s="624">
        <f>H55/(COUNTIF(STATUS!H:H,"КАСКО"))</f>
        <v>3.937007874015748E-2</v>
      </c>
      <c r="J55" s="20">
        <f>COUNTIFS(STATUS!$G:$G,ФО!A55,STATUS!$N:$N,ФО!J$2)</f>
        <v>53</v>
      </c>
      <c r="K55" s="1249">
        <f t="shared" si="0"/>
        <v>0.4344262295081967</v>
      </c>
      <c r="L55" s="20">
        <f>COUNTIFS(STATUS!$G:$G,ФО!A55,STATUS!$N:$N,ФО!L$2)</f>
        <v>62</v>
      </c>
      <c r="M55" s="1249">
        <f t="shared" si="1"/>
        <v>0.50819672131147542</v>
      </c>
      <c r="N55" s="20">
        <f>COUNTIFS(STATUS!$G:$G,ФО!A55,STATUS!$N:$N,ФО!N$2)</f>
        <v>7</v>
      </c>
      <c r="O55" s="1249">
        <f t="shared" si="2"/>
        <v>5.737704918032787E-2</v>
      </c>
    </row>
    <row r="56" spans="1:15" x14ac:dyDescent="0.3">
      <c r="A56" s="65" t="s">
        <v>10042</v>
      </c>
      <c r="B56" s="376" t="s">
        <v>10043</v>
      </c>
      <c r="C56" s="15" t="s">
        <v>1170</v>
      </c>
      <c r="D56" s="15" t="s">
        <v>1170</v>
      </c>
      <c r="E56" s="16">
        <v>36637</v>
      </c>
      <c r="F56" s="20">
        <f>COUNTIF(STATUS!$G:$G,ФО!A56)</f>
        <v>1</v>
      </c>
      <c r="G56" s="624">
        <f>F56/(COUNTA(STATUS!$A:$A)-1)</f>
        <v>2.576655501159495E-4</v>
      </c>
      <c r="H56" s="20">
        <f>COUNTIFS(STATUS!$G:$G,ФО!A56,STATUS!H:H,"КАСКО")</f>
        <v>0</v>
      </c>
      <c r="I56" s="624">
        <f>H56/(COUNTIF(STATUS!H:H,"КАСКО"))</f>
        <v>0</v>
      </c>
      <c r="J56" s="20">
        <f>COUNTIFS(STATUS!$G:$G,ФО!A56,STATUS!$N:$N,ФО!J$2)</f>
        <v>0</v>
      </c>
      <c r="K56" s="1249">
        <f t="shared" ref="K56" si="3">J56/($J56+$L56+$N56)</f>
        <v>0</v>
      </c>
      <c r="L56" s="20">
        <f>COUNTIFS(STATUS!$G:$G,ФО!A56,STATUS!$N:$N,ФО!L$2)</f>
        <v>1</v>
      </c>
      <c r="M56" s="1249">
        <f t="shared" ref="M56" si="4">L56/($J56+$L56+$N56)</f>
        <v>1</v>
      </c>
      <c r="N56" s="20">
        <f>COUNTIFS(STATUS!$G:$G,ФО!A56,STATUS!$N:$N,ФО!N$2)</f>
        <v>0</v>
      </c>
      <c r="O56" s="1249">
        <f t="shared" ref="O56" si="5">N56/($J56+$L56+$N56)</f>
        <v>0</v>
      </c>
    </row>
    <row r="57" spans="1:15" x14ac:dyDescent="0.3">
      <c r="A57" s="65" t="s">
        <v>10940</v>
      </c>
      <c r="B57" s="376" t="s">
        <v>10941</v>
      </c>
      <c r="C57" s="15" t="s">
        <v>10942</v>
      </c>
      <c r="D57" s="15" t="s">
        <v>10942</v>
      </c>
      <c r="E57" s="16">
        <v>33903</v>
      </c>
      <c r="F57" s="20">
        <f>COUNTIF(STATUS!$G:$G,ФО!A57)</f>
        <v>1</v>
      </c>
      <c r="G57" s="624">
        <f>F57/(COUNTA(STATUS!$A:$A)-1)</f>
        <v>2.576655501159495E-4</v>
      </c>
      <c r="H57" s="20">
        <f>COUNTIFS(STATUS!$G:$G,ФО!A57,STATUS!H:H,"КАСКО")</f>
        <v>1</v>
      </c>
      <c r="I57" s="624">
        <f>H57/(COUNTIF(STATUS!H:H,"КАСКО"))</f>
        <v>7.874015748031496E-3</v>
      </c>
      <c r="J57" s="20">
        <f>COUNTIFS(STATUS!$G:$G,ФО!A57,STATUS!$N:$N,ФО!J$2)</f>
        <v>0</v>
      </c>
      <c r="K57" s="1249">
        <f t="shared" ref="K57" si="6">J57/($J57+$L57+$N57)</f>
        <v>0</v>
      </c>
      <c r="L57" s="20">
        <f>COUNTIFS(STATUS!$G:$G,ФО!A57,STATUS!$N:$N,ФО!L$2)</f>
        <v>0</v>
      </c>
      <c r="M57" s="1249">
        <f t="shared" ref="M57" si="7">L57/($J57+$L57+$N57)</f>
        <v>0</v>
      </c>
      <c r="N57" s="20">
        <f>COUNTIFS(STATUS!$G:$G,ФО!A57,STATUS!$N:$N,ФО!N$2)</f>
        <v>1</v>
      </c>
      <c r="O57" s="1249">
        <f t="shared" ref="O57" si="8">N57/($J57+$L57+$N57)</f>
        <v>1</v>
      </c>
    </row>
    <row r="58" spans="1:15" x14ac:dyDescent="0.3">
      <c r="A58" s="65" t="s">
        <v>11608</v>
      </c>
      <c r="B58" s="376" t="s">
        <v>11609</v>
      </c>
      <c r="C58" s="15" t="s">
        <v>178</v>
      </c>
      <c r="D58" s="15" t="s">
        <v>178</v>
      </c>
      <c r="E58" s="16">
        <v>44105</v>
      </c>
      <c r="F58" s="20">
        <f>COUNTIF(STATUS!$G:$G,ФО!A58)</f>
        <v>6</v>
      </c>
      <c r="G58" s="624">
        <f>F58/(COUNTA(STATUS!$A:$A)-1)</f>
        <v>1.5459933006956969E-3</v>
      </c>
      <c r="H58" s="20">
        <f>COUNTIFS(STATUS!$G:$G,ФО!A58,STATUS!H:H,"КАСКО")</f>
        <v>0</v>
      </c>
      <c r="I58" s="624">
        <f>H58/(COUNTIF(STATUS!H:H,"КАСКО"))</f>
        <v>0</v>
      </c>
      <c r="J58" s="20">
        <f>COUNTIFS(STATUS!$G:$G,ФО!A58,STATUS!$N:$N,ФО!J$2)</f>
        <v>3</v>
      </c>
      <c r="K58" s="1249">
        <f t="shared" ref="K58" si="9">J58/($J58+$L58+$N58)</f>
        <v>0.6</v>
      </c>
      <c r="L58" s="20">
        <f>COUNTIFS(STATUS!$G:$G,ФО!A58,STATUS!$N:$N,ФО!L$2)</f>
        <v>1</v>
      </c>
      <c r="M58" s="1249">
        <f t="shared" ref="M58" si="10">L58/($J58+$L58+$N58)</f>
        <v>0.2</v>
      </c>
      <c r="N58" s="20">
        <f>COUNTIFS(STATUS!$G:$G,ФО!A58,STATUS!$N:$N,ФО!N$2)</f>
        <v>1</v>
      </c>
      <c r="O58" s="1249">
        <f t="shared" ref="O58" si="11">N58/($J58+$L58+$N58)</f>
        <v>0.2</v>
      </c>
    </row>
    <row r="59" spans="1:15" x14ac:dyDescent="0.3">
      <c r="A59" s="65" t="s">
        <v>11815</v>
      </c>
      <c r="B59" s="17" t="s">
        <v>11913</v>
      </c>
      <c r="C59" s="15" t="s">
        <v>12012</v>
      </c>
      <c r="D59" s="15" t="s">
        <v>12012</v>
      </c>
      <c r="E59" s="1344">
        <v>38114</v>
      </c>
      <c r="F59" s="20">
        <f>COUNTIF(STATUS!$G:$G,ФО!A59)</f>
        <v>0</v>
      </c>
      <c r="G59" s="624">
        <f>F59/(COUNTA(STATUS!$A:$A)-1)</f>
        <v>0</v>
      </c>
      <c r="H59" s="20">
        <f>COUNTIFS(STATUS!$G:$G,ФО!A59,STATUS!H:H,"КАСКО")</f>
        <v>0</v>
      </c>
      <c r="I59" s="624">
        <f>H59/(COUNTIF(STATUS!H:H,"КАСКО"))</f>
        <v>0</v>
      </c>
      <c r="J59" s="20">
        <f>COUNTIFS(STATUS!$G:$G,ФО!A59,STATUS!$N:$N,ФО!J$2)</f>
        <v>0</v>
      </c>
      <c r="K59" s="1249" t="e">
        <f t="shared" ref="K59:K122" si="12">J59/($J59+$L59+$N59)</f>
        <v>#DIV/0!</v>
      </c>
      <c r="L59" s="20">
        <f>COUNTIFS(STATUS!$G:$G,ФО!A59,STATUS!$N:$N,ФО!L$2)</f>
        <v>0</v>
      </c>
      <c r="M59" s="1249" t="e">
        <f t="shared" ref="M59:M122" si="13">L59/($J59+$L59+$N59)</f>
        <v>#DIV/0!</v>
      </c>
      <c r="N59" s="20">
        <f>COUNTIFS(STATUS!$G:$G,ФО!A59,STATUS!$N:$N,ФО!N$2)</f>
        <v>0</v>
      </c>
      <c r="O59" s="1249" t="e">
        <f t="shared" ref="O59:O122" si="14">N59/($J59+$L59+$N59)</f>
        <v>#DIV/0!</v>
      </c>
    </row>
    <row r="60" spans="1:15" x14ac:dyDescent="0.3">
      <c r="A60" s="65" t="s">
        <v>11816</v>
      </c>
      <c r="B60" s="17" t="s">
        <v>11914</v>
      </c>
      <c r="C60" s="15" t="s">
        <v>12013</v>
      </c>
      <c r="D60" s="15" t="s">
        <v>12013</v>
      </c>
      <c r="E60" s="1344">
        <v>35730</v>
      </c>
      <c r="F60" s="20">
        <f>COUNTIF(STATUS!$G:$G,ФО!A60)</f>
        <v>0</v>
      </c>
      <c r="G60" s="624">
        <f>F60/(COUNTA(STATUS!$A:$A)-1)</f>
        <v>0</v>
      </c>
      <c r="H60" s="20">
        <f>COUNTIFS(STATUS!$G:$G,ФО!A60,STATUS!H:H,"КАСКО")</f>
        <v>0</v>
      </c>
      <c r="I60" s="624">
        <f>H60/(COUNTIF(STATUS!H:H,"КАСКО"))</f>
        <v>0</v>
      </c>
      <c r="J60" s="20">
        <f>COUNTIFS(STATUS!$G:$G,ФО!A60,STATUS!$N:$N,ФО!J$2)</f>
        <v>0</v>
      </c>
      <c r="K60" s="1249" t="e">
        <f t="shared" si="12"/>
        <v>#DIV/0!</v>
      </c>
      <c r="L60" s="20">
        <f>COUNTIFS(STATUS!$G:$G,ФО!A60,STATUS!$N:$N,ФО!L$2)</f>
        <v>0</v>
      </c>
      <c r="M60" s="1249" t="e">
        <f t="shared" si="13"/>
        <v>#DIV/0!</v>
      </c>
      <c r="N60" s="20">
        <f>COUNTIFS(STATUS!$G:$G,ФО!A60,STATUS!$N:$N,ФО!N$2)</f>
        <v>0</v>
      </c>
      <c r="O60" s="1249" t="e">
        <f t="shared" si="14"/>
        <v>#DIV/0!</v>
      </c>
    </row>
    <row r="61" spans="1:15" x14ac:dyDescent="0.3">
      <c r="A61" s="65" t="s">
        <v>11817</v>
      </c>
      <c r="B61" s="17" t="s">
        <v>11915</v>
      </c>
      <c r="C61" s="15" t="s">
        <v>12014</v>
      </c>
      <c r="D61" s="15" t="s">
        <v>12014</v>
      </c>
      <c r="E61" s="1344">
        <v>36109</v>
      </c>
      <c r="F61" s="20">
        <f>COUNTIF(STATUS!$G:$G,ФО!A61)</f>
        <v>0</v>
      </c>
      <c r="G61" s="624">
        <f>F61/(COUNTA(STATUS!$A:$A)-1)</f>
        <v>0</v>
      </c>
      <c r="H61" s="20">
        <f>COUNTIFS(STATUS!$G:$G,ФО!A61,STATUS!H:H,"КАСКО")</f>
        <v>0</v>
      </c>
      <c r="I61" s="624">
        <f>H61/(COUNTIF(STATUS!H:H,"КАСКО"))</f>
        <v>0</v>
      </c>
      <c r="J61" s="20">
        <f>COUNTIFS(STATUS!$G:$G,ФО!A61,STATUS!$N:$N,ФО!J$2)</f>
        <v>0</v>
      </c>
      <c r="K61" s="1249" t="e">
        <f t="shared" si="12"/>
        <v>#DIV/0!</v>
      </c>
      <c r="L61" s="20">
        <f>COUNTIFS(STATUS!$G:$G,ФО!A61,STATUS!$N:$N,ФО!L$2)</f>
        <v>0</v>
      </c>
      <c r="M61" s="1249" t="e">
        <f t="shared" si="13"/>
        <v>#DIV/0!</v>
      </c>
      <c r="N61" s="20">
        <f>COUNTIFS(STATUS!$G:$G,ФО!A61,STATUS!$N:$N,ФО!N$2)</f>
        <v>0</v>
      </c>
      <c r="O61" s="1249" t="e">
        <f t="shared" si="14"/>
        <v>#DIV/0!</v>
      </c>
    </row>
    <row r="62" spans="1:15" x14ac:dyDescent="0.3">
      <c r="A62" s="65" t="s">
        <v>11818</v>
      </c>
      <c r="B62" s="17" t="s">
        <v>11916</v>
      </c>
      <c r="C62" s="15" t="s">
        <v>12015</v>
      </c>
      <c r="D62" s="15" t="s">
        <v>12015</v>
      </c>
      <c r="E62" s="1344">
        <v>33905</v>
      </c>
      <c r="F62" s="20">
        <f>COUNTIF(STATUS!$G:$G,ФО!A62)</f>
        <v>0</v>
      </c>
      <c r="G62" s="624">
        <f>F62/(COUNTA(STATUS!$A:$A)-1)</f>
        <v>0</v>
      </c>
      <c r="H62" s="20">
        <f>COUNTIFS(STATUS!$G:$G,ФО!A62,STATUS!H:H,"КАСКО")</f>
        <v>0</v>
      </c>
      <c r="I62" s="624">
        <f>H62/(COUNTIF(STATUS!H:H,"КАСКО"))</f>
        <v>0</v>
      </c>
      <c r="J62" s="20">
        <f>COUNTIFS(STATUS!$G:$G,ФО!A62,STATUS!$N:$N,ФО!J$2)</f>
        <v>0</v>
      </c>
      <c r="K62" s="1249" t="e">
        <f t="shared" si="12"/>
        <v>#DIV/0!</v>
      </c>
      <c r="L62" s="20">
        <f>COUNTIFS(STATUS!$G:$G,ФО!A62,STATUS!$N:$N,ФО!L$2)</f>
        <v>0</v>
      </c>
      <c r="M62" s="1249" t="e">
        <f t="shared" si="13"/>
        <v>#DIV/0!</v>
      </c>
      <c r="N62" s="20">
        <f>COUNTIFS(STATUS!$G:$G,ФО!A62,STATUS!$N:$N,ФО!N$2)</f>
        <v>0</v>
      </c>
      <c r="O62" s="1249" t="e">
        <f t="shared" si="14"/>
        <v>#DIV/0!</v>
      </c>
    </row>
    <row r="63" spans="1:15" x14ac:dyDescent="0.3">
      <c r="A63" s="65" t="s">
        <v>11819</v>
      </c>
      <c r="B63" s="17" t="s">
        <v>11917</v>
      </c>
      <c r="C63" s="15" t="s">
        <v>12016</v>
      </c>
      <c r="D63" s="15" t="s">
        <v>12016</v>
      </c>
      <c r="E63" s="1344"/>
      <c r="F63" s="20">
        <f>COUNTIF(STATUS!$G:$G,ФО!A63)</f>
        <v>0</v>
      </c>
      <c r="G63" s="624">
        <f>F63/(COUNTA(STATUS!$A:$A)-1)</f>
        <v>0</v>
      </c>
      <c r="H63" s="20">
        <f>COUNTIFS(STATUS!$G:$G,ФО!A63,STATUS!H:H,"КАСКО")</f>
        <v>0</v>
      </c>
      <c r="I63" s="624">
        <f>H63/(COUNTIF(STATUS!H:H,"КАСКО"))</f>
        <v>0</v>
      </c>
      <c r="J63" s="20">
        <f>COUNTIFS(STATUS!$G:$G,ФО!A63,STATUS!$N:$N,ФО!J$2)</f>
        <v>0</v>
      </c>
      <c r="K63" s="1249" t="e">
        <f t="shared" si="12"/>
        <v>#DIV/0!</v>
      </c>
      <c r="L63" s="20">
        <f>COUNTIFS(STATUS!$G:$G,ФО!A63,STATUS!$N:$N,ФО!L$2)</f>
        <v>0</v>
      </c>
      <c r="M63" s="1249" t="e">
        <f t="shared" si="13"/>
        <v>#DIV/0!</v>
      </c>
      <c r="N63" s="20">
        <f>COUNTIFS(STATUS!$G:$G,ФО!A63,STATUS!$N:$N,ФО!N$2)</f>
        <v>0</v>
      </c>
      <c r="O63" s="1249" t="e">
        <f t="shared" si="14"/>
        <v>#DIV/0!</v>
      </c>
    </row>
    <row r="64" spans="1:15" x14ac:dyDescent="0.3">
      <c r="A64" s="65" t="s">
        <v>11820</v>
      </c>
      <c r="B64" s="17" t="s">
        <v>11918</v>
      </c>
      <c r="C64" s="15" t="s">
        <v>12017</v>
      </c>
      <c r="D64" s="15" t="s">
        <v>12017</v>
      </c>
      <c r="E64" s="1344">
        <v>37480</v>
      </c>
      <c r="F64" s="20">
        <f>COUNTIF(STATUS!$G:$G,ФО!A64)</f>
        <v>0</v>
      </c>
      <c r="G64" s="624">
        <f>F64/(COUNTA(STATUS!$A:$A)-1)</f>
        <v>0</v>
      </c>
      <c r="H64" s="20">
        <f>COUNTIFS(STATUS!$G:$G,ФО!A64,STATUS!H:H,"КАСКО")</f>
        <v>0</v>
      </c>
      <c r="I64" s="624">
        <f>H64/(COUNTIF(STATUS!H:H,"КАСКО"))</f>
        <v>0</v>
      </c>
      <c r="J64" s="20">
        <f>COUNTIFS(STATUS!$G:$G,ФО!A64,STATUS!$N:$N,ФО!J$2)</f>
        <v>0</v>
      </c>
      <c r="K64" s="1249" t="e">
        <f t="shared" si="12"/>
        <v>#DIV/0!</v>
      </c>
      <c r="L64" s="20">
        <f>COUNTIFS(STATUS!$G:$G,ФО!A64,STATUS!$N:$N,ФО!L$2)</f>
        <v>0</v>
      </c>
      <c r="M64" s="1249" t="e">
        <f t="shared" si="13"/>
        <v>#DIV/0!</v>
      </c>
      <c r="N64" s="20">
        <f>COUNTIFS(STATUS!$G:$G,ФО!A64,STATUS!$N:$N,ФО!N$2)</f>
        <v>0</v>
      </c>
      <c r="O64" s="1249" t="e">
        <f t="shared" si="14"/>
        <v>#DIV/0!</v>
      </c>
    </row>
    <row r="65" spans="1:15" x14ac:dyDescent="0.3">
      <c r="A65" s="65" t="s">
        <v>11821</v>
      </c>
      <c r="B65" s="17" t="s">
        <v>11919</v>
      </c>
      <c r="C65" s="15" t="s">
        <v>12018</v>
      </c>
      <c r="D65" s="15" t="s">
        <v>12018</v>
      </c>
      <c r="E65" s="1344">
        <v>37705</v>
      </c>
      <c r="F65" s="20">
        <f>COUNTIF(STATUS!$G:$G,ФО!A65)</f>
        <v>0</v>
      </c>
      <c r="G65" s="624">
        <f>F65/(COUNTA(STATUS!$A:$A)-1)</f>
        <v>0</v>
      </c>
      <c r="H65" s="20">
        <f>COUNTIFS(STATUS!$G:$G,ФО!A65,STATUS!H:H,"КАСКО")</f>
        <v>0</v>
      </c>
      <c r="I65" s="624">
        <f>H65/(COUNTIF(STATUS!H:H,"КАСКО"))</f>
        <v>0</v>
      </c>
      <c r="J65" s="20">
        <f>COUNTIFS(STATUS!$G:$G,ФО!A65,STATUS!$N:$N,ФО!J$2)</f>
        <v>0</v>
      </c>
      <c r="K65" s="1249" t="e">
        <f t="shared" si="12"/>
        <v>#DIV/0!</v>
      </c>
      <c r="L65" s="20">
        <f>COUNTIFS(STATUS!$G:$G,ФО!A65,STATUS!$N:$N,ФО!L$2)</f>
        <v>0</v>
      </c>
      <c r="M65" s="1249" t="e">
        <f t="shared" si="13"/>
        <v>#DIV/0!</v>
      </c>
      <c r="N65" s="20">
        <f>COUNTIFS(STATUS!$G:$G,ФО!A65,STATUS!$N:$N,ФО!N$2)</f>
        <v>0</v>
      </c>
      <c r="O65" s="1249" t="e">
        <f t="shared" si="14"/>
        <v>#DIV/0!</v>
      </c>
    </row>
    <row r="66" spans="1:15" x14ac:dyDescent="0.3">
      <c r="A66" s="65" t="s">
        <v>11822</v>
      </c>
      <c r="B66" s="17" t="s">
        <v>11920</v>
      </c>
      <c r="C66" s="15" t="s">
        <v>12019</v>
      </c>
      <c r="D66" s="15" t="s">
        <v>12019</v>
      </c>
      <c r="E66" s="1344">
        <v>37811</v>
      </c>
      <c r="F66" s="20">
        <f>COUNTIF(STATUS!$G:$G,ФО!A66)</f>
        <v>0</v>
      </c>
      <c r="G66" s="624">
        <f>F66/(COUNTA(STATUS!$A:$A)-1)</f>
        <v>0</v>
      </c>
      <c r="H66" s="20">
        <f>COUNTIFS(STATUS!$G:$G,ФО!A66,STATUS!H:H,"КАСКО")</f>
        <v>0</v>
      </c>
      <c r="I66" s="624">
        <f>H66/(COUNTIF(STATUS!H:H,"КАСКО"))</f>
        <v>0</v>
      </c>
      <c r="J66" s="20">
        <f>COUNTIFS(STATUS!$G:$G,ФО!A66,STATUS!$N:$N,ФО!J$2)</f>
        <v>0</v>
      </c>
      <c r="K66" s="1249" t="e">
        <f t="shared" si="12"/>
        <v>#DIV/0!</v>
      </c>
      <c r="L66" s="20">
        <f>COUNTIFS(STATUS!$G:$G,ФО!A66,STATUS!$N:$N,ФО!L$2)</f>
        <v>0</v>
      </c>
      <c r="M66" s="1249" t="e">
        <f t="shared" si="13"/>
        <v>#DIV/0!</v>
      </c>
      <c r="N66" s="20">
        <f>COUNTIFS(STATUS!$G:$G,ФО!A66,STATUS!$N:$N,ФО!N$2)</f>
        <v>0</v>
      </c>
      <c r="O66" s="1249" t="e">
        <f t="shared" si="14"/>
        <v>#DIV/0!</v>
      </c>
    </row>
    <row r="67" spans="1:15" x14ac:dyDescent="0.3">
      <c r="A67" s="65" t="s">
        <v>11823</v>
      </c>
      <c r="B67" s="17" t="s">
        <v>11921</v>
      </c>
      <c r="C67" s="15" t="s">
        <v>12020</v>
      </c>
      <c r="D67" s="15" t="s">
        <v>12020</v>
      </c>
      <c r="E67" s="1344">
        <v>33617</v>
      </c>
      <c r="F67" s="20">
        <f>COUNTIF(STATUS!$G:$G,ФО!A67)</f>
        <v>0</v>
      </c>
      <c r="G67" s="624">
        <f>F67/(COUNTA(STATUS!$A:$A)-1)</f>
        <v>0</v>
      </c>
      <c r="H67" s="20">
        <f>COUNTIFS(STATUS!$G:$G,ФО!A67,STATUS!H:H,"КАСКО")</f>
        <v>0</v>
      </c>
      <c r="I67" s="624">
        <f>H67/(COUNTIF(STATUS!H:H,"КАСКО"))</f>
        <v>0</v>
      </c>
      <c r="J67" s="20">
        <f>COUNTIFS(STATUS!$G:$G,ФО!A67,STATUS!$N:$N,ФО!J$2)</f>
        <v>0</v>
      </c>
      <c r="K67" s="1249" t="e">
        <f t="shared" si="12"/>
        <v>#DIV/0!</v>
      </c>
      <c r="L67" s="20">
        <f>COUNTIFS(STATUS!$G:$G,ФО!A67,STATUS!$N:$N,ФО!L$2)</f>
        <v>0</v>
      </c>
      <c r="M67" s="1249" t="e">
        <f t="shared" si="13"/>
        <v>#DIV/0!</v>
      </c>
      <c r="N67" s="20">
        <f>COUNTIFS(STATUS!$G:$G,ФО!A67,STATUS!$N:$N,ФО!N$2)</f>
        <v>0</v>
      </c>
      <c r="O67" s="1249" t="e">
        <f t="shared" si="14"/>
        <v>#DIV/0!</v>
      </c>
    </row>
    <row r="68" spans="1:15" x14ac:dyDescent="0.3">
      <c r="A68" s="65" t="s">
        <v>11824</v>
      </c>
      <c r="B68" s="17" t="s">
        <v>11922</v>
      </c>
      <c r="C68" s="15" t="s">
        <v>12021</v>
      </c>
      <c r="D68" s="15" t="s">
        <v>12021</v>
      </c>
      <c r="E68" s="1344">
        <v>34029</v>
      </c>
      <c r="F68" s="20">
        <f>COUNTIF(STATUS!$G:$G,ФО!A68)</f>
        <v>0</v>
      </c>
      <c r="G68" s="624">
        <f>F68/(COUNTA(STATUS!$A:$A)-1)</f>
        <v>0</v>
      </c>
      <c r="H68" s="20">
        <f>COUNTIFS(STATUS!$G:$G,ФО!A68,STATUS!H:H,"КАСКО")</f>
        <v>0</v>
      </c>
      <c r="I68" s="624">
        <f>H68/(COUNTIF(STATUS!H:H,"КАСКО"))</f>
        <v>0</v>
      </c>
      <c r="J68" s="20">
        <f>COUNTIFS(STATUS!$G:$G,ФО!A68,STATUS!$N:$N,ФО!J$2)</f>
        <v>0</v>
      </c>
      <c r="K68" s="1249" t="e">
        <f t="shared" si="12"/>
        <v>#DIV/0!</v>
      </c>
      <c r="L68" s="20">
        <f>COUNTIFS(STATUS!$G:$G,ФО!A68,STATUS!$N:$N,ФО!L$2)</f>
        <v>0</v>
      </c>
      <c r="M68" s="1249" t="e">
        <f t="shared" si="13"/>
        <v>#DIV/0!</v>
      </c>
      <c r="N68" s="20">
        <f>COUNTIFS(STATUS!$G:$G,ФО!A68,STATUS!$N:$N,ФО!N$2)</f>
        <v>0</v>
      </c>
      <c r="O68" s="1249" t="e">
        <f t="shared" si="14"/>
        <v>#DIV/0!</v>
      </c>
    </row>
    <row r="69" spans="1:15" x14ac:dyDescent="0.3">
      <c r="A69" s="65" t="s">
        <v>11825</v>
      </c>
      <c r="B69" s="17" t="s">
        <v>11923</v>
      </c>
      <c r="C69" s="15" t="s">
        <v>12022</v>
      </c>
      <c r="D69" s="15" t="s">
        <v>12022</v>
      </c>
      <c r="E69" s="1344"/>
      <c r="F69" s="20">
        <f>COUNTIF(STATUS!$G:$G,ФО!A69)</f>
        <v>0</v>
      </c>
      <c r="G69" s="624">
        <f>F69/(COUNTA(STATUS!$A:$A)-1)</f>
        <v>0</v>
      </c>
      <c r="H69" s="20">
        <f>COUNTIFS(STATUS!$G:$G,ФО!A69,STATUS!H:H,"КАСКО")</f>
        <v>0</v>
      </c>
      <c r="I69" s="624">
        <f>H69/(COUNTIF(STATUS!H:H,"КАСКО"))</f>
        <v>0</v>
      </c>
      <c r="J69" s="20">
        <f>COUNTIFS(STATUS!$G:$G,ФО!A69,STATUS!$N:$N,ФО!J$2)</f>
        <v>0</v>
      </c>
      <c r="K69" s="1249" t="e">
        <f t="shared" si="12"/>
        <v>#DIV/0!</v>
      </c>
      <c r="L69" s="20">
        <f>COUNTIFS(STATUS!$G:$G,ФО!A69,STATUS!$N:$N,ФО!L$2)</f>
        <v>0</v>
      </c>
      <c r="M69" s="1249" t="e">
        <f t="shared" si="13"/>
        <v>#DIV/0!</v>
      </c>
      <c r="N69" s="20">
        <f>COUNTIFS(STATUS!$G:$G,ФО!A69,STATUS!$N:$N,ФО!N$2)</f>
        <v>0</v>
      </c>
      <c r="O69" s="1249" t="e">
        <f t="shared" si="14"/>
        <v>#DIV/0!</v>
      </c>
    </row>
    <row r="70" spans="1:15" x14ac:dyDescent="0.3">
      <c r="A70" s="65" t="s">
        <v>3605</v>
      </c>
      <c r="B70" s="17" t="s">
        <v>11924</v>
      </c>
      <c r="C70" s="15" t="s">
        <v>12023</v>
      </c>
      <c r="D70" s="15" t="s">
        <v>12023</v>
      </c>
      <c r="E70" s="1344">
        <v>34051</v>
      </c>
      <c r="F70" s="20">
        <f>COUNTIF(STATUS!$G:$G,ФО!A70)</f>
        <v>3</v>
      </c>
      <c r="G70" s="624">
        <f>F70/(COUNTA(STATUS!$A:$A)-1)</f>
        <v>7.7299665034784846E-4</v>
      </c>
      <c r="H70" s="20">
        <f>COUNTIFS(STATUS!$G:$G,ФО!A70,STATUS!H:H,"КАСКО")</f>
        <v>0</v>
      </c>
      <c r="I70" s="624">
        <f>H70/(COUNTIF(STATUS!H:H,"КАСКО"))</f>
        <v>0</v>
      </c>
      <c r="J70" s="20">
        <f>COUNTIFS(STATUS!$G:$G,ФО!A70,STATUS!$N:$N,ФО!J$2)</f>
        <v>2</v>
      </c>
      <c r="K70" s="1249">
        <f t="shared" si="12"/>
        <v>0.66666666666666663</v>
      </c>
      <c r="L70" s="20">
        <f>COUNTIFS(STATUS!$G:$G,ФО!A70,STATUS!$N:$N,ФО!L$2)</f>
        <v>1</v>
      </c>
      <c r="M70" s="1249">
        <f t="shared" si="13"/>
        <v>0.33333333333333331</v>
      </c>
      <c r="N70" s="20">
        <f>COUNTIFS(STATUS!$G:$G,ФО!A70,STATUS!$N:$N,ФО!N$2)</f>
        <v>0</v>
      </c>
      <c r="O70" s="1249">
        <f t="shared" si="14"/>
        <v>0</v>
      </c>
    </row>
    <row r="71" spans="1:15" x14ac:dyDescent="0.3">
      <c r="A71" s="65" t="s">
        <v>11826</v>
      </c>
      <c r="B71" s="17" t="s">
        <v>11925</v>
      </c>
      <c r="C71" s="15" t="s">
        <v>12024</v>
      </c>
      <c r="D71" s="15" t="s">
        <v>12024</v>
      </c>
      <c r="E71" s="1344">
        <v>34803</v>
      </c>
      <c r="F71" s="20">
        <f>COUNTIF(STATUS!$G:$G,ФО!A71)</f>
        <v>0</v>
      </c>
      <c r="G71" s="624">
        <f>F71/(COUNTA(STATUS!$A:$A)-1)</f>
        <v>0</v>
      </c>
      <c r="H71" s="20">
        <f>COUNTIFS(STATUS!$G:$G,ФО!A71,STATUS!H:H,"КАСКО")</f>
        <v>0</v>
      </c>
      <c r="I71" s="624">
        <f>H71/(COUNTIF(STATUS!H:H,"КАСКО"))</f>
        <v>0</v>
      </c>
      <c r="J71" s="20">
        <f>COUNTIFS(STATUS!$G:$G,ФО!A71,STATUS!$N:$N,ФО!J$2)</f>
        <v>0</v>
      </c>
      <c r="K71" s="1249" t="e">
        <f t="shared" si="12"/>
        <v>#DIV/0!</v>
      </c>
      <c r="L71" s="20">
        <f>COUNTIFS(STATUS!$G:$G,ФО!A71,STATUS!$N:$N,ФО!L$2)</f>
        <v>0</v>
      </c>
      <c r="M71" s="1249" t="e">
        <f t="shared" si="13"/>
        <v>#DIV/0!</v>
      </c>
      <c r="N71" s="20">
        <f>COUNTIFS(STATUS!$G:$G,ФО!A71,STATUS!$N:$N,ФО!N$2)</f>
        <v>0</v>
      </c>
      <c r="O71" s="1249" t="e">
        <f t="shared" si="14"/>
        <v>#DIV/0!</v>
      </c>
    </row>
    <row r="72" spans="1:15" x14ac:dyDescent="0.3">
      <c r="A72" s="65" t="s">
        <v>11827</v>
      </c>
      <c r="B72" s="17" t="s">
        <v>11926</v>
      </c>
      <c r="C72" s="15" t="s">
        <v>12025</v>
      </c>
      <c r="D72" s="15" t="s">
        <v>12025</v>
      </c>
      <c r="E72" s="1344"/>
      <c r="F72" s="20">
        <f>COUNTIF(STATUS!$G:$G,ФО!A72)</f>
        <v>0</v>
      </c>
      <c r="G72" s="624">
        <f>F72/(COUNTA(STATUS!$A:$A)-1)</f>
        <v>0</v>
      </c>
      <c r="H72" s="20">
        <f>COUNTIFS(STATUS!$G:$G,ФО!A72,STATUS!H:H,"КАСКО")</f>
        <v>0</v>
      </c>
      <c r="I72" s="624">
        <f>H72/(COUNTIF(STATUS!H:H,"КАСКО"))</f>
        <v>0</v>
      </c>
      <c r="J72" s="20">
        <f>COUNTIFS(STATUS!$G:$G,ФО!A72,STATUS!$N:$N,ФО!J$2)</f>
        <v>0</v>
      </c>
      <c r="K72" s="1249" t="e">
        <f t="shared" si="12"/>
        <v>#DIV/0!</v>
      </c>
      <c r="L72" s="20">
        <f>COUNTIFS(STATUS!$G:$G,ФО!A72,STATUS!$N:$N,ФО!L$2)</f>
        <v>0</v>
      </c>
      <c r="M72" s="1249" t="e">
        <f t="shared" si="13"/>
        <v>#DIV/0!</v>
      </c>
      <c r="N72" s="20">
        <f>COUNTIFS(STATUS!$G:$G,ФО!A72,STATUS!$N:$N,ФО!N$2)</f>
        <v>0</v>
      </c>
      <c r="O72" s="1249" t="e">
        <f t="shared" si="14"/>
        <v>#DIV/0!</v>
      </c>
    </row>
    <row r="73" spans="1:15" x14ac:dyDescent="0.3">
      <c r="A73" s="65" t="s">
        <v>11828</v>
      </c>
      <c r="B73" s="17" t="s">
        <v>11927</v>
      </c>
      <c r="C73" s="15" t="s">
        <v>12026</v>
      </c>
      <c r="D73" s="15" t="s">
        <v>12026</v>
      </c>
      <c r="E73" s="1344">
        <v>37606</v>
      </c>
      <c r="F73" s="20">
        <f>COUNTIF(STATUS!$G:$G,ФО!A73)</f>
        <v>0</v>
      </c>
      <c r="G73" s="624">
        <f>F73/(COUNTA(STATUS!$A:$A)-1)</f>
        <v>0</v>
      </c>
      <c r="H73" s="20">
        <f>COUNTIFS(STATUS!$G:$G,ФО!A73,STATUS!H:H,"КАСКО")</f>
        <v>0</v>
      </c>
      <c r="I73" s="624">
        <f>H73/(COUNTIF(STATUS!H:H,"КАСКО"))</f>
        <v>0</v>
      </c>
      <c r="J73" s="20">
        <f>COUNTIFS(STATUS!$G:$G,ФО!A73,STATUS!$N:$N,ФО!J$2)</f>
        <v>0</v>
      </c>
      <c r="K73" s="1249" t="e">
        <f t="shared" si="12"/>
        <v>#DIV/0!</v>
      </c>
      <c r="L73" s="20">
        <f>COUNTIFS(STATUS!$G:$G,ФО!A73,STATUS!$N:$N,ФО!L$2)</f>
        <v>0</v>
      </c>
      <c r="M73" s="1249" t="e">
        <f t="shared" si="13"/>
        <v>#DIV/0!</v>
      </c>
      <c r="N73" s="20">
        <f>COUNTIFS(STATUS!$G:$G,ФО!A73,STATUS!$N:$N,ФО!N$2)</f>
        <v>0</v>
      </c>
      <c r="O73" s="1249" t="e">
        <f t="shared" si="14"/>
        <v>#DIV/0!</v>
      </c>
    </row>
    <row r="74" spans="1:15" x14ac:dyDescent="0.3">
      <c r="A74" s="65" t="s">
        <v>11829</v>
      </c>
      <c r="B74" s="17" t="s">
        <v>11928</v>
      </c>
      <c r="C74" s="15" t="s">
        <v>12027</v>
      </c>
      <c r="D74" s="15" t="s">
        <v>12027</v>
      </c>
      <c r="E74" s="1344"/>
      <c r="F74" s="20">
        <f>COUNTIF(STATUS!$G:$G,ФО!A74)</f>
        <v>0</v>
      </c>
      <c r="G74" s="624">
        <f>F74/(COUNTA(STATUS!$A:$A)-1)</f>
        <v>0</v>
      </c>
      <c r="H74" s="20">
        <f>COUNTIFS(STATUS!$G:$G,ФО!A74,STATUS!H:H,"КАСКО")</f>
        <v>0</v>
      </c>
      <c r="I74" s="624">
        <f>H74/(COUNTIF(STATUS!H:H,"КАСКО"))</f>
        <v>0</v>
      </c>
      <c r="J74" s="20">
        <f>COUNTIFS(STATUS!$G:$G,ФО!A74,STATUS!$N:$N,ФО!J$2)</f>
        <v>0</v>
      </c>
      <c r="K74" s="1249" t="e">
        <f t="shared" si="12"/>
        <v>#DIV/0!</v>
      </c>
      <c r="L74" s="20">
        <f>COUNTIFS(STATUS!$G:$G,ФО!A74,STATUS!$N:$N,ФО!L$2)</f>
        <v>0</v>
      </c>
      <c r="M74" s="1249" t="e">
        <f t="shared" si="13"/>
        <v>#DIV/0!</v>
      </c>
      <c r="N74" s="20">
        <f>COUNTIFS(STATUS!$G:$G,ФО!A74,STATUS!$N:$N,ФО!N$2)</f>
        <v>0</v>
      </c>
      <c r="O74" s="1249" t="e">
        <f t="shared" si="14"/>
        <v>#DIV/0!</v>
      </c>
    </row>
    <row r="75" spans="1:15" x14ac:dyDescent="0.3">
      <c r="A75" s="65" t="s">
        <v>11830</v>
      </c>
      <c r="B75" s="17" t="s">
        <v>11929</v>
      </c>
      <c r="C75" s="15" t="s">
        <v>12028</v>
      </c>
      <c r="D75" s="15" t="s">
        <v>12028</v>
      </c>
      <c r="E75" s="1344"/>
      <c r="F75" s="20">
        <f>COUNTIF(STATUS!$G:$G,ФО!A75)</f>
        <v>0</v>
      </c>
      <c r="G75" s="624">
        <f>F75/(COUNTA(STATUS!$A:$A)-1)</f>
        <v>0</v>
      </c>
      <c r="H75" s="20">
        <f>COUNTIFS(STATUS!$G:$G,ФО!A75,STATUS!H:H,"КАСКО")</f>
        <v>0</v>
      </c>
      <c r="I75" s="624">
        <f>H75/(COUNTIF(STATUS!H:H,"КАСКО"))</f>
        <v>0</v>
      </c>
      <c r="J75" s="20">
        <f>COUNTIFS(STATUS!$G:$G,ФО!A75,STATUS!$N:$N,ФО!J$2)</f>
        <v>0</v>
      </c>
      <c r="K75" s="1249" t="e">
        <f t="shared" si="12"/>
        <v>#DIV/0!</v>
      </c>
      <c r="L75" s="20">
        <f>COUNTIFS(STATUS!$G:$G,ФО!A75,STATUS!$N:$N,ФО!L$2)</f>
        <v>0</v>
      </c>
      <c r="M75" s="1249" t="e">
        <f t="shared" si="13"/>
        <v>#DIV/0!</v>
      </c>
      <c r="N75" s="20">
        <f>COUNTIFS(STATUS!$G:$G,ФО!A75,STATUS!$N:$N,ФО!N$2)</f>
        <v>0</v>
      </c>
      <c r="O75" s="1249" t="e">
        <f t="shared" si="14"/>
        <v>#DIV/0!</v>
      </c>
    </row>
    <row r="76" spans="1:15" x14ac:dyDescent="0.3">
      <c r="A76" s="65" t="s">
        <v>11831</v>
      </c>
      <c r="B76" s="17" t="s">
        <v>11930</v>
      </c>
      <c r="C76" s="15" t="s">
        <v>12029</v>
      </c>
      <c r="D76" s="15" t="s">
        <v>12029</v>
      </c>
      <c r="E76" s="1344">
        <v>34183</v>
      </c>
      <c r="F76" s="20">
        <f>COUNTIF(STATUS!$G:$G,ФО!A76)</f>
        <v>0</v>
      </c>
      <c r="G76" s="624">
        <f>F76/(COUNTA(STATUS!$A:$A)-1)</f>
        <v>0</v>
      </c>
      <c r="H76" s="20">
        <f>COUNTIFS(STATUS!$G:$G,ФО!A76,STATUS!H:H,"КАСКО")</f>
        <v>0</v>
      </c>
      <c r="I76" s="624">
        <f>H76/(COUNTIF(STATUS!H:H,"КАСКО"))</f>
        <v>0</v>
      </c>
      <c r="J76" s="20">
        <f>COUNTIFS(STATUS!$G:$G,ФО!A76,STATUS!$N:$N,ФО!J$2)</f>
        <v>0</v>
      </c>
      <c r="K76" s="1249" t="e">
        <f t="shared" si="12"/>
        <v>#DIV/0!</v>
      </c>
      <c r="L76" s="20">
        <f>COUNTIFS(STATUS!$G:$G,ФО!A76,STATUS!$N:$N,ФО!L$2)</f>
        <v>0</v>
      </c>
      <c r="M76" s="1249" t="e">
        <f t="shared" si="13"/>
        <v>#DIV/0!</v>
      </c>
      <c r="N76" s="20">
        <f>COUNTIFS(STATUS!$G:$G,ФО!A76,STATUS!$N:$N,ФО!N$2)</f>
        <v>0</v>
      </c>
      <c r="O76" s="1249" t="e">
        <f t="shared" si="14"/>
        <v>#DIV/0!</v>
      </c>
    </row>
    <row r="77" spans="1:15" x14ac:dyDescent="0.3">
      <c r="A77" s="65" t="s">
        <v>11832</v>
      </c>
      <c r="B77" s="17" t="s">
        <v>11931</v>
      </c>
      <c r="C77" s="15" t="s">
        <v>12030</v>
      </c>
      <c r="D77" s="15" t="s">
        <v>12030</v>
      </c>
      <c r="E77" s="1344">
        <v>34274</v>
      </c>
      <c r="F77" s="20">
        <f>COUNTIF(STATUS!$G:$G,ФО!A77)</f>
        <v>0</v>
      </c>
      <c r="G77" s="624">
        <f>F77/(COUNTA(STATUS!$A:$A)-1)</f>
        <v>0</v>
      </c>
      <c r="H77" s="20">
        <f>COUNTIFS(STATUS!$G:$G,ФО!A77,STATUS!H:H,"КАСКО")</f>
        <v>0</v>
      </c>
      <c r="I77" s="624">
        <f>H77/(COUNTIF(STATUS!H:H,"КАСКО"))</f>
        <v>0</v>
      </c>
      <c r="J77" s="20">
        <f>COUNTIFS(STATUS!$G:$G,ФО!A77,STATUS!$N:$N,ФО!J$2)</f>
        <v>0</v>
      </c>
      <c r="K77" s="1249" t="e">
        <f t="shared" si="12"/>
        <v>#DIV/0!</v>
      </c>
      <c r="L77" s="20">
        <f>COUNTIFS(STATUS!$G:$G,ФО!A77,STATUS!$N:$N,ФО!L$2)</f>
        <v>0</v>
      </c>
      <c r="M77" s="1249" t="e">
        <f t="shared" si="13"/>
        <v>#DIV/0!</v>
      </c>
      <c r="N77" s="20">
        <f>COUNTIFS(STATUS!$G:$G,ФО!A77,STATUS!$N:$N,ФО!N$2)</f>
        <v>0</v>
      </c>
      <c r="O77" s="1249" t="e">
        <f t="shared" si="14"/>
        <v>#DIV/0!</v>
      </c>
    </row>
    <row r="78" spans="1:15" x14ac:dyDescent="0.3">
      <c r="A78" s="65" t="s">
        <v>11833</v>
      </c>
      <c r="B78" s="17" t="s">
        <v>11932</v>
      </c>
      <c r="C78" s="15" t="s">
        <v>12031</v>
      </c>
      <c r="D78" s="15" t="s">
        <v>12031</v>
      </c>
      <c r="E78" s="1344">
        <v>36147</v>
      </c>
      <c r="F78" s="20">
        <f>COUNTIF(STATUS!$G:$G,ФО!A78)</f>
        <v>0</v>
      </c>
      <c r="G78" s="624">
        <f>F78/(COUNTA(STATUS!$A:$A)-1)</f>
        <v>0</v>
      </c>
      <c r="H78" s="20">
        <f>COUNTIFS(STATUS!$G:$G,ФО!A78,STATUS!H:H,"КАСКО")</f>
        <v>0</v>
      </c>
      <c r="I78" s="624">
        <f>H78/(COUNTIF(STATUS!H:H,"КАСКО"))</f>
        <v>0</v>
      </c>
      <c r="J78" s="20">
        <f>COUNTIFS(STATUS!$G:$G,ФО!A78,STATUS!$N:$N,ФО!J$2)</f>
        <v>0</v>
      </c>
      <c r="K78" s="1249" t="e">
        <f t="shared" si="12"/>
        <v>#DIV/0!</v>
      </c>
      <c r="L78" s="20">
        <f>COUNTIFS(STATUS!$G:$G,ФО!A78,STATUS!$N:$N,ФО!L$2)</f>
        <v>0</v>
      </c>
      <c r="M78" s="1249" t="e">
        <f t="shared" si="13"/>
        <v>#DIV/0!</v>
      </c>
      <c r="N78" s="20">
        <f>COUNTIFS(STATUS!$G:$G,ФО!A78,STATUS!$N:$N,ФО!N$2)</f>
        <v>0</v>
      </c>
      <c r="O78" s="1249" t="e">
        <f t="shared" si="14"/>
        <v>#DIV/0!</v>
      </c>
    </row>
    <row r="79" spans="1:15" x14ac:dyDescent="0.3">
      <c r="A79" s="65" t="s">
        <v>11834</v>
      </c>
      <c r="B79" s="17" t="s">
        <v>11933</v>
      </c>
      <c r="C79" s="15" t="s">
        <v>12032</v>
      </c>
      <c r="D79" s="15" t="s">
        <v>12032</v>
      </c>
      <c r="E79" s="1344"/>
      <c r="F79" s="20">
        <f>COUNTIF(STATUS!$G:$G,ФО!A79)</f>
        <v>0</v>
      </c>
      <c r="G79" s="624">
        <f>F79/(COUNTA(STATUS!$A:$A)-1)</f>
        <v>0</v>
      </c>
      <c r="H79" s="20">
        <f>COUNTIFS(STATUS!$G:$G,ФО!A79,STATUS!H:H,"КАСКО")</f>
        <v>0</v>
      </c>
      <c r="I79" s="624">
        <f>H79/(COUNTIF(STATUS!H:H,"КАСКО"))</f>
        <v>0</v>
      </c>
      <c r="J79" s="20">
        <f>COUNTIFS(STATUS!$G:$G,ФО!A79,STATUS!$N:$N,ФО!J$2)</f>
        <v>0</v>
      </c>
      <c r="K79" s="1249" t="e">
        <f t="shared" si="12"/>
        <v>#DIV/0!</v>
      </c>
      <c r="L79" s="20">
        <f>COUNTIFS(STATUS!$G:$G,ФО!A79,STATUS!$N:$N,ФО!L$2)</f>
        <v>0</v>
      </c>
      <c r="M79" s="1249" t="e">
        <f t="shared" si="13"/>
        <v>#DIV/0!</v>
      </c>
      <c r="N79" s="20">
        <f>COUNTIFS(STATUS!$G:$G,ФО!A79,STATUS!$N:$N,ФО!N$2)</f>
        <v>0</v>
      </c>
      <c r="O79" s="1249" t="e">
        <f t="shared" si="14"/>
        <v>#DIV/0!</v>
      </c>
    </row>
    <row r="80" spans="1:15" x14ac:dyDescent="0.3">
      <c r="A80" s="65" t="s">
        <v>11835</v>
      </c>
      <c r="B80" s="17" t="s">
        <v>11934</v>
      </c>
      <c r="C80" s="15" t="s">
        <v>12033</v>
      </c>
      <c r="D80" s="15" t="s">
        <v>12033</v>
      </c>
      <c r="E80" s="1344"/>
      <c r="F80" s="20">
        <f>COUNTIF(STATUS!$G:$G,ФО!A80)</f>
        <v>0</v>
      </c>
      <c r="G80" s="624">
        <f>F80/(COUNTA(STATUS!$A:$A)-1)</f>
        <v>0</v>
      </c>
      <c r="H80" s="20">
        <f>COUNTIFS(STATUS!$G:$G,ФО!A80,STATUS!H:H,"КАСКО")</f>
        <v>0</v>
      </c>
      <c r="I80" s="624">
        <f>H80/(COUNTIF(STATUS!H:H,"КАСКО"))</f>
        <v>0</v>
      </c>
      <c r="J80" s="20">
        <f>COUNTIFS(STATUS!$G:$G,ФО!A80,STATUS!$N:$N,ФО!J$2)</f>
        <v>0</v>
      </c>
      <c r="K80" s="1249" t="e">
        <f t="shared" si="12"/>
        <v>#DIV/0!</v>
      </c>
      <c r="L80" s="20">
        <f>COUNTIFS(STATUS!$G:$G,ФО!A80,STATUS!$N:$N,ФО!L$2)</f>
        <v>0</v>
      </c>
      <c r="M80" s="1249" t="e">
        <f t="shared" si="13"/>
        <v>#DIV/0!</v>
      </c>
      <c r="N80" s="20">
        <f>COUNTIFS(STATUS!$G:$G,ФО!A80,STATUS!$N:$N,ФО!N$2)</f>
        <v>0</v>
      </c>
      <c r="O80" s="1249" t="e">
        <f t="shared" si="14"/>
        <v>#DIV/0!</v>
      </c>
    </row>
    <row r="81" spans="1:15" x14ac:dyDescent="0.3">
      <c r="A81" s="65" t="s">
        <v>11836</v>
      </c>
      <c r="B81" s="17" t="s">
        <v>11935</v>
      </c>
      <c r="C81" s="15" t="s">
        <v>12034</v>
      </c>
      <c r="D81" s="15" t="s">
        <v>12034</v>
      </c>
      <c r="E81" s="1344">
        <v>33899</v>
      </c>
      <c r="F81" s="20">
        <f>COUNTIF(STATUS!$G:$G,ФО!A81)</f>
        <v>0</v>
      </c>
      <c r="G81" s="624">
        <f>F81/(COUNTA(STATUS!$A:$A)-1)</f>
        <v>0</v>
      </c>
      <c r="H81" s="20">
        <f>COUNTIFS(STATUS!$G:$G,ФО!A81,STATUS!H:H,"КАСКО")</f>
        <v>0</v>
      </c>
      <c r="I81" s="624">
        <f>H81/(COUNTIF(STATUS!H:H,"КАСКО"))</f>
        <v>0</v>
      </c>
      <c r="J81" s="20">
        <f>COUNTIFS(STATUS!$G:$G,ФО!A81,STATUS!$N:$N,ФО!J$2)</f>
        <v>0</v>
      </c>
      <c r="K81" s="1249" t="e">
        <f t="shared" si="12"/>
        <v>#DIV/0!</v>
      </c>
      <c r="L81" s="20">
        <f>COUNTIFS(STATUS!$G:$G,ФО!A81,STATUS!$N:$N,ФО!L$2)</f>
        <v>0</v>
      </c>
      <c r="M81" s="1249" t="e">
        <f t="shared" si="13"/>
        <v>#DIV/0!</v>
      </c>
      <c r="N81" s="20">
        <f>COUNTIFS(STATUS!$G:$G,ФО!A81,STATUS!$N:$N,ФО!N$2)</f>
        <v>0</v>
      </c>
      <c r="O81" s="1249" t="e">
        <f t="shared" si="14"/>
        <v>#DIV/0!</v>
      </c>
    </row>
    <row r="82" spans="1:15" x14ac:dyDescent="0.3">
      <c r="A82" s="65" t="s">
        <v>11837</v>
      </c>
      <c r="B82" s="17" t="s">
        <v>11936</v>
      </c>
      <c r="C82" s="15" t="s">
        <v>12035</v>
      </c>
      <c r="D82" s="15" t="s">
        <v>12035</v>
      </c>
      <c r="E82" s="1344">
        <v>34633</v>
      </c>
      <c r="F82" s="20">
        <f>COUNTIF(STATUS!$G:$G,ФО!A82)</f>
        <v>0</v>
      </c>
      <c r="G82" s="624">
        <f>F82/(COUNTA(STATUS!$A:$A)-1)</f>
        <v>0</v>
      </c>
      <c r="H82" s="20">
        <f>COUNTIFS(STATUS!$G:$G,ФО!A82,STATUS!H:H,"КАСКО")</f>
        <v>0</v>
      </c>
      <c r="I82" s="624">
        <f>H82/(COUNTIF(STATUS!H:H,"КАСКО"))</f>
        <v>0</v>
      </c>
      <c r="J82" s="20">
        <f>COUNTIFS(STATUS!$G:$G,ФО!A82,STATUS!$N:$N,ФО!J$2)</f>
        <v>0</v>
      </c>
      <c r="K82" s="1249" t="e">
        <f t="shared" si="12"/>
        <v>#DIV/0!</v>
      </c>
      <c r="L82" s="20">
        <f>COUNTIFS(STATUS!$G:$G,ФО!A82,STATUS!$N:$N,ФО!L$2)</f>
        <v>0</v>
      </c>
      <c r="M82" s="1249" t="e">
        <f t="shared" si="13"/>
        <v>#DIV/0!</v>
      </c>
      <c r="N82" s="20">
        <f>COUNTIFS(STATUS!$G:$G,ФО!A82,STATUS!$N:$N,ФО!N$2)</f>
        <v>0</v>
      </c>
      <c r="O82" s="1249" t="e">
        <f t="shared" si="14"/>
        <v>#DIV/0!</v>
      </c>
    </row>
    <row r="83" spans="1:15" x14ac:dyDescent="0.3">
      <c r="A83" s="65" t="s">
        <v>11838</v>
      </c>
      <c r="B83" s="17" t="s">
        <v>11937</v>
      </c>
      <c r="C83" s="15" t="s">
        <v>12036</v>
      </c>
      <c r="D83" s="15" t="s">
        <v>12036</v>
      </c>
      <c r="E83" s="1344">
        <v>40864</v>
      </c>
      <c r="F83" s="20">
        <f>COUNTIF(STATUS!$G:$G,ФО!A83)</f>
        <v>0</v>
      </c>
      <c r="G83" s="624">
        <f>F83/(COUNTA(STATUS!$A:$A)-1)</f>
        <v>0</v>
      </c>
      <c r="H83" s="20">
        <f>COUNTIFS(STATUS!$G:$G,ФО!A83,STATUS!H:H,"КАСКО")</f>
        <v>0</v>
      </c>
      <c r="I83" s="624">
        <f>H83/(COUNTIF(STATUS!H:H,"КАСКО"))</f>
        <v>0</v>
      </c>
      <c r="J83" s="20">
        <f>COUNTIFS(STATUS!$G:$G,ФО!A83,STATUS!$N:$N,ФО!J$2)</f>
        <v>0</v>
      </c>
      <c r="K83" s="1249" t="e">
        <f t="shared" si="12"/>
        <v>#DIV/0!</v>
      </c>
      <c r="L83" s="20">
        <f>COUNTIFS(STATUS!$G:$G,ФО!A83,STATUS!$N:$N,ФО!L$2)</f>
        <v>0</v>
      </c>
      <c r="M83" s="1249" t="e">
        <f t="shared" si="13"/>
        <v>#DIV/0!</v>
      </c>
      <c r="N83" s="20">
        <f>COUNTIFS(STATUS!$G:$G,ФО!A83,STATUS!$N:$N,ФО!N$2)</f>
        <v>0</v>
      </c>
      <c r="O83" s="1249" t="e">
        <f t="shared" si="14"/>
        <v>#DIV/0!</v>
      </c>
    </row>
    <row r="84" spans="1:15" x14ac:dyDescent="0.3">
      <c r="A84" s="65" t="s">
        <v>11839</v>
      </c>
      <c r="B84" s="17" t="s">
        <v>11938</v>
      </c>
      <c r="C84" s="15" t="s">
        <v>151</v>
      </c>
      <c r="D84" s="15" t="s">
        <v>151</v>
      </c>
      <c r="E84" s="1344">
        <v>37531</v>
      </c>
      <c r="F84" s="20">
        <f>COUNTIF(STATUS!$G:$G,ФО!A84)</f>
        <v>0</v>
      </c>
      <c r="G84" s="624">
        <f>F84/(COUNTA(STATUS!$A:$A)-1)</f>
        <v>0</v>
      </c>
      <c r="H84" s="20">
        <f>COUNTIFS(STATUS!$G:$G,ФО!A84,STATUS!H:H,"КАСКО")</f>
        <v>0</v>
      </c>
      <c r="I84" s="624">
        <f>H84/(COUNTIF(STATUS!H:H,"КАСКО"))</f>
        <v>0</v>
      </c>
      <c r="J84" s="20">
        <f>COUNTIFS(STATUS!$G:$G,ФО!A84,STATUS!$N:$N,ФО!J$2)</f>
        <v>0</v>
      </c>
      <c r="K84" s="1249" t="e">
        <f t="shared" si="12"/>
        <v>#DIV/0!</v>
      </c>
      <c r="L84" s="20">
        <f>COUNTIFS(STATUS!$G:$G,ФО!A84,STATUS!$N:$N,ФО!L$2)</f>
        <v>0</v>
      </c>
      <c r="M84" s="1249" t="e">
        <f t="shared" si="13"/>
        <v>#DIV/0!</v>
      </c>
      <c r="N84" s="20">
        <f>COUNTIFS(STATUS!$G:$G,ФО!A84,STATUS!$N:$N,ФО!N$2)</f>
        <v>0</v>
      </c>
      <c r="O84" s="1249" t="e">
        <f t="shared" si="14"/>
        <v>#DIV/0!</v>
      </c>
    </row>
    <row r="85" spans="1:15" x14ac:dyDescent="0.3">
      <c r="A85" s="65" t="s">
        <v>11840</v>
      </c>
      <c r="B85" s="17" t="s">
        <v>11939</v>
      </c>
      <c r="C85" s="15" t="s">
        <v>12037</v>
      </c>
      <c r="D85" s="15" t="s">
        <v>12037</v>
      </c>
      <c r="E85" s="1344"/>
      <c r="F85" s="20">
        <f>COUNTIF(STATUS!$G:$G,ФО!A85)</f>
        <v>0</v>
      </c>
      <c r="G85" s="624">
        <f>F85/(COUNTA(STATUS!$A:$A)-1)</f>
        <v>0</v>
      </c>
      <c r="H85" s="20">
        <f>COUNTIFS(STATUS!$G:$G,ФО!A85,STATUS!H:H,"КАСКО")</f>
        <v>0</v>
      </c>
      <c r="I85" s="624">
        <f>H85/(COUNTIF(STATUS!H:H,"КАСКО"))</f>
        <v>0</v>
      </c>
      <c r="J85" s="20">
        <f>COUNTIFS(STATUS!$G:$G,ФО!A85,STATUS!$N:$N,ФО!J$2)</f>
        <v>0</v>
      </c>
      <c r="K85" s="1249" t="e">
        <f t="shared" si="12"/>
        <v>#DIV/0!</v>
      </c>
      <c r="L85" s="20">
        <f>COUNTIFS(STATUS!$G:$G,ФО!A85,STATUS!$N:$N,ФО!L$2)</f>
        <v>0</v>
      </c>
      <c r="M85" s="1249" t="e">
        <f t="shared" si="13"/>
        <v>#DIV/0!</v>
      </c>
      <c r="N85" s="20">
        <f>COUNTIFS(STATUS!$G:$G,ФО!A85,STATUS!$N:$N,ФО!N$2)</f>
        <v>0</v>
      </c>
      <c r="O85" s="1249" t="e">
        <f t="shared" si="14"/>
        <v>#DIV/0!</v>
      </c>
    </row>
    <row r="86" spans="1:15" x14ac:dyDescent="0.3">
      <c r="A86" s="65" t="s">
        <v>11841</v>
      </c>
      <c r="B86" s="17" t="s">
        <v>11940</v>
      </c>
      <c r="C86" s="15" t="s">
        <v>12038</v>
      </c>
      <c r="D86" s="15" t="s">
        <v>12038</v>
      </c>
      <c r="E86" s="1344"/>
      <c r="F86" s="20">
        <f>COUNTIF(STATUS!$G:$G,ФО!A86)</f>
        <v>0</v>
      </c>
      <c r="G86" s="624">
        <f>F86/(COUNTA(STATUS!$A:$A)-1)</f>
        <v>0</v>
      </c>
      <c r="H86" s="20">
        <f>COUNTIFS(STATUS!$G:$G,ФО!A86,STATUS!H:H,"КАСКО")</f>
        <v>0</v>
      </c>
      <c r="I86" s="624">
        <f>H86/(COUNTIF(STATUS!H:H,"КАСКО"))</f>
        <v>0</v>
      </c>
      <c r="J86" s="20">
        <f>COUNTIFS(STATUS!$G:$G,ФО!A86,STATUS!$N:$N,ФО!J$2)</f>
        <v>0</v>
      </c>
      <c r="K86" s="1249" t="e">
        <f t="shared" si="12"/>
        <v>#DIV/0!</v>
      </c>
      <c r="L86" s="20">
        <f>COUNTIFS(STATUS!$G:$G,ФО!A86,STATUS!$N:$N,ФО!L$2)</f>
        <v>0</v>
      </c>
      <c r="M86" s="1249" t="e">
        <f t="shared" si="13"/>
        <v>#DIV/0!</v>
      </c>
      <c r="N86" s="20">
        <f>COUNTIFS(STATUS!$G:$G,ФО!A86,STATUS!$N:$N,ФО!N$2)</f>
        <v>0</v>
      </c>
      <c r="O86" s="1249" t="e">
        <f t="shared" si="14"/>
        <v>#DIV/0!</v>
      </c>
    </row>
    <row r="87" spans="1:15" x14ac:dyDescent="0.3">
      <c r="A87" s="65" t="s">
        <v>11842</v>
      </c>
      <c r="B87" s="17" t="s">
        <v>11941</v>
      </c>
      <c r="C87" s="15" t="s">
        <v>12039</v>
      </c>
      <c r="D87" s="15" t="s">
        <v>12039</v>
      </c>
      <c r="E87" s="1344">
        <v>36746</v>
      </c>
      <c r="F87" s="20">
        <f>COUNTIF(STATUS!$G:$G,ФО!A87)</f>
        <v>0</v>
      </c>
      <c r="G87" s="624">
        <f>F87/(COUNTA(STATUS!$A:$A)-1)</f>
        <v>0</v>
      </c>
      <c r="H87" s="20">
        <f>COUNTIFS(STATUS!$G:$G,ФО!A87,STATUS!H:H,"КАСКО")</f>
        <v>0</v>
      </c>
      <c r="I87" s="624">
        <f>H87/(COUNTIF(STATUS!H:H,"КАСКО"))</f>
        <v>0</v>
      </c>
      <c r="J87" s="20">
        <f>COUNTIFS(STATUS!$G:$G,ФО!A87,STATUS!$N:$N,ФО!J$2)</f>
        <v>0</v>
      </c>
      <c r="K87" s="1249" t="e">
        <f t="shared" si="12"/>
        <v>#DIV/0!</v>
      </c>
      <c r="L87" s="20">
        <f>COUNTIFS(STATUS!$G:$G,ФО!A87,STATUS!$N:$N,ФО!L$2)</f>
        <v>0</v>
      </c>
      <c r="M87" s="1249" t="e">
        <f t="shared" si="13"/>
        <v>#DIV/0!</v>
      </c>
      <c r="N87" s="20">
        <f>COUNTIFS(STATUS!$G:$G,ФО!A87,STATUS!$N:$N,ФО!N$2)</f>
        <v>0</v>
      </c>
      <c r="O87" s="1249" t="e">
        <f t="shared" si="14"/>
        <v>#DIV/0!</v>
      </c>
    </row>
    <row r="88" spans="1:15" x14ac:dyDescent="0.3">
      <c r="A88" s="65" t="s">
        <v>11843</v>
      </c>
      <c r="B88" s="17" t="s">
        <v>11942</v>
      </c>
      <c r="C88" s="15" t="s">
        <v>12040</v>
      </c>
      <c r="D88" s="15" t="s">
        <v>12040</v>
      </c>
      <c r="E88" s="1344">
        <v>37503</v>
      </c>
      <c r="F88" s="20">
        <f>COUNTIF(STATUS!$G:$G,ФО!A88)</f>
        <v>0</v>
      </c>
      <c r="G88" s="624">
        <f>F88/(COUNTA(STATUS!$A:$A)-1)</f>
        <v>0</v>
      </c>
      <c r="H88" s="20">
        <f>COUNTIFS(STATUS!$G:$G,ФО!A88,STATUS!H:H,"КАСКО")</f>
        <v>0</v>
      </c>
      <c r="I88" s="624">
        <f>H88/(COUNTIF(STATUS!H:H,"КАСКО"))</f>
        <v>0</v>
      </c>
      <c r="J88" s="20">
        <f>COUNTIFS(STATUS!$G:$G,ФО!A88,STATUS!$N:$N,ФО!J$2)</f>
        <v>0</v>
      </c>
      <c r="K88" s="1249" t="e">
        <f t="shared" si="12"/>
        <v>#DIV/0!</v>
      </c>
      <c r="L88" s="20">
        <f>COUNTIFS(STATUS!$G:$G,ФО!A88,STATUS!$N:$N,ФО!L$2)</f>
        <v>0</v>
      </c>
      <c r="M88" s="1249" t="e">
        <f t="shared" si="13"/>
        <v>#DIV/0!</v>
      </c>
      <c r="N88" s="20">
        <f>COUNTIFS(STATUS!$G:$G,ФО!A88,STATUS!$N:$N,ФО!N$2)</f>
        <v>0</v>
      </c>
      <c r="O88" s="1249" t="e">
        <f t="shared" si="14"/>
        <v>#DIV/0!</v>
      </c>
    </row>
    <row r="89" spans="1:15" x14ac:dyDescent="0.3">
      <c r="A89" s="65" t="s">
        <v>11844</v>
      </c>
      <c r="B89" s="17" t="s">
        <v>11943</v>
      </c>
      <c r="C89" s="15" t="s">
        <v>12041</v>
      </c>
      <c r="D89" s="15" t="s">
        <v>12041</v>
      </c>
      <c r="E89" s="1344"/>
      <c r="F89" s="20">
        <f>COUNTIF(STATUS!$G:$G,ФО!A89)</f>
        <v>0</v>
      </c>
      <c r="G89" s="624">
        <f>F89/(COUNTA(STATUS!$A:$A)-1)</f>
        <v>0</v>
      </c>
      <c r="H89" s="20">
        <f>COUNTIFS(STATUS!$G:$G,ФО!A89,STATUS!H:H,"КАСКО")</f>
        <v>0</v>
      </c>
      <c r="I89" s="624">
        <f>H89/(COUNTIF(STATUS!H:H,"КАСКО"))</f>
        <v>0</v>
      </c>
      <c r="J89" s="20">
        <f>COUNTIFS(STATUS!$G:$G,ФО!A89,STATUS!$N:$N,ФО!J$2)</f>
        <v>0</v>
      </c>
      <c r="K89" s="1249" t="e">
        <f t="shared" si="12"/>
        <v>#DIV/0!</v>
      </c>
      <c r="L89" s="20">
        <f>COUNTIFS(STATUS!$G:$G,ФО!A89,STATUS!$N:$N,ФО!L$2)</f>
        <v>0</v>
      </c>
      <c r="M89" s="1249" t="e">
        <f t="shared" si="13"/>
        <v>#DIV/0!</v>
      </c>
      <c r="N89" s="20">
        <f>COUNTIFS(STATUS!$G:$G,ФО!A89,STATUS!$N:$N,ФО!N$2)</f>
        <v>0</v>
      </c>
      <c r="O89" s="1249" t="e">
        <f t="shared" si="14"/>
        <v>#DIV/0!</v>
      </c>
    </row>
    <row r="90" spans="1:15" x14ac:dyDescent="0.3">
      <c r="A90" s="65" t="s">
        <v>11845</v>
      </c>
      <c r="B90" s="17" t="s">
        <v>11944</v>
      </c>
      <c r="C90" s="15" t="s">
        <v>12042</v>
      </c>
      <c r="D90" s="15" t="s">
        <v>12042</v>
      </c>
      <c r="E90" s="1344">
        <v>38015</v>
      </c>
      <c r="F90" s="20">
        <f>COUNTIF(STATUS!$G:$G,ФО!A90)</f>
        <v>0</v>
      </c>
      <c r="G90" s="624">
        <f>F90/(COUNTA(STATUS!$A:$A)-1)</f>
        <v>0</v>
      </c>
      <c r="H90" s="20">
        <f>COUNTIFS(STATUS!$G:$G,ФО!A90,STATUS!H:H,"КАСКО")</f>
        <v>0</v>
      </c>
      <c r="I90" s="624">
        <f>H90/(COUNTIF(STATUS!H:H,"КАСКО"))</f>
        <v>0</v>
      </c>
      <c r="J90" s="20">
        <f>COUNTIFS(STATUS!$G:$G,ФО!A90,STATUS!$N:$N,ФО!J$2)</f>
        <v>0</v>
      </c>
      <c r="K90" s="1249" t="e">
        <f t="shared" si="12"/>
        <v>#DIV/0!</v>
      </c>
      <c r="L90" s="20">
        <f>COUNTIFS(STATUS!$G:$G,ФО!A90,STATUS!$N:$N,ФО!L$2)</f>
        <v>0</v>
      </c>
      <c r="M90" s="1249" t="e">
        <f t="shared" si="13"/>
        <v>#DIV/0!</v>
      </c>
      <c r="N90" s="20">
        <f>COUNTIFS(STATUS!$G:$G,ФО!A90,STATUS!$N:$N,ФО!N$2)</f>
        <v>0</v>
      </c>
      <c r="O90" s="1249" t="e">
        <f t="shared" si="14"/>
        <v>#DIV/0!</v>
      </c>
    </row>
    <row r="91" spans="1:15" x14ac:dyDescent="0.3">
      <c r="A91" s="65" t="s">
        <v>11846</v>
      </c>
      <c r="B91" s="17" t="s">
        <v>11945</v>
      </c>
      <c r="C91" s="15" t="s">
        <v>12043</v>
      </c>
      <c r="D91" s="15" t="s">
        <v>12043</v>
      </c>
      <c r="E91" s="1344"/>
      <c r="F91" s="20">
        <f>COUNTIF(STATUS!$G:$G,ФО!A91)</f>
        <v>0</v>
      </c>
      <c r="G91" s="624">
        <f>F91/(COUNTA(STATUS!$A:$A)-1)</f>
        <v>0</v>
      </c>
      <c r="H91" s="20">
        <f>COUNTIFS(STATUS!$G:$G,ФО!A91,STATUS!H:H,"КАСКО")</f>
        <v>0</v>
      </c>
      <c r="I91" s="624">
        <f>H91/(COUNTIF(STATUS!H:H,"КАСКО"))</f>
        <v>0</v>
      </c>
      <c r="J91" s="20">
        <f>COUNTIFS(STATUS!$G:$G,ФО!A91,STATUS!$N:$N,ФО!J$2)</f>
        <v>0</v>
      </c>
      <c r="K91" s="1249" t="e">
        <f t="shared" si="12"/>
        <v>#DIV/0!</v>
      </c>
      <c r="L91" s="20">
        <f>COUNTIFS(STATUS!$G:$G,ФО!A91,STATUS!$N:$N,ФО!L$2)</f>
        <v>0</v>
      </c>
      <c r="M91" s="1249" t="e">
        <f t="shared" si="13"/>
        <v>#DIV/0!</v>
      </c>
      <c r="N91" s="20">
        <f>COUNTIFS(STATUS!$G:$G,ФО!A91,STATUS!$N:$N,ФО!N$2)</f>
        <v>0</v>
      </c>
      <c r="O91" s="1249" t="e">
        <f t="shared" si="14"/>
        <v>#DIV/0!</v>
      </c>
    </row>
    <row r="92" spans="1:15" x14ac:dyDescent="0.3">
      <c r="A92" s="65" t="s">
        <v>11847</v>
      </c>
      <c r="B92" s="17" t="s">
        <v>11946</v>
      </c>
      <c r="C92" s="15" t="s">
        <v>12044</v>
      </c>
      <c r="D92" s="15" t="s">
        <v>12109</v>
      </c>
      <c r="E92" s="1344">
        <v>38217</v>
      </c>
      <c r="F92" s="20">
        <f>COUNTIF(STATUS!$G:$G,ФО!A92)</f>
        <v>0</v>
      </c>
      <c r="G92" s="624">
        <f>F92/(COUNTA(STATUS!$A:$A)-1)</f>
        <v>0</v>
      </c>
      <c r="H92" s="20">
        <f>COUNTIFS(STATUS!$G:$G,ФО!A92,STATUS!H:H,"КАСКО")</f>
        <v>0</v>
      </c>
      <c r="I92" s="624">
        <f>H92/(COUNTIF(STATUS!H:H,"КАСКО"))</f>
        <v>0</v>
      </c>
      <c r="J92" s="20">
        <f>COUNTIFS(STATUS!$G:$G,ФО!A92,STATUS!$N:$N,ФО!J$2)</f>
        <v>0</v>
      </c>
      <c r="K92" s="1249" t="e">
        <f t="shared" si="12"/>
        <v>#DIV/0!</v>
      </c>
      <c r="L92" s="20">
        <f>COUNTIFS(STATUS!$G:$G,ФО!A92,STATUS!$N:$N,ФО!L$2)</f>
        <v>0</v>
      </c>
      <c r="M92" s="1249" t="e">
        <f t="shared" si="13"/>
        <v>#DIV/0!</v>
      </c>
      <c r="N92" s="20">
        <f>COUNTIFS(STATUS!$G:$G,ФО!A92,STATUS!$N:$N,ФО!N$2)</f>
        <v>0</v>
      </c>
      <c r="O92" s="1249" t="e">
        <f t="shared" si="14"/>
        <v>#DIV/0!</v>
      </c>
    </row>
    <row r="93" spans="1:15" x14ac:dyDescent="0.3">
      <c r="A93" s="65" t="s">
        <v>11848</v>
      </c>
      <c r="B93" s="17" t="s">
        <v>11947</v>
      </c>
      <c r="C93" s="15" t="s">
        <v>12045</v>
      </c>
      <c r="D93" s="15" t="s">
        <v>12045</v>
      </c>
      <c r="E93" s="1344"/>
      <c r="F93" s="20">
        <f>COUNTIF(STATUS!$G:$G,ФО!A93)</f>
        <v>0</v>
      </c>
      <c r="G93" s="624">
        <f>F93/(COUNTA(STATUS!$A:$A)-1)</f>
        <v>0</v>
      </c>
      <c r="H93" s="20">
        <f>COUNTIFS(STATUS!$G:$G,ФО!A93,STATUS!H:H,"КАСКО")</f>
        <v>0</v>
      </c>
      <c r="I93" s="624">
        <f>H93/(COUNTIF(STATUS!H:H,"КАСКО"))</f>
        <v>0</v>
      </c>
      <c r="J93" s="20">
        <f>COUNTIFS(STATUS!$G:$G,ФО!A93,STATUS!$N:$N,ФО!J$2)</f>
        <v>0</v>
      </c>
      <c r="K93" s="1249" t="e">
        <f t="shared" si="12"/>
        <v>#DIV/0!</v>
      </c>
      <c r="L93" s="20">
        <f>COUNTIFS(STATUS!$G:$G,ФО!A93,STATUS!$N:$N,ФО!L$2)</f>
        <v>0</v>
      </c>
      <c r="M93" s="1249" t="e">
        <f t="shared" si="13"/>
        <v>#DIV/0!</v>
      </c>
      <c r="N93" s="20">
        <f>COUNTIFS(STATUS!$G:$G,ФО!A93,STATUS!$N:$N,ФО!N$2)</f>
        <v>0</v>
      </c>
      <c r="O93" s="1249" t="e">
        <f t="shared" si="14"/>
        <v>#DIV/0!</v>
      </c>
    </row>
    <row r="94" spans="1:15" x14ac:dyDescent="0.3">
      <c r="A94" s="65" t="s">
        <v>11849</v>
      </c>
      <c r="B94" s="17" t="s">
        <v>11948</v>
      </c>
      <c r="C94" s="15" t="s">
        <v>12046</v>
      </c>
      <c r="D94" s="15" t="s">
        <v>12046</v>
      </c>
      <c r="E94" s="1344">
        <v>41789</v>
      </c>
      <c r="F94" s="20">
        <f>COUNTIF(STATUS!$G:$G,ФО!A94)</f>
        <v>0</v>
      </c>
      <c r="G94" s="624">
        <f>F94/(COUNTA(STATUS!$A:$A)-1)</f>
        <v>0</v>
      </c>
      <c r="H94" s="20">
        <f>COUNTIFS(STATUS!$G:$G,ФО!A94,STATUS!H:H,"КАСКО")</f>
        <v>0</v>
      </c>
      <c r="I94" s="624">
        <f>H94/(COUNTIF(STATUS!H:H,"КАСКО"))</f>
        <v>0</v>
      </c>
      <c r="J94" s="20">
        <f>COUNTIFS(STATUS!$G:$G,ФО!A94,STATUS!$N:$N,ФО!J$2)</f>
        <v>0</v>
      </c>
      <c r="K94" s="1249" t="e">
        <f t="shared" si="12"/>
        <v>#DIV/0!</v>
      </c>
      <c r="L94" s="20">
        <f>COUNTIFS(STATUS!$G:$G,ФО!A94,STATUS!$N:$N,ФО!L$2)</f>
        <v>0</v>
      </c>
      <c r="M94" s="1249" t="e">
        <f t="shared" si="13"/>
        <v>#DIV/0!</v>
      </c>
      <c r="N94" s="20">
        <f>COUNTIFS(STATUS!$G:$G,ФО!A94,STATUS!$N:$N,ФО!N$2)</f>
        <v>0</v>
      </c>
      <c r="O94" s="1249" t="e">
        <f t="shared" si="14"/>
        <v>#DIV/0!</v>
      </c>
    </row>
    <row r="95" spans="1:15" x14ac:dyDescent="0.3">
      <c r="A95" s="65" t="s">
        <v>11850</v>
      </c>
      <c r="B95" s="17" t="s">
        <v>11949</v>
      </c>
      <c r="C95" s="15" t="s">
        <v>12047</v>
      </c>
      <c r="D95" s="15" t="s">
        <v>12047</v>
      </c>
      <c r="E95" s="1344"/>
      <c r="F95" s="20">
        <f>COUNTIF(STATUS!$G:$G,ФО!A95)</f>
        <v>0</v>
      </c>
      <c r="G95" s="624">
        <f>F95/(COUNTA(STATUS!$A:$A)-1)</f>
        <v>0</v>
      </c>
      <c r="H95" s="20">
        <f>COUNTIFS(STATUS!$G:$G,ФО!A95,STATUS!H:H,"КАСКО")</f>
        <v>0</v>
      </c>
      <c r="I95" s="624">
        <f>H95/(COUNTIF(STATUS!H:H,"КАСКО"))</f>
        <v>0</v>
      </c>
      <c r="J95" s="20">
        <f>COUNTIFS(STATUS!$G:$G,ФО!A95,STATUS!$N:$N,ФО!J$2)</f>
        <v>0</v>
      </c>
      <c r="K95" s="1249" t="e">
        <f t="shared" si="12"/>
        <v>#DIV/0!</v>
      </c>
      <c r="L95" s="20">
        <f>COUNTIFS(STATUS!$G:$G,ФО!A95,STATUS!$N:$N,ФО!L$2)</f>
        <v>0</v>
      </c>
      <c r="M95" s="1249" t="e">
        <f t="shared" si="13"/>
        <v>#DIV/0!</v>
      </c>
      <c r="N95" s="20">
        <f>COUNTIFS(STATUS!$G:$G,ФО!A95,STATUS!$N:$N,ФО!N$2)</f>
        <v>0</v>
      </c>
      <c r="O95" s="1249" t="e">
        <f t="shared" si="14"/>
        <v>#DIV/0!</v>
      </c>
    </row>
    <row r="96" spans="1:15" x14ac:dyDescent="0.3">
      <c r="A96" s="65" t="s">
        <v>11851</v>
      </c>
      <c r="B96" s="17" t="s">
        <v>11950</v>
      </c>
      <c r="C96" s="15" t="s">
        <v>12048</v>
      </c>
      <c r="D96" s="15" t="s">
        <v>12048</v>
      </c>
      <c r="E96" s="1344">
        <v>37019</v>
      </c>
      <c r="F96" s="20">
        <f>COUNTIF(STATUS!$G:$G,ФО!A96)</f>
        <v>0</v>
      </c>
      <c r="G96" s="624">
        <f>F96/(COUNTA(STATUS!$A:$A)-1)</f>
        <v>0</v>
      </c>
      <c r="H96" s="20">
        <f>COUNTIFS(STATUS!$G:$G,ФО!A96,STATUS!H:H,"КАСКО")</f>
        <v>0</v>
      </c>
      <c r="I96" s="624">
        <f>H96/(COUNTIF(STATUS!H:H,"КАСКО"))</f>
        <v>0</v>
      </c>
      <c r="J96" s="20">
        <f>COUNTIFS(STATUS!$G:$G,ФО!A96,STATUS!$N:$N,ФО!J$2)</f>
        <v>0</v>
      </c>
      <c r="K96" s="1249" t="e">
        <f t="shared" si="12"/>
        <v>#DIV/0!</v>
      </c>
      <c r="L96" s="20">
        <f>COUNTIFS(STATUS!$G:$G,ФО!A96,STATUS!$N:$N,ФО!L$2)</f>
        <v>0</v>
      </c>
      <c r="M96" s="1249" t="e">
        <f t="shared" si="13"/>
        <v>#DIV/0!</v>
      </c>
      <c r="N96" s="20">
        <f>COUNTIFS(STATUS!$G:$G,ФО!A96,STATUS!$N:$N,ФО!N$2)</f>
        <v>0</v>
      </c>
      <c r="O96" s="1249" t="e">
        <f t="shared" si="14"/>
        <v>#DIV/0!</v>
      </c>
    </row>
    <row r="97" spans="1:15" x14ac:dyDescent="0.3">
      <c r="A97" s="65" t="s">
        <v>11852</v>
      </c>
      <c r="B97" s="17" t="s">
        <v>11951</v>
      </c>
      <c r="C97" s="15" t="s">
        <v>12049</v>
      </c>
      <c r="D97" s="15" t="s">
        <v>12049</v>
      </c>
      <c r="E97" s="1344">
        <v>36147</v>
      </c>
      <c r="F97" s="20">
        <f>COUNTIF(STATUS!$G:$G,ФО!A97)</f>
        <v>0</v>
      </c>
      <c r="G97" s="624">
        <f>F97/(COUNTA(STATUS!$A:$A)-1)</f>
        <v>0</v>
      </c>
      <c r="H97" s="20">
        <f>COUNTIFS(STATUS!$G:$G,ФО!A97,STATUS!H:H,"КАСКО")</f>
        <v>0</v>
      </c>
      <c r="I97" s="624">
        <f>H97/(COUNTIF(STATUS!H:H,"КАСКО"))</f>
        <v>0</v>
      </c>
      <c r="J97" s="20">
        <f>COUNTIFS(STATUS!$G:$G,ФО!A97,STATUS!$N:$N,ФО!J$2)</f>
        <v>0</v>
      </c>
      <c r="K97" s="1249" t="e">
        <f t="shared" si="12"/>
        <v>#DIV/0!</v>
      </c>
      <c r="L97" s="20">
        <f>COUNTIFS(STATUS!$G:$G,ФО!A97,STATUS!$N:$N,ФО!L$2)</f>
        <v>0</v>
      </c>
      <c r="M97" s="1249" t="e">
        <f t="shared" si="13"/>
        <v>#DIV/0!</v>
      </c>
      <c r="N97" s="20">
        <f>COUNTIFS(STATUS!$G:$G,ФО!A97,STATUS!$N:$N,ФО!N$2)</f>
        <v>0</v>
      </c>
      <c r="O97" s="1249" t="e">
        <f t="shared" si="14"/>
        <v>#DIV/0!</v>
      </c>
    </row>
    <row r="98" spans="1:15" x14ac:dyDescent="0.3">
      <c r="A98" s="65" t="s">
        <v>11853</v>
      </c>
      <c r="B98" s="17" t="s">
        <v>11952</v>
      </c>
      <c r="C98" s="15" t="s">
        <v>12050</v>
      </c>
      <c r="D98" s="15" t="s">
        <v>12050</v>
      </c>
      <c r="E98" s="1344"/>
      <c r="F98" s="20">
        <f>COUNTIF(STATUS!$G:$G,ФО!A98)</f>
        <v>0</v>
      </c>
      <c r="G98" s="624">
        <f>F98/(COUNTA(STATUS!$A:$A)-1)</f>
        <v>0</v>
      </c>
      <c r="H98" s="20">
        <f>COUNTIFS(STATUS!$G:$G,ФО!A98,STATUS!H:H,"КАСКО")</f>
        <v>0</v>
      </c>
      <c r="I98" s="624">
        <f>H98/(COUNTIF(STATUS!H:H,"КАСКО"))</f>
        <v>0</v>
      </c>
      <c r="J98" s="20">
        <f>COUNTIFS(STATUS!$G:$G,ФО!A98,STATUS!$N:$N,ФО!J$2)</f>
        <v>0</v>
      </c>
      <c r="K98" s="1249" t="e">
        <f t="shared" si="12"/>
        <v>#DIV/0!</v>
      </c>
      <c r="L98" s="20">
        <f>COUNTIFS(STATUS!$G:$G,ФО!A98,STATUS!$N:$N,ФО!L$2)</f>
        <v>0</v>
      </c>
      <c r="M98" s="1249" t="e">
        <f t="shared" si="13"/>
        <v>#DIV/0!</v>
      </c>
      <c r="N98" s="20">
        <f>COUNTIFS(STATUS!$G:$G,ФО!A98,STATUS!$N:$N,ФО!N$2)</f>
        <v>0</v>
      </c>
      <c r="O98" s="1249" t="e">
        <f t="shared" si="14"/>
        <v>#DIV/0!</v>
      </c>
    </row>
    <row r="99" spans="1:15" x14ac:dyDescent="0.3">
      <c r="A99" s="65" t="s">
        <v>11854</v>
      </c>
      <c r="B99" s="17" t="s">
        <v>11953</v>
      </c>
      <c r="C99" s="15" t="s">
        <v>12051</v>
      </c>
      <c r="D99" s="15" t="s">
        <v>12051</v>
      </c>
      <c r="E99" s="1344"/>
      <c r="F99" s="20">
        <f>COUNTIF(STATUS!$G:$G,ФО!A99)</f>
        <v>0</v>
      </c>
      <c r="G99" s="624">
        <f>F99/(COUNTA(STATUS!$A:$A)-1)</f>
        <v>0</v>
      </c>
      <c r="H99" s="20">
        <f>COUNTIFS(STATUS!$G:$G,ФО!A99,STATUS!H:H,"КАСКО")</f>
        <v>0</v>
      </c>
      <c r="I99" s="624">
        <f>H99/(COUNTIF(STATUS!H:H,"КАСКО"))</f>
        <v>0</v>
      </c>
      <c r="J99" s="20">
        <f>COUNTIFS(STATUS!$G:$G,ФО!A99,STATUS!$N:$N,ФО!J$2)</f>
        <v>0</v>
      </c>
      <c r="K99" s="1249" t="e">
        <f t="shared" si="12"/>
        <v>#DIV/0!</v>
      </c>
      <c r="L99" s="20">
        <f>COUNTIFS(STATUS!$G:$G,ФО!A99,STATUS!$N:$N,ФО!L$2)</f>
        <v>0</v>
      </c>
      <c r="M99" s="1249" t="e">
        <f t="shared" si="13"/>
        <v>#DIV/0!</v>
      </c>
      <c r="N99" s="20">
        <f>COUNTIFS(STATUS!$G:$G,ФО!A99,STATUS!$N:$N,ФО!N$2)</f>
        <v>0</v>
      </c>
      <c r="O99" s="1249" t="e">
        <f t="shared" si="14"/>
        <v>#DIV/0!</v>
      </c>
    </row>
    <row r="100" spans="1:15" x14ac:dyDescent="0.3">
      <c r="A100" s="65" t="s">
        <v>11855</v>
      </c>
      <c r="B100" s="17" t="s">
        <v>11954</v>
      </c>
      <c r="C100" s="15" t="s">
        <v>12052</v>
      </c>
      <c r="D100" s="15" t="s">
        <v>12052</v>
      </c>
      <c r="E100" s="1344"/>
      <c r="F100" s="20">
        <f>COUNTIF(STATUS!$G:$G,ФО!A100)</f>
        <v>0</v>
      </c>
      <c r="G100" s="624">
        <f>F100/(COUNTA(STATUS!$A:$A)-1)</f>
        <v>0</v>
      </c>
      <c r="H100" s="20">
        <f>COUNTIFS(STATUS!$G:$G,ФО!A100,STATUS!H:H,"КАСКО")</f>
        <v>0</v>
      </c>
      <c r="I100" s="624">
        <f>H100/(COUNTIF(STATUS!H:H,"КАСКО"))</f>
        <v>0</v>
      </c>
      <c r="J100" s="20">
        <f>COUNTIFS(STATUS!$G:$G,ФО!A100,STATUS!$N:$N,ФО!J$2)</f>
        <v>0</v>
      </c>
      <c r="K100" s="1249" t="e">
        <f t="shared" si="12"/>
        <v>#DIV/0!</v>
      </c>
      <c r="L100" s="20">
        <f>COUNTIFS(STATUS!$G:$G,ФО!A100,STATUS!$N:$N,ФО!L$2)</f>
        <v>0</v>
      </c>
      <c r="M100" s="1249" t="e">
        <f t="shared" si="13"/>
        <v>#DIV/0!</v>
      </c>
      <c r="N100" s="20">
        <f>COUNTIFS(STATUS!$G:$G,ФО!A100,STATUS!$N:$N,ФО!N$2)</f>
        <v>0</v>
      </c>
      <c r="O100" s="1249" t="e">
        <f t="shared" si="14"/>
        <v>#DIV/0!</v>
      </c>
    </row>
    <row r="101" spans="1:15" x14ac:dyDescent="0.3">
      <c r="A101" s="65" t="s">
        <v>11856</v>
      </c>
      <c r="B101" s="17" t="s">
        <v>11955</v>
      </c>
      <c r="C101" s="15" t="s">
        <v>12053</v>
      </c>
      <c r="D101" s="15" t="s">
        <v>12053</v>
      </c>
      <c r="E101" s="1344">
        <v>37287</v>
      </c>
      <c r="F101" s="20">
        <f>COUNTIF(STATUS!$G:$G,ФО!A101)</f>
        <v>0</v>
      </c>
      <c r="G101" s="624">
        <f>F101/(COUNTA(STATUS!$A:$A)-1)</f>
        <v>0</v>
      </c>
      <c r="H101" s="20">
        <f>COUNTIFS(STATUS!$G:$G,ФО!A101,STATUS!H:H,"КАСКО")</f>
        <v>0</v>
      </c>
      <c r="I101" s="624">
        <f>H101/(COUNTIF(STATUS!H:H,"КАСКО"))</f>
        <v>0</v>
      </c>
      <c r="J101" s="20">
        <f>COUNTIFS(STATUS!$G:$G,ФО!A101,STATUS!$N:$N,ФО!J$2)</f>
        <v>0</v>
      </c>
      <c r="K101" s="1249" t="e">
        <f t="shared" si="12"/>
        <v>#DIV/0!</v>
      </c>
      <c r="L101" s="20">
        <f>COUNTIFS(STATUS!$G:$G,ФО!A101,STATUS!$N:$N,ФО!L$2)</f>
        <v>0</v>
      </c>
      <c r="M101" s="1249" t="e">
        <f t="shared" si="13"/>
        <v>#DIV/0!</v>
      </c>
      <c r="N101" s="20">
        <f>COUNTIFS(STATUS!$G:$G,ФО!A101,STATUS!$N:$N,ФО!N$2)</f>
        <v>0</v>
      </c>
      <c r="O101" s="1249" t="e">
        <f t="shared" si="14"/>
        <v>#DIV/0!</v>
      </c>
    </row>
    <row r="102" spans="1:15" x14ac:dyDescent="0.3">
      <c r="A102" s="65" t="s">
        <v>11857</v>
      </c>
      <c r="B102" s="17" t="s">
        <v>11956</v>
      </c>
      <c r="C102" s="15" t="s">
        <v>12054</v>
      </c>
      <c r="D102" s="15" t="s">
        <v>12054</v>
      </c>
      <c r="E102" s="1344">
        <v>42506</v>
      </c>
      <c r="F102" s="20">
        <f>COUNTIF(STATUS!$G:$G,ФО!A102)</f>
        <v>0</v>
      </c>
      <c r="G102" s="624">
        <f>F102/(COUNTA(STATUS!$A:$A)-1)</f>
        <v>0</v>
      </c>
      <c r="H102" s="20">
        <f>COUNTIFS(STATUS!$G:$G,ФО!A102,STATUS!H:H,"КАСКО")</f>
        <v>0</v>
      </c>
      <c r="I102" s="624">
        <f>H102/(COUNTIF(STATUS!H:H,"КАСКО"))</f>
        <v>0</v>
      </c>
      <c r="J102" s="20">
        <f>COUNTIFS(STATUS!$G:$G,ФО!A102,STATUS!$N:$N,ФО!J$2)</f>
        <v>0</v>
      </c>
      <c r="K102" s="1249" t="e">
        <f t="shared" si="12"/>
        <v>#DIV/0!</v>
      </c>
      <c r="L102" s="20">
        <f>COUNTIFS(STATUS!$G:$G,ФО!A102,STATUS!$N:$N,ФО!L$2)</f>
        <v>0</v>
      </c>
      <c r="M102" s="1249" t="e">
        <f t="shared" si="13"/>
        <v>#DIV/0!</v>
      </c>
      <c r="N102" s="20">
        <f>COUNTIFS(STATUS!$G:$G,ФО!A102,STATUS!$N:$N,ФО!N$2)</f>
        <v>0</v>
      </c>
      <c r="O102" s="1249" t="e">
        <f t="shared" si="14"/>
        <v>#DIV/0!</v>
      </c>
    </row>
    <row r="103" spans="1:15" x14ac:dyDescent="0.3">
      <c r="A103" s="65" t="s">
        <v>11858</v>
      </c>
      <c r="B103" s="17" t="s">
        <v>11957</v>
      </c>
      <c r="C103" s="15" t="s">
        <v>12055</v>
      </c>
      <c r="D103" s="15" t="s">
        <v>12055</v>
      </c>
      <c r="E103" s="1344"/>
      <c r="F103" s="20">
        <f>COUNTIF(STATUS!$G:$G,ФО!A103)</f>
        <v>0</v>
      </c>
      <c r="G103" s="624">
        <f>F103/(COUNTA(STATUS!$A:$A)-1)</f>
        <v>0</v>
      </c>
      <c r="H103" s="20">
        <f>COUNTIFS(STATUS!$G:$G,ФО!A103,STATUS!H:H,"КАСКО")</f>
        <v>0</v>
      </c>
      <c r="I103" s="624">
        <f>H103/(COUNTIF(STATUS!H:H,"КАСКО"))</f>
        <v>0</v>
      </c>
      <c r="J103" s="20">
        <f>COUNTIFS(STATUS!$G:$G,ФО!A103,STATUS!$N:$N,ФО!J$2)</f>
        <v>0</v>
      </c>
      <c r="K103" s="1249" t="e">
        <f t="shared" si="12"/>
        <v>#DIV/0!</v>
      </c>
      <c r="L103" s="20">
        <f>COUNTIFS(STATUS!$G:$G,ФО!A103,STATUS!$N:$N,ФО!L$2)</f>
        <v>0</v>
      </c>
      <c r="M103" s="1249" t="e">
        <f t="shared" si="13"/>
        <v>#DIV/0!</v>
      </c>
      <c r="N103" s="20">
        <f>COUNTIFS(STATUS!$G:$G,ФО!A103,STATUS!$N:$N,ФО!N$2)</f>
        <v>0</v>
      </c>
      <c r="O103" s="1249" t="e">
        <f t="shared" si="14"/>
        <v>#DIV/0!</v>
      </c>
    </row>
    <row r="104" spans="1:15" x14ac:dyDescent="0.3">
      <c r="A104" s="65" t="s">
        <v>11859</v>
      </c>
      <c r="B104" s="17" t="s">
        <v>11958</v>
      </c>
      <c r="C104" s="15" t="s">
        <v>12056</v>
      </c>
      <c r="D104" s="15" t="s">
        <v>12056</v>
      </c>
      <c r="E104" s="1344"/>
      <c r="F104" s="20">
        <f>COUNTIF(STATUS!$G:$G,ФО!A104)</f>
        <v>0</v>
      </c>
      <c r="G104" s="624">
        <f>F104/(COUNTA(STATUS!$A:$A)-1)</f>
        <v>0</v>
      </c>
      <c r="H104" s="20">
        <f>COUNTIFS(STATUS!$G:$G,ФО!A104,STATUS!H:H,"КАСКО")</f>
        <v>0</v>
      </c>
      <c r="I104" s="624">
        <f>H104/(COUNTIF(STATUS!H:H,"КАСКО"))</f>
        <v>0</v>
      </c>
      <c r="J104" s="20">
        <f>COUNTIFS(STATUS!$G:$G,ФО!A104,STATUS!$N:$N,ФО!J$2)</f>
        <v>0</v>
      </c>
      <c r="K104" s="1249" t="e">
        <f t="shared" si="12"/>
        <v>#DIV/0!</v>
      </c>
      <c r="L104" s="20">
        <f>COUNTIFS(STATUS!$G:$G,ФО!A104,STATUS!$N:$N,ФО!L$2)</f>
        <v>0</v>
      </c>
      <c r="M104" s="1249" t="e">
        <f t="shared" si="13"/>
        <v>#DIV/0!</v>
      </c>
      <c r="N104" s="20">
        <f>COUNTIFS(STATUS!$G:$G,ФО!A104,STATUS!$N:$N,ФО!N$2)</f>
        <v>0</v>
      </c>
      <c r="O104" s="1249" t="e">
        <f t="shared" si="14"/>
        <v>#DIV/0!</v>
      </c>
    </row>
    <row r="105" spans="1:15" x14ac:dyDescent="0.3">
      <c r="A105" s="65" t="s">
        <v>11860</v>
      </c>
      <c r="B105" s="17" t="s">
        <v>11959</v>
      </c>
      <c r="C105" s="15" t="s">
        <v>12057</v>
      </c>
      <c r="D105" s="15" t="s">
        <v>12057</v>
      </c>
      <c r="E105" s="1344"/>
      <c r="F105" s="20">
        <f>COUNTIF(STATUS!$G:$G,ФО!A105)</f>
        <v>0</v>
      </c>
      <c r="G105" s="624">
        <f>F105/(COUNTA(STATUS!$A:$A)-1)</f>
        <v>0</v>
      </c>
      <c r="H105" s="20">
        <f>COUNTIFS(STATUS!$G:$G,ФО!A105,STATUS!H:H,"КАСКО")</f>
        <v>0</v>
      </c>
      <c r="I105" s="624">
        <f>H105/(COUNTIF(STATUS!H:H,"КАСКО"))</f>
        <v>0</v>
      </c>
      <c r="J105" s="20">
        <f>COUNTIFS(STATUS!$G:$G,ФО!A105,STATUS!$N:$N,ФО!J$2)</f>
        <v>0</v>
      </c>
      <c r="K105" s="1249" t="e">
        <f t="shared" si="12"/>
        <v>#DIV/0!</v>
      </c>
      <c r="L105" s="20">
        <f>COUNTIFS(STATUS!$G:$G,ФО!A105,STATUS!$N:$N,ФО!L$2)</f>
        <v>0</v>
      </c>
      <c r="M105" s="1249" t="e">
        <f t="shared" si="13"/>
        <v>#DIV/0!</v>
      </c>
      <c r="N105" s="20">
        <f>COUNTIFS(STATUS!$G:$G,ФО!A105,STATUS!$N:$N,ФО!N$2)</f>
        <v>0</v>
      </c>
      <c r="O105" s="1249" t="e">
        <f t="shared" si="14"/>
        <v>#DIV/0!</v>
      </c>
    </row>
    <row r="106" spans="1:15" x14ac:dyDescent="0.3">
      <c r="A106" s="65" t="s">
        <v>11861</v>
      </c>
      <c r="B106" s="17" t="s">
        <v>11960</v>
      </c>
      <c r="C106" s="15" t="s">
        <v>12058</v>
      </c>
      <c r="D106" s="15" t="s">
        <v>12058</v>
      </c>
      <c r="E106" s="1344">
        <v>40571</v>
      </c>
      <c r="F106" s="20">
        <f>COUNTIF(STATUS!$G:$G,ФО!A106)</f>
        <v>0</v>
      </c>
      <c r="G106" s="624">
        <f>F106/(COUNTA(STATUS!$A:$A)-1)</f>
        <v>0</v>
      </c>
      <c r="H106" s="20">
        <f>COUNTIFS(STATUS!$G:$G,ФО!A106,STATUS!H:H,"КАСКО")</f>
        <v>0</v>
      </c>
      <c r="I106" s="624">
        <f>H106/(COUNTIF(STATUS!H:H,"КАСКО"))</f>
        <v>0</v>
      </c>
      <c r="J106" s="20">
        <f>COUNTIFS(STATUS!$G:$G,ФО!A106,STATUS!$N:$N,ФО!J$2)</f>
        <v>0</v>
      </c>
      <c r="K106" s="1249" t="e">
        <f t="shared" si="12"/>
        <v>#DIV/0!</v>
      </c>
      <c r="L106" s="20">
        <f>COUNTIFS(STATUS!$G:$G,ФО!A106,STATUS!$N:$N,ФО!L$2)</f>
        <v>0</v>
      </c>
      <c r="M106" s="1249" t="e">
        <f t="shared" si="13"/>
        <v>#DIV/0!</v>
      </c>
      <c r="N106" s="20">
        <f>COUNTIFS(STATUS!$G:$G,ФО!A106,STATUS!$N:$N,ФО!N$2)</f>
        <v>0</v>
      </c>
      <c r="O106" s="1249" t="e">
        <f t="shared" si="14"/>
        <v>#DIV/0!</v>
      </c>
    </row>
    <row r="107" spans="1:15" x14ac:dyDescent="0.3">
      <c r="A107" s="65" t="s">
        <v>11862</v>
      </c>
      <c r="B107" s="17" t="s">
        <v>11961</v>
      </c>
      <c r="C107" s="15" t="s">
        <v>12059</v>
      </c>
      <c r="D107" s="15" t="s">
        <v>12059</v>
      </c>
      <c r="E107" s="1344"/>
      <c r="F107" s="20">
        <f>COUNTIF(STATUS!$G:$G,ФО!A107)</f>
        <v>0</v>
      </c>
      <c r="G107" s="624">
        <f>F107/(COUNTA(STATUS!$A:$A)-1)</f>
        <v>0</v>
      </c>
      <c r="H107" s="20">
        <f>COUNTIFS(STATUS!$G:$G,ФО!A107,STATUS!H:H,"КАСКО")</f>
        <v>0</v>
      </c>
      <c r="I107" s="624">
        <f>H107/(COUNTIF(STATUS!H:H,"КАСКО"))</f>
        <v>0</v>
      </c>
      <c r="J107" s="20">
        <f>COUNTIFS(STATUS!$G:$G,ФО!A107,STATUS!$N:$N,ФО!J$2)</f>
        <v>0</v>
      </c>
      <c r="K107" s="1249" t="e">
        <f t="shared" si="12"/>
        <v>#DIV/0!</v>
      </c>
      <c r="L107" s="20">
        <f>COUNTIFS(STATUS!$G:$G,ФО!A107,STATUS!$N:$N,ФО!L$2)</f>
        <v>0</v>
      </c>
      <c r="M107" s="1249" t="e">
        <f t="shared" si="13"/>
        <v>#DIV/0!</v>
      </c>
      <c r="N107" s="20">
        <f>COUNTIFS(STATUS!$G:$G,ФО!A107,STATUS!$N:$N,ФО!N$2)</f>
        <v>0</v>
      </c>
      <c r="O107" s="1249" t="e">
        <f t="shared" si="14"/>
        <v>#DIV/0!</v>
      </c>
    </row>
    <row r="108" spans="1:15" x14ac:dyDescent="0.3">
      <c r="A108" s="65" t="s">
        <v>11863</v>
      </c>
      <c r="B108" s="17" t="s">
        <v>11962</v>
      </c>
      <c r="C108" s="15" t="s">
        <v>12060</v>
      </c>
      <c r="D108" s="15" t="s">
        <v>12060</v>
      </c>
      <c r="E108" s="1344">
        <v>36761</v>
      </c>
      <c r="F108" s="20">
        <f>COUNTIF(STATUS!$G:$G,ФО!A108)</f>
        <v>0</v>
      </c>
      <c r="G108" s="624">
        <f>F108/(COUNTA(STATUS!$A:$A)-1)</f>
        <v>0</v>
      </c>
      <c r="H108" s="20">
        <f>COUNTIFS(STATUS!$G:$G,ФО!A108,STATUS!H:H,"КАСКО")</f>
        <v>0</v>
      </c>
      <c r="I108" s="624">
        <f>H108/(COUNTIF(STATUS!H:H,"КАСКО"))</f>
        <v>0</v>
      </c>
      <c r="J108" s="20">
        <f>COUNTIFS(STATUS!$G:$G,ФО!A108,STATUS!$N:$N,ФО!J$2)</f>
        <v>0</v>
      </c>
      <c r="K108" s="1249" t="e">
        <f t="shared" si="12"/>
        <v>#DIV/0!</v>
      </c>
      <c r="L108" s="20">
        <f>COUNTIFS(STATUS!$G:$G,ФО!A108,STATUS!$N:$N,ФО!L$2)</f>
        <v>0</v>
      </c>
      <c r="M108" s="1249" t="e">
        <f t="shared" si="13"/>
        <v>#DIV/0!</v>
      </c>
      <c r="N108" s="20">
        <f>COUNTIFS(STATUS!$G:$G,ФО!A108,STATUS!$N:$N,ФО!N$2)</f>
        <v>0</v>
      </c>
      <c r="O108" s="1249" t="e">
        <f t="shared" si="14"/>
        <v>#DIV/0!</v>
      </c>
    </row>
    <row r="109" spans="1:15" x14ac:dyDescent="0.3">
      <c r="A109" s="65" t="s">
        <v>11864</v>
      </c>
      <c r="B109" s="17" t="s">
        <v>11963</v>
      </c>
      <c r="C109" s="15" t="s">
        <v>12061</v>
      </c>
      <c r="D109" s="15" t="s">
        <v>12061</v>
      </c>
      <c r="E109" s="1344">
        <v>40829</v>
      </c>
      <c r="F109" s="20">
        <f>COUNTIF(STATUS!$G:$G,ФО!A109)</f>
        <v>0</v>
      </c>
      <c r="G109" s="624">
        <f>F109/(COUNTA(STATUS!$A:$A)-1)</f>
        <v>0</v>
      </c>
      <c r="H109" s="20">
        <f>COUNTIFS(STATUS!$G:$G,ФО!A109,STATUS!H:H,"КАСКО")</f>
        <v>0</v>
      </c>
      <c r="I109" s="624">
        <f>H109/(COUNTIF(STATUS!H:H,"КАСКО"))</f>
        <v>0</v>
      </c>
      <c r="J109" s="20">
        <f>COUNTIFS(STATUS!$G:$G,ФО!A109,STATUS!$N:$N,ФО!J$2)</f>
        <v>0</v>
      </c>
      <c r="K109" s="1249" t="e">
        <f t="shared" si="12"/>
        <v>#DIV/0!</v>
      </c>
      <c r="L109" s="20">
        <f>COUNTIFS(STATUS!$G:$G,ФО!A109,STATUS!$N:$N,ФО!L$2)</f>
        <v>0</v>
      </c>
      <c r="M109" s="1249" t="e">
        <f t="shared" si="13"/>
        <v>#DIV/0!</v>
      </c>
      <c r="N109" s="20">
        <f>COUNTIFS(STATUS!$G:$G,ФО!A109,STATUS!$N:$N,ФО!N$2)</f>
        <v>0</v>
      </c>
      <c r="O109" s="1249" t="e">
        <f t="shared" si="14"/>
        <v>#DIV/0!</v>
      </c>
    </row>
    <row r="110" spans="1:15" x14ac:dyDescent="0.3">
      <c r="A110" s="65" t="s">
        <v>11865</v>
      </c>
      <c r="B110" s="17" t="s">
        <v>11964</v>
      </c>
      <c r="C110" s="15" t="s">
        <v>12062</v>
      </c>
      <c r="D110" s="15" t="s">
        <v>12062</v>
      </c>
      <c r="E110" s="1344"/>
      <c r="F110" s="20">
        <f>COUNTIF(STATUS!$G:$G,ФО!A110)</f>
        <v>0</v>
      </c>
      <c r="G110" s="624">
        <f>F110/(COUNTA(STATUS!$A:$A)-1)</f>
        <v>0</v>
      </c>
      <c r="H110" s="20">
        <f>COUNTIFS(STATUS!$G:$G,ФО!A110,STATUS!H:H,"КАСКО")</f>
        <v>0</v>
      </c>
      <c r="I110" s="624">
        <f>H110/(COUNTIF(STATUS!H:H,"КАСКО"))</f>
        <v>0</v>
      </c>
      <c r="J110" s="20">
        <f>COUNTIFS(STATUS!$G:$G,ФО!A110,STATUS!$N:$N,ФО!J$2)</f>
        <v>0</v>
      </c>
      <c r="K110" s="1249" t="e">
        <f t="shared" si="12"/>
        <v>#DIV/0!</v>
      </c>
      <c r="L110" s="20">
        <f>COUNTIFS(STATUS!$G:$G,ФО!A110,STATUS!$N:$N,ФО!L$2)</f>
        <v>0</v>
      </c>
      <c r="M110" s="1249" t="e">
        <f t="shared" si="13"/>
        <v>#DIV/0!</v>
      </c>
      <c r="N110" s="20">
        <f>COUNTIFS(STATUS!$G:$G,ФО!A110,STATUS!$N:$N,ФО!N$2)</f>
        <v>0</v>
      </c>
      <c r="O110" s="1249" t="e">
        <f t="shared" si="14"/>
        <v>#DIV/0!</v>
      </c>
    </row>
    <row r="111" spans="1:15" x14ac:dyDescent="0.3">
      <c r="A111" s="65" t="s">
        <v>11866</v>
      </c>
      <c r="B111" s="17" t="s">
        <v>11965</v>
      </c>
      <c r="C111" s="15" t="s">
        <v>12063</v>
      </c>
      <c r="D111" s="15" t="s">
        <v>12063</v>
      </c>
      <c r="E111" s="1344"/>
      <c r="F111" s="20">
        <f>COUNTIF(STATUS!$G:$G,ФО!A111)</f>
        <v>0</v>
      </c>
      <c r="G111" s="624">
        <f>F111/(COUNTA(STATUS!$A:$A)-1)</f>
        <v>0</v>
      </c>
      <c r="H111" s="20">
        <f>COUNTIFS(STATUS!$G:$G,ФО!A111,STATUS!H:H,"КАСКО")</f>
        <v>0</v>
      </c>
      <c r="I111" s="624">
        <f>H111/(COUNTIF(STATUS!H:H,"КАСКО"))</f>
        <v>0</v>
      </c>
      <c r="J111" s="20">
        <f>COUNTIFS(STATUS!$G:$G,ФО!A111,STATUS!$N:$N,ФО!J$2)</f>
        <v>0</v>
      </c>
      <c r="K111" s="1249" t="e">
        <f t="shared" si="12"/>
        <v>#DIV/0!</v>
      </c>
      <c r="L111" s="20">
        <f>COUNTIFS(STATUS!$G:$G,ФО!A111,STATUS!$N:$N,ФО!L$2)</f>
        <v>0</v>
      </c>
      <c r="M111" s="1249" t="e">
        <f t="shared" si="13"/>
        <v>#DIV/0!</v>
      </c>
      <c r="N111" s="20">
        <f>COUNTIFS(STATUS!$G:$G,ФО!A111,STATUS!$N:$N,ФО!N$2)</f>
        <v>0</v>
      </c>
      <c r="O111" s="1249" t="e">
        <f t="shared" si="14"/>
        <v>#DIV/0!</v>
      </c>
    </row>
    <row r="112" spans="1:15" x14ac:dyDescent="0.3">
      <c r="A112" s="65" t="s">
        <v>11867</v>
      </c>
      <c r="B112" s="17" t="s">
        <v>11966</v>
      </c>
      <c r="C112" s="15" t="s">
        <v>12064</v>
      </c>
      <c r="D112" s="15" t="s">
        <v>12064</v>
      </c>
      <c r="E112" s="1344">
        <v>37886</v>
      </c>
      <c r="F112" s="20">
        <f>COUNTIF(STATUS!$G:$G,ФО!A112)</f>
        <v>0</v>
      </c>
      <c r="G112" s="624">
        <f>F112/(COUNTA(STATUS!$A:$A)-1)</f>
        <v>0</v>
      </c>
      <c r="H112" s="20">
        <f>COUNTIFS(STATUS!$G:$G,ФО!A112,STATUS!H:H,"КАСКО")</f>
        <v>0</v>
      </c>
      <c r="I112" s="624">
        <f>H112/(COUNTIF(STATUS!H:H,"КАСКО"))</f>
        <v>0</v>
      </c>
      <c r="J112" s="20">
        <f>COUNTIFS(STATUS!$G:$G,ФО!A112,STATUS!$N:$N,ФО!J$2)</f>
        <v>0</v>
      </c>
      <c r="K112" s="1249" t="e">
        <f t="shared" si="12"/>
        <v>#DIV/0!</v>
      </c>
      <c r="L112" s="20">
        <f>COUNTIFS(STATUS!$G:$G,ФО!A112,STATUS!$N:$N,ФО!L$2)</f>
        <v>0</v>
      </c>
      <c r="M112" s="1249" t="e">
        <f t="shared" si="13"/>
        <v>#DIV/0!</v>
      </c>
      <c r="N112" s="20">
        <f>COUNTIFS(STATUS!$G:$G,ФО!A112,STATUS!$N:$N,ФО!N$2)</f>
        <v>0</v>
      </c>
      <c r="O112" s="1249" t="e">
        <f t="shared" si="14"/>
        <v>#DIV/0!</v>
      </c>
    </row>
    <row r="113" spans="1:15" x14ac:dyDescent="0.3">
      <c r="A113" s="65" t="s">
        <v>11868</v>
      </c>
      <c r="B113" s="17" t="s">
        <v>11967</v>
      </c>
      <c r="C113" s="15" t="s">
        <v>12065</v>
      </c>
      <c r="D113" s="15" t="s">
        <v>12065</v>
      </c>
      <c r="E113" s="1344"/>
      <c r="F113" s="20">
        <f>COUNTIF(STATUS!$G:$G,ФО!A113)</f>
        <v>0</v>
      </c>
      <c r="G113" s="624">
        <f>F113/(COUNTA(STATUS!$A:$A)-1)</f>
        <v>0</v>
      </c>
      <c r="H113" s="20">
        <f>COUNTIFS(STATUS!$G:$G,ФО!A113,STATUS!H:H,"КАСКО")</f>
        <v>0</v>
      </c>
      <c r="I113" s="624">
        <f>H113/(COUNTIF(STATUS!H:H,"КАСКО"))</f>
        <v>0</v>
      </c>
      <c r="J113" s="20">
        <f>COUNTIFS(STATUS!$G:$G,ФО!A113,STATUS!$N:$N,ФО!J$2)</f>
        <v>0</v>
      </c>
      <c r="K113" s="1249" t="e">
        <f t="shared" si="12"/>
        <v>#DIV/0!</v>
      </c>
      <c r="L113" s="20">
        <f>COUNTIFS(STATUS!$G:$G,ФО!A113,STATUS!$N:$N,ФО!L$2)</f>
        <v>0</v>
      </c>
      <c r="M113" s="1249" t="e">
        <f t="shared" si="13"/>
        <v>#DIV/0!</v>
      </c>
      <c r="N113" s="20">
        <f>COUNTIFS(STATUS!$G:$G,ФО!A113,STATUS!$N:$N,ФО!N$2)</f>
        <v>0</v>
      </c>
      <c r="O113" s="1249" t="e">
        <f t="shared" si="14"/>
        <v>#DIV/0!</v>
      </c>
    </row>
    <row r="114" spans="1:15" x14ac:dyDescent="0.3">
      <c r="A114" s="65" t="s">
        <v>11869</v>
      </c>
      <c r="B114" s="17" t="s">
        <v>11968</v>
      </c>
      <c r="C114" s="15" t="s">
        <v>12066</v>
      </c>
      <c r="D114" s="15" t="s">
        <v>12066</v>
      </c>
      <c r="E114" s="1344">
        <v>38145</v>
      </c>
      <c r="F114" s="20">
        <f>COUNTIF(STATUS!$G:$G,ФО!A114)</f>
        <v>0</v>
      </c>
      <c r="G114" s="624">
        <f>F114/(COUNTA(STATUS!$A:$A)-1)</f>
        <v>0</v>
      </c>
      <c r="H114" s="20">
        <f>COUNTIFS(STATUS!$G:$G,ФО!A114,STATUS!H:H,"КАСКО")</f>
        <v>0</v>
      </c>
      <c r="I114" s="624">
        <f>H114/(COUNTIF(STATUS!H:H,"КАСКО"))</f>
        <v>0</v>
      </c>
      <c r="J114" s="20">
        <f>COUNTIFS(STATUS!$G:$G,ФО!A114,STATUS!$N:$N,ФО!J$2)</f>
        <v>0</v>
      </c>
      <c r="K114" s="1249" t="e">
        <f t="shared" si="12"/>
        <v>#DIV/0!</v>
      </c>
      <c r="L114" s="20">
        <f>COUNTIFS(STATUS!$G:$G,ФО!A114,STATUS!$N:$N,ФО!L$2)</f>
        <v>0</v>
      </c>
      <c r="M114" s="1249" t="e">
        <f t="shared" si="13"/>
        <v>#DIV/0!</v>
      </c>
      <c r="N114" s="20">
        <f>COUNTIFS(STATUS!$G:$G,ФО!A114,STATUS!$N:$N,ФО!N$2)</f>
        <v>0</v>
      </c>
      <c r="O114" s="1249" t="e">
        <f t="shared" si="14"/>
        <v>#DIV/0!</v>
      </c>
    </row>
    <row r="115" spans="1:15" x14ac:dyDescent="0.3">
      <c r="A115" s="65" t="s">
        <v>11870</v>
      </c>
      <c r="B115" s="17" t="s">
        <v>11969</v>
      </c>
      <c r="C115" s="15" t="s">
        <v>12067</v>
      </c>
      <c r="D115" s="15" t="s">
        <v>12067</v>
      </c>
      <c r="E115" s="1344"/>
      <c r="F115" s="20">
        <f>COUNTIF(STATUS!$G:$G,ФО!A115)</f>
        <v>0</v>
      </c>
      <c r="G115" s="624">
        <f>F115/(COUNTA(STATUS!$A:$A)-1)</f>
        <v>0</v>
      </c>
      <c r="H115" s="20">
        <f>COUNTIFS(STATUS!$G:$G,ФО!A115,STATUS!H:H,"КАСКО")</f>
        <v>0</v>
      </c>
      <c r="I115" s="624">
        <f>H115/(COUNTIF(STATUS!H:H,"КАСКО"))</f>
        <v>0</v>
      </c>
      <c r="J115" s="20">
        <f>COUNTIFS(STATUS!$G:$G,ФО!A115,STATUS!$N:$N,ФО!J$2)</f>
        <v>0</v>
      </c>
      <c r="K115" s="1249" t="e">
        <f t="shared" si="12"/>
        <v>#DIV/0!</v>
      </c>
      <c r="L115" s="20">
        <f>COUNTIFS(STATUS!$G:$G,ФО!A115,STATUS!$N:$N,ФО!L$2)</f>
        <v>0</v>
      </c>
      <c r="M115" s="1249" t="e">
        <f t="shared" si="13"/>
        <v>#DIV/0!</v>
      </c>
      <c r="N115" s="20">
        <f>COUNTIFS(STATUS!$G:$G,ФО!A115,STATUS!$N:$N,ФО!N$2)</f>
        <v>0</v>
      </c>
      <c r="O115" s="1249" t="e">
        <f t="shared" si="14"/>
        <v>#DIV/0!</v>
      </c>
    </row>
    <row r="116" spans="1:15" x14ac:dyDescent="0.3">
      <c r="A116" s="65" t="s">
        <v>11871</v>
      </c>
      <c r="B116" s="17" t="s">
        <v>11970</v>
      </c>
      <c r="C116" s="15" t="s">
        <v>12068</v>
      </c>
      <c r="D116" s="15" t="s">
        <v>12068</v>
      </c>
      <c r="E116" s="1344">
        <v>37085</v>
      </c>
      <c r="F116" s="20">
        <f>COUNTIF(STATUS!$G:$G,ФО!A116)</f>
        <v>0</v>
      </c>
      <c r="G116" s="624">
        <f>F116/(COUNTA(STATUS!$A:$A)-1)</f>
        <v>0</v>
      </c>
      <c r="H116" s="20">
        <f>COUNTIFS(STATUS!$G:$G,ФО!A116,STATUS!H:H,"КАСКО")</f>
        <v>0</v>
      </c>
      <c r="I116" s="624">
        <f>H116/(COUNTIF(STATUS!H:H,"КАСКО"))</f>
        <v>0</v>
      </c>
      <c r="J116" s="20">
        <f>COUNTIFS(STATUS!$G:$G,ФО!A116,STATUS!$N:$N,ФО!J$2)</f>
        <v>0</v>
      </c>
      <c r="K116" s="1249" t="e">
        <f t="shared" si="12"/>
        <v>#DIV/0!</v>
      </c>
      <c r="L116" s="20">
        <f>COUNTIFS(STATUS!$G:$G,ФО!A116,STATUS!$N:$N,ФО!L$2)</f>
        <v>0</v>
      </c>
      <c r="M116" s="1249" t="e">
        <f t="shared" si="13"/>
        <v>#DIV/0!</v>
      </c>
      <c r="N116" s="20">
        <f>COUNTIFS(STATUS!$G:$G,ФО!A116,STATUS!$N:$N,ФО!N$2)</f>
        <v>0</v>
      </c>
      <c r="O116" s="1249" t="e">
        <f t="shared" si="14"/>
        <v>#DIV/0!</v>
      </c>
    </row>
    <row r="117" spans="1:15" x14ac:dyDescent="0.3">
      <c r="A117" s="65" t="s">
        <v>11872</v>
      </c>
      <c r="B117" s="17" t="s">
        <v>11971</v>
      </c>
      <c r="C117" s="15" t="s">
        <v>12069</v>
      </c>
      <c r="D117" s="15" t="s">
        <v>12069</v>
      </c>
      <c r="E117" s="1344"/>
      <c r="F117" s="20">
        <f>COUNTIF(STATUS!$G:$G,ФО!A117)</f>
        <v>0</v>
      </c>
      <c r="G117" s="624">
        <f>F117/(COUNTA(STATUS!$A:$A)-1)</f>
        <v>0</v>
      </c>
      <c r="H117" s="20">
        <f>COUNTIFS(STATUS!$G:$G,ФО!A117,STATUS!H:H,"КАСКО")</f>
        <v>0</v>
      </c>
      <c r="I117" s="624">
        <f>H117/(COUNTIF(STATUS!H:H,"КАСКО"))</f>
        <v>0</v>
      </c>
      <c r="J117" s="20">
        <f>COUNTIFS(STATUS!$G:$G,ФО!A117,STATUS!$N:$N,ФО!J$2)</f>
        <v>0</v>
      </c>
      <c r="K117" s="1249" t="e">
        <f t="shared" si="12"/>
        <v>#DIV/0!</v>
      </c>
      <c r="L117" s="20">
        <f>COUNTIFS(STATUS!$G:$G,ФО!A117,STATUS!$N:$N,ФО!L$2)</f>
        <v>0</v>
      </c>
      <c r="M117" s="1249" t="e">
        <f t="shared" si="13"/>
        <v>#DIV/0!</v>
      </c>
      <c r="N117" s="20">
        <f>COUNTIFS(STATUS!$G:$G,ФО!A117,STATUS!$N:$N,ФО!N$2)</f>
        <v>0</v>
      </c>
      <c r="O117" s="1249" t="e">
        <f t="shared" si="14"/>
        <v>#DIV/0!</v>
      </c>
    </row>
    <row r="118" spans="1:15" x14ac:dyDescent="0.3">
      <c r="A118" s="65" t="s">
        <v>11873</v>
      </c>
      <c r="B118" s="17" t="s">
        <v>11972</v>
      </c>
      <c r="C118" s="15" t="s">
        <v>12070</v>
      </c>
      <c r="D118" s="15" t="s">
        <v>12070</v>
      </c>
      <c r="E118" s="1344">
        <v>39266</v>
      </c>
      <c r="F118" s="20">
        <f>COUNTIF(STATUS!$G:$G,ФО!A118)</f>
        <v>0</v>
      </c>
      <c r="G118" s="624">
        <f>F118/(COUNTA(STATUS!$A:$A)-1)</f>
        <v>0</v>
      </c>
      <c r="H118" s="20">
        <f>COUNTIFS(STATUS!$G:$G,ФО!A118,STATUS!H:H,"КАСКО")</f>
        <v>0</v>
      </c>
      <c r="I118" s="624">
        <f>H118/(COUNTIF(STATUS!H:H,"КАСКО"))</f>
        <v>0</v>
      </c>
      <c r="J118" s="20">
        <f>COUNTIFS(STATUS!$G:$G,ФО!A118,STATUS!$N:$N,ФО!J$2)</f>
        <v>0</v>
      </c>
      <c r="K118" s="1249" t="e">
        <f t="shared" si="12"/>
        <v>#DIV/0!</v>
      </c>
      <c r="L118" s="20">
        <f>COUNTIFS(STATUS!$G:$G,ФО!A118,STATUS!$N:$N,ФО!L$2)</f>
        <v>0</v>
      </c>
      <c r="M118" s="1249" t="e">
        <f t="shared" si="13"/>
        <v>#DIV/0!</v>
      </c>
      <c r="N118" s="20">
        <f>COUNTIFS(STATUS!$G:$G,ФО!A118,STATUS!$N:$N,ФО!N$2)</f>
        <v>0</v>
      </c>
      <c r="O118" s="1249" t="e">
        <f t="shared" si="14"/>
        <v>#DIV/0!</v>
      </c>
    </row>
    <row r="119" spans="1:15" x14ac:dyDescent="0.3">
      <c r="A119" s="65" t="s">
        <v>11874</v>
      </c>
      <c r="B119" s="17" t="s">
        <v>11973</v>
      </c>
      <c r="C119" s="15" t="s">
        <v>12071</v>
      </c>
      <c r="D119" s="15" t="s">
        <v>12071</v>
      </c>
      <c r="E119" s="1344">
        <v>41960</v>
      </c>
      <c r="F119" s="20">
        <f>COUNTIF(STATUS!$G:$G,ФО!A119)</f>
        <v>0</v>
      </c>
      <c r="G119" s="624">
        <f>F119/(COUNTA(STATUS!$A:$A)-1)</f>
        <v>0</v>
      </c>
      <c r="H119" s="20">
        <f>COUNTIFS(STATUS!$G:$G,ФО!A119,STATUS!H:H,"КАСКО")</f>
        <v>0</v>
      </c>
      <c r="I119" s="624">
        <f>H119/(COUNTIF(STATUS!H:H,"КАСКО"))</f>
        <v>0</v>
      </c>
      <c r="J119" s="20">
        <f>COUNTIFS(STATUS!$G:$G,ФО!A119,STATUS!$N:$N,ФО!J$2)</f>
        <v>0</v>
      </c>
      <c r="K119" s="1249" t="e">
        <f t="shared" si="12"/>
        <v>#DIV/0!</v>
      </c>
      <c r="L119" s="20">
        <f>COUNTIFS(STATUS!$G:$G,ФО!A119,STATUS!$N:$N,ФО!L$2)</f>
        <v>0</v>
      </c>
      <c r="M119" s="1249" t="e">
        <f t="shared" si="13"/>
        <v>#DIV/0!</v>
      </c>
      <c r="N119" s="20">
        <f>COUNTIFS(STATUS!$G:$G,ФО!A119,STATUS!$N:$N,ФО!N$2)</f>
        <v>0</v>
      </c>
      <c r="O119" s="1249" t="e">
        <f t="shared" si="14"/>
        <v>#DIV/0!</v>
      </c>
    </row>
    <row r="120" spans="1:15" x14ac:dyDescent="0.3">
      <c r="A120" s="65" t="s">
        <v>11875</v>
      </c>
      <c r="B120" s="17" t="s">
        <v>11974</v>
      </c>
      <c r="C120" s="15" t="s">
        <v>12072</v>
      </c>
      <c r="D120" s="15" t="s">
        <v>12072</v>
      </c>
      <c r="E120" s="1344">
        <v>37683</v>
      </c>
      <c r="F120" s="20">
        <f>COUNTIF(STATUS!$G:$G,ФО!A120)</f>
        <v>0</v>
      </c>
      <c r="G120" s="624">
        <f>F120/(COUNTA(STATUS!$A:$A)-1)</f>
        <v>0</v>
      </c>
      <c r="H120" s="20">
        <f>COUNTIFS(STATUS!$G:$G,ФО!A120,STATUS!H:H,"КАСКО")</f>
        <v>0</v>
      </c>
      <c r="I120" s="624">
        <f>H120/(COUNTIF(STATUS!H:H,"КАСКО"))</f>
        <v>0</v>
      </c>
      <c r="J120" s="20">
        <f>COUNTIFS(STATUS!$G:$G,ФО!A120,STATUS!$N:$N,ФО!J$2)</f>
        <v>0</v>
      </c>
      <c r="K120" s="1249" t="e">
        <f t="shared" si="12"/>
        <v>#DIV/0!</v>
      </c>
      <c r="L120" s="20">
        <f>COUNTIFS(STATUS!$G:$G,ФО!A120,STATUS!$N:$N,ФО!L$2)</f>
        <v>0</v>
      </c>
      <c r="M120" s="1249" t="e">
        <f t="shared" si="13"/>
        <v>#DIV/0!</v>
      </c>
      <c r="N120" s="20">
        <f>COUNTIFS(STATUS!$G:$G,ФО!A120,STATUS!$N:$N,ФО!N$2)</f>
        <v>0</v>
      </c>
      <c r="O120" s="1249" t="e">
        <f t="shared" si="14"/>
        <v>#DIV/0!</v>
      </c>
    </row>
    <row r="121" spans="1:15" x14ac:dyDescent="0.3">
      <c r="A121" s="65" t="s">
        <v>11876</v>
      </c>
      <c r="B121" s="17" t="s">
        <v>11975</v>
      </c>
      <c r="C121" s="15" t="s">
        <v>12073</v>
      </c>
      <c r="D121" s="15" t="s">
        <v>12073</v>
      </c>
      <c r="E121" s="1344"/>
      <c r="F121" s="20">
        <f>COUNTIF(STATUS!$G:$G,ФО!A121)</f>
        <v>0</v>
      </c>
      <c r="G121" s="624">
        <f>F121/(COUNTA(STATUS!$A:$A)-1)</f>
        <v>0</v>
      </c>
      <c r="H121" s="20">
        <f>COUNTIFS(STATUS!$G:$G,ФО!A121,STATUS!H:H,"КАСКО")</f>
        <v>0</v>
      </c>
      <c r="I121" s="624">
        <f>H121/(COUNTIF(STATUS!H:H,"КАСКО"))</f>
        <v>0</v>
      </c>
      <c r="J121" s="20">
        <f>COUNTIFS(STATUS!$G:$G,ФО!A121,STATUS!$N:$N,ФО!J$2)</f>
        <v>0</v>
      </c>
      <c r="K121" s="1249" t="e">
        <f t="shared" si="12"/>
        <v>#DIV/0!</v>
      </c>
      <c r="L121" s="20">
        <f>COUNTIFS(STATUS!$G:$G,ФО!A121,STATUS!$N:$N,ФО!L$2)</f>
        <v>0</v>
      </c>
      <c r="M121" s="1249" t="e">
        <f t="shared" si="13"/>
        <v>#DIV/0!</v>
      </c>
      <c r="N121" s="20">
        <f>COUNTIFS(STATUS!$G:$G,ФО!A121,STATUS!$N:$N,ФО!N$2)</f>
        <v>0</v>
      </c>
      <c r="O121" s="1249" t="e">
        <f t="shared" si="14"/>
        <v>#DIV/0!</v>
      </c>
    </row>
    <row r="122" spans="1:15" x14ac:dyDescent="0.3">
      <c r="A122" s="65" t="s">
        <v>11877</v>
      </c>
      <c r="B122" s="17" t="s">
        <v>11976</v>
      </c>
      <c r="C122" s="15" t="s">
        <v>12074</v>
      </c>
      <c r="D122" s="15" t="s">
        <v>12074</v>
      </c>
      <c r="E122" s="1344"/>
      <c r="F122" s="20">
        <f>COUNTIF(STATUS!$G:$G,ФО!A122)</f>
        <v>0</v>
      </c>
      <c r="G122" s="624">
        <f>F122/(COUNTA(STATUS!$A:$A)-1)</f>
        <v>0</v>
      </c>
      <c r="H122" s="20">
        <f>COUNTIFS(STATUS!$G:$G,ФО!A122,STATUS!H:H,"КАСКО")</f>
        <v>0</v>
      </c>
      <c r="I122" s="624">
        <f>H122/(COUNTIF(STATUS!H:H,"КАСКО"))</f>
        <v>0</v>
      </c>
      <c r="J122" s="20">
        <f>COUNTIFS(STATUS!$G:$G,ФО!A122,STATUS!$N:$N,ФО!J$2)</f>
        <v>0</v>
      </c>
      <c r="K122" s="1249" t="e">
        <f t="shared" si="12"/>
        <v>#DIV/0!</v>
      </c>
      <c r="L122" s="20">
        <f>COUNTIFS(STATUS!$G:$G,ФО!A122,STATUS!$N:$N,ФО!L$2)</f>
        <v>0</v>
      </c>
      <c r="M122" s="1249" t="e">
        <f t="shared" si="13"/>
        <v>#DIV/0!</v>
      </c>
      <c r="N122" s="20">
        <f>COUNTIFS(STATUS!$G:$G,ФО!A122,STATUS!$N:$N,ФО!N$2)</f>
        <v>0</v>
      </c>
      <c r="O122" s="1249" t="e">
        <f t="shared" si="14"/>
        <v>#DIV/0!</v>
      </c>
    </row>
    <row r="123" spans="1:15" x14ac:dyDescent="0.3">
      <c r="A123" s="65" t="s">
        <v>11878</v>
      </c>
      <c r="B123" s="17" t="s">
        <v>11977</v>
      </c>
      <c r="C123" s="15" t="s">
        <v>12075</v>
      </c>
      <c r="D123" s="15" t="s">
        <v>12075</v>
      </c>
      <c r="E123" s="1344">
        <v>38254</v>
      </c>
      <c r="F123" s="20">
        <f>COUNTIF(STATUS!$G:$G,ФО!A123)</f>
        <v>0</v>
      </c>
      <c r="G123" s="624">
        <f>F123/(COUNTA(STATUS!$A:$A)-1)</f>
        <v>0</v>
      </c>
      <c r="H123" s="20">
        <f>COUNTIFS(STATUS!$G:$G,ФО!A123,STATUS!H:H,"КАСКО")</f>
        <v>0</v>
      </c>
      <c r="I123" s="624">
        <f>H123/(COUNTIF(STATUS!H:H,"КАСКО"))</f>
        <v>0</v>
      </c>
      <c r="J123" s="20">
        <f>COUNTIFS(STATUS!$G:$G,ФО!A123,STATUS!$N:$N,ФО!J$2)</f>
        <v>0</v>
      </c>
      <c r="K123" s="1249" t="e">
        <f t="shared" ref="K123:K157" si="15">J123/($J123+$L123+$N123)</f>
        <v>#DIV/0!</v>
      </c>
      <c r="L123" s="20">
        <f>COUNTIFS(STATUS!$G:$G,ФО!A123,STATUS!$N:$N,ФО!L$2)</f>
        <v>0</v>
      </c>
      <c r="M123" s="1249" t="e">
        <f t="shared" ref="M123:M157" si="16">L123/($J123+$L123+$N123)</f>
        <v>#DIV/0!</v>
      </c>
      <c r="N123" s="20">
        <f>COUNTIFS(STATUS!$G:$G,ФО!A123,STATUS!$N:$N,ФО!N$2)</f>
        <v>0</v>
      </c>
      <c r="O123" s="1249" t="e">
        <f t="shared" ref="O123:O157" si="17">N123/($J123+$L123+$N123)</f>
        <v>#DIV/0!</v>
      </c>
    </row>
    <row r="124" spans="1:15" x14ac:dyDescent="0.3">
      <c r="A124" s="65" t="s">
        <v>11879</v>
      </c>
      <c r="B124" s="17" t="s">
        <v>11978</v>
      </c>
      <c r="C124" s="15" t="s">
        <v>12076</v>
      </c>
      <c r="D124" s="15" t="s">
        <v>12076</v>
      </c>
      <c r="E124" s="1344">
        <v>33123</v>
      </c>
      <c r="F124" s="20">
        <f>COUNTIF(STATUS!$G:$G,ФО!A124)</f>
        <v>0</v>
      </c>
      <c r="G124" s="624">
        <f>F124/(COUNTA(STATUS!$A:$A)-1)</f>
        <v>0</v>
      </c>
      <c r="H124" s="20">
        <f>COUNTIFS(STATUS!$G:$G,ФО!A124,STATUS!H:H,"КАСКО")</f>
        <v>0</v>
      </c>
      <c r="I124" s="624">
        <f>H124/(COUNTIF(STATUS!H:H,"КАСКО"))</f>
        <v>0</v>
      </c>
      <c r="J124" s="20">
        <f>COUNTIFS(STATUS!$G:$G,ФО!A124,STATUS!$N:$N,ФО!J$2)</f>
        <v>0</v>
      </c>
      <c r="K124" s="1249" t="e">
        <f t="shared" si="15"/>
        <v>#DIV/0!</v>
      </c>
      <c r="L124" s="20">
        <f>COUNTIFS(STATUS!$G:$G,ФО!A124,STATUS!$N:$N,ФО!L$2)</f>
        <v>0</v>
      </c>
      <c r="M124" s="1249" t="e">
        <f t="shared" si="16"/>
        <v>#DIV/0!</v>
      </c>
      <c r="N124" s="20">
        <f>COUNTIFS(STATUS!$G:$G,ФО!A124,STATUS!$N:$N,ФО!N$2)</f>
        <v>0</v>
      </c>
      <c r="O124" s="1249" t="e">
        <f t="shared" si="17"/>
        <v>#DIV/0!</v>
      </c>
    </row>
    <row r="125" spans="1:15" x14ac:dyDescent="0.3">
      <c r="A125" s="65" t="s">
        <v>11880</v>
      </c>
      <c r="B125" s="17" t="s">
        <v>11979</v>
      </c>
      <c r="C125" s="15" t="s">
        <v>12077</v>
      </c>
      <c r="D125" s="15" t="s">
        <v>12077</v>
      </c>
      <c r="E125" s="1344"/>
      <c r="F125" s="20">
        <f>COUNTIF(STATUS!$G:$G,ФО!A125)</f>
        <v>0</v>
      </c>
      <c r="G125" s="624">
        <f>F125/(COUNTA(STATUS!$A:$A)-1)</f>
        <v>0</v>
      </c>
      <c r="H125" s="20">
        <f>COUNTIFS(STATUS!$G:$G,ФО!A125,STATUS!H:H,"КАСКО")</f>
        <v>0</v>
      </c>
      <c r="I125" s="624">
        <f>H125/(COUNTIF(STATUS!H:H,"КАСКО"))</f>
        <v>0</v>
      </c>
      <c r="J125" s="20">
        <f>COUNTIFS(STATUS!$G:$G,ФО!A125,STATUS!$N:$N,ФО!J$2)</f>
        <v>0</v>
      </c>
      <c r="K125" s="1249" t="e">
        <f t="shared" si="15"/>
        <v>#DIV/0!</v>
      </c>
      <c r="L125" s="20">
        <f>COUNTIFS(STATUS!$G:$G,ФО!A125,STATUS!$N:$N,ФО!L$2)</f>
        <v>0</v>
      </c>
      <c r="M125" s="1249" t="e">
        <f t="shared" si="16"/>
        <v>#DIV/0!</v>
      </c>
      <c r="N125" s="20">
        <f>COUNTIFS(STATUS!$G:$G,ФО!A125,STATUS!$N:$N,ФО!N$2)</f>
        <v>0</v>
      </c>
      <c r="O125" s="1249" t="e">
        <f t="shared" si="17"/>
        <v>#DIV/0!</v>
      </c>
    </row>
    <row r="126" spans="1:15" x14ac:dyDescent="0.3">
      <c r="A126" s="65" t="s">
        <v>11881</v>
      </c>
      <c r="B126" s="17" t="s">
        <v>11980</v>
      </c>
      <c r="C126" s="15" t="s">
        <v>12078</v>
      </c>
      <c r="D126" s="15" t="s">
        <v>12078</v>
      </c>
      <c r="E126" s="1344"/>
      <c r="F126" s="20">
        <f>COUNTIF(STATUS!$G:$G,ФО!A126)</f>
        <v>0</v>
      </c>
      <c r="G126" s="624">
        <f>F126/(COUNTA(STATUS!$A:$A)-1)</f>
        <v>0</v>
      </c>
      <c r="H126" s="20">
        <f>COUNTIFS(STATUS!$G:$G,ФО!A126,STATUS!H:H,"КАСКО")</f>
        <v>0</v>
      </c>
      <c r="I126" s="624">
        <f>H126/(COUNTIF(STATUS!H:H,"КАСКО"))</f>
        <v>0</v>
      </c>
      <c r="J126" s="20">
        <f>COUNTIFS(STATUS!$G:$G,ФО!A126,STATUS!$N:$N,ФО!J$2)</f>
        <v>0</v>
      </c>
      <c r="K126" s="1249" t="e">
        <f t="shared" si="15"/>
        <v>#DIV/0!</v>
      </c>
      <c r="L126" s="20">
        <f>COUNTIFS(STATUS!$G:$G,ФО!A126,STATUS!$N:$N,ФО!L$2)</f>
        <v>0</v>
      </c>
      <c r="M126" s="1249" t="e">
        <f t="shared" si="16"/>
        <v>#DIV/0!</v>
      </c>
      <c r="N126" s="20">
        <f>COUNTIFS(STATUS!$G:$G,ФО!A126,STATUS!$N:$N,ФО!N$2)</f>
        <v>0</v>
      </c>
      <c r="O126" s="1249" t="e">
        <f t="shared" si="17"/>
        <v>#DIV/0!</v>
      </c>
    </row>
    <row r="127" spans="1:15" x14ac:dyDescent="0.3">
      <c r="A127" s="65" t="s">
        <v>11882</v>
      </c>
      <c r="B127" s="17" t="s">
        <v>11981</v>
      </c>
      <c r="C127" s="15" t="s">
        <v>12079</v>
      </c>
      <c r="D127" s="15" t="s">
        <v>12079</v>
      </c>
      <c r="E127" s="1344"/>
      <c r="F127" s="20">
        <f>COUNTIF(STATUS!$G:$G,ФО!A127)</f>
        <v>0</v>
      </c>
      <c r="G127" s="624">
        <f>F127/(COUNTA(STATUS!$A:$A)-1)</f>
        <v>0</v>
      </c>
      <c r="H127" s="20">
        <f>COUNTIFS(STATUS!$G:$G,ФО!A127,STATUS!H:H,"КАСКО")</f>
        <v>0</v>
      </c>
      <c r="I127" s="624">
        <f>H127/(COUNTIF(STATUS!H:H,"КАСКО"))</f>
        <v>0</v>
      </c>
      <c r="J127" s="20">
        <f>COUNTIFS(STATUS!$G:$G,ФО!A127,STATUS!$N:$N,ФО!J$2)</f>
        <v>0</v>
      </c>
      <c r="K127" s="1249" t="e">
        <f t="shared" si="15"/>
        <v>#DIV/0!</v>
      </c>
      <c r="L127" s="20">
        <f>COUNTIFS(STATUS!$G:$G,ФО!A127,STATUS!$N:$N,ФО!L$2)</f>
        <v>0</v>
      </c>
      <c r="M127" s="1249" t="e">
        <f t="shared" si="16"/>
        <v>#DIV/0!</v>
      </c>
      <c r="N127" s="20">
        <f>COUNTIFS(STATUS!$G:$G,ФО!A127,STATUS!$N:$N,ФО!N$2)</f>
        <v>0</v>
      </c>
      <c r="O127" s="1249" t="e">
        <f t="shared" si="17"/>
        <v>#DIV/0!</v>
      </c>
    </row>
    <row r="128" spans="1:15" x14ac:dyDescent="0.3">
      <c r="A128" s="65" t="s">
        <v>11883</v>
      </c>
      <c r="B128" s="17" t="s">
        <v>11982</v>
      </c>
      <c r="C128" s="15" t="s">
        <v>12080</v>
      </c>
      <c r="D128" s="15" t="s">
        <v>12080</v>
      </c>
      <c r="E128" s="1344"/>
      <c r="F128" s="20">
        <f>COUNTIF(STATUS!$G:$G,ФО!A128)</f>
        <v>0</v>
      </c>
      <c r="G128" s="624">
        <f>F128/(COUNTA(STATUS!$A:$A)-1)</f>
        <v>0</v>
      </c>
      <c r="H128" s="20">
        <f>COUNTIFS(STATUS!$G:$G,ФО!A128,STATUS!H:H,"КАСКО")</f>
        <v>0</v>
      </c>
      <c r="I128" s="624">
        <f>H128/(COUNTIF(STATUS!H:H,"КАСКО"))</f>
        <v>0</v>
      </c>
      <c r="J128" s="20">
        <f>COUNTIFS(STATUS!$G:$G,ФО!A128,STATUS!$N:$N,ФО!J$2)</f>
        <v>0</v>
      </c>
      <c r="K128" s="1249" t="e">
        <f t="shared" si="15"/>
        <v>#DIV/0!</v>
      </c>
      <c r="L128" s="20">
        <f>COUNTIFS(STATUS!$G:$G,ФО!A128,STATUS!$N:$N,ФО!L$2)</f>
        <v>0</v>
      </c>
      <c r="M128" s="1249" t="e">
        <f t="shared" si="16"/>
        <v>#DIV/0!</v>
      </c>
      <c r="N128" s="20">
        <f>COUNTIFS(STATUS!$G:$G,ФО!A128,STATUS!$N:$N,ФО!N$2)</f>
        <v>0</v>
      </c>
      <c r="O128" s="1249" t="e">
        <f t="shared" si="17"/>
        <v>#DIV/0!</v>
      </c>
    </row>
    <row r="129" spans="1:15" x14ac:dyDescent="0.3">
      <c r="A129" s="65" t="s">
        <v>11884</v>
      </c>
      <c r="B129" s="17" t="s">
        <v>11983</v>
      </c>
      <c r="C129" s="15" t="s">
        <v>12081</v>
      </c>
      <c r="D129" s="15" t="s">
        <v>12081</v>
      </c>
      <c r="E129" s="1344"/>
      <c r="F129" s="20">
        <f>COUNTIF(STATUS!$G:$G,ФО!A129)</f>
        <v>0</v>
      </c>
      <c r="G129" s="624">
        <f>F129/(COUNTA(STATUS!$A:$A)-1)</f>
        <v>0</v>
      </c>
      <c r="H129" s="20">
        <f>COUNTIFS(STATUS!$G:$G,ФО!A129,STATUS!H:H,"КАСКО")</f>
        <v>0</v>
      </c>
      <c r="I129" s="624">
        <f>H129/(COUNTIF(STATUS!H:H,"КАСКО"))</f>
        <v>0</v>
      </c>
      <c r="J129" s="20">
        <f>COUNTIFS(STATUS!$G:$G,ФО!A129,STATUS!$N:$N,ФО!J$2)</f>
        <v>0</v>
      </c>
      <c r="K129" s="1249" t="e">
        <f t="shared" si="15"/>
        <v>#DIV/0!</v>
      </c>
      <c r="L129" s="20">
        <f>COUNTIFS(STATUS!$G:$G,ФО!A129,STATUS!$N:$N,ФО!L$2)</f>
        <v>0</v>
      </c>
      <c r="M129" s="1249" t="e">
        <f t="shared" si="16"/>
        <v>#DIV/0!</v>
      </c>
      <c r="N129" s="20">
        <f>COUNTIFS(STATUS!$G:$G,ФО!A129,STATUS!$N:$N,ФО!N$2)</f>
        <v>0</v>
      </c>
      <c r="O129" s="1249" t="e">
        <f t="shared" si="17"/>
        <v>#DIV/0!</v>
      </c>
    </row>
    <row r="130" spans="1:15" x14ac:dyDescent="0.3">
      <c r="A130" s="65" t="s">
        <v>11885</v>
      </c>
      <c r="B130" s="17" t="s">
        <v>11984</v>
      </c>
      <c r="C130" s="15" t="s">
        <v>12082</v>
      </c>
      <c r="D130" s="15" t="s">
        <v>12082</v>
      </c>
      <c r="E130" s="1344">
        <v>40463</v>
      </c>
      <c r="F130" s="20">
        <f>COUNTIF(STATUS!$G:$G,ФО!A130)</f>
        <v>0</v>
      </c>
      <c r="G130" s="624">
        <f>F130/(COUNTA(STATUS!$A:$A)-1)</f>
        <v>0</v>
      </c>
      <c r="H130" s="20">
        <f>COUNTIFS(STATUS!$G:$G,ФО!A130,STATUS!H:H,"КАСКО")</f>
        <v>0</v>
      </c>
      <c r="I130" s="624">
        <f>H130/(COUNTIF(STATUS!H:H,"КАСКО"))</f>
        <v>0</v>
      </c>
      <c r="J130" s="20">
        <f>COUNTIFS(STATUS!$G:$G,ФО!A130,STATUS!$N:$N,ФО!J$2)</f>
        <v>0</v>
      </c>
      <c r="K130" s="1249" t="e">
        <f t="shared" si="15"/>
        <v>#DIV/0!</v>
      </c>
      <c r="L130" s="20">
        <f>COUNTIFS(STATUS!$G:$G,ФО!A130,STATUS!$N:$N,ФО!L$2)</f>
        <v>0</v>
      </c>
      <c r="M130" s="1249" t="e">
        <f t="shared" si="16"/>
        <v>#DIV/0!</v>
      </c>
      <c r="N130" s="20">
        <f>COUNTIFS(STATUS!$G:$G,ФО!A130,STATUS!$N:$N,ФО!N$2)</f>
        <v>0</v>
      </c>
      <c r="O130" s="1249" t="e">
        <f t="shared" si="17"/>
        <v>#DIV/0!</v>
      </c>
    </row>
    <row r="131" spans="1:15" x14ac:dyDescent="0.3">
      <c r="A131" s="65" t="s">
        <v>11886</v>
      </c>
      <c r="B131" s="17" t="s">
        <v>11985</v>
      </c>
      <c r="C131" s="15" t="s">
        <v>12083</v>
      </c>
      <c r="D131" s="15" t="s">
        <v>12083</v>
      </c>
      <c r="E131" s="1344">
        <v>37880</v>
      </c>
      <c r="F131" s="20">
        <f>COUNTIF(STATUS!$G:$G,ФО!A131)</f>
        <v>0</v>
      </c>
      <c r="G131" s="624">
        <f>F131/(COUNTA(STATUS!$A:$A)-1)</f>
        <v>0</v>
      </c>
      <c r="H131" s="20">
        <f>COUNTIFS(STATUS!$G:$G,ФО!A131,STATUS!H:H,"КАСКО")</f>
        <v>0</v>
      </c>
      <c r="I131" s="624">
        <f>H131/(COUNTIF(STATUS!H:H,"КАСКО"))</f>
        <v>0</v>
      </c>
      <c r="J131" s="20">
        <f>COUNTIFS(STATUS!$G:$G,ФО!A131,STATUS!$N:$N,ФО!J$2)</f>
        <v>0</v>
      </c>
      <c r="K131" s="1249" t="e">
        <f t="shared" si="15"/>
        <v>#DIV/0!</v>
      </c>
      <c r="L131" s="20">
        <f>COUNTIFS(STATUS!$G:$G,ФО!A131,STATUS!$N:$N,ФО!L$2)</f>
        <v>0</v>
      </c>
      <c r="M131" s="1249" t="e">
        <f t="shared" si="16"/>
        <v>#DIV/0!</v>
      </c>
      <c r="N131" s="20">
        <f>COUNTIFS(STATUS!$G:$G,ФО!A131,STATUS!$N:$N,ФО!N$2)</f>
        <v>0</v>
      </c>
      <c r="O131" s="1249" t="e">
        <f t="shared" si="17"/>
        <v>#DIV/0!</v>
      </c>
    </row>
    <row r="132" spans="1:15" x14ac:dyDescent="0.3">
      <c r="A132" s="65" t="s">
        <v>11887</v>
      </c>
      <c r="B132" s="17" t="s">
        <v>11986</v>
      </c>
      <c r="C132" s="15" t="s">
        <v>12084</v>
      </c>
      <c r="D132" s="15" t="s">
        <v>12084</v>
      </c>
      <c r="E132" s="1344">
        <v>34380</v>
      </c>
      <c r="F132" s="20">
        <f>COUNTIF(STATUS!$G:$G,ФО!A132)</f>
        <v>0</v>
      </c>
      <c r="G132" s="624">
        <f>F132/(COUNTA(STATUS!$A:$A)-1)</f>
        <v>0</v>
      </c>
      <c r="H132" s="20">
        <f>COUNTIFS(STATUS!$G:$G,ФО!A132,STATUS!H:H,"КАСКО")</f>
        <v>0</v>
      </c>
      <c r="I132" s="624">
        <f>H132/(COUNTIF(STATUS!H:H,"КАСКО"))</f>
        <v>0</v>
      </c>
      <c r="J132" s="20">
        <f>COUNTIFS(STATUS!$G:$G,ФО!A132,STATUS!$N:$N,ФО!J$2)</f>
        <v>0</v>
      </c>
      <c r="K132" s="1249" t="e">
        <f t="shared" si="15"/>
        <v>#DIV/0!</v>
      </c>
      <c r="L132" s="20">
        <f>COUNTIFS(STATUS!$G:$G,ФО!A132,STATUS!$N:$N,ФО!L$2)</f>
        <v>0</v>
      </c>
      <c r="M132" s="1249" t="e">
        <f t="shared" si="16"/>
        <v>#DIV/0!</v>
      </c>
      <c r="N132" s="20">
        <f>COUNTIFS(STATUS!$G:$G,ФО!A132,STATUS!$N:$N,ФО!N$2)</f>
        <v>0</v>
      </c>
      <c r="O132" s="1249" t="e">
        <f t="shared" si="17"/>
        <v>#DIV/0!</v>
      </c>
    </row>
    <row r="133" spans="1:15" x14ac:dyDescent="0.3">
      <c r="A133" s="65" t="s">
        <v>11888</v>
      </c>
      <c r="B133" s="17" t="s">
        <v>11987</v>
      </c>
      <c r="C133" s="15" t="s">
        <v>12085</v>
      </c>
      <c r="D133" s="15" t="s">
        <v>12085</v>
      </c>
      <c r="E133" s="1344"/>
      <c r="F133" s="20">
        <f>COUNTIF(STATUS!$G:$G,ФО!A133)</f>
        <v>0</v>
      </c>
      <c r="G133" s="624">
        <f>F133/(COUNTA(STATUS!$A:$A)-1)</f>
        <v>0</v>
      </c>
      <c r="H133" s="20">
        <f>COUNTIFS(STATUS!$G:$G,ФО!A133,STATUS!H:H,"КАСКО")</f>
        <v>0</v>
      </c>
      <c r="I133" s="624">
        <f>H133/(COUNTIF(STATUS!H:H,"КАСКО"))</f>
        <v>0</v>
      </c>
      <c r="J133" s="20">
        <f>COUNTIFS(STATUS!$G:$G,ФО!A133,STATUS!$N:$N,ФО!J$2)</f>
        <v>0</v>
      </c>
      <c r="K133" s="1249" t="e">
        <f t="shared" si="15"/>
        <v>#DIV/0!</v>
      </c>
      <c r="L133" s="20">
        <f>COUNTIFS(STATUS!$G:$G,ФО!A133,STATUS!$N:$N,ФО!L$2)</f>
        <v>0</v>
      </c>
      <c r="M133" s="1249" t="e">
        <f t="shared" si="16"/>
        <v>#DIV/0!</v>
      </c>
      <c r="N133" s="20">
        <f>COUNTIFS(STATUS!$G:$G,ФО!A133,STATUS!$N:$N,ФО!N$2)</f>
        <v>0</v>
      </c>
      <c r="O133" s="1249" t="e">
        <f t="shared" si="17"/>
        <v>#DIV/0!</v>
      </c>
    </row>
    <row r="134" spans="1:15" x14ac:dyDescent="0.3">
      <c r="A134" s="65" t="s">
        <v>11889</v>
      </c>
      <c r="B134" s="17" t="s">
        <v>11988</v>
      </c>
      <c r="C134" s="15" t="s">
        <v>12086</v>
      </c>
      <c r="D134" s="15" t="s">
        <v>12086</v>
      </c>
      <c r="E134" s="1344"/>
      <c r="F134" s="20">
        <f>COUNTIF(STATUS!$G:$G,ФО!A134)</f>
        <v>0</v>
      </c>
      <c r="G134" s="624">
        <f>F134/(COUNTA(STATUS!$A:$A)-1)</f>
        <v>0</v>
      </c>
      <c r="H134" s="20">
        <f>COUNTIFS(STATUS!$G:$G,ФО!A134,STATUS!H:H,"КАСКО")</f>
        <v>0</v>
      </c>
      <c r="I134" s="624">
        <f>H134/(COUNTIF(STATUS!H:H,"КАСКО"))</f>
        <v>0</v>
      </c>
      <c r="J134" s="20">
        <f>COUNTIFS(STATUS!$G:$G,ФО!A134,STATUS!$N:$N,ФО!J$2)</f>
        <v>0</v>
      </c>
      <c r="K134" s="1249" t="e">
        <f t="shared" si="15"/>
        <v>#DIV/0!</v>
      </c>
      <c r="L134" s="20">
        <f>COUNTIFS(STATUS!$G:$G,ФО!A134,STATUS!$N:$N,ФО!L$2)</f>
        <v>0</v>
      </c>
      <c r="M134" s="1249" t="e">
        <f t="shared" si="16"/>
        <v>#DIV/0!</v>
      </c>
      <c r="N134" s="20">
        <f>COUNTIFS(STATUS!$G:$G,ФО!A134,STATUS!$N:$N,ФО!N$2)</f>
        <v>0</v>
      </c>
      <c r="O134" s="1249" t="e">
        <f t="shared" si="17"/>
        <v>#DIV/0!</v>
      </c>
    </row>
    <row r="135" spans="1:15" x14ac:dyDescent="0.3">
      <c r="A135" s="65" t="s">
        <v>11890</v>
      </c>
      <c r="B135" s="17" t="s">
        <v>11989</v>
      </c>
      <c r="C135" s="15" t="s">
        <v>12087</v>
      </c>
      <c r="D135" s="15" t="s">
        <v>12087</v>
      </c>
      <c r="E135" s="1344"/>
      <c r="F135" s="20">
        <f>COUNTIF(STATUS!$G:$G,ФО!A135)</f>
        <v>0</v>
      </c>
      <c r="G135" s="624">
        <f>F135/(COUNTA(STATUS!$A:$A)-1)</f>
        <v>0</v>
      </c>
      <c r="H135" s="20">
        <f>COUNTIFS(STATUS!$G:$G,ФО!A135,STATUS!H:H,"КАСКО")</f>
        <v>0</v>
      </c>
      <c r="I135" s="624">
        <f>H135/(COUNTIF(STATUS!H:H,"КАСКО"))</f>
        <v>0</v>
      </c>
      <c r="J135" s="20">
        <f>COUNTIFS(STATUS!$G:$G,ФО!A135,STATUS!$N:$N,ФО!J$2)</f>
        <v>0</v>
      </c>
      <c r="K135" s="1249" t="e">
        <f t="shared" si="15"/>
        <v>#DIV/0!</v>
      </c>
      <c r="L135" s="20">
        <f>COUNTIFS(STATUS!$G:$G,ФО!A135,STATUS!$N:$N,ФО!L$2)</f>
        <v>0</v>
      </c>
      <c r="M135" s="1249" t="e">
        <f t="shared" si="16"/>
        <v>#DIV/0!</v>
      </c>
      <c r="N135" s="20">
        <f>COUNTIFS(STATUS!$G:$G,ФО!A135,STATUS!$N:$N,ФО!N$2)</f>
        <v>0</v>
      </c>
      <c r="O135" s="1249" t="e">
        <f t="shared" si="17"/>
        <v>#DIV/0!</v>
      </c>
    </row>
    <row r="136" spans="1:15" x14ac:dyDescent="0.3">
      <c r="A136" s="65" t="s">
        <v>11891</v>
      </c>
      <c r="B136" s="17" t="s">
        <v>11990</v>
      </c>
      <c r="C136" s="15" t="s">
        <v>12088</v>
      </c>
      <c r="D136" s="15" t="s">
        <v>12088</v>
      </c>
      <c r="E136" s="1344"/>
      <c r="F136" s="20">
        <f>COUNTIF(STATUS!$G:$G,ФО!A136)</f>
        <v>0</v>
      </c>
      <c r="G136" s="624">
        <f>F136/(COUNTA(STATUS!$A:$A)-1)</f>
        <v>0</v>
      </c>
      <c r="H136" s="20">
        <f>COUNTIFS(STATUS!$G:$G,ФО!A136,STATUS!H:H,"КАСКО")</f>
        <v>0</v>
      </c>
      <c r="I136" s="624">
        <f>H136/(COUNTIF(STATUS!H:H,"КАСКО"))</f>
        <v>0</v>
      </c>
      <c r="J136" s="20">
        <f>COUNTIFS(STATUS!$G:$G,ФО!A136,STATUS!$N:$N,ФО!J$2)</f>
        <v>0</v>
      </c>
      <c r="K136" s="1249" t="e">
        <f t="shared" si="15"/>
        <v>#DIV/0!</v>
      </c>
      <c r="L136" s="20">
        <f>COUNTIFS(STATUS!$G:$G,ФО!A136,STATUS!$N:$N,ФО!L$2)</f>
        <v>0</v>
      </c>
      <c r="M136" s="1249" t="e">
        <f t="shared" si="16"/>
        <v>#DIV/0!</v>
      </c>
      <c r="N136" s="20">
        <f>COUNTIFS(STATUS!$G:$G,ФО!A136,STATUS!$N:$N,ФО!N$2)</f>
        <v>0</v>
      </c>
      <c r="O136" s="1249" t="e">
        <f t="shared" si="17"/>
        <v>#DIV/0!</v>
      </c>
    </row>
    <row r="137" spans="1:15" x14ac:dyDescent="0.3">
      <c r="A137" s="65" t="s">
        <v>11892</v>
      </c>
      <c r="B137" s="17" t="s">
        <v>11991</v>
      </c>
      <c r="C137" s="15" t="s">
        <v>12089</v>
      </c>
      <c r="D137" s="15" t="s">
        <v>12089</v>
      </c>
      <c r="E137" s="1344">
        <v>38896</v>
      </c>
      <c r="F137" s="20">
        <f>COUNTIF(STATUS!$G:$G,ФО!A137)</f>
        <v>0</v>
      </c>
      <c r="G137" s="624">
        <f>F137/(COUNTA(STATUS!$A:$A)-1)</f>
        <v>0</v>
      </c>
      <c r="H137" s="20">
        <f>COUNTIFS(STATUS!$G:$G,ФО!A137,STATUS!H:H,"КАСКО")</f>
        <v>0</v>
      </c>
      <c r="I137" s="624">
        <f>H137/(COUNTIF(STATUS!H:H,"КАСКО"))</f>
        <v>0</v>
      </c>
      <c r="J137" s="20">
        <f>COUNTIFS(STATUS!$G:$G,ФО!A137,STATUS!$N:$N,ФО!J$2)</f>
        <v>0</v>
      </c>
      <c r="K137" s="1249" t="e">
        <f t="shared" si="15"/>
        <v>#DIV/0!</v>
      </c>
      <c r="L137" s="20">
        <f>COUNTIFS(STATUS!$G:$G,ФО!A137,STATUS!$N:$N,ФО!L$2)</f>
        <v>0</v>
      </c>
      <c r="M137" s="1249" t="e">
        <f t="shared" si="16"/>
        <v>#DIV/0!</v>
      </c>
      <c r="N137" s="20">
        <f>COUNTIFS(STATUS!$G:$G,ФО!A137,STATUS!$N:$N,ФО!N$2)</f>
        <v>0</v>
      </c>
      <c r="O137" s="1249" t="e">
        <f t="shared" si="17"/>
        <v>#DIV/0!</v>
      </c>
    </row>
    <row r="138" spans="1:15" x14ac:dyDescent="0.3">
      <c r="A138" s="65" t="s">
        <v>11893</v>
      </c>
      <c r="B138" s="17" t="s">
        <v>11992</v>
      </c>
      <c r="C138" s="15" t="s">
        <v>12090</v>
      </c>
      <c r="D138" s="15" t="s">
        <v>12090</v>
      </c>
      <c r="E138" s="1344"/>
      <c r="F138" s="20">
        <f>COUNTIF(STATUS!$G:$G,ФО!A138)</f>
        <v>0</v>
      </c>
      <c r="G138" s="624">
        <f>F138/(COUNTA(STATUS!$A:$A)-1)</f>
        <v>0</v>
      </c>
      <c r="H138" s="20">
        <f>COUNTIFS(STATUS!$G:$G,ФО!A138,STATUS!H:H,"КАСКО")</f>
        <v>0</v>
      </c>
      <c r="I138" s="624">
        <f>H138/(COUNTIF(STATUS!H:H,"КАСКО"))</f>
        <v>0</v>
      </c>
      <c r="J138" s="20">
        <f>COUNTIFS(STATUS!$G:$G,ФО!A138,STATUS!$N:$N,ФО!J$2)</f>
        <v>0</v>
      </c>
      <c r="K138" s="1249" t="e">
        <f t="shared" si="15"/>
        <v>#DIV/0!</v>
      </c>
      <c r="L138" s="20">
        <f>COUNTIFS(STATUS!$G:$G,ФО!A138,STATUS!$N:$N,ФО!L$2)</f>
        <v>0</v>
      </c>
      <c r="M138" s="1249" t="e">
        <f t="shared" si="16"/>
        <v>#DIV/0!</v>
      </c>
      <c r="N138" s="20">
        <f>COUNTIFS(STATUS!$G:$G,ФО!A138,STATUS!$N:$N,ФО!N$2)</f>
        <v>0</v>
      </c>
      <c r="O138" s="1249" t="e">
        <f t="shared" si="17"/>
        <v>#DIV/0!</v>
      </c>
    </row>
    <row r="139" spans="1:15" x14ac:dyDescent="0.3">
      <c r="A139" s="65" t="s">
        <v>11894</v>
      </c>
      <c r="B139" s="17" t="s">
        <v>11993</v>
      </c>
      <c r="C139" s="15" t="s">
        <v>12091</v>
      </c>
      <c r="D139" s="15" t="s">
        <v>12091</v>
      </c>
      <c r="E139" s="1344"/>
      <c r="F139" s="20">
        <f>COUNTIF(STATUS!$G:$G,ФО!A139)</f>
        <v>0</v>
      </c>
      <c r="G139" s="624">
        <f>F139/(COUNTA(STATUS!$A:$A)-1)</f>
        <v>0</v>
      </c>
      <c r="H139" s="20">
        <f>COUNTIFS(STATUS!$G:$G,ФО!A139,STATUS!H:H,"КАСКО")</f>
        <v>0</v>
      </c>
      <c r="I139" s="624">
        <f>H139/(COUNTIF(STATUS!H:H,"КАСКО"))</f>
        <v>0</v>
      </c>
      <c r="J139" s="20">
        <f>COUNTIFS(STATUS!$G:$G,ФО!A139,STATUS!$N:$N,ФО!J$2)</f>
        <v>0</v>
      </c>
      <c r="K139" s="1249" t="e">
        <f t="shared" si="15"/>
        <v>#DIV/0!</v>
      </c>
      <c r="L139" s="20">
        <f>COUNTIFS(STATUS!$G:$G,ФО!A139,STATUS!$N:$N,ФО!L$2)</f>
        <v>0</v>
      </c>
      <c r="M139" s="1249" t="e">
        <f t="shared" si="16"/>
        <v>#DIV/0!</v>
      </c>
      <c r="N139" s="20">
        <f>COUNTIFS(STATUS!$G:$G,ФО!A139,STATUS!$N:$N,ФО!N$2)</f>
        <v>0</v>
      </c>
      <c r="O139" s="1249" t="e">
        <f t="shared" si="17"/>
        <v>#DIV/0!</v>
      </c>
    </row>
    <row r="140" spans="1:15" x14ac:dyDescent="0.3">
      <c r="A140" s="65" t="s">
        <v>11895</v>
      </c>
      <c r="B140" s="17" t="s">
        <v>11994</v>
      </c>
      <c r="C140" s="15" t="s">
        <v>12092</v>
      </c>
      <c r="D140" s="15" t="s">
        <v>12092</v>
      </c>
      <c r="E140" s="1344"/>
      <c r="F140" s="20">
        <f>COUNTIF(STATUS!$G:$G,ФО!A140)</f>
        <v>0</v>
      </c>
      <c r="G140" s="624">
        <f>F140/(COUNTA(STATUS!$A:$A)-1)</f>
        <v>0</v>
      </c>
      <c r="H140" s="20">
        <f>COUNTIFS(STATUS!$G:$G,ФО!A140,STATUS!H:H,"КАСКО")</f>
        <v>0</v>
      </c>
      <c r="I140" s="624">
        <f>H140/(COUNTIF(STATUS!H:H,"КАСКО"))</f>
        <v>0</v>
      </c>
      <c r="J140" s="20">
        <f>COUNTIFS(STATUS!$G:$G,ФО!A140,STATUS!$N:$N,ФО!J$2)</f>
        <v>0</v>
      </c>
      <c r="K140" s="1249" t="e">
        <f t="shared" si="15"/>
        <v>#DIV/0!</v>
      </c>
      <c r="L140" s="20">
        <f>COUNTIFS(STATUS!$G:$G,ФО!A140,STATUS!$N:$N,ФО!L$2)</f>
        <v>0</v>
      </c>
      <c r="M140" s="1249" t="e">
        <f t="shared" si="16"/>
        <v>#DIV/0!</v>
      </c>
      <c r="N140" s="20">
        <f>COUNTIFS(STATUS!$G:$G,ФО!A140,STATUS!$N:$N,ФО!N$2)</f>
        <v>0</v>
      </c>
      <c r="O140" s="1249" t="e">
        <f t="shared" si="17"/>
        <v>#DIV/0!</v>
      </c>
    </row>
    <row r="141" spans="1:15" x14ac:dyDescent="0.3">
      <c r="A141" s="65" t="s">
        <v>11896</v>
      </c>
      <c r="B141" s="17" t="s">
        <v>11995</v>
      </c>
      <c r="C141" s="15" t="s">
        <v>12093</v>
      </c>
      <c r="D141" s="15" t="s">
        <v>12093</v>
      </c>
      <c r="E141" s="1344"/>
      <c r="F141" s="20">
        <f>COUNTIF(STATUS!$G:$G,ФО!A141)</f>
        <v>0</v>
      </c>
      <c r="G141" s="624">
        <f>F141/(COUNTA(STATUS!$A:$A)-1)</f>
        <v>0</v>
      </c>
      <c r="H141" s="20">
        <f>COUNTIFS(STATUS!$G:$G,ФО!A141,STATUS!H:H,"КАСКО")</f>
        <v>0</v>
      </c>
      <c r="I141" s="624">
        <f>H141/(COUNTIF(STATUS!H:H,"КАСКО"))</f>
        <v>0</v>
      </c>
      <c r="J141" s="20">
        <f>COUNTIFS(STATUS!$G:$G,ФО!A141,STATUS!$N:$N,ФО!J$2)</f>
        <v>0</v>
      </c>
      <c r="K141" s="1249" t="e">
        <f t="shared" si="15"/>
        <v>#DIV/0!</v>
      </c>
      <c r="L141" s="20">
        <f>COUNTIFS(STATUS!$G:$G,ФО!A141,STATUS!$N:$N,ФО!L$2)</f>
        <v>0</v>
      </c>
      <c r="M141" s="1249" t="e">
        <f t="shared" si="16"/>
        <v>#DIV/0!</v>
      </c>
      <c r="N141" s="20">
        <f>COUNTIFS(STATUS!$G:$G,ФО!A141,STATUS!$N:$N,ФО!N$2)</f>
        <v>0</v>
      </c>
      <c r="O141" s="1249" t="e">
        <f t="shared" si="17"/>
        <v>#DIV/0!</v>
      </c>
    </row>
    <row r="142" spans="1:15" x14ac:dyDescent="0.3">
      <c r="A142" s="65" t="s">
        <v>11897</v>
      </c>
      <c r="B142" s="17" t="s">
        <v>11996</v>
      </c>
      <c r="C142" s="15" t="s">
        <v>12094</v>
      </c>
      <c r="D142" s="15" t="s">
        <v>12094</v>
      </c>
      <c r="E142" s="1344">
        <v>37943</v>
      </c>
      <c r="F142" s="20">
        <f>COUNTIF(STATUS!$G:$G,ФО!A142)</f>
        <v>0</v>
      </c>
      <c r="G142" s="624">
        <f>F142/(COUNTA(STATUS!$A:$A)-1)</f>
        <v>0</v>
      </c>
      <c r="H142" s="20">
        <f>COUNTIFS(STATUS!$G:$G,ФО!A142,STATUS!H:H,"КАСКО")</f>
        <v>0</v>
      </c>
      <c r="I142" s="624">
        <f>H142/(COUNTIF(STATUS!H:H,"КАСКО"))</f>
        <v>0</v>
      </c>
      <c r="J142" s="20">
        <f>COUNTIFS(STATUS!$G:$G,ФО!A142,STATUS!$N:$N,ФО!J$2)</f>
        <v>0</v>
      </c>
      <c r="K142" s="1249" t="e">
        <f t="shared" si="15"/>
        <v>#DIV/0!</v>
      </c>
      <c r="L142" s="20">
        <f>COUNTIFS(STATUS!$G:$G,ФО!A142,STATUS!$N:$N,ФО!L$2)</f>
        <v>0</v>
      </c>
      <c r="M142" s="1249" t="e">
        <f t="shared" si="16"/>
        <v>#DIV/0!</v>
      </c>
      <c r="N142" s="20">
        <f>COUNTIFS(STATUS!$G:$G,ФО!A142,STATUS!$N:$N,ФО!N$2)</f>
        <v>0</v>
      </c>
      <c r="O142" s="1249" t="e">
        <f t="shared" si="17"/>
        <v>#DIV/0!</v>
      </c>
    </row>
    <row r="143" spans="1:15" x14ac:dyDescent="0.3">
      <c r="A143" s="65" t="s">
        <v>11898</v>
      </c>
      <c r="B143" s="17" t="s">
        <v>11997</v>
      </c>
      <c r="C143" s="15" t="s">
        <v>12095</v>
      </c>
      <c r="D143" s="15" t="s">
        <v>12095</v>
      </c>
      <c r="E143" s="1344">
        <v>33736</v>
      </c>
      <c r="F143" s="20">
        <f>COUNTIF(STATUS!$G:$G,ФО!A143)</f>
        <v>0</v>
      </c>
      <c r="G143" s="624">
        <f>F143/(COUNTA(STATUS!$A:$A)-1)</f>
        <v>0</v>
      </c>
      <c r="H143" s="20">
        <f>COUNTIFS(STATUS!$G:$G,ФО!A143,STATUS!H:H,"КАСКО")</f>
        <v>0</v>
      </c>
      <c r="I143" s="624">
        <f>H143/(COUNTIF(STATUS!H:H,"КАСКО"))</f>
        <v>0</v>
      </c>
      <c r="J143" s="20">
        <f>COUNTIFS(STATUS!$G:$G,ФО!A143,STATUS!$N:$N,ФО!J$2)</f>
        <v>0</v>
      </c>
      <c r="K143" s="1249" t="e">
        <f t="shared" si="15"/>
        <v>#DIV/0!</v>
      </c>
      <c r="L143" s="20">
        <f>COUNTIFS(STATUS!$G:$G,ФО!A143,STATUS!$N:$N,ФО!L$2)</f>
        <v>0</v>
      </c>
      <c r="M143" s="1249" t="e">
        <f t="shared" si="16"/>
        <v>#DIV/0!</v>
      </c>
      <c r="N143" s="20">
        <f>COUNTIFS(STATUS!$G:$G,ФО!A143,STATUS!$N:$N,ФО!N$2)</f>
        <v>0</v>
      </c>
      <c r="O143" s="1249" t="e">
        <f t="shared" si="17"/>
        <v>#DIV/0!</v>
      </c>
    </row>
    <row r="144" spans="1:15" x14ac:dyDescent="0.3">
      <c r="A144" s="65" t="s">
        <v>11899</v>
      </c>
      <c r="B144" s="17" t="s">
        <v>11998</v>
      </c>
      <c r="C144" s="15" t="s">
        <v>12096</v>
      </c>
      <c r="D144" s="15" t="s">
        <v>12096</v>
      </c>
      <c r="E144" s="1344">
        <v>41379</v>
      </c>
      <c r="F144" s="20">
        <f>COUNTIF(STATUS!$G:$G,ФО!A144)</f>
        <v>0</v>
      </c>
      <c r="G144" s="624">
        <f>F144/(COUNTA(STATUS!$A:$A)-1)</f>
        <v>0</v>
      </c>
      <c r="H144" s="20">
        <f>COUNTIFS(STATUS!$G:$G,ФО!A144,STATUS!H:H,"КАСКО")</f>
        <v>0</v>
      </c>
      <c r="I144" s="624">
        <f>H144/(COUNTIF(STATUS!H:H,"КАСКО"))</f>
        <v>0</v>
      </c>
      <c r="J144" s="20">
        <f>COUNTIFS(STATUS!$G:$G,ФО!A144,STATUS!$N:$N,ФО!J$2)</f>
        <v>0</v>
      </c>
      <c r="K144" s="1249" t="e">
        <f t="shared" si="15"/>
        <v>#DIV/0!</v>
      </c>
      <c r="L144" s="20">
        <f>COUNTIFS(STATUS!$G:$G,ФО!A144,STATUS!$N:$N,ФО!L$2)</f>
        <v>0</v>
      </c>
      <c r="M144" s="1249" t="e">
        <f t="shared" si="16"/>
        <v>#DIV/0!</v>
      </c>
      <c r="N144" s="20">
        <f>COUNTIFS(STATUS!$G:$G,ФО!A144,STATUS!$N:$N,ФО!N$2)</f>
        <v>0</v>
      </c>
      <c r="O144" s="1249" t="e">
        <f t="shared" si="17"/>
        <v>#DIV/0!</v>
      </c>
    </row>
    <row r="145" spans="1:15" x14ac:dyDescent="0.3">
      <c r="A145" s="65" t="s">
        <v>11900</v>
      </c>
      <c r="B145" s="17" t="s">
        <v>11999</v>
      </c>
      <c r="C145" s="15" t="s">
        <v>12096</v>
      </c>
      <c r="D145" s="15" t="s">
        <v>12096</v>
      </c>
      <c r="E145" s="1344">
        <v>38910</v>
      </c>
      <c r="F145" s="20">
        <f>COUNTIF(STATUS!$G:$G,ФО!A145)</f>
        <v>0</v>
      </c>
      <c r="G145" s="624">
        <f>F145/(COUNTA(STATUS!$A:$A)-1)</f>
        <v>0</v>
      </c>
      <c r="H145" s="20">
        <f>COUNTIFS(STATUS!$G:$G,ФО!A145,STATUS!H:H,"КАСКО")</f>
        <v>0</v>
      </c>
      <c r="I145" s="624">
        <f>H145/(COUNTIF(STATUS!H:H,"КАСКО"))</f>
        <v>0</v>
      </c>
      <c r="J145" s="20">
        <f>COUNTIFS(STATUS!$G:$G,ФО!A145,STATUS!$N:$N,ФО!J$2)</f>
        <v>0</v>
      </c>
      <c r="K145" s="1249" t="e">
        <f t="shared" si="15"/>
        <v>#DIV/0!</v>
      </c>
      <c r="L145" s="20">
        <f>COUNTIFS(STATUS!$G:$G,ФО!A145,STATUS!$N:$N,ФО!L$2)</f>
        <v>0</v>
      </c>
      <c r="M145" s="1249" t="e">
        <f t="shared" si="16"/>
        <v>#DIV/0!</v>
      </c>
      <c r="N145" s="20">
        <f>COUNTIFS(STATUS!$G:$G,ФО!A145,STATUS!$N:$N,ФО!N$2)</f>
        <v>0</v>
      </c>
      <c r="O145" s="1249" t="e">
        <f t="shared" si="17"/>
        <v>#DIV/0!</v>
      </c>
    </row>
    <row r="146" spans="1:15" x14ac:dyDescent="0.3">
      <c r="A146" s="65" t="s">
        <v>11901</v>
      </c>
      <c r="B146" s="17" t="s">
        <v>12000</v>
      </c>
      <c r="C146" s="15" t="s">
        <v>12097</v>
      </c>
      <c r="D146" s="15" t="s">
        <v>12097</v>
      </c>
      <c r="E146" s="1344">
        <v>37252</v>
      </c>
      <c r="F146" s="20">
        <f>COUNTIF(STATUS!$G:$G,ФО!A146)</f>
        <v>0</v>
      </c>
      <c r="G146" s="624">
        <f>F146/(COUNTA(STATUS!$A:$A)-1)</f>
        <v>0</v>
      </c>
      <c r="H146" s="20">
        <f>COUNTIFS(STATUS!$G:$G,ФО!A146,STATUS!H:H,"КАСКО")</f>
        <v>0</v>
      </c>
      <c r="I146" s="624">
        <f>H146/(COUNTIF(STATUS!H:H,"КАСКО"))</f>
        <v>0</v>
      </c>
      <c r="J146" s="20">
        <f>COUNTIFS(STATUS!$G:$G,ФО!A146,STATUS!$N:$N,ФО!J$2)</f>
        <v>0</v>
      </c>
      <c r="K146" s="1249" t="e">
        <f t="shared" si="15"/>
        <v>#DIV/0!</v>
      </c>
      <c r="L146" s="20">
        <f>COUNTIFS(STATUS!$G:$G,ФО!A146,STATUS!$N:$N,ФО!L$2)</f>
        <v>0</v>
      </c>
      <c r="M146" s="1249" t="e">
        <f t="shared" si="16"/>
        <v>#DIV/0!</v>
      </c>
      <c r="N146" s="20">
        <f>COUNTIFS(STATUS!$G:$G,ФО!A146,STATUS!$N:$N,ФО!N$2)</f>
        <v>0</v>
      </c>
      <c r="O146" s="1249" t="e">
        <f t="shared" si="17"/>
        <v>#DIV/0!</v>
      </c>
    </row>
    <row r="147" spans="1:15" x14ac:dyDescent="0.3">
      <c r="A147" s="65" t="s">
        <v>11902</v>
      </c>
      <c r="B147" s="17" t="s">
        <v>12001</v>
      </c>
      <c r="C147" s="15" t="s">
        <v>12098</v>
      </c>
      <c r="D147" s="15" t="s">
        <v>12098</v>
      </c>
      <c r="E147" s="1344">
        <v>38022</v>
      </c>
      <c r="F147" s="20">
        <f>COUNTIF(STATUS!$G:$G,ФО!A147)</f>
        <v>0</v>
      </c>
      <c r="G147" s="624">
        <f>F147/(COUNTA(STATUS!$A:$A)-1)</f>
        <v>0</v>
      </c>
      <c r="H147" s="20">
        <f>COUNTIFS(STATUS!$G:$G,ФО!A147,STATUS!H:H,"КАСКО")</f>
        <v>0</v>
      </c>
      <c r="I147" s="624">
        <f>H147/(COUNTIF(STATUS!H:H,"КАСКО"))</f>
        <v>0</v>
      </c>
      <c r="J147" s="20">
        <f>COUNTIFS(STATUS!$G:$G,ФО!A147,STATUS!$N:$N,ФО!J$2)</f>
        <v>0</v>
      </c>
      <c r="K147" s="1249" t="e">
        <f t="shared" si="15"/>
        <v>#DIV/0!</v>
      </c>
      <c r="L147" s="20">
        <f>COUNTIFS(STATUS!$G:$G,ФО!A147,STATUS!$N:$N,ФО!L$2)</f>
        <v>0</v>
      </c>
      <c r="M147" s="1249" t="e">
        <f t="shared" si="16"/>
        <v>#DIV/0!</v>
      </c>
      <c r="N147" s="20">
        <f>COUNTIFS(STATUS!$G:$G,ФО!A147,STATUS!$N:$N,ФО!N$2)</f>
        <v>0</v>
      </c>
      <c r="O147" s="1249" t="e">
        <f t="shared" si="17"/>
        <v>#DIV/0!</v>
      </c>
    </row>
    <row r="148" spans="1:15" x14ac:dyDescent="0.3">
      <c r="A148" s="65" t="s">
        <v>11903</v>
      </c>
      <c r="B148" s="17" t="s">
        <v>12002</v>
      </c>
      <c r="C148" s="15" t="s">
        <v>12099</v>
      </c>
      <c r="D148" s="15" t="s">
        <v>12099</v>
      </c>
      <c r="E148" s="1344">
        <v>36938</v>
      </c>
      <c r="F148" s="20">
        <f>COUNTIF(STATUS!$G:$G,ФО!A148)</f>
        <v>0</v>
      </c>
      <c r="G148" s="624">
        <f>F148/(COUNTA(STATUS!$A:$A)-1)</f>
        <v>0</v>
      </c>
      <c r="H148" s="20">
        <f>COUNTIFS(STATUS!$G:$G,ФО!A148,STATUS!H:H,"КАСКО")</f>
        <v>0</v>
      </c>
      <c r="I148" s="624">
        <f>H148/(COUNTIF(STATUS!H:H,"КАСКО"))</f>
        <v>0</v>
      </c>
      <c r="J148" s="20">
        <f>COUNTIFS(STATUS!$G:$G,ФО!A148,STATUS!$N:$N,ФО!J$2)</f>
        <v>0</v>
      </c>
      <c r="K148" s="1249" t="e">
        <f t="shared" si="15"/>
        <v>#DIV/0!</v>
      </c>
      <c r="L148" s="20">
        <f>COUNTIFS(STATUS!$G:$G,ФО!A148,STATUS!$N:$N,ФО!L$2)</f>
        <v>0</v>
      </c>
      <c r="M148" s="1249" t="e">
        <f t="shared" si="16"/>
        <v>#DIV/0!</v>
      </c>
      <c r="N148" s="20">
        <f>COUNTIFS(STATUS!$G:$G,ФО!A148,STATUS!$N:$N,ФО!N$2)</f>
        <v>0</v>
      </c>
      <c r="O148" s="1249" t="e">
        <f t="shared" si="17"/>
        <v>#DIV/0!</v>
      </c>
    </row>
    <row r="149" spans="1:15" x14ac:dyDescent="0.3">
      <c r="A149" s="65" t="s">
        <v>11904</v>
      </c>
      <c r="B149" s="17" t="s">
        <v>12003</v>
      </c>
      <c r="C149" s="15" t="s">
        <v>12100</v>
      </c>
      <c r="D149" s="15" t="s">
        <v>12100</v>
      </c>
      <c r="E149" s="1344"/>
      <c r="F149" s="20">
        <f>COUNTIF(STATUS!$G:$G,ФО!A149)</f>
        <v>0</v>
      </c>
      <c r="G149" s="624">
        <f>F149/(COUNTA(STATUS!$A:$A)-1)</f>
        <v>0</v>
      </c>
      <c r="H149" s="20">
        <f>COUNTIFS(STATUS!$G:$G,ФО!A149,STATUS!H:H,"КАСКО")</f>
        <v>0</v>
      </c>
      <c r="I149" s="624">
        <f>H149/(COUNTIF(STATUS!H:H,"КАСКО"))</f>
        <v>0</v>
      </c>
      <c r="J149" s="20">
        <f>COUNTIFS(STATUS!$G:$G,ФО!A149,STATUS!$N:$N,ФО!J$2)</f>
        <v>0</v>
      </c>
      <c r="K149" s="1249" t="e">
        <f t="shared" si="15"/>
        <v>#DIV/0!</v>
      </c>
      <c r="L149" s="20">
        <f>COUNTIFS(STATUS!$G:$G,ФО!A149,STATUS!$N:$N,ФО!L$2)</f>
        <v>0</v>
      </c>
      <c r="M149" s="1249" t="e">
        <f t="shared" si="16"/>
        <v>#DIV/0!</v>
      </c>
      <c r="N149" s="20">
        <f>COUNTIFS(STATUS!$G:$G,ФО!A149,STATUS!$N:$N,ФО!N$2)</f>
        <v>0</v>
      </c>
      <c r="O149" s="1249" t="e">
        <f t="shared" si="17"/>
        <v>#DIV/0!</v>
      </c>
    </row>
    <row r="150" spans="1:15" x14ac:dyDescent="0.3">
      <c r="A150" s="65" t="s">
        <v>11905</v>
      </c>
      <c r="B150" s="17" t="s">
        <v>12004</v>
      </c>
      <c r="C150" s="15" t="s">
        <v>12101</v>
      </c>
      <c r="D150" s="15" t="s">
        <v>12101</v>
      </c>
      <c r="E150" s="1344"/>
      <c r="F150" s="20">
        <f>COUNTIF(STATUS!$G:$G,ФО!A150)</f>
        <v>0</v>
      </c>
      <c r="G150" s="624">
        <f>F150/(COUNTA(STATUS!$A:$A)-1)</f>
        <v>0</v>
      </c>
      <c r="H150" s="20">
        <f>COUNTIFS(STATUS!$G:$G,ФО!A150,STATUS!H:H,"КАСКО")</f>
        <v>0</v>
      </c>
      <c r="I150" s="624">
        <f>H150/(COUNTIF(STATUS!H:H,"КАСКО"))</f>
        <v>0</v>
      </c>
      <c r="J150" s="20">
        <f>COUNTIFS(STATUS!$G:$G,ФО!A150,STATUS!$N:$N,ФО!J$2)</f>
        <v>0</v>
      </c>
      <c r="K150" s="1249" t="e">
        <f t="shared" si="15"/>
        <v>#DIV/0!</v>
      </c>
      <c r="L150" s="20">
        <f>COUNTIFS(STATUS!$G:$G,ФО!A150,STATUS!$N:$N,ФО!L$2)</f>
        <v>0</v>
      </c>
      <c r="M150" s="1249" t="e">
        <f t="shared" si="16"/>
        <v>#DIV/0!</v>
      </c>
      <c r="N150" s="20">
        <f>COUNTIFS(STATUS!$G:$G,ФО!A150,STATUS!$N:$N,ФО!N$2)</f>
        <v>0</v>
      </c>
      <c r="O150" s="1249" t="e">
        <f t="shared" si="17"/>
        <v>#DIV/0!</v>
      </c>
    </row>
    <row r="151" spans="1:15" x14ac:dyDescent="0.3">
      <c r="A151" s="65" t="s">
        <v>11906</v>
      </c>
      <c r="B151" s="17" t="s">
        <v>12005</v>
      </c>
      <c r="C151" s="15" t="s">
        <v>12102</v>
      </c>
      <c r="D151" s="15" t="s">
        <v>12102</v>
      </c>
      <c r="E151" s="1344"/>
      <c r="F151" s="20">
        <f>COUNTIF(STATUS!$G:$G,ФО!A151)</f>
        <v>0</v>
      </c>
      <c r="G151" s="624">
        <f>F151/(COUNTA(STATUS!$A:$A)-1)</f>
        <v>0</v>
      </c>
      <c r="H151" s="20">
        <f>COUNTIFS(STATUS!$G:$G,ФО!A151,STATUS!H:H,"КАСКО")</f>
        <v>0</v>
      </c>
      <c r="I151" s="624">
        <f>H151/(COUNTIF(STATUS!H:H,"КАСКО"))</f>
        <v>0</v>
      </c>
      <c r="J151" s="20">
        <f>COUNTIFS(STATUS!$G:$G,ФО!A151,STATUS!$N:$N,ФО!J$2)</f>
        <v>0</v>
      </c>
      <c r="K151" s="1249" t="e">
        <f t="shared" si="15"/>
        <v>#DIV/0!</v>
      </c>
      <c r="L151" s="20">
        <f>COUNTIFS(STATUS!$G:$G,ФО!A151,STATUS!$N:$N,ФО!L$2)</f>
        <v>0</v>
      </c>
      <c r="M151" s="1249" t="e">
        <f t="shared" si="16"/>
        <v>#DIV/0!</v>
      </c>
      <c r="N151" s="20">
        <f>COUNTIFS(STATUS!$G:$G,ФО!A151,STATUS!$N:$N,ФО!N$2)</f>
        <v>0</v>
      </c>
      <c r="O151" s="1249" t="e">
        <f t="shared" si="17"/>
        <v>#DIV/0!</v>
      </c>
    </row>
    <row r="152" spans="1:15" x14ac:dyDescent="0.3">
      <c r="A152" s="65" t="s">
        <v>11907</v>
      </c>
      <c r="B152" s="17" t="s">
        <v>12006</v>
      </c>
      <c r="C152" s="15" t="s">
        <v>12103</v>
      </c>
      <c r="D152" s="15" t="s">
        <v>12103</v>
      </c>
      <c r="E152" s="1344">
        <v>37756</v>
      </c>
      <c r="F152" s="20">
        <f>COUNTIF(STATUS!$G:$G,ФО!A152)</f>
        <v>0</v>
      </c>
      <c r="G152" s="624">
        <f>F152/(COUNTA(STATUS!$A:$A)-1)</f>
        <v>0</v>
      </c>
      <c r="H152" s="20">
        <f>COUNTIFS(STATUS!$G:$G,ФО!A152,STATUS!H:H,"КАСКО")</f>
        <v>0</v>
      </c>
      <c r="I152" s="624">
        <f>H152/(COUNTIF(STATUS!H:H,"КАСКО"))</f>
        <v>0</v>
      </c>
      <c r="J152" s="20">
        <f>COUNTIFS(STATUS!$G:$G,ФО!A152,STATUS!$N:$N,ФО!J$2)</f>
        <v>0</v>
      </c>
      <c r="K152" s="1249" t="e">
        <f t="shared" si="15"/>
        <v>#DIV/0!</v>
      </c>
      <c r="L152" s="20">
        <f>COUNTIFS(STATUS!$G:$G,ФО!A152,STATUS!$N:$N,ФО!L$2)</f>
        <v>0</v>
      </c>
      <c r="M152" s="1249" t="e">
        <f t="shared" si="16"/>
        <v>#DIV/0!</v>
      </c>
      <c r="N152" s="20">
        <f>COUNTIFS(STATUS!$G:$G,ФО!A152,STATUS!$N:$N,ФО!N$2)</f>
        <v>0</v>
      </c>
      <c r="O152" s="1249" t="e">
        <f t="shared" si="17"/>
        <v>#DIV/0!</v>
      </c>
    </row>
    <row r="153" spans="1:15" x14ac:dyDescent="0.3">
      <c r="A153" s="65" t="s">
        <v>11908</v>
      </c>
      <c r="B153" s="17" t="s">
        <v>12007</v>
      </c>
      <c r="C153" s="15" t="s">
        <v>12104</v>
      </c>
      <c r="D153" s="15" t="s">
        <v>12104</v>
      </c>
      <c r="E153" s="1344">
        <v>35472</v>
      </c>
      <c r="F153" s="20">
        <f>COUNTIF(STATUS!$G:$G,ФО!A153)</f>
        <v>0</v>
      </c>
      <c r="G153" s="624">
        <f>F153/(COUNTA(STATUS!$A:$A)-1)</f>
        <v>0</v>
      </c>
      <c r="H153" s="20">
        <f>COUNTIFS(STATUS!$G:$G,ФО!A153,STATUS!H:H,"КАСКО")</f>
        <v>0</v>
      </c>
      <c r="I153" s="624">
        <f>H153/(COUNTIF(STATUS!H:H,"КАСКО"))</f>
        <v>0</v>
      </c>
      <c r="J153" s="20">
        <f>COUNTIFS(STATUS!$G:$G,ФО!A153,STATUS!$N:$N,ФО!J$2)</f>
        <v>0</v>
      </c>
      <c r="K153" s="1249" t="e">
        <f t="shared" si="15"/>
        <v>#DIV/0!</v>
      </c>
      <c r="L153" s="20">
        <f>COUNTIFS(STATUS!$G:$G,ФО!A153,STATUS!$N:$N,ФО!L$2)</f>
        <v>0</v>
      </c>
      <c r="M153" s="1249" t="e">
        <f t="shared" si="16"/>
        <v>#DIV/0!</v>
      </c>
      <c r="N153" s="20">
        <f>COUNTIFS(STATUS!$G:$G,ФО!A153,STATUS!$N:$N,ФО!N$2)</f>
        <v>0</v>
      </c>
      <c r="O153" s="1249" t="e">
        <f t="shared" si="17"/>
        <v>#DIV/0!</v>
      </c>
    </row>
    <row r="154" spans="1:15" x14ac:dyDescent="0.3">
      <c r="A154" s="65" t="s">
        <v>11909</v>
      </c>
      <c r="B154" s="17" t="s">
        <v>12008</v>
      </c>
      <c r="C154" s="15" t="s">
        <v>12105</v>
      </c>
      <c r="D154" s="15" t="s">
        <v>12105</v>
      </c>
      <c r="E154" s="1344">
        <v>36826</v>
      </c>
      <c r="F154" s="20">
        <f>COUNTIF(STATUS!$G:$G,ФО!A154)</f>
        <v>0</v>
      </c>
      <c r="G154" s="624">
        <f>F154/(COUNTA(STATUS!$A:$A)-1)</f>
        <v>0</v>
      </c>
      <c r="H154" s="20">
        <f>COUNTIFS(STATUS!$G:$G,ФО!A154,STATUS!H:H,"КАСКО")</f>
        <v>0</v>
      </c>
      <c r="I154" s="624">
        <f>H154/(COUNTIF(STATUS!H:H,"КАСКО"))</f>
        <v>0</v>
      </c>
      <c r="J154" s="20">
        <f>COUNTIFS(STATUS!$G:$G,ФО!A154,STATUS!$N:$N,ФО!J$2)</f>
        <v>0</v>
      </c>
      <c r="K154" s="1249" t="e">
        <f t="shared" si="15"/>
        <v>#DIV/0!</v>
      </c>
      <c r="L154" s="20">
        <f>COUNTIFS(STATUS!$G:$G,ФО!A154,STATUS!$N:$N,ФО!L$2)</f>
        <v>0</v>
      </c>
      <c r="M154" s="1249" t="e">
        <f t="shared" si="16"/>
        <v>#DIV/0!</v>
      </c>
      <c r="N154" s="20">
        <f>COUNTIFS(STATUS!$G:$G,ФО!A154,STATUS!$N:$N,ФО!N$2)</f>
        <v>0</v>
      </c>
      <c r="O154" s="1249" t="e">
        <f t="shared" si="17"/>
        <v>#DIV/0!</v>
      </c>
    </row>
    <row r="155" spans="1:15" x14ac:dyDescent="0.3">
      <c r="A155" s="65" t="s">
        <v>11910</v>
      </c>
      <c r="B155" s="17" t="s">
        <v>12009</v>
      </c>
      <c r="C155" s="15" t="s">
        <v>12106</v>
      </c>
      <c r="D155" s="15" t="s">
        <v>12106</v>
      </c>
      <c r="E155" s="1344"/>
      <c r="F155" s="20">
        <f>COUNTIF(STATUS!$G:$G,ФО!A155)</f>
        <v>0</v>
      </c>
      <c r="G155" s="624">
        <f>F155/(COUNTA(STATUS!$A:$A)-1)</f>
        <v>0</v>
      </c>
      <c r="H155" s="20">
        <f>COUNTIFS(STATUS!$G:$G,ФО!A155,STATUS!H:H,"КАСКО")</f>
        <v>0</v>
      </c>
      <c r="I155" s="624">
        <f>H155/(COUNTIF(STATUS!H:H,"КАСКО"))</f>
        <v>0</v>
      </c>
      <c r="J155" s="20">
        <f>COUNTIFS(STATUS!$G:$G,ФО!A155,STATUS!$N:$N,ФО!J$2)</f>
        <v>0</v>
      </c>
      <c r="K155" s="1249" t="e">
        <f t="shared" si="15"/>
        <v>#DIV/0!</v>
      </c>
      <c r="L155" s="20">
        <f>COUNTIFS(STATUS!$G:$G,ФО!A155,STATUS!$N:$N,ФО!L$2)</f>
        <v>0</v>
      </c>
      <c r="M155" s="1249" t="e">
        <f t="shared" si="16"/>
        <v>#DIV/0!</v>
      </c>
      <c r="N155" s="20">
        <f>COUNTIFS(STATUS!$G:$G,ФО!A155,STATUS!$N:$N,ФО!N$2)</f>
        <v>0</v>
      </c>
      <c r="O155" s="1249" t="e">
        <f t="shared" si="17"/>
        <v>#DIV/0!</v>
      </c>
    </row>
    <row r="156" spans="1:15" x14ac:dyDescent="0.3">
      <c r="A156" s="65" t="s">
        <v>11911</v>
      </c>
      <c r="B156" s="17" t="s">
        <v>12010</v>
      </c>
      <c r="C156" s="15" t="s">
        <v>12107</v>
      </c>
      <c r="D156" s="15" t="s">
        <v>12107</v>
      </c>
      <c r="E156" s="1344">
        <v>34030</v>
      </c>
      <c r="F156" s="20">
        <f>COUNTIF(STATUS!$G:$G,ФО!A156)</f>
        <v>0</v>
      </c>
      <c r="G156" s="624">
        <f>F156/(COUNTA(STATUS!$A:$A)-1)</f>
        <v>0</v>
      </c>
      <c r="H156" s="20">
        <f>COUNTIFS(STATUS!$G:$G,ФО!A156,STATUS!H:H,"КАСКО")</f>
        <v>0</v>
      </c>
      <c r="I156" s="624">
        <f>H156/(COUNTIF(STATUS!H:H,"КАСКО"))</f>
        <v>0</v>
      </c>
      <c r="J156" s="20">
        <f>COUNTIFS(STATUS!$G:$G,ФО!A156,STATUS!$N:$N,ФО!J$2)</f>
        <v>0</v>
      </c>
      <c r="K156" s="1249" t="e">
        <f t="shared" si="15"/>
        <v>#DIV/0!</v>
      </c>
      <c r="L156" s="20">
        <f>COUNTIFS(STATUS!$G:$G,ФО!A156,STATUS!$N:$N,ФО!L$2)</f>
        <v>0</v>
      </c>
      <c r="M156" s="1249" t="e">
        <f t="shared" si="16"/>
        <v>#DIV/0!</v>
      </c>
      <c r="N156" s="20">
        <f>COUNTIFS(STATUS!$G:$G,ФО!A156,STATUS!$N:$N,ФО!N$2)</f>
        <v>0</v>
      </c>
      <c r="O156" s="1249" t="e">
        <f t="shared" si="17"/>
        <v>#DIV/0!</v>
      </c>
    </row>
    <row r="157" spans="1:15" x14ac:dyDescent="0.3">
      <c r="A157" s="65" t="s">
        <v>11912</v>
      </c>
      <c r="B157" s="17" t="s">
        <v>12011</v>
      </c>
      <c r="C157" s="15" t="s">
        <v>12108</v>
      </c>
      <c r="D157" s="15" t="s">
        <v>12108</v>
      </c>
      <c r="E157" s="1344"/>
      <c r="F157" s="20">
        <f>COUNTIF(STATUS!$G:$G,ФО!A157)</f>
        <v>0</v>
      </c>
      <c r="G157" s="624">
        <f>F157/(COUNTA(STATUS!$A:$A)-1)</f>
        <v>0</v>
      </c>
      <c r="H157" s="20">
        <f>COUNTIFS(STATUS!$G:$G,ФО!A157,STATUS!H:H,"КАСКО")</f>
        <v>0</v>
      </c>
      <c r="I157" s="624">
        <f>H157/(COUNTIF(STATUS!H:H,"КАСКО"))</f>
        <v>0</v>
      </c>
      <c r="J157" s="20">
        <f>COUNTIFS(STATUS!$G:$G,ФО!A157,STATUS!$N:$N,ФО!J$2)</f>
        <v>0</v>
      </c>
      <c r="K157" s="1249" t="e">
        <f t="shared" si="15"/>
        <v>#DIV/0!</v>
      </c>
      <c r="L157" s="20">
        <f>COUNTIFS(STATUS!$G:$G,ФО!A157,STATUS!$N:$N,ФО!L$2)</f>
        <v>0</v>
      </c>
      <c r="M157" s="1249" t="e">
        <f t="shared" si="16"/>
        <v>#DIV/0!</v>
      </c>
      <c r="N157" s="20">
        <f>COUNTIFS(STATUS!$G:$G,ФО!A157,STATUS!$N:$N,ФО!N$2)</f>
        <v>0</v>
      </c>
      <c r="O157" s="1249" t="e">
        <f t="shared" si="17"/>
        <v>#DIV/0!</v>
      </c>
    </row>
    <row r="158" spans="1:15" x14ac:dyDescent="0.3">
      <c r="B158" s="20"/>
      <c r="E158" s="1345"/>
    </row>
    <row r="159" spans="1:15" x14ac:dyDescent="0.3">
      <c r="B159" s="20"/>
      <c r="E159" s="1345"/>
    </row>
    <row r="160" spans="1:15" x14ac:dyDescent="0.3">
      <c r="B160" s="20"/>
      <c r="E160" s="1345"/>
    </row>
    <row r="161" spans="2:5" x14ac:dyDescent="0.3">
      <c r="B161" s="20"/>
      <c r="E161" s="1345"/>
    </row>
    <row r="162" spans="2:5" x14ac:dyDescent="0.3">
      <c r="B162" s="20"/>
      <c r="E162" s="1345"/>
    </row>
    <row r="163" spans="2:5" x14ac:dyDescent="0.3">
      <c r="B163" s="20"/>
      <c r="E163" s="1345"/>
    </row>
    <row r="164" spans="2:5" x14ac:dyDescent="0.3">
      <c r="B164" s="20"/>
      <c r="E164" s="1345"/>
    </row>
    <row r="165" spans="2:5" x14ac:dyDescent="0.3">
      <c r="B165" s="20"/>
      <c r="E165" s="1345"/>
    </row>
    <row r="166" spans="2:5" x14ac:dyDescent="0.3">
      <c r="B166" s="20"/>
      <c r="E166" s="1345"/>
    </row>
    <row r="167" spans="2:5" x14ac:dyDescent="0.3">
      <c r="B167" s="20"/>
      <c r="E167" s="1345"/>
    </row>
    <row r="168" spans="2:5" x14ac:dyDescent="0.3">
      <c r="B168" s="20"/>
      <c r="E168" s="1345"/>
    </row>
    <row r="169" spans="2:5" x14ac:dyDescent="0.3">
      <c r="B169" s="20"/>
      <c r="E169" s="1345"/>
    </row>
    <row r="170" spans="2:5" x14ac:dyDescent="0.3">
      <c r="B170" s="20"/>
      <c r="E170" s="1345"/>
    </row>
    <row r="171" spans="2:5" x14ac:dyDescent="0.3">
      <c r="B171" s="20"/>
      <c r="E171" s="1345"/>
    </row>
    <row r="172" spans="2:5" x14ac:dyDescent="0.3">
      <c r="B172" s="20"/>
      <c r="E172" s="1345"/>
    </row>
    <row r="173" spans="2:5" x14ac:dyDescent="0.3">
      <c r="B173" s="20"/>
      <c r="E173" s="1345"/>
    </row>
    <row r="174" spans="2:5" x14ac:dyDescent="0.3">
      <c r="B174" s="20"/>
      <c r="E174" s="1345"/>
    </row>
    <row r="175" spans="2:5" x14ac:dyDescent="0.3">
      <c r="B175" s="20"/>
      <c r="E175" s="1345"/>
    </row>
    <row r="176" spans="2:5" x14ac:dyDescent="0.3">
      <c r="B176" s="20"/>
      <c r="E176" s="1345"/>
    </row>
    <row r="177" spans="2:5" x14ac:dyDescent="0.3">
      <c r="B177" s="20"/>
      <c r="E177" s="1345"/>
    </row>
    <row r="178" spans="2:5" x14ac:dyDescent="0.3">
      <c r="B178" s="20"/>
      <c r="E178" s="1345"/>
    </row>
    <row r="179" spans="2:5" x14ac:dyDescent="0.3">
      <c r="B179" s="20"/>
      <c r="E179" s="1345"/>
    </row>
    <row r="180" spans="2:5" x14ac:dyDescent="0.3">
      <c r="B180" s="20"/>
      <c r="E180" s="1345"/>
    </row>
    <row r="181" spans="2:5" x14ac:dyDescent="0.3">
      <c r="B181" s="20"/>
      <c r="E181" s="1345"/>
    </row>
    <row r="182" spans="2:5" x14ac:dyDescent="0.3">
      <c r="B182" s="20"/>
      <c r="E182" s="1345"/>
    </row>
    <row r="183" spans="2:5" x14ac:dyDescent="0.3">
      <c r="B183" s="20"/>
      <c r="E183" s="1345"/>
    </row>
    <row r="184" spans="2:5" x14ac:dyDescent="0.3">
      <c r="B184" s="20"/>
      <c r="E184" s="1345"/>
    </row>
    <row r="185" spans="2:5" x14ac:dyDescent="0.3">
      <c r="B185" s="20"/>
      <c r="E185" s="1345"/>
    </row>
    <row r="186" spans="2:5" x14ac:dyDescent="0.3">
      <c r="B186" s="20"/>
      <c r="E186" s="1345"/>
    </row>
    <row r="187" spans="2:5" x14ac:dyDescent="0.3">
      <c r="B187" s="20"/>
      <c r="E187" s="1345"/>
    </row>
    <row r="188" spans="2:5" x14ac:dyDescent="0.3">
      <c r="B188" s="20"/>
      <c r="E188" s="1345"/>
    </row>
    <row r="189" spans="2:5" x14ac:dyDescent="0.3">
      <c r="B189" s="20"/>
      <c r="E189" s="1345"/>
    </row>
    <row r="190" spans="2:5" x14ac:dyDescent="0.3">
      <c r="B190" s="20"/>
      <c r="E190" s="1345"/>
    </row>
    <row r="191" spans="2:5" x14ac:dyDescent="0.3">
      <c r="B191" s="20"/>
      <c r="E191" s="1345"/>
    </row>
    <row r="192" spans="2:5" x14ac:dyDescent="0.3">
      <c r="B192" s="20"/>
      <c r="E192" s="1345"/>
    </row>
    <row r="193" spans="2:5" x14ac:dyDescent="0.3">
      <c r="B193" s="20"/>
      <c r="E193" s="1345"/>
    </row>
    <row r="194" spans="2:5" x14ac:dyDescent="0.3">
      <c r="B194" s="20"/>
      <c r="E194" s="1345"/>
    </row>
    <row r="195" spans="2:5" x14ac:dyDescent="0.3">
      <c r="B195" s="20"/>
      <c r="E195" s="1345"/>
    </row>
    <row r="196" spans="2:5" x14ac:dyDescent="0.3">
      <c r="B196" s="20"/>
      <c r="E196" s="1345"/>
    </row>
    <row r="197" spans="2:5" x14ac:dyDescent="0.3">
      <c r="B197" s="20"/>
      <c r="E197" s="1345"/>
    </row>
  </sheetData>
  <autoFilter ref="A2:E157">
    <sortState ref="A3:E120">
      <sortCondition ref="A2"/>
    </sortState>
  </autoFilter>
  <mergeCells count="4">
    <mergeCell ref="J2:K2"/>
    <mergeCell ref="L2:M2"/>
    <mergeCell ref="N2:O2"/>
    <mergeCell ref="A1:O1"/>
  </mergeCells>
  <conditionalFormatting sqref="G2:G1048576">
    <cfRule type="colorScale" priority="8">
      <colorScale>
        <cfvo type="min"/>
        <cfvo type="percentile" val="50"/>
        <cfvo type="max"/>
        <color rgb="FF63BE7B"/>
        <color rgb="FFFFEB84"/>
        <color rgb="FFF8696B"/>
      </colorScale>
    </cfRule>
  </conditionalFormatting>
  <conditionalFormatting sqref="I2">
    <cfRule type="colorScale" priority="7">
      <colorScale>
        <cfvo type="min"/>
        <cfvo type="percentile" val="50"/>
        <cfvo type="max"/>
        <color rgb="FF63BE7B"/>
        <color rgb="FFFFEB84"/>
        <color rgb="FFF8696B"/>
      </colorScale>
    </cfRule>
  </conditionalFormatting>
  <conditionalFormatting sqref="A1:A1048576">
    <cfRule type="duplicateValues" dxfId="590" priority="1"/>
  </conditionalFormatting>
  <conditionalFormatting sqref="I3:I157">
    <cfRule type="colorScale" priority="44404">
      <colorScale>
        <cfvo type="min"/>
        <cfvo type="percentile" val="50"/>
        <cfvo type="max"/>
        <color rgb="FF63BE7B"/>
        <color rgb="FFFFEB84"/>
        <color rgb="FFF8696B"/>
      </colorScale>
    </cfRule>
  </conditionalFormatting>
  <conditionalFormatting sqref="K3:K157">
    <cfRule type="colorScale" priority="44406">
      <colorScale>
        <cfvo type="min"/>
        <cfvo type="percentile" val="50"/>
        <cfvo type="max"/>
        <color rgb="FF92D050"/>
        <color rgb="FFFFC000"/>
        <color rgb="FFFF0000"/>
      </colorScale>
    </cfRule>
  </conditionalFormatting>
  <conditionalFormatting sqref="M3:M157">
    <cfRule type="colorScale" priority="44408">
      <colorScale>
        <cfvo type="min"/>
        <cfvo type="percentile" val="50"/>
        <cfvo type="max"/>
        <color rgb="FF92D050"/>
        <color rgb="FFFFC000"/>
        <color rgb="FFFF0000"/>
      </colorScale>
    </cfRule>
  </conditionalFormatting>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1"/>
  <dimension ref="A1:L301"/>
  <sheetViews>
    <sheetView topLeftCell="A19" workbookViewId="0">
      <selection activeCell="A42" sqref="A42"/>
    </sheetView>
  </sheetViews>
  <sheetFormatPr defaultRowHeight="14.4" x14ac:dyDescent="0.3"/>
  <cols>
    <col min="1" max="1" width="27.109375" customWidth="1"/>
    <col min="2" max="2" width="8.5546875" customWidth="1"/>
    <col min="3" max="3" width="7.88671875" customWidth="1"/>
    <col min="4" max="4" width="18.109375" customWidth="1"/>
    <col min="6" max="6" width="9.109375" style="264"/>
    <col min="7" max="7" width="42.44140625" customWidth="1"/>
    <col min="8" max="8" width="9.109375" customWidth="1"/>
    <col min="9" max="9" width="34" customWidth="1"/>
    <col min="10" max="10" width="11.88671875" customWidth="1"/>
    <col min="11" max="11" width="9.33203125" style="264" customWidth="1"/>
    <col min="12" max="12" width="33.44140625" customWidth="1"/>
  </cols>
  <sheetData>
    <row r="1" spans="1:12" ht="15" thickBot="1" x14ac:dyDescent="0.35">
      <c r="A1" s="7" t="s">
        <v>12</v>
      </c>
      <c r="B1" s="7" t="s">
        <v>1760</v>
      </c>
      <c r="C1" s="7" t="s">
        <v>1761</v>
      </c>
      <c r="D1" s="7" t="s">
        <v>1762</v>
      </c>
      <c r="E1" s="7" t="s">
        <v>1763</v>
      </c>
      <c r="F1" s="7" t="s">
        <v>1764</v>
      </c>
      <c r="G1" s="7" t="s">
        <v>1765</v>
      </c>
      <c r="I1" s="7" t="s">
        <v>1768</v>
      </c>
      <c r="J1" s="7" t="s">
        <v>1760</v>
      </c>
      <c r="K1" s="7" t="s">
        <v>1761</v>
      </c>
      <c r="L1" s="7" t="s">
        <v>1762</v>
      </c>
    </row>
    <row r="2" spans="1:12" ht="16.5" customHeight="1" thickTop="1" x14ac:dyDescent="0.3">
      <c r="A2" s="13" t="s">
        <v>150</v>
      </c>
      <c r="B2" s="264" t="b">
        <f>NOT(ISERROR(SEARCH(FILLING!$D$11,tblData[[#This Row],[ФО]])))</f>
        <v>0</v>
      </c>
      <c r="C2" s="264" t="str">
        <f>IF(tblData[[#This Row],[Статус]],COUNTIF($B$2:tblData[[#This Row],[Статус]],TRUE),"")</f>
        <v/>
      </c>
      <c r="D2" t="str">
        <f>IFERROR(INDEX(tblData[ФО],MATCH(ROWS($C$2:tblData[[#This Row],[Индекс]]),tblData[Индекс],0)),"")</f>
        <v>АО СК «Чулпан»</v>
      </c>
      <c r="E2" s="264" t="b">
        <f>NOT(ISERROR(SEARCH(FILLING!$D$15,tblData[[#This Row],[ФО]])))</f>
        <v>1</v>
      </c>
      <c r="F2" s="264">
        <f>IF(tblData[[#This Row],[Статус2]],COUNTIF($E$2:tblData[[#This Row],[Статус2]],TRUE),"")</f>
        <v>1</v>
      </c>
      <c r="G2" t="str">
        <f>IFERROR(INDEX(tblData[ФО],MATCH(ROWS($F$2:tblData[[#This Row],[Индекс2]]),tblData[Индекс2],0)),"")</f>
        <v>АО «АльфаСтрахование»</v>
      </c>
      <c r="I2" t="s">
        <v>1420</v>
      </c>
      <c r="J2" s="264" t="b">
        <f>NOT(ISERROR(SEARCH(FILLING!$L$16,tblData_Region[[#This Row],[РЕГИОН]])))</f>
        <v>0</v>
      </c>
      <c r="K2" s="264" t="str">
        <f>IF(tblData_Region[[#This Row],[Статус]],COUNTIF($J$2:tblData_Region[[#This Row],[Статус]],TRUE),"")</f>
        <v/>
      </c>
      <c r="L2" t="str">
        <f>IFERROR(INDEX(tblData_Region[РЕГИОН],MATCH(ROWS($K$2:tblData_Region[[#This Row],[Индекс]]),tblData_Region[Индекс],0)),"")</f>
        <v>Брянская область</v>
      </c>
    </row>
    <row r="3" spans="1:12" x14ac:dyDescent="0.3">
      <c r="A3" s="15" t="s">
        <v>157</v>
      </c>
      <c r="B3" s="264" t="b">
        <f>NOT(ISERROR(SEARCH(FILLING!$D$11,tblData[[#This Row],[ФО]])))</f>
        <v>0</v>
      </c>
      <c r="C3" s="264" t="str">
        <f>IF(tblData[[#This Row],[Статус]],COUNTIF($B$2:tblData[[#This Row],[Статус]],TRUE),"")</f>
        <v/>
      </c>
      <c r="D3" t="str">
        <f>IFERROR(INDEX(tblData[ФО],MATCH(ROWS($C$2:tblData[[#This Row],[Индекс]]),tblData[Индекс],0)),"")</f>
        <v/>
      </c>
      <c r="E3" t="b">
        <f>NOT(ISERROR(SEARCH(FILLING!$D$15,tblData[[#This Row],[ФО]])))</f>
        <v>1</v>
      </c>
      <c r="F3" s="264">
        <f>IF(tblData[[#This Row],[Статус2]],COUNTIF($E$2:tblData[[#This Row],[Статус2]],TRUE),"")</f>
        <v>2</v>
      </c>
      <c r="G3" t="str">
        <f>IFERROR(INDEX(tblData[ФО],MATCH(ROWS($F$2:tblData[[#This Row],[Индекс2]]),tblData[Индекс2],0)),"")</f>
        <v>АО «Группа Ренессанс Страхование»</v>
      </c>
      <c r="I3" t="s">
        <v>1421</v>
      </c>
      <c r="J3" t="b">
        <f>NOT(ISERROR(SEARCH(FILLING!$L$16,tblData_Region[[#This Row],[РЕГИОН]])))</f>
        <v>0</v>
      </c>
      <c r="K3" s="264" t="str">
        <f>IF(tblData_Region[[#This Row],[Статус]],COUNTIF($J$2:tblData_Region[[#This Row],[Статус]],TRUE),"")</f>
        <v/>
      </c>
      <c r="L3" t="str">
        <f>IFERROR(INDEX(tblData_Region[РЕГИОН],MATCH(ROWS($K$2:tblData_Region[[#This Row],[Индекс]]),tblData_Region[Индекс],0)),"")</f>
        <v/>
      </c>
    </row>
    <row r="4" spans="1:12" x14ac:dyDescent="0.3">
      <c r="A4" s="65" t="s">
        <v>181</v>
      </c>
      <c r="B4" s="264" t="b">
        <f>NOT(ISERROR(SEARCH(FILLING!$D$11,tblData[[#This Row],[ФО]])))</f>
        <v>0</v>
      </c>
      <c r="C4" s="264" t="str">
        <f>IF(tblData[[#This Row],[Статус]],COUNTIF($B$2:tblData[[#This Row],[Статус]],TRUE),"")</f>
        <v/>
      </c>
      <c r="D4" t="str">
        <f>IFERROR(INDEX(tblData[ФО],MATCH(ROWS($C$2:tblData[[#This Row],[Индекс]]),tblData[Индекс],0)),"")</f>
        <v/>
      </c>
      <c r="E4" t="b">
        <f>NOT(ISERROR(SEARCH(FILLING!$D$15,tblData[[#This Row],[ФО]])))</f>
        <v>1</v>
      </c>
      <c r="F4" s="264">
        <f>IF(tblData[[#This Row],[Статус2]],COUNTIF($E$2:tblData[[#This Row],[Статус2]],TRUE),"")</f>
        <v>3</v>
      </c>
      <c r="G4" t="str">
        <f>IFERROR(INDEX(tblData[ФО],MATCH(ROWS($F$2:tblData[[#This Row],[Индекс2]]),tblData[Индекс2],0)),"")</f>
        <v>АО «ГСК «Югория»</v>
      </c>
      <c r="I4" t="s">
        <v>1422</v>
      </c>
      <c r="J4" t="b">
        <f>NOT(ISERROR(SEARCH(FILLING!$L$16,tblData_Region[[#This Row],[РЕГИОН]])))</f>
        <v>0</v>
      </c>
      <c r="K4" s="264" t="str">
        <f>IF(tblData_Region[[#This Row],[Статус]],COUNTIF($J$2:tblData_Region[[#This Row],[Статус]],TRUE),"")</f>
        <v/>
      </c>
      <c r="L4" t="str">
        <f>IFERROR(INDEX(tblData_Region[РЕГИОН],MATCH(ROWS($K$2:tblData_Region[[#This Row],[Индекс]]),tblData_Region[Индекс],0)),"")</f>
        <v/>
      </c>
    </row>
    <row r="5" spans="1:12" x14ac:dyDescent="0.3">
      <c r="A5" s="65" t="s">
        <v>410</v>
      </c>
      <c r="B5" s="264" t="b">
        <f>NOT(ISERROR(SEARCH(FILLING!$D$11,tblData[[#This Row],[ФО]])))</f>
        <v>0</v>
      </c>
      <c r="C5" s="264" t="str">
        <f>IF(tblData[[#This Row],[Статус]],COUNTIF($B$2:tblData[[#This Row],[Статус]],TRUE),"")</f>
        <v/>
      </c>
      <c r="D5" t="str">
        <f>IFERROR(INDEX(tblData[ФО],MATCH(ROWS($C$2:tblData[[#This Row],[Индекс]]),tblData[Индекс],0)),"")</f>
        <v/>
      </c>
      <c r="E5" t="b">
        <f>NOT(ISERROR(SEARCH(FILLING!$D$15,tblData[[#This Row],[ФО]])))</f>
        <v>1</v>
      </c>
      <c r="F5" s="264">
        <f>IF(tblData[[#This Row],[Статус2]],COUNTIF($E$2:tblData[[#This Row],[Статус2]],TRUE),"")</f>
        <v>4</v>
      </c>
      <c r="G5" t="str">
        <f>IFERROR(INDEX(tblData[ФО],MATCH(ROWS($F$2:tblData[[#This Row],[Индекс2]]),tblData[Индекс2],0)),"")</f>
        <v>АО «МАКС»</v>
      </c>
      <c r="I5" t="s">
        <v>1423</v>
      </c>
      <c r="J5" t="b">
        <f>NOT(ISERROR(SEARCH(FILLING!$L$16,tblData_Region[[#This Row],[РЕГИОН]])))</f>
        <v>0</v>
      </c>
      <c r="K5" s="264" t="str">
        <f>IF(tblData_Region[[#This Row],[Статус]],COUNTIF($J$2:tblData_Region[[#This Row],[Статус]],TRUE),"")</f>
        <v/>
      </c>
      <c r="L5" t="str">
        <f>IFERROR(INDEX(tblData_Region[РЕГИОН],MATCH(ROWS($K$2:tblData_Region[[#This Row],[Индекс]]),tblData_Region[Индекс],0)),"")</f>
        <v/>
      </c>
    </row>
    <row r="6" spans="1:12" x14ac:dyDescent="0.3">
      <c r="A6" s="65" t="s">
        <v>183</v>
      </c>
      <c r="B6" s="264" t="b">
        <f>NOT(ISERROR(SEARCH(FILLING!$D$11,tblData[[#This Row],[ФО]])))</f>
        <v>0</v>
      </c>
      <c r="C6" s="264" t="str">
        <f>IF(tblData[[#This Row],[Статус]],COUNTIF($B$2:tblData[[#This Row],[Статус]],TRUE),"")</f>
        <v/>
      </c>
      <c r="D6" t="str">
        <f>IFERROR(INDEX(tblData[ФО],MATCH(ROWS($C$2:tblData[[#This Row],[Индекс]]),tblData[Индекс],0)),"")</f>
        <v/>
      </c>
      <c r="E6" t="b">
        <f>NOT(ISERROR(SEARCH(FILLING!$D$15,tblData[[#This Row],[ФО]])))</f>
        <v>1</v>
      </c>
      <c r="F6" s="264">
        <f>IF(tblData[[#This Row],[Статус2]],COUNTIF($E$2:tblData[[#This Row],[Статус2]],TRUE),"")</f>
        <v>5</v>
      </c>
      <c r="G6" t="str">
        <f>IFERROR(INDEX(tblData[ФО],MATCH(ROWS($F$2:tblData[[#This Row],[Индекс2]]),tblData[Индекс2],0)),"")</f>
        <v>АО «НАСКО»</v>
      </c>
      <c r="I6" t="s">
        <v>1424</v>
      </c>
      <c r="J6" t="b">
        <f>NOT(ISERROR(SEARCH(FILLING!$L$16,tblData_Region[[#This Row],[РЕГИОН]])))</f>
        <v>0</v>
      </c>
      <c r="K6" s="264" t="str">
        <f>IF(tblData_Region[[#This Row],[Статус]],COUNTIF($J$2:tblData_Region[[#This Row],[Статус]],TRUE),"")</f>
        <v/>
      </c>
      <c r="L6" t="str">
        <f>IFERROR(INDEX(tblData_Region[РЕГИОН],MATCH(ROWS($K$2:tblData_Region[[#This Row],[Индекс]]),tblData_Region[Индекс],0)),"")</f>
        <v/>
      </c>
    </row>
    <row r="7" spans="1:12" x14ac:dyDescent="0.3">
      <c r="A7" s="65" t="s">
        <v>733</v>
      </c>
      <c r="B7" s="264" t="b">
        <f>NOT(ISERROR(SEARCH(FILLING!$D$11,tblData[[#This Row],[ФО]])))</f>
        <v>0</v>
      </c>
      <c r="C7" s="264" t="str">
        <f>IF(tblData[[#This Row],[Статус]],COUNTIF($B$2:tblData[[#This Row],[Статус]],TRUE),"")</f>
        <v/>
      </c>
      <c r="D7" t="str">
        <f>IFERROR(INDEX(tblData[ФО],MATCH(ROWS($C$2:tblData[[#This Row],[Индекс]]),tblData[Индекс],0)),"")</f>
        <v/>
      </c>
      <c r="E7" t="b">
        <f>NOT(ISERROR(SEARCH(FILLING!$D$15,tblData[[#This Row],[ФО]])))</f>
        <v>1</v>
      </c>
      <c r="F7" s="264">
        <f>IF(tblData[[#This Row],[Статус2]],COUNTIF($E$2:tblData[[#This Row],[Статус2]],TRUE),"")</f>
        <v>6</v>
      </c>
      <c r="G7" t="str">
        <f>IFERROR(INDEX(tblData[ФО],MATCH(ROWS($F$2:tblData[[#This Row],[Индекс2]]),tblData[Индекс2],0)),"")</f>
        <v>АО «ОСК»</v>
      </c>
      <c r="I7" t="s">
        <v>1425</v>
      </c>
      <c r="J7" t="b">
        <f>NOT(ISERROR(SEARCH(FILLING!$L$16,tblData_Region[[#This Row],[РЕГИОН]])))</f>
        <v>1</v>
      </c>
      <c r="K7" s="264">
        <f>IF(tblData_Region[[#This Row],[Статус]],COUNTIF($J$2:tblData_Region[[#This Row],[Статус]],TRUE),"")</f>
        <v>1</v>
      </c>
      <c r="L7" t="str">
        <f>IFERROR(INDEX(tblData_Region[РЕГИОН],MATCH(ROWS($K$2:tblData_Region[[#This Row],[Индекс]]),tblData_Region[Индекс],0)),"")</f>
        <v/>
      </c>
    </row>
    <row r="8" spans="1:12" x14ac:dyDescent="0.3">
      <c r="A8" s="15" t="s">
        <v>160</v>
      </c>
      <c r="B8" s="264" t="b">
        <f>NOT(ISERROR(SEARCH(FILLING!$D$11,tblData[[#This Row],[ФО]])))</f>
        <v>0</v>
      </c>
      <c r="C8" s="264" t="str">
        <f>IF(tblData[[#This Row],[Статус]],COUNTIF($B$2:tblData[[#This Row],[Статус]],TRUE),"")</f>
        <v/>
      </c>
      <c r="D8" t="str">
        <f>IFERROR(INDEX(tblData[ФО],MATCH(ROWS($C$2:tblData[[#This Row],[Индекс]]),tblData[Индекс],0)),"")</f>
        <v/>
      </c>
      <c r="E8" t="b">
        <f>NOT(ISERROR(SEARCH(FILLING!$D$15,tblData[[#This Row],[ФО]])))</f>
        <v>1</v>
      </c>
      <c r="F8" s="264">
        <f>IF(tblData[[#This Row],[Статус2]],COUNTIF($E$2:tblData[[#This Row],[Статус2]],TRUE),"")</f>
        <v>7</v>
      </c>
      <c r="G8" t="str">
        <f>IFERROR(INDEX(tblData[ФО],MATCH(ROWS($F$2:tblData[[#This Row],[Индекс2]]),tblData[Индекс2],0)),"")</f>
        <v>АО «СК «АСТРО-ВОЛГА»</v>
      </c>
      <c r="I8" t="s">
        <v>1426</v>
      </c>
      <c r="J8" t="b">
        <f>NOT(ISERROR(SEARCH(FILLING!$L$16,tblData_Region[[#This Row],[РЕГИОН]])))</f>
        <v>0</v>
      </c>
      <c r="K8" s="264" t="str">
        <f>IF(tblData_Region[[#This Row],[Статус]],COUNTIF($J$2:tblData_Region[[#This Row],[Статус]],TRUE),"")</f>
        <v/>
      </c>
      <c r="L8" t="str">
        <f>IFERROR(INDEX(tblData_Region[РЕГИОН],MATCH(ROWS($K$2:tblData_Region[[#This Row],[Индекс]]),tblData_Region[Индекс],0)),"")</f>
        <v/>
      </c>
    </row>
    <row r="9" spans="1:12" x14ac:dyDescent="0.3">
      <c r="A9" s="15" t="s">
        <v>156</v>
      </c>
      <c r="B9" s="264" t="b">
        <f>NOT(ISERROR(SEARCH(FILLING!$D$11,tblData[[#This Row],[ФО]])))</f>
        <v>0</v>
      </c>
      <c r="C9" s="264" t="str">
        <f>IF(tblData[[#This Row],[Статус]],COUNTIF($B$2:tblData[[#This Row],[Статус]],TRUE),"")</f>
        <v/>
      </c>
      <c r="D9" t="str">
        <f>IFERROR(INDEX(tblData[ФО],MATCH(ROWS($C$2:tblData[[#This Row],[Индекс]]),tblData[Индекс],0)),"")</f>
        <v/>
      </c>
      <c r="E9" t="b">
        <f>NOT(ISERROR(SEARCH(FILLING!$D$15,tblData[[#This Row],[ФО]])))</f>
        <v>1</v>
      </c>
      <c r="F9" s="264">
        <f>IF(tblData[[#This Row],[Статус2]],COUNTIF($E$2:tblData[[#This Row],[Статус2]],TRUE),"")</f>
        <v>8</v>
      </c>
      <c r="G9" t="str">
        <f>IFERROR(INDEX(tblData[ФО],MATCH(ROWS($F$2:tblData[[#This Row],[Индекс2]]),tblData[Индекс2],0)),"")</f>
        <v>АО «СОГАЗ»</v>
      </c>
      <c r="I9" t="s">
        <v>1427</v>
      </c>
      <c r="J9" t="b">
        <f>NOT(ISERROR(SEARCH(FILLING!$L$16,tblData_Region[[#This Row],[РЕГИОН]])))</f>
        <v>0</v>
      </c>
      <c r="K9" s="264" t="str">
        <f>IF(tblData_Region[[#This Row],[Статус]],COUNTIF($J$2:tblData_Region[[#This Row],[Статус]],TRUE),"")</f>
        <v/>
      </c>
      <c r="L9" t="str">
        <f>IFERROR(INDEX(tblData_Region[РЕГИОН],MATCH(ROWS($K$2:tblData_Region[[#This Row],[Индекс]]),tblData_Region[Индекс],0)),"")</f>
        <v/>
      </c>
    </row>
    <row r="10" spans="1:12" x14ac:dyDescent="0.3">
      <c r="A10" s="65" t="s">
        <v>1169</v>
      </c>
      <c r="B10" s="264" t="b">
        <f>NOT(ISERROR(SEARCH(FILLING!$D$11,tblData[[#This Row],[ФО]])))</f>
        <v>0</v>
      </c>
      <c r="C10" s="264" t="str">
        <f>IF(tblData[[#This Row],[Статус]],COUNTIF($B$2:tblData[[#This Row],[Статус]],TRUE),"")</f>
        <v/>
      </c>
      <c r="D10" t="str">
        <f>IFERROR(INDEX(tblData[ФО],MATCH(ROWS($C$2:tblData[[#This Row],[Индекс]]),tblData[Индекс],0)),"")</f>
        <v/>
      </c>
      <c r="E10" t="b">
        <f>NOT(ISERROR(SEARCH(FILLING!$D$15,tblData[[#This Row],[ФО]])))</f>
        <v>1</v>
      </c>
      <c r="F10" s="264">
        <f>IF(tblData[[#This Row],[Статус2]],COUNTIF($E$2:tblData[[#This Row],[Статус2]],TRUE),"")</f>
        <v>9</v>
      </c>
      <c r="G10" t="str">
        <f>IFERROR(INDEX(tblData[ФО],MATCH(ROWS($F$2:tblData[[#This Row],[Индекс2]]),tblData[Индекс2],0)),"")</f>
        <v>АО «Страховая Компания «ПОЛИС-ГАРАНТ»</v>
      </c>
      <c r="I10" t="s">
        <v>1428</v>
      </c>
      <c r="J10" t="b">
        <f>NOT(ISERROR(SEARCH(FILLING!$L$16,tblData_Region[[#This Row],[РЕГИОН]])))</f>
        <v>0</v>
      </c>
      <c r="K10" s="264" t="str">
        <f>IF(tblData_Region[[#This Row],[Статус]],COUNTIF($J$2:tblData_Region[[#This Row],[Статус]],TRUE),"")</f>
        <v/>
      </c>
      <c r="L10" t="str">
        <f>IFERROR(INDEX(tblData_Region[РЕГИОН],MATCH(ROWS($K$2:tblData_Region[[#This Row],[Индекс]]),tblData_Region[Индекс],0)),"")</f>
        <v/>
      </c>
    </row>
    <row r="11" spans="1:12" x14ac:dyDescent="0.3">
      <c r="A11" s="65" t="s">
        <v>189</v>
      </c>
      <c r="B11" s="264" t="b">
        <f>NOT(ISERROR(SEARCH(FILLING!$D$11,tblData[[#This Row],[ФО]])))</f>
        <v>0</v>
      </c>
      <c r="C11" s="264" t="str">
        <f>IF(tblData[[#This Row],[Статус]],COUNTIF($B$2:tblData[[#This Row],[Статус]],TRUE),"")</f>
        <v/>
      </c>
      <c r="D11" t="str">
        <f>IFERROR(INDEX(tblData[ФО],MATCH(ROWS($C$2:tblData[[#This Row],[Индекс]]),tblData[Индекс],0)),"")</f>
        <v/>
      </c>
      <c r="E11" t="b">
        <f>NOT(ISERROR(SEARCH(FILLING!$D$15,tblData[[#This Row],[ФО]])))</f>
        <v>1</v>
      </c>
      <c r="F11" s="264">
        <f>IF(tblData[[#This Row],[Статус2]],COUNTIF($E$2:tblData[[#This Row],[Статус2]],TRUE),"")</f>
        <v>10</v>
      </c>
      <c r="G11" t="str">
        <f>IFERROR(INDEX(tblData[ФО],MATCH(ROWS($F$2:tblData[[#This Row],[Индекс2]]),tblData[Индекс2],0)),"")</f>
        <v>АО «Тинькофф Страхование»</v>
      </c>
      <c r="I11" t="s">
        <v>1429</v>
      </c>
      <c r="J11" t="b">
        <f>NOT(ISERROR(SEARCH(FILLING!$L$16,tblData_Region[[#This Row],[РЕГИОН]])))</f>
        <v>0</v>
      </c>
      <c r="K11" s="264" t="str">
        <f>IF(tblData_Region[[#This Row],[Статус]],COUNTIF($J$2:tblData_Region[[#This Row],[Статус]],TRUE),"")</f>
        <v/>
      </c>
      <c r="L11" t="str">
        <f>IFERROR(INDEX(tblData_Region[РЕГИОН],MATCH(ROWS($K$2:tblData_Region[[#This Row],[Индекс]]),tblData_Region[Индекс],0)),"")</f>
        <v/>
      </c>
    </row>
    <row r="12" spans="1:12" x14ac:dyDescent="0.3">
      <c r="A12" s="15" t="s">
        <v>162</v>
      </c>
      <c r="B12" s="264" t="b">
        <f>NOT(ISERROR(SEARCH(FILLING!$D$11,tblData[[#This Row],[ФО]])))</f>
        <v>0</v>
      </c>
      <c r="C12" s="264" t="str">
        <f>IF(tblData[[#This Row],[Статус]],COUNTIF($B$2:tblData[[#This Row],[Статус]],TRUE),"")</f>
        <v/>
      </c>
      <c r="D12" t="str">
        <f>IFERROR(INDEX(tblData[ФО],MATCH(ROWS($C$2:tblData[[#This Row],[Индекс]]),tblData[Индекс],0)),"")</f>
        <v/>
      </c>
      <c r="E12" t="b">
        <f>NOT(ISERROR(SEARCH(FILLING!$D$15,tblData[[#This Row],[ФО]])))</f>
        <v>1</v>
      </c>
      <c r="F12" s="264">
        <f>IF(tblData[[#This Row],[Статус2]],COUNTIF($E$2:tblData[[#This Row],[Статус2]],TRUE),"")</f>
        <v>11</v>
      </c>
      <c r="G12" t="str">
        <f>IFERROR(INDEX(tblData[ФО],MATCH(ROWS($F$2:tblData[[#This Row],[Индекс2]]),tblData[Индекс2],0)),"")</f>
        <v>АО СК «Армеец»</v>
      </c>
      <c r="I12" t="s">
        <v>1431</v>
      </c>
      <c r="J12" t="b">
        <f>NOT(ISERROR(SEARCH(FILLING!$L$16,tblData_Region[[#This Row],[РЕГИОН]])))</f>
        <v>0</v>
      </c>
      <c r="K12" s="264" t="str">
        <f>IF(tblData_Region[[#This Row],[Статус]],COUNTIF($J$2:tblData_Region[[#This Row],[Статус]],TRUE),"")</f>
        <v/>
      </c>
      <c r="L12" t="str">
        <f>IFERROR(INDEX(tblData_Region[РЕГИОН],MATCH(ROWS($K$2:tblData_Region[[#This Row],[Индекс]]),tblData_Region[Индекс],0)),"")</f>
        <v/>
      </c>
    </row>
    <row r="13" spans="1:12" x14ac:dyDescent="0.3">
      <c r="A13" s="65" t="s">
        <v>187</v>
      </c>
      <c r="B13" s="264" t="b">
        <f>NOT(ISERROR(SEARCH(FILLING!$D$11,tblData[[#This Row],[ФО]])))</f>
        <v>0</v>
      </c>
      <c r="C13" s="264" t="str">
        <f>IF(tblData[[#This Row],[Статус]],COUNTIF($B$2:tblData[[#This Row],[Статус]],TRUE),"")</f>
        <v/>
      </c>
      <c r="D13" t="str">
        <f>IFERROR(INDEX(tblData[ФО],MATCH(ROWS($C$2:tblData[[#This Row],[Индекс]]),tblData[Индекс],0)),"")</f>
        <v/>
      </c>
      <c r="E13" t="b">
        <f>NOT(ISERROR(SEARCH(FILLING!$D$15,tblData[[#This Row],[ФО]])))</f>
        <v>1</v>
      </c>
      <c r="F13" s="264">
        <f>IF(tblData[[#This Row],[Статус2]],COUNTIF($E$2:tblData[[#This Row],[Статус2]],TRUE),"")</f>
        <v>12</v>
      </c>
      <c r="G13" t="str">
        <f>IFERROR(INDEX(tblData[ФО],MATCH(ROWS($F$2:tblData[[#This Row],[Индекс2]]),tblData[Индекс2],0)),"")</f>
        <v>АО СК «БАСК»</v>
      </c>
      <c r="I13" t="s">
        <v>1432</v>
      </c>
      <c r="J13" t="b">
        <f>NOT(ISERROR(SEARCH(FILLING!$L$16,tblData_Region[[#This Row],[РЕГИОН]])))</f>
        <v>0</v>
      </c>
      <c r="K13" s="264" t="str">
        <f>IF(tblData_Region[[#This Row],[Статус]],COUNTIF($J$2:tblData_Region[[#This Row],[Статус]],TRUE),"")</f>
        <v/>
      </c>
      <c r="L13" t="str">
        <f>IFERROR(INDEX(tblData_Region[РЕГИОН],MATCH(ROWS($K$2:tblData_Region[[#This Row],[Индекс]]),tblData_Region[Индекс],0)),"")</f>
        <v/>
      </c>
    </row>
    <row r="14" spans="1:12" x14ac:dyDescent="0.3">
      <c r="A14" s="15" t="s">
        <v>170</v>
      </c>
      <c r="B14" s="264" t="b">
        <f>NOT(ISERROR(SEARCH(FILLING!$D$11,tblData[[#This Row],[ФО]])))</f>
        <v>0</v>
      </c>
      <c r="C14" s="264" t="str">
        <f>IF(tblData[[#This Row],[Статус]],COUNTIF($B$2:tblData[[#This Row],[Статус]],TRUE),"")</f>
        <v/>
      </c>
      <c r="D14" t="str">
        <f>IFERROR(INDEX(tblData[ФО],MATCH(ROWS($C$2:tblData[[#This Row],[Индекс]]),tblData[Индекс],0)),"")</f>
        <v/>
      </c>
      <c r="E14" t="b">
        <f>NOT(ISERROR(SEARCH(FILLING!$D$15,tblData[[#This Row],[ФО]])))</f>
        <v>1</v>
      </c>
      <c r="F14" s="264">
        <f>IF(tblData[[#This Row],[Статус2]],COUNTIF($E$2:tblData[[#This Row],[Статус2]],TRUE),"")</f>
        <v>13</v>
      </c>
      <c r="G14" t="str">
        <f>IFERROR(INDEX(tblData[ФО],MATCH(ROWS($F$2:tblData[[#This Row],[Индекс2]]),tblData[Индекс2],0)),"")</f>
        <v>АО СК «Стерх»</v>
      </c>
      <c r="I14" t="s">
        <v>1433</v>
      </c>
      <c r="J14" t="b">
        <f>NOT(ISERROR(SEARCH(FILLING!$L$16,tblData_Region[[#This Row],[РЕГИОН]])))</f>
        <v>0</v>
      </c>
      <c r="K14" s="264" t="str">
        <f>IF(tblData_Region[[#This Row],[Статус]],COUNTIF($J$2:tblData_Region[[#This Row],[Статус]],TRUE),"")</f>
        <v/>
      </c>
      <c r="L14" t="str">
        <f>IFERROR(INDEX(tblData_Region[РЕГИОН],MATCH(ROWS($K$2:tblData_Region[[#This Row],[Индекс]]),tblData_Region[Индекс],0)),"")</f>
        <v/>
      </c>
    </row>
    <row r="15" spans="1:12" x14ac:dyDescent="0.3">
      <c r="A15" s="65" t="s">
        <v>173</v>
      </c>
      <c r="B15" s="264" t="b">
        <f>NOT(ISERROR(SEARCH(FILLING!$D$11,tblData[[#This Row],[ФО]])))</f>
        <v>1</v>
      </c>
      <c r="C15" s="264">
        <f>IF(tblData[[#This Row],[Статус]],COUNTIF($B$2:tblData[[#This Row],[Статус]],TRUE),"")</f>
        <v>1</v>
      </c>
      <c r="D15" t="str">
        <f>IFERROR(INDEX(tblData[ФО],MATCH(ROWS($C$2:tblData[[#This Row],[Индекс]]),tblData[Индекс],0)),"")</f>
        <v/>
      </c>
      <c r="E15" t="b">
        <f>NOT(ISERROR(SEARCH(FILLING!$D$15,tblData[[#This Row],[ФО]])))</f>
        <v>1</v>
      </c>
      <c r="F15" s="264">
        <f>IF(tblData[[#This Row],[Статус2]],COUNTIF($E$2:tblData[[#This Row],[Статус2]],TRUE),"")</f>
        <v>14</v>
      </c>
      <c r="G15" t="str">
        <f>IFERROR(INDEX(tblData[ФО],MATCH(ROWS($F$2:tblData[[#This Row],[Индекс2]]),tblData[Индекс2],0)),"")</f>
        <v>АО СК «Чулпан»</v>
      </c>
      <c r="I15" t="s">
        <v>1434</v>
      </c>
      <c r="J15" t="b">
        <f>NOT(ISERROR(SEARCH(FILLING!$L$16,tblData_Region[[#This Row],[РЕГИОН]])))</f>
        <v>0</v>
      </c>
      <c r="K15" s="264" t="str">
        <f>IF(tblData_Region[[#This Row],[Статус]],COUNTIF($J$2:tblData_Region[[#This Row],[Статус]],TRUE),"")</f>
        <v/>
      </c>
      <c r="L15" t="str">
        <f>IFERROR(INDEX(tblData_Region[РЕГИОН],MATCH(ROWS($K$2:tblData_Region[[#This Row],[Индекс]]),tblData_Region[Индекс],0)),"")</f>
        <v/>
      </c>
    </row>
    <row r="16" spans="1:12" x14ac:dyDescent="0.3">
      <c r="A16" s="65" t="s">
        <v>191</v>
      </c>
      <c r="B16" s="264" t="b">
        <f>NOT(ISERROR(SEARCH(FILLING!$D$11,tblData[[#This Row],[ФО]])))</f>
        <v>0</v>
      </c>
      <c r="C16" s="264" t="str">
        <f>IF(tblData[[#This Row],[Статус]],COUNTIF($B$2:tblData[[#This Row],[Статус]],TRUE),"")</f>
        <v/>
      </c>
      <c r="D16" t="str">
        <f>IFERROR(INDEX(tblData[ФО],MATCH(ROWS($C$2:tblData[[#This Row],[Индекс]]),tblData[Индекс],0)),"")</f>
        <v/>
      </c>
      <c r="E16" t="b">
        <f>NOT(ISERROR(SEARCH(FILLING!$D$15,tblData[[#This Row],[ФО]])))</f>
        <v>1</v>
      </c>
      <c r="F16" s="264">
        <f>IF(tblData[[#This Row],[Статус2]],COUNTIF($E$2:tblData[[#This Row],[Статус2]],TRUE),"")</f>
        <v>15</v>
      </c>
      <c r="G16" t="str">
        <f>IFERROR(INDEX(tblData[ФО],MATCH(ROWS($F$2:tblData[[#This Row],[Индекс2]]),tblData[Индекс2],0)),"")</f>
        <v>ООО «Абсолют Страхование»</v>
      </c>
      <c r="I16" t="s">
        <v>1435</v>
      </c>
      <c r="J16" t="b">
        <f>NOT(ISERROR(SEARCH(FILLING!$L$16,tblData_Region[[#This Row],[РЕГИОН]])))</f>
        <v>0</v>
      </c>
      <c r="K16" s="264" t="str">
        <f>IF(tblData_Region[[#This Row],[Статус]],COUNTIF($J$2:tblData_Region[[#This Row],[Статус]],TRUE),"")</f>
        <v/>
      </c>
      <c r="L16" t="str">
        <f>IFERROR(INDEX(tblData_Region[РЕГИОН],MATCH(ROWS($K$2:tblData_Region[[#This Row],[Индекс]]),tblData_Region[Индекс],0)),"")</f>
        <v/>
      </c>
    </row>
    <row r="17" spans="1:12" x14ac:dyDescent="0.3">
      <c r="A17" s="15" t="s">
        <v>172</v>
      </c>
      <c r="B17" s="264" t="b">
        <f>NOT(ISERROR(SEARCH(FILLING!$D$11,tblData[[#This Row],[ФО]])))</f>
        <v>0</v>
      </c>
      <c r="C17" s="264" t="str">
        <f>IF(tblData[[#This Row],[Статус]],COUNTIF($B$2:tblData[[#This Row],[Статус]],TRUE),"")</f>
        <v/>
      </c>
      <c r="D17" t="str">
        <f>IFERROR(INDEX(tblData[ФО],MATCH(ROWS($C$2:tblData[[#This Row],[Индекс]]),tblData[Индекс],0)),"")</f>
        <v/>
      </c>
      <c r="E17" t="b">
        <f>NOT(ISERROR(SEARCH(FILLING!$D$15,tblData[[#This Row],[ФО]])))</f>
        <v>1</v>
      </c>
      <c r="F17" s="264">
        <f>IF(tblData[[#This Row],[Статус2]],COUNTIF($E$2:tblData[[#This Row],[Статус2]],TRUE),"")</f>
        <v>16</v>
      </c>
      <c r="G17" t="str">
        <f>IFERROR(INDEX(tblData[ФО],MATCH(ROWS($F$2:tblData[[#This Row],[Индекс2]]),tblData[Индекс2],0)),"")</f>
        <v>ООО «НСГ - «РОСЭНЕРГО»</v>
      </c>
      <c r="I17" t="s">
        <v>1436</v>
      </c>
      <c r="J17" t="b">
        <f>NOT(ISERROR(SEARCH(FILLING!$L$16,tblData_Region[[#This Row],[РЕГИОН]])))</f>
        <v>0</v>
      </c>
      <c r="K17" s="264" t="str">
        <f>IF(tblData_Region[[#This Row],[Статус]],COUNTIF($J$2:tblData_Region[[#This Row],[Статус]],TRUE),"")</f>
        <v/>
      </c>
      <c r="L17" t="str">
        <f>IFERROR(INDEX(tblData_Region[РЕГИОН],MATCH(ROWS($K$2:tblData_Region[[#This Row],[Индекс]]),tblData_Region[Индекс],0)),"")</f>
        <v/>
      </c>
    </row>
    <row r="18" spans="1:12" x14ac:dyDescent="0.3">
      <c r="A18" s="65" t="s">
        <v>193</v>
      </c>
      <c r="B18" s="264" t="b">
        <f>NOT(ISERROR(SEARCH(FILLING!$D$11,tblData[[#This Row],[ФО]])))</f>
        <v>0</v>
      </c>
      <c r="C18" s="264" t="str">
        <f>IF(tblData[[#This Row],[Статус]],COUNTIF($B$2:tblData[[#This Row],[Статус]],TRUE),"")</f>
        <v/>
      </c>
      <c r="D18" t="str">
        <f>IFERROR(INDEX(tblData[ФО],MATCH(ROWS($C$2:tblData[[#This Row],[Индекс]]),tblData[Индекс],0)),"")</f>
        <v/>
      </c>
      <c r="E18" t="b">
        <f>NOT(ISERROR(SEARCH(FILLING!$D$15,tblData[[#This Row],[ФО]])))</f>
        <v>1</v>
      </c>
      <c r="F18" s="264">
        <f>IF(tblData[[#This Row],[Статус2]],COUNTIF($E$2:tblData[[#This Row],[Статус2]],TRUE),"")</f>
        <v>17</v>
      </c>
      <c r="G18" t="str">
        <f>IFERROR(INDEX(tblData[ФО],MATCH(ROWS($F$2:tblData[[#This Row],[Индекс2]]),tblData[Индекс2],0)),"")</f>
        <v>ООО «СК «АНГАРА»</v>
      </c>
      <c r="I18" t="s">
        <v>1437</v>
      </c>
      <c r="J18" t="b">
        <f>NOT(ISERROR(SEARCH(FILLING!$L$16,tblData_Region[[#This Row],[РЕГИОН]])))</f>
        <v>0</v>
      </c>
      <c r="K18" s="264" t="str">
        <f>IF(tblData_Region[[#This Row],[Статус]],COUNTIF($J$2:tblData_Region[[#This Row],[Статус]],TRUE),"")</f>
        <v/>
      </c>
      <c r="L18" t="str">
        <f>IFERROR(INDEX(tblData_Region[РЕГИОН],MATCH(ROWS($K$2:tblData_Region[[#This Row],[Индекс]]),tblData_Region[Индекс],0)),"")</f>
        <v/>
      </c>
    </row>
    <row r="19" spans="1:12" x14ac:dyDescent="0.3">
      <c r="A19" s="15" t="s">
        <v>166</v>
      </c>
      <c r="B19" s="264" t="b">
        <f>NOT(ISERROR(SEARCH(FILLING!$D$11,tblData[[#This Row],[ФО]])))</f>
        <v>0</v>
      </c>
      <c r="C19" s="264" t="str">
        <f>IF(tblData[[#This Row],[Статус]],COUNTIF($B$2:tblData[[#This Row],[Статус]],TRUE),"")</f>
        <v/>
      </c>
      <c r="D19" t="str">
        <f>IFERROR(INDEX(tblData[ФО],MATCH(ROWS($C$2:tblData[[#This Row],[Индекс]]),tblData[Индекс],0)),"")</f>
        <v/>
      </c>
      <c r="E19" t="b">
        <f>NOT(ISERROR(SEARCH(FILLING!$D$15,tblData[[#This Row],[ФО]])))</f>
        <v>1</v>
      </c>
      <c r="F19" s="264">
        <f>IF(tblData[[#This Row],[Статус2]],COUNTIF($E$2:tblData[[#This Row],[Статус2]],TRUE),"")</f>
        <v>18</v>
      </c>
      <c r="G19" t="str">
        <f>IFERROR(INDEX(tblData[ФО],MATCH(ROWS($F$2:tblData[[#This Row],[Индекс2]]),tblData[Индекс2],0)),"")</f>
        <v>ООО «СК «Согласие»</v>
      </c>
      <c r="I19" t="s">
        <v>1438</v>
      </c>
      <c r="J19" t="b">
        <f>NOT(ISERROR(SEARCH(FILLING!$L$16,tblData_Region[[#This Row],[РЕГИОН]])))</f>
        <v>0</v>
      </c>
      <c r="K19" s="264" t="str">
        <f>IF(tblData_Region[[#This Row],[Статус]],COUNTIF($J$2:tblData_Region[[#This Row],[Статус]],TRUE),"")</f>
        <v/>
      </c>
      <c r="L19" t="str">
        <f>IFERROR(INDEX(tblData_Region[РЕГИОН],MATCH(ROWS($K$2:tblData_Region[[#This Row],[Индекс]]),tblData_Region[Индекс],0)),"")</f>
        <v/>
      </c>
    </row>
    <row r="20" spans="1:12" x14ac:dyDescent="0.3">
      <c r="A20" s="65" t="s">
        <v>179</v>
      </c>
      <c r="B20" s="264" t="b">
        <f>NOT(ISERROR(SEARCH(FILLING!$D$11,tblData[[#This Row],[ФО]])))</f>
        <v>0</v>
      </c>
      <c r="C20" s="264" t="str">
        <f>IF(tblData[[#This Row],[Статус]],COUNTIF($B$2:tblData[[#This Row],[Статус]],TRUE),"")</f>
        <v/>
      </c>
      <c r="D20" t="str">
        <f>IFERROR(INDEX(tblData[ФО],MATCH(ROWS($C$2:tblData[[#This Row],[Индекс]]),tblData[Индекс],0)),"")</f>
        <v/>
      </c>
      <c r="E20" t="b">
        <f>NOT(ISERROR(SEARCH(FILLING!$D$15,tblData[[#This Row],[ФО]])))</f>
        <v>1</v>
      </c>
      <c r="F20" s="264">
        <f>IF(tblData[[#This Row],[Статус2]],COUNTIF($E$2:tblData[[#This Row],[Статус2]],TRUE),"")</f>
        <v>19</v>
      </c>
      <c r="G20" t="str">
        <f>IFERROR(INDEX(tblData[ФО],MATCH(ROWS($F$2:tblData[[#This Row],[Индекс2]]),tblData[Индекс2],0)),"")</f>
        <v>ООО «Страховая компания «СДС»</v>
      </c>
      <c r="I20" t="s">
        <v>1439</v>
      </c>
      <c r="J20" t="b">
        <f>NOT(ISERROR(SEARCH(FILLING!$L$16,tblData_Region[[#This Row],[РЕГИОН]])))</f>
        <v>0</v>
      </c>
      <c r="K20" s="264" t="str">
        <f>IF(tblData_Region[[#This Row],[Статус]],COUNTIF($J$2:tblData_Region[[#This Row],[Статус]],TRUE),"")</f>
        <v/>
      </c>
      <c r="L20" t="str">
        <f>IFERROR(INDEX(tblData_Region[РЕГИОН],MATCH(ROWS($K$2:tblData_Region[[#This Row],[Индекс]]),tblData_Region[Индекс],0)),"")</f>
        <v/>
      </c>
    </row>
    <row r="21" spans="1:12" x14ac:dyDescent="0.3">
      <c r="A21" s="65" t="s">
        <v>1042</v>
      </c>
      <c r="B21" s="264" t="b">
        <f>NOT(ISERROR(SEARCH(FILLING!$D$11,tblData[[#This Row],[ФО]])))</f>
        <v>0</v>
      </c>
      <c r="C21" s="264" t="str">
        <f>IF(tblData[[#This Row],[Статус]],COUNTIF($B$2:tblData[[#This Row],[Статус]],TRUE),"")</f>
        <v/>
      </c>
      <c r="D21" t="str">
        <f>IFERROR(INDEX(tblData[ФО],MATCH(ROWS($C$2:tblData[[#This Row],[Индекс]]),tblData[Индекс],0)),"")</f>
        <v/>
      </c>
      <c r="E21" t="b">
        <f>NOT(ISERROR(SEARCH(FILLING!$D$15,tblData[[#This Row],[ФО]])))</f>
        <v>1</v>
      </c>
      <c r="F21" s="264">
        <f>IF(tblData[[#This Row],[Статус2]],COUNTIF($E$2:tblData[[#This Row],[Статус2]],TRUE),"")</f>
        <v>20</v>
      </c>
      <c r="G21" t="str">
        <f>IFERROR(INDEX(tblData[ФО],MATCH(ROWS($F$2:tblData[[#This Row],[Индекс2]]),tblData[Индекс2],0)),"")</f>
        <v>ООО «Страховое общество «Сургутнефтегаз»</v>
      </c>
      <c r="I21" t="s">
        <v>1440</v>
      </c>
      <c r="J21" t="b">
        <f>NOT(ISERROR(SEARCH(FILLING!$L$16,tblData_Region[[#This Row],[РЕГИОН]])))</f>
        <v>0</v>
      </c>
      <c r="K21" s="264" t="str">
        <f>IF(tblData_Region[[#This Row],[Статус]],COUNTIF($J$2:tblData_Region[[#This Row],[Статус]],TRUE),"")</f>
        <v/>
      </c>
      <c r="L21" t="str">
        <f>IFERROR(INDEX(tblData_Region[РЕГИОН],MATCH(ROWS($K$2:tblData_Region[[#This Row],[Индекс]]),tblData_Region[Индекс],0)),"")</f>
        <v/>
      </c>
    </row>
    <row r="22" spans="1:12" x14ac:dyDescent="0.3">
      <c r="A22" s="65" t="s">
        <v>935</v>
      </c>
      <c r="B22" s="264" t="b">
        <f>NOT(ISERROR(SEARCH(FILLING!$D$11,tblData[[#This Row],[ФО]])))</f>
        <v>0</v>
      </c>
      <c r="C22" s="264" t="str">
        <f>IF(tblData[[#This Row],[Статус]],COUNTIF($B$2:tblData[[#This Row],[Статус]],TRUE),"")</f>
        <v/>
      </c>
      <c r="D22" t="str">
        <f>IFERROR(INDEX(tblData[ФО],MATCH(ROWS($C$2:tblData[[#This Row],[Индекс]]),tblData[Индекс],0)),"")</f>
        <v/>
      </c>
      <c r="E22" t="b">
        <f>NOT(ISERROR(SEARCH(FILLING!$D$15,tblData[[#This Row],[ФО]])))</f>
        <v>1</v>
      </c>
      <c r="F22" s="264">
        <f>IF(tblData[[#This Row],[Статус2]],COUNTIF($E$2:tblData[[#This Row],[Статус2]],TRUE),"")</f>
        <v>21</v>
      </c>
      <c r="G22" t="str">
        <f>IFERROR(INDEX(tblData[ФО],MATCH(ROWS($F$2:tblData[[#This Row],[Индекс2]]),tblData[Индекс2],0)),"")</f>
        <v>ООО СК «Паритет-СК»</v>
      </c>
      <c r="I22" t="s">
        <v>1441</v>
      </c>
      <c r="J22" t="b">
        <f>NOT(ISERROR(SEARCH(FILLING!$L$16,tblData_Region[[#This Row],[РЕГИОН]])))</f>
        <v>0</v>
      </c>
      <c r="K22" s="264" t="str">
        <f>IF(tblData_Region[[#This Row],[Статус]],COUNTIF($J$2:tblData_Region[[#This Row],[Статус]],TRUE),"")</f>
        <v/>
      </c>
      <c r="L22" t="str">
        <f>IFERROR(INDEX(tblData_Region[РЕГИОН],MATCH(ROWS($K$2:tblData_Region[[#This Row],[Индекс]]),tblData_Region[Индекс],0)),"")</f>
        <v/>
      </c>
    </row>
    <row r="23" spans="1:12" x14ac:dyDescent="0.3">
      <c r="A23" s="65" t="s">
        <v>175</v>
      </c>
      <c r="B23" s="265" t="b">
        <f>NOT(ISERROR(SEARCH(FILLING!$D$11,tblData[[#This Row],[ФО]])))</f>
        <v>0</v>
      </c>
      <c r="C23" s="265" t="str">
        <f>IF(tblData[[#This Row],[Статус]],COUNTIF($B$2:tblData[[#This Row],[Статус]],TRUE),"")</f>
        <v/>
      </c>
      <c r="D23" s="266" t="str">
        <f>IFERROR(INDEX(tblData[ФО],MATCH(ROWS($C$2:tblData[[#This Row],[Индекс]]),tblData[Индекс],0)),"")</f>
        <v/>
      </c>
      <c r="E23" t="b">
        <f>NOT(ISERROR(SEARCH(FILLING!$D$15,tblData[[#This Row],[ФО]])))</f>
        <v>1</v>
      </c>
      <c r="F23" s="264">
        <f>IF(tblData[[#This Row],[Статус2]],COUNTIF($E$2:tblData[[#This Row],[Статус2]],TRUE),"")</f>
        <v>22</v>
      </c>
      <c r="G23" t="str">
        <f>IFERROR(INDEX(tblData[ФО],MATCH(ROWS($F$2:tblData[[#This Row],[Индекс2]]),tblData[Индекс2],0)),"")</f>
        <v>ООО СО «ВЕРНА»</v>
      </c>
      <c r="I23" t="s">
        <v>1442</v>
      </c>
      <c r="J23" t="b">
        <f>NOT(ISERROR(SEARCH(FILLING!$L$16,tblData_Region[[#This Row],[РЕГИОН]])))</f>
        <v>0</v>
      </c>
      <c r="K23" s="264" t="str">
        <f>IF(tblData_Region[[#This Row],[Статус]],COUNTIF($J$2:tblData_Region[[#This Row],[Статус]],TRUE),"")</f>
        <v/>
      </c>
      <c r="L23" t="str">
        <f>IFERROR(INDEX(tblData_Region[РЕГИОН],MATCH(ROWS($K$2:tblData_Region[[#This Row],[Индекс]]),tblData_Region[Индекс],0)),"")</f>
        <v/>
      </c>
    </row>
    <row r="24" spans="1:12" x14ac:dyDescent="0.3">
      <c r="A24" s="65" t="s">
        <v>186</v>
      </c>
      <c r="B24" s="265" t="b">
        <f>NOT(ISERROR(SEARCH(FILLING!$D$11,tblData[[#This Row],[ФО]])))</f>
        <v>0</v>
      </c>
      <c r="C24" s="265" t="str">
        <f>IF(tblData[[#This Row],[Статус]],COUNTIF($B$2:tblData[[#This Row],[Статус]],TRUE),"")</f>
        <v/>
      </c>
      <c r="D24" s="266" t="str">
        <f>IFERROR(INDEX(tblData[ФО],MATCH(ROWS($C$2:tblData[[#This Row],[Индекс]]),tblData[Индекс],0)),"")</f>
        <v/>
      </c>
      <c r="E24" t="b">
        <f>NOT(ISERROR(SEARCH(FILLING!$D$15,tblData[[#This Row],[ФО]])))</f>
        <v>1</v>
      </c>
      <c r="F24" s="264">
        <f>IF(tblData[[#This Row],[Статус2]],COUNTIF($E$2:tblData[[#This Row],[Статус2]],TRUE),"")</f>
        <v>23</v>
      </c>
      <c r="G24" t="str">
        <f>IFERROR(INDEX(tblData[ФО],MATCH(ROWS($F$2:tblData[[#This Row],[Индекс2]]),tblData[Индекс2],0)),"")</f>
        <v>ООО Страховая Компания «Гелиос»</v>
      </c>
      <c r="I24" t="s">
        <v>1443</v>
      </c>
      <c r="J24" t="b">
        <f>NOT(ISERROR(SEARCH(FILLING!$L$16,tblData_Region[[#This Row],[РЕГИОН]])))</f>
        <v>0</v>
      </c>
      <c r="K24" s="264" t="str">
        <f>IF(tblData_Region[[#This Row],[Статус]],COUNTIF($J$2:tblData_Region[[#This Row],[Статус]],TRUE),"")</f>
        <v/>
      </c>
      <c r="L24" t="str">
        <f>IFERROR(INDEX(tblData_Region[РЕГИОН],MATCH(ROWS($K$2:tblData_Region[[#This Row],[Индекс]]),tblData_Region[Индекс],0)),"")</f>
        <v/>
      </c>
    </row>
    <row r="25" spans="1:12" x14ac:dyDescent="0.3">
      <c r="A25" s="15" t="s">
        <v>164</v>
      </c>
      <c r="B25" s="265" t="b">
        <f>NOT(ISERROR(SEARCH(FILLING!$D$11,tblData[[#This Row],[ФО]])))</f>
        <v>0</v>
      </c>
      <c r="C25" s="265" t="str">
        <f>IF(tblData[[#This Row],[Статус]],COUNTIF($B$2:tblData[[#This Row],[Статус]],TRUE),"")</f>
        <v/>
      </c>
      <c r="D25" s="266" t="str">
        <f>IFERROR(INDEX(tblData[ФО],MATCH(ROWS($C$2:tblData[[#This Row],[Индекс]]),tblData[Индекс],0)),"")</f>
        <v/>
      </c>
      <c r="E25" t="b">
        <f>NOT(ISERROR(SEARCH(FILLING!$D$15,tblData[[#This Row],[ФО]])))</f>
        <v>1</v>
      </c>
      <c r="F25" s="264">
        <f>IF(tblData[[#This Row],[Статус2]],COUNTIF($E$2:tblData[[#This Row],[Статус2]],TRUE),"")</f>
        <v>24</v>
      </c>
      <c r="G25" t="str">
        <f>IFERROR(INDEX(tblData[ФО],MATCH(ROWS($F$2:tblData[[#This Row],[Индекс2]]),tblData[Индекс2],0)),"")</f>
        <v>ПАО «АСКО-СТРАХОВАНИЕ»</v>
      </c>
      <c r="I25" t="s">
        <v>1444</v>
      </c>
      <c r="J25" t="b">
        <f>NOT(ISERROR(SEARCH(FILLING!$L$16,tblData_Region[[#This Row],[РЕГИОН]])))</f>
        <v>0</v>
      </c>
      <c r="K25" s="264" t="str">
        <f>IF(tblData_Region[[#This Row],[Статус]],COUNTIF($J$2:tblData_Region[[#This Row],[Статус]],TRUE),"")</f>
        <v/>
      </c>
      <c r="L25" t="str">
        <f>IFERROR(INDEX(tblData_Region[РЕГИОН],MATCH(ROWS($K$2:tblData_Region[[#This Row],[Индекс]]),tblData_Region[Индекс],0)),"")</f>
        <v/>
      </c>
    </row>
    <row r="26" spans="1:12" x14ac:dyDescent="0.3">
      <c r="A26" s="15" t="s">
        <v>168</v>
      </c>
      <c r="B26" s="265" t="b">
        <f>NOT(ISERROR(SEARCH(FILLING!$D$11,tblData[[#This Row],[ФО]])))</f>
        <v>0</v>
      </c>
      <c r="C26" s="265" t="str">
        <f>IF(tblData[[#This Row],[Статус]],COUNTIF($B$2:tblData[[#This Row],[Статус]],TRUE),"")</f>
        <v/>
      </c>
      <c r="D26" s="266" t="str">
        <f>IFERROR(INDEX(tblData[ФО],MATCH(ROWS($C$2:tblData[[#This Row],[Индекс]]),tblData[Индекс],0)),"")</f>
        <v/>
      </c>
      <c r="E26" t="b">
        <f>NOT(ISERROR(SEARCH(FILLING!$D$15,tblData[[#This Row],[ФО]])))</f>
        <v>1</v>
      </c>
      <c r="F26" s="264">
        <f>IF(tblData[[#This Row],[Статус2]],COUNTIF($E$2:tblData[[#This Row],[Статус2]],TRUE),"")</f>
        <v>25</v>
      </c>
      <c r="G26" t="str">
        <f>IFERROR(INDEX(tblData[ФО],MATCH(ROWS($F$2:tblData[[#This Row],[Индекс2]]),tblData[Индекс2],0)),"")</f>
        <v>ПАО «САК «Энергогарант»</v>
      </c>
      <c r="I26" t="s">
        <v>1445</v>
      </c>
      <c r="J26" t="b">
        <f>NOT(ISERROR(SEARCH(FILLING!$L$16,tblData_Region[[#This Row],[РЕГИОН]])))</f>
        <v>0</v>
      </c>
      <c r="K26" s="264" t="str">
        <f>IF(tblData_Region[[#This Row],[Статус]],COUNTIF($J$2:tblData_Region[[#This Row],[Статус]],TRUE),"")</f>
        <v/>
      </c>
      <c r="L26" t="str">
        <f>IFERROR(INDEX(tblData_Region[РЕГИОН],MATCH(ROWS($K$2:tblData_Region[[#This Row],[Индекс]]),tblData_Region[Индекс],0)),"")</f>
        <v/>
      </c>
    </row>
    <row r="27" spans="1:12" x14ac:dyDescent="0.3">
      <c r="A27" s="15" t="s">
        <v>152</v>
      </c>
      <c r="B27" s="265" t="b">
        <f>NOT(ISERROR(SEARCH(FILLING!$D$11,tblData[[#This Row],[ФО]])))</f>
        <v>0</v>
      </c>
      <c r="C27" s="265" t="str">
        <f>IF(tblData[[#This Row],[Статус]],COUNTIF($B$2:tblData[[#This Row],[Статус]],TRUE),"")</f>
        <v/>
      </c>
      <c r="D27" s="266" t="str">
        <f>IFERROR(INDEX(tblData[ФО],MATCH(ROWS($C$2:tblData[[#This Row],[Индекс]]),tblData[Индекс],0)),"")</f>
        <v/>
      </c>
      <c r="E27" t="b">
        <f>NOT(ISERROR(SEARCH(FILLING!$D$15,tblData[[#This Row],[ФО]])))</f>
        <v>1</v>
      </c>
      <c r="F27" s="264">
        <f>IF(tblData[[#This Row],[Статус2]],COUNTIF($E$2:tblData[[#This Row],[Статус2]],TRUE),"")</f>
        <v>26</v>
      </c>
      <c r="G27" t="str">
        <f>IFERROR(INDEX(tblData[ФО],MATCH(ROWS($F$2:tblData[[#This Row],[Индекс2]]),tblData[Индекс2],0)),"")</f>
        <v>ПАО СК «Росгосстрах»</v>
      </c>
      <c r="I27" t="s">
        <v>1446</v>
      </c>
      <c r="J27" t="b">
        <f>NOT(ISERROR(SEARCH(FILLING!$L$16,tblData_Region[[#This Row],[РЕГИОН]])))</f>
        <v>0</v>
      </c>
      <c r="K27" s="264" t="str">
        <f>IF(tblData_Region[[#This Row],[Статус]],COUNTIF($J$2:tblData_Region[[#This Row],[Статус]],TRUE),"")</f>
        <v/>
      </c>
      <c r="L27" t="str">
        <f>IFERROR(INDEX(tblData_Region[РЕГИОН],MATCH(ROWS($K$2:tblData_Region[[#This Row],[Индекс]]),tblData_Region[Индекс],0)),"")</f>
        <v/>
      </c>
    </row>
    <row r="28" spans="1:12" x14ac:dyDescent="0.3">
      <c r="A28" s="15" t="s">
        <v>154</v>
      </c>
      <c r="B28" s="265" t="b">
        <f>NOT(ISERROR(SEARCH(FILLING!$D$11,tblData[[#This Row],[ФО]])))</f>
        <v>0</v>
      </c>
      <c r="C28" s="265" t="str">
        <f>IF(tblData[[#This Row],[Статус]],COUNTIF($B$2:tblData[[#This Row],[Статус]],TRUE),"")</f>
        <v/>
      </c>
      <c r="D28" s="266" t="str">
        <f>IFERROR(INDEX(tblData[ФО],MATCH(ROWS($C$2:tblData[[#This Row],[Индекс]]),tblData[Индекс],0)),"")</f>
        <v/>
      </c>
      <c r="E28" t="b">
        <f>NOT(ISERROR(SEARCH(FILLING!$D$15,tblData[[#This Row],[ФО]])))</f>
        <v>1</v>
      </c>
      <c r="F28" s="264">
        <f>IF(tblData[[#This Row],[Статус2]],COUNTIF($E$2:tblData[[#This Row],[Статус2]],TRUE),"")</f>
        <v>27</v>
      </c>
      <c r="G28" t="str">
        <f>IFERROR(INDEX(tblData[ФО],MATCH(ROWS($F$2:tblData[[#This Row],[Индекс2]]),tblData[Индекс2],0)),"")</f>
        <v>САО «ВСК»</v>
      </c>
      <c r="I28" t="s">
        <v>1447</v>
      </c>
      <c r="J28" t="b">
        <f>NOT(ISERROR(SEARCH(FILLING!$L$16,tblData_Region[[#This Row],[РЕГИОН]])))</f>
        <v>0</v>
      </c>
      <c r="K28" s="264" t="str">
        <f>IF(tblData_Region[[#This Row],[Статус]],COUNTIF($J$2:tblData_Region[[#This Row],[Статус]],TRUE),"")</f>
        <v/>
      </c>
      <c r="L28" t="str">
        <f>IFERROR(INDEX(tblData_Region[РЕГИОН],MATCH(ROWS($K$2:tblData_Region[[#This Row],[Индекс]]),tblData_Region[Индекс],0)),"")</f>
        <v/>
      </c>
    </row>
    <row r="29" spans="1:12" x14ac:dyDescent="0.3">
      <c r="A29" s="65" t="s">
        <v>177</v>
      </c>
      <c r="B29" s="265" t="b">
        <f>NOT(ISERROR(SEARCH(FILLING!$D$11,tblData[[#This Row],[ФО]])))</f>
        <v>0</v>
      </c>
      <c r="C29" s="265" t="str">
        <f>IF(tblData[[#This Row],[Статус]],COUNTIF($B$2:tblData[[#This Row],[Статус]],TRUE),"")</f>
        <v/>
      </c>
      <c r="D29" s="266" t="str">
        <f>IFERROR(INDEX(tblData[ФО],MATCH(ROWS($C$2:tblData[[#This Row],[Индекс]]),tblData[Индекс],0)),"")</f>
        <v/>
      </c>
      <c r="E29" t="b">
        <f>NOT(ISERROR(SEARCH(FILLING!$D$15,tblData[[#This Row],[ФО]])))</f>
        <v>1</v>
      </c>
      <c r="F29" s="264">
        <f>IF(tblData[[#This Row],[Статус2]],COUNTIF($E$2:tblData[[#This Row],[Статус2]],TRUE),"")</f>
        <v>28</v>
      </c>
      <c r="G29" t="str">
        <f>IFERROR(INDEX(tblData[ФО],MATCH(ROWS($F$2:tblData[[#This Row],[Индекс2]]),tblData[Индекс2],0)),"")</f>
        <v>САО «Надежда»</v>
      </c>
      <c r="I29" s="5" t="s">
        <v>1448</v>
      </c>
      <c r="J29" t="b">
        <f>NOT(ISERROR(SEARCH(FILLING!$L$16,tblData_Region[[#This Row],[РЕГИОН]])))</f>
        <v>0</v>
      </c>
      <c r="K29" s="264" t="str">
        <f>IF(tblData_Region[[#This Row],[Статус]],COUNTIF($J$2:tblData_Region[[#This Row],[Статус]],TRUE),"")</f>
        <v/>
      </c>
      <c r="L29" t="str">
        <f>IFERROR(INDEX(tblData_Region[РЕГИОН],MATCH(ROWS($K$2:tblData_Region[[#This Row],[Индекс]]),tblData_Region[Индекс],0)),"")</f>
        <v/>
      </c>
    </row>
    <row r="30" spans="1:12" x14ac:dyDescent="0.3">
      <c r="A30" s="65" t="s">
        <v>538</v>
      </c>
      <c r="B30" s="265" t="b">
        <f>NOT(ISERROR(SEARCH(FILLING!$D$11,tblData[[#This Row],[ФО]])))</f>
        <v>0</v>
      </c>
      <c r="C30" s="265" t="str">
        <f>IF(tblData[[#This Row],[Статус]],COUNTIF($B$2:tblData[[#This Row],[Статус]],TRUE),"")</f>
        <v/>
      </c>
      <c r="D30" s="266" t="str">
        <f>IFERROR(INDEX(tblData[ФО],MATCH(ROWS($C$2:tblData[[#This Row],[Индекс]]),tblData[Индекс],0)),"")</f>
        <v/>
      </c>
      <c r="E30" t="b">
        <f>NOT(ISERROR(SEARCH(FILLING!$D$15,tblData[[#This Row],[ФО]])))</f>
        <v>1</v>
      </c>
      <c r="F30" s="264">
        <f>IF(tblData[[#This Row],[Статус2]],COUNTIF($E$2:tblData[[#This Row],[Статус2]],TRUE),"")</f>
        <v>29</v>
      </c>
      <c r="G30" t="str">
        <f>IFERROR(INDEX(tblData[ФО],MATCH(ROWS($F$2:tblData[[#This Row],[Индекс2]]),tblData[Индекс2],0)),"")</f>
        <v>САО ЭРГО</v>
      </c>
      <c r="I30" t="s">
        <v>1449</v>
      </c>
      <c r="J30" t="b">
        <f>NOT(ISERROR(SEARCH(FILLING!$L$16,tblData_Region[[#This Row],[РЕГИОН]])))</f>
        <v>0</v>
      </c>
      <c r="K30" s="264" t="str">
        <f>IF(tblData_Region[[#This Row],[Статус]],COUNTIF($J$2:tblData_Region[[#This Row],[Статус]],TRUE),"")</f>
        <v/>
      </c>
      <c r="L30" t="str">
        <f>IFERROR(INDEX(tblData_Region[РЕГИОН],MATCH(ROWS($K$2:tblData_Region[[#This Row],[Индекс]]),tblData_Region[Индекс],0)),"")</f>
        <v/>
      </c>
    </row>
    <row r="31" spans="1:12" x14ac:dyDescent="0.3">
      <c r="A31" s="15" t="s">
        <v>147</v>
      </c>
      <c r="B31" s="265" t="b">
        <f>NOT(ISERROR(SEARCH(FILLING!$D$11,tblData[[#This Row],[ФО]])))</f>
        <v>0</v>
      </c>
      <c r="C31" s="265" t="str">
        <f>IF(tblData[[#This Row],[Статус]],COUNTIF($B$2:tblData[[#This Row],[Статус]],TRUE),"")</f>
        <v/>
      </c>
      <c r="D31" s="266" t="str">
        <f>IFERROR(INDEX(tblData[ФО],MATCH(ROWS($C$2:tblData[[#This Row],[Индекс]]),tblData[Индекс],0)),"")</f>
        <v/>
      </c>
      <c r="E31" t="b">
        <f>NOT(ISERROR(SEARCH(FILLING!$D$15,tblData[[#This Row],[ФО]])))</f>
        <v>1</v>
      </c>
      <c r="F31" s="264">
        <f>IF(tblData[[#This Row],[Статус2]],COUNTIF($E$2:tblData[[#This Row],[Статус2]],TRUE),"")</f>
        <v>30</v>
      </c>
      <c r="G31" t="str">
        <f>IFERROR(INDEX(tblData[ФО],MATCH(ROWS($F$2:tblData[[#This Row],[Индекс2]]),tblData[Индекс2],0)),"")</f>
        <v>СПАО «Ингосстрах»</v>
      </c>
      <c r="I31" t="s">
        <v>1430</v>
      </c>
      <c r="J31" t="b">
        <f>NOT(ISERROR(SEARCH(FILLING!$L$16,tblData_Region[[#This Row],[РЕГИОН]])))</f>
        <v>0</v>
      </c>
      <c r="K31" s="264" t="str">
        <f>IF(tblData_Region[[#This Row],[Статус]],COUNTIF($J$2:tblData_Region[[#This Row],[Статус]],TRUE),"")</f>
        <v/>
      </c>
      <c r="L31" t="str">
        <f>IFERROR(INDEX(tblData_Region[РЕГИОН],MATCH(ROWS($K$2:tblData_Region[[#This Row],[Индекс]]),tblData_Region[Индекс],0)),"")</f>
        <v/>
      </c>
    </row>
    <row r="32" spans="1:12" x14ac:dyDescent="0.3">
      <c r="A32" s="15" t="s">
        <v>158</v>
      </c>
      <c r="B32" s="265" t="b">
        <f>NOT(ISERROR(SEARCH(FILLING!$D$11,tblData[[#This Row],[ФО]])))</f>
        <v>0</v>
      </c>
      <c r="C32" s="265" t="str">
        <f>IF(tblData[[#This Row],[Статус]],COUNTIF($B$2:tblData[[#This Row],[Статус]],TRUE),"")</f>
        <v/>
      </c>
      <c r="D32" s="266" t="str">
        <f>IFERROR(INDEX(tblData[ФО],MATCH(ROWS($C$2:tblData[[#This Row],[Индекс]]),tblData[Индекс],0)),"")</f>
        <v/>
      </c>
      <c r="E32" t="b">
        <f>NOT(ISERROR(SEARCH(FILLING!$D$15,tblData[[#This Row],[ФО]])))</f>
        <v>1</v>
      </c>
      <c r="F32" s="264">
        <f>IF(tblData[[#This Row],[Статус2]],COUNTIF($E$2:tblData[[#This Row],[Статус2]],TRUE),"")</f>
        <v>31</v>
      </c>
      <c r="G32" t="str">
        <f>IFERROR(INDEX(tblData[ФО],MATCH(ROWS($F$2:tblData[[#This Row],[Индекс2]]),tblData[Индекс2],0)),"")</f>
        <v>СПАО «РЕСО-Гарантия»</v>
      </c>
      <c r="I32" t="s">
        <v>1450</v>
      </c>
      <c r="J32" t="b">
        <f>NOT(ISERROR(SEARCH(FILLING!$L$16,tblData_Region[[#This Row],[РЕГИОН]])))</f>
        <v>0</v>
      </c>
      <c r="K32" s="264" t="str">
        <f>IF(tblData_Region[[#This Row],[Статус]],COUNTIF($J$2:tblData_Region[[#This Row],[Статус]],TRUE),"")</f>
        <v/>
      </c>
      <c r="L32" t="str">
        <f>IFERROR(INDEX(tblData_Region[РЕГИОН],MATCH(ROWS($K$2:tblData_Region[[#This Row],[Индекс]]),tblData_Region[Индекс],0)),"")</f>
        <v/>
      </c>
    </row>
    <row r="33" spans="1:12" x14ac:dyDescent="0.3">
      <c r="A33" s="65" t="s">
        <v>1381</v>
      </c>
      <c r="B33" s="265" t="b">
        <f>NOT(ISERROR(SEARCH(FILLING!$D$11,tblData[[#This Row],[ФО]])))</f>
        <v>0</v>
      </c>
      <c r="C33" s="265" t="str">
        <f>IF(tblData[[#This Row],[Статус]],COUNTIF($B$2:tblData[[#This Row],[Статус]],TRUE),"")</f>
        <v/>
      </c>
      <c r="D33" s="266" t="str">
        <f>IFERROR(INDEX(tblData[ФО],MATCH(ROWS($C$2:tblData[[#This Row],[Индекс]]),tblData[Индекс],0)),"")</f>
        <v/>
      </c>
      <c r="E33" t="b">
        <f>NOT(ISERROR(SEARCH(FILLING!$D$15,tblData[[#This Row],[ФО]])))</f>
        <v>1</v>
      </c>
      <c r="F33" s="264">
        <f>IF(tblData[[#This Row],[Статус2]],COUNTIF($E$2:tblData[[#This Row],[Статус2]],TRUE),"")</f>
        <v>32</v>
      </c>
      <c r="G33" t="str">
        <f>IFERROR(INDEX(tblData[ФО],MATCH(ROWS($F$2:tblData[[#This Row],[Индекс2]]),tblData[Индекс2],0)),"")</f>
        <v>АО «Страховая бизнес группа»</v>
      </c>
      <c r="I33" t="s">
        <v>1451</v>
      </c>
      <c r="J33" t="b">
        <f>NOT(ISERROR(SEARCH(FILLING!$L$16,tblData_Region[[#This Row],[РЕГИОН]])))</f>
        <v>0</v>
      </c>
      <c r="K33" s="264" t="str">
        <f>IF(tblData_Region[[#This Row],[Статус]],COUNTIF($J$2:tblData_Region[[#This Row],[Статус]],TRUE),"")</f>
        <v/>
      </c>
      <c r="L33" t="str">
        <f>IFERROR(INDEX(tblData_Region[РЕГИОН],MATCH(ROWS($K$2:tblData_Region[[#This Row],[Индекс]]),tblData_Region[Индекс],0)),"")</f>
        <v/>
      </c>
    </row>
    <row r="34" spans="1:12" x14ac:dyDescent="0.3">
      <c r="A34" s="65" t="s">
        <v>1328</v>
      </c>
      <c r="B34" s="265" t="b">
        <f>NOT(ISERROR(SEARCH(FILLING!$D$11,tblData[[#This Row],[ФО]])))</f>
        <v>0</v>
      </c>
      <c r="C34" s="265" t="str">
        <f>IF(tblData[[#This Row],[Статус]],COUNTIF($B$2:tblData[[#This Row],[Статус]],TRUE),"")</f>
        <v/>
      </c>
      <c r="D34" s="266" t="str">
        <f>IFERROR(INDEX(tblData[ФО],MATCH(ROWS($C$2:tblData[[#This Row],[Индекс]]),tblData[Индекс],0)),"")</f>
        <v/>
      </c>
      <c r="E34" t="b">
        <f>NOT(ISERROR(SEARCH(FILLING!$D$15,tblData[[#This Row],[ФО]])))</f>
        <v>1</v>
      </c>
      <c r="F34" s="264">
        <f>IF(tblData[[#This Row],[Статус2]],COUNTIF($E$2:tblData[[#This Row],[Статус2]],TRUE),"")</f>
        <v>33</v>
      </c>
      <c r="G34" t="str">
        <f>IFERROR(INDEX(tblData[ФО],MATCH(ROWS($F$2:tblData[[#This Row],[Индекс2]]),tblData[Индекс2],0)),"")</f>
        <v>ООО «СФ «Адонис»</v>
      </c>
      <c r="I34" t="s">
        <v>1452</v>
      </c>
      <c r="J34" t="b">
        <f>NOT(ISERROR(SEARCH(FILLING!$L$16,tblData_Region[[#This Row],[РЕГИОН]])))</f>
        <v>0</v>
      </c>
      <c r="K34" s="264" t="str">
        <f>IF(tblData_Region[[#This Row],[Статус]],COUNTIF($J$2:tblData_Region[[#This Row],[Статус]],TRUE),"")</f>
        <v/>
      </c>
      <c r="L34" t="str">
        <f>IFERROR(INDEX(tblData_Region[РЕГИОН],MATCH(ROWS($K$2:tblData_Region[[#This Row],[Индекс]]),tblData_Region[Индекс],0)),"")</f>
        <v/>
      </c>
    </row>
    <row r="35" spans="1:12" x14ac:dyDescent="0.3">
      <c r="A35" s="65" t="s">
        <v>1615</v>
      </c>
      <c r="B35" s="265" t="b">
        <f>NOT(ISERROR(SEARCH(FILLING!$D$11,tblData[[#This Row],[ФО]])))</f>
        <v>0</v>
      </c>
      <c r="C35" s="265" t="str">
        <f>IF(tblData[[#This Row],[Статус]],COUNTIF($B$2:tblData[[#This Row],[Статус]],TRUE),"")</f>
        <v/>
      </c>
      <c r="D35" s="266" t="str">
        <f>IFERROR(INDEX(tblData[ФО],MATCH(ROWS($C$2:tblData[[#This Row],[Индекс]]),tblData[Индекс],0)),"")</f>
        <v/>
      </c>
      <c r="E35" t="b">
        <f>NOT(ISERROR(SEARCH(FILLING!$D$15,tblData[[#This Row],[ФО]])))</f>
        <v>1</v>
      </c>
      <c r="F35" s="264">
        <f>IF(tblData[[#This Row],[Статус2]],COUNTIF($E$2:tblData[[#This Row],[Статус2]],TRUE),"")</f>
        <v>34</v>
      </c>
      <c r="G35" t="str">
        <f>IFERROR(INDEX(tblData[ФО],MATCH(ROWS($F$2:tblData[[#This Row],[Индекс2]]),tblData[Индекс2],0)),"")</f>
        <v>ПАО «МСЦ»</v>
      </c>
      <c r="I35" t="s">
        <v>1453</v>
      </c>
      <c r="J35" t="b">
        <f>NOT(ISERROR(SEARCH(FILLING!$L$16,tblData_Region[[#This Row],[РЕГИОН]])))</f>
        <v>0</v>
      </c>
      <c r="K35" s="264" t="str">
        <f>IF(tblData_Region[[#This Row],[Статус]],COUNTIF($J$2:tblData_Region[[#This Row],[Статус]],TRUE),"")</f>
        <v/>
      </c>
      <c r="L35" t="str">
        <f>IFERROR(INDEX(tblData_Region[РЕГИОН],MATCH(ROWS($K$2:tblData_Region[[#This Row],[Индекс]]),tblData_Region[Индекс],0)),"")</f>
        <v/>
      </c>
    </row>
    <row r="36" spans="1:12" x14ac:dyDescent="0.3">
      <c r="A36" s="65" t="s">
        <v>1663</v>
      </c>
      <c r="B36" s="265" t="b">
        <f>NOT(ISERROR(SEARCH(FILLING!$D$11,tblData[[#This Row],[ФО]])))</f>
        <v>0</v>
      </c>
      <c r="C36" s="265" t="str">
        <f>IF(tblData[[#This Row],[Статус]],COUNTIF($B$2:tblData[[#This Row],[Статус]],TRUE),"")</f>
        <v/>
      </c>
      <c r="D36" s="266" t="str">
        <f>IFERROR(INDEX(tblData[ФО],MATCH(ROWS($C$2:tblData[[#This Row],[Индекс]]),tblData[Индекс],0)),"")</f>
        <v/>
      </c>
      <c r="E36" t="b">
        <f>NOT(ISERROR(SEARCH(FILLING!$D$15,tblData[[#This Row],[ФО]])))</f>
        <v>1</v>
      </c>
      <c r="F36" s="264">
        <f>IF(tblData[[#This Row],[Статус2]],COUNTIF($E$2:tblData[[#This Row],[Статус2]],TRUE),"")</f>
        <v>35</v>
      </c>
      <c r="G36" t="str">
        <f>IFERROR(INDEX(tblData[ФО],MATCH(ROWS($F$2:tblData[[#This Row],[Индекс2]]),tblData[Индекс2],0)),"")</f>
        <v>ООО «СК «СЕРВИСРЕЗЕРВ»</v>
      </c>
      <c r="I36" s="5" t="s">
        <v>1454</v>
      </c>
      <c r="J36" t="b">
        <f>NOT(ISERROR(SEARCH(FILLING!$L$16,tblData_Region[[#This Row],[РЕГИОН]])))</f>
        <v>0</v>
      </c>
      <c r="K36" s="264" t="str">
        <f>IF(tblData_Region[[#This Row],[Статус]],COUNTIF($J$2:tblData_Region[[#This Row],[Статус]],TRUE),"")</f>
        <v/>
      </c>
      <c r="L36" t="str">
        <f>IFERROR(INDEX(tblData_Region[РЕГИОН],MATCH(ROWS($K$2:tblData_Region[[#This Row],[Индекс]]),tblData_Region[Индекс],0)),"")</f>
        <v/>
      </c>
    </row>
    <row r="37" spans="1:12" x14ac:dyDescent="0.3">
      <c r="A37" s="65" t="s">
        <v>1384</v>
      </c>
      <c r="B37" s="265" t="b">
        <f>NOT(ISERROR(SEARCH(FILLING!$D$11,tblData[[#This Row],[ФО]])))</f>
        <v>0</v>
      </c>
      <c r="C37" s="265" t="str">
        <f>IF(tblData[[#This Row],[Статус]],COUNTIF($B$2:tblData[[#This Row],[Статус]],TRUE),"")</f>
        <v/>
      </c>
      <c r="D37" s="266" t="str">
        <f>IFERROR(INDEX(tblData[ФО],MATCH(ROWS($C$2:tblData[[#This Row],[Индекс]]),tblData[Индекс],0)),"")</f>
        <v/>
      </c>
      <c r="E37" t="b">
        <f>NOT(ISERROR(SEARCH(FILLING!$D$15,tblData[[#This Row],[ФО]])))</f>
        <v>1</v>
      </c>
      <c r="F37" s="264">
        <f>IF(tblData[[#This Row],[Статус2]],COUNTIF($E$2:tblData[[#This Row],[Статус2]],TRUE),"")</f>
        <v>36</v>
      </c>
      <c r="G37" t="str">
        <f>IFERROR(INDEX(tblData[ФО],MATCH(ROWS($F$2:tblData[[#This Row],[Индекс2]]),tblData[Индекс2],0)),"")</f>
        <v>АО «СО «Талисман»</v>
      </c>
      <c r="I37" t="s">
        <v>1455</v>
      </c>
      <c r="J37" t="b">
        <f>NOT(ISERROR(SEARCH(FILLING!$L$16,tblData_Region[[#This Row],[РЕГИОН]])))</f>
        <v>0</v>
      </c>
      <c r="K37" s="264" t="str">
        <f>IF(tblData_Region[[#This Row],[Статус]],COUNTIF($J$2:tblData_Region[[#This Row],[Статус]],TRUE),"")</f>
        <v/>
      </c>
      <c r="L37" t="str">
        <f>IFERROR(INDEX(tblData_Region[РЕГИОН],MATCH(ROWS($K$2:tblData_Region[[#This Row],[Индекс]]),tblData_Region[Индекс],0)),"")</f>
        <v/>
      </c>
    </row>
    <row r="38" spans="1:12" x14ac:dyDescent="0.3">
      <c r="A38" s="65" t="s">
        <v>1682</v>
      </c>
      <c r="B38" s="265" t="b">
        <f>NOT(ISERROR(SEARCH(FILLING!$D$11,tblData[[#This Row],[ФО]])))</f>
        <v>0</v>
      </c>
      <c r="C38" s="265" t="str">
        <f>IF(tblData[[#This Row],[Статус]],COUNTIF($B$2:tblData[[#This Row],[Статус]],TRUE),"")</f>
        <v/>
      </c>
      <c r="D38" s="266" t="str">
        <f>IFERROR(INDEX(tblData[ФО],MATCH(ROWS($C$2:tblData[[#This Row],[Индекс]]),tblData[Индекс],0)),"")</f>
        <v/>
      </c>
      <c r="E38" t="b">
        <f>NOT(ISERROR(SEARCH(FILLING!$D$15,tblData[[#This Row],[ФО]])))</f>
        <v>1</v>
      </c>
      <c r="F38" s="264">
        <f>IF(tblData[[#This Row],[Статус2]],COUNTIF($E$2:tblData[[#This Row],[Статус2]],TRUE),"")</f>
        <v>37</v>
      </c>
      <c r="G38" t="str">
        <f>IFERROR(INDEX(tblData[ФО],MATCH(ROWS($F$2:tblData[[#This Row],[Индекс2]]),tblData[Индекс2],0)),"")</f>
        <v>ООО «Зетта Страхование»</v>
      </c>
      <c r="I38" t="s">
        <v>1456</v>
      </c>
      <c r="J38" t="b">
        <f>NOT(ISERROR(SEARCH(FILLING!$L$16,tblData_Region[[#This Row],[РЕГИОН]])))</f>
        <v>0</v>
      </c>
      <c r="K38" s="264" t="str">
        <f>IF(tblData_Region[[#This Row],[Статус]],COUNTIF($J$2:tblData_Region[[#This Row],[Статус]],TRUE),"")</f>
        <v/>
      </c>
      <c r="L38" t="str">
        <f>IFERROR(INDEX(tblData_Region[РЕГИОН],MATCH(ROWS($K$2:tblData_Region[[#This Row],[Индекс]]),tblData_Region[Индекс],0)),"")</f>
        <v/>
      </c>
    </row>
    <row r="39" spans="1:12" x14ac:dyDescent="0.3">
      <c r="A39" s="65" t="s">
        <v>1689</v>
      </c>
      <c r="B39" s="265" t="b">
        <f>NOT(ISERROR(SEARCH(FILLING!$D$11,tblData[[#This Row],[ФО]])))</f>
        <v>0</v>
      </c>
      <c r="C39" s="265" t="str">
        <f>IF(tblData[[#This Row],[Статус]],COUNTIF($B$2:tblData[[#This Row],[Статус]],TRUE),"")</f>
        <v/>
      </c>
      <c r="D39" s="266" t="str">
        <f>IFERROR(INDEX(tblData[ФО],MATCH(ROWS($C$2:tblData[[#This Row],[Индекс]]),tblData[Индекс],0)),"")</f>
        <v/>
      </c>
      <c r="E39" t="b">
        <f>NOT(ISERROR(SEARCH(FILLING!$D$15,tblData[[#This Row],[ФО]])))</f>
        <v>1</v>
      </c>
      <c r="F39" s="264">
        <f>IF(tblData[[#This Row],[Статус2]],COUNTIF($E$2:tblData[[#This Row],[Статус2]],TRUE),"")</f>
        <v>38</v>
      </c>
      <c r="G39" t="str">
        <f>IFERROR(INDEX(tblData[ФО],MATCH(ROWS($F$2:tblData[[#This Row],[Индекс2]]),tblData[Индекс2],0)),"")</f>
        <v>АО СК «Сибирский спас»</v>
      </c>
      <c r="I39" t="s">
        <v>1457</v>
      </c>
      <c r="J39" t="b">
        <f>NOT(ISERROR(SEARCH(FILLING!$L$16,tblData_Region[[#This Row],[РЕГИОН]])))</f>
        <v>0</v>
      </c>
      <c r="K39" s="264" t="str">
        <f>IF(tblData_Region[[#This Row],[Статус]],COUNTIF($J$2:tblData_Region[[#This Row],[Статус]],TRUE),"")</f>
        <v/>
      </c>
      <c r="L39" t="str">
        <f>IFERROR(INDEX(tblData_Region[РЕГИОН],MATCH(ROWS($K$2:tblData_Region[[#This Row],[Индекс]]),tblData_Region[Индекс],0)),"")</f>
        <v/>
      </c>
    </row>
    <row r="40" spans="1:12" x14ac:dyDescent="0.3">
      <c r="A40" t="s">
        <v>1855</v>
      </c>
      <c r="B40" s="265" t="b">
        <f>NOT(ISERROR(SEARCH(FILLING!$D$11,tblData[[#This Row],[ФО]])))</f>
        <v>0</v>
      </c>
      <c r="C40" s="265" t="str">
        <f>IF(tblData[[#This Row],[Статус]],COUNTIF($B$2:tblData[[#This Row],[Статус]],TRUE),"")</f>
        <v/>
      </c>
      <c r="D40" s="266" t="str">
        <f>IFERROR(INDEX(tblData[ФО],MATCH(ROWS($C$2:tblData[[#This Row],[Индекс]]),tblData[Индекс],0)),"")</f>
        <v/>
      </c>
      <c r="E40" t="b">
        <f>NOT(ISERROR(SEARCH(FILLING!$D$15,tblData[[#This Row],[ФО]])))</f>
        <v>1</v>
      </c>
      <c r="F40" s="264">
        <f>IF(tblData[[#This Row],[Статус2]],COUNTIF($E$2:tblData[[#This Row],[Статус2]],TRUE),"")</f>
        <v>39</v>
      </c>
      <c r="G40" t="str">
        <f>IFERROR(INDEX(tblData[ФО],MATCH(ROWS($F$2:tblData[[#This Row],[Индекс2]]),tblData[Индекс2],0)),"")</f>
        <v>АО Страховое общество «Якорь»</v>
      </c>
      <c r="I40" t="s">
        <v>1458</v>
      </c>
      <c r="J40" t="b">
        <f>NOT(ISERROR(SEARCH(FILLING!$L$16,tblData_Region[[#This Row],[РЕГИОН]])))</f>
        <v>0</v>
      </c>
      <c r="K40" s="264" t="str">
        <f>IF(tblData_Region[[#This Row],[Статус]],COUNTIF($J$2:tblData_Region[[#This Row],[Статус]],TRUE),"")</f>
        <v/>
      </c>
      <c r="L40" t="str">
        <f>IFERROR(INDEX(tblData_Region[РЕГИОН],MATCH(ROWS($K$2:tblData_Region[[#This Row],[Индекс]]),tblData_Region[Индекс],0)),"")</f>
        <v/>
      </c>
    </row>
    <row r="41" spans="1:12" x14ac:dyDescent="0.3">
      <c r="A41" t="s">
        <v>1221</v>
      </c>
      <c r="B41" s="265" t="b">
        <f>NOT(ISERROR(SEARCH(FILLING!$D$11,tblData[[#This Row],[ФО]])))</f>
        <v>0</v>
      </c>
      <c r="C41" s="265" t="str">
        <f>IF(tblData[[#This Row],[Статус]],COUNTIF($B$2:tblData[[#This Row],[Статус]],TRUE),"")</f>
        <v/>
      </c>
      <c r="D41" s="266" t="str">
        <f>IFERROR(INDEX(tblData[ФО],MATCH(ROWS($C$2:tblData[[#This Row],[Индекс]]),tblData[Индекс],0)),"")</f>
        <v/>
      </c>
      <c r="E41" t="b">
        <f>NOT(ISERROR(SEARCH(FILLING!$D$15,tblData[[#This Row],[ФО]])))</f>
        <v>1</v>
      </c>
      <c r="F41" s="264">
        <f>IF(tblData[[#This Row],[Статус2]],COUNTIF($E$2:tblData[[#This Row],[Статус2]],TRUE),"")</f>
        <v>40</v>
      </c>
      <c r="G41" t="str">
        <f>IFERROR(INDEX(tblData[ФО],MATCH(ROWS($F$2:tblData[[#This Row],[Индекс2]]),tblData[Индекс2],0)),"")</f>
        <v>АО СГ «Спасские ворота»</v>
      </c>
      <c r="I41" t="s">
        <v>1459</v>
      </c>
      <c r="J41" t="b">
        <f>NOT(ISERROR(SEARCH(FILLING!$L$16,tblData_Region[[#This Row],[РЕГИОН]])))</f>
        <v>0</v>
      </c>
      <c r="K41" s="264" t="str">
        <f>IF(tblData_Region[[#This Row],[Статус]],COUNTIF($J$2:tblData_Region[[#This Row],[Статус]],TRUE),"")</f>
        <v/>
      </c>
      <c r="L41" t="str">
        <f>IFERROR(INDEX(tblData_Region[РЕГИОН],MATCH(ROWS($K$2:tblData_Region[[#This Row],[Индекс]]),tblData_Region[Индекс],0)),"")</f>
        <v/>
      </c>
    </row>
    <row r="42" spans="1:12" x14ac:dyDescent="0.3">
      <c r="A42" t="s">
        <v>1863</v>
      </c>
      <c r="B42" s="265" t="b">
        <f>NOT(ISERROR(SEARCH(FILLING!$D$11,tblData[[#This Row],[ФО]])))</f>
        <v>0</v>
      </c>
      <c r="C42" s="265" t="str">
        <f>IF(tblData[[#This Row],[Статус]],COUNTIF($B$2:tblData[[#This Row],[Статус]],TRUE),"")</f>
        <v/>
      </c>
      <c r="D42" s="266" t="str">
        <f>IFERROR(INDEX(tblData[ФО],MATCH(ROWS($C$2:tblData[[#This Row],[Индекс]]),tblData[Индекс],0)),"")</f>
        <v/>
      </c>
      <c r="E42" t="b">
        <f>NOT(ISERROR(SEARCH(FILLING!$D$15,tblData[[#This Row],[ФО]])))</f>
        <v>1</v>
      </c>
      <c r="F42" s="264">
        <f>IF(tblData[[#This Row],[Статус2]],COUNTIF($E$2:tblData[[#This Row],[Статус2]],TRUE),"")</f>
        <v>41</v>
      </c>
      <c r="G42" t="str">
        <f>IFERROR(INDEX(tblData[ФО],MATCH(ROWS($F$2:tblData[[#This Row],[Индекс2]]),tblData[Индекс2],0)),"")</f>
        <v>АО «СК ОПОРА»</v>
      </c>
      <c r="I42" t="s">
        <v>1460</v>
      </c>
      <c r="J42" t="b">
        <f>NOT(ISERROR(SEARCH(FILLING!$L$16,tblData_Region[[#This Row],[РЕГИОН]])))</f>
        <v>0</v>
      </c>
      <c r="K42" s="264" t="str">
        <f>IF(tblData_Region[[#This Row],[Статус]],COUNTIF($J$2:tblData_Region[[#This Row],[Статус]],TRUE),"")</f>
        <v/>
      </c>
      <c r="L42" t="str">
        <f>IFERROR(INDEX(tblData_Region[РЕГИОН],MATCH(ROWS($K$2:tblData_Region[[#This Row],[Индекс]]),tblData_Region[Индекс],0)),"")</f>
        <v/>
      </c>
    </row>
    <row r="43" spans="1:12" x14ac:dyDescent="0.3">
      <c r="B43" s="265" t="b">
        <f>NOT(ISERROR(SEARCH(FILLING!$D$11,tblData[[#This Row],[ФО]])))</f>
        <v>0</v>
      </c>
      <c r="C43" s="265" t="str">
        <f>IF(tblData[[#This Row],[Статус]],COUNTIF($B$2:tblData[[#This Row],[Статус]],TRUE),"")</f>
        <v/>
      </c>
      <c r="D43" s="266" t="str">
        <f>IFERROR(INDEX(tblData[ФО],MATCH(ROWS($C$2:tblData[[#This Row],[Индекс]]),tblData[Индекс],0)),"")</f>
        <v/>
      </c>
      <c r="E43" t="b">
        <f>NOT(ISERROR(SEARCH(FILLING!$D$15,tblData[[#This Row],[ФО]])))</f>
        <v>0</v>
      </c>
      <c r="F43" s="264" t="str">
        <f>IF(tblData[[#This Row],[Статус2]],COUNTIF($E$2:tblData[[#This Row],[Статус2]],TRUE),"")</f>
        <v/>
      </c>
      <c r="G43" t="str">
        <f>IFERROR(INDEX(tblData[ФО],MATCH(ROWS($F$2:tblData[[#This Row],[Индекс2]]),tblData[Индекс2],0)),"")</f>
        <v/>
      </c>
      <c r="I43" t="s">
        <v>1461</v>
      </c>
      <c r="J43" t="b">
        <f>NOT(ISERROR(SEARCH(FILLING!$L$16,tblData_Region[[#This Row],[РЕГИОН]])))</f>
        <v>0</v>
      </c>
      <c r="K43" s="264" t="str">
        <f>IF(tblData_Region[[#This Row],[Статус]],COUNTIF($J$2:tblData_Region[[#This Row],[Статус]],TRUE),"")</f>
        <v/>
      </c>
      <c r="L43" t="str">
        <f>IFERROR(INDEX(tblData_Region[РЕГИОН],MATCH(ROWS($K$2:tblData_Region[[#This Row],[Индекс]]),tblData_Region[Индекс],0)),"")</f>
        <v/>
      </c>
    </row>
    <row r="44" spans="1:12" x14ac:dyDescent="0.3">
      <c r="B44" s="265" t="b">
        <f>NOT(ISERROR(SEARCH(FILLING!$D$11,tblData[[#This Row],[ФО]])))</f>
        <v>0</v>
      </c>
      <c r="C44" s="265" t="str">
        <f>IF(tblData[[#This Row],[Статус]],COUNTIF($B$2:tblData[[#This Row],[Статус]],TRUE),"")</f>
        <v/>
      </c>
      <c r="D44" s="266" t="str">
        <f>IFERROR(INDEX(tblData[ФО],MATCH(ROWS($C$2:tblData[[#This Row],[Индекс]]),tblData[Индекс],0)),"")</f>
        <v/>
      </c>
      <c r="E44" t="b">
        <f>NOT(ISERROR(SEARCH(FILLING!$D$15,tblData[[#This Row],[ФО]])))</f>
        <v>0</v>
      </c>
      <c r="F44" s="264" t="str">
        <f>IF(tblData[[#This Row],[Статус2]],COUNTIF($E$2:tblData[[#This Row],[Статус2]],TRUE),"")</f>
        <v/>
      </c>
      <c r="G44" t="str">
        <f>IFERROR(INDEX(tblData[ФО],MATCH(ROWS($F$2:tblData[[#This Row],[Индекс2]]),tblData[Индекс2],0)),"")</f>
        <v/>
      </c>
      <c r="I44" t="s">
        <v>1462</v>
      </c>
      <c r="J44" t="b">
        <f>NOT(ISERROR(SEARCH(FILLING!$L$16,tblData_Region[[#This Row],[РЕГИОН]])))</f>
        <v>0</v>
      </c>
      <c r="K44" s="264" t="str">
        <f>IF(tblData_Region[[#This Row],[Статус]],COUNTIF($J$2:tblData_Region[[#This Row],[Статус]],TRUE),"")</f>
        <v/>
      </c>
      <c r="L44" t="str">
        <f>IFERROR(INDEX(tblData_Region[РЕГИОН],MATCH(ROWS($K$2:tblData_Region[[#This Row],[Индекс]]),tblData_Region[Индекс],0)),"")</f>
        <v/>
      </c>
    </row>
    <row r="45" spans="1:12" x14ac:dyDescent="0.3">
      <c r="B45" s="265" t="b">
        <f>NOT(ISERROR(SEARCH(FILLING!$D$11,tblData[[#This Row],[ФО]])))</f>
        <v>0</v>
      </c>
      <c r="C45" s="265" t="str">
        <f>IF(tblData[[#This Row],[Статус]],COUNTIF($B$2:tblData[[#This Row],[Статус]],TRUE),"")</f>
        <v/>
      </c>
      <c r="D45" s="266" t="str">
        <f>IFERROR(INDEX(tblData[ФО],MATCH(ROWS($C$2:tblData[[#This Row],[Индекс]]),tblData[Индекс],0)),"")</f>
        <v/>
      </c>
      <c r="E45" t="b">
        <f>NOT(ISERROR(SEARCH(FILLING!$D$15,tblData[[#This Row],[ФО]])))</f>
        <v>0</v>
      </c>
      <c r="F45" s="264" t="str">
        <f>IF(tblData[[#This Row],[Статус2]],COUNTIF($E$2:tblData[[#This Row],[Статус2]],TRUE),"")</f>
        <v/>
      </c>
      <c r="G45" t="str">
        <f>IFERROR(INDEX(tblData[ФО],MATCH(ROWS($F$2:tblData[[#This Row],[Индекс2]]),tblData[Индекс2],0)),"")</f>
        <v/>
      </c>
      <c r="I45" t="s">
        <v>1463</v>
      </c>
      <c r="J45" t="b">
        <f>NOT(ISERROR(SEARCH(FILLING!$L$16,tblData_Region[[#This Row],[РЕГИОН]])))</f>
        <v>0</v>
      </c>
      <c r="K45" s="264" t="str">
        <f>IF(tblData_Region[[#This Row],[Статус]],COUNTIF($J$2:tblData_Region[[#This Row],[Статус]],TRUE),"")</f>
        <v/>
      </c>
      <c r="L45" t="str">
        <f>IFERROR(INDEX(tblData_Region[РЕГИОН],MATCH(ROWS($K$2:tblData_Region[[#This Row],[Индекс]]),tblData_Region[Индекс],0)),"")</f>
        <v/>
      </c>
    </row>
    <row r="46" spans="1:12" x14ac:dyDescent="0.3">
      <c r="B46" s="265" t="b">
        <f>NOT(ISERROR(SEARCH(FILLING!$D$11,tblData[[#This Row],[ФО]])))</f>
        <v>0</v>
      </c>
      <c r="C46" s="265" t="str">
        <f>IF(tblData[[#This Row],[Статус]],COUNTIF($B$2:tblData[[#This Row],[Статус]],TRUE),"")</f>
        <v/>
      </c>
      <c r="D46" s="266" t="str">
        <f>IFERROR(INDEX(tblData[ФО],MATCH(ROWS($C$2:tblData[[#This Row],[Индекс]]),tblData[Индекс],0)),"")</f>
        <v/>
      </c>
      <c r="E46" t="b">
        <f>NOT(ISERROR(SEARCH(FILLING!$D$15,tblData[[#This Row],[ФО]])))</f>
        <v>0</v>
      </c>
      <c r="F46" s="264" t="str">
        <f>IF(tblData[[#This Row],[Статус2]],COUNTIF($E$2:tblData[[#This Row],[Статус2]],TRUE),"")</f>
        <v/>
      </c>
      <c r="G46" t="str">
        <f>IFERROR(INDEX(tblData[ФО],MATCH(ROWS($F$2:tblData[[#This Row],[Индекс2]]),tblData[Индекс2],0)),"")</f>
        <v/>
      </c>
      <c r="I46" t="s">
        <v>1464</v>
      </c>
      <c r="J46" t="b">
        <f>NOT(ISERROR(SEARCH(FILLING!$L$16,tblData_Region[[#This Row],[РЕГИОН]])))</f>
        <v>0</v>
      </c>
      <c r="K46" s="264" t="str">
        <f>IF(tblData_Region[[#This Row],[Статус]],COUNTIF($J$2:tblData_Region[[#This Row],[Статус]],TRUE),"")</f>
        <v/>
      </c>
      <c r="L46" t="str">
        <f>IFERROR(INDEX(tblData_Region[РЕГИОН],MATCH(ROWS($K$2:tblData_Region[[#This Row],[Индекс]]),tblData_Region[Индекс],0)),"")</f>
        <v/>
      </c>
    </row>
    <row r="47" spans="1:12" x14ac:dyDescent="0.3">
      <c r="B47" s="265" t="b">
        <f>NOT(ISERROR(SEARCH(FILLING!$D$11,tblData[[#This Row],[ФО]])))</f>
        <v>0</v>
      </c>
      <c r="C47" s="265" t="str">
        <f>IF(tblData[[#This Row],[Статус]],COUNTIF($B$2:tblData[[#This Row],[Статус]],TRUE),"")</f>
        <v/>
      </c>
      <c r="D47" s="266" t="str">
        <f>IFERROR(INDEX(tblData[ФО],MATCH(ROWS($C$2:tblData[[#This Row],[Индекс]]),tblData[Индекс],0)),"")</f>
        <v/>
      </c>
      <c r="E47" t="b">
        <f>NOT(ISERROR(SEARCH(FILLING!$D$15,tblData[[#This Row],[ФО]])))</f>
        <v>0</v>
      </c>
      <c r="F47" s="264" t="str">
        <f>IF(tblData[[#This Row],[Статус2]],COUNTIF($E$2:tblData[[#This Row],[Статус2]],TRUE),"")</f>
        <v/>
      </c>
      <c r="G47" t="str">
        <f>IFERROR(INDEX(tblData[ФО],MATCH(ROWS($F$2:tblData[[#This Row],[Индекс2]]),tblData[Индекс2],0)),"")</f>
        <v/>
      </c>
      <c r="I47" t="s">
        <v>1465</v>
      </c>
      <c r="J47" t="b">
        <f>NOT(ISERROR(SEARCH(FILLING!$L$16,tblData_Region[[#This Row],[РЕГИОН]])))</f>
        <v>0</v>
      </c>
      <c r="K47" s="264" t="str">
        <f>IF(tblData_Region[[#This Row],[Статус]],COUNTIF($J$2:tblData_Region[[#This Row],[Статус]],TRUE),"")</f>
        <v/>
      </c>
      <c r="L47" t="str">
        <f>IFERROR(INDEX(tblData_Region[РЕГИОН],MATCH(ROWS($K$2:tblData_Region[[#This Row],[Индекс]]),tblData_Region[Индекс],0)),"")</f>
        <v/>
      </c>
    </row>
    <row r="48" spans="1:12" x14ac:dyDescent="0.3">
      <c r="B48" s="265" t="b">
        <f>NOT(ISERROR(SEARCH(FILLING!$D$11,tblData[[#This Row],[ФО]])))</f>
        <v>0</v>
      </c>
      <c r="C48" s="265" t="str">
        <f>IF(tblData[[#This Row],[Статус]],COUNTIF($B$2:tblData[[#This Row],[Статус]],TRUE),"")</f>
        <v/>
      </c>
      <c r="D48" s="266" t="str">
        <f>IFERROR(INDEX(tblData[ФО],MATCH(ROWS($C$2:tblData[[#This Row],[Индекс]]),tblData[Индекс],0)),"")</f>
        <v/>
      </c>
      <c r="E48" t="b">
        <f>NOT(ISERROR(SEARCH(FILLING!$D$15,tblData[[#This Row],[ФО]])))</f>
        <v>0</v>
      </c>
      <c r="F48" s="264" t="str">
        <f>IF(tblData[[#This Row],[Статус2]],COUNTIF($E$2:tblData[[#This Row],[Статус2]],TRUE),"")</f>
        <v/>
      </c>
      <c r="G48" t="str">
        <f>IFERROR(INDEX(tblData[ФО],MATCH(ROWS($F$2:tblData[[#This Row],[Индекс2]]),tblData[Индекс2],0)),"")</f>
        <v/>
      </c>
      <c r="I48" t="s">
        <v>1466</v>
      </c>
      <c r="J48" t="b">
        <f>NOT(ISERROR(SEARCH(FILLING!$L$16,tblData_Region[[#This Row],[РЕГИОН]])))</f>
        <v>0</v>
      </c>
      <c r="K48" s="264" t="str">
        <f>IF(tblData_Region[[#This Row],[Статус]],COUNTIF($J$2:tblData_Region[[#This Row],[Статус]],TRUE),"")</f>
        <v/>
      </c>
      <c r="L48" t="str">
        <f>IFERROR(INDEX(tblData_Region[РЕГИОН],MATCH(ROWS($K$2:tblData_Region[[#This Row],[Индекс]]),tblData_Region[Индекс],0)),"")</f>
        <v/>
      </c>
    </row>
    <row r="49" spans="2:12" x14ac:dyDescent="0.3">
      <c r="B49" s="265" t="b">
        <f>NOT(ISERROR(SEARCH(FILLING!$D$11,tblData[[#This Row],[ФО]])))</f>
        <v>0</v>
      </c>
      <c r="C49" s="265" t="str">
        <f>IF(tblData[[#This Row],[Статус]],COUNTIF($B$2:tblData[[#This Row],[Статус]],TRUE),"")</f>
        <v/>
      </c>
      <c r="D49" s="266" t="str">
        <f>IFERROR(INDEX(tblData[ФО],MATCH(ROWS($C$2:tblData[[#This Row],[Индекс]]),tblData[Индекс],0)),"")</f>
        <v/>
      </c>
      <c r="E49" t="b">
        <f>NOT(ISERROR(SEARCH(FILLING!$D$15,tblData[[#This Row],[ФО]])))</f>
        <v>0</v>
      </c>
      <c r="F49" s="264" t="str">
        <f>IF(tblData[[#This Row],[Статус2]],COUNTIF($E$2:tblData[[#This Row],[Статус2]],TRUE),"")</f>
        <v/>
      </c>
      <c r="G49" t="str">
        <f>IFERROR(INDEX(tblData[ФО],MATCH(ROWS($F$2:tblData[[#This Row],[Индекс2]]),tblData[Индекс2],0)),"")</f>
        <v/>
      </c>
      <c r="I49" t="s">
        <v>1467</v>
      </c>
      <c r="J49" t="b">
        <f>NOT(ISERROR(SEARCH(FILLING!$L$16,tblData_Region[[#This Row],[РЕГИОН]])))</f>
        <v>0</v>
      </c>
      <c r="K49" s="264" t="str">
        <f>IF(tblData_Region[[#This Row],[Статус]],COUNTIF($J$2:tblData_Region[[#This Row],[Статус]],TRUE),"")</f>
        <v/>
      </c>
      <c r="L49" t="str">
        <f>IFERROR(INDEX(tblData_Region[РЕГИОН],MATCH(ROWS($K$2:tblData_Region[[#This Row],[Индекс]]),tblData_Region[Индекс],0)),"")</f>
        <v/>
      </c>
    </row>
    <row r="50" spans="2:12" x14ac:dyDescent="0.3">
      <c r="B50" s="265" t="b">
        <f>NOT(ISERROR(SEARCH(FILLING!$D$11,tblData[[#This Row],[ФО]])))</f>
        <v>0</v>
      </c>
      <c r="C50" s="265" t="str">
        <f>IF(tblData[[#This Row],[Статус]],COUNTIF($B$2:tblData[[#This Row],[Статус]],TRUE),"")</f>
        <v/>
      </c>
      <c r="D50" s="266" t="str">
        <f>IFERROR(INDEX(tblData[ФО],MATCH(ROWS($C$2:tblData[[#This Row],[Индекс]]),tblData[Индекс],0)),"")</f>
        <v/>
      </c>
      <c r="E50" t="b">
        <f>NOT(ISERROR(SEARCH(FILLING!$D$15,tblData[[#This Row],[ФО]])))</f>
        <v>0</v>
      </c>
      <c r="F50" s="264" t="str">
        <f>IF(tblData[[#This Row],[Статус2]],COUNTIF($E$2:tblData[[#This Row],[Статус2]],TRUE),"")</f>
        <v/>
      </c>
      <c r="G50" t="str">
        <f>IFERROR(INDEX(tblData[ФО],MATCH(ROWS($F$2:tblData[[#This Row],[Индекс2]]),tblData[Индекс2],0)),"")</f>
        <v/>
      </c>
      <c r="I50" t="s">
        <v>1468</v>
      </c>
      <c r="J50" t="b">
        <f>NOT(ISERROR(SEARCH(FILLING!$L$16,tblData_Region[[#This Row],[РЕГИОН]])))</f>
        <v>0</v>
      </c>
      <c r="K50" s="264" t="str">
        <f>IF(tblData_Region[[#This Row],[Статус]],COUNTIF($J$2:tblData_Region[[#This Row],[Статус]],TRUE),"")</f>
        <v/>
      </c>
      <c r="L50" t="str">
        <f>IFERROR(INDEX(tblData_Region[РЕГИОН],MATCH(ROWS($K$2:tblData_Region[[#This Row],[Индекс]]),tblData_Region[Индекс],0)),"")</f>
        <v/>
      </c>
    </row>
    <row r="51" spans="2:12" x14ac:dyDescent="0.3">
      <c r="B51" s="265" t="b">
        <f>NOT(ISERROR(SEARCH(FILLING!$D$11,tblData[[#This Row],[ФО]])))</f>
        <v>0</v>
      </c>
      <c r="C51" s="265" t="str">
        <f>IF(tblData[[#This Row],[Статус]],COUNTIF($B$2:tblData[[#This Row],[Статус]],TRUE),"")</f>
        <v/>
      </c>
      <c r="D51" s="266" t="str">
        <f>IFERROR(INDEX(tblData[ФО],MATCH(ROWS($C$2:tblData[[#This Row],[Индекс]]),tblData[Индекс],0)),"")</f>
        <v/>
      </c>
      <c r="E51" t="b">
        <f>NOT(ISERROR(SEARCH(FILLING!$D$15,tblData[[#This Row],[ФО]])))</f>
        <v>0</v>
      </c>
      <c r="F51" s="264" t="str">
        <f>IF(tblData[[#This Row],[Статус2]],COUNTIF($E$2:tblData[[#This Row],[Статус2]],TRUE),"")</f>
        <v/>
      </c>
      <c r="G51" t="str">
        <f>IFERROR(INDEX(tblData[ФО],MATCH(ROWS($F$2:tblData[[#This Row],[Индекс2]]),tblData[Индекс2],0)),"")</f>
        <v/>
      </c>
      <c r="I51" t="s">
        <v>1469</v>
      </c>
      <c r="J51" t="b">
        <f>NOT(ISERROR(SEARCH(FILLING!$L$16,tblData_Region[[#This Row],[РЕГИОН]])))</f>
        <v>0</v>
      </c>
      <c r="K51" s="264" t="str">
        <f>IF(tblData_Region[[#This Row],[Статус]],COUNTIF($J$2:tblData_Region[[#This Row],[Статус]],TRUE),"")</f>
        <v/>
      </c>
      <c r="L51" t="str">
        <f>IFERROR(INDEX(tblData_Region[РЕГИОН],MATCH(ROWS($K$2:tblData_Region[[#This Row],[Индекс]]),tblData_Region[Индекс],0)),"")</f>
        <v/>
      </c>
    </row>
    <row r="52" spans="2:12" x14ac:dyDescent="0.3">
      <c r="B52" s="265" t="b">
        <f>NOT(ISERROR(SEARCH(FILLING!$D$11,tblData[[#This Row],[ФО]])))</f>
        <v>0</v>
      </c>
      <c r="C52" s="265" t="str">
        <f>IF(tblData[[#This Row],[Статус]],COUNTIF($B$2:tblData[[#This Row],[Статус]],TRUE),"")</f>
        <v/>
      </c>
      <c r="D52" s="266" t="str">
        <f>IFERROR(INDEX(tblData[ФО],MATCH(ROWS($C$2:tblData[[#This Row],[Индекс]]),tblData[Индекс],0)),"")</f>
        <v/>
      </c>
      <c r="E52" t="b">
        <f>NOT(ISERROR(SEARCH(FILLING!$D$15,tblData[[#This Row],[ФО]])))</f>
        <v>0</v>
      </c>
      <c r="F52" s="264" t="str">
        <f>IF(tblData[[#This Row],[Статус2]],COUNTIF($E$2:tblData[[#This Row],[Статус2]],TRUE),"")</f>
        <v/>
      </c>
      <c r="G52" t="str">
        <f>IFERROR(INDEX(tblData[ФО],MATCH(ROWS($F$2:tblData[[#This Row],[Индекс2]]),tblData[Индекс2],0)),"")</f>
        <v/>
      </c>
      <c r="I52" t="s">
        <v>1470</v>
      </c>
      <c r="J52" t="b">
        <f>NOT(ISERROR(SEARCH(FILLING!$L$16,tblData_Region[[#This Row],[РЕГИОН]])))</f>
        <v>0</v>
      </c>
      <c r="K52" s="264" t="str">
        <f>IF(tblData_Region[[#This Row],[Статус]],COUNTIF($J$2:tblData_Region[[#This Row],[Статус]],TRUE),"")</f>
        <v/>
      </c>
      <c r="L52" t="str">
        <f>IFERROR(INDEX(tblData_Region[РЕГИОН],MATCH(ROWS($K$2:tblData_Region[[#This Row],[Индекс]]),tblData_Region[Индекс],0)),"")</f>
        <v/>
      </c>
    </row>
    <row r="53" spans="2:12" x14ac:dyDescent="0.3">
      <c r="B53" s="265" t="b">
        <f>NOT(ISERROR(SEARCH(FILLING!$D$11,tblData[[#This Row],[ФО]])))</f>
        <v>0</v>
      </c>
      <c r="C53" s="265" t="str">
        <f>IF(tblData[[#This Row],[Статус]],COUNTIF($B$2:tblData[[#This Row],[Статус]],TRUE),"")</f>
        <v/>
      </c>
      <c r="D53" s="266" t="str">
        <f>IFERROR(INDEX(tblData[ФО],MATCH(ROWS($C$2:tblData[[#This Row],[Индекс]]),tblData[Индекс],0)),"")</f>
        <v/>
      </c>
      <c r="E53" t="b">
        <f>NOT(ISERROR(SEARCH(FILLING!$D$15,tblData[[#This Row],[ФО]])))</f>
        <v>0</v>
      </c>
      <c r="F53" s="264" t="str">
        <f>IF(tblData[[#This Row],[Статус2]],COUNTIF($E$2:tblData[[#This Row],[Статус2]],TRUE),"")</f>
        <v/>
      </c>
      <c r="G53" t="str">
        <f>IFERROR(INDEX(tblData[ФО],MATCH(ROWS($F$2:tblData[[#This Row],[Индекс2]]),tblData[Индекс2],0)),"")</f>
        <v/>
      </c>
      <c r="I53" t="s">
        <v>1471</v>
      </c>
      <c r="J53" t="b">
        <f>NOT(ISERROR(SEARCH(FILLING!$L$16,tblData_Region[[#This Row],[РЕГИОН]])))</f>
        <v>0</v>
      </c>
      <c r="K53" s="264" t="str">
        <f>IF(tblData_Region[[#This Row],[Статус]],COUNTIF($J$2:tblData_Region[[#This Row],[Статус]],TRUE),"")</f>
        <v/>
      </c>
      <c r="L53" t="str">
        <f>IFERROR(INDEX(tblData_Region[РЕГИОН],MATCH(ROWS($K$2:tblData_Region[[#This Row],[Индекс]]),tblData_Region[Индекс],0)),"")</f>
        <v/>
      </c>
    </row>
    <row r="54" spans="2:12" x14ac:dyDescent="0.3">
      <c r="B54" s="265" t="b">
        <f>NOT(ISERROR(SEARCH(FILLING!$D$11,tblData[[#This Row],[ФО]])))</f>
        <v>0</v>
      </c>
      <c r="C54" s="265" t="str">
        <f>IF(tblData[[#This Row],[Статус]],COUNTIF($B$2:tblData[[#This Row],[Статус]],TRUE),"")</f>
        <v/>
      </c>
      <c r="D54" s="266" t="str">
        <f>IFERROR(INDEX(tblData[ФО],MATCH(ROWS($C$2:tblData[[#This Row],[Индекс]]),tblData[Индекс],0)),"")</f>
        <v/>
      </c>
      <c r="E54" t="b">
        <f>NOT(ISERROR(SEARCH(FILLING!$D$15,tblData[[#This Row],[ФО]])))</f>
        <v>0</v>
      </c>
      <c r="F54" s="264" t="str">
        <f>IF(tblData[[#This Row],[Статус2]],COUNTIF($E$2:tblData[[#This Row],[Статус2]],TRUE),"")</f>
        <v/>
      </c>
      <c r="G54" t="str">
        <f>IFERROR(INDEX(tblData[ФО],MATCH(ROWS($F$2:tblData[[#This Row],[Индекс2]]),tblData[Индекс2],0)),"")</f>
        <v/>
      </c>
      <c r="I54" t="s">
        <v>1472</v>
      </c>
      <c r="J54" t="b">
        <f>NOT(ISERROR(SEARCH(FILLING!$L$16,tblData_Region[[#This Row],[РЕГИОН]])))</f>
        <v>0</v>
      </c>
      <c r="K54" s="264" t="str">
        <f>IF(tblData_Region[[#This Row],[Статус]],COUNTIF($J$2:tblData_Region[[#This Row],[Статус]],TRUE),"")</f>
        <v/>
      </c>
      <c r="L54" t="str">
        <f>IFERROR(INDEX(tblData_Region[РЕГИОН],MATCH(ROWS($K$2:tblData_Region[[#This Row],[Индекс]]),tblData_Region[Индекс],0)),"")</f>
        <v/>
      </c>
    </row>
    <row r="55" spans="2:12" x14ac:dyDescent="0.3">
      <c r="B55" s="265" t="b">
        <f>NOT(ISERROR(SEARCH(FILLING!$D$11,tblData[[#This Row],[ФО]])))</f>
        <v>0</v>
      </c>
      <c r="C55" s="265" t="str">
        <f>IF(tblData[[#This Row],[Статус]],COUNTIF($B$2:tblData[[#This Row],[Статус]],TRUE),"")</f>
        <v/>
      </c>
      <c r="D55" s="266" t="str">
        <f>IFERROR(INDEX(tblData[ФО],MATCH(ROWS($C$2:tblData[[#This Row],[Индекс]]),tblData[Индекс],0)),"")</f>
        <v/>
      </c>
      <c r="E55" t="b">
        <f>NOT(ISERROR(SEARCH(FILLING!$D$15,tblData[[#This Row],[ФО]])))</f>
        <v>0</v>
      </c>
      <c r="F55" s="264" t="str">
        <f>IF(tblData[[#This Row],[Статус2]],COUNTIF($E$2:tblData[[#This Row],[Статус2]],TRUE),"")</f>
        <v/>
      </c>
      <c r="G55" t="str">
        <f>IFERROR(INDEX(tblData[ФО],MATCH(ROWS($F$2:tblData[[#This Row],[Индекс2]]),tblData[Индекс2],0)),"")</f>
        <v/>
      </c>
      <c r="I55" t="s">
        <v>1473</v>
      </c>
      <c r="J55" t="b">
        <f>NOT(ISERROR(SEARCH(FILLING!$L$16,tblData_Region[[#This Row],[РЕГИОН]])))</f>
        <v>0</v>
      </c>
      <c r="K55" s="264" t="str">
        <f>IF(tblData_Region[[#This Row],[Статус]],COUNTIF($J$2:tblData_Region[[#This Row],[Статус]],TRUE),"")</f>
        <v/>
      </c>
      <c r="L55" t="str">
        <f>IFERROR(INDEX(tblData_Region[РЕГИОН],MATCH(ROWS($K$2:tblData_Region[[#This Row],[Индекс]]),tblData_Region[Индекс],0)),"")</f>
        <v/>
      </c>
    </row>
    <row r="56" spans="2:12" x14ac:dyDescent="0.3">
      <c r="B56" s="265" t="b">
        <f>NOT(ISERROR(SEARCH(FILLING!$D$11,tblData[[#This Row],[ФО]])))</f>
        <v>0</v>
      </c>
      <c r="C56" s="265" t="str">
        <f>IF(tblData[[#This Row],[Статус]],COUNTIF($B$2:tblData[[#This Row],[Статус]],TRUE),"")</f>
        <v/>
      </c>
      <c r="D56" s="266" t="str">
        <f>IFERROR(INDEX(tblData[ФО],MATCH(ROWS($C$2:tblData[[#This Row],[Индекс]]),tblData[Индекс],0)),"")</f>
        <v/>
      </c>
      <c r="E56" t="b">
        <f>NOT(ISERROR(SEARCH(FILLING!$D$15,tblData[[#This Row],[ФО]])))</f>
        <v>0</v>
      </c>
      <c r="F56" s="264" t="str">
        <f>IF(tblData[[#This Row],[Статус2]],COUNTIF($E$2:tblData[[#This Row],[Статус2]],TRUE),"")</f>
        <v/>
      </c>
      <c r="G56" t="str">
        <f>IFERROR(INDEX(tblData[ФО],MATCH(ROWS($F$2:tblData[[#This Row],[Индекс2]]),tblData[Индекс2],0)),"")</f>
        <v/>
      </c>
      <c r="I56" t="s">
        <v>1474</v>
      </c>
      <c r="J56" t="b">
        <f>NOT(ISERROR(SEARCH(FILLING!$L$16,tblData_Region[[#This Row],[РЕГИОН]])))</f>
        <v>0</v>
      </c>
      <c r="K56" s="264" t="str">
        <f>IF(tblData_Region[[#This Row],[Статус]],COUNTIF($J$2:tblData_Region[[#This Row],[Статус]],TRUE),"")</f>
        <v/>
      </c>
      <c r="L56" t="str">
        <f>IFERROR(INDEX(tblData_Region[РЕГИОН],MATCH(ROWS($K$2:tblData_Region[[#This Row],[Индекс]]),tblData_Region[Индекс],0)),"")</f>
        <v/>
      </c>
    </row>
    <row r="57" spans="2:12" x14ac:dyDescent="0.3">
      <c r="B57" s="265" t="b">
        <f>NOT(ISERROR(SEARCH(FILLING!$D$11,tblData[[#This Row],[ФО]])))</f>
        <v>0</v>
      </c>
      <c r="C57" s="265" t="str">
        <f>IF(tblData[[#This Row],[Статус]],COUNTIF($B$2:tblData[[#This Row],[Статус]],TRUE),"")</f>
        <v/>
      </c>
      <c r="D57" s="266" t="str">
        <f>IFERROR(INDEX(tblData[ФО],MATCH(ROWS($C$2:tblData[[#This Row],[Индекс]]),tblData[Индекс],0)),"")</f>
        <v/>
      </c>
      <c r="E57" t="b">
        <f>NOT(ISERROR(SEARCH(FILLING!$D$15,tblData[[#This Row],[ФО]])))</f>
        <v>0</v>
      </c>
      <c r="F57" s="264" t="str">
        <f>IF(tblData[[#This Row],[Статус2]],COUNTIF($E$2:tblData[[#This Row],[Статус2]],TRUE),"")</f>
        <v/>
      </c>
      <c r="G57" t="str">
        <f>IFERROR(INDEX(tblData[ФО],MATCH(ROWS($F$2:tblData[[#This Row],[Индекс2]]),tblData[Индекс2],0)),"")</f>
        <v/>
      </c>
      <c r="I57" t="s">
        <v>1475</v>
      </c>
      <c r="J57" t="b">
        <f>NOT(ISERROR(SEARCH(FILLING!$L$16,tblData_Region[[#This Row],[РЕГИОН]])))</f>
        <v>0</v>
      </c>
      <c r="K57" s="264" t="str">
        <f>IF(tblData_Region[[#This Row],[Статус]],COUNTIF($J$2:tblData_Region[[#This Row],[Статус]],TRUE),"")</f>
        <v/>
      </c>
      <c r="L57" t="str">
        <f>IFERROR(INDEX(tblData_Region[РЕГИОН],MATCH(ROWS($K$2:tblData_Region[[#This Row],[Индекс]]),tblData_Region[Индекс],0)),"")</f>
        <v/>
      </c>
    </row>
    <row r="58" spans="2:12" x14ac:dyDescent="0.3">
      <c r="B58" s="265" t="b">
        <f>NOT(ISERROR(SEARCH(FILLING!$D$11,tblData[[#This Row],[ФО]])))</f>
        <v>0</v>
      </c>
      <c r="C58" s="265" t="str">
        <f>IF(tblData[[#This Row],[Статус]],COUNTIF($B$2:tblData[[#This Row],[Статус]],TRUE),"")</f>
        <v/>
      </c>
      <c r="D58" s="266" t="str">
        <f>IFERROR(INDEX(tblData[ФО],MATCH(ROWS($C$2:tblData[[#This Row],[Индекс]]),tblData[Индекс],0)),"")</f>
        <v/>
      </c>
      <c r="E58" t="b">
        <f>NOT(ISERROR(SEARCH(FILLING!$D$15,tblData[[#This Row],[ФО]])))</f>
        <v>0</v>
      </c>
      <c r="F58" s="264" t="str">
        <f>IF(tblData[[#This Row],[Статус2]],COUNTIF($E$2:tblData[[#This Row],[Статус2]],TRUE),"")</f>
        <v/>
      </c>
      <c r="G58" t="str">
        <f>IFERROR(INDEX(tblData[ФО],MATCH(ROWS($F$2:tblData[[#This Row],[Индекс2]]),tblData[Индекс2],0)),"")</f>
        <v/>
      </c>
      <c r="I58" t="s">
        <v>1476</v>
      </c>
      <c r="J58" t="b">
        <f>NOT(ISERROR(SEARCH(FILLING!$L$16,tblData_Region[[#This Row],[РЕГИОН]])))</f>
        <v>0</v>
      </c>
      <c r="K58" s="264" t="str">
        <f>IF(tblData_Region[[#This Row],[Статус]],COUNTIF($J$2:tblData_Region[[#This Row],[Статус]],TRUE),"")</f>
        <v/>
      </c>
      <c r="L58" t="str">
        <f>IFERROR(INDEX(tblData_Region[РЕГИОН],MATCH(ROWS($K$2:tblData_Region[[#This Row],[Индекс]]),tblData_Region[Индекс],0)),"")</f>
        <v/>
      </c>
    </row>
    <row r="59" spans="2:12" x14ac:dyDescent="0.3">
      <c r="B59" s="265" t="b">
        <f>NOT(ISERROR(SEARCH(FILLING!$D$11,tblData[[#This Row],[ФО]])))</f>
        <v>0</v>
      </c>
      <c r="C59" s="265" t="str">
        <f>IF(tblData[[#This Row],[Статус]],COUNTIF($B$2:tblData[[#This Row],[Статус]],TRUE),"")</f>
        <v/>
      </c>
      <c r="D59" s="266" t="str">
        <f>IFERROR(INDEX(tblData[ФО],MATCH(ROWS($C$2:tblData[[#This Row],[Индекс]]),tblData[Индекс],0)),"")</f>
        <v/>
      </c>
      <c r="E59" t="b">
        <f>NOT(ISERROR(SEARCH(FILLING!$D$15,tblData[[#This Row],[ФО]])))</f>
        <v>0</v>
      </c>
      <c r="F59" s="264" t="str">
        <f>IF(tblData[[#This Row],[Статус2]],COUNTIF($E$2:tblData[[#This Row],[Статус2]],TRUE),"")</f>
        <v/>
      </c>
      <c r="G59" t="str">
        <f>IFERROR(INDEX(tblData[ФО],MATCH(ROWS($F$2:tblData[[#This Row],[Индекс2]]),tblData[Индекс2],0)),"")</f>
        <v/>
      </c>
      <c r="I59" t="s">
        <v>1538</v>
      </c>
      <c r="J59" t="b">
        <f>NOT(ISERROR(SEARCH(FILLING!$L$16,tblData_Region[[#This Row],[РЕГИОН]])))</f>
        <v>0</v>
      </c>
      <c r="K59" s="264" t="str">
        <f>IF(tblData_Region[[#This Row],[Статус]],COUNTIF($J$2:tblData_Region[[#This Row],[Статус]],TRUE),"")</f>
        <v/>
      </c>
      <c r="L59" t="str">
        <f>IFERROR(INDEX(tblData_Region[РЕГИОН],MATCH(ROWS($K$2:tblData_Region[[#This Row],[Индекс]]),tblData_Region[Индекс],0)),"")</f>
        <v/>
      </c>
    </row>
    <row r="60" spans="2:12" x14ac:dyDescent="0.3">
      <c r="B60" s="265" t="b">
        <f>NOT(ISERROR(SEARCH(FILLING!$D$11,tblData[[#This Row],[ФО]])))</f>
        <v>0</v>
      </c>
      <c r="C60" s="265" t="str">
        <f>IF(tblData[[#This Row],[Статус]],COUNTIF($B$2:tblData[[#This Row],[Статус]],TRUE),"")</f>
        <v/>
      </c>
      <c r="D60" s="266" t="str">
        <f>IFERROR(INDEX(tblData[ФО],MATCH(ROWS($C$2:tblData[[#This Row],[Индекс]]),tblData[Индекс],0)),"")</f>
        <v/>
      </c>
      <c r="E60" t="b">
        <f>NOT(ISERROR(SEARCH(FILLING!$D$15,tblData[[#This Row],[ФО]])))</f>
        <v>0</v>
      </c>
      <c r="F60" s="264" t="str">
        <f>IF(tblData[[#This Row],[Статус2]],COUNTIF($E$2:tblData[[#This Row],[Статус2]],TRUE),"")</f>
        <v/>
      </c>
      <c r="G60" t="str">
        <f>IFERROR(INDEX(tblData[ФО],MATCH(ROWS($F$2:tblData[[#This Row],[Индекс2]]),tblData[Индекс2],0)),"")</f>
        <v/>
      </c>
      <c r="I60" t="s">
        <v>1477</v>
      </c>
      <c r="J60" t="b">
        <f>NOT(ISERROR(SEARCH(FILLING!$L$16,tblData_Region[[#This Row],[РЕГИОН]])))</f>
        <v>0</v>
      </c>
      <c r="K60" s="264" t="str">
        <f>IF(tblData_Region[[#This Row],[Статус]],COUNTIF($J$2:tblData_Region[[#This Row],[Статус]],TRUE),"")</f>
        <v/>
      </c>
      <c r="L60" t="str">
        <f>IFERROR(INDEX(tblData_Region[РЕГИОН],MATCH(ROWS($K$2:tblData_Region[[#This Row],[Индекс]]),tblData_Region[Индекс],0)),"")</f>
        <v/>
      </c>
    </row>
    <row r="61" spans="2:12" x14ac:dyDescent="0.3">
      <c r="B61" s="265" t="b">
        <f>NOT(ISERROR(SEARCH(FILLING!$D$11,tblData[[#This Row],[ФО]])))</f>
        <v>0</v>
      </c>
      <c r="C61" s="265" t="str">
        <f>IF(tblData[[#This Row],[Статус]],COUNTIF($B$2:tblData[[#This Row],[Статус]],TRUE),"")</f>
        <v/>
      </c>
      <c r="D61" s="266" t="str">
        <f>IFERROR(INDEX(tblData[ФО],MATCH(ROWS($C$2:tblData[[#This Row],[Индекс]]),tblData[Индекс],0)),"")</f>
        <v/>
      </c>
      <c r="E61" t="b">
        <f>NOT(ISERROR(SEARCH(FILLING!$D$15,tblData[[#This Row],[ФО]])))</f>
        <v>0</v>
      </c>
      <c r="F61" s="264" t="str">
        <f>IF(tblData[[#This Row],[Статус2]],COUNTIF($E$2:tblData[[#This Row],[Статус2]],TRUE),"")</f>
        <v/>
      </c>
      <c r="G61" t="str">
        <f>IFERROR(INDEX(tblData[ФО],MATCH(ROWS($F$2:tblData[[#This Row],[Индекс2]]),tblData[Индекс2],0)),"")</f>
        <v/>
      </c>
      <c r="I61" t="s">
        <v>1478</v>
      </c>
      <c r="J61" t="b">
        <f>NOT(ISERROR(SEARCH(FILLING!$L$16,tblData_Region[[#This Row],[РЕГИОН]])))</f>
        <v>0</v>
      </c>
      <c r="K61" s="264" t="str">
        <f>IF(tblData_Region[[#This Row],[Статус]],COUNTIF($J$2:tblData_Region[[#This Row],[Статус]],TRUE),"")</f>
        <v/>
      </c>
      <c r="L61" t="str">
        <f>IFERROR(INDEX(tblData_Region[РЕГИОН],MATCH(ROWS($K$2:tblData_Region[[#This Row],[Индекс]]),tblData_Region[Индекс],0)),"")</f>
        <v/>
      </c>
    </row>
    <row r="62" spans="2:12" x14ac:dyDescent="0.3">
      <c r="B62" s="265" t="b">
        <f>NOT(ISERROR(SEARCH(FILLING!$D$11,tblData[[#This Row],[ФО]])))</f>
        <v>0</v>
      </c>
      <c r="C62" s="265" t="str">
        <f>IF(tblData[[#This Row],[Статус]],COUNTIF($B$2:tblData[[#This Row],[Статус]],TRUE),"")</f>
        <v/>
      </c>
      <c r="D62" s="266" t="str">
        <f>IFERROR(INDEX(tblData[ФО],MATCH(ROWS($C$2:tblData[[#This Row],[Индекс]]),tblData[Индекс],0)),"")</f>
        <v/>
      </c>
      <c r="E62" t="b">
        <f>NOT(ISERROR(SEARCH(FILLING!$D$15,tblData[[#This Row],[ФО]])))</f>
        <v>0</v>
      </c>
      <c r="F62" s="264" t="str">
        <f>IF(tblData[[#This Row],[Статус2]],COUNTIF($E$2:tblData[[#This Row],[Статус2]],TRUE),"")</f>
        <v/>
      </c>
      <c r="G62" t="str">
        <f>IFERROR(INDEX(tblData[ФО],MATCH(ROWS($F$2:tblData[[#This Row],[Индекс2]]),tblData[Индекс2],0)),"")</f>
        <v/>
      </c>
      <c r="I62" t="s">
        <v>1479</v>
      </c>
      <c r="J62" t="b">
        <f>NOT(ISERROR(SEARCH(FILLING!$L$16,tblData_Region[[#This Row],[РЕГИОН]])))</f>
        <v>0</v>
      </c>
      <c r="K62" s="264" t="str">
        <f>IF(tblData_Region[[#This Row],[Статус]],COUNTIF($J$2:tblData_Region[[#This Row],[Статус]],TRUE),"")</f>
        <v/>
      </c>
      <c r="L62" t="str">
        <f>IFERROR(INDEX(tblData_Region[РЕГИОН],MATCH(ROWS($K$2:tblData_Region[[#This Row],[Индекс]]),tblData_Region[Индекс],0)),"")</f>
        <v/>
      </c>
    </row>
    <row r="63" spans="2:12" x14ac:dyDescent="0.3">
      <c r="B63" s="265" t="b">
        <f>NOT(ISERROR(SEARCH(FILLING!$D$11,tblData[[#This Row],[ФО]])))</f>
        <v>0</v>
      </c>
      <c r="C63" s="265" t="str">
        <f>IF(tblData[[#This Row],[Статус]],COUNTIF($B$2:tblData[[#This Row],[Статус]],TRUE),"")</f>
        <v/>
      </c>
      <c r="D63" s="266" t="str">
        <f>IFERROR(INDEX(tblData[ФО],MATCH(ROWS($C$2:tblData[[#This Row],[Индекс]]),tblData[Индекс],0)),"")</f>
        <v/>
      </c>
      <c r="E63" t="b">
        <f>NOT(ISERROR(SEARCH(FILLING!$D$15,tblData[[#This Row],[ФО]])))</f>
        <v>0</v>
      </c>
      <c r="F63" s="264" t="str">
        <f>IF(tblData[[#This Row],[Статус2]],COUNTIF($E$2:tblData[[#This Row],[Статус2]],TRUE),"")</f>
        <v/>
      </c>
      <c r="G63" t="str">
        <f>IFERROR(INDEX(tblData[ФО],MATCH(ROWS($F$2:tblData[[#This Row],[Индекс2]]),tblData[Индекс2],0)),"")</f>
        <v/>
      </c>
      <c r="I63" t="s">
        <v>1480</v>
      </c>
      <c r="J63" t="b">
        <f>NOT(ISERROR(SEARCH(FILLING!$L$16,tblData_Region[[#This Row],[РЕГИОН]])))</f>
        <v>0</v>
      </c>
      <c r="K63" s="264" t="str">
        <f>IF(tblData_Region[[#This Row],[Статус]],COUNTIF($J$2:tblData_Region[[#This Row],[Статус]],TRUE),"")</f>
        <v/>
      </c>
      <c r="L63" t="str">
        <f>IFERROR(INDEX(tblData_Region[РЕГИОН],MATCH(ROWS($K$2:tblData_Region[[#This Row],[Индекс]]),tblData_Region[Индекс],0)),"")</f>
        <v/>
      </c>
    </row>
    <row r="64" spans="2:12" x14ac:dyDescent="0.3">
      <c r="B64" s="265" t="b">
        <f>NOT(ISERROR(SEARCH(FILLING!$D$11,tblData[[#This Row],[ФО]])))</f>
        <v>0</v>
      </c>
      <c r="C64" s="265" t="str">
        <f>IF(tblData[[#This Row],[Статус]],COUNTIF($B$2:tblData[[#This Row],[Статус]],TRUE),"")</f>
        <v/>
      </c>
      <c r="D64" s="266" t="str">
        <f>IFERROR(INDEX(tblData[ФО],MATCH(ROWS($C$2:tblData[[#This Row],[Индекс]]),tblData[Индекс],0)),"")</f>
        <v/>
      </c>
      <c r="E64" t="b">
        <f>NOT(ISERROR(SEARCH(FILLING!$D$15,tblData[[#This Row],[ФО]])))</f>
        <v>0</v>
      </c>
      <c r="F64" s="264" t="str">
        <f>IF(tblData[[#This Row],[Статус2]],COUNTIF($E$2:tblData[[#This Row],[Статус2]],TRUE),"")</f>
        <v/>
      </c>
      <c r="G64" t="str">
        <f>IFERROR(INDEX(tblData[ФО],MATCH(ROWS($F$2:tblData[[#This Row],[Индекс2]]),tblData[Индекс2],0)),"")</f>
        <v/>
      </c>
      <c r="I64" t="s">
        <v>1481</v>
      </c>
      <c r="J64" t="b">
        <f>NOT(ISERROR(SEARCH(FILLING!$L$16,tblData_Region[[#This Row],[РЕГИОН]])))</f>
        <v>0</v>
      </c>
      <c r="K64" s="264" t="str">
        <f>IF(tblData_Region[[#This Row],[Статус]],COUNTIF($J$2:tblData_Region[[#This Row],[Статус]],TRUE),"")</f>
        <v/>
      </c>
      <c r="L64" t="str">
        <f>IFERROR(INDEX(tblData_Region[РЕГИОН],MATCH(ROWS($K$2:tblData_Region[[#This Row],[Индекс]]),tblData_Region[Индекс],0)),"")</f>
        <v/>
      </c>
    </row>
    <row r="65" spans="2:12" x14ac:dyDescent="0.3">
      <c r="B65" s="265" t="b">
        <f>NOT(ISERROR(SEARCH(FILLING!$D$11,tblData[[#This Row],[ФО]])))</f>
        <v>0</v>
      </c>
      <c r="C65" s="265" t="str">
        <f>IF(tblData[[#This Row],[Статус]],COUNTIF($B$2:tblData[[#This Row],[Статус]],TRUE),"")</f>
        <v/>
      </c>
      <c r="D65" s="266" t="str">
        <f>IFERROR(INDEX(tblData[ФО],MATCH(ROWS($C$2:tblData[[#This Row],[Индекс]]),tblData[Индекс],0)),"")</f>
        <v/>
      </c>
      <c r="E65" t="b">
        <f>NOT(ISERROR(SEARCH(FILLING!$D$15,tblData[[#This Row],[ФО]])))</f>
        <v>0</v>
      </c>
      <c r="F65" s="264" t="str">
        <f>IF(tblData[[#This Row],[Статус2]],COUNTIF($E$2:tblData[[#This Row],[Статус2]],TRUE),"")</f>
        <v/>
      </c>
      <c r="G65" t="str">
        <f>IFERROR(INDEX(tblData[ФО],MATCH(ROWS($F$2:tblData[[#This Row],[Индекс2]]),tblData[Индекс2],0)),"")</f>
        <v/>
      </c>
      <c r="I65" t="s">
        <v>1507</v>
      </c>
      <c r="J65" t="b">
        <f>NOT(ISERROR(SEARCH(FILLING!$L$16,tblData_Region[[#This Row],[РЕГИОН]])))</f>
        <v>0</v>
      </c>
      <c r="K65" s="264" t="str">
        <f>IF(tblData_Region[[#This Row],[Статус]],COUNTIF($J$2:tblData_Region[[#This Row],[Статус]],TRUE),"")</f>
        <v/>
      </c>
      <c r="L65" t="str">
        <f>IFERROR(INDEX(tblData_Region[РЕГИОН],MATCH(ROWS($K$2:tblData_Region[[#This Row],[Индекс]]),tblData_Region[Индекс],0)),"")</f>
        <v/>
      </c>
    </row>
    <row r="66" spans="2:12" x14ac:dyDescent="0.3">
      <c r="B66" s="265" t="b">
        <f>NOT(ISERROR(SEARCH(FILLING!$D$11,tblData[[#This Row],[ФО]])))</f>
        <v>0</v>
      </c>
      <c r="C66" s="265" t="str">
        <f>IF(tblData[[#This Row],[Статус]],COUNTIF($B$2:tblData[[#This Row],[Статус]],TRUE),"")</f>
        <v/>
      </c>
      <c r="D66" s="266" t="str">
        <f>IFERROR(INDEX(tblData[ФО],MATCH(ROWS($C$2:tblData[[#This Row],[Индекс]]),tblData[Индекс],0)),"")</f>
        <v/>
      </c>
      <c r="E66" t="b">
        <f>NOT(ISERROR(SEARCH(FILLING!$D$15,tblData[[#This Row],[ФО]])))</f>
        <v>0</v>
      </c>
      <c r="F66" s="264" t="str">
        <f>IF(tblData[[#This Row],[Статус2]],COUNTIF($E$2:tblData[[#This Row],[Статус2]],TRUE),"")</f>
        <v/>
      </c>
      <c r="G66" t="str">
        <f>IFERROR(INDEX(tblData[ФО],MATCH(ROWS($F$2:tblData[[#This Row],[Индекс2]]),tblData[Индекс2],0)),"")</f>
        <v/>
      </c>
      <c r="I66" t="s">
        <v>1482</v>
      </c>
      <c r="J66" t="b">
        <f>NOT(ISERROR(SEARCH(FILLING!$L$16,tblData_Region[[#This Row],[РЕГИОН]])))</f>
        <v>0</v>
      </c>
      <c r="K66" s="264" t="str">
        <f>IF(tblData_Region[[#This Row],[Статус]],COUNTIF($J$2:tblData_Region[[#This Row],[Статус]],TRUE),"")</f>
        <v/>
      </c>
      <c r="L66" t="str">
        <f>IFERROR(INDEX(tblData_Region[РЕГИОН],MATCH(ROWS($K$2:tblData_Region[[#This Row],[Индекс]]),tblData_Region[Индекс],0)),"")</f>
        <v/>
      </c>
    </row>
    <row r="67" spans="2:12" x14ac:dyDescent="0.3">
      <c r="B67" s="265" t="b">
        <f>NOT(ISERROR(SEARCH(FILLING!$D$11,tblData[[#This Row],[ФО]])))</f>
        <v>0</v>
      </c>
      <c r="C67" s="265" t="str">
        <f>IF(tblData[[#This Row],[Статус]],COUNTIF($B$2:tblData[[#This Row],[Статус]],TRUE),"")</f>
        <v/>
      </c>
      <c r="D67" s="266" t="str">
        <f>IFERROR(INDEX(tblData[ФО],MATCH(ROWS($C$2:tblData[[#This Row],[Индекс]]),tblData[Индекс],0)),"")</f>
        <v/>
      </c>
      <c r="E67" t="b">
        <f>NOT(ISERROR(SEARCH(FILLING!$D$15,tblData[[#This Row],[ФО]])))</f>
        <v>0</v>
      </c>
      <c r="F67" s="264" t="str">
        <f>IF(tblData[[#This Row],[Статус2]],COUNTIF($E$2:tblData[[#This Row],[Статус2]],TRUE),"")</f>
        <v/>
      </c>
      <c r="G67" t="str">
        <f>IFERROR(INDEX(tblData[ФО],MATCH(ROWS($F$2:tblData[[#This Row],[Индекс2]]),tblData[Индекс2],0)),"")</f>
        <v/>
      </c>
      <c r="I67" t="s">
        <v>1483</v>
      </c>
      <c r="J67" t="b">
        <f>NOT(ISERROR(SEARCH(FILLING!$L$16,tblData_Region[[#This Row],[РЕГИОН]])))</f>
        <v>0</v>
      </c>
      <c r="K67" s="264" t="str">
        <f>IF(tblData_Region[[#This Row],[Статус]],COUNTIF($J$2:tblData_Region[[#This Row],[Статус]],TRUE),"")</f>
        <v/>
      </c>
      <c r="L67" t="str">
        <f>IFERROR(INDEX(tblData_Region[РЕГИОН],MATCH(ROWS($K$2:tblData_Region[[#This Row],[Индекс]]),tblData_Region[Индекс],0)),"")</f>
        <v/>
      </c>
    </row>
    <row r="68" spans="2:12" x14ac:dyDescent="0.3">
      <c r="B68" s="265" t="b">
        <f>NOT(ISERROR(SEARCH(FILLING!$D$11,tblData[[#This Row],[ФО]])))</f>
        <v>0</v>
      </c>
      <c r="C68" s="265" t="str">
        <f>IF(tblData[[#This Row],[Статус]],COUNTIF($B$2:tblData[[#This Row],[Статус]],TRUE),"")</f>
        <v/>
      </c>
      <c r="D68" s="266" t="str">
        <f>IFERROR(INDEX(tblData[ФО],MATCH(ROWS($C$2:tblData[[#This Row],[Индекс]]),tblData[Индекс],0)),"")</f>
        <v/>
      </c>
      <c r="E68" t="b">
        <f>NOT(ISERROR(SEARCH(FILLING!$D$15,tblData[[#This Row],[ФО]])))</f>
        <v>0</v>
      </c>
      <c r="F68" s="264" t="str">
        <f>IF(tblData[[#This Row],[Статус2]],COUNTIF($E$2:tblData[[#This Row],[Статус2]],TRUE),"")</f>
        <v/>
      </c>
      <c r="G68" t="str">
        <f>IFERROR(INDEX(tblData[ФО],MATCH(ROWS($F$2:tblData[[#This Row],[Индекс2]]),tblData[Индекс2],0)),"")</f>
        <v/>
      </c>
      <c r="I68" t="s">
        <v>1484</v>
      </c>
      <c r="J68" t="b">
        <f>NOT(ISERROR(SEARCH(FILLING!$L$16,tblData_Region[[#This Row],[РЕГИОН]])))</f>
        <v>0</v>
      </c>
      <c r="K68" s="264" t="str">
        <f>IF(tblData_Region[[#This Row],[Статус]],COUNTIF($J$2:tblData_Region[[#This Row],[Статус]],TRUE),"")</f>
        <v/>
      </c>
      <c r="L68" t="str">
        <f>IFERROR(INDEX(tblData_Region[РЕГИОН],MATCH(ROWS($K$2:tblData_Region[[#This Row],[Индекс]]),tblData_Region[Индекс],0)),"")</f>
        <v/>
      </c>
    </row>
    <row r="69" spans="2:12" x14ac:dyDescent="0.3">
      <c r="B69" s="265" t="b">
        <f>NOT(ISERROR(SEARCH(FILLING!$D$11,tblData[[#This Row],[ФО]])))</f>
        <v>0</v>
      </c>
      <c r="C69" s="265" t="str">
        <f>IF(tblData[[#This Row],[Статус]],COUNTIF($B$2:tblData[[#This Row],[Статус]],TRUE),"")</f>
        <v/>
      </c>
      <c r="D69" s="266" t="str">
        <f>IFERROR(INDEX(tblData[ФО],MATCH(ROWS($C$2:tblData[[#This Row],[Индекс]]),tblData[Индекс],0)),"")</f>
        <v/>
      </c>
      <c r="E69" t="b">
        <f>NOT(ISERROR(SEARCH(FILLING!$D$15,tblData[[#This Row],[ФО]])))</f>
        <v>0</v>
      </c>
      <c r="F69" s="264" t="str">
        <f>IF(tblData[[#This Row],[Статус2]],COUNTIF($E$2:tblData[[#This Row],[Статус2]],TRUE),"")</f>
        <v/>
      </c>
      <c r="G69" t="str">
        <f>IFERROR(INDEX(tblData[ФО],MATCH(ROWS($F$2:tblData[[#This Row],[Индекс2]]),tblData[Индекс2],0)),"")</f>
        <v/>
      </c>
      <c r="I69" t="s">
        <v>1506</v>
      </c>
      <c r="J69" t="b">
        <f>NOT(ISERROR(SEARCH(FILLING!$L$16,tblData_Region[[#This Row],[РЕГИОН]])))</f>
        <v>0</v>
      </c>
      <c r="K69" s="264" t="str">
        <f>IF(tblData_Region[[#This Row],[Статус]],COUNTIF($J$2:tblData_Region[[#This Row],[Статус]],TRUE),"")</f>
        <v/>
      </c>
      <c r="L69" t="str">
        <f>IFERROR(INDEX(tblData_Region[РЕГИОН],MATCH(ROWS($K$2:tblData_Region[[#This Row],[Индекс]]),tblData_Region[Индекс],0)),"")</f>
        <v/>
      </c>
    </row>
    <row r="70" spans="2:12" x14ac:dyDescent="0.3">
      <c r="B70" s="265" t="b">
        <f>NOT(ISERROR(SEARCH(FILLING!$D$11,tblData[[#This Row],[ФО]])))</f>
        <v>0</v>
      </c>
      <c r="C70" s="265" t="str">
        <f>IF(tblData[[#This Row],[Статус]],COUNTIF($B$2:tblData[[#This Row],[Статус]],TRUE),"")</f>
        <v/>
      </c>
      <c r="D70" s="266" t="str">
        <f>IFERROR(INDEX(tblData[ФО],MATCH(ROWS($C$2:tblData[[#This Row],[Индекс]]),tblData[Индекс],0)),"")</f>
        <v/>
      </c>
      <c r="E70" t="b">
        <f>NOT(ISERROR(SEARCH(FILLING!$D$15,tblData[[#This Row],[ФО]])))</f>
        <v>0</v>
      </c>
      <c r="F70" s="264" t="str">
        <f>IF(tblData[[#This Row],[Статус2]],COUNTIF($E$2:tblData[[#This Row],[Статус2]],TRUE),"")</f>
        <v/>
      </c>
      <c r="G70" t="str">
        <f>IFERROR(INDEX(tblData[ФО],MATCH(ROWS($F$2:tblData[[#This Row],[Индекс2]]),tblData[Индекс2],0)),"")</f>
        <v/>
      </c>
      <c r="I70" t="s">
        <v>1485</v>
      </c>
      <c r="J70" t="b">
        <f>NOT(ISERROR(SEARCH(FILLING!$L$16,tblData_Region[[#This Row],[РЕГИОН]])))</f>
        <v>0</v>
      </c>
      <c r="K70" s="264" t="str">
        <f>IF(tblData_Region[[#This Row],[Статус]],COUNTIF($J$2:tblData_Region[[#This Row],[Статус]],TRUE),"")</f>
        <v/>
      </c>
      <c r="L70" t="str">
        <f>IFERROR(INDEX(tblData_Region[РЕГИОН],MATCH(ROWS($K$2:tblData_Region[[#This Row],[Индекс]]),tblData_Region[Индекс],0)),"")</f>
        <v/>
      </c>
    </row>
    <row r="71" spans="2:12" x14ac:dyDescent="0.3">
      <c r="B71" s="265" t="b">
        <f>NOT(ISERROR(SEARCH(FILLING!$D$11,tblData[[#This Row],[ФО]])))</f>
        <v>0</v>
      </c>
      <c r="C71" s="265" t="str">
        <f>IF(tblData[[#This Row],[Статус]],COUNTIF($B$2:tblData[[#This Row],[Статус]],TRUE),"")</f>
        <v/>
      </c>
      <c r="D71" s="266" t="str">
        <f>IFERROR(INDEX(tblData[ФО],MATCH(ROWS($C$2:tblData[[#This Row],[Индекс]]),tblData[Индекс],0)),"")</f>
        <v/>
      </c>
      <c r="E71" t="b">
        <f>NOT(ISERROR(SEARCH(FILLING!$D$15,tblData[[#This Row],[ФО]])))</f>
        <v>0</v>
      </c>
      <c r="F71" s="264" t="str">
        <f>IF(tblData[[#This Row],[Статус2]],COUNTIF($E$2:tblData[[#This Row],[Статус2]],TRUE),"")</f>
        <v/>
      </c>
      <c r="G71" t="str">
        <f>IFERROR(INDEX(tblData[ФО],MATCH(ROWS($F$2:tblData[[#This Row],[Индекс2]]),tblData[Индекс2],0)),"")</f>
        <v/>
      </c>
      <c r="I71" t="s">
        <v>1486</v>
      </c>
      <c r="J71" t="b">
        <f>NOT(ISERROR(SEARCH(FILLING!$L$16,tblData_Region[[#This Row],[РЕГИОН]])))</f>
        <v>0</v>
      </c>
      <c r="K71" s="264" t="str">
        <f>IF(tblData_Region[[#This Row],[Статус]],COUNTIF($J$2:tblData_Region[[#This Row],[Статус]],TRUE),"")</f>
        <v/>
      </c>
      <c r="L71" t="str">
        <f>IFERROR(INDEX(tblData_Region[РЕГИОН],MATCH(ROWS($K$2:tblData_Region[[#This Row],[Индекс]]),tblData_Region[Индекс],0)),"")</f>
        <v/>
      </c>
    </row>
    <row r="72" spans="2:12" x14ac:dyDescent="0.3">
      <c r="B72" s="265" t="b">
        <f>NOT(ISERROR(SEARCH(FILLING!$D$11,tblData[[#This Row],[ФО]])))</f>
        <v>0</v>
      </c>
      <c r="C72" s="265" t="str">
        <f>IF(tblData[[#This Row],[Статус]],COUNTIF($B$2:tblData[[#This Row],[Статус]],TRUE),"")</f>
        <v/>
      </c>
      <c r="D72" s="266" t="str">
        <f>IFERROR(INDEX(tblData[ФО],MATCH(ROWS($C$2:tblData[[#This Row],[Индекс]]),tblData[Индекс],0)),"")</f>
        <v/>
      </c>
      <c r="E72" t="b">
        <f>NOT(ISERROR(SEARCH(FILLING!$D$15,tblData[[#This Row],[ФО]])))</f>
        <v>0</v>
      </c>
      <c r="F72" s="264" t="str">
        <f>IF(tblData[[#This Row],[Статус2]],COUNTIF($E$2:tblData[[#This Row],[Статус2]],TRUE),"")</f>
        <v/>
      </c>
      <c r="G72" t="str">
        <f>IFERROR(INDEX(tblData[ФО],MATCH(ROWS($F$2:tblData[[#This Row],[Индекс2]]),tblData[Индекс2],0)),"")</f>
        <v/>
      </c>
      <c r="I72" t="s">
        <v>1487</v>
      </c>
      <c r="J72" t="b">
        <f>NOT(ISERROR(SEARCH(FILLING!$L$16,tblData_Region[[#This Row],[РЕГИОН]])))</f>
        <v>0</v>
      </c>
      <c r="K72" s="264" t="str">
        <f>IF(tblData_Region[[#This Row],[Статус]],COUNTIF($J$2:tblData_Region[[#This Row],[Статус]],TRUE),"")</f>
        <v/>
      </c>
      <c r="L72" t="str">
        <f>IFERROR(INDEX(tblData_Region[РЕГИОН],MATCH(ROWS($K$2:tblData_Region[[#This Row],[Индекс]]),tblData_Region[Индекс],0)),"")</f>
        <v/>
      </c>
    </row>
    <row r="73" spans="2:12" x14ac:dyDescent="0.3">
      <c r="B73" s="265" t="b">
        <f>NOT(ISERROR(SEARCH(FILLING!$D$11,tblData[[#This Row],[ФО]])))</f>
        <v>0</v>
      </c>
      <c r="C73" s="265" t="str">
        <f>IF(tblData[[#This Row],[Статус]],COUNTIF($B$2:tblData[[#This Row],[Статус]],TRUE),"")</f>
        <v/>
      </c>
      <c r="D73" s="266" t="str">
        <f>IFERROR(INDEX(tblData[ФО],MATCH(ROWS($C$2:tblData[[#This Row],[Индекс]]),tblData[Индекс],0)),"")</f>
        <v/>
      </c>
      <c r="E73" t="b">
        <f>NOT(ISERROR(SEARCH(FILLING!$D$15,tblData[[#This Row],[ФО]])))</f>
        <v>0</v>
      </c>
      <c r="F73" s="264" t="str">
        <f>IF(tblData[[#This Row],[Статус2]],COUNTIF($E$2:tblData[[#This Row],[Статус2]],TRUE),"")</f>
        <v/>
      </c>
      <c r="G73" t="str">
        <f>IFERROR(INDEX(tblData[ФО],MATCH(ROWS($F$2:tblData[[#This Row],[Индекс2]]),tblData[Индекс2],0)),"")</f>
        <v/>
      </c>
      <c r="I73" t="s">
        <v>1488</v>
      </c>
      <c r="J73" t="b">
        <f>NOT(ISERROR(SEARCH(FILLING!$L$16,tblData_Region[[#This Row],[РЕГИОН]])))</f>
        <v>0</v>
      </c>
      <c r="K73" s="264" t="str">
        <f>IF(tblData_Region[[#This Row],[Статус]],COUNTIF($J$2:tblData_Region[[#This Row],[Статус]],TRUE),"")</f>
        <v/>
      </c>
      <c r="L73" t="str">
        <f>IFERROR(INDEX(tblData_Region[РЕГИОН],MATCH(ROWS($K$2:tblData_Region[[#This Row],[Индекс]]),tblData_Region[Индекс],0)),"")</f>
        <v/>
      </c>
    </row>
    <row r="74" spans="2:12" x14ac:dyDescent="0.3">
      <c r="B74" s="265" t="b">
        <f>NOT(ISERROR(SEARCH(FILLING!$D$11,tblData[[#This Row],[ФО]])))</f>
        <v>0</v>
      </c>
      <c r="C74" s="265" t="str">
        <f>IF(tblData[[#This Row],[Статус]],COUNTIF($B$2:tblData[[#This Row],[Статус]],TRUE),"")</f>
        <v/>
      </c>
      <c r="D74" s="266" t="str">
        <f>IFERROR(INDEX(tblData[ФО],MATCH(ROWS($C$2:tblData[[#This Row],[Индекс]]),tblData[Индекс],0)),"")</f>
        <v/>
      </c>
      <c r="E74" t="b">
        <f>NOT(ISERROR(SEARCH(FILLING!$D$15,tblData[[#This Row],[ФО]])))</f>
        <v>0</v>
      </c>
      <c r="F74" s="264" t="str">
        <f>IF(tblData[[#This Row],[Статус2]],COUNTIF($E$2:tblData[[#This Row],[Статус2]],TRUE),"")</f>
        <v/>
      </c>
      <c r="G74" t="str">
        <f>IFERROR(INDEX(tblData[ФО],MATCH(ROWS($F$2:tblData[[#This Row],[Индекс2]]),tblData[Индекс2],0)),"")</f>
        <v/>
      </c>
      <c r="I74" t="s">
        <v>1489</v>
      </c>
      <c r="J74" t="b">
        <f>NOT(ISERROR(SEARCH(FILLING!$L$16,tblData_Region[[#This Row],[РЕГИОН]])))</f>
        <v>0</v>
      </c>
      <c r="K74" s="264" t="str">
        <f>IF(tblData_Region[[#This Row],[Статус]],COUNTIF($J$2:tblData_Region[[#This Row],[Статус]],TRUE),"")</f>
        <v/>
      </c>
      <c r="L74" t="str">
        <f>IFERROR(INDEX(tblData_Region[РЕГИОН],MATCH(ROWS($K$2:tblData_Region[[#This Row],[Индекс]]),tblData_Region[Индекс],0)),"")</f>
        <v/>
      </c>
    </row>
    <row r="75" spans="2:12" x14ac:dyDescent="0.3">
      <c r="B75" s="265" t="b">
        <f>NOT(ISERROR(SEARCH(FILLING!$D$11,tblData[[#This Row],[ФО]])))</f>
        <v>0</v>
      </c>
      <c r="C75" s="265" t="str">
        <f>IF(tblData[[#This Row],[Статус]],COUNTIF($B$2:tblData[[#This Row],[Статус]],TRUE),"")</f>
        <v/>
      </c>
      <c r="D75" s="266" t="str">
        <f>IFERROR(INDEX(tblData[ФО],MATCH(ROWS($C$2:tblData[[#This Row],[Индекс]]),tblData[Индекс],0)),"")</f>
        <v/>
      </c>
      <c r="E75" t="b">
        <f>NOT(ISERROR(SEARCH(FILLING!$D$15,tblData[[#This Row],[ФО]])))</f>
        <v>0</v>
      </c>
      <c r="F75" s="264" t="str">
        <f>IF(tblData[[#This Row],[Статус2]],COUNTIF($E$2:tblData[[#This Row],[Статус2]],TRUE),"")</f>
        <v/>
      </c>
      <c r="G75" t="str">
        <f>IFERROR(INDEX(tblData[ФО],MATCH(ROWS($F$2:tblData[[#This Row],[Индекс2]]),tblData[Индекс2],0)),"")</f>
        <v/>
      </c>
      <c r="I75" t="s">
        <v>1490</v>
      </c>
      <c r="J75" t="b">
        <f>NOT(ISERROR(SEARCH(FILLING!$L$16,tblData_Region[[#This Row],[РЕГИОН]])))</f>
        <v>0</v>
      </c>
      <c r="K75" s="264" t="str">
        <f>IF(tblData_Region[[#This Row],[Статус]],COUNTIF($J$2:tblData_Region[[#This Row],[Статус]],TRUE),"")</f>
        <v/>
      </c>
      <c r="L75" t="str">
        <f>IFERROR(INDEX(tblData_Region[РЕГИОН],MATCH(ROWS($K$2:tblData_Region[[#This Row],[Индекс]]),tblData_Region[Индекс],0)),"")</f>
        <v/>
      </c>
    </row>
    <row r="76" spans="2:12" x14ac:dyDescent="0.3">
      <c r="B76" s="265" t="b">
        <f>NOT(ISERROR(SEARCH(FILLING!$D$11,tblData[[#This Row],[ФО]])))</f>
        <v>0</v>
      </c>
      <c r="C76" s="265" t="str">
        <f>IF(tblData[[#This Row],[Статус]],COUNTIF($B$2:tblData[[#This Row],[Статус]],TRUE),"")</f>
        <v/>
      </c>
      <c r="D76" s="266" t="str">
        <f>IFERROR(INDEX(tblData[ФО],MATCH(ROWS($C$2:tblData[[#This Row],[Индекс]]),tblData[Индекс],0)),"")</f>
        <v/>
      </c>
      <c r="E76" t="b">
        <f>NOT(ISERROR(SEARCH(FILLING!$D$15,tblData[[#This Row],[ФО]])))</f>
        <v>0</v>
      </c>
      <c r="F76" s="264" t="str">
        <f>IF(tblData[[#This Row],[Статус2]],COUNTIF($E$2:tblData[[#This Row],[Статус2]],TRUE),"")</f>
        <v/>
      </c>
      <c r="G76" t="str">
        <f>IFERROR(INDEX(tblData[ФО],MATCH(ROWS($F$2:tblData[[#This Row],[Индекс2]]),tblData[Индекс2],0)),"")</f>
        <v/>
      </c>
      <c r="I76" t="s">
        <v>1491</v>
      </c>
      <c r="J76" t="b">
        <f>NOT(ISERROR(SEARCH(FILLING!$L$16,tblData_Region[[#This Row],[РЕГИОН]])))</f>
        <v>0</v>
      </c>
      <c r="K76" s="264" t="str">
        <f>IF(tblData_Region[[#This Row],[Статус]],COUNTIF($J$2:tblData_Region[[#This Row],[Статус]],TRUE),"")</f>
        <v/>
      </c>
      <c r="L76" t="str">
        <f>IFERROR(INDEX(tblData_Region[РЕГИОН],MATCH(ROWS($K$2:tblData_Region[[#This Row],[Индекс]]),tblData_Region[Индекс],0)),"")</f>
        <v/>
      </c>
    </row>
    <row r="77" spans="2:12" x14ac:dyDescent="0.3">
      <c r="B77" s="265" t="b">
        <f>NOT(ISERROR(SEARCH(FILLING!$D$11,tblData[[#This Row],[ФО]])))</f>
        <v>0</v>
      </c>
      <c r="C77" s="265" t="str">
        <f>IF(tblData[[#This Row],[Статус]],COUNTIF($B$2:tblData[[#This Row],[Статус]],TRUE),"")</f>
        <v/>
      </c>
      <c r="D77" s="266" t="str">
        <f>IFERROR(INDEX(tblData[ФО],MATCH(ROWS($C$2:tblData[[#This Row],[Индекс]]),tblData[Индекс],0)),"")</f>
        <v/>
      </c>
      <c r="E77" t="b">
        <f>NOT(ISERROR(SEARCH(FILLING!$D$15,tblData[[#This Row],[ФО]])))</f>
        <v>0</v>
      </c>
      <c r="F77" s="264" t="str">
        <f>IF(tblData[[#This Row],[Статус2]],COUNTIF($E$2:tblData[[#This Row],[Статус2]],TRUE),"")</f>
        <v/>
      </c>
      <c r="G77" t="str">
        <f>IFERROR(INDEX(tblData[ФО],MATCH(ROWS($F$2:tblData[[#This Row],[Индекс2]]),tblData[Индекс2],0)),"")</f>
        <v/>
      </c>
      <c r="I77" t="s">
        <v>1492</v>
      </c>
      <c r="J77" t="b">
        <f>NOT(ISERROR(SEARCH(FILLING!$L$16,tblData_Region[[#This Row],[РЕГИОН]])))</f>
        <v>0</v>
      </c>
      <c r="K77" s="264" t="str">
        <f>IF(tblData_Region[[#This Row],[Статус]],COUNTIF($J$2:tblData_Region[[#This Row],[Статус]],TRUE),"")</f>
        <v/>
      </c>
      <c r="L77" t="str">
        <f>IFERROR(INDEX(tblData_Region[РЕГИОН],MATCH(ROWS($K$2:tblData_Region[[#This Row],[Индекс]]),tblData_Region[Индекс],0)),"")</f>
        <v/>
      </c>
    </row>
    <row r="78" spans="2:12" x14ac:dyDescent="0.3">
      <c r="B78" s="265" t="b">
        <f>NOT(ISERROR(SEARCH(FILLING!$D$11,tblData[[#This Row],[ФО]])))</f>
        <v>0</v>
      </c>
      <c r="C78" s="265" t="str">
        <f>IF(tblData[[#This Row],[Статус]],COUNTIF($B$2:tblData[[#This Row],[Статус]],TRUE),"")</f>
        <v/>
      </c>
      <c r="D78" s="266" t="str">
        <f>IFERROR(INDEX(tblData[ФО],MATCH(ROWS($C$2:tblData[[#This Row],[Индекс]]),tblData[Индекс],0)),"")</f>
        <v/>
      </c>
      <c r="E78" t="b">
        <f>NOT(ISERROR(SEARCH(FILLING!$D$15,tblData[[#This Row],[ФО]])))</f>
        <v>0</v>
      </c>
      <c r="F78" s="264" t="str">
        <f>IF(tblData[[#This Row],[Статус2]],COUNTIF($E$2:tblData[[#This Row],[Статус2]],TRUE),"")</f>
        <v/>
      </c>
      <c r="G78" t="str">
        <f>IFERROR(INDEX(tblData[ФО],MATCH(ROWS($F$2:tblData[[#This Row],[Индекс2]]),tblData[Индекс2],0)),"")</f>
        <v/>
      </c>
      <c r="I78" t="s">
        <v>1493</v>
      </c>
      <c r="J78" t="b">
        <f>NOT(ISERROR(SEARCH(FILLING!$L$16,tblData_Region[[#This Row],[РЕГИОН]])))</f>
        <v>0</v>
      </c>
      <c r="K78" s="264" t="str">
        <f>IF(tblData_Region[[#This Row],[Статус]],COUNTIF($J$2:tblData_Region[[#This Row],[Статус]],TRUE),"")</f>
        <v/>
      </c>
      <c r="L78" t="str">
        <f>IFERROR(INDEX(tblData_Region[РЕГИОН],MATCH(ROWS($K$2:tblData_Region[[#This Row],[Индекс]]),tblData_Region[Индекс],0)),"")</f>
        <v/>
      </c>
    </row>
    <row r="79" spans="2:12" x14ac:dyDescent="0.3">
      <c r="B79" s="265" t="b">
        <f>NOT(ISERROR(SEARCH(FILLING!$D$11,tblData[[#This Row],[ФО]])))</f>
        <v>0</v>
      </c>
      <c r="C79" s="265" t="str">
        <f>IF(tblData[[#This Row],[Статус]],COUNTIF($B$2:tblData[[#This Row],[Статус]],TRUE),"")</f>
        <v/>
      </c>
      <c r="D79" s="266" t="str">
        <f>IFERROR(INDEX(tblData[ФО],MATCH(ROWS($C$2:tblData[[#This Row],[Индекс]]),tblData[Индекс],0)),"")</f>
        <v/>
      </c>
      <c r="E79" t="b">
        <f>NOT(ISERROR(SEARCH(FILLING!$D$15,tblData[[#This Row],[ФО]])))</f>
        <v>0</v>
      </c>
      <c r="F79" s="264" t="str">
        <f>IF(tblData[[#This Row],[Статус2]],COUNTIF($E$2:tblData[[#This Row],[Статус2]],TRUE),"")</f>
        <v/>
      </c>
      <c r="G79" t="str">
        <f>IFERROR(INDEX(tblData[ФО],MATCH(ROWS($F$2:tblData[[#This Row],[Индекс2]]),tblData[Индекс2],0)),"")</f>
        <v/>
      </c>
      <c r="I79" t="s">
        <v>1494</v>
      </c>
      <c r="J79" t="b">
        <f>NOT(ISERROR(SEARCH(FILLING!$L$16,tblData_Region[[#This Row],[РЕГИОН]])))</f>
        <v>0</v>
      </c>
      <c r="K79" s="264" t="str">
        <f>IF(tblData_Region[[#This Row],[Статус]],COUNTIF($J$2:tblData_Region[[#This Row],[Статус]],TRUE),"")</f>
        <v/>
      </c>
      <c r="L79" t="str">
        <f>IFERROR(INDEX(tblData_Region[РЕГИОН],MATCH(ROWS($K$2:tblData_Region[[#This Row],[Индекс]]),tblData_Region[Индекс],0)),"")</f>
        <v/>
      </c>
    </row>
    <row r="80" spans="2:12" x14ac:dyDescent="0.3">
      <c r="B80" s="265" t="b">
        <f>NOT(ISERROR(SEARCH(FILLING!$D$11,tblData[[#This Row],[ФО]])))</f>
        <v>0</v>
      </c>
      <c r="C80" s="265" t="str">
        <f>IF(tblData[[#This Row],[Статус]],COUNTIF($B$2:tblData[[#This Row],[Статус]],TRUE),"")</f>
        <v/>
      </c>
      <c r="D80" s="266" t="str">
        <f>IFERROR(INDEX(tblData[ФО],MATCH(ROWS($C$2:tblData[[#This Row],[Индекс]]),tblData[Индекс],0)),"")</f>
        <v/>
      </c>
      <c r="E80" t="b">
        <f>NOT(ISERROR(SEARCH(FILLING!$D$15,tblData[[#This Row],[ФО]])))</f>
        <v>0</v>
      </c>
      <c r="F80" s="264" t="str">
        <f>IF(tblData[[#This Row],[Статус2]],COUNTIF($E$2:tblData[[#This Row],[Статус2]],TRUE),"")</f>
        <v/>
      </c>
      <c r="G80" t="str">
        <f>IFERROR(INDEX(tblData[ФО],MATCH(ROWS($F$2:tblData[[#This Row],[Индекс2]]),tblData[Индекс2],0)),"")</f>
        <v/>
      </c>
      <c r="I80" t="s">
        <v>1495</v>
      </c>
      <c r="J80" t="b">
        <f>NOT(ISERROR(SEARCH(FILLING!$L$16,tblData_Region[[#This Row],[РЕГИОН]])))</f>
        <v>0</v>
      </c>
      <c r="K80" s="264" t="str">
        <f>IF(tblData_Region[[#This Row],[Статус]],COUNTIF($J$2:tblData_Region[[#This Row],[Статус]],TRUE),"")</f>
        <v/>
      </c>
      <c r="L80" t="str">
        <f>IFERROR(INDEX(tblData_Region[РЕГИОН],MATCH(ROWS($K$2:tblData_Region[[#This Row],[Индекс]]),tblData_Region[Индекс],0)),"")</f>
        <v/>
      </c>
    </row>
    <row r="81" spans="2:12" x14ac:dyDescent="0.3">
      <c r="B81" s="265" t="b">
        <f>NOT(ISERROR(SEARCH(FILLING!$D$11,tblData[[#This Row],[ФО]])))</f>
        <v>0</v>
      </c>
      <c r="C81" s="265" t="str">
        <f>IF(tblData[[#This Row],[Статус]],COUNTIF($B$2:tblData[[#This Row],[Статус]],TRUE),"")</f>
        <v/>
      </c>
      <c r="D81" s="266" t="str">
        <f>IFERROR(INDEX(tblData[ФО],MATCH(ROWS($C$2:tblData[[#This Row],[Индекс]]),tblData[Индекс],0)),"")</f>
        <v/>
      </c>
      <c r="E81" t="b">
        <f>NOT(ISERROR(SEARCH(FILLING!$D$15,tblData[[#This Row],[ФО]])))</f>
        <v>0</v>
      </c>
      <c r="F81" s="264" t="str">
        <f>IF(tblData[[#This Row],[Статус2]],COUNTIF($E$2:tblData[[#This Row],[Статус2]],TRUE),"")</f>
        <v/>
      </c>
      <c r="G81" t="str">
        <f>IFERROR(INDEX(tblData[ФО],MATCH(ROWS($F$2:tblData[[#This Row],[Индекс2]]),tblData[Индекс2],0)),"")</f>
        <v/>
      </c>
      <c r="I81" t="s">
        <v>1496</v>
      </c>
      <c r="J81" t="b">
        <f>NOT(ISERROR(SEARCH(FILLING!$L$16,tblData_Region[[#This Row],[РЕГИОН]])))</f>
        <v>0</v>
      </c>
      <c r="K81" s="264" t="str">
        <f>IF(tblData_Region[[#This Row],[Статус]],COUNTIF($J$2:tblData_Region[[#This Row],[Статус]],TRUE),"")</f>
        <v/>
      </c>
      <c r="L81" t="str">
        <f>IFERROR(INDEX(tblData_Region[РЕГИОН],MATCH(ROWS($K$2:tblData_Region[[#This Row],[Индекс]]),tblData_Region[Индекс],0)),"")</f>
        <v/>
      </c>
    </row>
    <row r="82" spans="2:12" x14ac:dyDescent="0.3">
      <c r="B82" s="265" t="b">
        <f>NOT(ISERROR(SEARCH(FILLING!$D$11,tblData[[#This Row],[ФО]])))</f>
        <v>0</v>
      </c>
      <c r="C82" s="265" t="str">
        <f>IF(tblData[[#This Row],[Статус]],COUNTIF($B$2:tblData[[#This Row],[Статус]],TRUE),"")</f>
        <v/>
      </c>
      <c r="D82" s="266" t="str">
        <f>IFERROR(INDEX(tblData[ФО],MATCH(ROWS($C$2:tblData[[#This Row],[Индекс]]),tblData[Индекс],0)),"")</f>
        <v/>
      </c>
      <c r="E82" t="b">
        <f>NOT(ISERROR(SEARCH(FILLING!$D$15,tblData[[#This Row],[ФО]])))</f>
        <v>0</v>
      </c>
      <c r="F82" s="264" t="str">
        <f>IF(tblData[[#This Row],[Статус2]],COUNTIF($E$2:tblData[[#This Row],[Статус2]],TRUE),"")</f>
        <v/>
      </c>
      <c r="G82" t="str">
        <f>IFERROR(INDEX(tblData[ФО],MATCH(ROWS($F$2:tblData[[#This Row],[Индекс2]]),tblData[Индекс2],0)),"")</f>
        <v/>
      </c>
      <c r="I82" t="s">
        <v>1497</v>
      </c>
      <c r="J82" t="b">
        <f>NOT(ISERROR(SEARCH(FILLING!$L$16,tblData_Region[[#This Row],[РЕГИОН]])))</f>
        <v>0</v>
      </c>
      <c r="K82" s="264" t="str">
        <f>IF(tblData_Region[[#This Row],[Статус]],COUNTIF($J$2:tblData_Region[[#This Row],[Статус]],TRUE),"")</f>
        <v/>
      </c>
      <c r="L82" t="str">
        <f>IFERROR(INDEX(tblData_Region[РЕГИОН],MATCH(ROWS($K$2:tblData_Region[[#This Row],[Индекс]]),tblData_Region[Индекс],0)),"")</f>
        <v/>
      </c>
    </row>
    <row r="83" spans="2:12" x14ac:dyDescent="0.3">
      <c r="B83" s="265" t="b">
        <f>NOT(ISERROR(SEARCH(FILLING!$D$11,tblData[[#This Row],[ФО]])))</f>
        <v>0</v>
      </c>
      <c r="C83" s="265" t="str">
        <f>IF(tblData[[#This Row],[Статус]],COUNTIF($B$2:tblData[[#This Row],[Статус]],TRUE),"")</f>
        <v/>
      </c>
      <c r="D83" s="266" t="str">
        <f>IFERROR(INDEX(tblData[ФО],MATCH(ROWS($C$2:tblData[[#This Row],[Индекс]]),tblData[Индекс],0)),"")</f>
        <v/>
      </c>
      <c r="E83" t="b">
        <f>NOT(ISERROR(SEARCH(FILLING!$D$15,tblData[[#This Row],[ФО]])))</f>
        <v>0</v>
      </c>
      <c r="F83" s="264" t="str">
        <f>IF(tblData[[#This Row],[Статус2]],COUNTIF($E$2:tblData[[#This Row],[Статус2]],TRUE),"")</f>
        <v/>
      </c>
      <c r="G83" t="str">
        <f>IFERROR(INDEX(tblData[ФО],MATCH(ROWS($F$2:tblData[[#This Row],[Индекс2]]),tblData[Индекс2],0)),"")</f>
        <v/>
      </c>
      <c r="I83" t="s">
        <v>1498</v>
      </c>
      <c r="J83" t="b">
        <f>NOT(ISERROR(SEARCH(FILLING!$L$16,tblData_Region[[#This Row],[РЕГИОН]])))</f>
        <v>0</v>
      </c>
      <c r="K83" s="264" t="str">
        <f>IF(tblData_Region[[#This Row],[Статус]],COUNTIF($J$2:tblData_Region[[#This Row],[Статус]],TRUE),"")</f>
        <v/>
      </c>
      <c r="L83" t="str">
        <f>IFERROR(INDEX(tblData_Region[РЕГИОН],MATCH(ROWS($K$2:tblData_Region[[#This Row],[Индекс]]),tblData_Region[Индекс],0)),"")</f>
        <v/>
      </c>
    </row>
    <row r="84" spans="2:12" x14ac:dyDescent="0.3">
      <c r="B84" s="265" t="b">
        <f>NOT(ISERROR(SEARCH(FILLING!$D$11,tblData[[#This Row],[ФО]])))</f>
        <v>0</v>
      </c>
      <c r="C84" s="265" t="str">
        <f>IF(tblData[[#This Row],[Статус]],COUNTIF($B$2:tblData[[#This Row],[Статус]],TRUE),"")</f>
        <v/>
      </c>
      <c r="D84" s="266" t="str">
        <f>IFERROR(INDEX(tblData[ФО],MATCH(ROWS($C$2:tblData[[#This Row],[Индекс]]),tblData[Индекс],0)),"")</f>
        <v/>
      </c>
      <c r="E84" t="b">
        <f>NOT(ISERROR(SEARCH(FILLING!$D$15,tblData[[#This Row],[ФО]])))</f>
        <v>0</v>
      </c>
      <c r="F84" s="264" t="str">
        <f>IF(tblData[[#This Row],[Статус2]],COUNTIF($E$2:tblData[[#This Row],[Статус2]],TRUE),"")</f>
        <v/>
      </c>
      <c r="G84" t="str">
        <f>IFERROR(INDEX(tblData[ФО],MATCH(ROWS($F$2:tblData[[#This Row],[Индекс2]]),tblData[Индекс2],0)),"")</f>
        <v/>
      </c>
      <c r="I84" t="s">
        <v>1499</v>
      </c>
      <c r="J84" t="b">
        <f>NOT(ISERROR(SEARCH(FILLING!$L$16,tblData_Region[[#This Row],[РЕГИОН]])))</f>
        <v>0</v>
      </c>
      <c r="K84" s="264" t="str">
        <f>IF(tblData_Region[[#This Row],[Статус]],COUNTIF($J$2:tblData_Region[[#This Row],[Статус]],TRUE),"")</f>
        <v/>
      </c>
      <c r="L84" t="str">
        <f>IFERROR(INDEX(tblData_Region[РЕГИОН],MATCH(ROWS($K$2:tblData_Region[[#This Row],[Индекс]]),tblData_Region[Индекс],0)),"")</f>
        <v/>
      </c>
    </row>
    <row r="85" spans="2:12" x14ac:dyDescent="0.3">
      <c r="B85" s="265" t="b">
        <f>NOT(ISERROR(SEARCH(FILLING!$D$11,tblData[[#This Row],[ФО]])))</f>
        <v>0</v>
      </c>
      <c r="C85" s="265" t="str">
        <f>IF(tblData[[#This Row],[Статус]],COUNTIF($B$2:tblData[[#This Row],[Статус]],TRUE),"")</f>
        <v/>
      </c>
      <c r="D85" s="266" t="str">
        <f>IFERROR(INDEX(tblData[ФО],MATCH(ROWS($C$2:tblData[[#This Row],[Индекс]]),tblData[Индекс],0)),"")</f>
        <v/>
      </c>
      <c r="E85" t="b">
        <f>NOT(ISERROR(SEARCH(FILLING!$D$15,tblData[[#This Row],[ФО]])))</f>
        <v>0</v>
      </c>
      <c r="F85" s="264" t="str">
        <f>IF(tblData[[#This Row],[Статус2]],COUNTIF($E$2:tblData[[#This Row],[Статус2]],TRUE),"")</f>
        <v/>
      </c>
      <c r="G85" t="str">
        <f>IFERROR(INDEX(tblData[ФО],MATCH(ROWS($F$2:tblData[[#This Row],[Индекс2]]),tblData[Индекс2],0)),"")</f>
        <v/>
      </c>
      <c r="I85" t="s">
        <v>1500</v>
      </c>
      <c r="J85" t="b">
        <f>NOT(ISERROR(SEARCH(FILLING!$L$16,tblData_Region[[#This Row],[РЕГИОН]])))</f>
        <v>0</v>
      </c>
      <c r="K85" s="264" t="str">
        <f>IF(tblData_Region[[#This Row],[Статус]],COUNTIF($J$2:tblData_Region[[#This Row],[Статус]],TRUE),"")</f>
        <v/>
      </c>
      <c r="L85" t="str">
        <f>IFERROR(INDEX(tblData_Region[РЕГИОН],MATCH(ROWS($K$2:tblData_Region[[#This Row],[Индекс]]),tblData_Region[Индекс],0)),"")</f>
        <v/>
      </c>
    </row>
    <row r="86" spans="2:12" x14ac:dyDescent="0.3">
      <c r="B86" s="265" t="b">
        <f>NOT(ISERROR(SEARCH(FILLING!$D$11,tblData[[#This Row],[ФО]])))</f>
        <v>0</v>
      </c>
      <c r="C86" s="265" t="str">
        <f>IF(tblData[[#This Row],[Статус]],COUNTIF($B$2:tblData[[#This Row],[Статус]],TRUE),"")</f>
        <v/>
      </c>
      <c r="D86" s="266" t="str">
        <f>IFERROR(INDEX(tblData[ФО],MATCH(ROWS($C$2:tblData[[#This Row],[Индекс]]),tblData[Индекс],0)),"")</f>
        <v/>
      </c>
      <c r="E86" t="b">
        <f>NOT(ISERROR(SEARCH(FILLING!$D$15,tblData[[#This Row],[ФО]])))</f>
        <v>0</v>
      </c>
      <c r="F86" s="264" t="str">
        <f>IF(tblData[[#This Row],[Статус2]],COUNTIF($E$2:tblData[[#This Row],[Статус2]],TRUE),"")</f>
        <v/>
      </c>
      <c r="G86" t="str">
        <f>IFERROR(INDEX(tblData[ФО],MATCH(ROWS($F$2:tblData[[#This Row],[Индекс2]]),tblData[Индекс2],0)),"")</f>
        <v/>
      </c>
      <c r="I86" t="s">
        <v>1501</v>
      </c>
      <c r="J86" t="b">
        <f>NOT(ISERROR(SEARCH(FILLING!$L$16,tblData_Region[[#This Row],[РЕГИОН]])))</f>
        <v>0</v>
      </c>
      <c r="K86" s="264" t="str">
        <f>IF(tblData_Region[[#This Row],[Статус]],COUNTIF($J$2:tblData_Region[[#This Row],[Статус]],TRUE),"")</f>
        <v/>
      </c>
      <c r="L86" t="str">
        <f>IFERROR(INDEX(tblData_Region[РЕГИОН],MATCH(ROWS($K$2:tblData_Region[[#This Row],[Индекс]]),tblData_Region[Индекс],0)),"")</f>
        <v/>
      </c>
    </row>
    <row r="87" spans="2:12" x14ac:dyDescent="0.3">
      <c r="B87" s="265" t="b">
        <f>NOT(ISERROR(SEARCH(FILLING!$D$11,tblData[[#This Row],[ФО]])))</f>
        <v>0</v>
      </c>
      <c r="C87" s="265" t="str">
        <f>IF(tblData[[#This Row],[Статус]],COUNTIF($B$2:tblData[[#This Row],[Статус]],TRUE),"")</f>
        <v/>
      </c>
      <c r="D87" s="266" t="str">
        <f>IFERROR(INDEX(tblData[ФО],MATCH(ROWS($C$2:tblData[[#This Row],[Индекс]]),tblData[Индекс],0)),"")</f>
        <v/>
      </c>
      <c r="E87" t="b">
        <f>NOT(ISERROR(SEARCH(FILLING!$D$15,tblData[[#This Row],[ФО]])))</f>
        <v>0</v>
      </c>
      <c r="F87" s="264" t="str">
        <f>IF(tblData[[#This Row],[Статус2]],COUNTIF($E$2:tblData[[#This Row],[Статус2]],TRUE),"")</f>
        <v/>
      </c>
      <c r="G87" t="str">
        <f>IFERROR(INDEX(tblData[ФО],MATCH(ROWS($F$2:tblData[[#This Row],[Индекс2]]),tblData[Индекс2],0)),"")</f>
        <v/>
      </c>
    </row>
    <row r="88" spans="2:12" x14ac:dyDescent="0.3">
      <c r="B88" s="265" t="b">
        <f>NOT(ISERROR(SEARCH(FILLING!$D$11,tblData[[#This Row],[ФО]])))</f>
        <v>0</v>
      </c>
      <c r="C88" s="265" t="str">
        <f>IF(tblData[[#This Row],[Статус]],COUNTIF($B$2:tblData[[#This Row],[Статус]],TRUE),"")</f>
        <v/>
      </c>
      <c r="D88" s="266" t="str">
        <f>IFERROR(INDEX(tblData[ФО],MATCH(ROWS($C$2:tblData[[#This Row],[Индекс]]),tblData[Индекс],0)),"")</f>
        <v/>
      </c>
      <c r="E88" t="b">
        <f>NOT(ISERROR(SEARCH(FILLING!$D$15,tblData[[#This Row],[ФО]])))</f>
        <v>0</v>
      </c>
      <c r="F88" s="264" t="str">
        <f>IF(tblData[[#This Row],[Статус2]],COUNTIF($E$2:tblData[[#This Row],[Статус2]],TRUE),"")</f>
        <v/>
      </c>
      <c r="G88" t="str">
        <f>IFERROR(INDEX(tblData[ФО],MATCH(ROWS($F$2:tblData[[#This Row],[Индекс2]]),tblData[Индекс2],0)),"")</f>
        <v/>
      </c>
    </row>
    <row r="89" spans="2:12" x14ac:dyDescent="0.3">
      <c r="B89" s="265" t="b">
        <f>NOT(ISERROR(SEARCH(FILLING!$D$11,tblData[[#This Row],[ФО]])))</f>
        <v>0</v>
      </c>
      <c r="C89" s="265" t="str">
        <f>IF(tblData[[#This Row],[Статус]],COUNTIF($B$2:tblData[[#This Row],[Статус]],TRUE),"")</f>
        <v/>
      </c>
      <c r="D89" s="266" t="str">
        <f>IFERROR(INDEX(tblData[ФО],MATCH(ROWS($C$2:tblData[[#This Row],[Индекс]]),tblData[Индекс],0)),"")</f>
        <v/>
      </c>
      <c r="E89" t="b">
        <f>NOT(ISERROR(SEARCH(FILLING!$D$15,tblData[[#This Row],[ФО]])))</f>
        <v>0</v>
      </c>
      <c r="F89" s="264" t="str">
        <f>IF(tblData[[#This Row],[Статус2]],COUNTIF($E$2:tblData[[#This Row],[Статус2]],TRUE),"")</f>
        <v/>
      </c>
      <c r="G89" t="str">
        <f>IFERROR(INDEX(tblData[ФО],MATCH(ROWS($F$2:tblData[[#This Row],[Индекс2]]),tblData[Индекс2],0)),"")</f>
        <v/>
      </c>
    </row>
    <row r="90" spans="2:12" x14ac:dyDescent="0.3">
      <c r="B90" s="265" t="b">
        <f>NOT(ISERROR(SEARCH(FILLING!$D$11,tblData[[#This Row],[ФО]])))</f>
        <v>0</v>
      </c>
      <c r="C90" s="265" t="str">
        <f>IF(tblData[[#This Row],[Статус]],COUNTIF($B$2:tblData[[#This Row],[Статус]],TRUE),"")</f>
        <v/>
      </c>
      <c r="D90" s="266" t="str">
        <f>IFERROR(INDEX(tblData[ФО],MATCH(ROWS($C$2:tblData[[#This Row],[Индекс]]),tblData[Индекс],0)),"")</f>
        <v/>
      </c>
      <c r="E90" t="b">
        <f>NOT(ISERROR(SEARCH(FILLING!$D$15,tblData[[#This Row],[ФО]])))</f>
        <v>0</v>
      </c>
      <c r="F90" s="264" t="str">
        <f>IF(tblData[[#This Row],[Статус2]],COUNTIF($E$2:tblData[[#This Row],[Статус2]],TRUE),"")</f>
        <v/>
      </c>
      <c r="G90" t="str">
        <f>IFERROR(INDEX(tblData[ФО],MATCH(ROWS($F$2:tblData[[#This Row],[Индекс2]]),tblData[Индекс2],0)),"")</f>
        <v/>
      </c>
    </row>
    <row r="91" spans="2:12" x14ac:dyDescent="0.3">
      <c r="B91" s="265" t="b">
        <f>NOT(ISERROR(SEARCH(FILLING!$D$11,tblData[[#This Row],[ФО]])))</f>
        <v>0</v>
      </c>
      <c r="C91" s="265" t="str">
        <f>IF(tblData[[#This Row],[Статус]],COUNTIF($B$2:tblData[[#This Row],[Статус]],TRUE),"")</f>
        <v/>
      </c>
      <c r="D91" s="266" t="str">
        <f>IFERROR(INDEX(tblData[ФО],MATCH(ROWS($C$2:tblData[[#This Row],[Индекс]]),tblData[Индекс],0)),"")</f>
        <v/>
      </c>
      <c r="E91" t="b">
        <f>NOT(ISERROR(SEARCH(FILLING!$D$15,tblData[[#This Row],[ФО]])))</f>
        <v>0</v>
      </c>
      <c r="F91" s="264" t="str">
        <f>IF(tblData[[#This Row],[Статус2]],COUNTIF($E$2:tblData[[#This Row],[Статус2]],TRUE),"")</f>
        <v/>
      </c>
      <c r="G91" t="str">
        <f>IFERROR(INDEX(tblData[ФО],MATCH(ROWS($F$2:tblData[[#This Row],[Индекс2]]),tblData[Индекс2],0)),"")</f>
        <v/>
      </c>
    </row>
    <row r="92" spans="2:12" x14ac:dyDescent="0.3">
      <c r="B92" s="265" t="b">
        <f>NOT(ISERROR(SEARCH(FILLING!$D$11,tblData[[#This Row],[ФО]])))</f>
        <v>0</v>
      </c>
      <c r="C92" s="265" t="str">
        <f>IF(tblData[[#This Row],[Статус]],COUNTIF($B$2:tblData[[#This Row],[Статус]],TRUE),"")</f>
        <v/>
      </c>
      <c r="D92" s="266" t="str">
        <f>IFERROR(INDEX(tblData[ФО],MATCH(ROWS($C$2:tblData[[#This Row],[Индекс]]),tblData[Индекс],0)),"")</f>
        <v/>
      </c>
      <c r="E92" t="b">
        <f>NOT(ISERROR(SEARCH(FILLING!$D$15,tblData[[#This Row],[ФО]])))</f>
        <v>0</v>
      </c>
      <c r="F92" s="264" t="str">
        <f>IF(tblData[[#This Row],[Статус2]],COUNTIF($E$2:tblData[[#This Row],[Статус2]],TRUE),"")</f>
        <v/>
      </c>
      <c r="G92" t="str">
        <f>IFERROR(INDEX(tblData[ФО],MATCH(ROWS($F$2:tblData[[#This Row],[Индекс2]]),tblData[Индекс2],0)),"")</f>
        <v/>
      </c>
    </row>
    <row r="93" spans="2:12" x14ac:dyDescent="0.3">
      <c r="B93" s="265" t="b">
        <f>NOT(ISERROR(SEARCH(FILLING!$D$11,tblData[[#This Row],[ФО]])))</f>
        <v>0</v>
      </c>
      <c r="C93" s="265" t="str">
        <f>IF(tblData[[#This Row],[Статус]],COUNTIF($B$2:tblData[[#This Row],[Статус]],TRUE),"")</f>
        <v/>
      </c>
      <c r="D93" s="266" t="str">
        <f>IFERROR(INDEX(tblData[ФО],MATCH(ROWS($C$2:tblData[[#This Row],[Индекс]]),tblData[Индекс],0)),"")</f>
        <v/>
      </c>
      <c r="E93" t="b">
        <f>NOT(ISERROR(SEARCH(FILLING!$D$15,tblData[[#This Row],[ФО]])))</f>
        <v>0</v>
      </c>
      <c r="F93" s="264" t="str">
        <f>IF(tblData[[#This Row],[Статус2]],COUNTIF($E$2:tblData[[#This Row],[Статус2]],TRUE),"")</f>
        <v/>
      </c>
      <c r="G93" t="str">
        <f>IFERROR(INDEX(tblData[ФО],MATCH(ROWS($F$2:tblData[[#This Row],[Индекс2]]),tblData[Индекс2],0)),"")</f>
        <v/>
      </c>
    </row>
    <row r="94" spans="2:12" x14ac:dyDescent="0.3">
      <c r="B94" s="265" t="b">
        <f>NOT(ISERROR(SEARCH(FILLING!$D$11,tblData[[#This Row],[ФО]])))</f>
        <v>0</v>
      </c>
      <c r="C94" s="265" t="str">
        <f>IF(tblData[[#This Row],[Статус]],COUNTIF($B$2:tblData[[#This Row],[Статус]],TRUE),"")</f>
        <v/>
      </c>
      <c r="D94" s="266" t="str">
        <f>IFERROR(INDEX(tblData[ФО],MATCH(ROWS($C$2:tblData[[#This Row],[Индекс]]),tblData[Индекс],0)),"")</f>
        <v/>
      </c>
      <c r="E94" t="b">
        <f>NOT(ISERROR(SEARCH(FILLING!$D$15,tblData[[#This Row],[ФО]])))</f>
        <v>0</v>
      </c>
      <c r="F94" s="264" t="str">
        <f>IF(tblData[[#This Row],[Статус2]],COUNTIF($E$2:tblData[[#This Row],[Статус2]],TRUE),"")</f>
        <v/>
      </c>
      <c r="G94" t="str">
        <f>IFERROR(INDEX(tblData[ФО],MATCH(ROWS($F$2:tblData[[#This Row],[Индекс2]]),tblData[Индекс2],0)),"")</f>
        <v/>
      </c>
    </row>
    <row r="95" spans="2:12" x14ac:dyDescent="0.3">
      <c r="B95" s="265" t="b">
        <f>NOT(ISERROR(SEARCH(FILLING!$D$11,tblData[[#This Row],[ФО]])))</f>
        <v>0</v>
      </c>
      <c r="C95" s="265" t="str">
        <f>IF(tblData[[#This Row],[Статус]],COUNTIF($B$2:tblData[[#This Row],[Статус]],TRUE),"")</f>
        <v/>
      </c>
      <c r="D95" s="266" t="str">
        <f>IFERROR(INDEX(tblData[ФО],MATCH(ROWS($C$2:tblData[[#This Row],[Индекс]]),tblData[Индекс],0)),"")</f>
        <v/>
      </c>
      <c r="E95" t="b">
        <f>NOT(ISERROR(SEARCH(FILLING!$D$15,tblData[[#This Row],[ФО]])))</f>
        <v>0</v>
      </c>
      <c r="F95" s="264" t="str">
        <f>IF(tblData[[#This Row],[Статус2]],COUNTIF($E$2:tblData[[#This Row],[Статус2]],TRUE),"")</f>
        <v/>
      </c>
      <c r="G95" t="str">
        <f>IFERROR(INDEX(tblData[ФО],MATCH(ROWS($F$2:tblData[[#This Row],[Индекс2]]),tblData[Индекс2],0)),"")</f>
        <v/>
      </c>
    </row>
    <row r="96" spans="2:12" x14ac:dyDescent="0.3">
      <c r="B96" s="265" t="b">
        <f>NOT(ISERROR(SEARCH(FILLING!$D$11,tblData[[#This Row],[ФО]])))</f>
        <v>0</v>
      </c>
      <c r="C96" s="265" t="str">
        <f>IF(tblData[[#This Row],[Статус]],COUNTIF($B$2:tblData[[#This Row],[Статус]],TRUE),"")</f>
        <v/>
      </c>
      <c r="D96" s="266" t="str">
        <f>IFERROR(INDEX(tblData[ФО],MATCH(ROWS($C$2:tblData[[#This Row],[Индекс]]),tblData[Индекс],0)),"")</f>
        <v/>
      </c>
      <c r="E96" t="b">
        <f>NOT(ISERROR(SEARCH(FILLING!$D$15,tblData[[#This Row],[ФО]])))</f>
        <v>0</v>
      </c>
      <c r="F96" s="264" t="str">
        <f>IF(tblData[[#This Row],[Статус2]],COUNTIF($E$2:tblData[[#This Row],[Статус2]],TRUE),"")</f>
        <v/>
      </c>
      <c r="G96" t="str">
        <f>IFERROR(INDEX(tblData[ФО],MATCH(ROWS($F$2:tblData[[#This Row],[Индекс2]]),tblData[Индекс2],0)),"")</f>
        <v/>
      </c>
    </row>
    <row r="97" spans="2:7" x14ac:dyDescent="0.3">
      <c r="B97" s="265" t="b">
        <f>NOT(ISERROR(SEARCH(FILLING!$D$11,tblData[[#This Row],[ФО]])))</f>
        <v>0</v>
      </c>
      <c r="C97" s="265" t="str">
        <f>IF(tblData[[#This Row],[Статус]],COUNTIF($B$2:tblData[[#This Row],[Статус]],TRUE),"")</f>
        <v/>
      </c>
      <c r="D97" s="266" t="str">
        <f>IFERROR(INDEX(tblData[ФО],MATCH(ROWS($C$2:tblData[[#This Row],[Индекс]]),tblData[Индекс],0)),"")</f>
        <v/>
      </c>
      <c r="E97" t="b">
        <f>NOT(ISERROR(SEARCH(FILLING!$D$15,tblData[[#This Row],[ФО]])))</f>
        <v>0</v>
      </c>
      <c r="F97" s="264" t="str">
        <f>IF(tblData[[#This Row],[Статус2]],COUNTIF($E$2:tblData[[#This Row],[Статус2]],TRUE),"")</f>
        <v/>
      </c>
      <c r="G97" t="str">
        <f>IFERROR(INDEX(tblData[ФО],MATCH(ROWS($F$2:tblData[[#This Row],[Индекс2]]),tblData[Индекс2],0)),"")</f>
        <v/>
      </c>
    </row>
    <row r="98" spans="2:7" x14ac:dyDescent="0.3">
      <c r="B98" s="265" t="b">
        <f>NOT(ISERROR(SEARCH(FILLING!$D$11,tblData[[#This Row],[ФО]])))</f>
        <v>0</v>
      </c>
      <c r="C98" s="265" t="str">
        <f>IF(tblData[[#This Row],[Статус]],COUNTIF($B$2:tblData[[#This Row],[Статус]],TRUE),"")</f>
        <v/>
      </c>
      <c r="D98" s="266" t="str">
        <f>IFERROR(INDEX(tblData[ФО],MATCH(ROWS($C$2:tblData[[#This Row],[Индекс]]),tblData[Индекс],0)),"")</f>
        <v/>
      </c>
      <c r="E98" t="b">
        <f>NOT(ISERROR(SEARCH(FILLING!$D$15,tblData[[#This Row],[ФО]])))</f>
        <v>0</v>
      </c>
      <c r="F98" s="264" t="str">
        <f>IF(tblData[[#This Row],[Статус2]],COUNTIF($E$2:tblData[[#This Row],[Статус2]],TRUE),"")</f>
        <v/>
      </c>
      <c r="G98" t="str">
        <f>IFERROR(INDEX(tblData[ФО],MATCH(ROWS($F$2:tblData[[#This Row],[Индекс2]]),tblData[Индекс2],0)),"")</f>
        <v/>
      </c>
    </row>
    <row r="99" spans="2:7" x14ac:dyDescent="0.3">
      <c r="B99" s="265" t="b">
        <f>NOT(ISERROR(SEARCH(FILLING!$D$11,tblData[[#This Row],[ФО]])))</f>
        <v>0</v>
      </c>
      <c r="C99" s="265" t="str">
        <f>IF(tblData[[#This Row],[Статус]],COUNTIF($B$2:tblData[[#This Row],[Статус]],TRUE),"")</f>
        <v/>
      </c>
      <c r="D99" s="266" t="str">
        <f>IFERROR(INDEX(tblData[ФО],MATCH(ROWS($C$2:tblData[[#This Row],[Индекс]]),tblData[Индекс],0)),"")</f>
        <v/>
      </c>
      <c r="E99" t="b">
        <f>NOT(ISERROR(SEARCH(FILLING!$D$15,tblData[[#This Row],[ФО]])))</f>
        <v>0</v>
      </c>
      <c r="F99" s="264" t="str">
        <f>IF(tblData[[#This Row],[Статус2]],COUNTIF($E$2:tblData[[#This Row],[Статус2]],TRUE),"")</f>
        <v/>
      </c>
      <c r="G99" t="str">
        <f>IFERROR(INDEX(tblData[ФО],MATCH(ROWS($F$2:tblData[[#This Row],[Индекс2]]),tblData[Индекс2],0)),"")</f>
        <v/>
      </c>
    </row>
    <row r="100" spans="2:7" x14ac:dyDescent="0.3">
      <c r="B100" s="265" t="b">
        <f>NOT(ISERROR(SEARCH(FILLING!$D$11,tblData[[#This Row],[ФО]])))</f>
        <v>0</v>
      </c>
      <c r="C100" s="265" t="str">
        <f>IF(tblData[[#This Row],[Статус]],COUNTIF($B$2:tblData[[#This Row],[Статус]],TRUE),"")</f>
        <v/>
      </c>
      <c r="D100" s="266" t="str">
        <f>IFERROR(INDEX(tblData[ФО],MATCH(ROWS($C$2:tblData[[#This Row],[Индекс]]),tblData[Индекс],0)),"")</f>
        <v/>
      </c>
      <c r="E100" t="b">
        <f>NOT(ISERROR(SEARCH(FILLING!$D$15,tblData[[#This Row],[ФО]])))</f>
        <v>0</v>
      </c>
      <c r="F100" s="264" t="str">
        <f>IF(tblData[[#This Row],[Статус2]],COUNTIF($E$2:tblData[[#This Row],[Статус2]],TRUE),"")</f>
        <v/>
      </c>
      <c r="G100" t="str">
        <f>IFERROR(INDEX(tblData[ФО],MATCH(ROWS($F$2:tblData[[#This Row],[Индекс2]]),tblData[Индекс2],0)),"")</f>
        <v/>
      </c>
    </row>
    <row r="101" spans="2:7" x14ac:dyDescent="0.3">
      <c r="B101" s="265" t="b">
        <f>NOT(ISERROR(SEARCH(FILLING!$D$11,tblData[[#This Row],[ФО]])))</f>
        <v>0</v>
      </c>
      <c r="C101" s="265" t="str">
        <f>IF(tblData[[#This Row],[Статус]],COUNTIF($B$2:tblData[[#This Row],[Статус]],TRUE),"")</f>
        <v/>
      </c>
      <c r="D101" s="266" t="str">
        <f>IFERROR(INDEX(tblData[ФО],MATCH(ROWS($C$2:tblData[[#This Row],[Индекс]]),tblData[Индекс],0)),"")</f>
        <v/>
      </c>
      <c r="E101" t="b">
        <f>NOT(ISERROR(SEARCH(FILLING!$D$15,tblData[[#This Row],[ФО]])))</f>
        <v>0</v>
      </c>
      <c r="F101" s="264" t="str">
        <f>IF(tblData[[#This Row],[Статус2]],COUNTIF($E$2:tblData[[#This Row],[Статус2]],TRUE),"")</f>
        <v/>
      </c>
      <c r="G101" t="str">
        <f>IFERROR(INDEX(tblData[ФО],MATCH(ROWS($F$2:tblData[[#This Row],[Индекс2]]),tblData[Индекс2],0)),"")</f>
        <v/>
      </c>
    </row>
    <row r="102" spans="2:7" x14ac:dyDescent="0.3">
      <c r="B102" s="265" t="b">
        <f>NOT(ISERROR(SEARCH(FILLING!$D$11,tblData[[#This Row],[ФО]])))</f>
        <v>0</v>
      </c>
      <c r="C102" s="265" t="str">
        <f>IF(tblData[[#This Row],[Статус]],COUNTIF($B$2:tblData[[#This Row],[Статус]],TRUE),"")</f>
        <v/>
      </c>
      <c r="D102" s="266" t="str">
        <f>IFERROR(INDEX(tblData[ФО],MATCH(ROWS($C$2:tblData[[#This Row],[Индекс]]),tblData[Индекс],0)),"")</f>
        <v/>
      </c>
      <c r="E102" t="b">
        <f>NOT(ISERROR(SEARCH(FILLING!$D$15,tblData[[#This Row],[ФО]])))</f>
        <v>0</v>
      </c>
      <c r="F102" s="264" t="str">
        <f>IF(tblData[[#This Row],[Статус2]],COUNTIF($E$2:tblData[[#This Row],[Статус2]],TRUE),"")</f>
        <v/>
      </c>
      <c r="G102" t="str">
        <f>IFERROR(INDEX(tblData[ФО],MATCH(ROWS($F$2:tblData[[#This Row],[Индекс2]]),tblData[Индекс2],0)),"")</f>
        <v/>
      </c>
    </row>
    <row r="103" spans="2:7" x14ac:dyDescent="0.3">
      <c r="B103" s="265" t="b">
        <f>NOT(ISERROR(SEARCH(FILLING!$D$11,tblData[[#This Row],[ФО]])))</f>
        <v>0</v>
      </c>
      <c r="C103" s="265" t="str">
        <f>IF(tblData[[#This Row],[Статус]],COUNTIF($B$2:tblData[[#This Row],[Статус]],TRUE),"")</f>
        <v/>
      </c>
      <c r="D103" s="266" t="str">
        <f>IFERROR(INDEX(tblData[ФО],MATCH(ROWS($C$2:tblData[[#This Row],[Индекс]]),tblData[Индекс],0)),"")</f>
        <v/>
      </c>
      <c r="E103" t="b">
        <f>NOT(ISERROR(SEARCH(FILLING!$D$15,tblData[[#This Row],[ФО]])))</f>
        <v>0</v>
      </c>
      <c r="F103" s="264" t="str">
        <f>IF(tblData[[#This Row],[Статус2]],COUNTIF($E$2:tblData[[#This Row],[Статус2]],TRUE),"")</f>
        <v/>
      </c>
      <c r="G103" t="str">
        <f>IFERROR(INDEX(tblData[ФО],MATCH(ROWS($F$2:tblData[[#This Row],[Индекс2]]),tblData[Индекс2],0)),"")</f>
        <v/>
      </c>
    </row>
    <row r="104" spans="2:7" x14ac:dyDescent="0.3">
      <c r="B104" s="265" t="b">
        <f>NOT(ISERROR(SEARCH(FILLING!$D$11,tblData[[#This Row],[ФО]])))</f>
        <v>0</v>
      </c>
      <c r="C104" s="265" t="str">
        <f>IF(tblData[[#This Row],[Статус]],COUNTIF($B$2:tblData[[#This Row],[Статус]],TRUE),"")</f>
        <v/>
      </c>
      <c r="D104" s="266" t="str">
        <f>IFERROR(INDEX(tblData[ФО],MATCH(ROWS($C$2:tblData[[#This Row],[Индекс]]),tblData[Индекс],0)),"")</f>
        <v/>
      </c>
      <c r="E104" t="b">
        <f>NOT(ISERROR(SEARCH(FILLING!$D$15,tblData[[#This Row],[ФО]])))</f>
        <v>0</v>
      </c>
      <c r="F104" s="264" t="str">
        <f>IF(tblData[[#This Row],[Статус2]],COUNTIF($E$2:tblData[[#This Row],[Статус2]],TRUE),"")</f>
        <v/>
      </c>
      <c r="G104" t="str">
        <f>IFERROR(INDEX(tblData[ФО],MATCH(ROWS($F$2:tblData[[#This Row],[Индекс2]]),tblData[Индекс2],0)),"")</f>
        <v/>
      </c>
    </row>
    <row r="105" spans="2:7" x14ac:dyDescent="0.3">
      <c r="B105" s="265" t="b">
        <f>NOT(ISERROR(SEARCH(FILLING!$D$11,tblData[[#This Row],[ФО]])))</f>
        <v>0</v>
      </c>
      <c r="C105" s="265" t="str">
        <f>IF(tblData[[#This Row],[Статус]],COUNTIF($B$2:tblData[[#This Row],[Статус]],TRUE),"")</f>
        <v/>
      </c>
      <c r="D105" s="266" t="str">
        <f>IFERROR(INDEX(tblData[ФО],MATCH(ROWS($C$2:tblData[[#This Row],[Индекс]]),tblData[Индекс],0)),"")</f>
        <v/>
      </c>
      <c r="E105" t="b">
        <f>NOT(ISERROR(SEARCH(FILLING!$D$15,tblData[[#This Row],[ФО]])))</f>
        <v>0</v>
      </c>
      <c r="F105" s="264" t="str">
        <f>IF(tblData[[#This Row],[Статус2]],COUNTIF($E$2:tblData[[#This Row],[Статус2]],TRUE),"")</f>
        <v/>
      </c>
      <c r="G105" t="str">
        <f>IFERROR(INDEX(tblData[ФО],MATCH(ROWS($F$2:tblData[[#This Row],[Индекс2]]),tblData[Индекс2],0)),"")</f>
        <v/>
      </c>
    </row>
    <row r="106" spans="2:7" x14ac:dyDescent="0.3">
      <c r="B106" s="265" t="b">
        <f>NOT(ISERROR(SEARCH(FILLING!$D$11,tblData[[#This Row],[ФО]])))</f>
        <v>0</v>
      </c>
      <c r="C106" s="265" t="str">
        <f>IF(tblData[[#This Row],[Статус]],COUNTIF($B$2:tblData[[#This Row],[Статус]],TRUE),"")</f>
        <v/>
      </c>
      <c r="D106" s="266" t="str">
        <f>IFERROR(INDEX(tblData[ФО],MATCH(ROWS($C$2:tblData[[#This Row],[Индекс]]),tblData[Индекс],0)),"")</f>
        <v/>
      </c>
      <c r="E106" t="b">
        <f>NOT(ISERROR(SEARCH(FILLING!$D$15,tblData[[#This Row],[ФО]])))</f>
        <v>0</v>
      </c>
      <c r="F106" s="264" t="str">
        <f>IF(tblData[[#This Row],[Статус2]],COUNTIF($E$2:tblData[[#This Row],[Статус2]],TRUE),"")</f>
        <v/>
      </c>
      <c r="G106" t="str">
        <f>IFERROR(INDEX(tblData[ФО],MATCH(ROWS($F$2:tblData[[#This Row],[Индекс2]]),tblData[Индекс2],0)),"")</f>
        <v/>
      </c>
    </row>
    <row r="107" spans="2:7" x14ac:dyDescent="0.3">
      <c r="B107" s="265" t="b">
        <f>NOT(ISERROR(SEARCH(FILLING!$D$11,tblData[[#This Row],[ФО]])))</f>
        <v>0</v>
      </c>
      <c r="C107" s="265" t="str">
        <f>IF(tblData[[#This Row],[Статус]],COUNTIF($B$2:tblData[[#This Row],[Статус]],TRUE),"")</f>
        <v/>
      </c>
      <c r="D107" s="266" t="str">
        <f>IFERROR(INDEX(tblData[ФО],MATCH(ROWS($C$2:tblData[[#This Row],[Индекс]]),tblData[Индекс],0)),"")</f>
        <v/>
      </c>
      <c r="E107" t="b">
        <f>NOT(ISERROR(SEARCH(FILLING!$D$15,tblData[[#This Row],[ФО]])))</f>
        <v>0</v>
      </c>
      <c r="F107" s="264" t="str">
        <f>IF(tblData[[#This Row],[Статус2]],COUNTIF($E$2:tblData[[#This Row],[Статус2]],TRUE),"")</f>
        <v/>
      </c>
      <c r="G107" t="str">
        <f>IFERROR(INDEX(tblData[ФО],MATCH(ROWS($F$2:tblData[[#This Row],[Индекс2]]),tblData[Индекс2],0)),"")</f>
        <v/>
      </c>
    </row>
    <row r="108" spans="2:7" x14ac:dyDescent="0.3">
      <c r="B108" s="265" t="b">
        <f>NOT(ISERROR(SEARCH(FILLING!$D$11,tblData[[#This Row],[ФО]])))</f>
        <v>0</v>
      </c>
      <c r="C108" s="265" t="str">
        <f>IF(tblData[[#This Row],[Статус]],COUNTIF($B$2:tblData[[#This Row],[Статус]],TRUE),"")</f>
        <v/>
      </c>
      <c r="D108" s="266" t="str">
        <f>IFERROR(INDEX(tblData[ФО],MATCH(ROWS($C$2:tblData[[#This Row],[Индекс]]),tblData[Индекс],0)),"")</f>
        <v/>
      </c>
      <c r="E108" t="b">
        <f>NOT(ISERROR(SEARCH(FILLING!$D$15,tblData[[#This Row],[ФО]])))</f>
        <v>0</v>
      </c>
      <c r="F108" s="264" t="str">
        <f>IF(tblData[[#This Row],[Статус2]],COUNTIF($E$2:tblData[[#This Row],[Статус2]],TRUE),"")</f>
        <v/>
      </c>
      <c r="G108" t="str">
        <f>IFERROR(INDEX(tblData[ФО],MATCH(ROWS($F$2:tblData[[#This Row],[Индекс2]]),tblData[Индекс2],0)),"")</f>
        <v/>
      </c>
    </row>
    <row r="109" spans="2:7" x14ac:dyDescent="0.3">
      <c r="B109" s="265" t="b">
        <f>NOT(ISERROR(SEARCH(FILLING!$D$11,tblData[[#This Row],[ФО]])))</f>
        <v>0</v>
      </c>
      <c r="C109" s="265" t="str">
        <f>IF(tblData[[#This Row],[Статус]],COUNTIF($B$2:tblData[[#This Row],[Статус]],TRUE),"")</f>
        <v/>
      </c>
      <c r="D109" s="266" t="str">
        <f>IFERROR(INDEX(tblData[ФО],MATCH(ROWS($C$2:tblData[[#This Row],[Индекс]]),tblData[Индекс],0)),"")</f>
        <v/>
      </c>
      <c r="E109" t="b">
        <f>NOT(ISERROR(SEARCH(FILLING!$D$15,tblData[[#This Row],[ФО]])))</f>
        <v>0</v>
      </c>
      <c r="F109" s="264" t="str">
        <f>IF(tblData[[#This Row],[Статус2]],COUNTIF($E$2:tblData[[#This Row],[Статус2]],TRUE),"")</f>
        <v/>
      </c>
      <c r="G109" t="str">
        <f>IFERROR(INDEX(tblData[ФО],MATCH(ROWS($F$2:tblData[[#This Row],[Индекс2]]),tblData[Индекс2],0)),"")</f>
        <v/>
      </c>
    </row>
    <row r="110" spans="2:7" x14ac:dyDescent="0.3">
      <c r="B110" s="265" t="b">
        <f>NOT(ISERROR(SEARCH(FILLING!$D$11,tblData[[#This Row],[ФО]])))</f>
        <v>0</v>
      </c>
      <c r="C110" s="265" t="str">
        <f>IF(tblData[[#This Row],[Статус]],COUNTIF($B$2:tblData[[#This Row],[Статус]],TRUE),"")</f>
        <v/>
      </c>
      <c r="D110" s="266" t="str">
        <f>IFERROR(INDEX(tblData[ФО],MATCH(ROWS($C$2:tblData[[#This Row],[Индекс]]),tblData[Индекс],0)),"")</f>
        <v/>
      </c>
      <c r="E110" t="b">
        <f>NOT(ISERROR(SEARCH(FILLING!$D$15,tblData[[#This Row],[ФО]])))</f>
        <v>0</v>
      </c>
      <c r="F110" s="264" t="str">
        <f>IF(tblData[[#This Row],[Статус2]],COUNTIF($E$2:tblData[[#This Row],[Статус2]],TRUE),"")</f>
        <v/>
      </c>
      <c r="G110" t="str">
        <f>IFERROR(INDEX(tblData[ФО],MATCH(ROWS($F$2:tblData[[#This Row],[Индекс2]]),tblData[Индекс2],0)),"")</f>
        <v/>
      </c>
    </row>
    <row r="111" spans="2:7" x14ac:dyDescent="0.3">
      <c r="B111" s="265" t="b">
        <f>NOT(ISERROR(SEARCH(FILLING!$D$11,tblData[[#This Row],[ФО]])))</f>
        <v>0</v>
      </c>
      <c r="C111" s="265" t="str">
        <f>IF(tblData[[#This Row],[Статус]],COUNTIF($B$2:tblData[[#This Row],[Статус]],TRUE),"")</f>
        <v/>
      </c>
      <c r="D111" s="266" t="str">
        <f>IFERROR(INDEX(tblData[ФО],MATCH(ROWS($C$2:tblData[[#This Row],[Индекс]]),tblData[Индекс],0)),"")</f>
        <v/>
      </c>
      <c r="E111" t="b">
        <f>NOT(ISERROR(SEARCH(FILLING!$D$15,tblData[[#This Row],[ФО]])))</f>
        <v>0</v>
      </c>
      <c r="F111" s="264" t="str">
        <f>IF(tblData[[#This Row],[Статус2]],COUNTIF($E$2:tblData[[#This Row],[Статус2]],TRUE),"")</f>
        <v/>
      </c>
      <c r="G111" t="str">
        <f>IFERROR(INDEX(tblData[ФО],MATCH(ROWS($F$2:tblData[[#This Row],[Индекс2]]),tblData[Индекс2],0)),"")</f>
        <v/>
      </c>
    </row>
    <row r="112" spans="2:7" x14ac:dyDescent="0.3">
      <c r="B112" s="265" t="b">
        <f>NOT(ISERROR(SEARCH(FILLING!$D$11,tblData[[#This Row],[ФО]])))</f>
        <v>0</v>
      </c>
      <c r="C112" s="265" t="str">
        <f>IF(tblData[[#This Row],[Статус]],COUNTIF($B$2:tblData[[#This Row],[Статус]],TRUE),"")</f>
        <v/>
      </c>
      <c r="D112" s="266" t="str">
        <f>IFERROR(INDEX(tblData[ФО],MATCH(ROWS($C$2:tblData[[#This Row],[Индекс]]),tblData[Индекс],0)),"")</f>
        <v/>
      </c>
      <c r="E112" t="b">
        <f>NOT(ISERROR(SEARCH(FILLING!$D$15,tblData[[#This Row],[ФО]])))</f>
        <v>0</v>
      </c>
      <c r="F112" s="264" t="str">
        <f>IF(tblData[[#This Row],[Статус2]],COUNTIF($E$2:tblData[[#This Row],[Статус2]],TRUE),"")</f>
        <v/>
      </c>
      <c r="G112" t="str">
        <f>IFERROR(INDEX(tblData[ФО],MATCH(ROWS($F$2:tblData[[#This Row],[Индекс2]]),tblData[Индекс2],0)),"")</f>
        <v/>
      </c>
    </row>
    <row r="113" spans="2:7" x14ac:dyDescent="0.3">
      <c r="B113" s="265" t="b">
        <f>NOT(ISERROR(SEARCH(FILLING!$D$11,tblData[[#This Row],[ФО]])))</f>
        <v>0</v>
      </c>
      <c r="C113" s="265" t="str">
        <f>IF(tblData[[#This Row],[Статус]],COUNTIF($B$2:tblData[[#This Row],[Статус]],TRUE),"")</f>
        <v/>
      </c>
      <c r="D113" s="266" t="str">
        <f>IFERROR(INDEX(tblData[ФО],MATCH(ROWS($C$2:tblData[[#This Row],[Индекс]]),tblData[Индекс],0)),"")</f>
        <v/>
      </c>
      <c r="E113" t="b">
        <f>NOT(ISERROR(SEARCH(FILLING!$D$15,tblData[[#This Row],[ФО]])))</f>
        <v>0</v>
      </c>
      <c r="F113" s="264" t="str">
        <f>IF(tblData[[#This Row],[Статус2]],COUNTIF($E$2:tblData[[#This Row],[Статус2]],TRUE),"")</f>
        <v/>
      </c>
      <c r="G113" t="str">
        <f>IFERROR(INDEX(tblData[ФО],MATCH(ROWS($F$2:tblData[[#This Row],[Индекс2]]),tblData[Индекс2],0)),"")</f>
        <v/>
      </c>
    </row>
    <row r="114" spans="2:7" x14ac:dyDescent="0.3">
      <c r="B114" s="265" t="b">
        <f>NOT(ISERROR(SEARCH(FILLING!$D$11,tblData[[#This Row],[ФО]])))</f>
        <v>0</v>
      </c>
      <c r="C114" s="265" t="str">
        <f>IF(tblData[[#This Row],[Статус]],COUNTIF($B$2:tblData[[#This Row],[Статус]],TRUE),"")</f>
        <v/>
      </c>
      <c r="D114" s="266" t="str">
        <f>IFERROR(INDEX(tblData[ФО],MATCH(ROWS($C$2:tblData[[#This Row],[Индекс]]),tblData[Индекс],0)),"")</f>
        <v/>
      </c>
      <c r="E114" t="b">
        <f>NOT(ISERROR(SEARCH(FILLING!$D$15,tblData[[#This Row],[ФО]])))</f>
        <v>0</v>
      </c>
      <c r="F114" s="264" t="str">
        <f>IF(tblData[[#This Row],[Статус2]],COUNTIF($E$2:tblData[[#This Row],[Статус2]],TRUE),"")</f>
        <v/>
      </c>
      <c r="G114" t="str">
        <f>IFERROR(INDEX(tblData[ФО],MATCH(ROWS($F$2:tblData[[#This Row],[Индекс2]]),tblData[Индекс2],0)),"")</f>
        <v/>
      </c>
    </row>
    <row r="115" spans="2:7" x14ac:dyDescent="0.3">
      <c r="B115" s="265" t="b">
        <f>NOT(ISERROR(SEARCH(FILLING!$D$11,tblData[[#This Row],[ФО]])))</f>
        <v>0</v>
      </c>
      <c r="C115" s="265" t="str">
        <f>IF(tblData[[#This Row],[Статус]],COUNTIF($B$2:tblData[[#This Row],[Статус]],TRUE),"")</f>
        <v/>
      </c>
      <c r="D115" s="266" t="str">
        <f>IFERROR(INDEX(tblData[ФО],MATCH(ROWS($C$2:tblData[[#This Row],[Индекс]]),tblData[Индекс],0)),"")</f>
        <v/>
      </c>
      <c r="E115" t="b">
        <f>NOT(ISERROR(SEARCH(FILLING!$D$15,tblData[[#This Row],[ФО]])))</f>
        <v>0</v>
      </c>
      <c r="F115" s="264" t="str">
        <f>IF(tblData[[#This Row],[Статус2]],COUNTIF($E$2:tblData[[#This Row],[Статус2]],TRUE),"")</f>
        <v/>
      </c>
      <c r="G115" t="str">
        <f>IFERROR(INDEX(tblData[ФО],MATCH(ROWS($F$2:tblData[[#This Row],[Индекс2]]),tblData[Индекс2],0)),"")</f>
        <v/>
      </c>
    </row>
    <row r="116" spans="2:7" x14ac:dyDescent="0.3">
      <c r="B116" s="265" t="b">
        <f>NOT(ISERROR(SEARCH(FILLING!$D$11,tblData[[#This Row],[ФО]])))</f>
        <v>0</v>
      </c>
      <c r="C116" s="265" t="str">
        <f>IF(tblData[[#This Row],[Статус]],COUNTIF($B$2:tblData[[#This Row],[Статус]],TRUE),"")</f>
        <v/>
      </c>
      <c r="D116" s="266" t="str">
        <f>IFERROR(INDEX(tblData[ФО],MATCH(ROWS($C$2:tblData[[#This Row],[Индекс]]),tblData[Индекс],0)),"")</f>
        <v/>
      </c>
      <c r="E116" t="b">
        <f>NOT(ISERROR(SEARCH(FILLING!$D$15,tblData[[#This Row],[ФО]])))</f>
        <v>0</v>
      </c>
      <c r="F116" s="264" t="str">
        <f>IF(tblData[[#This Row],[Статус2]],COUNTIF($E$2:tblData[[#This Row],[Статус2]],TRUE),"")</f>
        <v/>
      </c>
      <c r="G116" t="str">
        <f>IFERROR(INDEX(tblData[ФО],MATCH(ROWS($F$2:tblData[[#This Row],[Индекс2]]),tblData[Индекс2],0)),"")</f>
        <v/>
      </c>
    </row>
    <row r="117" spans="2:7" x14ac:dyDescent="0.3">
      <c r="B117" s="265" t="b">
        <f>NOT(ISERROR(SEARCH(FILLING!$D$11,tblData[[#This Row],[ФО]])))</f>
        <v>0</v>
      </c>
      <c r="C117" s="265" t="str">
        <f>IF(tblData[[#This Row],[Статус]],COUNTIF($B$2:tblData[[#This Row],[Статус]],TRUE),"")</f>
        <v/>
      </c>
      <c r="D117" s="266" t="str">
        <f>IFERROR(INDEX(tblData[ФО],MATCH(ROWS($C$2:tblData[[#This Row],[Индекс]]),tblData[Индекс],0)),"")</f>
        <v/>
      </c>
      <c r="E117" t="b">
        <f>NOT(ISERROR(SEARCH(FILLING!$D$15,tblData[[#This Row],[ФО]])))</f>
        <v>0</v>
      </c>
      <c r="F117" s="264" t="str">
        <f>IF(tblData[[#This Row],[Статус2]],COUNTIF($E$2:tblData[[#This Row],[Статус2]],TRUE),"")</f>
        <v/>
      </c>
      <c r="G117" t="str">
        <f>IFERROR(INDEX(tblData[ФО],MATCH(ROWS($F$2:tblData[[#This Row],[Индекс2]]),tblData[Индекс2],0)),"")</f>
        <v/>
      </c>
    </row>
    <row r="118" spans="2:7" x14ac:dyDescent="0.3">
      <c r="B118" s="265" t="b">
        <f>NOT(ISERROR(SEARCH(FILLING!$D$11,tblData[[#This Row],[ФО]])))</f>
        <v>0</v>
      </c>
      <c r="C118" s="265" t="str">
        <f>IF(tblData[[#This Row],[Статус]],COUNTIF($B$2:tblData[[#This Row],[Статус]],TRUE),"")</f>
        <v/>
      </c>
      <c r="D118" s="266" t="str">
        <f>IFERROR(INDEX(tblData[ФО],MATCH(ROWS($C$2:tblData[[#This Row],[Индекс]]),tblData[Индекс],0)),"")</f>
        <v/>
      </c>
      <c r="E118" t="b">
        <f>NOT(ISERROR(SEARCH(FILLING!$D$15,tblData[[#This Row],[ФО]])))</f>
        <v>0</v>
      </c>
      <c r="F118" s="264" t="str">
        <f>IF(tblData[[#This Row],[Статус2]],COUNTIF($E$2:tblData[[#This Row],[Статус2]],TRUE),"")</f>
        <v/>
      </c>
      <c r="G118" t="str">
        <f>IFERROR(INDEX(tblData[ФО],MATCH(ROWS($F$2:tblData[[#This Row],[Индекс2]]),tblData[Индекс2],0)),"")</f>
        <v/>
      </c>
    </row>
    <row r="119" spans="2:7" x14ac:dyDescent="0.3">
      <c r="B119" s="265" t="b">
        <f>NOT(ISERROR(SEARCH(FILLING!$D$11,tblData[[#This Row],[ФО]])))</f>
        <v>0</v>
      </c>
      <c r="C119" s="265" t="str">
        <f>IF(tblData[[#This Row],[Статус]],COUNTIF($B$2:tblData[[#This Row],[Статус]],TRUE),"")</f>
        <v/>
      </c>
      <c r="D119" s="266" t="str">
        <f>IFERROR(INDEX(tblData[ФО],MATCH(ROWS($C$2:tblData[[#This Row],[Индекс]]),tblData[Индекс],0)),"")</f>
        <v/>
      </c>
      <c r="E119" t="b">
        <f>NOT(ISERROR(SEARCH(FILLING!$D$15,tblData[[#This Row],[ФО]])))</f>
        <v>0</v>
      </c>
      <c r="F119" s="264" t="str">
        <f>IF(tblData[[#This Row],[Статус2]],COUNTIF($E$2:tblData[[#This Row],[Статус2]],TRUE),"")</f>
        <v/>
      </c>
      <c r="G119" t="str">
        <f>IFERROR(INDEX(tblData[ФО],MATCH(ROWS($F$2:tblData[[#This Row],[Индекс2]]),tblData[Индекс2],0)),"")</f>
        <v/>
      </c>
    </row>
    <row r="120" spans="2:7" x14ac:dyDescent="0.3">
      <c r="B120" s="265" t="b">
        <f>NOT(ISERROR(SEARCH(FILLING!$D$11,tblData[[#This Row],[ФО]])))</f>
        <v>0</v>
      </c>
      <c r="C120" s="265" t="str">
        <f>IF(tblData[[#This Row],[Статус]],COUNTIF($B$2:tblData[[#This Row],[Статус]],TRUE),"")</f>
        <v/>
      </c>
      <c r="D120" s="266" t="str">
        <f>IFERROR(INDEX(tblData[ФО],MATCH(ROWS($C$2:tblData[[#This Row],[Индекс]]),tblData[Индекс],0)),"")</f>
        <v/>
      </c>
      <c r="E120" t="b">
        <f>NOT(ISERROR(SEARCH(FILLING!$D$15,tblData[[#This Row],[ФО]])))</f>
        <v>0</v>
      </c>
      <c r="F120" s="264" t="str">
        <f>IF(tblData[[#This Row],[Статус2]],COUNTIF($E$2:tblData[[#This Row],[Статус2]],TRUE),"")</f>
        <v/>
      </c>
      <c r="G120" t="str">
        <f>IFERROR(INDEX(tblData[ФО],MATCH(ROWS($F$2:tblData[[#This Row],[Индекс2]]),tblData[Индекс2],0)),"")</f>
        <v/>
      </c>
    </row>
    <row r="121" spans="2:7" x14ac:dyDescent="0.3">
      <c r="B121" s="265" t="b">
        <f>NOT(ISERROR(SEARCH(FILLING!$D$11,tblData[[#This Row],[ФО]])))</f>
        <v>0</v>
      </c>
      <c r="C121" s="265" t="str">
        <f>IF(tblData[[#This Row],[Статус]],COUNTIF($B$2:tblData[[#This Row],[Статус]],TRUE),"")</f>
        <v/>
      </c>
      <c r="D121" s="266" t="str">
        <f>IFERROR(INDEX(tblData[ФО],MATCH(ROWS($C$2:tblData[[#This Row],[Индекс]]),tblData[Индекс],0)),"")</f>
        <v/>
      </c>
      <c r="E121" t="b">
        <f>NOT(ISERROR(SEARCH(FILLING!$D$15,tblData[[#This Row],[ФО]])))</f>
        <v>0</v>
      </c>
      <c r="F121" s="264" t="str">
        <f>IF(tblData[[#This Row],[Статус2]],COUNTIF($E$2:tblData[[#This Row],[Статус2]],TRUE),"")</f>
        <v/>
      </c>
      <c r="G121" t="str">
        <f>IFERROR(INDEX(tblData[ФО],MATCH(ROWS($F$2:tblData[[#This Row],[Индекс2]]),tblData[Индекс2],0)),"")</f>
        <v/>
      </c>
    </row>
    <row r="122" spans="2:7" x14ac:dyDescent="0.3">
      <c r="B122" s="265" t="b">
        <f>NOT(ISERROR(SEARCH(FILLING!$D$11,tblData[[#This Row],[ФО]])))</f>
        <v>0</v>
      </c>
      <c r="C122" s="265" t="str">
        <f>IF(tblData[[#This Row],[Статус]],COUNTIF($B$2:tblData[[#This Row],[Статус]],TRUE),"")</f>
        <v/>
      </c>
      <c r="D122" s="266" t="str">
        <f>IFERROR(INDEX(tblData[ФО],MATCH(ROWS($C$2:tblData[[#This Row],[Индекс]]),tblData[Индекс],0)),"")</f>
        <v/>
      </c>
      <c r="E122" t="b">
        <f>NOT(ISERROR(SEARCH(FILLING!$D$15,tblData[[#This Row],[ФО]])))</f>
        <v>0</v>
      </c>
      <c r="F122" s="264" t="str">
        <f>IF(tblData[[#This Row],[Статус2]],COUNTIF($E$2:tblData[[#This Row],[Статус2]],TRUE),"")</f>
        <v/>
      </c>
      <c r="G122" t="str">
        <f>IFERROR(INDEX(tblData[ФО],MATCH(ROWS($F$2:tblData[[#This Row],[Индекс2]]),tblData[Индекс2],0)),"")</f>
        <v/>
      </c>
    </row>
    <row r="123" spans="2:7" x14ac:dyDescent="0.3">
      <c r="B123" s="265" t="b">
        <f>NOT(ISERROR(SEARCH(FILLING!$D$11,tblData[[#This Row],[ФО]])))</f>
        <v>0</v>
      </c>
      <c r="C123" s="265" t="str">
        <f>IF(tblData[[#This Row],[Статус]],COUNTIF($B$2:tblData[[#This Row],[Статус]],TRUE),"")</f>
        <v/>
      </c>
      <c r="D123" s="266" t="str">
        <f>IFERROR(INDEX(tblData[ФО],MATCH(ROWS($C$2:tblData[[#This Row],[Индекс]]),tblData[Индекс],0)),"")</f>
        <v/>
      </c>
      <c r="E123" t="b">
        <f>NOT(ISERROR(SEARCH(FILLING!$D$15,tblData[[#This Row],[ФО]])))</f>
        <v>0</v>
      </c>
      <c r="F123" s="264" t="str">
        <f>IF(tblData[[#This Row],[Статус2]],COUNTIF($E$2:tblData[[#This Row],[Статус2]],TRUE),"")</f>
        <v/>
      </c>
      <c r="G123" t="str">
        <f>IFERROR(INDEX(tblData[ФО],MATCH(ROWS($F$2:tblData[[#This Row],[Индекс2]]),tblData[Индекс2],0)),"")</f>
        <v/>
      </c>
    </row>
    <row r="124" spans="2:7" x14ac:dyDescent="0.3">
      <c r="B124" s="265" t="b">
        <f>NOT(ISERROR(SEARCH(FILLING!$D$11,tblData[[#This Row],[ФО]])))</f>
        <v>0</v>
      </c>
      <c r="C124" s="265" t="str">
        <f>IF(tblData[[#This Row],[Статус]],COUNTIF($B$2:tblData[[#This Row],[Статус]],TRUE),"")</f>
        <v/>
      </c>
      <c r="D124" s="266" t="str">
        <f>IFERROR(INDEX(tblData[ФО],MATCH(ROWS($C$2:tblData[[#This Row],[Индекс]]),tblData[Индекс],0)),"")</f>
        <v/>
      </c>
      <c r="E124" t="b">
        <f>NOT(ISERROR(SEARCH(FILLING!$D$15,tblData[[#This Row],[ФО]])))</f>
        <v>0</v>
      </c>
      <c r="F124" s="264" t="str">
        <f>IF(tblData[[#This Row],[Статус2]],COUNTIF($E$2:tblData[[#This Row],[Статус2]],TRUE),"")</f>
        <v/>
      </c>
      <c r="G124" t="str">
        <f>IFERROR(INDEX(tblData[ФО],MATCH(ROWS($F$2:tblData[[#This Row],[Индекс2]]),tblData[Индекс2],0)),"")</f>
        <v/>
      </c>
    </row>
    <row r="125" spans="2:7" x14ac:dyDescent="0.3">
      <c r="B125" s="265" t="b">
        <f>NOT(ISERROR(SEARCH(FILLING!$D$11,tblData[[#This Row],[ФО]])))</f>
        <v>0</v>
      </c>
      <c r="C125" s="265" t="str">
        <f>IF(tblData[[#This Row],[Статус]],COUNTIF($B$2:tblData[[#This Row],[Статус]],TRUE),"")</f>
        <v/>
      </c>
      <c r="D125" s="266" t="str">
        <f>IFERROR(INDEX(tblData[ФО],MATCH(ROWS($C$2:tblData[[#This Row],[Индекс]]),tblData[Индекс],0)),"")</f>
        <v/>
      </c>
      <c r="E125" t="b">
        <f>NOT(ISERROR(SEARCH(FILLING!$D$15,tblData[[#This Row],[ФО]])))</f>
        <v>0</v>
      </c>
      <c r="F125" s="264" t="str">
        <f>IF(tblData[[#This Row],[Статус2]],COUNTIF($E$2:tblData[[#This Row],[Статус2]],TRUE),"")</f>
        <v/>
      </c>
      <c r="G125" t="str">
        <f>IFERROR(INDEX(tblData[ФО],MATCH(ROWS($F$2:tblData[[#This Row],[Индекс2]]),tblData[Индекс2],0)),"")</f>
        <v/>
      </c>
    </row>
    <row r="126" spans="2:7" x14ac:dyDescent="0.3">
      <c r="B126" s="265" t="b">
        <f>NOT(ISERROR(SEARCH(FILLING!$D$11,tblData[[#This Row],[ФО]])))</f>
        <v>0</v>
      </c>
      <c r="C126" s="265" t="str">
        <f>IF(tblData[[#This Row],[Статус]],COUNTIF($B$2:tblData[[#This Row],[Статус]],TRUE),"")</f>
        <v/>
      </c>
      <c r="D126" s="266" t="str">
        <f>IFERROR(INDEX(tblData[ФО],MATCH(ROWS($C$2:tblData[[#This Row],[Индекс]]),tblData[Индекс],0)),"")</f>
        <v/>
      </c>
      <c r="E126" t="b">
        <f>NOT(ISERROR(SEARCH(FILLING!$D$15,tblData[[#This Row],[ФО]])))</f>
        <v>0</v>
      </c>
      <c r="F126" s="264" t="str">
        <f>IF(tblData[[#This Row],[Статус2]],COUNTIF($E$2:tblData[[#This Row],[Статус2]],TRUE),"")</f>
        <v/>
      </c>
      <c r="G126" t="str">
        <f>IFERROR(INDEX(tblData[ФО],MATCH(ROWS($F$2:tblData[[#This Row],[Индекс2]]),tblData[Индекс2],0)),"")</f>
        <v/>
      </c>
    </row>
    <row r="127" spans="2:7" x14ac:dyDescent="0.3">
      <c r="B127" s="265" t="b">
        <f>NOT(ISERROR(SEARCH(FILLING!$D$11,tblData[[#This Row],[ФО]])))</f>
        <v>0</v>
      </c>
      <c r="C127" s="265" t="str">
        <f>IF(tblData[[#This Row],[Статус]],COUNTIF($B$2:tblData[[#This Row],[Статус]],TRUE),"")</f>
        <v/>
      </c>
      <c r="D127" s="266" t="str">
        <f>IFERROR(INDEX(tblData[ФО],MATCH(ROWS($C$2:tblData[[#This Row],[Индекс]]),tblData[Индекс],0)),"")</f>
        <v/>
      </c>
      <c r="E127" t="b">
        <f>NOT(ISERROR(SEARCH(FILLING!$D$15,tblData[[#This Row],[ФО]])))</f>
        <v>0</v>
      </c>
      <c r="F127" s="264" t="str">
        <f>IF(tblData[[#This Row],[Статус2]],COUNTIF($E$2:tblData[[#This Row],[Статус2]],TRUE),"")</f>
        <v/>
      </c>
      <c r="G127" t="str">
        <f>IFERROR(INDEX(tblData[ФО],MATCH(ROWS($F$2:tblData[[#This Row],[Индекс2]]),tblData[Индекс2],0)),"")</f>
        <v/>
      </c>
    </row>
    <row r="128" spans="2:7" x14ac:dyDescent="0.3">
      <c r="B128" s="265" t="b">
        <f>NOT(ISERROR(SEARCH(FILLING!$D$11,tblData[[#This Row],[ФО]])))</f>
        <v>0</v>
      </c>
      <c r="C128" s="265" t="str">
        <f>IF(tblData[[#This Row],[Статус]],COUNTIF($B$2:tblData[[#This Row],[Статус]],TRUE),"")</f>
        <v/>
      </c>
      <c r="D128" s="266" t="str">
        <f>IFERROR(INDEX(tblData[ФО],MATCH(ROWS($C$2:tblData[[#This Row],[Индекс]]),tblData[Индекс],0)),"")</f>
        <v/>
      </c>
      <c r="E128" t="b">
        <f>NOT(ISERROR(SEARCH(FILLING!$D$15,tblData[[#This Row],[ФО]])))</f>
        <v>0</v>
      </c>
      <c r="F128" s="264" t="str">
        <f>IF(tblData[[#This Row],[Статус2]],COUNTIF($E$2:tblData[[#This Row],[Статус2]],TRUE),"")</f>
        <v/>
      </c>
      <c r="G128" t="str">
        <f>IFERROR(INDEX(tblData[ФО],MATCH(ROWS($F$2:tblData[[#This Row],[Индекс2]]),tblData[Индекс2],0)),"")</f>
        <v/>
      </c>
    </row>
    <row r="129" spans="2:7" x14ac:dyDescent="0.3">
      <c r="B129" s="265" t="b">
        <f>NOT(ISERROR(SEARCH(FILLING!$D$11,tblData[[#This Row],[ФО]])))</f>
        <v>0</v>
      </c>
      <c r="C129" s="265" t="str">
        <f>IF(tblData[[#This Row],[Статус]],COUNTIF($B$2:tblData[[#This Row],[Статус]],TRUE),"")</f>
        <v/>
      </c>
      <c r="D129" s="266" t="str">
        <f>IFERROR(INDEX(tblData[ФО],MATCH(ROWS($C$2:tblData[[#This Row],[Индекс]]),tblData[Индекс],0)),"")</f>
        <v/>
      </c>
      <c r="E129" t="b">
        <f>NOT(ISERROR(SEARCH(FILLING!$D$15,tblData[[#This Row],[ФО]])))</f>
        <v>0</v>
      </c>
      <c r="F129" s="264" t="str">
        <f>IF(tblData[[#This Row],[Статус2]],COUNTIF($E$2:tblData[[#This Row],[Статус2]],TRUE),"")</f>
        <v/>
      </c>
      <c r="G129" t="str">
        <f>IFERROR(INDEX(tblData[ФО],MATCH(ROWS($F$2:tblData[[#This Row],[Индекс2]]),tblData[Индекс2],0)),"")</f>
        <v/>
      </c>
    </row>
    <row r="130" spans="2:7" x14ac:dyDescent="0.3">
      <c r="B130" s="265" t="b">
        <f>NOT(ISERROR(SEARCH(FILLING!$D$11,tblData[[#This Row],[ФО]])))</f>
        <v>0</v>
      </c>
      <c r="C130" s="265" t="str">
        <f>IF(tblData[[#This Row],[Статус]],COUNTIF($B$2:tblData[[#This Row],[Статус]],TRUE),"")</f>
        <v/>
      </c>
      <c r="D130" s="266" t="str">
        <f>IFERROR(INDEX(tblData[ФО],MATCH(ROWS($C$2:tblData[[#This Row],[Индекс]]),tblData[Индекс],0)),"")</f>
        <v/>
      </c>
      <c r="E130" t="b">
        <f>NOT(ISERROR(SEARCH(FILLING!$D$15,tblData[[#This Row],[ФО]])))</f>
        <v>0</v>
      </c>
      <c r="F130" s="264" t="str">
        <f>IF(tblData[[#This Row],[Статус2]],COUNTIF($E$2:tblData[[#This Row],[Статус2]],TRUE),"")</f>
        <v/>
      </c>
      <c r="G130" t="str">
        <f>IFERROR(INDEX(tblData[ФО],MATCH(ROWS($F$2:tblData[[#This Row],[Индекс2]]),tblData[Индекс2],0)),"")</f>
        <v/>
      </c>
    </row>
    <row r="131" spans="2:7" x14ac:dyDescent="0.3">
      <c r="B131" s="265" t="b">
        <f>NOT(ISERROR(SEARCH(FILLING!$D$11,tblData[[#This Row],[ФО]])))</f>
        <v>0</v>
      </c>
      <c r="C131" s="265" t="str">
        <f>IF(tblData[[#This Row],[Статус]],COUNTIF($B$2:tblData[[#This Row],[Статус]],TRUE),"")</f>
        <v/>
      </c>
      <c r="D131" s="266" t="str">
        <f>IFERROR(INDEX(tblData[ФО],MATCH(ROWS($C$2:tblData[[#This Row],[Индекс]]),tblData[Индекс],0)),"")</f>
        <v/>
      </c>
      <c r="E131" t="b">
        <f>NOT(ISERROR(SEARCH(FILLING!$D$15,tblData[[#This Row],[ФО]])))</f>
        <v>0</v>
      </c>
      <c r="F131" s="264" t="str">
        <f>IF(tblData[[#This Row],[Статус2]],COUNTIF($E$2:tblData[[#This Row],[Статус2]],TRUE),"")</f>
        <v/>
      </c>
      <c r="G131" t="str">
        <f>IFERROR(INDEX(tblData[ФО],MATCH(ROWS($F$2:tblData[[#This Row],[Индекс2]]),tblData[Индекс2],0)),"")</f>
        <v/>
      </c>
    </row>
    <row r="132" spans="2:7" x14ac:dyDescent="0.3">
      <c r="B132" s="265" t="b">
        <f>NOT(ISERROR(SEARCH(FILLING!$D$11,tblData[[#This Row],[ФО]])))</f>
        <v>0</v>
      </c>
      <c r="C132" s="265" t="str">
        <f>IF(tblData[[#This Row],[Статус]],COUNTIF($B$2:tblData[[#This Row],[Статус]],TRUE),"")</f>
        <v/>
      </c>
      <c r="D132" s="266" t="str">
        <f>IFERROR(INDEX(tblData[ФО],MATCH(ROWS($C$2:tblData[[#This Row],[Индекс]]),tblData[Индекс],0)),"")</f>
        <v/>
      </c>
      <c r="E132" t="b">
        <f>NOT(ISERROR(SEARCH(FILLING!$D$15,tblData[[#This Row],[ФО]])))</f>
        <v>0</v>
      </c>
      <c r="F132" s="264" t="str">
        <f>IF(tblData[[#This Row],[Статус2]],COUNTIF($E$2:tblData[[#This Row],[Статус2]],TRUE),"")</f>
        <v/>
      </c>
      <c r="G132" t="str">
        <f>IFERROR(INDEX(tblData[ФО],MATCH(ROWS($F$2:tblData[[#This Row],[Индекс2]]),tblData[Индекс2],0)),"")</f>
        <v/>
      </c>
    </row>
    <row r="133" spans="2:7" x14ac:dyDescent="0.3">
      <c r="B133" s="265" t="b">
        <f>NOT(ISERROR(SEARCH(FILLING!$D$11,tblData[[#This Row],[ФО]])))</f>
        <v>0</v>
      </c>
      <c r="C133" s="265" t="str">
        <f>IF(tblData[[#This Row],[Статус]],COUNTIF($B$2:tblData[[#This Row],[Статус]],TRUE),"")</f>
        <v/>
      </c>
      <c r="D133" s="266" t="str">
        <f>IFERROR(INDEX(tblData[ФО],MATCH(ROWS($C$2:tblData[[#This Row],[Индекс]]),tblData[Индекс],0)),"")</f>
        <v/>
      </c>
      <c r="E133" t="b">
        <f>NOT(ISERROR(SEARCH(FILLING!$D$15,tblData[[#This Row],[ФО]])))</f>
        <v>0</v>
      </c>
      <c r="F133" s="264" t="str">
        <f>IF(tblData[[#This Row],[Статус2]],COUNTIF($E$2:tblData[[#This Row],[Статус2]],TRUE),"")</f>
        <v/>
      </c>
      <c r="G133" t="str">
        <f>IFERROR(INDEX(tblData[ФО],MATCH(ROWS($F$2:tblData[[#This Row],[Индекс2]]),tblData[Индекс2],0)),"")</f>
        <v/>
      </c>
    </row>
    <row r="134" spans="2:7" x14ac:dyDescent="0.3">
      <c r="B134" s="265" t="b">
        <f>NOT(ISERROR(SEARCH(FILLING!$D$11,tblData[[#This Row],[ФО]])))</f>
        <v>0</v>
      </c>
      <c r="C134" s="265" t="str">
        <f>IF(tblData[[#This Row],[Статус]],COUNTIF($B$2:tblData[[#This Row],[Статус]],TRUE),"")</f>
        <v/>
      </c>
      <c r="D134" s="266" t="str">
        <f>IFERROR(INDEX(tblData[ФО],MATCH(ROWS($C$2:tblData[[#This Row],[Индекс]]),tblData[Индекс],0)),"")</f>
        <v/>
      </c>
      <c r="E134" t="b">
        <f>NOT(ISERROR(SEARCH(FILLING!$D$15,tblData[[#This Row],[ФО]])))</f>
        <v>0</v>
      </c>
      <c r="F134" s="264" t="str">
        <f>IF(tblData[[#This Row],[Статус2]],COUNTIF($E$2:tblData[[#This Row],[Статус2]],TRUE),"")</f>
        <v/>
      </c>
      <c r="G134" t="str">
        <f>IFERROR(INDEX(tblData[ФО],MATCH(ROWS($F$2:tblData[[#This Row],[Индекс2]]),tblData[Индекс2],0)),"")</f>
        <v/>
      </c>
    </row>
    <row r="135" spans="2:7" x14ac:dyDescent="0.3">
      <c r="B135" s="265" t="b">
        <f>NOT(ISERROR(SEARCH(FILLING!$D$11,tblData[[#This Row],[ФО]])))</f>
        <v>0</v>
      </c>
      <c r="C135" s="265" t="str">
        <f>IF(tblData[[#This Row],[Статус]],COUNTIF($B$2:tblData[[#This Row],[Статус]],TRUE),"")</f>
        <v/>
      </c>
      <c r="D135" s="266" t="str">
        <f>IFERROR(INDEX(tblData[ФО],MATCH(ROWS($C$2:tblData[[#This Row],[Индекс]]),tblData[Индекс],0)),"")</f>
        <v/>
      </c>
      <c r="E135" t="b">
        <f>NOT(ISERROR(SEARCH(FILLING!$D$15,tblData[[#This Row],[ФО]])))</f>
        <v>0</v>
      </c>
      <c r="F135" s="264" t="str">
        <f>IF(tblData[[#This Row],[Статус2]],COUNTIF($E$2:tblData[[#This Row],[Статус2]],TRUE),"")</f>
        <v/>
      </c>
      <c r="G135" t="str">
        <f>IFERROR(INDEX(tblData[ФО],MATCH(ROWS($F$2:tblData[[#This Row],[Индекс2]]),tblData[Индекс2],0)),"")</f>
        <v/>
      </c>
    </row>
    <row r="136" spans="2:7" x14ac:dyDescent="0.3">
      <c r="B136" s="265" t="b">
        <f>NOT(ISERROR(SEARCH(FILLING!$D$11,tblData[[#This Row],[ФО]])))</f>
        <v>0</v>
      </c>
      <c r="C136" s="265" t="str">
        <f>IF(tblData[[#This Row],[Статус]],COUNTIF($B$2:tblData[[#This Row],[Статус]],TRUE),"")</f>
        <v/>
      </c>
      <c r="D136" s="266" t="str">
        <f>IFERROR(INDEX(tblData[ФО],MATCH(ROWS($C$2:tblData[[#This Row],[Индекс]]),tblData[Индекс],0)),"")</f>
        <v/>
      </c>
      <c r="E136" t="b">
        <f>NOT(ISERROR(SEARCH(FILLING!$D$15,tblData[[#This Row],[ФО]])))</f>
        <v>0</v>
      </c>
      <c r="F136" s="264" t="str">
        <f>IF(tblData[[#This Row],[Статус2]],COUNTIF($E$2:tblData[[#This Row],[Статус2]],TRUE),"")</f>
        <v/>
      </c>
      <c r="G136" t="str">
        <f>IFERROR(INDEX(tblData[ФО],MATCH(ROWS($F$2:tblData[[#This Row],[Индекс2]]),tblData[Индекс2],0)),"")</f>
        <v/>
      </c>
    </row>
    <row r="137" spans="2:7" x14ac:dyDescent="0.3">
      <c r="B137" s="265" t="b">
        <f>NOT(ISERROR(SEARCH(FILLING!$D$11,tblData[[#This Row],[ФО]])))</f>
        <v>0</v>
      </c>
      <c r="C137" s="265" t="str">
        <f>IF(tblData[[#This Row],[Статус]],COUNTIF($B$2:tblData[[#This Row],[Статус]],TRUE),"")</f>
        <v/>
      </c>
      <c r="D137" s="266" t="str">
        <f>IFERROR(INDEX(tblData[ФО],MATCH(ROWS($C$2:tblData[[#This Row],[Индекс]]),tblData[Индекс],0)),"")</f>
        <v/>
      </c>
      <c r="E137" t="b">
        <f>NOT(ISERROR(SEARCH(FILLING!$D$15,tblData[[#This Row],[ФО]])))</f>
        <v>0</v>
      </c>
      <c r="F137" s="264" t="str">
        <f>IF(tblData[[#This Row],[Статус2]],COUNTIF($E$2:tblData[[#This Row],[Статус2]],TRUE),"")</f>
        <v/>
      </c>
      <c r="G137" t="str">
        <f>IFERROR(INDEX(tblData[ФО],MATCH(ROWS($F$2:tblData[[#This Row],[Индекс2]]),tblData[Индекс2],0)),"")</f>
        <v/>
      </c>
    </row>
    <row r="138" spans="2:7" x14ac:dyDescent="0.3">
      <c r="B138" s="265" t="b">
        <f>NOT(ISERROR(SEARCH(FILLING!$D$11,tblData[[#This Row],[ФО]])))</f>
        <v>0</v>
      </c>
      <c r="C138" s="265" t="str">
        <f>IF(tblData[[#This Row],[Статус]],COUNTIF($B$2:tblData[[#This Row],[Статус]],TRUE),"")</f>
        <v/>
      </c>
      <c r="D138" s="266" t="str">
        <f>IFERROR(INDEX(tblData[ФО],MATCH(ROWS($C$2:tblData[[#This Row],[Индекс]]),tblData[Индекс],0)),"")</f>
        <v/>
      </c>
      <c r="E138" t="b">
        <f>NOT(ISERROR(SEARCH(FILLING!$D$15,tblData[[#This Row],[ФО]])))</f>
        <v>0</v>
      </c>
      <c r="F138" s="264" t="str">
        <f>IF(tblData[[#This Row],[Статус2]],COUNTIF($E$2:tblData[[#This Row],[Статус2]],TRUE),"")</f>
        <v/>
      </c>
      <c r="G138" t="str">
        <f>IFERROR(INDEX(tblData[ФО],MATCH(ROWS($F$2:tblData[[#This Row],[Индекс2]]),tblData[Индекс2],0)),"")</f>
        <v/>
      </c>
    </row>
    <row r="139" spans="2:7" x14ac:dyDescent="0.3">
      <c r="B139" s="265" t="b">
        <f>NOT(ISERROR(SEARCH(FILLING!$D$11,tblData[[#This Row],[ФО]])))</f>
        <v>0</v>
      </c>
      <c r="C139" s="265" t="str">
        <f>IF(tblData[[#This Row],[Статус]],COUNTIF($B$2:tblData[[#This Row],[Статус]],TRUE),"")</f>
        <v/>
      </c>
      <c r="D139" s="266" t="str">
        <f>IFERROR(INDEX(tblData[ФО],MATCH(ROWS($C$2:tblData[[#This Row],[Индекс]]),tblData[Индекс],0)),"")</f>
        <v/>
      </c>
      <c r="E139" t="b">
        <f>NOT(ISERROR(SEARCH(FILLING!$D$15,tblData[[#This Row],[ФО]])))</f>
        <v>0</v>
      </c>
      <c r="F139" s="264" t="str">
        <f>IF(tblData[[#This Row],[Статус2]],COUNTIF($E$2:tblData[[#This Row],[Статус2]],TRUE),"")</f>
        <v/>
      </c>
      <c r="G139" t="str">
        <f>IFERROR(INDEX(tblData[ФО],MATCH(ROWS($F$2:tblData[[#This Row],[Индекс2]]),tblData[Индекс2],0)),"")</f>
        <v/>
      </c>
    </row>
    <row r="140" spans="2:7" x14ac:dyDescent="0.3">
      <c r="B140" s="265" t="b">
        <f>NOT(ISERROR(SEARCH(FILLING!$D$11,tblData[[#This Row],[ФО]])))</f>
        <v>0</v>
      </c>
      <c r="C140" s="265" t="str">
        <f>IF(tblData[[#This Row],[Статус]],COUNTIF($B$2:tblData[[#This Row],[Статус]],TRUE),"")</f>
        <v/>
      </c>
      <c r="D140" s="266" t="str">
        <f>IFERROR(INDEX(tblData[ФО],MATCH(ROWS($C$2:tblData[[#This Row],[Индекс]]),tblData[Индекс],0)),"")</f>
        <v/>
      </c>
      <c r="E140" t="b">
        <f>NOT(ISERROR(SEARCH(FILLING!$D$15,tblData[[#This Row],[ФО]])))</f>
        <v>0</v>
      </c>
      <c r="F140" s="264" t="str">
        <f>IF(tblData[[#This Row],[Статус2]],COUNTIF($E$2:tblData[[#This Row],[Статус2]],TRUE),"")</f>
        <v/>
      </c>
      <c r="G140" t="str">
        <f>IFERROR(INDEX(tblData[ФО],MATCH(ROWS($F$2:tblData[[#This Row],[Индекс2]]),tblData[Индекс2],0)),"")</f>
        <v/>
      </c>
    </row>
    <row r="141" spans="2:7" x14ac:dyDescent="0.3">
      <c r="B141" s="265" t="b">
        <f>NOT(ISERROR(SEARCH(FILLING!$D$11,tblData[[#This Row],[ФО]])))</f>
        <v>0</v>
      </c>
      <c r="C141" s="265" t="str">
        <f>IF(tblData[[#This Row],[Статус]],COUNTIF($B$2:tblData[[#This Row],[Статус]],TRUE),"")</f>
        <v/>
      </c>
      <c r="D141" s="266" t="str">
        <f>IFERROR(INDEX(tblData[ФО],MATCH(ROWS($C$2:tblData[[#This Row],[Индекс]]),tblData[Индекс],0)),"")</f>
        <v/>
      </c>
      <c r="E141" t="b">
        <f>NOT(ISERROR(SEARCH(FILLING!$D$15,tblData[[#This Row],[ФО]])))</f>
        <v>0</v>
      </c>
      <c r="F141" s="264" t="str">
        <f>IF(tblData[[#This Row],[Статус2]],COUNTIF($E$2:tblData[[#This Row],[Статус2]],TRUE),"")</f>
        <v/>
      </c>
      <c r="G141" t="str">
        <f>IFERROR(INDEX(tblData[ФО],MATCH(ROWS($F$2:tblData[[#This Row],[Индекс2]]),tblData[Индекс2],0)),"")</f>
        <v/>
      </c>
    </row>
    <row r="142" spans="2:7" x14ac:dyDescent="0.3">
      <c r="B142" s="265" t="b">
        <f>NOT(ISERROR(SEARCH(FILLING!$D$11,tblData[[#This Row],[ФО]])))</f>
        <v>0</v>
      </c>
      <c r="C142" s="265" t="str">
        <f>IF(tblData[[#This Row],[Статус]],COUNTIF($B$2:tblData[[#This Row],[Статус]],TRUE),"")</f>
        <v/>
      </c>
      <c r="D142" s="266" t="str">
        <f>IFERROR(INDEX(tblData[ФО],MATCH(ROWS($C$2:tblData[[#This Row],[Индекс]]),tblData[Индекс],0)),"")</f>
        <v/>
      </c>
      <c r="E142" t="b">
        <f>NOT(ISERROR(SEARCH(FILLING!$D$15,tblData[[#This Row],[ФО]])))</f>
        <v>0</v>
      </c>
      <c r="F142" s="264" t="str">
        <f>IF(tblData[[#This Row],[Статус2]],COUNTIF($E$2:tblData[[#This Row],[Статус2]],TRUE),"")</f>
        <v/>
      </c>
      <c r="G142" t="str">
        <f>IFERROR(INDEX(tblData[ФО],MATCH(ROWS($F$2:tblData[[#This Row],[Индекс2]]),tblData[Индекс2],0)),"")</f>
        <v/>
      </c>
    </row>
    <row r="143" spans="2:7" x14ac:dyDescent="0.3">
      <c r="B143" s="265" t="b">
        <f>NOT(ISERROR(SEARCH(FILLING!$D$11,tblData[[#This Row],[ФО]])))</f>
        <v>0</v>
      </c>
      <c r="C143" s="265" t="str">
        <f>IF(tblData[[#This Row],[Статус]],COUNTIF($B$2:tblData[[#This Row],[Статус]],TRUE),"")</f>
        <v/>
      </c>
      <c r="D143" s="266" t="str">
        <f>IFERROR(INDEX(tblData[ФО],MATCH(ROWS($C$2:tblData[[#This Row],[Индекс]]),tblData[Индекс],0)),"")</f>
        <v/>
      </c>
      <c r="E143" t="b">
        <f>NOT(ISERROR(SEARCH(FILLING!$D$15,tblData[[#This Row],[ФО]])))</f>
        <v>0</v>
      </c>
      <c r="F143" s="264" t="str">
        <f>IF(tblData[[#This Row],[Статус2]],COUNTIF($E$2:tblData[[#This Row],[Статус2]],TRUE),"")</f>
        <v/>
      </c>
      <c r="G143" t="str">
        <f>IFERROR(INDEX(tblData[ФО],MATCH(ROWS($F$2:tblData[[#This Row],[Индекс2]]),tblData[Индекс2],0)),"")</f>
        <v/>
      </c>
    </row>
    <row r="144" spans="2:7" x14ac:dyDescent="0.3">
      <c r="B144" s="265" t="b">
        <f>NOT(ISERROR(SEARCH(FILLING!$D$11,tblData[[#This Row],[ФО]])))</f>
        <v>0</v>
      </c>
      <c r="C144" s="265" t="str">
        <f>IF(tblData[[#This Row],[Статус]],COUNTIF($B$2:tblData[[#This Row],[Статус]],TRUE),"")</f>
        <v/>
      </c>
      <c r="D144" s="266" t="str">
        <f>IFERROR(INDEX(tblData[ФО],MATCH(ROWS($C$2:tblData[[#This Row],[Индекс]]),tblData[Индекс],0)),"")</f>
        <v/>
      </c>
      <c r="E144" t="b">
        <f>NOT(ISERROR(SEARCH(FILLING!$D$15,tblData[[#This Row],[ФО]])))</f>
        <v>0</v>
      </c>
      <c r="F144" s="264" t="str">
        <f>IF(tblData[[#This Row],[Статус2]],COUNTIF($E$2:tblData[[#This Row],[Статус2]],TRUE),"")</f>
        <v/>
      </c>
      <c r="G144" t="str">
        <f>IFERROR(INDEX(tblData[ФО],MATCH(ROWS($F$2:tblData[[#This Row],[Индекс2]]),tblData[Индекс2],0)),"")</f>
        <v/>
      </c>
    </row>
    <row r="145" spans="2:7" x14ac:dyDescent="0.3">
      <c r="B145" s="265" t="b">
        <f>NOT(ISERROR(SEARCH(FILLING!$D$11,tblData[[#This Row],[ФО]])))</f>
        <v>0</v>
      </c>
      <c r="C145" s="265" t="str">
        <f>IF(tblData[[#This Row],[Статус]],COUNTIF($B$2:tblData[[#This Row],[Статус]],TRUE),"")</f>
        <v/>
      </c>
      <c r="D145" s="266" t="str">
        <f>IFERROR(INDEX(tblData[ФО],MATCH(ROWS($C$2:tblData[[#This Row],[Индекс]]),tblData[Индекс],0)),"")</f>
        <v/>
      </c>
      <c r="E145" t="b">
        <f>NOT(ISERROR(SEARCH(FILLING!$D$15,tblData[[#This Row],[ФО]])))</f>
        <v>0</v>
      </c>
      <c r="F145" s="264" t="str">
        <f>IF(tblData[[#This Row],[Статус2]],COUNTIF($E$2:tblData[[#This Row],[Статус2]],TRUE),"")</f>
        <v/>
      </c>
      <c r="G145" t="str">
        <f>IFERROR(INDEX(tblData[ФО],MATCH(ROWS($F$2:tblData[[#This Row],[Индекс2]]),tblData[Индекс2],0)),"")</f>
        <v/>
      </c>
    </row>
    <row r="146" spans="2:7" x14ac:dyDescent="0.3">
      <c r="B146" s="265" t="b">
        <f>NOT(ISERROR(SEARCH(FILLING!$D$11,tblData[[#This Row],[ФО]])))</f>
        <v>0</v>
      </c>
      <c r="C146" s="265" t="str">
        <f>IF(tblData[[#This Row],[Статус]],COUNTIF($B$2:tblData[[#This Row],[Статус]],TRUE),"")</f>
        <v/>
      </c>
      <c r="D146" s="266" t="str">
        <f>IFERROR(INDEX(tblData[ФО],MATCH(ROWS($C$2:tblData[[#This Row],[Индекс]]),tblData[Индекс],0)),"")</f>
        <v/>
      </c>
      <c r="E146" t="b">
        <f>NOT(ISERROR(SEARCH(FILLING!$D$15,tblData[[#This Row],[ФО]])))</f>
        <v>0</v>
      </c>
      <c r="F146" s="264" t="str">
        <f>IF(tblData[[#This Row],[Статус2]],COUNTIF($E$2:tblData[[#This Row],[Статус2]],TRUE),"")</f>
        <v/>
      </c>
      <c r="G146" t="str">
        <f>IFERROR(INDEX(tblData[ФО],MATCH(ROWS($F$2:tblData[[#This Row],[Индекс2]]),tblData[Индекс2],0)),"")</f>
        <v/>
      </c>
    </row>
    <row r="147" spans="2:7" x14ac:dyDescent="0.3">
      <c r="B147" s="265" t="b">
        <f>NOT(ISERROR(SEARCH(FILLING!$D$11,tblData[[#This Row],[ФО]])))</f>
        <v>0</v>
      </c>
      <c r="C147" s="265" t="str">
        <f>IF(tblData[[#This Row],[Статус]],COUNTIF($B$2:tblData[[#This Row],[Статус]],TRUE),"")</f>
        <v/>
      </c>
      <c r="D147" s="266" t="str">
        <f>IFERROR(INDEX(tblData[ФО],MATCH(ROWS($C$2:tblData[[#This Row],[Индекс]]),tblData[Индекс],0)),"")</f>
        <v/>
      </c>
      <c r="E147" t="b">
        <f>NOT(ISERROR(SEARCH(FILLING!$D$15,tblData[[#This Row],[ФО]])))</f>
        <v>0</v>
      </c>
      <c r="F147" s="264" t="str">
        <f>IF(tblData[[#This Row],[Статус2]],COUNTIF($E$2:tblData[[#This Row],[Статус2]],TRUE),"")</f>
        <v/>
      </c>
      <c r="G147" t="str">
        <f>IFERROR(INDEX(tblData[ФО],MATCH(ROWS($F$2:tblData[[#This Row],[Индекс2]]),tblData[Индекс2],0)),"")</f>
        <v/>
      </c>
    </row>
    <row r="148" spans="2:7" x14ac:dyDescent="0.3">
      <c r="B148" s="265" t="b">
        <f>NOT(ISERROR(SEARCH(FILLING!$D$11,tblData[[#This Row],[ФО]])))</f>
        <v>0</v>
      </c>
      <c r="C148" s="265" t="str">
        <f>IF(tblData[[#This Row],[Статус]],COUNTIF($B$2:tblData[[#This Row],[Статус]],TRUE),"")</f>
        <v/>
      </c>
      <c r="D148" s="266" t="str">
        <f>IFERROR(INDEX(tblData[ФО],MATCH(ROWS($C$2:tblData[[#This Row],[Индекс]]),tblData[Индекс],0)),"")</f>
        <v/>
      </c>
      <c r="E148" t="b">
        <f>NOT(ISERROR(SEARCH(FILLING!$D$15,tblData[[#This Row],[ФО]])))</f>
        <v>0</v>
      </c>
      <c r="F148" s="264" t="str">
        <f>IF(tblData[[#This Row],[Статус2]],COUNTIF($E$2:tblData[[#This Row],[Статус2]],TRUE),"")</f>
        <v/>
      </c>
      <c r="G148" t="str">
        <f>IFERROR(INDEX(tblData[ФО],MATCH(ROWS($F$2:tblData[[#This Row],[Индекс2]]),tblData[Индекс2],0)),"")</f>
        <v/>
      </c>
    </row>
    <row r="149" spans="2:7" x14ac:dyDescent="0.3">
      <c r="B149" s="265" t="b">
        <f>NOT(ISERROR(SEARCH(FILLING!$D$11,tblData[[#This Row],[ФО]])))</f>
        <v>0</v>
      </c>
      <c r="C149" s="265" t="str">
        <f>IF(tblData[[#This Row],[Статус]],COUNTIF($B$2:tblData[[#This Row],[Статус]],TRUE),"")</f>
        <v/>
      </c>
      <c r="D149" s="266" t="str">
        <f>IFERROR(INDEX(tblData[ФО],MATCH(ROWS($C$2:tblData[[#This Row],[Индекс]]),tblData[Индекс],0)),"")</f>
        <v/>
      </c>
      <c r="E149" t="b">
        <f>NOT(ISERROR(SEARCH(FILLING!$D$15,tblData[[#This Row],[ФО]])))</f>
        <v>0</v>
      </c>
      <c r="F149" s="264" t="str">
        <f>IF(tblData[[#This Row],[Статус2]],COUNTIF($E$2:tblData[[#This Row],[Статус2]],TRUE),"")</f>
        <v/>
      </c>
      <c r="G149" t="str">
        <f>IFERROR(INDEX(tblData[ФО],MATCH(ROWS($F$2:tblData[[#This Row],[Индекс2]]),tblData[Индекс2],0)),"")</f>
        <v/>
      </c>
    </row>
    <row r="150" spans="2:7" x14ac:dyDescent="0.3">
      <c r="B150" s="265" t="b">
        <f>NOT(ISERROR(SEARCH(FILLING!$D$11,tblData[[#This Row],[ФО]])))</f>
        <v>0</v>
      </c>
      <c r="C150" s="265" t="str">
        <f>IF(tblData[[#This Row],[Статус]],COUNTIF($B$2:tblData[[#This Row],[Статус]],TRUE),"")</f>
        <v/>
      </c>
      <c r="D150" s="266" t="str">
        <f>IFERROR(INDEX(tblData[ФО],MATCH(ROWS($C$2:tblData[[#This Row],[Индекс]]),tblData[Индекс],0)),"")</f>
        <v/>
      </c>
      <c r="E150" t="b">
        <f>NOT(ISERROR(SEARCH(FILLING!$D$15,tblData[[#This Row],[ФО]])))</f>
        <v>0</v>
      </c>
      <c r="F150" s="264" t="str">
        <f>IF(tblData[[#This Row],[Статус2]],COUNTIF($E$2:tblData[[#This Row],[Статус2]],TRUE),"")</f>
        <v/>
      </c>
      <c r="G150" t="str">
        <f>IFERROR(INDEX(tblData[ФО],MATCH(ROWS($F$2:tblData[[#This Row],[Индекс2]]),tblData[Индекс2],0)),"")</f>
        <v/>
      </c>
    </row>
    <row r="151" spans="2:7" x14ac:dyDescent="0.3">
      <c r="B151" s="265" t="b">
        <f>NOT(ISERROR(SEARCH(FILLING!$D$11,tblData[[#This Row],[ФО]])))</f>
        <v>0</v>
      </c>
      <c r="C151" s="265" t="str">
        <f>IF(tblData[[#This Row],[Статус]],COUNTIF($B$2:tblData[[#This Row],[Статус]],TRUE),"")</f>
        <v/>
      </c>
      <c r="D151" s="266" t="str">
        <f>IFERROR(INDEX(tblData[ФО],MATCH(ROWS($C$2:tblData[[#This Row],[Индекс]]),tblData[Индекс],0)),"")</f>
        <v/>
      </c>
      <c r="E151" t="b">
        <f>NOT(ISERROR(SEARCH(FILLING!$D$15,tblData[[#This Row],[ФО]])))</f>
        <v>0</v>
      </c>
      <c r="F151" s="264" t="str">
        <f>IF(tblData[[#This Row],[Статус2]],COUNTIF($E$2:tblData[[#This Row],[Статус2]],TRUE),"")</f>
        <v/>
      </c>
      <c r="G151" t="str">
        <f>IFERROR(INDEX(tblData[ФО],MATCH(ROWS($F$2:tblData[[#This Row],[Индекс2]]),tblData[Индекс2],0)),"")</f>
        <v/>
      </c>
    </row>
    <row r="152" spans="2:7" x14ac:dyDescent="0.3">
      <c r="B152" s="265" t="b">
        <f>NOT(ISERROR(SEARCH(FILLING!$D$11,tblData[[#This Row],[ФО]])))</f>
        <v>0</v>
      </c>
      <c r="C152" s="265" t="str">
        <f>IF(tblData[[#This Row],[Статус]],COUNTIF($B$2:tblData[[#This Row],[Статус]],TRUE),"")</f>
        <v/>
      </c>
      <c r="D152" s="266" t="str">
        <f>IFERROR(INDEX(tblData[ФО],MATCH(ROWS($C$2:tblData[[#This Row],[Индекс]]),tblData[Индекс],0)),"")</f>
        <v/>
      </c>
      <c r="E152" t="b">
        <f>NOT(ISERROR(SEARCH(FILLING!$D$15,tblData[[#This Row],[ФО]])))</f>
        <v>0</v>
      </c>
      <c r="F152" s="264" t="str">
        <f>IF(tblData[[#This Row],[Статус2]],COUNTIF($E$2:tblData[[#This Row],[Статус2]],TRUE),"")</f>
        <v/>
      </c>
      <c r="G152" t="str">
        <f>IFERROR(INDEX(tblData[ФО],MATCH(ROWS($F$2:tblData[[#This Row],[Индекс2]]),tblData[Индекс2],0)),"")</f>
        <v/>
      </c>
    </row>
    <row r="153" spans="2:7" x14ac:dyDescent="0.3">
      <c r="B153" s="265" t="b">
        <f>NOT(ISERROR(SEARCH(FILLING!$D$11,tblData[[#This Row],[ФО]])))</f>
        <v>0</v>
      </c>
      <c r="C153" s="265" t="str">
        <f>IF(tblData[[#This Row],[Статус]],COUNTIF($B$2:tblData[[#This Row],[Статус]],TRUE),"")</f>
        <v/>
      </c>
      <c r="D153" s="266" t="str">
        <f>IFERROR(INDEX(tblData[ФО],MATCH(ROWS($C$2:tblData[[#This Row],[Индекс]]),tblData[Индекс],0)),"")</f>
        <v/>
      </c>
      <c r="E153" t="b">
        <f>NOT(ISERROR(SEARCH(FILLING!$D$15,tblData[[#This Row],[ФО]])))</f>
        <v>0</v>
      </c>
      <c r="F153" s="264" t="str">
        <f>IF(tblData[[#This Row],[Статус2]],COUNTIF($E$2:tblData[[#This Row],[Статус2]],TRUE),"")</f>
        <v/>
      </c>
      <c r="G153" t="str">
        <f>IFERROR(INDEX(tblData[ФО],MATCH(ROWS($F$2:tblData[[#This Row],[Индекс2]]),tblData[Индекс2],0)),"")</f>
        <v/>
      </c>
    </row>
    <row r="154" spans="2:7" x14ac:dyDescent="0.3">
      <c r="B154" s="265" t="b">
        <f>NOT(ISERROR(SEARCH(FILLING!$D$11,tblData[[#This Row],[ФО]])))</f>
        <v>0</v>
      </c>
      <c r="C154" s="265" t="str">
        <f>IF(tblData[[#This Row],[Статус]],COUNTIF($B$2:tblData[[#This Row],[Статус]],TRUE),"")</f>
        <v/>
      </c>
      <c r="D154" s="266" t="str">
        <f>IFERROR(INDEX(tblData[ФО],MATCH(ROWS($C$2:tblData[[#This Row],[Индекс]]),tblData[Индекс],0)),"")</f>
        <v/>
      </c>
      <c r="E154" t="b">
        <f>NOT(ISERROR(SEARCH(FILLING!$D$15,tblData[[#This Row],[ФО]])))</f>
        <v>0</v>
      </c>
      <c r="F154" s="264" t="str">
        <f>IF(tblData[[#This Row],[Статус2]],COUNTIF($E$2:tblData[[#This Row],[Статус2]],TRUE),"")</f>
        <v/>
      </c>
      <c r="G154" t="str">
        <f>IFERROR(INDEX(tblData[ФО],MATCH(ROWS($F$2:tblData[[#This Row],[Индекс2]]),tblData[Индекс2],0)),"")</f>
        <v/>
      </c>
    </row>
    <row r="155" spans="2:7" x14ac:dyDescent="0.3">
      <c r="B155" s="265" t="b">
        <f>NOT(ISERROR(SEARCH(FILLING!$D$11,tblData[[#This Row],[ФО]])))</f>
        <v>0</v>
      </c>
      <c r="C155" s="265" t="str">
        <f>IF(tblData[[#This Row],[Статус]],COUNTIF($B$2:tblData[[#This Row],[Статус]],TRUE),"")</f>
        <v/>
      </c>
      <c r="D155" s="266" t="str">
        <f>IFERROR(INDEX(tblData[ФО],MATCH(ROWS($C$2:tblData[[#This Row],[Индекс]]),tblData[Индекс],0)),"")</f>
        <v/>
      </c>
      <c r="E155" t="b">
        <f>NOT(ISERROR(SEARCH(FILLING!$D$15,tblData[[#This Row],[ФО]])))</f>
        <v>0</v>
      </c>
      <c r="F155" s="264" t="str">
        <f>IF(tblData[[#This Row],[Статус2]],COUNTIF($E$2:tblData[[#This Row],[Статус2]],TRUE),"")</f>
        <v/>
      </c>
      <c r="G155" t="str">
        <f>IFERROR(INDEX(tblData[ФО],MATCH(ROWS($F$2:tblData[[#This Row],[Индекс2]]),tblData[Индекс2],0)),"")</f>
        <v/>
      </c>
    </row>
    <row r="156" spans="2:7" x14ac:dyDescent="0.3">
      <c r="B156" s="265" t="b">
        <f>NOT(ISERROR(SEARCH(FILLING!$D$11,tblData[[#This Row],[ФО]])))</f>
        <v>0</v>
      </c>
      <c r="C156" s="265" t="str">
        <f>IF(tblData[[#This Row],[Статус]],COUNTIF($B$2:tblData[[#This Row],[Статус]],TRUE),"")</f>
        <v/>
      </c>
      <c r="D156" s="266" t="str">
        <f>IFERROR(INDEX(tblData[ФО],MATCH(ROWS($C$2:tblData[[#This Row],[Индекс]]),tblData[Индекс],0)),"")</f>
        <v/>
      </c>
      <c r="E156" t="b">
        <f>NOT(ISERROR(SEARCH(FILLING!$D$15,tblData[[#This Row],[ФО]])))</f>
        <v>0</v>
      </c>
      <c r="F156" s="264" t="str">
        <f>IF(tblData[[#This Row],[Статус2]],COUNTIF($E$2:tblData[[#This Row],[Статус2]],TRUE),"")</f>
        <v/>
      </c>
      <c r="G156" t="str">
        <f>IFERROR(INDEX(tblData[ФО],MATCH(ROWS($F$2:tblData[[#This Row],[Индекс2]]),tblData[Индекс2],0)),"")</f>
        <v/>
      </c>
    </row>
    <row r="157" spans="2:7" x14ac:dyDescent="0.3">
      <c r="B157" s="265" t="b">
        <f>NOT(ISERROR(SEARCH(FILLING!$D$11,tblData[[#This Row],[ФО]])))</f>
        <v>0</v>
      </c>
      <c r="C157" s="265" t="str">
        <f>IF(tblData[[#This Row],[Статус]],COUNTIF($B$2:tblData[[#This Row],[Статус]],TRUE),"")</f>
        <v/>
      </c>
      <c r="D157" s="266" t="str">
        <f>IFERROR(INDEX(tblData[ФО],MATCH(ROWS($C$2:tblData[[#This Row],[Индекс]]),tblData[Индекс],0)),"")</f>
        <v/>
      </c>
      <c r="E157" t="b">
        <f>NOT(ISERROR(SEARCH(FILLING!$D$15,tblData[[#This Row],[ФО]])))</f>
        <v>0</v>
      </c>
      <c r="F157" s="264" t="str">
        <f>IF(tblData[[#This Row],[Статус2]],COUNTIF($E$2:tblData[[#This Row],[Статус2]],TRUE),"")</f>
        <v/>
      </c>
      <c r="G157" t="str">
        <f>IFERROR(INDEX(tblData[ФО],MATCH(ROWS($F$2:tblData[[#This Row],[Индекс2]]),tblData[Индекс2],0)),"")</f>
        <v/>
      </c>
    </row>
    <row r="158" spans="2:7" x14ac:dyDescent="0.3">
      <c r="B158" s="265" t="b">
        <f>NOT(ISERROR(SEARCH(FILLING!$D$11,tblData[[#This Row],[ФО]])))</f>
        <v>0</v>
      </c>
      <c r="C158" s="265" t="str">
        <f>IF(tblData[[#This Row],[Статус]],COUNTIF($B$2:tblData[[#This Row],[Статус]],TRUE),"")</f>
        <v/>
      </c>
      <c r="D158" s="266" t="str">
        <f>IFERROR(INDEX(tblData[ФО],MATCH(ROWS($C$2:tblData[[#This Row],[Индекс]]),tblData[Индекс],0)),"")</f>
        <v/>
      </c>
      <c r="E158" t="b">
        <f>NOT(ISERROR(SEARCH(FILLING!$D$15,tblData[[#This Row],[ФО]])))</f>
        <v>0</v>
      </c>
      <c r="F158" s="264" t="str">
        <f>IF(tblData[[#This Row],[Статус2]],COUNTIF($E$2:tblData[[#This Row],[Статус2]],TRUE),"")</f>
        <v/>
      </c>
      <c r="G158" t="str">
        <f>IFERROR(INDEX(tblData[ФО],MATCH(ROWS($F$2:tblData[[#This Row],[Индекс2]]),tblData[Индекс2],0)),"")</f>
        <v/>
      </c>
    </row>
    <row r="159" spans="2:7" x14ac:dyDescent="0.3">
      <c r="B159" s="265" t="b">
        <f>NOT(ISERROR(SEARCH(FILLING!$D$11,tblData[[#This Row],[ФО]])))</f>
        <v>0</v>
      </c>
      <c r="C159" s="265" t="str">
        <f>IF(tblData[[#This Row],[Статус]],COUNTIF($B$2:tblData[[#This Row],[Статус]],TRUE),"")</f>
        <v/>
      </c>
      <c r="D159" s="266" t="str">
        <f>IFERROR(INDEX(tblData[ФО],MATCH(ROWS($C$2:tblData[[#This Row],[Индекс]]),tblData[Индекс],0)),"")</f>
        <v/>
      </c>
      <c r="E159" t="b">
        <f>NOT(ISERROR(SEARCH(FILLING!$D$15,tblData[[#This Row],[ФО]])))</f>
        <v>0</v>
      </c>
      <c r="F159" s="264" t="str">
        <f>IF(tblData[[#This Row],[Статус2]],COUNTIF($E$2:tblData[[#This Row],[Статус2]],TRUE),"")</f>
        <v/>
      </c>
      <c r="G159" t="str">
        <f>IFERROR(INDEX(tblData[ФО],MATCH(ROWS($F$2:tblData[[#This Row],[Индекс2]]),tblData[Индекс2],0)),"")</f>
        <v/>
      </c>
    </row>
    <row r="160" spans="2:7" x14ac:dyDescent="0.3">
      <c r="B160" s="265" t="b">
        <f>NOT(ISERROR(SEARCH(FILLING!$D$11,tblData[[#This Row],[ФО]])))</f>
        <v>0</v>
      </c>
      <c r="C160" s="265" t="str">
        <f>IF(tblData[[#This Row],[Статус]],COUNTIF($B$2:tblData[[#This Row],[Статус]],TRUE),"")</f>
        <v/>
      </c>
      <c r="D160" s="266" t="str">
        <f>IFERROR(INDEX(tblData[ФО],MATCH(ROWS($C$2:tblData[[#This Row],[Индекс]]),tblData[Индекс],0)),"")</f>
        <v/>
      </c>
      <c r="E160" t="b">
        <f>NOT(ISERROR(SEARCH(FILLING!$D$15,tblData[[#This Row],[ФО]])))</f>
        <v>0</v>
      </c>
      <c r="F160" s="264" t="str">
        <f>IF(tblData[[#This Row],[Статус2]],COUNTIF($E$2:tblData[[#This Row],[Статус2]],TRUE),"")</f>
        <v/>
      </c>
      <c r="G160" t="str">
        <f>IFERROR(INDEX(tblData[ФО],MATCH(ROWS($F$2:tblData[[#This Row],[Индекс2]]),tblData[Индекс2],0)),"")</f>
        <v/>
      </c>
    </row>
    <row r="161" spans="2:7" x14ac:dyDescent="0.3">
      <c r="B161" s="265" t="b">
        <f>NOT(ISERROR(SEARCH(FILLING!$D$11,tblData[[#This Row],[ФО]])))</f>
        <v>0</v>
      </c>
      <c r="C161" s="265" t="str">
        <f>IF(tblData[[#This Row],[Статус]],COUNTIF($B$2:tblData[[#This Row],[Статус]],TRUE),"")</f>
        <v/>
      </c>
      <c r="D161" s="266" t="str">
        <f>IFERROR(INDEX(tblData[ФО],MATCH(ROWS($C$2:tblData[[#This Row],[Индекс]]),tblData[Индекс],0)),"")</f>
        <v/>
      </c>
      <c r="E161" t="b">
        <f>NOT(ISERROR(SEARCH(FILLING!$D$15,tblData[[#This Row],[ФО]])))</f>
        <v>0</v>
      </c>
      <c r="F161" s="264" t="str">
        <f>IF(tblData[[#This Row],[Статус2]],COUNTIF($E$2:tblData[[#This Row],[Статус2]],TRUE),"")</f>
        <v/>
      </c>
      <c r="G161" t="str">
        <f>IFERROR(INDEX(tblData[ФО],MATCH(ROWS($F$2:tblData[[#This Row],[Индекс2]]),tblData[Индекс2],0)),"")</f>
        <v/>
      </c>
    </row>
    <row r="162" spans="2:7" x14ac:dyDescent="0.3">
      <c r="B162" s="265" t="b">
        <f>NOT(ISERROR(SEARCH(FILLING!$D$11,tblData[[#This Row],[ФО]])))</f>
        <v>0</v>
      </c>
      <c r="C162" s="265" t="str">
        <f>IF(tblData[[#This Row],[Статус]],COUNTIF($B$2:tblData[[#This Row],[Статус]],TRUE),"")</f>
        <v/>
      </c>
      <c r="D162" s="266" t="str">
        <f>IFERROR(INDEX(tblData[ФО],MATCH(ROWS($C$2:tblData[[#This Row],[Индекс]]),tblData[Индекс],0)),"")</f>
        <v/>
      </c>
      <c r="E162" t="b">
        <f>NOT(ISERROR(SEARCH(FILLING!$D$15,tblData[[#This Row],[ФО]])))</f>
        <v>0</v>
      </c>
      <c r="F162" s="264" t="str">
        <f>IF(tblData[[#This Row],[Статус2]],COUNTIF($E$2:tblData[[#This Row],[Статус2]],TRUE),"")</f>
        <v/>
      </c>
      <c r="G162" t="str">
        <f>IFERROR(INDEX(tblData[ФО],MATCH(ROWS($F$2:tblData[[#This Row],[Индекс2]]),tblData[Индекс2],0)),"")</f>
        <v/>
      </c>
    </row>
    <row r="163" spans="2:7" x14ac:dyDescent="0.3">
      <c r="B163" s="265" t="b">
        <f>NOT(ISERROR(SEARCH(FILLING!$D$11,tblData[[#This Row],[ФО]])))</f>
        <v>0</v>
      </c>
      <c r="C163" s="265" t="str">
        <f>IF(tblData[[#This Row],[Статус]],COUNTIF($B$2:tblData[[#This Row],[Статус]],TRUE),"")</f>
        <v/>
      </c>
      <c r="D163" s="266" t="str">
        <f>IFERROR(INDEX(tblData[ФО],MATCH(ROWS($C$2:tblData[[#This Row],[Индекс]]),tblData[Индекс],0)),"")</f>
        <v/>
      </c>
      <c r="E163" t="b">
        <f>NOT(ISERROR(SEARCH(FILLING!$D$15,tblData[[#This Row],[ФО]])))</f>
        <v>0</v>
      </c>
      <c r="F163" s="264" t="str">
        <f>IF(tblData[[#This Row],[Статус2]],COUNTIF($E$2:tblData[[#This Row],[Статус2]],TRUE),"")</f>
        <v/>
      </c>
      <c r="G163" t="str">
        <f>IFERROR(INDEX(tblData[ФО],MATCH(ROWS($F$2:tblData[[#This Row],[Индекс2]]),tblData[Индекс2],0)),"")</f>
        <v/>
      </c>
    </row>
    <row r="164" spans="2:7" x14ac:dyDescent="0.3">
      <c r="B164" s="265" t="b">
        <f>NOT(ISERROR(SEARCH(FILLING!$D$11,tblData[[#This Row],[ФО]])))</f>
        <v>0</v>
      </c>
      <c r="C164" s="265" t="str">
        <f>IF(tblData[[#This Row],[Статус]],COUNTIF($B$2:tblData[[#This Row],[Статус]],TRUE),"")</f>
        <v/>
      </c>
      <c r="D164" s="266" t="str">
        <f>IFERROR(INDEX(tblData[ФО],MATCH(ROWS($C$2:tblData[[#This Row],[Индекс]]),tblData[Индекс],0)),"")</f>
        <v/>
      </c>
      <c r="E164" t="b">
        <f>NOT(ISERROR(SEARCH(FILLING!$D$15,tblData[[#This Row],[ФО]])))</f>
        <v>0</v>
      </c>
      <c r="F164" s="264" t="str">
        <f>IF(tblData[[#This Row],[Статус2]],COUNTIF($E$2:tblData[[#This Row],[Статус2]],TRUE),"")</f>
        <v/>
      </c>
      <c r="G164" t="str">
        <f>IFERROR(INDEX(tblData[ФО],MATCH(ROWS($F$2:tblData[[#This Row],[Индекс2]]),tblData[Индекс2],0)),"")</f>
        <v/>
      </c>
    </row>
    <row r="165" spans="2:7" x14ac:dyDescent="0.3">
      <c r="B165" s="265" t="b">
        <f>NOT(ISERROR(SEARCH(FILLING!$D$11,tblData[[#This Row],[ФО]])))</f>
        <v>0</v>
      </c>
      <c r="C165" s="265" t="str">
        <f>IF(tblData[[#This Row],[Статус]],COUNTIF($B$2:tblData[[#This Row],[Статус]],TRUE),"")</f>
        <v/>
      </c>
      <c r="D165" s="266" t="str">
        <f>IFERROR(INDEX(tblData[ФО],MATCH(ROWS($C$2:tblData[[#This Row],[Индекс]]),tblData[Индекс],0)),"")</f>
        <v/>
      </c>
      <c r="E165" t="b">
        <f>NOT(ISERROR(SEARCH(FILLING!$D$15,tblData[[#This Row],[ФО]])))</f>
        <v>0</v>
      </c>
      <c r="F165" s="264" t="str">
        <f>IF(tblData[[#This Row],[Статус2]],COUNTIF($E$2:tblData[[#This Row],[Статус2]],TRUE),"")</f>
        <v/>
      </c>
      <c r="G165" t="str">
        <f>IFERROR(INDEX(tblData[ФО],MATCH(ROWS($F$2:tblData[[#This Row],[Индекс2]]),tblData[Индекс2],0)),"")</f>
        <v/>
      </c>
    </row>
    <row r="166" spans="2:7" x14ac:dyDescent="0.3">
      <c r="B166" s="265" t="b">
        <f>NOT(ISERROR(SEARCH(FILLING!$D$11,tblData[[#This Row],[ФО]])))</f>
        <v>0</v>
      </c>
      <c r="C166" s="265" t="str">
        <f>IF(tblData[[#This Row],[Статус]],COUNTIF($B$2:tblData[[#This Row],[Статус]],TRUE),"")</f>
        <v/>
      </c>
      <c r="D166" s="266" t="str">
        <f>IFERROR(INDEX(tblData[ФО],MATCH(ROWS($C$2:tblData[[#This Row],[Индекс]]),tblData[Индекс],0)),"")</f>
        <v/>
      </c>
      <c r="E166" t="b">
        <f>NOT(ISERROR(SEARCH(FILLING!$D$15,tblData[[#This Row],[ФО]])))</f>
        <v>0</v>
      </c>
      <c r="F166" s="264" t="str">
        <f>IF(tblData[[#This Row],[Статус2]],COUNTIF($E$2:tblData[[#This Row],[Статус2]],TRUE),"")</f>
        <v/>
      </c>
      <c r="G166" t="str">
        <f>IFERROR(INDEX(tblData[ФО],MATCH(ROWS($F$2:tblData[[#This Row],[Индекс2]]),tblData[Индекс2],0)),"")</f>
        <v/>
      </c>
    </row>
    <row r="167" spans="2:7" x14ac:dyDescent="0.3">
      <c r="B167" s="265" t="b">
        <f>NOT(ISERROR(SEARCH(FILLING!$D$11,tblData[[#This Row],[ФО]])))</f>
        <v>0</v>
      </c>
      <c r="C167" s="265" t="str">
        <f>IF(tblData[[#This Row],[Статус]],COUNTIF($B$2:tblData[[#This Row],[Статус]],TRUE),"")</f>
        <v/>
      </c>
      <c r="D167" s="266" t="str">
        <f>IFERROR(INDEX(tblData[ФО],MATCH(ROWS($C$2:tblData[[#This Row],[Индекс]]),tblData[Индекс],0)),"")</f>
        <v/>
      </c>
      <c r="E167" t="b">
        <f>NOT(ISERROR(SEARCH(FILLING!$D$15,tblData[[#This Row],[ФО]])))</f>
        <v>0</v>
      </c>
      <c r="F167" s="264" t="str">
        <f>IF(tblData[[#This Row],[Статус2]],COUNTIF($E$2:tblData[[#This Row],[Статус2]],TRUE),"")</f>
        <v/>
      </c>
      <c r="G167" t="str">
        <f>IFERROR(INDEX(tblData[ФО],MATCH(ROWS($F$2:tblData[[#This Row],[Индекс2]]),tblData[Индекс2],0)),"")</f>
        <v/>
      </c>
    </row>
    <row r="168" spans="2:7" x14ac:dyDescent="0.3">
      <c r="B168" s="265" t="b">
        <f>NOT(ISERROR(SEARCH(FILLING!$D$11,tblData[[#This Row],[ФО]])))</f>
        <v>0</v>
      </c>
      <c r="C168" s="265" t="str">
        <f>IF(tblData[[#This Row],[Статус]],COUNTIF($B$2:tblData[[#This Row],[Статус]],TRUE),"")</f>
        <v/>
      </c>
      <c r="D168" s="266" t="str">
        <f>IFERROR(INDEX(tblData[ФО],MATCH(ROWS($C$2:tblData[[#This Row],[Индекс]]),tblData[Индекс],0)),"")</f>
        <v/>
      </c>
      <c r="E168" t="b">
        <f>NOT(ISERROR(SEARCH(FILLING!$D$15,tblData[[#This Row],[ФО]])))</f>
        <v>0</v>
      </c>
      <c r="F168" s="264" t="str">
        <f>IF(tblData[[#This Row],[Статус2]],COUNTIF($E$2:tblData[[#This Row],[Статус2]],TRUE),"")</f>
        <v/>
      </c>
      <c r="G168" t="str">
        <f>IFERROR(INDEX(tblData[ФО],MATCH(ROWS($F$2:tblData[[#This Row],[Индекс2]]),tblData[Индекс2],0)),"")</f>
        <v/>
      </c>
    </row>
    <row r="169" spans="2:7" x14ac:dyDescent="0.3">
      <c r="B169" s="265" t="b">
        <f>NOT(ISERROR(SEARCH(FILLING!$D$11,tblData[[#This Row],[ФО]])))</f>
        <v>0</v>
      </c>
      <c r="C169" s="265" t="str">
        <f>IF(tblData[[#This Row],[Статус]],COUNTIF($B$2:tblData[[#This Row],[Статус]],TRUE),"")</f>
        <v/>
      </c>
      <c r="D169" s="266" t="str">
        <f>IFERROR(INDEX(tblData[ФО],MATCH(ROWS($C$2:tblData[[#This Row],[Индекс]]),tblData[Индекс],0)),"")</f>
        <v/>
      </c>
      <c r="E169" t="b">
        <f>NOT(ISERROR(SEARCH(FILLING!$D$15,tblData[[#This Row],[ФО]])))</f>
        <v>0</v>
      </c>
      <c r="F169" s="264" t="str">
        <f>IF(tblData[[#This Row],[Статус2]],COUNTIF($E$2:tblData[[#This Row],[Статус2]],TRUE),"")</f>
        <v/>
      </c>
      <c r="G169" t="str">
        <f>IFERROR(INDEX(tblData[ФО],MATCH(ROWS($F$2:tblData[[#This Row],[Индекс2]]),tblData[Индекс2],0)),"")</f>
        <v/>
      </c>
    </row>
    <row r="170" spans="2:7" x14ac:dyDescent="0.3">
      <c r="B170" s="265" t="b">
        <f>NOT(ISERROR(SEARCH(FILLING!$D$11,tblData[[#This Row],[ФО]])))</f>
        <v>0</v>
      </c>
      <c r="C170" s="265" t="str">
        <f>IF(tblData[[#This Row],[Статус]],COUNTIF($B$2:tblData[[#This Row],[Статус]],TRUE),"")</f>
        <v/>
      </c>
      <c r="D170" s="266" t="str">
        <f>IFERROR(INDEX(tblData[ФО],MATCH(ROWS($C$2:tblData[[#This Row],[Индекс]]),tblData[Индекс],0)),"")</f>
        <v/>
      </c>
      <c r="E170" t="b">
        <f>NOT(ISERROR(SEARCH(FILLING!$D$15,tblData[[#This Row],[ФО]])))</f>
        <v>0</v>
      </c>
      <c r="F170" s="264" t="str">
        <f>IF(tblData[[#This Row],[Статус2]],COUNTIF($E$2:tblData[[#This Row],[Статус2]],TRUE),"")</f>
        <v/>
      </c>
      <c r="G170" t="str">
        <f>IFERROR(INDEX(tblData[ФО],MATCH(ROWS($F$2:tblData[[#This Row],[Индекс2]]),tblData[Индекс2],0)),"")</f>
        <v/>
      </c>
    </row>
    <row r="171" spans="2:7" x14ac:dyDescent="0.3">
      <c r="B171" s="265" t="b">
        <f>NOT(ISERROR(SEARCH(FILLING!$D$11,tblData[[#This Row],[ФО]])))</f>
        <v>0</v>
      </c>
      <c r="C171" s="265" t="str">
        <f>IF(tblData[[#This Row],[Статус]],COUNTIF($B$2:tblData[[#This Row],[Статус]],TRUE),"")</f>
        <v/>
      </c>
      <c r="D171" s="266" t="str">
        <f>IFERROR(INDEX(tblData[ФО],MATCH(ROWS($C$2:tblData[[#This Row],[Индекс]]),tblData[Индекс],0)),"")</f>
        <v/>
      </c>
      <c r="E171" t="b">
        <f>NOT(ISERROR(SEARCH(FILLING!$D$15,tblData[[#This Row],[ФО]])))</f>
        <v>0</v>
      </c>
      <c r="F171" s="264" t="str">
        <f>IF(tblData[[#This Row],[Статус2]],COUNTIF($E$2:tblData[[#This Row],[Статус2]],TRUE),"")</f>
        <v/>
      </c>
      <c r="G171" t="str">
        <f>IFERROR(INDEX(tblData[ФО],MATCH(ROWS($F$2:tblData[[#This Row],[Индекс2]]),tblData[Индекс2],0)),"")</f>
        <v/>
      </c>
    </row>
    <row r="172" spans="2:7" x14ac:dyDescent="0.3">
      <c r="B172" s="265" t="b">
        <f>NOT(ISERROR(SEARCH(FILLING!$D$11,tblData[[#This Row],[ФО]])))</f>
        <v>0</v>
      </c>
      <c r="C172" s="265" t="str">
        <f>IF(tblData[[#This Row],[Статус]],COUNTIF($B$2:tblData[[#This Row],[Статус]],TRUE),"")</f>
        <v/>
      </c>
      <c r="D172" s="266" t="str">
        <f>IFERROR(INDEX(tblData[ФО],MATCH(ROWS($C$2:tblData[[#This Row],[Индекс]]),tblData[Индекс],0)),"")</f>
        <v/>
      </c>
      <c r="E172" t="b">
        <f>NOT(ISERROR(SEARCH(FILLING!$D$15,tblData[[#This Row],[ФО]])))</f>
        <v>0</v>
      </c>
      <c r="F172" s="264" t="str">
        <f>IF(tblData[[#This Row],[Статус2]],COUNTIF($E$2:tblData[[#This Row],[Статус2]],TRUE),"")</f>
        <v/>
      </c>
      <c r="G172" t="str">
        <f>IFERROR(INDEX(tblData[ФО],MATCH(ROWS($F$2:tblData[[#This Row],[Индекс2]]),tblData[Индекс2],0)),"")</f>
        <v/>
      </c>
    </row>
    <row r="173" spans="2:7" x14ac:dyDescent="0.3">
      <c r="B173" s="265" t="b">
        <f>NOT(ISERROR(SEARCH(FILLING!$D$11,tblData[[#This Row],[ФО]])))</f>
        <v>0</v>
      </c>
      <c r="C173" s="265" t="str">
        <f>IF(tblData[[#This Row],[Статус]],COUNTIF($B$2:tblData[[#This Row],[Статус]],TRUE),"")</f>
        <v/>
      </c>
      <c r="D173" s="266" t="str">
        <f>IFERROR(INDEX(tblData[ФО],MATCH(ROWS($C$2:tblData[[#This Row],[Индекс]]),tblData[Индекс],0)),"")</f>
        <v/>
      </c>
      <c r="E173" t="b">
        <f>NOT(ISERROR(SEARCH(FILLING!$D$15,tblData[[#This Row],[ФО]])))</f>
        <v>0</v>
      </c>
      <c r="F173" s="264" t="str">
        <f>IF(tblData[[#This Row],[Статус2]],COUNTIF($E$2:tblData[[#This Row],[Статус2]],TRUE),"")</f>
        <v/>
      </c>
      <c r="G173" t="str">
        <f>IFERROR(INDEX(tblData[ФО],MATCH(ROWS($F$2:tblData[[#This Row],[Индекс2]]),tblData[Индекс2],0)),"")</f>
        <v/>
      </c>
    </row>
    <row r="174" spans="2:7" x14ac:dyDescent="0.3">
      <c r="B174" s="265" t="b">
        <f>NOT(ISERROR(SEARCH(FILLING!$D$11,tblData[[#This Row],[ФО]])))</f>
        <v>0</v>
      </c>
      <c r="C174" s="265" t="str">
        <f>IF(tblData[[#This Row],[Статус]],COUNTIF($B$2:tblData[[#This Row],[Статус]],TRUE),"")</f>
        <v/>
      </c>
      <c r="D174" s="266" t="str">
        <f>IFERROR(INDEX(tblData[ФО],MATCH(ROWS($C$2:tblData[[#This Row],[Индекс]]),tblData[Индекс],0)),"")</f>
        <v/>
      </c>
      <c r="E174" t="b">
        <f>NOT(ISERROR(SEARCH(FILLING!$D$15,tblData[[#This Row],[ФО]])))</f>
        <v>0</v>
      </c>
      <c r="F174" s="264" t="str">
        <f>IF(tblData[[#This Row],[Статус2]],COUNTIF($E$2:tblData[[#This Row],[Статус2]],TRUE),"")</f>
        <v/>
      </c>
      <c r="G174" t="str">
        <f>IFERROR(INDEX(tblData[ФО],MATCH(ROWS($F$2:tblData[[#This Row],[Индекс2]]),tblData[Индекс2],0)),"")</f>
        <v/>
      </c>
    </row>
    <row r="175" spans="2:7" x14ac:dyDescent="0.3">
      <c r="B175" s="265" t="b">
        <f>NOT(ISERROR(SEARCH(FILLING!$D$11,tblData[[#This Row],[ФО]])))</f>
        <v>0</v>
      </c>
      <c r="C175" s="265" t="str">
        <f>IF(tblData[[#This Row],[Статус]],COUNTIF($B$2:tblData[[#This Row],[Статус]],TRUE),"")</f>
        <v/>
      </c>
      <c r="D175" s="266" t="str">
        <f>IFERROR(INDEX(tblData[ФО],MATCH(ROWS($C$2:tblData[[#This Row],[Индекс]]),tblData[Индекс],0)),"")</f>
        <v/>
      </c>
      <c r="E175" t="b">
        <f>NOT(ISERROR(SEARCH(FILLING!$D$15,tblData[[#This Row],[ФО]])))</f>
        <v>0</v>
      </c>
      <c r="F175" s="264" t="str">
        <f>IF(tblData[[#This Row],[Статус2]],COUNTIF($E$2:tblData[[#This Row],[Статус2]],TRUE),"")</f>
        <v/>
      </c>
      <c r="G175" t="str">
        <f>IFERROR(INDEX(tblData[ФО],MATCH(ROWS($F$2:tblData[[#This Row],[Индекс2]]),tblData[Индекс2],0)),"")</f>
        <v/>
      </c>
    </row>
    <row r="176" spans="2:7" x14ac:dyDescent="0.3">
      <c r="B176" s="265" t="b">
        <f>NOT(ISERROR(SEARCH(FILLING!$D$11,tblData[[#This Row],[ФО]])))</f>
        <v>0</v>
      </c>
      <c r="C176" s="265" t="str">
        <f>IF(tblData[[#This Row],[Статус]],COUNTIF($B$2:tblData[[#This Row],[Статус]],TRUE),"")</f>
        <v/>
      </c>
      <c r="D176" s="266" t="str">
        <f>IFERROR(INDEX(tblData[ФО],MATCH(ROWS($C$2:tblData[[#This Row],[Индекс]]),tblData[Индекс],0)),"")</f>
        <v/>
      </c>
      <c r="E176" t="b">
        <f>NOT(ISERROR(SEARCH(FILLING!$D$15,tblData[[#This Row],[ФО]])))</f>
        <v>0</v>
      </c>
      <c r="F176" s="264" t="str">
        <f>IF(tblData[[#This Row],[Статус2]],COUNTIF($E$2:tblData[[#This Row],[Статус2]],TRUE),"")</f>
        <v/>
      </c>
      <c r="G176" t="str">
        <f>IFERROR(INDEX(tblData[ФО],MATCH(ROWS($F$2:tblData[[#This Row],[Индекс2]]),tblData[Индекс2],0)),"")</f>
        <v/>
      </c>
    </row>
    <row r="177" spans="2:7" x14ac:dyDescent="0.3">
      <c r="B177" s="265" t="b">
        <f>NOT(ISERROR(SEARCH(FILLING!$D$11,tblData[[#This Row],[ФО]])))</f>
        <v>0</v>
      </c>
      <c r="C177" s="265" t="str">
        <f>IF(tblData[[#This Row],[Статус]],COUNTIF($B$2:tblData[[#This Row],[Статус]],TRUE),"")</f>
        <v/>
      </c>
      <c r="D177" s="266" t="str">
        <f>IFERROR(INDEX(tblData[ФО],MATCH(ROWS($C$2:tblData[[#This Row],[Индекс]]),tblData[Индекс],0)),"")</f>
        <v/>
      </c>
      <c r="E177" t="b">
        <f>NOT(ISERROR(SEARCH(FILLING!$D$15,tblData[[#This Row],[ФО]])))</f>
        <v>0</v>
      </c>
      <c r="F177" s="264" t="str">
        <f>IF(tblData[[#This Row],[Статус2]],COUNTIF($E$2:tblData[[#This Row],[Статус2]],TRUE),"")</f>
        <v/>
      </c>
      <c r="G177" t="str">
        <f>IFERROR(INDEX(tblData[ФО],MATCH(ROWS($F$2:tblData[[#This Row],[Индекс2]]),tblData[Индекс2],0)),"")</f>
        <v/>
      </c>
    </row>
    <row r="178" spans="2:7" x14ac:dyDescent="0.3">
      <c r="B178" s="265" t="b">
        <f>NOT(ISERROR(SEARCH(FILLING!$D$11,tblData[[#This Row],[ФО]])))</f>
        <v>0</v>
      </c>
      <c r="C178" s="265" t="str">
        <f>IF(tblData[[#This Row],[Статус]],COUNTIF($B$2:tblData[[#This Row],[Статус]],TRUE),"")</f>
        <v/>
      </c>
      <c r="D178" s="266" t="str">
        <f>IFERROR(INDEX(tblData[ФО],MATCH(ROWS($C$2:tblData[[#This Row],[Индекс]]),tblData[Индекс],0)),"")</f>
        <v/>
      </c>
      <c r="E178" t="b">
        <f>NOT(ISERROR(SEARCH(FILLING!$D$15,tblData[[#This Row],[ФО]])))</f>
        <v>0</v>
      </c>
      <c r="F178" s="264" t="str">
        <f>IF(tblData[[#This Row],[Статус2]],COUNTIF($E$2:tblData[[#This Row],[Статус2]],TRUE),"")</f>
        <v/>
      </c>
      <c r="G178" t="str">
        <f>IFERROR(INDEX(tblData[ФО],MATCH(ROWS($F$2:tblData[[#This Row],[Индекс2]]),tblData[Индекс2],0)),"")</f>
        <v/>
      </c>
    </row>
    <row r="179" spans="2:7" x14ac:dyDescent="0.3">
      <c r="B179" s="265" t="b">
        <f>NOT(ISERROR(SEARCH(FILLING!$D$11,tblData[[#This Row],[ФО]])))</f>
        <v>0</v>
      </c>
      <c r="C179" s="265" t="str">
        <f>IF(tblData[[#This Row],[Статус]],COUNTIF($B$2:tblData[[#This Row],[Статус]],TRUE),"")</f>
        <v/>
      </c>
      <c r="D179" s="266" t="str">
        <f>IFERROR(INDEX(tblData[ФО],MATCH(ROWS($C$2:tblData[[#This Row],[Индекс]]),tblData[Индекс],0)),"")</f>
        <v/>
      </c>
      <c r="E179" t="b">
        <f>NOT(ISERROR(SEARCH(FILLING!$D$15,tblData[[#This Row],[ФО]])))</f>
        <v>0</v>
      </c>
      <c r="F179" s="264" t="str">
        <f>IF(tblData[[#This Row],[Статус2]],COUNTIF($E$2:tblData[[#This Row],[Статус2]],TRUE),"")</f>
        <v/>
      </c>
      <c r="G179" t="str">
        <f>IFERROR(INDEX(tblData[ФО],MATCH(ROWS($F$2:tblData[[#This Row],[Индекс2]]),tblData[Индекс2],0)),"")</f>
        <v/>
      </c>
    </row>
    <row r="180" spans="2:7" x14ac:dyDescent="0.3">
      <c r="B180" s="265" t="b">
        <f>NOT(ISERROR(SEARCH(FILLING!$D$11,tblData[[#This Row],[ФО]])))</f>
        <v>0</v>
      </c>
      <c r="C180" s="265" t="str">
        <f>IF(tblData[[#This Row],[Статус]],COUNTIF($B$2:tblData[[#This Row],[Статус]],TRUE),"")</f>
        <v/>
      </c>
      <c r="D180" s="266" t="str">
        <f>IFERROR(INDEX(tblData[ФО],MATCH(ROWS($C$2:tblData[[#This Row],[Индекс]]),tblData[Индекс],0)),"")</f>
        <v/>
      </c>
      <c r="E180" t="b">
        <f>NOT(ISERROR(SEARCH(FILLING!$D$15,tblData[[#This Row],[ФО]])))</f>
        <v>0</v>
      </c>
      <c r="F180" s="264" t="str">
        <f>IF(tblData[[#This Row],[Статус2]],COUNTIF($E$2:tblData[[#This Row],[Статус2]],TRUE),"")</f>
        <v/>
      </c>
      <c r="G180" t="str">
        <f>IFERROR(INDEX(tblData[ФО],MATCH(ROWS($F$2:tblData[[#This Row],[Индекс2]]),tblData[Индекс2],0)),"")</f>
        <v/>
      </c>
    </row>
    <row r="181" spans="2:7" x14ac:dyDescent="0.3">
      <c r="B181" s="265" t="b">
        <f>NOT(ISERROR(SEARCH(FILLING!$D$11,tblData[[#This Row],[ФО]])))</f>
        <v>0</v>
      </c>
      <c r="C181" s="265" t="str">
        <f>IF(tblData[[#This Row],[Статус]],COUNTIF($B$2:tblData[[#This Row],[Статус]],TRUE),"")</f>
        <v/>
      </c>
      <c r="D181" s="266" t="str">
        <f>IFERROR(INDEX(tblData[ФО],MATCH(ROWS($C$2:tblData[[#This Row],[Индекс]]),tblData[Индекс],0)),"")</f>
        <v/>
      </c>
      <c r="E181" t="b">
        <f>NOT(ISERROR(SEARCH(FILLING!$D$15,tblData[[#This Row],[ФО]])))</f>
        <v>0</v>
      </c>
      <c r="F181" s="264" t="str">
        <f>IF(tblData[[#This Row],[Статус2]],COUNTIF($E$2:tblData[[#This Row],[Статус2]],TRUE),"")</f>
        <v/>
      </c>
      <c r="G181" t="str">
        <f>IFERROR(INDEX(tblData[ФО],MATCH(ROWS($F$2:tblData[[#This Row],[Индекс2]]),tblData[Индекс2],0)),"")</f>
        <v/>
      </c>
    </row>
    <row r="182" spans="2:7" x14ac:dyDescent="0.3">
      <c r="B182" s="265" t="b">
        <f>NOT(ISERROR(SEARCH(FILLING!$D$11,tblData[[#This Row],[ФО]])))</f>
        <v>0</v>
      </c>
      <c r="C182" s="265" t="str">
        <f>IF(tblData[[#This Row],[Статус]],COUNTIF($B$2:tblData[[#This Row],[Статус]],TRUE),"")</f>
        <v/>
      </c>
      <c r="D182" s="266" t="str">
        <f>IFERROR(INDEX(tblData[ФО],MATCH(ROWS($C$2:tblData[[#This Row],[Индекс]]),tblData[Индекс],0)),"")</f>
        <v/>
      </c>
      <c r="E182" t="b">
        <f>NOT(ISERROR(SEARCH(FILLING!$D$15,tblData[[#This Row],[ФО]])))</f>
        <v>0</v>
      </c>
      <c r="F182" s="264" t="str">
        <f>IF(tblData[[#This Row],[Статус2]],COUNTIF($E$2:tblData[[#This Row],[Статус2]],TRUE),"")</f>
        <v/>
      </c>
      <c r="G182" t="str">
        <f>IFERROR(INDEX(tblData[ФО],MATCH(ROWS($F$2:tblData[[#This Row],[Индекс2]]),tblData[Индекс2],0)),"")</f>
        <v/>
      </c>
    </row>
    <row r="183" spans="2:7" x14ac:dyDescent="0.3">
      <c r="B183" s="265" t="b">
        <f>NOT(ISERROR(SEARCH(FILLING!$D$11,tblData[[#This Row],[ФО]])))</f>
        <v>0</v>
      </c>
      <c r="C183" s="265" t="str">
        <f>IF(tblData[[#This Row],[Статус]],COUNTIF($B$2:tblData[[#This Row],[Статус]],TRUE),"")</f>
        <v/>
      </c>
      <c r="D183" s="266" t="str">
        <f>IFERROR(INDEX(tblData[ФО],MATCH(ROWS($C$2:tblData[[#This Row],[Индекс]]),tblData[Индекс],0)),"")</f>
        <v/>
      </c>
      <c r="E183" t="b">
        <f>NOT(ISERROR(SEARCH(FILLING!$D$15,tblData[[#This Row],[ФО]])))</f>
        <v>0</v>
      </c>
      <c r="F183" s="264" t="str">
        <f>IF(tblData[[#This Row],[Статус2]],COUNTIF($E$2:tblData[[#This Row],[Статус2]],TRUE),"")</f>
        <v/>
      </c>
      <c r="G183" t="str">
        <f>IFERROR(INDEX(tblData[ФО],MATCH(ROWS($F$2:tblData[[#This Row],[Индекс2]]),tblData[Индекс2],0)),"")</f>
        <v/>
      </c>
    </row>
    <row r="184" spans="2:7" x14ac:dyDescent="0.3">
      <c r="B184" s="265" t="b">
        <f>NOT(ISERROR(SEARCH(FILLING!$D$11,tblData[[#This Row],[ФО]])))</f>
        <v>0</v>
      </c>
      <c r="C184" s="265" t="str">
        <f>IF(tblData[[#This Row],[Статус]],COUNTIF($B$2:tblData[[#This Row],[Статус]],TRUE),"")</f>
        <v/>
      </c>
      <c r="D184" s="266" t="str">
        <f>IFERROR(INDEX(tblData[ФО],MATCH(ROWS($C$2:tblData[[#This Row],[Индекс]]),tblData[Индекс],0)),"")</f>
        <v/>
      </c>
      <c r="E184" t="b">
        <f>NOT(ISERROR(SEARCH(FILLING!$D$15,tblData[[#This Row],[ФО]])))</f>
        <v>0</v>
      </c>
      <c r="F184" s="264" t="str">
        <f>IF(tblData[[#This Row],[Статус2]],COUNTIF($E$2:tblData[[#This Row],[Статус2]],TRUE),"")</f>
        <v/>
      </c>
      <c r="G184" t="str">
        <f>IFERROR(INDEX(tblData[ФО],MATCH(ROWS($F$2:tblData[[#This Row],[Индекс2]]),tblData[Индекс2],0)),"")</f>
        <v/>
      </c>
    </row>
    <row r="185" spans="2:7" x14ac:dyDescent="0.3">
      <c r="B185" s="265" t="b">
        <f>NOT(ISERROR(SEARCH(FILLING!$D$11,tblData[[#This Row],[ФО]])))</f>
        <v>0</v>
      </c>
      <c r="C185" s="265" t="str">
        <f>IF(tblData[[#This Row],[Статус]],COUNTIF($B$2:tblData[[#This Row],[Статус]],TRUE),"")</f>
        <v/>
      </c>
      <c r="D185" s="266" t="str">
        <f>IFERROR(INDEX(tblData[ФО],MATCH(ROWS($C$2:tblData[[#This Row],[Индекс]]),tblData[Индекс],0)),"")</f>
        <v/>
      </c>
      <c r="E185" t="b">
        <f>NOT(ISERROR(SEARCH(FILLING!$D$15,tblData[[#This Row],[ФО]])))</f>
        <v>0</v>
      </c>
      <c r="F185" s="264" t="str">
        <f>IF(tblData[[#This Row],[Статус2]],COUNTIF($E$2:tblData[[#This Row],[Статус2]],TRUE),"")</f>
        <v/>
      </c>
      <c r="G185" t="str">
        <f>IFERROR(INDEX(tblData[ФО],MATCH(ROWS($F$2:tblData[[#This Row],[Индекс2]]),tblData[Индекс2],0)),"")</f>
        <v/>
      </c>
    </row>
    <row r="186" spans="2:7" x14ac:dyDescent="0.3">
      <c r="B186" s="265" t="b">
        <f>NOT(ISERROR(SEARCH(FILLING!$D$11,tblData[[#This Row],[ФО]])))</f>
        <v>0</v>
      </c>
      <c r="C186" s="265" t="str">
        <f>IF(tblData[[#This Row],[Статус]],COUNTIF($B$2:tblData[[#This Row],[Статус]],TRUE),"")</f>
        <v/>
      </c>
      <c r="D186" s="266" t="str">
        <f>IFERROR(INDEX(tblData[ФО],MATCH(ROWS($C$2:tblData[[#This Row],[Индекс]]),tblData[Индекс],0)),"")</f>
        <v/>
      </c>
      <c r="E186" t="b">
        <f>NOT(ISERROR(SEARCH(FILLING!$D$15,tblData[[#This Row],[ФО]])))</f>
        <v>0</v>
      </c>
      <c r="F186" s="264" t="str">
        <f>IF(tblData[[#This Row],[Статус2]],COUNTIF($E$2:tblData[[#This Row],[Статус2]],TRUE),"")</f>
        <v/>
      </c>
      <c r="G186" t="str">
        <f>IFERROR(INDEX(tblData[ФО],MATCH(ROWS($F$2:tblData[[#This Row],[Индекс2]]),tblData[Индекс2],0)),"")</f>
        <v/>
      </c>
    </row>
    <row r="187" spans="2:7" x14ac:dyDescent="0.3">
      <c r="B187" s="265" t="b">
        <f>NOT(ISERROR(SEARCH(FILLING!$D$11,tblData[[#This Row],[ФО]])))</f>
        <v>0</v>
      </c>
      <c r="C187" s="265" t="str">
        <f>IF(tblData[[#This Row],[Статус]],COUNTIF($B$2:tblData[[#This Row],[Статус]],TRUE),"")</f>
        <v/>
      </c>
      <c r="D187" s="266" t="str">
        <f>IFERROR(INDEX(tblData[ФО],MATCH(ROWS($C$2:tblData[[#This Row],[Индекс]]),tblData[Индекс],0)),"")</f>
        <v/>
      </c>
      <c r="E187" t="b">
        <f>NOT(ISERROR(SEARCH(FILLING!$D$15,tblData[[#This Row],[ФО]])))</f>
        <v>0</v>
      </c>
      <c r="F187" s="264" t="str">
        <f>IF(tblData[[#This Row],[Статус2]],COUNTIF($E$2:tblData[[#This Row],[Статус2]],TRUE),"")</f>
        <v/>
      </c>
      <c r="G187" t="str">
        <f>IFERROR(INDEX(tblData[ФО],MATCH(ROWS($F$2:tblData[[#This Row],[Индекс2]]),tblData[Индекс2],0)),"")</f>
        <v/>
      </c>
    </row>
    <row r="188" spans="2:7" x14ac:dyDescent="0.3">
      <c r="B188" s="265" t="b">
        <f>NOT(ISERROR(SEARCH(FILLING!$D$11,tblData[[#This Row],[ФО]])))</f>
        <v>0</v>
      </c>
      <c r="C188" s="265" t="str">
        <f>IF(tblData[[#This Row],[Статус]],COUNTIF($B$2:tblData[[#This Row],[Статус]],TRUE),"")</f>
        <v/>
      </c>
      <c r="D188" s="266" t="str">
        <f>IFERROR(INDEX(tblData[ФО],MATCH(ROWS($C$2:tblData[[#This Row],[Индекс]]),tblData[Индекс],0)),"")</f>
        <v/>
      </c>
      <c r="E188" t="b">
        <f>NOT(ISERROR(SEARCH(FILLING!$D$15,tblData[[#This Row],[ФО]])))</f>
        <v>0</v>
      </c>
      <c r="F188" s="264" t="str">
        <f>IF(tblData[[#This Row],[Статус2]],COUNTIF($E$2:tblData[[#This Row],[Статус2]],TRUE),"")</f>
        <v/>
      </c>
      <c r="G188" t="str">
        <f>IFERROR(INDEX(tblData[ФО],MATCH(ROWS($F$2:tblData[[#This Row],[Индекс2]]),tblData[Индекс2],0)),"")</f>
        <v/>
      </c>
    </row>
    <row r="189" spans="2:7" x14ac:dyDescent="0.3">
      <c r="B189" s="265" t="b">
        <f>NOT(ISERROR(SEARCH(FILLING!$D$11,tblData[[#This Row],[ФО]])))</f>
        <v>0</v>
      </c>
      <c r="C189" s="265" t="str">
        <f>IF(tblData[[#This Row],[Статус]],COUNTIF($B$2:tblData[[#This Row],[Статус]],TRUE),"")</f>
        <v/>
      </c>
      <c r="D189" s="266" t="str">
        <f>IFERROR(INDEX(tblData[ФО],MATCH(ROWS($C$2:tblData[[#This Row],[Индекс]]),tblData[Индекс],0)),"")</f>
        <v/>
      </c>
      <c r="E189" t="b">
        <f>NOT(ISERROR(SEARCH(FILLING!$D$15,tblData[[#This Row],[ФО]])))</f>
        <v>0</v>
      </c>
      <c r="F189" s="264" t="str">
        <f>IF(tblData[[#This Row],[Статус2]],COUNTIF($E$2:tblData[[#This Row],[Статус2]],TRUE),"")</f>
        <v/>
      </c>
      <c r="G189" t="str">
        <f>IFERROR(INDEX(tblData[ФО],MATCH(ROWS($F$2:tblData[[#This Row],[Индекс2]]),tblData[Индекс2],0)),"")</f>
        <v/>
      </c>
    </row>
    <row r="190" spans="2:7" x14ac:dyDescent="0.3">
      <c r="B190" s="265" t="b">
        <f>NOT(ISERROR(SEARCH(FILLING!$D$11,tblData[[#This Row],[ФО]])))</f>
        <v>0</v>
      </c>
      <c r="C190" s="265" t="str">
        <f>IF(tblData[[#This Row],[Статус]],COUNTIF($B$2:tblData[[#This Row],[Статус]],TRUE),"")</f>
        <v/>
      </c>
      <c r="D190" s="266" t="str">
        <f>IFERROR(INDEX(tblData[ФО],MATCH(ROWS($C$2:tblData[[#This Row],[Индекс]]),tblData[Индекс],0)),"")</f>
        <v/>
      </c>
      <c r="E190" t="b">
        <f>NOT(ISERROR(SEARCH(FILLING!$D$15,tblData[[#This Row],[ФО]])))</f>
        <v>0</v>
      </c>
      <c r="F190" s="264" t="str">
        <f>IF(tblData[[#This Row],[Статус2]],COUNTIF($E$2:tblData[[#This Row],[Статус2]],TRUE),"")</f>
        <v/>
      </c>
      <c r="G190" t="str">
        <f>IFERROR(INDEX(tblData[ФО],MATCH(ROWS($F$2:tblData[[#This Row],[Индекс2]]),tblData[Индекс2],0)),"")</f>
        <v/>
      </c>
    </row>
    <row r="191" spans="2:7" x14ac:dyDescent="0.3">
      <c r="B191" s="265" t="b">
        <f>NOT(ISERROR(SEARCH(FILLING!$D$11,tblData[[#This Row],[ФО]])))</f>
        <v>0</v>
      </c>
      <c r="C191" s="265" t="str">
        <f>IF(tblData[[#This Row],[Статус]],COUNTIF($B$2:tblData[[#This Row],[Статус]],TRUE),"")</f>
        <v/>
      </c>
      <c r="D191" s="266" t="str">
        <f>IFERROR(INDEX(tblData[ФО],MATCH(ROWS($C$2:tblData[[#This Row],[Индекс]]),tblData[Индекс],0)),"")</f>
        <v/>
      </c>
      <c r="E191" t="b">
        <f>NOT(ISERROR(SEARCH(FILLING!$D$15,tblData[[#This Row],[ФО]])))</f>
        <v>0</v>
      </c>
      <c r="F191" s="264" t="str">
        <f>IF(tblData[[#This Row],[Статус2]],COUNTIF($E$2:tblData[[#This Row],[Статус2]],TRUE),"")</f>
        <v/>
      </c>
      <c r="G191" t="str">
        <f>IFERROR(INDEX(tblData[ФО],MATCH(ROWS($F$2:tblData[[#This Row],[Индекс2]]),tblData[Индекс2],0)),"")</f>
        <v/>
      </c>
    </row>
    <row r="192" spans="2:7" x14ac:dyDescent="0.3">
      <c r="B192" s="265" t="b">
        <f>NOT(ISERROR(SEARCH(FILLING!$D$11,tblData[[#This Row],[ФО]])))</f>
        <v>0</v>
      </c>
      <c r="C192" s="265" t="str">
        <f>IF(tblData[[#This Row],[Статус]],COUNTIF($B$2:tblData[[#This Row],[Статус]],TRUE),"")</f>
        <v/>
      </c>
      <c r="D192" s="266" t="str">
        <f>IFERROR(INDEX(tblData[ФО],MATCH(ROWS($C$2:tblData[[#This Row],[Индекс]]),tblData[Индекс],0)),"")</f>
        <v/>
      </c>
      <c r="E192" t="b">
        <f>NOT(ISERROR(SEARCH(FILLING!$D$15,tblData[[#This Row],[ФО]])))</f>
        <v>0</v>
      </c>
      <c r="F192" s="264" t="str">
        <f>IF(tblData[[#This Row],[Статус2]],COUNTIF($E$2:tblData[[#This Row],[Статус2]],TRUE),"")</f>
        <v/>
      </c>
      <c r="G192" t="str">
        <f>IFERROR(INDEX(tblData[ФО],MATCH(ROWS($F$2:tblData[[#This Row],[Индекс2]]),tblData[Индекс2],0)),"")</f>
        <v/>
      </c>
    </row>
    <row r="193" spans="2:7" x14ac:dyDescent="0.3">
      <c r="B193" s="265" t="b">
        <f>NOT(ISERROR(SEARCH(FILLING!$D$11,tblData[[#This Row],[ФО]])))</f>
        <v>0</v>
      </c>
      <c r="C193" s="265" t="str">
        <f>IF(tblData[[#This Row],[Статус]],COUNTIF($B$2:tblData[[#This Row],[Статус]],TRUE),"")</f>
        <v/>
      </c>
      <c r="D193" s="266" t="str">
        <f>IFERROR(INDEX(tblData[ФО],MATCH(ROWS($C$2:tblData[[#This Row],[Индекс]]),tblData[Индекс],0)),"")</f>
        <v/>
      </c>
      <c r="E193" t="b">
        <f>NOT(ISERROR(SEARCH(FILLING!$D$15,tblData[[#This Row],[ФО]])))</f>
        <v>0</v>
      </c>
      <c r="F193" s="264" t="str">
        <f>IF(tblData[[#This Row],[Статус2]],COUNTIF($E$2:tblData[[#This Row],[Статус2]],TRUE),"")</f>
        <v/>
      </c>
      <c r="G193" t="str">
        <f>IFERROR(INDEX(tblData[ФО],MATCH(ROWS($F$2:tblData[[#This Row],[Индекс2]]),tblData[Индекс2],0)),"")</f>
        <v/>
      </c>
    </row>
    <row r="194" spans="2:7" x14ac:dyDescent="0.3">
      <c r="B194" s="265" t="b">
        <f>NOT(ISERROR(SEARCH(FILLING!$D$11,tblData[[#This Row],[ФО]])))</f>
        <v>0</v>
      </c>
      <c r="C194" s="265" t="str">
        <f>IF(tblData[[#This Row],[Статус]],COUNTIF($B$2:tblData[[#This Row],[Статус]],TRUE),"")</f>
        <v/>
      </c>
      <c r="D194" s="266" t="str">
        <f>IFERROR(INDEX(tblData[ФО],MATCH(ROWS($C$2:tblData[[#This Row],[Индекс]]),tblData[Индекс],0)),"")</f>
        <v/>
      </c>
      <c r="E194" t="b">
        <f>NOT(ISERROR(SEARCH(FILLING!$D$15,tblData[[#This Row],[ФО]])))</f>
        <v>0</v>
      </c>
      <c r="F194" s="264" t="str">
        <f>IF(tblData[[#This Row],[Статус2]],COUNTIF($E$2:tblData[[#This Row],[Статус2]],TRUE),"")</f>
        <v/>
      </c>
      <c r="G194" t="str">
        <f>IFERROR(INDEX(tblData[ФО],MATCH(ROWS($F$2:tblData[[#This Row],[Индекс2]]),tblData[Индекс2],0)),"")</f>
        <v/>
      </c>
    </row>
    <row r="195" spans="2:7" x14ac:dyDescent="0.3">
      <c r="B195" s="265" t="b">
        <f>NOT(ISERROR(SEARCH(FILLING!$D$11,tblData[[#This Row],[ФО]])))</f>
        <v>0</v>
      </c>
      <c r="C195" s="265" t="str">
        <f>IF(tblData[[#This Row],[Статус]],COUNTIF($B$2:tblData[[#This Row],[Статус]],TRUE),"")</f>
        <v/>
      </c>
      <c r="D195" s="266" t="str">
        <f>IFERROR(INDEX(tblData[ФО],MATCH(ROWS($C$2:tblData[[#This Row],[Индекс]]),tblData[Индекс],0)),"")</f>
        <v/>
      </c>
      <c r="E195" t="b">
        <f>NOT(ISERROR(SEARCH(FILLING!$D$15,tblData[[#This Row],[ФО]])))</f>
        <v>0</v>
      </c>
      <c r="F195" s="264" t="str">
        <f>IF(tblData[[#This Row],[Статус2]],COUNTIF($E$2:tblData[[#This Row],[Статус2]],TRUE),"")</f>
        <v/>
      </c>
      <c r="G195" t="str">
        <f>IFERROR(INDEX(tblData[ФО],MATCH(ROWS($F$2:tblData[[#This Row],[Индекс2]]),tblData[Индекс2],0)),"")</f>
        <v/>
      </c>
    </row>
    <row r="196" spans="2:7" x14ac:dyDescent="0.3">
      <c r="B196" s="265" t="b">
        <f>NOT(ISERROR(SEARCH(FILLING!$D$11,tblData[[#This Row],[ФО]])))</f>
        <v>0</v>
      </c>
      <c r="C196" s="265" t="str">
        <f>IF(tblData[[#This Row],[Статус]],COUNTIF($B$2:tblData[[#This Row],[Статус]],TRUE),"")</f>
        <v/>
      </c>
      <c r="D196" s="266" t="str">
        <f>IFERROR(INDEX(tblData[ФО],MATCH(ROWS($C$2:tblData[[#This Row],[Индекс]]),tblData[Индекс],0)),"")</f>
        <v/>
      </c>
      <c r="E196" t="b">
        <f>NOT(ISERROR(SEARCH(FILLING!$D$15,tblData[[#This Row],[ФО]])))</f>
        <v>0</v>
      </c>
      <c r="F196" s="264" t="str">
        <f>IF(tblData[[#This Row],[Статус2]],COUNTIF($E$2:tblData[[#This Row],[Статус2]],TRUE),"")</f>
        <v/>
      </c>
      <c r="G196" t="str">
        <f>IFERROR(INDEX(tblData[ФО],MATCH(ROWS($F$2:tblData[[#This Row],[Индекс2]]),tblData[Индекс2],0)),"")</f>
        <v/>
      </c>
    </row>
    <row r="197" spans="2:7" x14ac:dyDescent="0.3">
      <c r="B197" s="265" t="b">
        <f>NOT(ISERROR(SEARCH(FILLING!$D$11,tblData[[#This Row],[ФО]])))</f>
        <v>0</v>
      </c>
      <c r="C197" s="265" t="str">
        <f>IF(tblData[[#This Row],[Статус]],COUNTIF($B$2:tblData[[#This Row],[Статус]],TRUE),"")</f>
        <v/>
      </c>
      <c r="D197" s="266" t="str">
        <f>IFERROR(INDEX(tblData[ФО],MATCH(ROWS($C$2:tblData[[#This Row],[Индекс]]),tblData[Индекс],0)),"")</f>
        <v/>
      </c>
      <c r="E197" t="b">
        <f>NOT(ISERROR(SEARCH(FILLING!$D$15,tblData[[#This Row],[ФО]])))</f>
        <v>0</v>
      </c>
      <c r="F197" s="264" t="str">
        <f>IF(tblData[[#This Row],[Статус2]],COUNTIF($E$2:tblData[[#This Row],[Статус2]],TRUE),"")</f>
        <v/>
      </c>
      <c r="G197" t="str">
        <f>IFERROR(INDEX(tblData[ФО],MATCH(ROWS($F$2:tblData[[#This Row],[Индекс2]]),tblData[Индекс2],0)),"")</f>
        <v/>
      </c>
    </row>
    <row r="198" spans="2:7" x14ac:dyDescent="0.3">
      <c r="B198" s="265" t="b">
        <f>NOT(ISERROR(SEARCH(FILLING!$D$11,tblData[[#This Row],[ФО]])))</f>
        <v>0</v>
      </c>
      <c r="C198" s="265" t="str">
        <f>IF(tblData[[#This Row],[Статус]],COUNTIF($B$2:tblData[[#This Row],[Статус]],TRUE),"")</f>
        <v/>
      </c>
      <c r="D198" s="266" t="str">
        <f>IFERROR(INDEX(tblData[ФО],MATCH(ROWS($C$2:tblData[[#This Row],[Индекс]]),tblData[Индекс],0)),"")</f>
        <v/>
      </c>
      <c r="E198" t="b">
        <f>NOT(ISERROR(SEARCH(FILLING!$D$15,tblData[[#This Row],[ФО]])))</f>
        <v>0</v>
      </c>
      <c r="F198" s="264" t="str">
        <f>IF(tblData[[#This Row],[Статус2]],COUNTIF($E$2:tblData[[#This Row],[Статус2]],TRUE),"")</f>
        <v/>
      </c>
      <c r="G198" t="str">
        <f>IFERROR(INDEX(tblData[ФО],MATCH(ROWS($F$2:tblData[[#This Row],[Индекс2]]),tblData[Индекс2],0)),"")</f>
        <v/>
      </c>
    </row>
    <row r="199" spans="2:7" x14ac:dyDescent="0.3">
      <c r="B199" s="265" t="b">
        <f>NOT(ISERROR(SEARCH(FILLING!$D$11,tblData[[#This Row],[ФО]])))</f>
        <v>0</v>
      </c>
      <c r="C199" s="265" t="str">
        <f>IF(tblData[[#This Row],[Статус]],COUNTIF($B$2:tblData[[#This Row],[Статус]],TRUE),"")</f>
        <v/>
      </c>
      <c r="D199" s="266" t="str">
        <f>IFERROR(INDEX(tblData[ФО],MATCH(ROWS($C$2:tblData[[#This Row],[Индекс]]),tblData[Индекс],0)),"")</f>
        <v/>
      </c>
      <c r="E199" t="b">
        <f>NOT(ISERROR(SEARCH(FILLING!$D$15,tblData[[#This Row],[ФО]])))</f>
        <v>0</v>
      </c>
      <c r="F199" s="264" t="str">
        <f>IF(tblData[[#This Row],[Статус2]],COUNTIF($E$2:tblData[[#This Row],[Статус2]],TRUE),"")</f>
        <v/>
      </c>
      <c r="G199" t="str">
        <f>IFERROR(INDEX(tblData[ФО],MATCH(ROWS($F$2:tblData[[#This Row],[Индекс2]]),tblData[Индекс2],0)),"")</f>
        <v/>
      </c>
    </row>
    <row r="200" spans="2:7" x14ac:dyDescent="0.3">
      <c r="B200" s="265" t="b">
        <f>NOT(ISERROR(SEARCH(FILLING!$D$11,tblData[[#This Row],[ФО]])))</f>
        <v>0</v>
      </c>
      <c r="C200" s="265" t="str">
        <f>IF(tblData[[#This Row],[Статус]],COUNTIF($B$2:tblData[[#This Row],[Статус]],TRUE),"")</f>
        <v/>
      </c>
      <c r="D200" s="266" t="str">
        <f>IFERROR(INDEX(tblData[ФО],MATCH(ROWS($C$2:tblData[[#This Row],[Индекс]]),tblData[Индекс],0)),"")</f>
        <v/>
      </c>
      <c r="E200" t="b">
        <f>NOT(ISERROR(SEARCH(FILLING!$D$15,tblData[[#This Row],[ФО]])))</f>
        <v>0</v>
      </c>
      <c r="F200" s="264" t="str">
        <f>IF(tblData[[#This Row],[Статус2]],COUNTIF($E$2:tblData[[#This Row],[Статус2]],TRUE),"")</f>
        <v/>
      </c>
      <c r="G200" t="str">
        <f>IFERROR(INDEX(tblData[ФО],MATCH(ROWS($F$2:tblData[[#This Row],[Индекс2]]),tblData[Индекс2],0)),"")</f>
        <v/>
      </c>
    </row>
    <row r="201" spans="2:7" x14ac:dyDescent="0.3">
      <c r="B201" s="265" t="b">
        <f>NOT(ISERROR(SEARCH(FILLING!$D$11,tblData[[#This Row],[ФО]])))</f>
        <v>0</v>
      </c>
      <c r="C201" s="265" t="str">
        <f>IF(tblData[[#This Row],[Статус]],COUNTIF($B$2:tblData[[#This Row],[Статус]],TRUE),"")</f>
        <v/>
      </c>
      <c r="D201" s="266" t="str">
        <f>IFERROR(INDEX(tblData[ФО],MATCH(ROWS($C$2:tblData[[#This Row],[Индекс]]),tblData[Индекс],0)),"")</f>
        <v/>
      </c>
      <c r="E201" t="b">
        <f>NOT(ISERROR(SEARCH(FILLING!$D$15,tblData[[#This Row],[ФО]])))</f>
        <v>0</v>
      </c>
      <c r="F201" s="264" t="str">
        <f>IF(tblData[[#This Row],[Статус2]],COUNTIF($E$2:tblData[[#This Row],[Статус2]],TRUE),"")</f>
        <v/>
      </c>
      <c r="G201" t="str">
        <f>IFERROR(INDEX(tblData[ФО],MATCH(ROWS($F$2:tblData[[#This Row],[Индекс2]]),tblData[Индекс2],0)),"")</f>
        <v/>
      </c>
    </row>
    <row r="202" spans="2:7" x14ac:dyDescent="0.3">
      <c r="B202" s="265" t="b">
        <f>NOT(ISERROR(SEARCH(FILLING!$D$11,tblData[[#This Row],[ФО]])))</f>
        <v>0</v>
      </c>
      <c r="C202" s="265" t="str">
        <f>IF(tblData[[#This Row],[Статус]],COUNTIF($B$2:tblData[[#This Row],[Статус]],TRUE),"")</f>
        <v/>
      </c>
      <c r="D202" s="266" t="str">
        <f>IFERROR(INDEX(tblData[ФО],MATCH(ROWS($C$2:tblData[[#This Row],[Индекс]]),tblData[Индекс],0)),"")</f>
        <v/>
      </c>
      <c r="E202" t="b">
        <f>NOT(ISERROR(SEARCH(FILLING!$D$15,tblData[[#This Row],[ФО]])))</f>
        <v>0</v>
      </c>
      <c r="F202" s="264" t="str">
        <f>IF(tblData[[#This Row],[Статус2]],COUNTIF($E$2:tblData[[#This Row],[Статус2]],TRUE),"")</f>
        <v/>
      </c>
      <c r="G202" t="str">
        <f>IFERROR(INDEX(tblData[ФО],MATCH(ROWS($F$2:tblData[[#This Row],[Индекс2]]),tblData[Индекс2],0)),"")</f>
        <v/>
      </c>
    </row>
    <row r="203" spans="2:7" x14ac:dyDescent="0.3">
      <c r="B203" s="265" t="b">
        <f>NOT(ISERROR(SEARCH(FILLING!$D$11,tblData[[#This Row],[ФО]])))</f>
        <v>0</v>
      </c>
      <c r="C203" s="265" t="str">
        <f>IF(tblData[[#This Row],[Статус]],COUNTIF($B$2:tblData[[#This Row],[Статус]],TRUE),"")</f>
        <v/>
      </c>
      <c r="D203" s="266" t="str">
        <f>IFERROR(INDEX(tblData[ФО],MATCH(ROWS($C$2:tblData[[#This Row],[Индекс]]),tblData[Индекс],0)),"")</f>
        <v/>
      </c>
      <c r="E203" t="b">
        <f>NOT(ISERROR(SEARCH(FILLING!$D$15,tblData[[#This Row],[ФО]])))</f>
        <v>0</v>
      </c>
      <c r="F203" s="264" t="str">
        <f>IF(tblData[[#This Row],[Статус2]],COUNTIF($E$2:tblData[[#This Row],[Статус2]],TRUE),"")</f>
        <v/>
      </c>
      <c r="G203" t="str">
        <f>IFERROR(INDEX(tblData[ФО],MATCH(ROWS($F$2:tblData[[#This Row],[Индекс2]]),tblData[Индекс2],0)),"")</f>
        <v/>
      </c>
    </row>
    <row r="204" spans="2:7" x14ac:dyDescent="0.3">
      <c r="B204" s="265" t="b">
        <f>NOT(ISERROR(SEARCH(FILLING!$D$11,tblData[[#This Row],[ФО]])))</f>
        <v>0</v>
      </c>
      <c r="C204" s="265" t="str">
        <f>IF(tblData[[#This Row],[Статус]],COUNTIF($B$2:tblData[[#This Row],[Статус]],TRUE),"")</f>
        <v/>
      </c>
      <c r="D204" s="266" t="str">
        <f>IFERROR(INDEX(tblData[ФО],MATCH(ROWS($C$2:tblData[[#This Row],[Индекс]]),tblData[Индекс],0)),"")</f>
        <v/>
      </c>
      <c r="E204" t="b">
        <f>NOT(ISERROR(SEARCH(FILLING!$D$15,tblData[[#This Row],[ФО]])))</f>
        <v>0</v>
      </c>
      <c r="F204" s="264" t="str">
        <f>IF(tblData[[#This Row],[Статус2]],COUNTIF($E$2:tblData[[#This Row],[Статус2]],TRUE),"")</f>
        <v/>
      </c>
      <c r="G204" t="str">
        <f>IFERROR(INDEX(tblData[ФО],MATCH(ROWS($F$2:tblData[[#This Row],[Индекс2]]),tblData[Индекс2],0)),"")</f>
        <v/>
      </c>
    </row>
    <row r="205" spans="2:7" x14ac:dyDescent="0.3">
      <c r="B205" s="265" t="b">
        <f>NOT(ISERROR(SEARCH(FILLING!$D$11,tblData[[#This Row],[ФО]])))</f>
        <v>0</v>
      </c>
      <c r="C205" s="265" t="str">
        <f>IF(tblData[[#This Row],[Статус]],COUNTIF($B$2:tblData[[#This Row],[Статус]],TRUE),"")</f>
        <v/>
      </c>
      <c r="D205" s="266" t="str">
        <f>IFERROR(INDEX(tblData[ФО],MATCH(ROWS($C$2:tblData[[#This Row],[Индекс]]),tblData[Индекс],0)),"")</f>
        <v/>
      </c>
      <c r="E205" t="b">
        <f>NOT(ISERROR(SEARCH(FILLING!$D$15,tblData[[#This Row],[ФО]])))</f>
        <v>0</v>
      </c>
      <c r="F205" s="264" t="str">
        <f>IF(tblData[[#This Row],[Статус2]],COUNTIF($E$2:tblData[[#This Row],[Статус2]],TRUE),"")</f>
        <v/>
      </c>
      <c r="G205" t="str">
        <f>IFERROR(INDEX(tblData[ФО],MATCH(ROWS($F$2:tblData[[#This Row],[Индекс2]]),tblData[Индекс2],0)),"")</f>
        <v/>
      </c>
    </row>
    <row r="206" spans="2:7" x14ac:dyDescent="0.3">
      <c r="B206" s="265" t="b">
        <f>NOT(ISERROR(SEARCH(FILLING!$D$11,tblData[[#This Row],[ФО]])))</f>
        <v>0</v>
      </c>
      <c r="C206" s="265" t="str">
        <f>IF(tblData[[#This Row],[Статус]],COUNTIF($B$2:tblData[[#This Row],[Статус]],TRUE),"")</f>
        <v/>
      </c>
      <c r="D206" s="266" t="str">
        <f>IFERROR(INDEX(tblData[ФО],MATCH(ROWS($C$2:tblData[[#This Row],[Индекс]]),tblData[Индекс],0)),"")</f>
        <v/>
      </c>
      <c r="E206" t="b">
        <f>NOT(ISERROR(SEARCH(FILLING!$D$15,tblData[[#This Row],[ФО]])))</f>
        <v>0</v>
      </c>
      <c r="F206" s="264" t="str">
        <f>IF(tblData[[#This Row],[Статус2]],COUNTIF($E$2:tblData[[#This Row],[Статус2]],TRUE),"")</f>
        <v/>
      </c>
      <c r="G206" t="str">
        <f>IFERROR(INDEX(tblData[ФО],MATCH(ROWS($F$2:tblData[[#This Row],[Индекс2]]),tblData[Индекс2],0)),"")</f>
        <v/>
      </c>
    </row>
    <row r="207" spans="2:7" x14ac:dyDescent="0.3">
      <c r="B207" s="265" t="b">
        <f>NOT(ISERROR(SEARCH(FILLING!$D$11,tblData[[#This Row],[ФО]])))</f>
        <v>0</v>
      </c>
      <c r="C207" s="265" t="str">
        <f>IF(tblData[[#This Row],[Статус]],COUNTIF($B$2:tblData[[#This Row],[Статус]],TRUE),"")</f>
        <v/>
      </c>
      <c r="D207" s="266" t="str">
        <f>IFERROR(INDEX(tblData[ФО],MATCH(ROWS($C$2:tblData[[#This Row],[Индекс]]),tblData[Индекс],0)),"")</f>
        <v/>
      </c>
      <c r="E207" t="b">
        <f>NOT(ISERROR(SEARCH(FILLING!$D$15,tblData[[#This Row],[ФО]])))</f>
        <v>0</v>
      </c>
      <c r="F207" s="264" t="str">
        <f>IF(tblData[[#This Row],[Статус2]],COUNTIF($E$2:tblData[[#This Row],[Статус2]],TRUE),"")</f>
        <v/>
      </c>
      <c r="G207" t="str">
        <f>IFERROR(INDEX(tblData[ФО],MATCH(ROWS($F$2:tblData[[#This Row],[Индекс2]]),tblData[Индекс2],0)),"")</f>
        <v/>
      </c>
    </row>
    <row r="208" spans="2:7" x14ac:dyDescent="0.3">
      <c r="B208" s="265" t="b">
        <f>NOT(ISERROR(SEARCH(FILLING!$D$11,tblData[[#This Row],[ФО]])))</f>
        <v>0</v>
      </c>
      <c r="C208" s="265" t="str">
        <f>IF(tblData[[#This Row],[Статус]],COUNTIF($B$2:tblData[[#This Row],[Статус]],TRUE),"")</f>
        <v/>
      </c>
      <c r="D208" s="266" t="str">
        <f>IFERROR(INDEX(tblData[ФО],MATCH(ROWS($C$2:tblData[[#This Row],[Индекс]]),tblData[Индекс],0)),"")</f>
        <v/>
      </c>
      <c r="E208" t="b">
        <f>NOT(ISERROR(SEARCH(FILLING!$D$15,tblData[[#This Row],[ФО]])))</f>
        <v>0</v>
      </c>
      <c r="F208" s="264" t="str">
        <f>IF(tblData[[#This Row],[Статус2]],COUNTIF($E$2:tblData[[#This Row],[Статус2]],TRUE),"")</f>
        <v/>
      </c>
      <c r="G208" t="str">
        <f>IFERROR(INDEX(tblData[ФО],MATCH(ROWS($F$2:tblData[[#This Row],[Индекс2]]),tblData[Индекс2],0)),"")</f>
        <v/>
      </c>
    </row>
    <row r="209" spans="2:7" x14ac:dyDescent="0.3">
      <c r="B209" s="265" t="b">
        <f>NOT(ISERROR(SEARCH(FILLING!$D$11,tblData[[#This Row],[ФО]])))</f>
        <v>0</v>
      </c>
      <c r="C209" s="265" t="str">
        <f>IF(tblData[[#This Row],[Статус]],COUNTIF($B$2:tblData[[#This Row],[Статус]],TRUE),"")</f>
        <v/>
      </c>
      <c r="D209" s="266" t="str">
        <f>IFERROR(INDEX(tblData[ФО],MATCH(ROWS($C$2:tblData[[#This Row],[Индекс]]),tblData[Индекс],0)),"")</f>
        <v/>
      </c>
      <c r="E209" t="b">
        <f>NOT(ISERROR(SEARCH(FILLING!$D$15,tblData[[#This Row],[ФО]])))</f>
        <v>0</v>
      </c>
      <c r="F209" s="264" t="str">
        <f>IF(tblData[[#This Row],[Статус2]],COUNTIF($E$2:tblData[[#This Row],[Статус2]],TRUE),"")</f>
        <v/>
      </c>
      <c r="G209" t="str">
        <f>IFERROR(INDEX(tblData[ФО],MATCH(ROWS($F$2:tblData[[#This Row],[Индекс2]]),tblData[Индекс2],0)),"")</f>
        <v/>
      </c>
    </row>
    <row r="210" spans="2:7" x14ac:dyDescent="0.3">
      <c r="B210" s="265" t="b">
        <f>NOT(ISERROR(SEARCH(FILLING!$D$11,tblData[[#This Row],[ФО]])))</f>
        <v>0</v>
      </c>
      <c r="C210" s="265" t="str">
        <f>IF(tblData[[#This Row],[Статус]],COUNTIF($B$2:tblData[[#This Row],[Статус]],TRUE),"")</f>
        <v/>
      </c>
      <c r="D210" s="266" t="str">
        <f>IFERROR(INDEX(tblData[ФО],MATCH(ROWS($C$2:tblData[[#This Row],[Индекс]]),tblData[Индекс],0)),"")</f>
        <v/>
      </c>
      <c r="E210" t="b">
        <f>NOT(ISERROR(SEARCH(FILLING!$D$15,tblData[[#This Row],[ФО]])))</f>
        <v>0</v>
      </c>
      <c r="F210" s="264" t="str">
        <f>IF(tblData[[#This Row],[Статус2]],COUNTIF($E$2:tblData[[#This Row],[Статус2]],TRUE),"")</f>
        <v/>
      </c>
      <c r="G210" t="str">
        <f>IFERROR(INDEX(tblData[ФО],MATCH(ROWS($F$2:tblData[[#This Row],[Индекс2]]),tblData[Индекс2],0)),"")</f>
        <v/>
      </c>
    </row>
    <row r="211" spans="2:7" x14ac:dyDescent="0.3">
      <c r="B211" s="265" t="b">
        <f>NOT(ISERROR(SEARCH(FILLING!$D$11,tblData[[#This Row],[ФО]])))</f>
        <v>0</v>
      </c>
      <c r="C211" s="265" t="str">
        <f>IF(tblData[[#This Row],[Статус]],COUNTIF($B$2:tblData[[#This Row],[Статус]],TRUE),"")</f>
        <v/>
      </c>
      <c r="D211" s="266" t="str">
        <f>IFERROR(INDEX(tblData[ФО],MATCH(ROWS($C$2:tblData[[#This Row],[Индекс]]),tblData[Индекс],0)),"")</f>
        <v/>
      </c>
      <c r="E211" t="b">
        <f>NOT(ISERROR(SEARCH(FILLING!$D$15,tblData[[#This Row],[ФО]])))</f>
        <v>0</v>
      </c>
      <c r="F211" s="264" t="str">
        <f>IF(tblData[[#This Row],[Статус2]],COUNTIF($E$2:tblData[[#This Row],[Статус2]],TRUE),"")</f>
        <v/>
      </c>
      <c r="G211" t="str">
        <f>IFERROR(INDEX(tblData[ФО],MATCH(ROWS($F$2:tblData[[#This Row],[Индекс2]]),tblData[Индекс2],0)),"")</f>
        <v/>
      </c>
    </row>
    <row r="212" spans="2:7" x14ac:dyDescent="0.3">
      <c r="B212" s="265" t="b">
        <f>NOT(ISERROR(SEARCH(FILLING!$D$11,tblData[[#This Row],[ФО]])))</f>
        <v>0</v>
      </c>
      <c r="C212" s="265" t="str">
        <f>IF(tblData[[#This Row],[Статус]],COUNTIF($B$2:tblData[[#This Row],[Статус]],TRUE),"")</f>
        <v/>
      </c>
      <c r="D212" s="266" t="str">
        <f>IFERROR(INDEX(tblData[ФО],MATCH(ROWS($C$2:tblData[[#This Row],[Индекс]]),tblData[Индекс],0)),"")</f>
        <v/>
      </c>
      <c r="E212" t="b">
        <f>NOT(ISERROR(SEARCH(FILLING!$D$15,tblData[[#This Row],[ФО]])))</f>
        <v>0</v>
      </c>
      <c r="F212" s="264" t="str">
        <f>IF(tblData[[#This Row],[Статус2]],COUNTIF($E$2:tblData[[#This Row],[Статус2]],TRUE),"")</f>
        <v/>
      </c>
      <c r="G212" t="str">
        <f>IFERROR(INDEX(tblData[ФО],MATCH(ROWS($F$2:tblData[[#This Row],[Индекс2]]),tblData[Индекс2],0)),"")</f>
        <v/>
      </c>
    </row>
    <row r="213" spans="2:7" x14ac:dyDescent="0.3">
      <c r="B213" s="265" t="b">
        <f>NOT(ISERROR(SEARCH(FILLING!$D$11,tblData[[#This Row],[ФО]])))</f>
        <v>0</v>
      </c>
      <c r="C213" s="265" t="str">
        <f>IF(tblData[[#This Row],[Статус]],COUNTIF($B$2:tblData[[#This Row],[Статус]],TRUE),"")</f>
        <v/>
      </c>
      <c r="D213" s="266" t="str">
        <f>IFERROR(INDEX(tblData[ФО],MATCH(ROWS($C$2:tblData[[#This Row],[Индекс]]),tblData[Индекс],0)),"")</f>
        <v/>
      </c>
      <c r="E213" t="b">
        <f>NOT(ISERROR(SEARCH(FILLING!$D$15,tblData[[#This Row],[ФО]])))</f>
        <v>0</v>
      </c>
      <c r="F213" s="264" t="str">
        <f>IF(tblData[[#This Row],[Статус2]],COUNTIF($E$2:tblData[[#This Row],[Статус2]],TRUE),"")</f>
        <v/>
      </c>
      <c r="G213" t="str">
        <f>IFERROR(INDEX(tblData[ФО],MATCH(ROWS($F$2:tblData[[#This Row],[Индекс2]]),tblData[Индекс2],0)),"")</f>
        <v/>
      </c>
    </row>
    <row r="214" spans="2:7" x14ac:dyDescent="0.3">
      <c r="B214" s="265" t="b">
        <f>NOT(ISERROR(SEARCH(FILLING!$D$11,tblData[[#This Row],[ФО]])))</f>
        <v>0</v>
      </c>
      <c r="C214" s="265" t="str">
        <f>IF(tblData[[#This Row],[Статус]],COUNTIF($B$2:tblData[[#This Row],[Статус]],TRUE),"")</f>
        <v/>
      </c>
      <c r="D214" s="266" t="str">
        <f>IFERROR(INDEX(tblData[ФО],MATCH(ROWS($C$2:tblData[[#This Row],[Индекс]]),tblData[Индекс],0)),"")</f>
        <v/>
      </c>
      <c r="E214" t="b">
        <f>NOT(ISERROR(SEARCH(FILLING!$D$15,tblData[[#This Row],[ФО]])))</f>
        <v>0</v>
      </c>
      <c r="F214" s="264" t="str">
        <f>IF(tblData[[#This Row],[Статус2]],COUNTIF($E$2:tblData[[#This Row],[Статус2]],TRUE),"")</f>
        <v/>
      </c>
      <c r="G214" t="str">
        <f>IFERROR(INDEX(tblData[ФО],MATCH(ROWS($F$2:tblData[[#This Row],[Индекс2]]),tblData[Индекс2],0)),"")</f>
        <v/>
      </c>
    </row>
    <row r="215" spans="2:7" x14ac:dyDescent="0.3">
      <c r="B215" s="265" t="b">
        <f>NOT(ISERROR(SEARCH(FILLING!$D$11,tblData[[#This Row],[ФО]])))</f>
        <v>0</v>
      </c>
      <c r="C215" s="265" t="str">
        <f>IF(tblData[[#This Row],[Статус]],COUNTIF($B$2:tblData[[#This Row],[Статус]],TRUE),"")</f>
        <v/>
      </c>
      <c r="D215" s="266" t="str">
        <f>IFERROR(INDEX(tblData[ФО],MATCH(ROWS($C$2:tblData[[#This Row],[Индекс]]),tblData[Индекс],0)),"")</f>
        <v/>
      </c>
      <c r="E215" t="b">
        <f>NOT(ISERROR(SEARCH(FILLING!$D$15,tblData[[#This Row],[ФО]])))</f>
        <v>0</v>
      </c>
      <c r="F215" s="264" t="str">
        <f>IF(tblData[[#This Row],[Статус2]],COUNTIF($E$2:tblData[[#This Row],[Статус2]],TRUE),"")</f>
        <v/>
      </c>
      <c r="G215" t="str">
        <f>IFERROR(INDEX(tblData[ФО],MATCH(ROWS($F$2:tblData[[#This Row],[Индекс2]]),tblData[Индекс2],0)),"")</f>
        <v/>
      </c>
    </row>
    <row r="216" spans="2:7" x14ac:dyDescent="0.3">
      <c r="B216" s="265" t="b">
        <f>NOT(ISERROR(SEARCH(FILLING!$D$11,tblData[[#This Row],[ФО]])))</f>
        <v>0</v>
      </c>
      <c r="C216" s="265" t="str">
        <f>IF(tblData[[#This Row],[Статус]],COUNTIF($B$2:tblData[[#This Row],[Статус]],TRUE),"")</f>
        <v/>
      </c>
      <c r="D216" s="266" t="str">
        <f>IFERROR(INDEX(tblData[ФО],MATCH(ROWS($C$2:tblData[[#This Row],[Индекс]]),tblData[Индекс],0)),"")</f>
        <v/>
      </c>
      <c r="E216" t="b">
        <f>NOT(ISERROR(SEARCH(FILLING!$D$15,tblData[[#This Row],[ФО]])))</f>
        <v>0</v>
      </c>
      <c r="F216" s="264" t="str">
        <f>IF(tblData[[#This Row],[Статус2]],COUNTIF($E$2:tblData[[#This Row],[Статус2]],TRUE),"")</f>
        <v/>
      </c>
      <c r="G216" t="str">
        <f>IFERROR(INDEX(tblData[ФО],MATCH(ROWS($F$2:tblData[[#This Row],[Индекс2]]),tblData[Индекс2],0)),"")</f>
        <v/>
      </c>
    </row>
    <row r="217" spans="2:7" x14ac:dyDescent="0.3">
      <c r="B217" s="265" t="b">
        <f>NOT(ISERROR(SEARCH(FILLING!$D$11,tblData[[#This Row],[ФО]])))</f>
        <v>0</v>
      </c>
      <c r="C217" s="265" t="str">
        <f>IF(tblData[[#This Row],[Статус]],COUNTIF($B$2:tblData[[#This Row],[Статус]],TRUE),"")</f>
        <v/>
      </c>
      <c r="D217" s="266" t="str">
        <f>IFERROR(INDEX(tblData[ФО],MATCH(ROWS($C$2:tblData[[#This Row],[Индекс]]),tblData[Индекс],0)),"")</f>
        <v/>
      </c>
      <c r="E217" t="b">
        <f>NOT(ISERROR(SEARCH(FILLING!$D$15,tblData[[#This Row],[ФО]])))</f>
        <v>0</v>
      </c>
      <c r="F217" s="264" t="str">
        <f>IF(tblData[[#This Row],[Статус2]],COUNTIF($E$2:tblData[[#This Row],[Статус2]],TRUE),"")</f>
        <v/>
      </c>
      <c r="G217" t="str">
        <f>IFERROR(INDEX(tblData[ФО],MATCH(ROWS($F$2:tblData[[#This Row],[Индекс2]]),tblData[Индекс2],0)),"")</f>
        <v/>
      </c>
    </row>
    <row r="218" spans="2:7" x14ac:dyDescent="0.3">
      <c r="B218" s="265" t="b">
        <f>NOT(ISERROR(SEARCH(FILLING!$D$11,tblData[[#This Row],[ФО]])))</f>
        <v>0</v>
      </c>
      <c r="C218" s="265" t="str">
        <f>IF(tblData[[#This Row],[Статус]],COUNTIF($B$2:tblData[[#This Row],[Статус]],TRUE),"")</f>
        <v/>
      </c>
      <c r="D218" s="266" t="str">
        <f>IFERROR(INDEX(tblData[ФО],MATCH(ROWS($C$2:tblData[[#This Row],[Индекс]]),tblData[Индекс],0)),"")</f>
        <v/>
      </c>
      <c r="E218" t="b">
        <f>NOT(ISERROR(SEARCH(FILLING!$D$15,tblData[[#This Row],[ФО]])))</f>
        <v>0</v>
      </c>
      <c r="F218" s="264" t="str">
        <f>IF(tblData[[#This Row],[Статус2]],COUNTIF($E$2:tblData[[#This Row],[Статус2]],TRUE),"")</f>
        <v/>
      </c>
      <c r="G218" t="str">
        <f>IFERROR(INDEX(tblData[ФО],MATCH(ROWS($F$2:tblData[[#This Row],[Индекс2]]),tblData[Индекс2],0)),"")</f>
        <v/>
      </c>
    </row>
    <row r="219" spans="2:7" x14ac:dyDescent="0.3">
      <c r="B219" s="265" t="b">
        <f>NOT(ISERROR(SEARCH(FILLING!$D$11,tblData[[#This Row],[ФО]])))</f>
        <v>0</v>
      </c>
      <c r="C219" s="265" t="str">
        <f>IF(tblData[[#This Row],[Статус]],COUNTIF($B$2:tblData[[#This Row],[Статус]],TRUE),"")</f>
        <v/>
      </c>
      <c r="D219" s="266" t="str">
        <f>IFERROR(INDEX(tblData[ФО],MATCH(ROWS($C$2:tblData[[#This Row],[Индекс]]),tblData[Индекс],0)),"")</f>
        <v/>
      </c>
      <c r="E219" t="b">
        <f>NOT(ISERROR(SEARCH(FILLING!$D$15,tblData[[#This Row],[ФО]])))</f>
        <v>0</v>
      </c>
      <c r="F219" s="264" t="str">
        <f>IF(tblData[[#This Row],[Статус2]],COUNTIF($E$2:tblData[[#This Row],[Статус2]],TRUE),"")</f>
        <v/>
      </c>
      <c r="G219" t="str">
        <f>IFERROR(INDEX(tblData[ФО],MATCH(ROWS($F$2:tblData[[#This Row],[Индекс2]]),tblData[Индекс2],0)),"")</f>
        <v/>
      </c>
    </row>
    <row r="220" spans="2:7" x14ac:dyDescent="0.3">
      <c r="B220" s="265" t="b">
        <f>NOT(ISERROR(SEARCH(FILLING!$D$11,tblData[[#This Row],[ФО]])))</f>
        <v>0</v>
      </c>
      <c r="C220" s="265" t="str">
        <f>IF(tblData[[#This Row],[Статус]],COUNTIF($B$2:tblData[[#This Row],[Статус]],TRUE),"")</f>
        <v/>
      </c>
      <c r="D220" s="266" t="str">
        <f>IFERROR(INDEX(tblData[ФО],MATCH(ROWS($C$2:tblData[[#This Row],[Индекс]]),tblData[Индекс],0)),"")</f>
        <v/>
      </c>
      <c r="E220" t="b">
        <f>NOT(ISERROR(SEARCH(FILLING!$D$15,tblData[[#This Row],[ФО]])))</f>
        <v>0</v>
      </c>
      <c r="F220" s="264" t="str">
        <f>IF(tblData[[#This Row],[Статус2]],COUNTIF($E$2:tblData[[#This Row],[Статус2]],TRUE),"")</f>
        <v/>
      </c>
      <c r="G220" t="str">
        <f>IFERROR(INDEX(tblData[ФО],MATCH(ROWS($F$2:tblData[[#This Row],[Индекс2]]),tblData[Индекс2],0)),"")</f>
        <v/>
      </c>
    </row>
    <row r="221" spans="2:7" x14ac:dyDescent="0.3">
      <c r="B221" s="265" t="b">
        <f>NOT(ISERROR(SEARCH(FILLING!$D$11,tblData[[#This Row],[ФО]])))</f>
        <v>0</v>
      </c>
      <c r="C221" s="265" t="str">
        <f>IF(tblData[[#This Row],[Статус]],COUNTIF($B$2:tblData[[#This Row],[Статус]],TRUE),"")</f>
        <v/>
      </c>
      <c r="D221" s="266" t="str">
        <f>IFERROR(INDEX(tblData[ФО],MATCH(ROWS($C$2:tblData[[#This Row],[Индекс]]),tblData[Индекс],0)),"")</f>
        <v/>
      </c>
      <c r="E221" t="b">
        <f>NOT(ISERROR(SEARCH(FILLING!$D$15,tblData[[#This Row],[ФО]])))</f>
        <v>0</v>
      </c>
      <c r="F221" s="264" t="str">
        <f>IF(tblData[[#This Row],[Статус2]],COUNTIF($E$2:tblData[[#This Row],[Статус2]],TRUE),"")</f>
        <v/>
      </c>
      <c r="G221" t="str">
        <f>IFERROR(INDEX(tblData[ФО],MATCH(ROWS($F$2:tblData[[#This Row],[Индекс2]]),tblData[Индекс2],0)),"")</f>
        <v/>
      </c>
    </row>
    <row r="222" spans="2:7" x14ac:dyDescent="0.3">
      <c r="B222" s="265" t="b">
        <f>NOT(ISERROR(SEARCH(FILLING!$D$11,tblData[[#This Row],[ФО]])))</f>
        <v>0</v>
      </c>
      <c r="C222" s="265" t="str">
        <f>IF(tblData[[#This Row],[Статус]],COUNTIF($B$2:tblData[[#This Row],[Статус]],TRUE),"")</f>
        <v/>
      </c>
      <c r="D222" s="266" t="str">
        <f>IFERROR(INDEX(tblData[ФО],MATCH(ROWS($C$2:tblData[[#This Row],[Индекс]]),tblData[Индекс],0)),"")</f>
        <v/>
      </c>
      <c r="E222" t="b">
        <f>NOT(ISERROR(SEARCH(FILLING!$D$15,tblData[[#This Row],[ФО]])))</f>
        <v>0</v>
      </c>
      <c r="F222" s="264" t="str">
        <f>IF(tblData[[#This Row],[Статус2]],COUNTIF($E$2:tblData[[#This Row],[Статус2]],TRUE),"")</f>
        <v/>
      </c>
      <c r="G222" t="str">
        <f>IFERROR(INDEX(tblData[ФО],MATCH(ROWS($F$2:tblData[[#This Row],[Индекс2]]),tblData[Индекс2],0)),"")</f>
        <v/>
      </c>
    </row>
    <row r="223" spans="2:7" x14ac:dyDescent="0.3">
      <c r="B223" s="265" t="b">
        <f>NOT(ISERROR(SEARCH(FILLING!$D$11,tblData[[#This Row],[ФО]])))</f>
        <v>0</v>
      </c>
      <c r="C223" s="265" t="str">
        <f>IF(tblData[[#This Row],[Статус]],COUNTIF($B$2:tblData[[#This Row],[Статус]],TRUE),"")</f>
        <v/>
      </c>
      <c r="D223" s="266" t="str">
        <f>IFERROR(INDEX(tblData[ФО],MATCH(ROWS($C$2:tblData[[#This Row],[Индекс]]),tblData[Индекс],0)),"")</f>
        <v/>
      </c>
      <c r="E223" t="b">
        <f>NOT(ISERROR(SEARCH(FILLING!$D$15,tblData[[#This Row],[ФО]])))</f>
        <v>0</v>
      </c>
      <c r="F223" s="264" t="str">
        <f>IF(tblData[[#This Row],[Статус2]],COUNTIF($E$2:tblData[[#This Row],[Статус2]],TRUE),"")</f>
        <v/>
      </c>
      <c r="G223" t="str">
        <f>IFERROR(INDEX(tblData[ФО],MATCH(ROWS($F$2:tblData[[#This Row],[Индекс2]]),tblData[Индекс2],0)),"")</f>
        <v/>
      </c>
    </row>
    <row r="224" spans="2:7" x14ac:dyDescent="0.3">
      <c r="B224" s="265" t="b">
        <f>NOT(ISERROR(SEARCH(FILLING!$D$11,tblData[[#This Row],[ФО]])))</f>
        <v>0</v>
      </c>
      <c r="C224" s="265" t="str">
        <f>IF(tblData[[#This Row],[Статус]],COUNTIF($B$2:tblData[[#This Row],[Статус]],TRUE),"")</f>
        <v/>
      </c>
      <c r="D224" s="266" t="str">
        <f>IFERROR(INDEX(tblData[ФО],MATCH(ROWS($C$2:tblData[[#This Row],[Индекс]]),tblData[Индекс],0)),"")</f>
        <v/>
      </c>
      <c r="E224" t="b">
        <f>NOT(ISERROR(SEARCH(FILLING!$D$15,tblData[[#This Row],[ФО]])))</f>
        <v>0</v>
      </c>
      <c r="F224" s="264" t="str">
        <f>IF(tblData[[#This Row],[Статус2]],COUNTIF($E$2:tblData[[#This Row],[Статус2]],TRUE),"")</f>
        <v/>
      </c>
      <c r="G224" t="str">
        <f>IFERROR(INDEX(tblData[ФО],MATCH(ROWS($F$2:tblData[[#This Row],[Индекс2]]),tblData[Индекс2],0)),"")</f>
        <v/>
      </c>
    </row>
    <row r="225" spans="2:7" x14ac:dyDescent="0.3">
      <c r="B225" s="265" t="b">
        <f>NOT(ISERROR(SEARCH(FILLING!$D$11,tblData[[#This Row],[ФО]])))</f>
        <v>0</v>
      </c>
      <c r="C225" s="265" t="str">
        <f>IF(tblData[[#This Row],[Статус]],COUNTIF($B$2:tblData[[#This Row],[Статус]],TRUE),"")</f>
        <v/>
      </c>
      <c r="D225" s="266" t="str">
        <f>IFERROR(INDEX(tblData[ФО],MATCH(ROWS($C$2:tblData[[#This Row],[Индекс]]),tblData[Индекс],0)),"")</f>
        <v/>
      </c>
      <c r="E225" t="b">
        <f>NOT(ISERROR(SEARCH(FILLING!$D$15,tblData[[#This Row],[ФО]])))</f>
        <v>0</v>
      </c>
      <c r="F225" s="264" t="str">
        <f>IF(tblData[[#This Row],[Статус2]],COUNTIF($E$2:tblData[[#This Row],[Статус2]],TRUE),"")</f>
        <v/>
      </c>
      <c r="G225" t="str">
        <f>IFERROR(INDEX(tblData[ФО],MATCH(ROWS($F$2:tblData[[#This Row],[Индекс2]]),tblData[Индекс2],0)),"")</f>
        <v/>
      </c>
    </row>
    <row r="226" spans="2:7" x14ac:dyDescent="0.3">
      <c r="B226" s="265" t="b">
        <f>NOT(ISERROR(SEARCH(FILLING!$D$11,tblData[[#This Row],[ФО]])))</f>
        <v>0</v>
      </c>
      <c r="C226" s="265" t="str">
        <f>IF(tblData[[#This Row],[Статус]],COUNTIF($B$2:tblData[[#This Row],[Статус]],TRUE),"")</f>
        <v/>
      </c>
      <c r="D226" s="266" t="str">
        <f>IFERROR(INDEX(tblData[ФО],MATCH(ROWS($C$2:tblData[[#This Row],[Индекс]]),tblData[Индекс],0)),"")</f>
        <v/>
      </c>
      <c r="E226" t="b">
        <f>NOT(ISERROR(SEARCH(FILLING!$D$15,tblData[[#This Row],[ФО]])))</f>
        <v>0</v>
      </c>
      <c r="F226" s="264" t="str">
        <f>IF(tblData[[#This Row],[Статус2]],COUNTIF($E$2:tblData[[#This Row],[Статус2]],TRUE),"")</f>
        <v/>
      </c>
      <c r="G226" t="str">
        <f>IFERROR(INDEX(tblData[ФО],MATCH(ROWS($F$2:tblData[[#This Row],[Индекс2]]),tblData[Индекс2],0)),"")</f>
        <v/>
      </c>
    </row>
    <row r="227" spans="2:7" x14ac:dyDescent="0.3">
      <c r="B227" s="265" t="b">
        <f>NOT(ISERROR(SEARCH(FILLING!$D$11,tblData[[#This Row],[ФО]])))</f>
        <v>0</v>
      </c>
      <c r="C227" s="265" t="str">
        <f>IF(tblData[[#This Row],[Статус]],COUNTIF($B$2:tblData[[#This Row],[Статус]],TRUE),"")</f>
        <v/>
      </c>
      <c r="D227" s="266" t="str">
        <f>IFERROR(INDEX(tblData[ФО],MATCH(ROWS($C$2:tblData[[#This Row],[Индекс]]),tblData[Индекс],0)),"")</f>
        <v/>
      </c>
      <c r="E227" t="b">
        <f>NOT(ISERROR(SEARCH(FILLING!$D$15,tblData[[#This Row],[ФО]])))</f>
        <v>0</v>
      </c>
      <c r="F227" s="264" t="str">
        <f>IF(tblData[[#This Row],[Статус2]],COUNTIF($E$2:tblData[[#This Row],[Статус2]],TRUE),"")</f>
        <v/>
      </c>
      <c r="G227" t="str">
        <f>IFERROR(INDEX(tblData[ФО],MATCH(ROWS($F$2:tblData[[#This Row],[Индекс2]]),tblData[Индекс2],0)),"")</f>
        <v/>
      </c>
    </row>
    <row r="228" spans="2:7" x14ac:dyDescent="0.3">
      <c r="B228" s="265" t="b">
        <f>NOT(ISERROR(SEARCH(FILLING!$D$11,tblData[[#This Row],[ФО]])))</f>
        <v>0</v>
      </c>
      <c r="C228" s="265" t="str">
        <f>IF(tblData[[#This Row],[Статус]],COUNTIF($B$2:tblData[[#This Row],[Статус]],TRUE),"")</f>
        <v/>
      </c>
      <c r="D228" s="266" t="str">
        <f>IFERROR(INDEX(tblData[ФО],MATCH(ROWS($C$2:tblData[[#This Row],[Индекс]]),tblData[Индекс],0)),"")</f>
        <v/>
      </c>
      <c r="E228" t="b">
        <f>NOT(ISERROR(SEARCH(FILLING!$D$15,tblData[[#This Row],[ФО]])))</f>
        <v>0</v>
      </c>
      <c r="F228" s="264" t="str">
        <f>IF(tblData[[#This Row],[Статус2]],COUNTIF($E$2:tblData[[#This Row],[Статус2]],TRUE),"")</f>
        <v/>
      </c>
      <c r="G228" t="str">
        <f>IFERROR(INDEX(tblData[ФО],MATCH(ROWS($F$2:tblData[[#This Row],[Индекс2]]),tblData[Индекс2],0)),"")</f>
        <v/>
      </c>
    </row>
    <row r="229" spans="2:7" x14ac:dyDescent="0.3">
      <c r="B229" s="265" t="b">
        <f>NOT(ISERROR(SEARCH(FILLING!$D$11,tblData[[#This Row],[ФО]])))</f>
        <v>0</v>
      </c>
      <c r="C229" s="265" t="str">
        <f>IF(tblData[[#This Row],[Статус]],COUNTIF($B$2:tblData[[#This Row],[Статус]],TRUE),"")</f>
        <v/>
      </c>
      <c r="D229" s="266" t="str">
        <f>IFERROR(INDEX(tblData[ФО],MATCH(ROWS($C$2:tblData[[#This Row],[Индекс]]),tblData[Индекс],0)),"")</f>
        <v/>
      </c>
      <c r="E229" t="b">
        <f>NOT(ISERROR(SEARCH(FILLING!$D$15,tblData[[#This Row],[ФО]])))</f>
        <v>0</v>
      </c>
      <c r="F229" s="264" t="str">
        <f>IF(tblData[[#This Row],[Статус2]],COUNTIF($E$2:tblData[[#This Row],[Статус2]],TRUE),"")</f>
        <v/>
      </c>
      <c r="G229" t="str">
        <f>IFERROR(INDEX(tblData[ФО],MATCH(ROWS($F$2:tblData[[#This Row],[Индекс2]]),tblData[Индекс2],0)),"")</f>
        <v/>
      </c>
    </row>
    <row r="230" spans="2:7" x14ac:dyDescent="0.3">
      <c r="B230" s="265" t="b">
        <f>NOT(ISERROR(SEARCH(FILLING!$D$11,tblData[[#This Row],[ФО]])))</f>
        <v>0</v>
      </c>
      <c r="C230" s="265" t="str">
        <f>IF(tblData[[#This Row],[Статус]],COUNTIF($B$2:tblData[[#This Row],[Статус]],TRUE),"")</f>
        <v/>
      </c>
      <c r="D230" s="266" t="str">
        <f>IFERROR(INDEX(tblData[ФО],MATCH(ROWS($C$2:tblData[[#This Row],[Индекс]]),tblData[Индекс],0)),"")</f>
        <v/>
      </c>
      <c r="E230" t="b">
        <f>NOT(ISERROR(SEARCH(FILLING!$D$15,tblData[[#This Row],[ФО]])))</f>
        <v>0</v>
      </c>
      <c r="F230" s="264" t="str">
        <f>IF(tblData[[#This Row],[Статус2]],COUNTIF($E$2:tblData[[#This Row],[Статус2]],TRUE),"")</f>
        <v/>
      </c>
      <c r="G230" t="str">
        <f>IFERROR(INDEX(tblData[ФО],MATCH(ROWS($F$2:tblData[[#This Row],[Индекс2]]),tblData[Индекс2],0)),"")</f>
        <v/>
      </c>
    </row>
    <row r="231" spans="2:7" x14ac:dyDescent="0.3">
      <c r="B231" s="265" t="b">
        <f>NOT(ISERROR(SEARCH(FILLING!$D$11,tblData[[#This Row],[ФО]])))</f>
        <v>0</v>
      </c>
      <c r="C231" s="265" t="str">
        <f>IF(tblData[[#This Row],[Статус]],COUNTIF($B$2:tblData[[#This Row],[Статус]],TRUE),"")</f>
        <v/>
      </c>
      <c r="D231" s="266" t="str">
        <f>IFERROR(INDEX(tblData[ФО],MATCH(ROWS($C$2:tblData[[#This Row],[Индекс]]),tblData[Индекс],0)),"")</f>
        <v/>
      </c>
      <c r="E231" t="b">
        <f>NOT(ISERROR(SEARCH(FILLING!$D$15,tblData[[#This Row],[ФО]])))</f>
        <v>0</v>
      </c>
      <c r="F231" s="264" t="str">
        <f>IF(tblData[[#This Row],[Статус2]],COUNTIF($E$2:tblData[[#This Row],[Статус2]],TRUE),"")</f>
        <v/>
      </c>
      <c r="G231" t="str">
        <f>IFERROR(INDEX(tblData[ФО],MATCH(ROWS($F$2:tblData[[#This Row],[Индекс2]]),tblData[Индекс2],0)),"")</f>
        <v/>
      </c>
    </row>
    <row r="232" spans="2:7" x14ac:dyDescent="0.3">
      <c r="B232" s="265" t="b">
        <f>NOT(ISERROR(SEARCH(FILLING!$D$11,tblData[[#This Row],[ФО]])))</f>
        <v>0</v>
      </c>
      <c r="C232" s="265" t="str">
        <f>IF(tblData[[#This Row],[Статус]],COUNTIF($B$2:tblData[[#This Row],[Статус]],TRUE),"")</f>
        <v/>
      </c>
      <c r="D232" s="266" t="str">
        <f>IFERROR(INDEX(tblData[ФО],MATCH(ROWS($C$2:tblData[[#This Row],[Индекс]]),tblData[Индекс],0)),"")</f>
        <v/>
      </c>
      <c r="E232" t="b">
        <f>NOT(ISERROR(SEARCH(FILLING!$D$15,tblData[[#This Row],[ФО]])))</f>
        <v>0</v>
      </c>
      <c r="F232" s="264" t="str">
        <f>IF(tblData[[#This Row],[Статус2]],COUNTIF($E$2:tblData[[#This Row],[Статус2]],TRUE),"")</f>
        <v/>
      </c>
      <c r="G232" t="str">
        <f>IFERROR(INDEX(tblData[ФО],MATCH(ROWS($F$2:tblData[[#This Row],[Индекс2]]),tblData[Индекс2],0)),"")</f>
        <v/>
      </c>
    </row>
    <row r="233" spans="2:7" x14ac:dyDescent="0.3">
      <c r="B233" s="265" t="b">
        <f>NOT(ISERROR(SEARCH(FILLING!$D$11,tblData[[#This Row],[ФО]])))</f>
        <v>0</v>
      </c>
      <c r="C233" s="265" t="str">
        <f>IF(tblData[[#This Row],[Статус]],COUNTIF($B$2:tblData[[#This Row],[Статус]],TRUE),"")</f>
        <v/>
      </c>
      <c r="D233" s="266" t="str">
        <f>IFERROR(INDEX(tblData[ФО],MATCH(ROWS($C$2:tblData[[#This Row],[Индекс]]),tblData[Индекс],0)),"")</f>
        <v/>
      </c>
      <c r="E233" t="b">
        <f>NOT(ISERROR(SEARCH(FILLING!$D$15,tblData[[#This Row],[ФО]])))</f>
        <v>0</v>
      </c>
      <c r="F233" s="264" t="str">
        <f>IF(tblData[[#This Row],[Статус2]],COUNTIF($E$2:tblData[[#This Row],[Статус2]],TRUE),"")</f>
        <v/>
      </c>
      <c r="G233" t="str">
        <f>IFERROR(INDEX(tblData[ФО],MATCH(ROWS($F$2:tblData[[#This Row],[Индекс2]]),tblData[Индекс2],0)),"")</f>
        <v/>
      </c>
    </row>
    <row r="234" spans="2:7" x14ac:dyDescent="0.3">
      <c r="B234" s="265" t="b">
        <f>NOT(ISERROR(SEARCH(FILLING!$D$11,tblData[[#This Row],[ФО]])))</f>
        <v>0</v>
      </c>
      <c r="C234" s="265" t="str">
        <f>IF(tblData[[#This Row],[Статус]],COUNTIF($B$2:tblData[[#This Row],[Статус]],TRUE),"")</f>
        <v/>
      </c>
      <c r="D234" s="266" t="str">
        <f>IFERROR(INDEX(tblData[ФО],MATCH(ROWS($C$2:tblData[[#This Row],[Индекс]]),tblData[Индекс],0)),"")</f>
        <v/>
      </c>
      <c r="E234" t="b">
        <f>NOT(ISERROR(SEARCH(FILLING!$D$15,tblData[[#This Row],[ФО]])))</f>
        <v>0</v>
      </c>
      <c r="F234" s="264" t="str">
        <f>IF(tblData[[#This Row],[Статус2]],COUNTIF($E$2:tblData[[#This Row],[Статус2]],TRUE),"")</f>
        <v/>
      </c>
      <c r="G234" t="str">
        <f>IFERROR(INDEX(tblData[ФО],MATCH(ROWS($F$2:tblData[[#This Row],[Индекс2]]),tblData[Индекс2],0)),"")</f>
        <v/>
      </c>
    </row>
    <row r="235" spans="2:7" x14ac:dyDescent="0.3">
      <c r="B235" s="265" t="b">
        <f>NOT(ISERROR(SEARCH(FILLING!$D$11,tblData[[#This Row],[ФО]])))</f>
        <v>0</v>
      </c>
      <c r="C235" s="265" t="str">
        <f>IF(tblData[[#This Row],[Статус]],COUNTIF($B$2:tblData[[#This Row],[Статус]],TRUE),"")</f>
        <v/>
      </c>
      <c r="D235" s="266" t="str">
        <f>IFERROR(INDEX(tblData[ФО],MATCH(ROWS($C$2:tblData[[#This Row],[Индекс]]),tblData[Индекс],0)),"")</f>
        <v/>
      </c>
      <c r="E235" t="b">
        <f>NOT(ISERROR(SEARCH(FILLING!$D$15,tblData[[#This Row],[ФО]])))</f>
        <v>0</v>
      </c>
      <c r="F235" s="264" t="str">
        <f>IF(tblData[[#This Row],[Статус2]],COUNTIF($E$2:tblData[[#This Row],[Статус2]],TRUE),"")</f>
        <v/>
      </c>
      <c r="G235" t="str">
        <f>IFERROR(INDEX(tblData[ФО],MATCH(ROWS($F$2:tblData[[#This Row],[Индекс2]]),tblData[Индекс2],0)),"")</f>
        <v/>
      </c>
    </row>
    <row r="236" spans="2:7" x14ac:dyDescent="0.3">
      <c r="B236" s="265" t="b">
        <f>NOT(ISERROR(SEARCH(FILLING!$D$11,tblData[[#This Row],[ФО]])))</f>
        <v>0</v>
      </c>
      <c r="C236" s="265" t="str">
        <f>IF(tblData[[#This Row],[Статус]],COUNTIF($B$2:tblData[[#This Row],[Статус]],TRUE),"")</f>
        <v/>
      </c>
      <c r="D236" s="266" t="str">
        <f>IFERROR(INDEX(tblData[ФО],MATCH(ROWS($C$2:tblData[[#This Row],[Индекс]]),tblData[Индекс],0)),"")</f>
        <v/>
      </c>
      <c r="E236" t="b">
        <f>NOT(ISERROR(SEARCH(FILLING!$D$15,tblData[[#This Row],[ФО]])))</f>
        <v>0</v>
      </c>
      <c r="F236" s="264" t="str">
        <f>IF(tblData[[#This Row],[Статус2]],COUNTIF($E$2:tblData[[#This Row],[Статус2]],TRUE),"")</f>
        <v/>
      </c>
      <c r="G236" t="str">
        <f>IFERROR(INDEX(tblData[ФО],MATCH(ROWS($F$2:tblData[[#This Row],[Индекс2]]),tblData[Индекс2],0)),"")</f>
        <v/>
      </c>
    </row>
    <row r="237" spans="2:7" x14ac:dyDescent="0.3">
      <c r="B237" s="265" t="b">
        <f>NOT(ISERROR(SEARCH(FILLING!$D$11,tblData[[#This Row],[ФО]])))</f>
        <v>0</v>
      </c>
      <c r="C237" s="265" t="str">
        <f>IF(tblData[[#This Row],[Статус]],COUNTIF($B$2:tblData[[#This Row],[Статус]],TRUE),"")</f>
        <v/>
      </c>
      <c r="D237" s="266" t="str">
        <f>IFERROR(INDEX(tblData[ФО],MATCH(ROWS($C$2:tblData[[#This Row],[Индекс]]),tblData[Индекс],0)),"")</f>
        <v/>
      </c>
      <c r="E237" t="b">
        <f>NOT(ISERROR(SEARCH(FILLING!$D$15,tblData[[#This Row],[ФО]])))</f>
        <v>0</v>
      </c>
      <c r="F237" s="264" t="str">
        <f>IF(tblData[[#This Row],[Статус2]],COUNTIF($E$2:tblData[[#This Row],[Статус2]],TRUE),"")</f>
        <v/>
      </c>
      <c r="G237" t="str">
        <f>IFERROR(INDEX(tblData[ФО],MATCH(ROWS($F$2:tblData[[#This Row],[Индекс2]]),tblData[Индекс2],0)),"")</f>
        <v/>
      </c>
    </row>
    <row r="238" spans="2:7" x14ac:dyDescent="0.3">
      <c r="B238" s="265" t="b">
        <f>NOT(ISERROR(SEARCH(FILLING!$D$11,tblData[[#This Row],[ФО]])))</f>
        <v>0</v>
      </c>
      <c r="C238" s="265" t="str">
        <f>IF(tblData[[#This Row],[Статус]],COUNTIF($B$2:tblData[[#This Row],[Статус]],TRUE),"")</f>
        <v/>
      </c>
      <c r="D238" s="266" t="str">
        <f>IFERROR(INDEX(tblData[ФО],MATCH(ROWS($C$2:tblData[[#This Row],[Индекс]]),tblData[Индекс],0)),"")</f>
        <v/>
      </c>
      <c r="E238" t="b">
        <f>NOT(ISERROR(SEARCH(FILLING!$D$15,tblData[[#This Row],[ФО]])))</f>
        <v>0</v>
      </c>
      <c r="F238" s="264" t="str">
        <f>IF(tblData[[#This Row],[Статус2]],COUNTIF($E$2:tblData[[#This Row],[Статус2]],TRUE),"")</f>
        <v/>
      </c>
      <c r="G238" t="str">
        <f>IFERROR(INDEX(tblData[ФО],MATCH(ROWS($F$2:tblData[[#This Row],[Индекс2]]),tblData[Индекс2],0)),"")</f>
        <v/>
      </c>
    </row>
    <row r="239" spans="2:7" x14ac:dyDescent="0.3">
      <c r="B239" s="265" t="b">
        <f>NOT(ISERROR(SEARCH(FILLING!$D$11,tblData[[#This Row],[ФО]])))</f>
        <v>0</v>
      </c>
      <c r="C239" s="265" t="str">
        <f>IF(tblData[[#This Row],[Статус]],COUNTIF($B$2:tblData[[#This Row],[Статус]],TRUE),"")</f>
        <v/>
      </c>
      <c r="D239" s="266" t="str">
        <f>IFERROR(INDEX(tblData[ФО],MATCH(ROWS($C$2:tblData[[#This Row],[Индекс]]),tblData[Индекс],0)),"")</f>
        <v/>
      </c>
      <c r="E239" t="b">
        <f>NOT(ISERROR(SEARCH(FILLING!$D$15,tblData[[#This Row],[ФО]])))</f>
        <v>0</v>
      </c>
      <c r="F239" s="264" t="str">
        <f>IF(tblData[[#This Row],[Статус2]],COUNTIF($E$2:tblData[[#This Row],[Статус2]],TRUE),"")</f>
        <v/>
      </c>
      <c r="G239" t="str">
        <f>IFERROR(INDEX(tblData[ФО],MATCH(ROWS($F$2:tblData[[#This Row],[Индекс2]]),tblData[Индекс2],0)),"")</f>
        <v/>
      </c>
    </row>
    <row r="240" spans="2:7" x14ac:dyDescent="0.3">
      <c r="B240" s="265" t="b">
        <f>NOT(ISERROR(SEARCH(FILLING!$D$11,tblData[[#This Row],[ФО]])))</f>
        <v>0</v>
      </c>
      <c r="C240" s="265" t="str">
        <f>IF(tblData[[#This Row],[Статус]],COUNTIF($B$2:tblData[[#This Row],[Статус]],TRUE),"")</f>
        <v/>
      </c>
      <c r="D240" s="266" t="str">
        <f>IFERROR(INDEX(tblData[ФО],MATCH(ROWS($C$2:tblData[[#This Row],[Индекс]]),tblData[Индекс],0)),"")</f>
        <v/>
      </c>
      <c r="E240" t="b">
        <f>NOT(ISERROR(SEARCH(FILLING!$D$15,tblData[[#This Row],[ФО]])))</f>
        <v>0</v>
      </c>
      <c r="F240" s="264" t="str">
        <f>IF(tblData[[#This Row],[Статус2]],COUNTIF($E$2:tblData[[#This Row],[Статус2]],TRUE),"")</f>
        <v/>
      </c>
      <c r="G240" t="str">
        <f>IFERROR(INDEX(tblData[ФО],MATCH(ROWS($F$2:tblData[[#This Row],[Индекс2]]),tblData[Индекс2],0)),"")</f>
        <v/>
      </c>
    </row>
    <row r="241" spans="2:7" x14ac:dyDescent="0.3">
      <c r="B241" s="265" t="b">
        <f>NOT(ISERROR(SEARCH(FILLING!$D$11,tblData[[#This Row],[ФО]])))</f>
        <v>0</v>
      </c>
      <c r="C241" s="265" t="str">
        <f>IF(tblData[[#This Row],[Статус]],COUNTIF($B$2:tblData[[#This Row],[Статус]],TRUE),"")</f>
        <v/>
      </c>
      <c r="D241" s="266" t="str">
        <f>IFERROR(INDEX(tblData[ФО],MATCH(ROWS($C$2:tblData[[#This Row],[Индекс]]),tblData[Индекс],0)),"")</f>
        <v/>
      </c>
      <c r="E241" t="b">
        <f>NOT(ISERROR(SEARCH(FILLING!$D$15,tblData[[#This Row],[ФО]])))</f>
        <v>0</v>
      </c>
      <c r="F241" s="264" t="str">
        <f>IF(tblData[[#This Row],[Статус2]],COUNTIF($E$2:tblData[[#This Row],[Статус2]],TRUE),"")</f>
        <v/>
      </c>
      <c r="G241" t="str">
        <f>IFERROR(INDEX(tblData[ФО],MATCH(ROWS($F$2:tblData[[#This Row],[Индекс2]]),tblData[Индекс2],0)),"")</f>
        <v/>
      </c>
    </row>
    <row r="242" spans="2:7" x14ac:dyDescent="0.3">
      <c r="B242" s="265" t="b">
        <f>NOT(ISERROR(SEARCH(FILLING!$D$11,tblData[[#This Row],[ФО]])))</f>
        <v>0</v>
      </c>
      <c r="C242" s="265" t="str">
        <f>IF(tblData[[#This Row],[Статус]],COUNTIF($B$2:tblData[[#This Row],[Статус]],TRUE),"")</f>
        <v/>
      </c>
      <c r="D242" s="266" t="str">
        <f>IFERROR(INDEX(tblData[ФО],MATCH(ROWS($C$2:tblData[[#This Row],[Индекс]]),tblData[Индекс],0)),"")</f>
        <v/>
      </c>
      <c r="E242" t="b">
        <f>NOT(ISERROR(SEARCH(FILLING!$D$15,tblData[[#This Row],[ФО]])))</f>
        <v>0</v>
      </c>
      <c r="F242" s="264" t="str">
        <f>IF(tblData[[#This Row],[Статус2]],COUNTIF($E$2:tblData[[#This Row],[Статус2]],TRUE),"")</f>
        <v/>
      </c>
      <c r="G242" t="str">
        <f>IFERROR(INDEX(tblData[ФО],MATCH(ROWS($F$2:tblData[[#This Row],[Индекс2]]),tblData[Индекс2],0)),"")</f>
        <v/>
      </c>
    </row>
    <row r="243" spans="2:7" x14ac:dyDescent="0.3">
      <c r="B243" s="265" t="b">
        <f>NOT(ISERROR(SEARCH(FILLING!$D$11,tblData[[#This Row],[ФО]])))</f>
        <v>0</v>
      </c>
      <c r="C243" s="265" t="str">
        <f>IF(tblData[[#This Row],[Статус]],COUNTIF($B$2:tblData[[#This Row],[Статус]],TRUE),"")</f>
        <v/>
      </c>
      <c r="D243" s="266" t="str">
        <f>IFERROR(INDEX(tblData[ФО],MATCH(ROWS($C$2:tblData[[#This Row],[Индекс]]),tblData[Индекс],0)),"")</f>
        <v/>
      </c>
      <c r="E243" t="b">
        <f>NOT(ISERROR(SEARCH(FILLING!$D$15,tblData[[#This Row],[ФО]])))</f>
        <v>0</v>
      </c>
      <c r="F243" s="264" t="str">
        <f>IF(tblData[[#This Row],[Статус2]],COUNTIF($E$2:tblData[[#This Row],[Статус2]],TRUE),"")</f>
        <v/>
      </c>
      <c r="G243" t="str">
        <f>IFERROR(INDEX(tblData[ФО],MATCH(ROWS($F$2:tblData[[#This Row],[Индекс2]]),tblData[Индекс2],0)),"")</f>
        <v/>
      </c>
    </row>
    <row r="244" spans="2:7" x14ac:dyDescent="0.3">
      <c r="B244" s="265" t="b">
        <f>NOT(ISERROR(SEARCH(FILLING!$D$11,tblData[[#This Row],[ФО]])))</f>
        <v>0</v>
      </c>
      <c r="C244" s="265" t="str">
        <f>IF(tblData[[#This Row],[Статус]],COUNTIF($B$2:tblData[[#This Row],[Статус]],TRUE),"")</f>
        <v/>
      </c>
      <c r="D244" s="266" t="str">
        <f>IFERROR(INDEX(tblData[ФО],MATCH(ROWS($C$2:tblData[[#This Row],[Индекс]]),tblData[Индекс],0)),"")</f>
        <v/>
      </c>
      <c r="E244" t="b">
        <f>NOT(ISERROR(SEARCH(FILLING!$D$15,tblData[[#This Row],[ФО]])))</f>
        <v>0</v>
      </c>
      <c r="F244" s="264" t="str">
        <f>IF(tblData[[#This Row],[Статус2]],COUNTIF($E$2:tblData[[#This Row],[Статус2]],TRUE),"")</f>
        <v/>
      </c>
      <c r="G244" t="str">
        <f>IFERROR(INDEX(tblData[ФО],MATCH(ROWS($F$2:tblData[[#This Row],[Индекс2]]),tblData[Индекс2],0)),"")</f>
        <v/>
      </c>
    </row>
    <row r="245" spans="2:7" x14ac:dyDescent="0.3">
      <c r="B245" s="265" t="b">
        <f>NOT(ISERROR(SEARCH(FILLING!$D$11,tblData[[#This Row],[ФО]])))</f>
        <v>0</v>
      </c>
      <c r="C245" s="265" t="str">
        <f>IF(tblData[[#This Row],[Статус]],COUNTIF($B$2:tblData[[#This Row],[Статус]],TRUE),"")</f>
        <v/>
      </c>
      <c r="D245" s="266" t="str">
        <f>IFERROR(INDEX(tblData[ФО],MATCH(ROWS($C$2:tblData[[#This Row],[Индекс]]),tblData[Индекс],0)),"")</f>
        <v/>
      </c>
      <c r="E245" t="b">
        <f>NOT(ISERROR(SEARCH(FILLING!$D$15,tblData[[#This Row],[ФО]])))</f>
        <v>0</v>
      </c>
      <c r="F245" s="264" t="str">
        <f>IF(tblData[[#This Row],[Статус2]],COUNTIF($E$2:tblData[[#This Row],[Статус2]],TRUE),"")</f>
        <v/>
      </c>
      <c r="G245" t="str">
        <f>IFERROR(INDEX(tblData[ФО],MATCH(ROWS($F$2:tblData[[#This Row],[Индекс2]]),tblData[Индекс2],0)),"")</f>
        <v/>
      </c>
    </row>
    <row r="246" spans="2:7" x14ac:dyDescent="0.3">
      <c r="B246" s="265" t="b">
        <f>NOT(ISERROR(SEARCH(FILLING!$D$11,tblData[[#This Row],[ФО]])))</f>
        <v>0</v>
      </c>
      <c r="C246" s="265" t="str">
        <f>IF(tblData[[#This Row],[Статус]],COUNTIF($B$2:tblData[[#This Row],[Статус]],TRUE),"")</f>
        <v/>
      </c>
      <c r="D246" s="266" t="str">
        <f>IFERROR(INDEX(tblData[ФО],MATCH(ROWS($C$2:tblData[[#This Row],[Индекс]]),tblData[Индекс],0)),"")</f>
        <v/>
      </c>
      <c r="E246" t="b">
        <f>NOT(ISERROR(SEARCH(FILLING!$D$15,tblData[[#This Row],[ФО]])))</f>
        <v>0</v>
      </c>
      <c r="F246" s="264" t="str">
        <f>IF(tblData[[#This Row],[Статус2]],COUNTIF($E$2:tblData[[#This Row],[Статус2]],TRUE),"")</f>
        <v/>
      </c>
      <c r="G246" t="str">
        <f>IFERROR(INDEX(tblData[ФО],MATCH(ROWS($F$2:tblData[[#This Row],[Индекс2]]),tblData[Индекс2],0)),"")</f>
        <v/>
      </c>
    </row>
    <row r="247" spans="2:7" x14ac:dyDescent="0.3">
      <c r="B247" s="265" t="b">
        <f>NOT(ISERROR(SEARCH(FILLING!$D$11,tblData[[#This Row],[ФО]])))</f>
        <v>0</v>
      </c>
      <c r="C247" s="265" t="str">
        <f>IF(tblData[[#This Row],[Статус]],COUNTIF($B$2:tblData[[#This Row],[Статус]],TRUE),"")</f>
        <v/>
      </c>
      <c r="D247" s="266" t="str">
        <f>IFERROR(INDEX(tblData[ФО],MATCH(ROWS($C$2:tblData[[#This Row],[Индекс]]),tblData[Индекс],0)),"")</f>
        <v/>
      </c>
      <c r="E247" t="b">
        <f>NOT(ISERROR(SEARCH(FILLING!$D$15,tblData[[#This Row],[ФО]])))</f>
        <v>0</v>
      </c>
      <c r="F247" s="264" t="str">
        <f>IF(tblData[[#This Row],[Статус2]],COUNTIF($E$2:tblData[[#This Row],[Статус2]],TRUE),"")</f>
        <v/>
      </c>
      <c r="G247" t="str">
        <f>IFERROR(INDEX(tblData[ФО],MATCH(ROWS($F$2:tblData[[#This Row],[Индекс2]]),tblData[Индекс2],0)),"")</f>
        <v/>
      </c>
    </row>
    <row r="248" spans="2:7" x14ac:dyDescent="0.3">
      <c r="B248" s="265" t="b">
        <f>NOT(ISERROR(SEARCH(FILLING!$D$11,tblData[[#This Row],[ФО]])))</f>
        <v>0</v>
      </c>
      <c r="C248" s="265" t="str">
        <f>IF(tblData[[#This Row],[Статус]],COUNTIF($B$2:tblData[[#This Row],[Статус]],TRUE),"")</f>
        <v/>
      </c>
      <c r="D248" s="266" t="str">
        <f>IFERROR(INDEX(tblData[ФО],MATCH(ROWS($C$2:tblData[[#This Row],[Индекс]]),tblData[Индекс],0)),"")</f>
        <v/>
      </c>
      <c r="E248" t="b">
        <f>NOT(ISERROR(SEARCH(FILLING!$D$15,tblData[[#This Row],[ФО]])))</f>
        <v>0</v>
      </c>
      <c r="F248" s="264" t="str">
        <f>IF(tblData[[#This Row],[Статус2]],COUNTIF($E$2:tblData[[#This Row],[Статус2]],TRUE),"")</f>
        <v/>
      </c>
      <c r="G248" t="str">
        <f>IFERROR(INDEX(tblData[ФО],MATCH(ROWS($F$2:tblData[[#This Row],[Индекс2]]),tblData[Индекс2],0)),"")</f>
        <v/>
      </c>
    </row>
    <row r="249" spans="2:7" x14ac:dyDescent="0.3">
      <c r="B249" s="265" t="b">
        <f>NOT(ISERROR(SEARCH(FILLING!$D$11,tblData[[#This Row],[ФО]])))</f>
        <v>0</v>
      </c>
      <c r="C249" s="265" t="str">
        <f>IF(tblData[[#This Row],[Статус]],COUNTIF($B$2:tblData[[#This Row],[Статус]],TRUE),"")</f>
        <v/>
      </c>
      <c r="D249" s="266" t="str">
        <f>IFERROR(INDEX(tblData[ФО],MATCH(ROWS($C$2:tblData[[#This Row],[Индекс]]),tblData[Индекс],0)),"")</f>
        <v/>
      </c>
      <c r="E249" t="b">
        <f>NOT(ISERROR(SEARCH(FILLING!$D$15,tblData[[#This Row],[ФО]])))</f>
        <v>0</v>
      </c>
      <c r="F249" s="264" t="str">
        <f>IF(tblData[[#This Row],[Статус2]],COUNTIF($E$2:tblData[[#This Row],[Статус2]],TRUE),"")</f>
        <v/>
      </c>
      <c r="G249" t="str">
        <f>IFERROR(INDEX(tblData[ФО],MATCH(ROWS($F$2:tblData[[#This Row],[Индекс2]]),tblData[Индекс2],0)),"")</f>
        <v/>
      </c>
    </row>
    <row r="250" spans="2:7" x14ac:dyDescent="0.3">
      <c r="B250" s="265" t="b">
        <f>NOT(ISERROR(SEARCH(FILLING!$D$11,tblData[[#This Row],[ФО]])))</f>
        <v>0</v>
      </c>
      <c r="C250" s="265" t="str">
        <f>IF(tblData[[#This Row],[Статус]],COUNTIF($B$2:tblData[[#This Row],[Статус]],TRUE),"")</f>
        <v/>
      </c>
      <c r="D250" s="266" t="str">
        <f>IFERROR(INDEX(tblData[ФО],MATCH(ROWS($C$2:tblData[[#This Row],[Индекс]]),tblData[Индекс],0)),"")</f>
        <v/>
      </c>
      <c r="E250" t="b">
        <f>NOT(ISERROR(SEARCH(FILLING!$D$15,tblData[[#This Row],[ФО]])))</f>
        <v>0</v>
      </c>
      <c r="F250" s="264" t="str">
        <f>IF(tblData[[#This Row],[Статус2]],COUNTIF($E$2:tblData[[#This Row],[Статус2]],TRUE),"")</f>
        <v/>
      </c>
      <c r="G250" t="str">
        <f>IFERROR(INDEX(tblData[ФО],MATCH(ROWS($F$2:tblData[[#This Row],[Индекс2]]),tblData[Индекс2],0)),"")</f>
        <v/>
      </c>
    </row>
    <row r="251" spans="2:7" x14ac:dyDescent="0.3">
      <c r="B251" s="265" t="b">
        <f>NOT(ISERROR(SEARCH(FILLING!$D$11,tblData[[#This Row],[ФО]])))</f>
        <v>0</v>
      </c>
      <c r="C251" s="265" t="str">
        <f>IF(tblData[[#This Row],[Статус]],COUNTIF($B$2:tblData[[#This Row],[Статус]],TRUE),"")</f>
        <v/>
      </c>
      <c r="D251" s="266" t="str">
        <f>IFERROR(INDEX(tblData[ФО],MATCH(ROWS($C$2:tblData[[#This Row],[Индекс]]),tblData[Индекс],0)),"")</f>
        <v/>
      </c>
      <c r="E251" t="b">
        <f>NOT(ISERROR(SEARCH(FILLING!$D$15,tblData[[#This Row],[ФО]])))</f>
        <v>0</v>
      </c>
      <c r="F251" s="264" t="str">
        <f>IF(tblData[[#This Row],[Статус2]],COUNTIF($E$2:tblData[[#This Row],[Статус2]],TRUE),"")</f>
        <v/>
      </c>
      <c r="G251" t="str">
        <f>IFERROR(INDEX(tblData[ФО],MATCH(ROWS($F$2:tblData[[#This Row],[Индекс2]]),tblData[Индекс2],0)),"")</f>
        <v/>
      </c>
    </row>
    <row r="252" spans="2:7" x14ac:dyDescent="0.3">
      <c r="B252" s="265" t="b">
        <f>NOT(ISERROR(SEARCH(FILLING!$D$11,tblData[[#This Row],[ФО]])))</f>
        <v>0</v>
      </c>
      <c r="C252" s="265" t="str">
        <f>IF(tblData[[#This Row],[Статус]],COUNTIF($B$2:tblData[[#This Row],[Статус]],TRUE),"")</f>
        <v/>
      </c>
      <c r="D252" s="266" t="str">
        <f>IFERROR(INDEX(tblData[ФО],MATCH(ROWS($C$2:tblData[[#This Row],[Индекс]]),tblData[Индекс],0)),"")</f>
        <v/>
      </c>
      <c r="E252" t="b">
        <f>NOT(ISERROR(SEARCH(FILLING!$D$15,tblData[[#This Row],[ФО]])))</f>
        <v>0</v>
      </c>
      <c r="F252" s="264" t="str">
        <f>IF(tblData[[#This Row],[Статус2]],COUNTIF($E$2:tblData[[#This Row],[Статус2]],TRUE),"")</f>
        <v/>
      </c>
      <c r="G252" t="str">
        <f>IFERROR(INDEX(tblData[ФО],MATCH(ROWS($F$2:tblData[[#This Row],[Индекс2]]),tblData[Индекс2],0)),"")</f>
        <v/>
      </c>
    </row>
    <row r="253" spans="2:7" x14ac:dyDescent="0.3">
      <c r="B253" s="265" t="b">
        <f>NOT(ISERROR(SEARCH(FILLING!$D$11,tblData[[#This Row],[ФО]])))</f>
        <v>0</v>
      </c>
      <c r="C253" s="265" t="str">
        <f>IF(tblData[[#This Row],[Статус]],COUNTIF($B$2:tblData[[#This Row],[Статус]],TRUE),"")</f>
        <v/>
      </c>
      <c r="D253" s="266" t="str">
        <f>IFERROR(INDEX(tblData[ФО],MATCH(ROWS($C$2:tblData[[#This Row],[Индекс]]),tblData[Индекс],0)),"")</f>
        <v/>
      </c>
      <c r="E253" t="b">
        <f>NOT(ISERROR(SEARCH(FILLING!$D$15,tblData[[#This Row],[ФО]])))</f>
        <v>0</v>
      </c>
      <c r="F253" s="264" t="str">
        <f>IF(tblData[[#This Row],[Статус2]],COUNTIF($E$2:tblData[[#This Row],[Статус2]],TRUE),"")</f>
        <v/>
      </c>
      <c r="G253" t="str">
        <f>IFERROR(INDEX(tblData[ФО],MATCH(ROWS($F$2:tblData[[#This Row],[Индекс2]]),tblData[Индекс2],0)),"")</f>
        <v/>
      </c>
    </row>
    <row r="254" spans="2:7" x14ac:dyDescent="0.3">
      <c r="B254" s="265" t="b">
        <f>NOT(ISERROR(SEARCH(FILLING!$D$11,tblData[[#This Row],[ФО]])))</f>
        <v>0</v>
      </c>
      <c r="C254" s="265" t="str">
        <f>IF(tblData[[#This Row],[Статус]],COUNTIF($B$2:tblData[[#This Row],[Статус]],TRUE),"")</f>
        <v/>
      </c>
      <c r="D254" s="266" t="str">
        <f>IFERROR(INDEX(tblData[ФО],MATCH(ROWS($C$2:tblData[[#This Row],[Индекс]]),tblData[Индекс],0)),"")</f>
        <v/>
      </c>
      <c r="E254" t="b">
        <f>NOT(ISERROR(SEARCH(FILLING!$D$15,tblData[[#This Row],[ФО]])))</f>
        <v>0</v>
      </c>
      <c r="F254" s="264" t="str">
        <f>IF(tblData[[#This Row],[Статус2]],COUNTIF($E$2:tblData[[#This Row],[Статус2]],TRUE),"")</f>
        <v/>
      </c>
      <c r="G254" t="str">
        <f>IFERROR(INDEX(tblData[ФО],MATCH(ROWS($F$2:tblData[[#This Row],[Индекс2]]),tblData[Индекс2],0)),"")</f>
        <v/>
      </c>
    </row>
    <row r="255" spans="2:7" x14ac:dyDescent="0.3">
      <c r="B255" s="265" t="b">
        <f>NOT(ISERROR(SEARCH(FILLING!$D$11,tblData[[#This Row],[ФО]])))</f>
        <v>0</v>
      </c>
      <c r="C255" s="265" t="str">
        <f>IF(tblData[[#This Row],[Статус]],COUNTIF($B$2:tblData[[#This Row],[Статус]],TRUE),"")</f>
        <v/>
      </c>
      <c r="D255" s="266" t="str">
        <f>IFERROR(INDEX(tblData[ФО],MATCH(ROWS($C$2:tblData[[#This Row],[Индекс]]),tblData[Индекс],0)),"")</f>
        <v/>
      </c>
      <c r="E255" t="b">
        <f>NOT(ISERROR(SEARCH(FILLING!$D$15,tblData[[#This Row],[ФО]])))</f>
        <v>0</v>
      </c>
      <c r="F255" s="264" t="str">
        <f>IF(tblData[[#This Row],[Статус2]],COUNTIF($E$2:tblData[[#This Row],[Статус2]],TRUE),"")</f>
        <v/>
      </c>
      <c r="G255" t="str">
        <f>IFERROR(INDEX(tblData[ФО],MATCH(ROWS($F$2:tblData[[#This Row],[Индекс2]]),tblData[Индекс2],0)),"")</f>
        <v/>
      </c>
    </row>
    <row r="256" spans="2:7" x14ac:dyDescent="0.3">
      <c r="B256" s="265" t="b">
        <f>NOT(ISERROR(SEARCH(FILLING!$D$11,tblData[[#This Row],[ФО]])))</f>
        <v>0</v>
      </c>
      <c r="C256" s="265" t="str">
        <f>IF(tblData[[#This Row],[Статус]],COUNTIF($B$2:tblData[[#This Row],[Статус]],TRUE),"")</f>
        <v/>
      </c>
      <c r="D256" s="266" t="str">
        <f>IFERROR(INDEX(tblData[ФО],MATCH(ROWS($C$2:tblData[[#This Row],[Индекс]]),tblData[Индекс],0)),"")</f>
        <v/>
      </c>
      <c r="E256" t="b">
        <f>NOT(ISERROR(SEARCH(FILLING!$D$15,tblData[[#This Row],[ФО]])))</f>
        <v>0</v>
      </c>
      <c r="F256" s="264" t="str">
        <f>IF(tblData[[#This Row],[Статус2]],COUNTIF($E$2:tblData[[#This Row],[Статус2]],TRUE),"")</f>
        <v/>
      </c>
      <c r="G256" t="str">
        <f>IFERROR(INDEX(tblData[ФО],MATCH(ROWS($F$2:tblData[[#This Row],[Индекс2]]),tblData[Индекс2],0)),"")</f>
        <v/>
      </c>
    </row>
    <row r="257" spans="2:7" x14ac:dyDescent="0.3">
      <c r="B257" s="265" t="b">
        <f>NOT(ISERROR(SEARCH(FILLING!$D$11,tblData[[#This Row],[ФО]])))</f>
        <v>0</v>
      </c>
      <c r="C257" s="265" t="str">
        <f>IF(tblData[[#This Row],[Статус]],COUNTIF($B$2:tblData[[#This Row],[Статус]],TRUE),"")</f>
        <v/>
      </c>
      <c r="D257" s="266" t="str">
        <f>IFERROR(INDEX(tblData[ФО],MATCH(ROWS($C$2:tblData[[#This Row],[Индекс]]),tblData[Индекс],0)),"")</f>
        <v/>
      </c>
      <c r="E257" t="b">
        <f>NOT(ISERROR(SEARCH(FILLING!$D$15,tblData[[#This Row],[ФО]])))</f>
        <v>0</v>
      </c>
      <c r="F257" s="264" t="str">
        <f>IF(tblData[[#This Row],[Статус2]],COUNTIF($E$2:tblData[[#This Row],[Статус2]],TRUE),"")</f>
        <v/>
      </c>
      <c r="G257" t="str">
        <f>IFERROR(INDEX(tblData[ФО],MATCH(ROWS($F$2:tblData[[#This Row],[Индекс2]]),tblData[Индекс2],0)),"")</f>
        <v/>
      </c>
    </row>
    <row r="258" spans="2:7" x14ac:dyDescent="0.3">
      <c r="B258" s="265" t="b">
        <f>NOT(ISERROR(SEARCH(FILLING!$D$11,tblData[[#This Row],[ФО]])))</f>
        <v>0</v>
      </c>
      <c r="C258" s="265" t="str">
        <f>IF(tblData[[#This Row],[Статус]],COUNTIF($B$2:tblData[[#This Row],[Статус]],TRUE),"")</f>
        <v/>
      </c>
      <c r="D258" s="266" t="str">
        <f>IFERROR(INDEX(tblData[ФО],MATCH(ROWS($C$2:tblData[[#This Row],[Индекс]]),tblData[Индекс],0)),"")</f>
        <v/>
      </c>
      <c r="E258" t="b">
        <f>NOT(ISERROR(SEARCH(FILLING!$D$15,tblData[[#This Row],[ФО]])))</f>
        <v>0</v>
      </c>
      <c r="F258" s="264" t="str">
        <f>IF(tblData[[#This Row],[Статус2]],COUNTIF($E$2:tblData[[#This Row],[Статус2]],TRUE),"")</f>
        <v/>
      </c>
      <c r="G258" t="str">
        <f>IFERROR(INDEX(tblData[ФО],MATCH(ROWS($F$2:tblData[[#This Row],[Индекс2]]),tblData[Индекс2],0)),"")</f>
        <v/>
      </c>
    </row>
    <row r="259" spans="2:7" x14ac:dyDescent="0.3">
      <c r="B259" s="265" t="b">
        <f>NOT(ISERROR(SEARCH(FILLING!$D$11,tblData[[#This Row],[ФО]])))</f>
        <v>0</v>
      </c>
      <c r="C259" s="265" t="str">
        <f>IF(tblData[[#This Row],[Статус]],COUNTIF($B$2:tblData[[#This Row],[Статус]],TRUE),"")</f>
        <v/>
      </c>
      <c r="D259" s="266" t="str">
        <f>IFERROR(INDEX(tblData[ФО],MATCH(ROWS($C$2:tblData[[#This Row],[Индекс]]),tblData[Индекс],0)),"")</f>
        <v/>
      </c>
      <c r="E259" t="b">
        <f>NOT(ISERROR(SEARCH(FILLING!$D$15,tblData[[#This Row],[ФО]])))</f>
        <v>0</v>
      </c>
      <c r="F259" s="264" t="str">
        <f>IF(tblData[[#This Row],[Статус2]],COUNTIF($E$2:tblData[[#This Row],[Статус2]],TRUE),"")</f>
        <v/>
      </c>
      <c r="G259" t="str">
        <f>IFERROR(INDEX(tblData[ФО],MATCH(ROWS($F$2:tblData[[#This Row],[Индекс2]]),tblData[Индекс2],0)),"")</f>
        <v/>
      </c>
    </row>
    <row r="260" spans="2:7" x14ac:dyDescent="0.3">
      <c r="B260" s="265" t="b">
        <f>NOT(ISERROR(SEARCH(FILLING!$D$11,tblData[[#This Row],[ФО]])))</f>
        <v>0</v>
      </c>
      <c r="C260" s="265" t="str">
        <f>IF(tblData[[#This Row],[Статус]],COUNTIF($B$2:tblData[[#This Row],[Статус]],TRUE),"")</f>
        <v/>
      </c>
      <c r="D260" s="266" t="str">
        <f>IFERROR(INDEX(tblData[ФО],MATCH(ROWS($C$2:tblData[[#This Row],[Индекс]]),tblData[Индекс],0)),"")</f>
        <v/>
      </c>
      <c r="E260" t="b">
        <f>NOT(ISERROR(SEARCH(FILLING!$D$15,tblData[[#This Row],[ФО]])))</f>
        <v>0</v>
      </c>
      <c r="F260" s="264" t="str">
        <f>IF(tblData[[#This Row],[Статус2]],COUNTIF($E$2:tblData[[#This Row],[Статус2]],TRUE),"")</f>
        <v/>
      </c>
      <c r="G260" t="str">
        <f>IFERROR(INDEX(tblData[ФО],MATCH(ROWS($F$2:tblData[[#This Row],[Индекс2]]),tblData[Индекс2],0)),"")</f>
        <v/>
      </c>
    </row>
    <row r="261" spans="2:7" x14ac:dyDescent="0.3">
      <c r="B261" s="265" t="b">
        <f>NOT(ISERROR(SEARCH(FILLING!$D$11,tblData[[#This Row],[ФО]])))</f>
        <v>0</v>
      </c>
      <c r="C261" s="265" t="str">
        <f>IF(tblData[[#This Row],[Статус]],COUNTIF($B$2:tblData[[#This Row],[Статус]],TRUE),"")</f>
        <v/>
      </c>
      <c r="D261" s="266" t="str">
        <f>IFERROR(INDEX(tblData[ФО],MATCH(ROWS($C$2:tblData[[#This Row],[Индекс]]),tblData[Индекс],0)),"")</f>
        <v/>
      </c>
      <c r="E261" t="b">
        <f>NOT(ISERROR(SEARCH(FILLING!$D$15,tblData[[#This Row],[ФО]])))</f>
        <v>0</v>
      </c>
      <c r="F261" s="264" t="str">
        <f>IF(tblData[[#This Row],[Статус2]],COUNTIF($E$2:tblData[[#This Row],[Статус2]],TRUE),"")</f>
        <v/>
      </c>
      <c r="G261" t="str">
        <f>IFERROR(INDEX(tblData[ФО],MATCH(ROWS($F$2:tblData[[#This Row],[Индекс2]]),tblData[Индекс2],0)),"")</f>
        <v/>
      </c>
    </row>
    <row r="262" spans="2:7" x14ac:dyDescent="0.3">
      <c r="B262" s="265" t="b">
        <f>NOT(ISERROR(SEARCH(FILLING!$D$11,tblData[[#This Row],[ФО]])))</f>
        <v>0</v>
      </c>
      <c r="C262" s="265" t="str">
        <f>IF(tblData[[#This Row],[Статус]],COUNTIF($B$2:tblData[[#This Row],[Статус]],TRUE),"")</f>
        <v/>
      </c>
      <c r="D262" s="266" t="str">
        <f>IFERROR(INDEX(tblData[ФО],MATCH(ROWS($C$2:tblData[[#This Row],[Индекс]]),tblData[Индекс],0)),"")</f>
        <v/>
      </c>
      <c r="E262" t="b">
        <f>NOT(ISERROR(SEARCH(FILLING!$D$15,tblData[[#This Row],[ФО]])))</f>
        <v>0</v>
      </c>
      <c r="F262" s="264" t="str">
        <f>IF(tblData[[#This Row],[Статус2]],COUNTIF($E$2:tblData[[#This Row],[Статус2]],TRUE),"")</f>
        <v/>
      </c>
      <c r="G262" t="str">
        <f>IFERROR(INDEX(tblData[ФО],MATCH(ROWS($F$2:tblData[[#This Row],[Индекс2]]),tblData[Индекс2],0)),"")</f>
        <v/>
      </c>
    </row>
    <row r="263" spans="2:7" x14ac:dyDescent="0.3">
      <c r="B263" s="265" t="b">
        <f>NOT(ISERROR(SEARCH(FILLING!$D$11,tblData[[#This Row],[ФО]])))</f>
        <v>0</v>
      </c>
      <c r="C263" s="265" t="str">
        <f>IF(tblData[[#This Row],[Статус]],COUNTIF($B$2:tblData[[#This Row],[Статус]],TRUE),"")</f>
        <v/>
      </c>
      <c r="D263" s="266" t="str">
        <f>IFERROR(INDEX(tblData[ФО],MATCH(ROWS($C$2:tblData[[#This Row],[Индекс]]),tblData[Индекс],0)),"")</f>
        <v/>
      </c>
      <c r="E263" t="b">
        <f>NOT(ISERROR(SEARCH(FILLING!$D$15,tblData[[#This Row],[ФО]])))</f>
        <v>0</v>
      </c>
      <c r="F263" s="264" t="str">
        <f>IF(tblData[[#This Row],[Статус2]],COUNTIF($E$2:tblData[[#This Row],[Статус2]],TRUE),"")</f>
        <v/>
      </c>
      <c r="G263" t="str">
        <f>IFERROR(INDEX(tblData[ФО],MATCH(ROWS($F$2:tblData[[#This Row],[Индекс2]]),tblData[Индекс2],0)),"")</f>
        <v/>
      </c>
    </row>
    <row r="264" spans="2:7" x14ac:dyDescent="0.3">
      <c r="B264" s="265" t="b">
        <f>NOT(ISERROR(SEARCH(FILLING!$D$11,tblData[[#This Row],[ФО]])))</f>
        <v>0</v>
      </c>
      <c r="C264" s="265" t="str">
        <f>IF(tblData[[#This Row],[Статус]],COUNTIF($B$2:tblData[[#This Row],[Статус]],TRUE),"")</f>
        <v/>
      </c>
      <c r="D264" s="266" t="str">
        <f>IFERROR(INDEX(tblData[ФО],MATCH(ROWS($C$2:tblData[[#This Row],[Индекс]]),tblData[Индекс],0)),"")</f>
        <v/>
      </c>
      <c r="E264" t="b">
        <f>NOT(ISERROR(SEARCH(FILLING!$D$15,tblData[[#This Row],[ФО]])))</f>
        <v>0</v>
      </c>
      <c r="F264" s="264" t="str">
        <f>IF(tblData[[#This Row],[Статус2]],COUNTIF($E$2:tblData[[#This Row],[Статус2]],TRUE),"")</f>
        <v/>
      </c>
      <c r="G264" t="str">
        <f>IFERROR(INDEX(tblData[ФО],MATCH(ROWS($F$2:tblData[[#This Row],[Индекс2]]),tblData[Индекс2],0)),"")</f>
        <v/>
      </c>
    </row>
    <row r="265" spans="2:7" x14ac:dyDescent="0.3">
      <c r="B265" s="265" t="b">
        <f>NOT(ISERROR(SEARCH(FILLING!$D$11,tblData[[#This Row],[ФО]])))</f>
        <v>0</v>
      </c>
      <c r="C265" s="265" t="str">
        <f>IF(tblData[[#This Row],[Статус]],COUNTIF($B$2:tblData[[#This Row],[Статус]],TRUE),"")</f>
        <v/>
      </c>
      <c r="D265" s="266" t="str">
        <f>IFERROR(INDEX(tblData[ФО],MATCH(ROWS($C$2:tblData[[#This Row],[Индекс]]),tblData[Индекс],0)),"")</f>
        <v/>
      </c>
      <c r="E265" t="b">
        <f>NOT(ISERROR(SEARCH(FILLING!$D$15,tblData[[#This Row],[ФО]])))</f>
        <v>0</v>
      </c>
      <c r="F265" s="264" t="str">
        <f>IF(tblData[[#This Row],[Статус2]],COUNTIF($E$2:tblData[[#This Row],[Статус2]],TRUE),"")</f>
        <v/>
      </c>
      <c r="G265" t="str">
        <f>IFERROR(INDEX(tblData[ФО],MATCH(ROWS($F$2:tblData[[#This Row],[Индекс2]]),tblData[Индекс2],0)),"")</f>
        <v/>
      </c>
    </row>
    <row r="266" spans="2:7" x14ac:dyDescent="0.3">
      <c r="B266" s="265" t="b">
        <f>NOT(ISERROR(SEARCH(FILLING!$D$11,tblData[[#This Row],[ФО]])))</f>
        <v>0</v>
      </c>
      <c r="C266" s="265" t="str">
        <f>IF(tblData[[#This Row],[Статус]],COUNTIF($B$2:tblData[[#This Row],[Статус]],TRUE),"")</f>
        <v/>
      </c>
      <c r="D266" s="266" t="str">
        <f>IFERROR(INDEX(tblData[ФО],MATCH(ROWS($C$2:tblData[[#This Row],[Индекс]]),tblData[Индекс],0)),"")</f>
        <v/>
      </c>
      <c r="E266" t="b">
        <f>NOT(ISERROR(SEARCH(FILLING!$D$15,tblData[[#This Row],[ФО]])))</f>
        <v>0</v>
      </c>
      <c r="F266" s="264" t="str">
        <f>IF(tblData[[#This Row],[Статус2]],COUNTIF($E$2:tblData[[#This Row],[Статус2]],TRUE),"")</f>
        <v/>
      </c>
      <c r="G266" t="str">
        <f>IFERROR(INDEX(tblData[ФО],MATCH(ROWS($F$2:tblData[[#This Row],[Индекс2]]),tblData[Индекс2],0)),"")</f>
        <v/>
      </c>
    </row>
    <row r="267" spans="2:7" x14ac:dyDescent="0.3">
      <c r="B267" s="265" t="b">
        <f>NOT(ISERROR(SEARCH(FILLING!$D$11,tblData[[#This Row],[ФО]])))</f>
        <v>0</v>
      </c>
      <c r="C267" s="265" t="str">
        <f>IF(tblData[[#This Row],[Статус]],COUNTIF($B$2:tblData[[#This Row],[Статус]],TRUE),"")</f>
        <v/>
      </c>
      <c r="D267" s="266" t="str">
        <f>IFERROR(INDEX(tblData[ФО],MATCH(ROWS($C$2:tblData[[#This Row],[Индекс]]),tblData[Индекс],0)),"")</f>
        <v/>
      </c>
      <c r="E267" t="b">
        <f>NOT(ISERROR(SEARCH(FILLING!$D$15,tblData[[#This Row],[ФО]])))</f>
        <v>0</v>
      </c>
      <c r="F267" s="264" t="str">
        <f>IF(tblData[[#This Row],[Статус2]],COUNTIF($E$2:tblData[[#This Row],[Статус2]],TRUE),"")</f>
        <v/>
      </c>
      <c r="G267" t="str">
        <f>IFERROR(INDEX(tblData[ФО],MATCH(ROWS($F$2:tblData[[#This Row],[Индекс2]]),tblData[Индекс2],0)),"")</f>
        <v/>
      </c>
    </row>
    <row r="268" spans="2:7" x14ac:dyDescent="0.3">
      <c r="B268" s="265" t="b">
        <f>NOT(ISERROR(SEARCH(FILLING!$D$11,tblData[[#This Row],[ФО]])))</f>
        <v>0</v>
      </c>
      <c r="C268" s="265" t="str">
        <f>IF(tblData[[#This Row],[Статус]],COUNTIF($B$2:tblData[[#This Row],[Статус]],TRUE),"")</f>
        <v/>
      </c>
      <c r="D268" s="266" t="str">
        <f>IFERROR(INDEX(tblData[ФО],MATCH(ROWS($C$2:tblData[[#This Row],[Индекс]]),tblData[Индекс],0)),"")</f>
        <v/>
      </c>
      <c r="E268" t="b">
        <f>NOT(ISERROR(SEARCH(FILLING!$D$15,tblData[[#This Row],[ФО]])))</f>
        <v>0</v>
      </c>
      <c r="F268" s="264" t="str">
        <f>IF(tblData[[#This Row],[Статус2]],COUNTIF($E$2:tblData[[#This Row],[Статус2]],TRUE),"")</f>
        <v/>
      </c>
      <c r="G268" t="str">
        <f>IFERROR(INDEX(tblData[ФО],MATCH(ROWS($F$2:tblData[[#This Row],[Индекс2]]),tblData[Индекс2],0)),"")</f>
        <v/>
      </c>
    </row>
    <row r="269" spans="2:7" x14ac:dyDescent="0.3">
      <c r="B269" s="265" t="b">
        <f>NOT(ISERROR(SEARCH(FILLING!$D$11,tblData[[#This Row],[ФО]])))</f>
        <v>0</v>
      </c>
      <c r="C269" s="265" t="str">
        <f>IF(tblData[[#This Row],[Статус]],COUNTIF($B$2:tblData[[#This Row],[Статус]],TRUE),"")</f>
        <v/>
      </c>
      <c r="D269" s="266" t="str">
        <f>IFERROR(INDEX(tblData[ФО],MATCH(ROWS($C$2:tblData[[#This Row],[Индекс]]),tblData[Индекс],0)),"")</f>
        <v/>
      </c>
      <c r="E269" t="b">
        <f>NOT(ISERROR(SEARCH(FILLING!$D$15,tblData[[#This Row],[ФО]])))</f>
        <v>0</v>
      </c>
      <c r="F269" s="264" t="str">
        <f>IF(tblData[[#This Row],[Статус2]],COUNTIF($E$2:tblData[[#This Row],[Статус2]],TRUE),"")</f>
        <v/>
      </c>
      <c r="G269" t="str">
        <f>IFERROR(INDEX(tblData[ФО],MATCH(ROWS($F$2:tblData[[#This Row],[Индекс2]]),tblData[Индекс2],0)),"")</f>
        <v/>
      </c>
    </row>
    <row r="270" spans="2:7" x14ac:dyDescent="0.3">
      <c r="B270" s="265" t="b">
        <f>NOT(ISERROR(SEARCH(FILLING!$D$11,tblData[[#This Row],[ФО]])))</f>
        <v>0</v>
      </c>
      <c r="C270" s="265" t="str">
        <f>IF(tblData[[#This Row],[Статус]],COUNTIF($B$2:tblData[[#This Row],[Статус]],TRUE),"")</f>
        <v/>
      </c>
      <c r="D270" s="266" t="str">
        <f>IFERROR(INDEX(tblData[ФО],MATCH(ROWS($C$2:tblData[[#This Row],[Индекс]]),tblData[Индекс],0)),"")</f>
        <v/>
      </c>
      <c r="E270" t="b">
        <f>NOT(ISERROR(SEARCH(FILLING!$D$15,tblData[[#This Row],[ФО]])))</f>
        <v>0</v>
      </c>
      <c r="F270" s="264" t="str">
        <f>IF(tblData[[#This Row],[Статус2]],COUNTIF($E$2:tblData[[#This Row],[Статус2]],TRUE),"")</f>
        <v/>
      </c>
      <c r="G270" t="str">
        <f>IFERROR(INDEX(tblData[ФО],MATCH(ROWS($F$2:tblData[[#This Row],[Индекс2]]),tblData[Индекс2],0)),"")</f>
        <v/>
      </c>
    </row>
    <row r="271" spans="2:7" x14ac:dyDescent="0.3">
      <c r="B271" s="265" t="b">
        <f>NOT(ISERROR(SEARCH(FILLING!$D$11,tblData[[#This Row],[ФО]])))</f>
        <v>0</v>
      </c>
      <c r="C271" s="265" t="str">
        <f>IF(tblData[[#This Row],[Статус]],COUNTIF($B$2:tblData[[#This Row],[Статус]],TRUE),"")</f>
        <v/>
      </c>
      <c r="D271" s="266" t="str">
        <f>IFERROR(INDEX(tblData[ФО],MATCH(ROWS($C$2:tblData[[#This Row],[Индекс]]),tblData[Индекс],0)),"")</f>
        <v/>
      </c>
      <c r="E271" t="b">
        <f>NOT(ISERROR(SEARCH(FILLING!$D$15,tblData[[#This Row],[ФО]])))</f>
        <v>0</v>
      </c>
      <c r="F271" s="264" t="str">
        <f>IF(tblData[[#This Row],[Статус2]],COUNTIF($E$2:tblData[[#This Row],[Статус2]],TRUE),"")</f>
        <v/>
      </c>
      <c r="G271" t="str">
        <f>IFERROR(INDEX(tblData[ФО],MATCH(ROWS($F$2:tblData[[#This Row],[Индекс2]]),tblData[Индекс2],0)),"")</f>
        <v/>
      </c>
    </row>
    <row r="272" spans="2:7" x14ac:dyDescent="0.3">
      <c r="B272" s="265" t="b">
        <f>NOT(ISERROR(SEARCH(FILLING!$D$11,tblData[[#This Row],[ФО]])))</f>
        <v>0</v>
      </c>
      <c r="C272" s="265" t="str">
        <f>IF(tblData[[#This Row],[Статус]],COUNTIF($B$2:tblData[[#This Row],[Статус]],TRUE),"")</f>
        <v/>
      </c>
      <c r="D272" s="266" t="str">
        <f>IFERROR(INDEX(tblData[ФО],MATCH(ROWS($C$2:tblData[[#This Row],[Индекс]]),tblData[Индекс],0)),"")</f>
        <v/>
      </c>
      <c r="E272" t="b">
        <f>NOT(ISERROR(SEARCH(FILLING!$D$15,tblData[[#This Row],[ФО]])))</f>
        <v>0</v>
      </c>
      <c r="F272" s="264" t="str">
        <f>IF(tblData[[#This Row],[Статус2]],COUNTIF($E$2:tblData[[#This Row],[Статус2]],TRUE),"")</f>
        <v/>
      </c>
      <c r="G272" t="str">
        <f>IFERROR(INDEX(tblData[ФО],MATCH(ROWS($F$2:tblData[[#This Row],[Индекс2]]),tblData[Индекс2],0)),"")</f>
        <v/>
      </c>
    </row>
    <row r="273" spans="2:7" x14ac:dyDescent="0.3">
      <c r="B273" s="265" t="b">
        <f>NOT(ISERROR(SEARCH(FILLING!$D$11,tblData[[#This Row],[ФО]])))</f>
        <v>0</v>
      </c>
      <c r="C273" s="265" t="str">
        <f>IF(tblData[[#This Row],[Статус]],COUNTIF($B$2:tblData[[#This Row],[Статус]],TRUE),"")</f>
        <v/>
      </c>
      <c r="D273" s="266" t="str">
        <f>IFERROR(INDEX(tblData[ФО],MATCH(ROWS($C$2:tblData[[#This Row],[Индекс]]),tblData[Индекс],0)),"")</f>
        <v/>
      </c>
      <c r="E273" t="b">
        <f>NOT(ISERROR(SEARCH(FILLING!$D$15,tblData[[#This Row],[ФО]])))</f>
        <v>0</v>
      </c>
      <c r="F273" s="264" t="str">
        <f>IF(tblData[[#This Row],[Статус2]],COUNTIF($E$2:tblData[[#This Row],[Статус2]],TRUE),"")</f>
        <v/>
      </c>
      <c r="G273" t="str">
        <f>IFERROR(INDEX(tblData[ФО],MATCH(ROWS($F$2:tblData[[#This Row],[Индекс2]]),tblData[Индекс2],0)),"")</f>
        <v/>
      </c>
    </row>
    <row r="274" spans="2:7" x14ac:dyDescent="0.3">
      <c r="B274" s="265" t="b">
        <f>NOT(ISERROR(SEARCH(FILLING!$D$11,tblData[[#This Row],[ФО]])))</f>
        <v>0</v>
      </c>
      <c r="C274" s="265" t="str">
        <f>IF(tblData[[#This Row],[Статус]],COUNTIF($B$2:tblData[[#This Row],[Статус]],TRUE),"")</f>
        <v/>
      </c>
      <c r="D274" s="266" t="str">
        <f>IFERROR(INDEX(tblData[ФО],MATCH(ROWS($C$2:tblData[[#This Row],[Индекс]]),tblData[Индекс],0)),"")</f>
        <v/>
      </c>
      <c r="E274" t="b">
        <f>NOT(ISERROR(SEARCH(FILLING!$D$15,tblData[[#This Row],[ФО]])))</f>
        <v>0</v>
      </c>
      <c r="F274" s="264" t="str">
        <f>IF(tblData[[#This Row],[Статус2]],COUNTIF($E$2:tblData[[#This Row],[Статус2]],TRUE),"")</f>
        <v/>
      </c>
      <c r="G274" t="str">
        <f>IFERROR(INDEX(tblData[ФО],MATCH(ROWS($F$2:tblData[[#This Row],[Индекс2]]),tblData[Индекс2],0)),"")</f>
        <v/>
      </c>
    </row>
    <row r="275" spans="2:7" x14ac:dyDescent="0.3">
      <c r="B275" s="265" t="b">
        <f>NOT(ISERROR(SEARCH(FILLING!$D$11,tblData[[#This Row],[ФО]])))</f>
        <v>0</v>
      </c>
      <c r="C275" s="265" t="str">
        <f>IF(tblData[[#This Row],[Статус]],COUNTIF($B$2:tblData[[#This Row],[Статус]],TRUE),"")</f>
        <v/>
      </c>
      <c r="D275" s="266" t="str">
        <f>IFERROR(INDEX(tblData[ФО],MATCH(ROWS($C$2:tblData[[#This Row],[Индекс]]),tblData[Индекс],0)),"")</f>
        <v/>
      </c>
      <c r="E275" t="b">
        <f>NOT(ISERROR(SEARCH(FILLING!$D$15,tblData[[#This Row],[ФО]])))</f>
        <v>0</v>
      </c>
      <c r="F275" s="264" t="str">
        <f>IF(tblData[[#This Row],[Статус2]],COUNTIF($E$2:tblData[[#This Row],[Статус2]],TRUE),"")</f>
        <v/>
      </c>
      <c r="G275" t="str">
        <f>IFERROR(INDEX(tblData[ФО],MATCH(ROWS($F$2:tblData[[#This Row],[Индекс2]]),tblData[Индекс2],0)),"")</f>
        <v/>
      </c>
    </row>
    <row r="276" spans="2:7" x14ac:dyDescent="0.3">
      <c r="B276" s="265" t="b">
        <f>NOT(ISERROR(SEARCH(FILLING!$D$11,tblData[[#This Row],[ФО]])))</f>
        <v>0</v>
      </c>
      <c r="C276" s="265" t="str">
        <f>IF(tblData[[#This Row],[Статус]],COUNTIF($B$2:tblData[[#This Row],[Статус]],TRUE),"")</f>
        <v/>
      </c>
      <c r="D276" s="266" t="str">
        <f>IFERROR(INDEX(tblData[ФО],MATCH(ROWS($C$2:tblData[[#This Row],[Индекс]]),tblData[Индекс],0)),"")</f>
        <v/>
      </c>
      <c r="E276" t="b">
        <f>NOT(ISERROR(SEARCH(FILLING!$D$15,tblData[[#This Row],[ФО]])))</f>
        <v>0</v>
      </c>
      <c r="F276" s="264" t="str">
        <f>IF(tblData[[#This Row],[Статус2]],COUNTIF($E$2:tblData[[#This Row],[Статус2]],TRUE),"")</f>
        <v/>
      </c>
      <c r="G276" t="str">
        <f>IFERROR(INDEX(tblData[ФО],MATCH(ROWS($F$2:tblData[[#This Row],[Индекс2]]),tblData[Индекс2],0)),"")</f>
        <v/>
      </c>
    </row>
    <row r="277" spans="2:7" x14ac:dyDescent="0.3">
      <c r="B277" s="265" t="b">
        <f>NOT(ISERROR(SEARCH(FILLING!$D$11,tblData[[#This Row],[ФО]])))</f>
        <v>0</v>
      </c>
      <c r="C277" s="265" t="str">
        <f>IF(tblData[[#This Row],[Статус]],COUNTIF($B$2:tblData[[#This Row],[Статус]],TRUE),"")</f>
        <v/>
      </c>
      <c r="D277" s="266" t="str">
        <f>IFERROR(INDEX(tblData[ФО],MATCH(ROWS($C$2:tblData[[#This Row],[Индекс]]),tblData[Индекс],0)),"")</f>
        <v/>
      </c>
      <c r="E277" t="b">
        <f>NOT(ISERROR(SEARCH(FILLING!$D$15,tblData[[#This Row],[ФО]])))</f>
        <v>0</v>
      </c>
      <c r="F277" s="264" t="str">
        <f>IF(tblData[[#This Row],[Статус2]],COUNTIF($E$2:tblData[[#This Row],[Статус2]],TRUE),"")</f>
        <v/>
      </c>
      <c r="G277" t="str">
        <f>IFERROR(INDEX(tblData[ФО],MATCH(ROWS($F$2:tblData[[#This Row],[Индекс2]]),tblData[Индекс2],0)),"")</f>
        <v/>
      </c>
    </row>
    <row r="278" spans="2:7" x14ac:dyDescent="0.3">
      <c r="B278" s="265" t="b">
        <f>NOT(ISERROR(SEARCH(FILLING!$D$11,tblData[[#This Row],[ФО]])))</f>
        <v>0</v>
      </c>
      <c r="C278" s="265" t="str">
        <f>IF(tblData[[#This Row],[Статус]],COUNTIF($B$2:tblData[[#This Row],[Статус]],TRUE),"")</f>
        <v/>
      </c>
      <c r="D278" s="266" t="str">
        <f>IFERROR(INDEX(tblData[ФО],MATCH(ROWS($C$2:tblData[[#This Row],[Индекс]]),tblData[Индекс],0)),"")</f>
        <v/>
      </c>
      <c r="E278" t="b">
        <f>NOT(ISERROR(SEARCH(FILLING!$D$15,tblData[[#This Row],[ФО]])))</f>
        <v>0</v>
      </c>
      <c r="F278" s="264" t="str">
        <f>IF(tblData[[#This Row],[Статус2]],COUNTIF($E$2:tblData[[#This Row],[Статус2]],TRUE),"")</f>
        <v/>
      </c>
      <c r="G278" t="str">
        <f>IFERROR(INDEX(tblData[ФО],MATCH(ROWS($F$2:tblData[[#This Row],[Индекс2]]),tblData[Индекс2],0)),"")</f>
        <v/>
      </c>
    </row>
    <row r="279" spans="2:7" x14ac:dyDescent="0.3">
      <c r="B279" s="265" t="b">
        <f>NOT(ISERROR(SEARCH(FILLING!$D$11,tblData[[#This Row],[ФО]])))</f>
        <v>0</v>
      </c>
      <c r="C279" s="265" t="str">
        <f>IF(tblData[[#This Row],[Статус]],COUNTIF($B$2:tblData[[#This Row],[Статус]],TRUE),"")</f>
        <v/>
      </c>
      <c r="D279" s="266" t="str">
        <f>IFERROR(INDEX(tblData[ФО],MATCH(ROWS($C$2:tblData[[#This Row],[Индекс]]),tblData[Индекс],0)),"")</f>
        <v/>
      </c>
      <c r="E279" t="b">
        <f>NOT(ISERROR(SEARCH(FILLING!$D$15,tblData[[#This Row],[ФО]])))</f>
        <v>0</v>
      </c>
      <c r="F279" s="264" t="str">
        <f>IF(tblData[[#This Row],[Статус2]],COUNTIF($E$2:tblData[[#This Row],[Статус2]],TRUE),"")</f>
        <v/>
      </c>
      <c r="G279" t="str">
        <f>IFERROR(INDEX(tblData[ФО],MATCH(ROWS($F$2:tblData[[#This Row],[Индекс2]]),tblData[Индекс2],0)),"")</f>
        <v/>
      </c>
    </row>
    <row r="280" spans="2:7" x14ac:dyDescent="0.3">
      <c r="B280" s="265" t="b">
        <f>NOT(ISERROR(SEARCH(FILLING!$D$11,tblData[[#This Row],[ФО]])))</f>
        <v>0</v>
      </c>
      <c r="C280" s="265" t="str">
        <f>IF(tblData[[#This Row],[Статус]],COUNTIF($B$2:tblData[[#This Row],[Статус]],TRUE),"")</f>
        <v/>
      </c>
      <c r="D280" s="266" t="str">
        <f>IFERROR(INDEX(tblData[ФО],MATCH(ROWS($C$2:tblData[[#This Row],[Индекс]]),tblData[Индекс],0)),"")</f>
        <v/>
      </c>
      <c r="E280" t="b">
        <f>NOT(ISERROR(SEARCH(FILLING!$D$15,tblData[[#This Row],[ФО]])))</f>
        <v>0</v>
      </c>
      <c r="F280" s="264" t="str">
        <f>IF(tblData[[#This Row],[Статус2]],COUNTIF($E$2:tblData[[#This Row],[Статус2]],TRUE),"")</f>
        <v/>
      </c>
      <c r="G280" t="str">
        <f>IFERROR(INDEX(tblData[ФО],MATCH(ROWS($F$2:tblData[[#This Row],[Индекс2]]),tblData[Индекс2],0)),"")</f>
        <v/>
      </c>
    </row>
    <row r="281" spans="2:7" x14ac:dyDescent="0.3">
      <c r="B281" s="265" t="b">
        <f>NOT(ISERROR(SEARCH(FILLING!$D$11,tblData[[#This Row],[ФО]])))</f>
        <v>0</v>
      </c>
      <c r="C281" s="265" t="str">
        <f>IF(tblData[[#This Row],[Статус]],COUNTIF($B$2:tblData[[#This Row],[Статус]],TRUE),"")</f>
        <v/>
      </c>
      <c r="D281" s="266" t="str">
        <f>IFERROR(INDEX(tblData[ФО],MATCH(ROWS($C$2:tblData[[#This Row],[Индекс]]),tblData[Индекс],0)),"")</f>
        <v/>
      </c>
      <c r="E281" t="b">
        <f>NOT(ISERROR(SEARCH(FILLING!$D$15,tblData[[#This Row],[ФО]])))</f>
        <v>0</v>
      </c>
      <c r="F281" s="264" t="str">
        <f>IF(tblData[[#This Row],[Статус2]],COUNTIF($E$2:tblData[[#This Row],[Статус2]],TRUE),"")</f>
        <v/>
      </c>
      <c r="G281" t="str">
        <f>IFERROR(INDEX(tblData[ФО],MATCH(ROWS($F$2:tblData[[#This Row],[Индекс2]]),tblData[Индекс2],0)),"")</f>
        <v/>
      </c>
    </row>
    <row r="282" spans="2:7" x14ac:dyDescent="0.3">
      <c r="B282" s="265" t="b">
        <f>NOT(ISERROR(SEARCH(FILLING!$D$11,tblData[[#This Row],[ФО]])))</f>
        <v>0</v>
      </c>
      <c r="C282" s="265" t="str">
        <f>IF(tblData[[#This Row],[Статус]],COUNTIF($B$2:tblData[[#This Row],[Статус]],TRUE),"")</f>
        <v/>
      </c>
      <c r="D282" s="266" t="str">
        <f>IFERROR(INDEX(tblData[ФО],MATCH(ROWS($C$2:tblData[[#This Row],[Индекс]]),tblData[Индекс],0)),"")</f>
        <v/>
      </c>
      <c r="E282" t="b">
        <f>NOT(ISERROR(SEARCH(FILLING!$D$15,tblData[[#This Row],[ФО]])))</f>
        <v>0</v>
      </c>
      <c r="F282" s="264" t="str">
        <f>IF(tblData[[#This Row],[Статус2]],COUNTIF($E$2:tblData[[#This Row],[Статус2]],TRUE),"")</f>
        <v/>
      </c>
      <c r="G282" t="str">
        <f>IFERROR(INDEX(tblData[ФО],MATCH(ROWS($F$2:tblData[[#This Row],[Индекс2]]),tblData[Индекс2],0)),"")</f>
        <v/>
      </c>
    </row>
    <row r="283" spans="2:7" x14ac:dyDescent="0.3">
      <c r="B283" s="265" t="b">
        <f>NOT(ISERROR(SEARCH(FILLING!$D$11,tblData[[#This Row],[ФО]])))</f>
        <v>0</v>
      </c>
      <c r="C283" s="265" t="str">
        <f>IF(tblData[[#This Row],[Статус]],COUNTIF($B$2:tblData[[#This Row],[Статус]],TRUE),"")</f>
        <v/>
      </c>
      <c r="D283" s="266" t="str">
        <f>IFERROR(INDEX(tblData[ФО],MATCH(ROWS($C$2:tblData[[#This Row],[Индекс]]),tblData[Индекс],0)),"")</f>
        <v/>
      </c>
      <c r="E283" t="b">
        <f>NOT(ISERROR(SEARCH(FILLING!$D$15,tblData[[#This Row],[ФО]])))</f>
        <v>0</v>
      </c>
      <c r="F283" s="264" t="str">
        <f>IF(tblData[[#This Row],[Статус2]],COUNTIF($E$2:tblData[[#This Row],[Статус2]],TRUE),"")</f>
        <v/>
      </c>
      <c r="G283" t="str">
        <f>IFERROR(INDEX(tblData[ФО],MATCH(ROWS($F$2:tblData[[#This Row],[Индекс2]]),tblData[Индекс2],0)),"")</f>
        <v/>
      </c>
    </row>
    <row r="284" spans="2:7" x14ac:dyDescent="0.3">
      <c r="B284" s="265" t="b">
        <f>NOT(ISERROR(SEARCH(FILLING!$D$11,tblData[[#This Row],[ФО]])))</f>
        <v>0</v>
      </c>
      <c r="C284" s="265" t="str">
        <f>IF(tblData[[#This Row],[Статус]],COUNTIF($B$2:tblData[[#This Row],[Статус]],TRUE),"")</f>
        <v/>
      </c>
      <c r="D284" s="266" t="str">
        <f>IFERROR(INDEX(tblData[ФО],MATCH(ROWS($C$2:tblData[[#This Row],[Индекс]]),tblData[Индекс],0)),"")</f>
        <v/>
      </c>
      <c r="E284" t="b">
        <f>NOT(ISERROR(SEARCH(FILLING!$D$15,tblData[[#This Row],[ФО]])))</f>
        <v>0</v>
      </c>
      <c r="F284" s="264" t="str">
        <f>IF(tblData[[#This Row],[Статус2]],COUNTIF($E$2:tblData[[#This Row],[Статус2]],TRUE),"")</f>
        <v/>
      </c>
      <c r="G284" t="str">
        <f>IFERROR(INDEX(tblData[ФО],MATCH(ROWS($F$2:tblData[[#This Row],[Индекс2]]),tblData[Индекс2],0)),"")</f>
        <v/>
      </c>
    </row>
    <row r="285" spans="2:7" x14ac:dyDescent="0.3">
      <c r="B285" s="265" t="b">
        <f>NOT(ISERROR(SEARCH(FILLING!$D$11,tblData[[#This Row],[ФО]])))</f>
        <v>0</v>
      </c>
      <c r="C285" s="265" t="str">
        <f>IF(tblData[[#This Row],[Статус]],COUNTIF($B$2:tblData[[#This Row],[Статус]],TRUE),"")</f>
        <v/>
      </c>
      <c r="D285" s="266" t="str">
        <f>IFERROR(INDEX(tblData[ФО],MATCH(ROWS($C$2:tblData[[#This Row],[Индекс]]),tblData[Индекс],0)),"")</f>
        <v/>
      </c>
      <c r="E285" t="b">
        <f>NOT(ISERROR(SEARCH(FILLING!$D$15,tblData[[#This Row],[ФО]])))</f>
        <v>0</v>
      </c>
      <c r="F285" s="264" t="str">
        <f>IF(tblData[[#This Row],[Статус2]],COUNTIF($E$2:tblData[[#This Row],[Статус2]],TRUE),"")</f>
        <v/>
      </c>
      <c r="G285" t="str">
        <f>IFERROR(INDEX(tblData[ФО],MATCH(ROWS($F$2:tblData[[#This Row],[Индекс2]]),tblData[Индекс2],0)),"")</f>
        <v/>
      </c>
    </row>
    <row r="286" spans="2:7" x14ac:dyDescent="0.3">
      <c r="B286" s="265" t="b">
        <f>NOT(ISERROR(SEARCH(FILLING!$D$11,tblData[[#This Row],[ФО]])))</f>
        <v>0</v>
      </c>
      <c r="C286" s="265" t="str">
        <f>IF(tblData[[#This Row],[Статус]],COUNTIF($B$2:tblData[[#This Row],[Статус]],TRUE),"")</f>
        <v/>
      </c>
      <c r="D286" s="266" t="str">
        <f>IFERROR(INDEX(tblData[ФО],MATCH(ROWS($C$2:tblData[[#This Row],[Индекс]]),tblData[Индекс],0)),"")</f>
        <v/>
      </c>
      <c r="E286" t="b">
        <f>NOT(ISERROR(SEARCH(FILLING!$D$15,tblData[[#This Row],[ФО]])))</f>
        <v>0</v>
      </c>
      <c r="F286" s="264" t="str">
        <f>IF(tblData[[#This Row],[Статус2]],COUNTIF($E$2:tblData[[#This Row],[Статус2]],TRUE),"")</f>
        <v/>
      </c>
      <c r="G286" t="str">
        <f>IFERROR(INDEX(tblData[ФО],MATCH(ROWS($F$2:tblData[[#This Row],[Индекс2]]),tblData[Индекс2],0)),"")</f>
        <v/>
      </c>
    </row>
    <row r="287" spans="2:7" x14ac:dyDescent="0.3">
      <c r="B287" s="265" t="b">
        <f>NOT(ISERROR(SEARCH(FILLING!$D$11,tblData[[#This Row],[ФО]])))</f>
        <v>0</v>
      </c>
      <c r="C287" s="265" t="str">
        <f>IF(tblData[[#This Row],[Статус]],COUNTIF($B$2:tblData[[#This Row],[Статус]],TRUE),"")</f>
        <v/>
      </c>
      <c r="D287" s="266" t="str">
        <f>IFERROR(INDEX(tblData[ФО],MATCH(ROWS($C$2:tblData[[#This Row],[Индекс]]),tblData[Индекс],0)),"")</f>
        <v/>
      </c>
      <c r="E287" t="b">
        <f>NOT(ISERROR(SEARCH(FILLING!$D$15,tblData[[#This Row],[ФО]])))</f>
        <v>0</v>
      </c>
      <c r="F287" s="264" t="str">
        <f>IF(tblData[[#This Row],[Статус2]],COUNTIF($E$2:tblData[[#This Row],[Статус2]],TRUE),"")</f>
        <v/>
      </c>
      <c r="G287" t="str">
        <f>IFERROR(INDEX(tblData[ФО],MATCH(ROWS($F$2:tblData[[#This Row],[Индекс2]]),tblData[Индекс2],0)),"")</f>
        <v/>
      </c>
    </row>
    <row r="288" spans="2:7" x14ac:dyDescent="0.3">
      <c r="B288" s="265" t="b">
        <f>NOT(ISERROR(SEARCH(FILLING!$D$11,tblData[[#This Row],[ФО]])))</f>
        <v>0</v>
      </c>
      <c r="C288" s="265" t="str">
        <f>IF(tblData[[#This Row],[Статус]],COUNTIF($B$2:tblData[[#This Row],[Статус]],TRUE),"")</f>
        <v/>
      </c>
      <c r="D288" s="266" t="str">
        <f>IFERROR(INDEX(tblData[ФО],MATCH(ROWS($C$2:tblData[[#This Row],[Индекс]]),tblData[Индекс],0)),"")</f>
        <v/>
      </c>
      <c r="E288" t="b">
        <f>NOT(ISERROR(SEARCH(FILLING!$D$15,tblData[[#This Row],[ФО]])))</f>
        <v>0</v>
      </c>
      <c r="F288" s="264" t="str">
        <f>IF(tblData[[#This Row],[Статус2]],COUNTIF($E$2:tblData[[#This Row],[Статус2]],TRUE),"")</f>
        <v/>
      </c>
      <c r="G288" t="str">
        <f>IFERROR(INDEX(tblData[ФО],MATCH(ROWS($F$2:tblData[[#This Row],[Индекс2]]),tblData[Индекс2],0)),"")</f>
        <v/>
      </c>
    </row>
    <row r="289" spans="2:7" x14ac:dyDescent="0.3">
      <c r="B289" s="265" t="b">
        <f>NOT(ISERROR(SEARCH(FILLING!$D$11,tblData[[#This Row],[ФО]])))</f>
        <v>0</v>
      </c>
      <c r="C289" s="265" t="str">
        <f>IF(tblData[[#This Row],[Статус]],COUNTIF($B$2:tblData[[#This Row],[Статус]],TRUE),"")</f>
        <v/>
      </c>
      <c r="D289" s="266" t="str">
        <f>IFERROR(INDEX(tblData[ФО],MATCH(ROWS($C$2:tblData[[#This Row],[Индекс]]),tblData[Индекс],0)),"")</f>
        <v/>
      </c>
      <c r="E289" t="b">
        <f>NOT(ISERROR(SEARCH(FILLING!$D$15,tblData[[#This Row],[ФО]])))</f>
        <v>0</v>
      </c>
      <c r="F289" s="264" t="str">
        <f>IF(tblData[[#This Row],[Статус2]],COUNTIF($E$2:tblData[[#This Row],[Статус2]],TRUE),"")</f>
        <v/>
      </c>
      <c r="G289" t="str">
        <f>IFERROR(INDEX(tblData[ФО],MATCH(ROWS($F$2:tblData[[#This Row],[Индекс2]]),tblData[Индекс2],0)),"")</f>
        <v/>
      </c>
    </row>
    <row r="290" spans="2:7" x14ac:dyDescent="0.3">
      <c r="B290" s="265" t="b">
        <f>NOT(ISERROR(SEARCH(FILLING!$D$11,tblData[[#This Row],[ФО]])))</f>
        <v>0</v>
      </c>
      <c r="C290" s="265" t="str">
        <f>IF(tblData[[#This Row],[Статус]],COUNTIF($B$2:tblData[[#This Row],[Статус]],TRUE),"")</f>
        <v/>
      </c>
      <c r="D290" s="266" t="str">
        <f>IFERROR(INDEX(tblData[ФО],MATCH(ROWS($C$2:tblData[[#This Row],[Индекс]]),tblData[Индекс],0)),"")</f>
        <v/>
      </c>
      <c r="E290" t="b">
        <f>NOT(ISERROR(SEARCH(FILLING!$D$15,tblData[[#This Row],[ФО]])))</f>
        <v>0</v>
      </c>
      <c r="F290" s="264" t="str">
        <f>IF(tblData[[#This Row],[Статус2]],COUNTIF($E$2:tblData[[#This Row],[Статус2]],TRUE),"")</f>
        <v/>
      </c>
      <c r="G290" t="str">
        <f>IFERROR(INDEX(tblData[ФО],MATCH(ROWS($F$2:tblData[[#This Row],[Индекс2]]),tblData[Индекс2],0)),"")</f>
        <v/>
      </c>
    </row>
    <row r="291" spans="2:7" x14ac:dyDescent="0.3">
      <c r="B291" s="265" t="b">
        <f>NOT(ISERROR(SEARCH(FILLING!$D$11,tblData[[#This Row],[ФО]])))</f>
        <v>0</v>
      </c>
      <c r="C291" s="265" t="str">
        <f>IF(tblData[[#This Row],[Статус]],COUNTIF($B$2:tblData[[#This Row],[Статус]],TRUE),"")</f>
        <v/>
      </c>
      <c r="D291" s="266" t="str">
        <f>IFERROR(INDEX(tblData[ФО],MATCH(ROWS($C$2:tblData[[#This Row],[Индекс]]),tblData[Индекс],0)),"")</f>
        <v/>
      </c>
      <c r="E291" t="b">
        <f>NOT(ISERROR(SEARCH(FILLING!$D$15,tblData[[#This Row],[ФО]])))</f>
        <v>0</v>
      </c>
      <c r="F291" s="264" t="str">
        <f>IF(tblData[[#This Row],[Статус2]],COUNTIF($E$2:tblData[[#This Row],[Статус2]],TRUE),"")</f>
        <v/>
      </c>
      <c r="G291" t="str">
        <f>IFERROR(INDEX(tblData[ФО],MATCH(ROWS($F$2:tblData[[#This Row],[Индекс2]]),tblData[Индекс2],0)),"")</f>
        <v/>
      </c>
    </row>
    <row r="292" spans="2:7" x14ac:dyDescent="0.3">
      <c r="B292" s="265" t="b">
        <f>NOT(ISERROR(SEARCH(FILLING!$D$11,tblData[[#This Row],[ФО]])))</f>
        <v>0</v>
      </c>
      <c r="C292" s="265" t="str">
        <f>IF(tblData[[#This Row],[Статус]],COUNTIF($B$2:tblData[[#This Row],[Статус]],TRUE),"")</f>
        <v/>
      </c>
      <c r="D292" s="266" t="str">
        <f>IFERROR(INDEX(tblData[ФО],MATCH(ROWS($C$2:tblData[[#This Row],[Индекс]]),tblData[Индекс],0)),"")</f>
        <v/>
      </c>
      <c r="E292" t="b">
        <f>NOT(ISERROR(SEARCH(FILLING!$D$15,tblData[[#This Row],[ФО]])))</f>
        <v>0</v>
      </c>
      <c r="F292" s="264" t="str">
        <f>IF(tblData[[#This Row],[Статус2]],COUNTIF($E$2:tblData[[#This Row],[Статус2]],TRUE),"")</f>
        <v/>
      </c>
      <c r="G292" t="str">
        <f>IFERROR(INDEX(tblData[ФО],MATCH(ROWS($F$2:tblData[[#This Row],[Индекс2]]),tblData[Индекс2],0)),"")</f>
        <v/>
      </c>
    </row>
    <row r="293" spans="2:7" x14ac:dyDescent="0.3">
      <c r="B293" s="265" t="b">
        <f>NOT(ISERROR(SEARCH(FILLING!$D$11,tblData[[#This Row],[ФО]])))</f>
        <v>0</v>
      </c>
      <c r="C293" s="265" t="str">
        <f>IF(tblData[[#This Row],[Статус]],COUNTIF($B$2:tblData[[#This Row],[Статус]],TRUE),"")</f>
        <v/>
      </c>
      <c r="D293" s="266" t="str">
        <f>IFERROR(INDEX(tblData[ФО],MATCH(ROWS($C$2:tblData[[#This Row],[Индекс]]),tblData[Индекс],0)),"")</f>
        <v/>
      </c>
      <c r="E293" t="b">
        <f>NOT(ISERROR(SEARCH(FILLING!$D$15,tblData[[#This Row],[ФО]])))</f>
        <v>0</v>
      </c>
      <c r="F293" s="264" t="str">
        <f>IF(tblData[[#This Row],[Статус2]],COUNTIF($E$2:tblData[[#This Row],[Статус2]],TRUE),"")</f>
        <v/>
      </c>
      <c r="G293" t="str">
        <f>IFERROR(INDEX(tblData[ФО],MATCH(ROWS($F$2:tblData[[#This Row],[Индекс2]]),tblData[Индекс2],0)),"")</f>
        <v/>
      </c>
    </row>
    <row r="294" spans="2:7" x14ac:dyDescent="0.3">
      <c r="B294" s="265" t="b">
        <f>NOT(ISERROR(SEARCH(FILLING!$D$11,tblData[[#This Row],[ФО]])))</f>
        <v>0</v>
      </c>
      <c r="C294" s="265" t="str">
        <f>IF(tblData[[#This Row],[Статус]],COUNTIF($B$2:tblData[[#This Row],[Статус]],TRUE),"")</f>
        <v/>
      </c>
      <c r="D294" s="266" t="str">
        <f>IFERROR(INDEX(tblData[ФО],MATCH(ROWS($C$2:tblData[[#This Row],[Индекс]]),tblData[Индекс],0)),"")</f>
        <v/>
      </c>
      <c r="E294" t="b">
        <f>NOT(ISERROR(SEARCH(FILLING!$D$15,tblData[[#This Row],[ФО]])))</f>
        <v>0</v>
      </c>
      <c r="F294" s="264" t="str">
        <f>IF(tblData[[#This Row],[Статус2]],COUNTIF($E$2:tblData[[#This Row],[Статус2]],TRUE),"")</f>
        <v/>
      </c>
      <c r="G294" t="str">
        <f>IFERROR(INDEX(tblData[ФО],MATCH(ROWS($F$2:tblData[[#This Row],[Индекс2]]),tblData[Индекс2],0)),"")</f>
        <v/>
      </c>
    </row>
    <row r="295" spans="2:7" x14ac:dyDescent="0.3">
      <c r="B295" s="265" t="b">
        <f>NOT(ISERROR(SEARCH(FILLING!$D$11,tblData[[#This Row],[ФО]])))</f>
        <v>0</v>
      </c>
      <c r="C295" s="265" t="str">
        <f>IF(tblData[[#This Row],[Статус]],COUNTIF($B$2:tblData[[#This Row],[Статус]],TRUE),"")</f>
        <v/>
      </c>
      <c r="D295" s="266" t="str">
        <f>IFERROR(INDEX(tblData[ФО],MATCH(ROWS($C$2:tblData[[#This Row],[Индекс]]),tblData[Индекс],0)),"")</f>
        <v/>
      </c>
      <c r="E295" t="b">
        <f>NOT(ISERROR(SEARCH(FILLING!$D$15,tblData[[#This Row],[ФО]])))</f>
        <v>0</v>
      </c>
      <c r="F295" s="264" t="str">
        <f>IF(tblData[[#This Row],[Статус2]],COUNTIF($E$2:tblData[[#This Row],[Статус2]],TRUE),"")</f>
        <v/>
      </c>
      <c r="G295" t="str">
        <f>IFERROR(INDEX(tblData[ФО],MATCH(ROWS($F$2:tblData[[#This Row],[Индекс2]]),tblData[Индекс2],0)),"")</f>
        <v/>
      </c>
    </row>
    <row r="296" spans="2:7" x14ac:dyDescent="0.3">
      <c r="B296" s="265" t="b">
        <f>NOT(ISERROR(SEARCH(FILLING!$D$11,tblData[[#This Row],[ФО]])))</f>
        <v>0</v>
      </c>
      <c r="C296" s="265" t="str">
        <f>IF(tblData[[#This Row],[Статус]],COUNTIF($B$2:tblData[[#This Row],[Статус]],TRUE),"")</f>
        <v/>
      </c>
      <c r="D296" s="266" t="str">
        <f>IFERROR(INDEX(tblData[ФО],MATCH(ROWS($C$2:tblData[[#This Row],[Индекс]]),tblData[Индекс],0)),"")</f>
        <v/>
      </c>
      <c r="E296" t="b">
        <f>NOT(ISERROR(SEARCH(FILLING!$D$15,tblData[[#This Row],[ФО]])))</f>
        <v>0</v>
      </c>
      <c r="F296" s="264" t="str">
        <f>IF(tblData[[#This Row],[Статус2]],COUNTIF($E$2:tblData[[#This Row],[Статус2]],TRUE),"")</f>
        <v/>
      </c>
      <c r="G296" t="str">
        <f>IFERROR(INDEX(tblData[ФО],MATCH(ROWS($F$2:tblData[[#This Row],[Индекс2]]),tblData[Индекс2],0)),"")</f>
        <v/>
      </c>
    </row>
    <row r="297" spans="2:7" x14ac:dyDescent="0.3">
      <c r="B297" s="265" t="b">
        <f>NOT(ISERROR(SEARCH(FILLING!$D$11,tblData[[#This Row],[ФО]])))</f>
        <v>0</v>
      </c>
      <c r="C297" s="265" t="str">
        <f>IF(tblData[[#This Row],[Статус]],COUNTIF($B$2:tblData[[#This Row],[Статус]],TRUE),"")</f>
        <v/>
      </c>
      <c r="D297" s="266" t="str">
        <f>IFERROR(INDEX(tblData[ФО],MATCH(ROWS($C$2:tblData[[#This Row],[Индекс]]),tblData[Индекс],0)),"")</f>
        <v/>
      </c>
      <c r="E297" t="b">
        <f>NOT(ISERROR(SEARCH(FILLING!$D$15,tblData[[#This Row],[ФО]])))</f>
        <v>0</v>
      </c>
      <c r="F297" s="264" t="str">
        <f>IF(tblData[[#This Row],[Статус2]],COUNTIF($E$2:tblData[[#This Row],[Статус2]],TRUE),"")</f>
        <v/>
      </c>
      <c r="G297" t="str">
        <f>IFERROR(INDEX(tblData[ФО],MATCH(ROWS($F$2:tblData[[#This Row],[Индекс2]]),tblData[Индекс2],0)),"")</f>
        <v/>
      </c>
    </row>
    <row r="298" spans="2:7" x14ac:dyDescent="0.3">
      <c r="B298" s="265" t="b">
        <f>NOT(ISERROR(SEARCH(FILLING!$D$11,tblData[[#This Row],[ФО]])))</f>
        <v>0</v>
      </c>
      <c r="C298" s="265" t="str">
        <f>IF(tblData[[#This Row],[Статус]],COUNTIF($B$2:tblData[[#This Row],[Статус]],TRUE),"")</f>
        <v/>
      </c>
      <c r="D298" s="266" t="str">
        <f>IFERROR(INDEX(tblData[ФО],MATCH(ROWS($C$2:tblData[[#This Row],[Индекс]]),tblData[Индекс],0)),"")</f>
        <v/>
      </c>
      <c r="E298" t="b">
        <f>NOT(ISERROR(SEARCH(FILLING!$D$15,tblData[[#This Row],[ФО]])))</f>
        <v>0</v>
      </c>
      <c r="F298" s="264" t="str">
        <f>IF(tblData[[#This Row],[Статус2]],COUNTIF($E$2:tblData[[#This Row],[Статус2]],TRUE),"")</f>
        <v/>
      </c>
      <c r="G298" t="str">
        <f>IFERROR(INDEX(tblData[ФО],MATCH(ROWS($F$2:tblData[[#This Row],[Индекс2]]),tblData[Индекс2],0)),"")</f>
        <v/>
      </c>
    </row>
    <row r="299" spans="2:7" x14ac:dyDescent="0.3">
      <c r="B299" s="265" t="b">
        <f>NOT(ISERROR(SEARCH(FILLING!$D$11,tblData[[#This Row],[ФО]])))</f>
        <v>0</v>
      </c>
      <c r="C299" s="265" t="str">
        <f>IF(tblData[[#This Row],[Статус]],COUNTIF($B$2:tblData[[#This Row],[Статус]],TRUE),"")</f>
        <v/>
      </c>
      <c r="D299" s="266" t="str">
        <f>IFERROR(INDEX(tblData[ФО],MATCH(ROWS($C$2:tblData[[#This Row],[Индекс]]),tblData[Индекс],0)),"")</f>
        <v/>
      </c>
      <c r="E299" t="b">
        <f>NOT(ISERROR(SEARCH(FILLING!$D$15,tblData[[#This Row],[ФО]])))</f>
        <v>0</v>
      </c>
      <c r="F299" s="264" t="str">
        <f>IF(tblData[[#This Row],[Статус2]],COUNTIF($E$2:tblData[[#This Row],[Статус2]],TRUE),"")</f>
        <v/>
      </c>
      <c r="G299" t="str">
        <f>IFERROR(INDEX(tblData[ФО],MATCH(ROWS($F$2:tblData[[#This Row],[Индекс2]]),tblData[Индекс2],0)),"")</f>
        <v/>
      </c>
    </row>
    <row r="300" spans="2:7" x14ac:dyDescent="0.3">
      <c r="B300" s="265" t="b">
        <f>NOT(ISERROR(SEARCH(FILLING!$D$11,tblData[[#This Row],[ФО]])))</f>
        <v>0</v>
      </c>
      <c r="C300" s="265" t="str">
        <f>IF(tblData[[#This Row],[Статус]],COUNTIF($B$2:tblData[[#This Row],[Статус]],TRUE),"")</f>
        <v/>
      </c>
      <c r="D300" s="266" t="str">
        <f>IFERROR(INDEX(tblData[ФО],MATCH(ROWS($C$2:tblData[[#This Row],[Индекс]]),tblData[Индекс],0)),"")</f>
        <v/>
      </c>
      <c r="E300" t="b">
        <f>NOT(ISERROR(SEARCH(FILLING!$D$15,tblData[[#This Row],[ФО]])))</f>
        <v>0</v>
      </c>
      <c r="F300" s="264" t="str">
        <f>IF(tblData[[#This Row],[Статус2]],COUNTIF($E$2:tblData[[#This Row],[Статус2]],TRUE),"")</f>
        <v/>
      </c>
      <c r="G300" t="str">
        <f>IFERROR(INDEX(tblData[ФО],MATCH(ROWS($F$2:tblData[[#This Row],[Индекс2]]),tblData[Индекс2],0)),"")</f>
        <v/>
      </c>
    </row>
    <row r="301" spans="2:7" x14ac:dyDescent="0.3">
      <c r="B301" s="265" t="b">
        <f>NOT(ISERROR(SEARCH(FILLING!$D$11,tblData[[#This Row],[ФО]])))</f>
        <v>0</v>
      </c>
      <c r="C301" s="265" t="str">
        <f>IF(tblData[[#This Row],[Статус]],COUNTIF($B$2:tblData[[#This Row],[Статус]],TRUE),"")</f>
        <v/>
      </c>
      <c r="D301" s="266" t="str">
        <f>IFERROR(INDEX(tblData[ФО],MATCH(ROWS($C$2:tblData[[#This Row],[Индекс]]),tblData[Индекс],0)),"")</f>
        <v/>
      </c>
      <c r="E301" t="b">
        <f>NOT(ISERROR(SEARCH(FILLING!$D$15,tblData[[#This Row],[ФО]])))</f>
        <v>0</v>
      </c>
      <c r="F301" s="264" t="str">
        <f>IF(tblData[[#This Row],[Статус2]],COUNTIF($E$2:tblData[[#This Row],[Статус2]],TRUE),"")</f>
        <v/>
      </c>
      <c r="G301" t="str">
        <f>IFERROR(INDEX(tblData[ФО],MATCH(ROWS($F$2:tblData[[#This Row],[Индекс2]]),tblData[Индекс2],0)),"")</f>
        <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64"/>
  <sheetViews>
    <sheetView workbookViewId="0">
      <selection activeCell="D54" sqref="D54"/>
    </sheetView>
  </sheetViews>
  <sheetFormatPr defaultRowHeight="13.2" x14ac:dyDescent="0.3"/>
  <cols>
    <col min="1" max="5" width="16.6640625" style="1330" customWidth="1"/>
    <col min="6" max="6" width="52.6640625" style="1330" customWidth="1"/>
    <col min="7" max="7" width="9.109375" style="1330"/>
    <col min="8" max="8" width="18.33203125" style="1330" customWidth="1"/>
    <col min="9" max="256" width="9.109375" style="1330"/>
    <col min="257" max="261" width="16.6640625" style="1330" customWidth="1"/>
    <col min="262" max="262" width="52.6640625" style="1330" customWidth="1"/>
    <col min="263" max="263" width="9.109375" style="1330"/>
    <col min="264" max="264" width="18.33203125" style="1330" customWidth="1"/>
    <col min="265" max="512" width="9.109375" style="1330"/>
    <col min="513" max="517" width="16.6640625" style="1330" customWidth="1"/>
    <col min="518" max="518" width="52.6640625" style="1330" customWidth="1"/>
    <col min="519" max="519" width="9.109375" style="1330"/>
    <col min="520" max="520" width="18.33203125" style="1330" customWidth="1"/>
    <col min="521" max="768" width="9.109375" style="1330"/>
    <col min="769" max="773" width="16.6640625" style="1330" customWidth="1"/>
    <col min="774" max="774" width="52.6640625" style="1330" customWidth="1"/>
    <col min="775" max="775" width="9.109375" style="1330"/>
    <col min="776" max="776" width="18.33203125" style="1330" customWidth="1"/>
    <col min="777" max="1024" width="9.109375" style="1330"/>
    <col min="1025" max="1029" width="16.6640625" style="1330" customWidth="1"/>
    <col min="1030" max="1030" width="52.6640625" style="1330" customWidth="1"/>
    <col min="1031" max="1031" width="9.109375" style="1330"/>
    <col min="1032" max="1032" width="18.33203125" style="1330" customWidth="1"/>
    <col min="1033" max="1280" width="9.109375" style="1330"/>
    <col min="1281" max="1285" width="16.6640625" style="1330" customWidth="1"/>
    <col min="1286" max="1286" width="52.6640625" style="1330" customWidth="1"/>
    <col min="1287" max="1287" width="9.109375" style="1330"/>
    <col min="1288" max="1288" width="18.33203125" style="1330" customWidth="1"/>
    <col min="1289" max="1536" width="9.109375" style="1330"/>
    <col min="1537" max="1541" width="16.6640625" style="1330" customWidth="1"/>
    <col min="1542" max="1542" width="52.6640625" style="1330" customWidth="1"/>
    <col min="1543" max="1543" width="9.109375" style="1330"/>
    <col min="1544" max="1544" width="18.33203125" style="1330" customWidth="1"/>
    <col min="1545" max="1792" width="9.109375" style="1330"/>
    <col min="1793" max="1797" width="16.6640625" style="1330" customWidth="1"/>
    <col min="1798" max="1798" width="52.6640625" style="1330" customWidth="1"/>
    <col min="1799" max="1799" width="9.109375" style="1330"/>
    <col min="1800" max="1800" width="18.33203125" style="1330" customWidth="1"/>
    <col min="1801" max="2048" width="9.109375" style="1330"/>
    <col min="2049" max="2053" width="16.6640625" style="1330" customWidth="1"/>
    <col min="2054" max="2054" width="52.6640625" style="1330" customWidth="1"/>
    <col min="2055" max="2055" width="9.109375" style="1330"/>
    <col min="2056" max="2056" width="18.33203125" style="1330" customWidth="1"/>
    <col min="2057" max="2304" width="9.109375" style="1330"/>
    <col min="2305" max="2309" width="16.6640625" style="1330" customWidth="1"/>
    <col min="2310" max="2310" width="52.6640625" style="1330" customWidth="1"/>
    <col min="2311" max="2311" width="9.109375" style="1330"/>
    <col min="2312" max="2312" width="18.33203125" style="1330" customWidth="1"/>
    <col min="2313" max="2560" width="9.109375" style="1330"/>
    <col min="2561" max="2565" width="16.6640625" style="1330" customWidth="1"/>
    <col min="2566" max="2566" width="52.6640625" style="1330" customWidth="1"/>
    <col min="2567" max="2567" width="9.109375" style="1330"/>
    <col min="2568" max="2568" width="18.33203125" style="1330" customWidth="1"/>
    <col min="2569" max="2816" width="9.109375" style="1330"/>
    <col min="2817" max="2821" width="16.6640625" style="1330" customWidth="1"/>
    <col min="2822" max="2822" width="52.6640625" style="1330" customWidth="1"/>
    <col min="2823" max="2823" width="9.109375" style="1330"/>
    <col min="2824" max="2824" width="18.33203125" style="1330" customWidth="1"/>
    <col min="2825" max="3072" width="9.109375" style="1330"/>
    <col min="3073" max="3077" width="16.6640625" style="1330" customWidth="1"/>
    <col min="3078" max="3078" width="52.6640625" style="1330" customWidth="1"/>
    <col min="3079" max="3079" width="9.109375" style="1330"/>
    <col min="3080" max="3080" width="18.33203125" style="1330" customWidth="1"/>
    <col min="3081" max="3328" width="9.109375" style="1330"/>
    <col min="3329" max="3333" width="16.6640625" style="1330" customWidth="1"/>
    <col min="3334" max="3334" width="52.6640625" style="1330" customWidth="1"/>
    <col min="3335" max="3335" width="9.109375" style="1330"/>
    <col min="3336" max="3336" width="18.33203125" style="1330" customWidth="1"/>
    <col min="3337" max="3584" width="9.109375" style="1330"/>
    <col min="3585" max="3589" width="16.6640625" style="1330" customWidth="1"/>
    <col min="3590" max="3590" width="52.6640625" style="1330" customWidth="1"/>
    <col min="3591" max="3591" width="9.109375" style="1330"/>
    <col min="3592" max="3592" width="18.33203125" style="1330" customWidth="1"/>
    <col min="3593" max="3840" width="9.109375" style="1330"/>
    <col min="3841" max="3845" width="16.6640625" style="1330" customWidth="1"/>
    <col min="3846" max="3846" width="52.6640625" style="1330" customWidth="1"/>
    <col min="3847" max="3847" width="9.109375" style="1330"/>
    <col min="3848" max="3848" width="18.33203125" style="1330" customWidth="1"/>
    <col min="3849" max="4096" width="9.109375" style="1330"/>
    <col min="4097" max="4101" width="16.6640625" style="1330" customWidth="1"/>
    <col min="4102" max="4102" width="52.6640625" style="1330" customWidth="1"/>
    <col min="4103" max="4103" width="9.109375" style="1330"/>
    <col min="4104" max="4104" width="18.33203125" style="1330" customWidth="1"/>
    <col min="4105" max="4352" width="9.109375" style="1330"/>
    <col min="4353" max="4357" width="16.6640625" style="1330" customWidth="1"/>
    <col min="4358" max="4358" width="52.6640625" style="1330" customWidth="1"/>
    <col min="4359" max="4359" width="9.109375" style="1330"/>
    <col min="4360" max="4360" width="18.33203125" style="1330" customWidth="1"/>
    <col min="4361" max="4608" width="9.109375" style="1330"/>
    <col min="4609" max="4613" width="16.6640625" style="1330" customWidth="1"/>
    <col min="4614" max="4614" width="52.6640625" style="1330" customWidth="1"/>
    <col min="4615" max="4615" width="9.109375" style="1330"/>
    <col min="4616" max="4616" width="18.33203125" style="1330" customWidth="1"/>
    <col min="4617" max="4864" width="9.109375" style="1330"/>
    <col min="4865" max="4869" width="16.6640625" style="1330" customWidth="1"/>
    <col min="4870" max="4870" width="52.6640625" style="1330" customWidth="1"/>
    <col min="4871" max="4871" width="9.109375" style="1330"/>
    <col min="4872" max="4872" width="18.33203125" style="1330" customWidth="1"/>
    <col min="4873" max="5120" width="9.109375" style="1330"/>
    <col min="5121" max="5125" width="16.6640625" style="1330" customWidth="1"/>
    <col min="5126" max="5126" width="52.6640625" style="1330" customWidth="1"/>
    <col min="5127" max="5127" width="9.109375" style="1330"/>
    <col min="5128" max="5128" width="18.33203125" style="1330" customWidth="1"/>
    <col min="5129" max="5376" width="9.109375" style="1330"/>
    <col min="5377" max="5381" width="16.6640625" style="1330" customWidth="1"/>
    <col min="5382" max="5382" width="52.6640625" style="1330" customWidth="1"/>
    <col min="5383" max="5383" width="9.109375" style="1330"/>
    <col min="5384" max="5384" width="18.33203125" style="1330" customWidth="1"/>
    <col min="5385" max="5632" width="9.109375" style="1330"/>
    <col min="5633" max="5637" width="16.6640625" style="1330" customWidth="1"/>
    <col min="5638" max="5638" width="52.6640625" style="1330" customWidth="1"/>
    <col min="5639" max="5639" width="9.109375" style="1330"/>
    <col min="5640" max="5640" width="18.33203125" style="1330" customWidth="1"/>
    <col min="5641" max="5888" width="9.109375" style="1330"/>
    <col min="5889" max="5893" width="16.6640625" style="1330" customWidth="1"/>
    <col min="5894" max="5894" width="52.6640625" style="1330" customWidth="1"/>
    <col min="5895" max="5895" width="9.109375" style="1330"/>
    <col min="5896" max="5896" width="18.33203125" style="1330" customWidth="1"/>
    <col min="5897" max="6144" width="9.109375" style="1330"/>
    <col min="6145" max="6149" width="16.6640625" style="1330" customWidth="1"/>
    <col min="6150" max="6150" width="52.6640625" style="1330" customWidth="1"/>
    <col min="6151" max="6151" width="9.109375" style="1330"/>
    <col min="6152" max="6152" width="18.33203125" style="1330" customWidth="1"/>
    <col min="6153" max="6400" width="9.109375" style="1330"/>
    <col min="6401" max="6405" width="16.6640625" style="1330" customWidth="1"/>
    <col min="6406" max="6406" width="52.6640625" style="1330" customWidth="1"/>
    <col min="6407" max="6407" width="9.109375" style="1330"/>
    <col min="6408" max="6408" width="18.33203125" style="1330" customWidth="1"/>
    <col min="6409" max="6656" width="9.109375" style="1330"/>
    <col min="6657" max="6661" width="16.6640625" style="1330" customWidth="1"/>
    <col min="6662" max="6662" width="52.6640625" style="1330" customWidth="1"/>
    <col min="6663" max="6663" width="9.109375" style="1330"/>
    <col min="6664" max="6664" width="18.33203125" style="1330" customWidth="1"/>
    <col min="6665" max="6912" width="9.109375" style="1330"/>
    <col min="6913" max="6917" width="16.6640625" style="1330" customWidth="1"/>
    <col min="6918" max="6918" width="52.6640625" style="1330" customWidth="1"/>
    <col min="6919" max="6919" width="9.109375" style="1330"/>
    <col min="6920" max="6920" width="18.33203125" style="1330" customWidth="1"/>
    <col min="6921" max="7168" width="9.109375" style="1330"/>
    <col min="7169" max="7173" width="16.6640625" style="1330" customWidth="1"/>
    <col min="7174" max="7174" width="52.6640625" style="1330" customWidth="1"/>
    <col min="7175" max="7175" width="9.109375" style="1330"/>
    <col min="7176" max="7176" width="18.33203125" style="1330" customWidth="1"/>
    <col min="7177" max="7424" width="9.109375" style="1330"/>
    <col min="7425" max="7429" width="16.6640625" style="1330" customWidth="1"/>
    <col min="7430" max="7430" width="52.6640625" style="1330" customWidth="1"/>
    <col min="7431" max="7431" width="9.109375" style="1330"/>
    <col min="7432" max="7432" width="18.33203125" style="1330" customWidth="1"/>
    <col min="7433" max="7680" width="9.109375" style="1330"/>
    <col min="7681" max="7685" width="16.6640625" style="1330" customWidth="1"/>
    <col min="7686" max="7686" width="52.6640625" style="1330" customWidth="1"/>
    <col min="7687" max="7687" width="9.109375" style="1330"/>
    <col min="7688" max="7688" width="18.33203125" style="1330" customWidth="1"/>
    <col min="7689" max="7936" width="9.109375" style="1330"/>
    <col min="7937" max="7941" width="16.6640625" style="1330" customWidth="1"/>
    <col min="7942" max="7942" width="52.6640625" style="1330" customWidth="1"/>
    <col min="7943" max="7943" width="9.109375" style="1330"/>
    <col min="7944" max="7944" width="18.33203125" style="1330" customWidth="1"/>
    <col min="7945" max="8192" width="9.109375" style="1330"/>
    <col min="8193" max="8197" width="16.6640625" style="1330" customWidth="1"/>
    <col min="8198" max="8198" width="52.6640625" style="1330" customWidth="1"/>
    <col min="8199" max="8199" width="9.109375" style="1330"/>
    <col min="8200" max="8200" width="18.33203125" style="1330" customWidth="1"/>
    <col min="8201" max="8448" width="9.109375" style="1330"/>
    <col min="8449" max="8453" width="16.6640625" style="1330" customWidth="1"/>
    <col min="8454" max="8454" width="52.6640625" style="1330" customWidth="1"/>
    <col min="8455" max="8455" width="9.109375" style="1330"/>
    <col min="8456" max="8456" width="18.33203125" style="1330" customWidth="1"/>
    <col min="8457" max="8704" width="9.109375" style="1330"/>
    <col min="8705" max="8709" width="16.6640625" style="1330" customWidth="1"/>
    <col min="8710" max="8710" width="52.6640625" style="1330" customWidth="1"/>
    <col min="8711" max="8711" width="9.109375" style="1330"/>
    <col min="8712" max="8712" width="18.33203125" style="1330" customWidth="1"/>
    <col min="8713" max="8960" width="9.109375" style="1330"/>
    <col min="8961" max="8965" width="16.6640625" style="1330" customWidth="1"/>
    <col min="8966" max="8966" width="52.6640625" style="1330" customWidth="1"/>
    <col min="8967" max="8967" width="9.109375" style="1330"/>
    <col min="8968" max="8968" width="18.33203125" style="1330" customWidth="1"/>
    <col min="8969" max="9216" width="9.109375" style="1330"/>
    <col min="9217" max="9221" width="16.6640625" style="1330" customWidth="1"/>
    <col min="9222" max="9222" width="52.6640625" style="1330" customWidth="1"/>
    <col min="9223" max="9223" width="9.109375" style="1330"/>
    <col min="9224" max="9224" width="18.33203125" style="1330" customWidth="1"/>
    <col min="9225" max="9472" width="9.109375" style="1330"/>
    <col min="9473" max="9477" width="16.6640625" style="1330" customWidth="1"/>
    <col min="9478" max="9478" width="52.6640625" style="1330" customWidth="1"/>
    <col min="9479" max="9479" width="9.109375" style="1330"/>
    <col min="9480" max="9480" width="18.33203125" style="1330" customWidth="1"/>
    <col min="9481" max="9728" width="9.109375" style="1330"/>
    <col min="9729" max="9733" width="16.6640625" style="1330" customWidth="1"/>
    <col min="9734" max="9734" width="52.6640625" style="1330" customWidth="1"/>
    <col min="9735" max="9735" width="9.109375" style="1330"/>
    <col min="9736" max="9736" width="18.33203125" style="1330" customWidth="1"/>
    <col min="9737" max="9984" width="9.109375" style="1330"/>
    <col min="9985" max="9989" width="16.6640625" style="1330" customWidth="1"/>
    <col min="9990" max="9990" width="52.6640625" style="1330" customWidth="1"/>
    <col min="9991" max="9991" width="9.109375" style="1330"/>
    <col min="9992" max="9992" width="18.33203125" style="1330" customWidth="1"/>
    <col min="9993" max="10240" width="9.109375" style="1330"/>
    <col min="10241" max="10245" width="16.6640625" style="1330" customWidth="1"/>
    <col min="10246" max="10246" width="52.6640625" style="1330" customWidth="1"/>
    <col min="10247" max="10247" width="9.109375" style="1330"/>
    <col min="10248" max="10248" width="18.33203125" style="1330" customWidth="1"/>
    <col min="10249" max="10496" width="9.109375" style="1330"/>
    <col min="10497" max="10501" width="16.6640625" style="1330" customWidth="1"/>
    <col min="10502" max="10502" width="52.6640625" style="1330" customWidth="1"/>
    <col min="10503" max="10503" width="9.109375" style="1330"/>
    <col min="10504" max="10504" width="18.33203125" style="1330" customWidth="1"/>
    <col min="10505" max="10752" width="9.109375" style="1330"/>
    <col min="10753" max="10757" width="16.6640625" style="1330" customWidth="1"/>
    <col min="10758" max="10758" width="52.6640625" style="1330" customWidth="1"/>
    <col min="10759" max="10759" width="9.109375" style="1330"/>
    <col min="10760" max="10760" width="18.33203125" style="1330" customWidth="1"/>
    <col min="10761" max="11008" width="9.109375" style="1330"/>
    <col min="11009" max="11013" width="16.6640625" style="1330" customWidth="1"/>
    <col min="11014" max="11014" width="52.6640625" style="1330" customWidth="1"/>
    <col min="11015" max="11015" width="9.109375" style="1330"/>
    <col min="11016" max="11016" width="18.33203125" style="1330" customWidth="1"/>
    <col min="11017" max="11264" width="9.109375" style="1330"/>
    <col min="11265" max="11269" width="16.6640625" style="1330" customWidth="1"/>
    <col min="11270" max="11270" width="52.6640625" style="1330" customWidth="1"/>
    <col min="11271" max="11271" width="9.109375" style="1330"/>
    <col min="11272" max="11272" width="18.33203125" style="1330" customWidth="1"/>
    <col min="11273" max="11520" width="9.109375" style="1330"/>
    <col min="11521" max="11525" width="16.6640625" style="1330" customWidth="1"/>
    <col min="11526" max="11526" width="52.6640625" style="1330" customWidth="1"/>
    <col min="11527" max="11527" width="9.109375" style="1330"/>
    <col min="11528" max="11528" width="18.33203125" style="1330" customWidth="1"/>
    <col min="11529" max="11776" width="9.109375" style="1330"/>
    <col min="11777" max="11781" width="16.6640625" style="1330" customWidth="1"/>
    <col min="11782" max="11782" width="52.6640625" style="1330" customWidth="1"/>
    <col min="11783" max="11783" width="9.109375" style="1330"/>
    <col min="11784" max="11784" width="18.33203125" style="1330" customWidth="1"/>
    <col min="11785" max="12032" width="9.109375" style="1330"/>
    <col min="12033" max="12037" width="16.6640625" style="1330" customWidth="1"/>
    <col min="12038" max="12038" width="52.6640625" style="1330" customWidth="1"/>
    <col min="12039" max="12039" width="9.109375" style="1330"/>
    <col min="12040" max="12040" width="18.33203125" style="1330" customWidth="1"/>
    <col min="12041" max="12288" width="9.109375" style="1330"/>
    <col min="12289" max="12293" width="16.6640625" style="1330" customWidth="1"/>
    <col min="12294" max="12294" width="52.6640625" style="1330" customWidth="1"/>
    <col min="12295" max="12295" width="9.109375" style="1330"/>
    <col min="12296" max="12296" width="18.33203125" style="1330" customWidth="1"/>
    <col min="12297" max="12544" width="9.109375" style="1330"/>
    <col min="12545" max="12549" width="16.6640625" style="1330" customWidth="1"/>
    <col min="12550" max="12550" width="52.6640625" style="1330" customWidth="1"/>
    <col min="12551" max="12551" width="9.109375" style="1330"/>
    <col min="12552" max="12552" width="18.33203125" style="1330" customWidth="1"/>
    <col min="12553" max="12800" width="9.109375" style="1330"/>
    <col min="12801" max="12805" width="16.6640625" style="1330" customWidth="1"/>
    <col min="12806" max="12806" width="52.6640625" style="1330" customWidth="1"/>
    <col min="12807" max="12807" width="9.109375" style="1330"/>
    <col min="12808" max="12808" width="18.33203125" style="1330" customWidth="1"/>
    <col min="12809" max="13056" width="9.109375" style="1330"/>
    <col min="13057" max="13061" width="16.6640625" style="1330" customWidth="1"/>
    <col min="13062" max="13062" width="52.6640625" style="1330" customWidth="1"/>
    <col min="13063" max="13063" width="9.109375" style="1330"/>
    <col min="13064" max="13064" width="18.33203125" style="1330" customWidth="1"/>
    <col min="13065" max="13312" width="9.109375" style="1330"/>
    <col min="13313" max="13317" width="16.6640625" style="1330" customWidth="1"/>
    <col min="13318" max="13318" width="52.6640625" style="1330" customWidth="1"/>
    <col min="13319" max="13319" width="9.109375" style="1330"/>
    <col min="13320" max="13320" width="18.33203125" style="1330" customWidth="1"/>
    <col min="13321" max="13568" width="9.109375" style="1330"/>
    <col min="13569" max="13573" width="16.6640625" style="1330" customWidth="1"/>
    <col min="13574" max="13574" width="52.6640625" style="1330" customWidth="1"/>
    <col min="13575" max="13575" width="9.109375" style="1330"/>
    <col min="13576" max="13576" width="18.33203125" style="1330" customWidth="1"/>
    <col min="13577" max="13824" width="9.109375" style="1330"/>
    <col min="13825" max="13829" width="16.6640625" style="1330" customWidth="1"/>
    <col min="13830" max="13830" width="52.6640625" style="1330" customWidth="1"/>
    <col min="13831" max="13831" width="9.109375" style="1330"/>
    <col min="13832" max="13832" width="18.33203125" style="1330" customWidth="1"/>
    <col min="13833" max="14080" width="9.109375" style="1330"/>
    <col min="14081" max="14085" width="16.6640625" style="1330" customWidth="1"/>
    <col min="14086" max="14086" width="52.6640625" style="1330" customWidth="1"/>
    <col min="14087" max="14087" width="9.109375" style="1330"/>
    <col min="14088" max="14088" width="18.33203125" style="1330" customWidth="1"/>
    <col min="14089" max="14336" width="9.109375" style="1330"/>
    <col min="14337" max="14341" width="16.6640625" style="1330" customWidth="1"/>
    <col min="14342" max="14342" width="52.6640625" style="1330" customWidth="1"/>
    <col min="14343" max="14343" width="9.109375" style="1330"/>
    <col min="14344" max="14344" width="18.33203125" style="1330" customWidth="1"/>
    <col min="14345" max="14592" width="9.109375" style="1330"/>
    <col min="14593" max="14597" width="16.6640625" style="1330" customWidth="1"/>
    <col min="14598" max="14598" width="52.6640625" style="1330" customWidth="1"/>
    <col min="14599" max="14599" width="9.109375" style="1330"/>
    <col min="14600" max="14600" width="18.33203125" style="1330" customWidth="1"/>
    <col min="14601" max="14848" width="9.109375" style="1330"/>
    <col min="14849" max="14853" width="16.6640625" style="1330" customWidth="1"/>
    <col min="14854" max="14854" width="52.6640625" style="1330" customWidth="1"/>
    <col min="14855" max="14855" width="9.109375" style="1330"/>
    <col min="14856" max="14856" width="18.33203125" style="1330" customWidth="1"/>
    <col min="14857" max="15104" width="9.109375" style="1330"/>
    <col min="15105" max="15109" width="16.6640625" style="1330" customWidth="1"/>
    <col min="15110" max="15110" width="52.6640625" style="1330" customWidth="1"/>
    <col min="15111" max="15111" width="9.109375" style="1330"/>
    <col min="15112" max="15112" width="18.33203125" style="1330" customWidth="1"/>
    <col min="15113" max="15360" width="9.109375" style="1330"/>
    <col min="15361" max="15365" width="16.6640625" style="1330" customWidth="1"/>
    <col min="15366" max="15366" width="52.6640625" style="1330" customWidth="1"/>
    <col min="15367" max="15367" width="9.109375" style="1330"/>
    <col min="15368" max="15368" width="18.33203125" style="1330" customWidth="1"/>
    <col min="15369" max="15616" width="9.109375" style="1330"/>
    <col min="15617" max="15621" width="16.6640625" style="1330" customWidth="1"/>
    <col min="15622" max="15622" width="52.6640625" style="1330" customWidth="1"/>
    <col min="15623" max="15623" width="9.109375" style="1330"/>
    <col min="15624" max="15624" width="18.33203125" style="1330" customWidth="1"/>
    <col min="15625" max="15872" width="9.109375" style="1330"/>
    <col min="15873" max="15877" width="16.6640625" style="1330" customWidth="1"/>
    <col min="15878" max="15878" width="52.6640625" style="1330" customWidth="1"/>
    <col min="15879" max="15879" width="9.109375" style="1330"/>
    <col min="15880" max="15880" width="18.33203125" style="1330" customWidth="1"/>
    <col min="15881" max="16128" width="9.109375" style="1330"/>
    <col min="16129" max="16133" width="16.6640625" style="1330" customWidth="1"/>
    <col min="16134" max="16134" width="52.6640625" style="1330" customWidth="1"/>
    <col min="16135" max="16135" width="9.109375" style="1330"/>
    <col min="16136" max="16136" width="18.33203125" style="1330" customWidth="1"/>
    <col min="16137" max="16384" width="9.109375" style="1330"/>
  </cols>
  <sheetData>
    <row r="1" spans="1:8" x14ac:dyDescent="0.3">
      <c r="A1" s="1354" t="s">
        <v>11774</v>
      </c>
      <c r="B1" s="1354"/>
      <c r="C1" s="1354" t="s">
        <v>11775</v>
      </c>
      <c r="D1" s="1354"/>
      <c r="F1" s="1331" t="s">
        <v>11776</v>
      </c>
      <c r="H1" s="1330" t="s">
        <v>11777</v>
      </c>
    </row>
    <row r="2" spans="1:8" x14ac:dyDescent="0.3">
      <c r="A2" s="1331" t="s">
        <v>11778</v>
      </c>
      <c r="B2" s="1331" t="s">
        <v>11779</v>
      </c>
      <c r="C2" s="1331" t="s">
        <v>11778</v>
      </c>
      <c r="D2" s="1331" t="s">
        <v>11780</v>
      </c>
      <c r="F2" s="1332" t="s">
        <v>11781</v>
      </c>
      <c r="H2" s="1330" t="s">
        <v>11782</v>
      </c>
    </row>
    <row r="3" spans="1:8" x14ac:dyDescent="0.3">
      <c r="A3" s="1333" t="s">
        <v>11811</v>
      </c>
      <c r="B3" s="1333" t="s">
        <v>11812</v>
      </c>
      <c r="C3" s="1333" t="s">
        <v>12</v>
      </c>
      <c r="D3" s="1333" t="s">
        <v>11814</v>
      </c>
      <c r="H3" s="1330" t="s">
        <v>11783</v>
      </c>
    </row>
    <row r="4" spans="1:8" x14ac:dyDescent="0.3">
      <c r="A4" s="1333" t="s">
        <v>11811</v>
      </c>
      <c r="B4" s="1333" t="s">
        <v>11813</v>
      </c>
      <c r="C4" s="1333" t="s">
        <v>12</v>
      </c>
      <c r="D4" s="1333" t="s">
        <v>11814</v>
      </c>
      <c r="F4" s="1330" t="s">
        <v>11784</v>
      </c>
      <c r="H4" s="1330" t="s">
        <v>11785</v>
      </c>
    </row>
    <row r="5" spans="1:8" x14ac:dyDescent="0.3">
      <c r="A5" s="1333"/>
      <c r="B5" s="1333"/>
      <c r="C5" s="1333"/>
      <c r="D5" s="1333"/>
      <c r="H5" s="1330" t="s">
        <v>11786</v>
      </c>
    </row>
    <row r="6" spans="1:8" x14ac:dyDescent="0.3">
      <c r="A6" s="1334"/>
      <c r="B6" s="1334"/>
      <c r="C6" s="1334"/>
      <c r="D6" s="1334"/>
      <c r="F6" s="1335" t="s">
        <v>11787</v>
      </c>
    </row>
    <row r="7" spans="1:8" x14ac:dyDescent="0.3">
      <c r="A7" s="1334"/>
      <c r="B7" s="1334"/>
      <c r="C7" s="1334"/>
      <c r="D7" s="1334"/>
      <c r="F7" s="1336" t="s">
        <v>11788</v>
      </c>
    </row>
    <row r="8" spans="1:8" x14ac:dyDescent="0.3">
      <c r="A8" s="1334"/>
      <c r="B8" s="1334"/>
      <c r="C8" s="1334"/>
      <c r="D8" s="1334"/>
      <c r="F8" s="1337" t="s">
        <v>11789</v>
      </c>
    </row>
    <row r="9" spans="1:8" x14ac:dyDescent="0.3">
      <c r="A9" s="1334"/>
      <c r="B9" s="1334"/>
      <c r="C9" s="1334"/>
      <c r="D9" s="1334"/>
    </row>
    <row r="10" spans="1:8" x14ac:dyDescent="0.3">
      <c r="A10" s="1334"/>
      <c r="B10" s="1334"/>
      <c r="C10" s="1334"/>
      <c r="D10" s="1334"/>
      <c r="F10" s="1338" t="s">
        <v>11790</v>
      </c>
    </row>
    <row r="11" spans="1:8" x14ac:dyDescent="0.3">
      <c r="A11" s="1334"/>
      <c r="B11" s="1334"/>
      <c r="C11" s="1334"/>
      <c r="D11" s="1334"/>
      <c r="F11" s="1338" t="s">
        <v>11791</v>
      </c>
    </row>
    <row r="12" spans="1:8" x14ac:dyDescent="0.3">
      <c r="A12" s="1334"/>
      <c r="B12" s="1334"/>
      <c r="C12" s="1334"/>
      <c r="D12" s="1334"/>
    </row>
    <row r="13" spans="1:8" x14ac:dyDescent="0.3">
      <c r="A13" s="1334"/>
      <c r="B13" s="1334"/>
      <c r="C13" s="1334"/>
      <c r="D13" s="1334"/>
    </row>
    <row r="14" spans="1:8" x14ac:dyDescent="0.3">
      <c r="A14" s="1334"/>
      <c r="B14" s="1334"/>
      <c r="C14" s="1334"/>
      <c r="D14" s="1334"/>
    </row>
    <row r="15" spans="1:8" x14ac:dyDescent="0.3">
      <c r="A15" s="1334"/>
      <c r="B15" s="1334"/>
      <c r="C15" s="1334"/>
      <c r="D15" s="1334"/>
      <c r="E15" s="1339"/>
    </row>
    <row r="16" spans="1:8" x14ac:dyDescent="0.3">
      <c r="A16" s="1334"/>
      <c r="B16" s="1334"/>
      <c r="C16" s="1334"/>
      <c r="D16" s="1334"/>
      <c r="E16" s="1339"/>
      <c r="F16" s="1340" t="s">
        <v>11792</v>
      </c>
    </row>
    <row r="17" spans="1:6" x14ac:dyDescent="0.3">
      <c r="A17" s="1334"/>
      <c r="B17" s="1334"/>
      <c r="C17" s="1334"/>
      <c r="D17" s="1334"/>
      <c r="E17" s="1339"/>
      <c r="F17" s="1341" t="b">
        <v>0</v>
      </c>
    </row>
    <row r="18" spans="1:6" x14ac:dyDescent="0.3">
      <c r="A18" s="1334"/>
      <c r="B18" s="1334"/>
      <c r="C18" s="1334"/>
      <c r="D18" s="1334"/>
      <c r="E18" s="1339"/>
    </row>
    <row r="19" spans="1:6" x14ac:dyDescent="0.3">
      <c r="A19" s="1334"/>
      <c r="B19" s="1334"/>
      <c r="C19" s="1334"/>
      <c r="D19" s="1334"/>
      <c r="E19" s="1339"/>
      <c r="F19" s="1335" t="s">
        <v>11793</v>
      </c>
    </row>
    <row r="20" spans="1:6" x14ac:dyDescent="0.3">
      <c r="A20" s="1334"/>
      <c r="B20" s="1334"/>
      <c r="C20" s="1334"/>
      <c r="D20" s="1334"/>
      <c r="E20" s="1339"/>
      <c r="F20" s="1337" t="s">
        <v>11794</v>
      </c>
    </row>
    <row r="21" spans="1:6" x14ac:dyDescent="0.3">
      <c r="A21" s="1334"/>
      <c r="B21" s="1334"/>
      <c r="C21" s="1334"/>
      <c r="D21" s="1334"/>
      <c r="E21" s="1339"/>
    </row>
    <row r="22" spans="1:6" x14ac:dyDescent="0.3">
      <c r="A22" s="1334"/>
      <c r="B22" s="1334"/>
      <c r="C22" s="1334"/>
      <c r="D22" s="1334"/>
      <c r="E22" s="1339"/>
      <c r="F22" s="1338" t="s">
        <v>11795</v>
      </c>
    </row>
    <row r="23" spans="1:6" x14ac:dyDescent="0.3">
      <c r="A23" s="1334"/>
      <c r="B23" s="1334"/>
      <c r="C23" s="1334"/>
      <c r="D23" s="1334"/>
      <c r="E23" s="1339"/>
      <c r="F23" s="1338" t="s">
        <v>11796</v>
      </c>
    </row>
    <row r="24" spans="1:6" x14ac:dyDescent="0.3">
      <c r="A24" s="1334"/>
      <c r="B24" s="1334"/>
      <c r="C24" s="1334"/>
      <c r="D24" s="1334"/>
      <c r="E24" s="1339"/>
    </row>
    <row r="25" spans="1:6" x14ac:dyDescent="0.3">
      <c r="A25" s="1334"/>
      <c r="B25" s="1334"/>
      <c r="C25" s="1334"/>
      <c r="D25" s="1334"/>
      <c r="E25" s="1339"/>
    </row>
    <row r="26" spans="1:6" x14ac:dyDescent="0.3">
      <c r="A26" s="1334"/>
      <c r="B26" s="1334"/>
      <c r="C26" s="1334"/>
      <c r="D26" s="1334"/>
      <c r="E26" s="1339"/>
    </row>
    <row r="27" spans="1:6" x14ac:dyDescent="0.3">
      <c r="A27" s="1334"/>
      <c r="B27" s="1334"/>
      <c r="C27" s="1334"/>
      <c r="D27" s="1334"/>
      <c r="E27" s="1339"/>
    </row>
    <row r="28" spans="1:6" x14ac:dyDescent="0.3">
      <c r="A28" s="1334"/>
      <c r="B28" s="1334"/>
      <c r="C28" s="1334"/>
      <c r="D28" s="1334"/>
      <c r="E28" s="1339"/>
      <c r="F28" s="1340" t="s">
        <v>11797</v>
      </c>
    </row>
    <row r="29" spans="1:6" x14ac:dyDescent="0.3">
      <c r="A29" s="1334"/>
      <c r="B29" s="1334"/>
      <c r="C29" s="1334"/>
      <c r="D29" s="1334"/>
      <c r="E29" s="1339"/>
      <c r="F29" s="1341" t="b">
        <v>0</v>
      </c>
    </row>
    <row r="30" spans="1:6" x14ac:dyDescent="0.3">
      <c r="A30" s="1334"/>
      <c r="B30" s="1334"/>
      <c r="C30" s="1334"/>
      <c r="D30" s="1334"/>
      <c r="E30" s="1339"/>
    </row>
    <row r="31" spans="1:6" x14ac:dyDescent="0.3">
      <c r="A31" s="1334"/>
      <c r="B31" s="1334"/>
      <c r="C31" s="1334"/>
      <c r="D31" s="1334"/>
      <c r="E31" s="1339"/>
      <c r="F31" s="1335" t="s">
        <v>11793</v>
      </c>
    </row>
    <row r="32" spans="1:6" x14ac:dyDescent="0.3">
      <c r="A32" s="1334"/>
      <c r="B32" s="1334"/>
      <c r="C32" s="1334"/>
      <c r="D32" s="1334"/>
      <c r="E32" s="1339"/>
      <c r="F32" s="1337" t="s">
        <v>11794</v>
      </c>
    </row>
    <row r="33" spans="1:6" x14ac:dyDescent="0.3">
      <c r="A33" s="1334"/>
      <c r="B33" s="1334"/>
      <c r="C33" s="1334"/>
      <c r="D33" s="1334"/>
      <c r="E33" s="1339"/>
    </row>
    <row r="34" spans="1:6" x14ac:dyDescent="0.3">
      <c r="A34" s="1334"/>
      <c r="B34" s="1334"/>
      <c r="C34" s="1334"/>
      <c r="D34" s="1334"/>
      <c r="E34" s="1339"/>
      <c r="F34" s="1338" t="s">
        <v>11795</v>
      </c>
    </row>
    <row r="35" spans="1:6" x14ac:dyDescent="0.3">
      <c r="A35" s="1334"/>
      <c r="B35" s="1334"/>
      <c r="C35" s="1334"/>
      <c r="D35" s="1334"/>
      <c r="E35" s="1339"/>
      <c r="F35" s="1338" t="s">
        <v>11798</v>
      </c>
    </row>
    <row r="36" spans="1:6" x14ac:dyDescent="0.3">
      <c r="A36" s="1334"/>
      <c r="B36" s="1334"/>
      <c r="C36" s="1334"/>
      <c r="D36" s="1334"/>
      <c r="E36" s="1339"/>
    </row>
    <row r="37" spans="1:6" x14ac:dyDescent="0.3">
      <c r="A37" s="1342"/>
      <c r="B37" s="1342"/>
      <c r="C37" s="1342"/>
      <c r="D37" s="1342"/>
      <c r="E37" s="1339"/>
    </row>
    <row r="38" spans="1:6" x14ac:dyDescent="0.3">
      <c r="A38" s="1339"/>
      <c r="B38" s="1339"/>
      <c r="C38" s="1339"/>
      <c r="D38" s="1339"/>
      <c r="E38" s="1339"/>
    </row>
    <row r="39" spans="1:6" x14ac:dyDescent="0.3">
      <c r="A39" s="1339"/>
      <c r="B39" s="1339"/>
      <c r="C39" s="1339"/>
      <c r="D39" s="1339"/>
      <c r="E39" s="1339"/>
    </row>
    <row r="40" spans="1:6" x14ac:dyDescent="0.3">
      <c r="A40" s="1339"/>
      <c r="B40" s="1339"/>
      <c r="C40" s="1339"/>
      <c r="D40" s="1339"/>
      <c r="E40" s="1339"/>
      <c r="F40" s="1340" t="s">
        <v>11799</v>
      </c>
    </row>
    <row r="41" spans="1:6" x14ac:dyDescent="0.3">
      <c r="A41" s="1339"/>
      <c r="B41" s="1339"/>
      <c r="C41" s="1339"/>
      <c r="D41" s="1339"/>
      <c r="E41" s="1339"/>
      <c r="F41" s="1343" t="s">
        <v>11800</v>
      </c>
    </row>
    <row r="43" spans="1:6" x14ac:dyDescent="0.3">
      <c r="F43" s="1338" t="s">
        <v>11801</v>
      </c>
    </row>
    <row r="44" spans="1:6" x14ac:dyDescent="0.3">
      <c r="F44" s="1338" t="s">
        <v>11802</v>
      </c>
    </row>
    <row r="49" spans="6:6" x14ac:dyDescent="0.3">
      <c r="F49" s="1340" t="s">
        <v>11803</v>
      </c>
    </row>
    <row r="50" spans="6:6" x14ac:dyDescent="0.3">
      <c r="F50" s="1343" t="s">
        <v>11804</v>
      </c>
    </row>
    <row r="52" spans="6:6" x14ac:dyDescent="0.3">
      <c r="F52" s="1338" t="s">
        <v>11801</v>
      </c>
    </row>
    <row r="53" spans="6:6" x14ac:dyDescent="0.3">
      <c r="F53" s="1338" t="s">
        <v>11805</v>
      </c>
    </row>
    <row r="58" spans="6:6" x14ac:dyDescent="0.3">
      <c r="F58" s="1340" t="s">
        <v>11806</v>
      </c>
    </row>
    <row r="59" spans="6:6" x14ac:dyDescent="0.3">
      <c r="F59" s="1343">
        <v>250</v>
      </c>
    </row>
    <row r="61" spans="6:6" x14ac:dyDescent="0.3">
      <c r="F61" s="1338" t="s">
        <v>11807</v>
      </c>
    </row>
    <row r="62" spans="6:6" x14ac:dyDescent="0.3">
      <c r="F62" s="1338" t="s">
        <v>11808</v>
      </c>
    </row>
    <row r="63" spans="6:6" x14ac:dyDescent="0.3">
      <c r="F63" s="1338" t="s">
        <v>11809</v>
      </c>
    </row>
    <row r="64" spans="6:6" x14ac:dyDescent="0.3">
      <c r="F64" s="1338" t="s">
        <v>11810</v>
      </c>
    </row>
  </sheetData>
  <mergeCells count="2">
    <mergeCell ref="A1:B1"/>
    <mergeCell ref="C1:D1"/>
  </mergeCells>
  <pageMargins left="0.75" right="0.75" top="1" bottom="1" header="0.5" footer="0.5"/>
  <pageSetup paperSize="9" orientation="portrait" horizontalDpi="300" verticalDpi="0" copies="0"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tes">
    <tabColor rgb="FF7030A0"/>
  </sheetPr>
  <dimension ref="A1:AB136"/>
  <sheetViews>
    <sheetView zoomScale="85" zoomScaleNormal="85" workbookViewId="0">
      <selection activeCell="H11" sqref="H11"/>
    </sheetView>
  </sheetViews>
  <sheetFormatPr defaultRowHeight="14.4" x14ac:dyDescent="0.3"/>
  <cols>
    <col min="1" max="1" width="19.5546875" customWidth="1"/>
    <col min="2" max="2" width="15.44140625" style="6" customWidth="1"/>
    <col min="3" max="3" width="16.33203125" customWidth="1"/>
    <col min="4" max="4" width="14.88671875" customWidth="1"/>
    <col min="5" max="5" width="16.109375" customWidth="1"/>
    <col min="6" max="6" width="14.109375" customWidth="1"/>
    <col min="7" max="7" width="15.88671875" customWidth="1"/>
    <col min="8" max="8" width="15.44140625" customWidth="1"/>
    <col min="9" max="9" width="13.5546875" customWidth="1"/>
    <col min="10" max="10" width="5.88671875" customWidth="1"/>
    <col min="11" max="11" width="16" customWidth="1"/>
    <col min="12" max="12" width="16.88671875" customWidth="1"/>
    <col min="13" max="13" width="13.44140625" customWidth="1"/>
    <col min="14" max="14" width="14" customWidth="1"/>
    <col min="15" max="15" width="18.44140625" style="768" customWidth="1"/>
    <col min="16" max="16" width="6.44140625" customWidth="1"/>
    <col min="17" max="17" width="6.109375" customWidth="1"/>
    <col min="18" max="18" width="8" customWidth="1"/>
    <col min="19" max="19" width="14.6640625" customWidth="1"/>
    <col min="20" max="20" width="18.5546875" customWidth="1"/>
    <col min="21" max="21" width="22.33203125" customWidth="1"/>
    <col min="22" max="22" width="14.109375" customWidth="1"/>
    <col min="23" max="23" width="19.88671875" customWidth="1"/>
    <col min="24" max="24" width="27.109375" customWidth="1"/>
    <col min="25" max="25" width="16.88671875" customWidth="1"/>
    <col min="26" max="26" width="13.44140625" customWidth="1"/>
    <col min="27" max="27" width="15" customWidth="1"/>
    <col min="28" max="28" width="13.6640625" customWidth="1"/>
  </cols>
  <sheetData>
    <row r="1" spans="1:28" ht="15.6" customHeight="1" thickTop="1" thickBot="1" x14ac:dyDescent="0.35">
      <c r="A1" s="1369" t="s">
        <v>0</v>
      </c>
      <c r="B1" s="1370"/>
      <c r="C1" s="1371" t="s">
        <v>6</v>
      </c>
      <c r="D1" s="1372"/>
      <c r="E1" s="1372"/>
      <c r="F1" s="1373"/>
      <c r="H1" s="757" t="s">
        <v>12681</v>
      </c>
      <c r="I1" s="1308" t="s">
        <v>12682</v>
      </c>
      <c r="J1" s="1122" t="s">
        <v>5573</v>
      </c>
      <c r="K1" s="1363" t="s">
        <v>40</v>
      </c>
      <c r="L1" s="1363"/>
      <c r="M1" s="886" t="s">
        <v>43</v>
      </c>
      <c r="N1" s="886" t="s">
        <v>44</v>
      </c>
      <c r="O1" s="886" t="s">
        <v>608</v>
      </c>
      <c r="P1" s="886" t="s">
        <v>3857</v>
      </c>
      <c r="Q1" s="886" t="s">
        <v>3858</v>
      </c>
      <c r="S1" s="1123" t="s">
        <v>2188</v>
      </c>
      <c r="T1" s="1140" t="s">
        <v>8</v>
      </c>
      <c r="U1" s="1136" t="s">
        <v>8972</v>
      </c>
      <c r="V1" s="1136" t="s">
        <v>8973</v>
      </c>
      <c r="W1" s="1136" t="s">
        <v>8974</v>
      </c>
      <c r="X1" s="1136" t="s">
        <v>12</v>
      </c>
      <c r="Y1" s="1136" t="s">
        <v>8975</v>
      </c>
      <c r="Z1" s="1136" t="s">
        <v>119</v>
      </c>
      <c r="AA1" s="1136" t="s">
        <v>120</v>
      </c>
      <c r="AB1" s="1137" t="s">
        <v>121</v>
      </c>
    </row>
    <row r="2" spans="1:28" ht="15.6" customHeight="1" thickTop="1" thickBot="1" x14ac:dyDescent="0.35">
      <c r="A2" s="1007" t="str">
        <f>IFERROR(INDEX(STATUS!A:K,MATCH("РЕШ шаблон",STATUS!K:K,0),1),"")</f>
        <v>У-19-32531</v>
      </c>
      <c r="B2" s="1008">
        <f>IFERROR(INDEX(STATUS!A:K,MATCH("РЕШ шаблон",STATUS!K:K,0),3),"")</f>
        <v>43725</v>
      </c>
      <c r="C2" s="1374" t="str">
        <f ca="1">IFERROR(CHALLANGE!C9,"")</f>
        <v>Герасименко Робэра Валериевича</v>
      </c>
      <c r="D2" s="1374"/>
      <c r="E2" s="1374"/>
      <c r="F2" s="1375"/>
      <c r="H2" s="458" t="s">
        <v>916</v>
      </c>
      <c r="J2" s="911" t="str">
        <f>IF(OR(K2=CHALLANGE_draft!$DR$27,K2=CHALLANGE_draft!$DR$28,K2=CHALLANGE_draft!$DR$29,K2=CHALLANGE_draft!$DR$30),"БР",IF(K2="","",IF(OR(K2=O$2,K2=O$3,K2=O$4,K2=O$5,K2=O$6,K2=O$7,K2=O$8,K2=O$9,K2=O$10,K2=O$11,K2=O$12,K2=O$13,K2=O$14,K2=O$15,K2=O$16),"ОК","БР")))</f>
        <v>ОК</v>
      </c>
      <c r="K2" s="912" t="str">
        <f>ANALYSE!A3</f>
        <v>Неустойка</v>
      </c>
      <c r="L2" s="913">
        <f>ANALYSE!B3</f>
        <v>100000</v>
      </c>
      <c r="M2" s="914" t="str">
        <f>ANALYSE!C3</f>
        <v/>
      </c>
      <c r="N2" s="914" t="str">
        <f>ANALYSE!D3</f>
        <v/>
      </c>
      <c r="O2" s="922" t="s">
        <v>1246</v>
      </c>
      <c r="P2" s="915"/>
      <c r="Q2" s="916"/>
      <c r="S2" s="1141" t="s">
        <v>8227</v>
      </c>
      <c r="T2" s="1133"/>
      <c r="U2" s="1128" t="str">
        <f>CHALLANGE_draft!HL8</f>
        <v>Toyota Camry</v>
      </c>
      <c r="V2" s="1128" t="str">
        <f>CHALLANGE_draft!HL9</f>
        <v>Е718ТР161</v>
      </c>
      <c r="W2" s="1128" t="str">
        <f>CHALLANGE_draft!HL10</f>
        <v>2016</v>
      </c>
      <c r="X2" s="1131" t="str">
        <f>CHALLANGE_draft!LX4</f>
        <v>Финансовой организацией</v>
      </c>
      <c r="Y2" s="1131" t="str">
        <f>CHALLANGE_draft!LX5</f>
        <v>ККК 3002162227</v>
      </c>
      <c r="Z2" s="1131">
        <f>CHALLANGE_draft!LX6</f>
        <v>43560</v>
      </c>
      <c r="AA2" s="1131">
        <f>CHALLANGE_draft!LX7</f>
        <v>43560</v>
      </c>
      <c r="AB2" s="1132">
        <f>CHALLANGE_draft!LX8</f>
        <v>43925</v>
      </c>
    </row>
    <row r="3" spans="1:28" ht="15.6" customHeight="1" thickTop="1" thickBot="1" x14ac:dyDescent="0.35">
      <c r="A3" s="1009" t="str">
        <f>IFERROR(CHALLANGE!D80,"")</f>
        <v>У-20-175174/2040-002</v>
      </c>
      <c r="B3" s="1010">
        <f>IFERROR(CHALLANGE!D79,"")</f>
        <v>44161</v>
      </c>
      <c r="C3" s="1006">
        <f>IFERROR(EDATE(B2,-36),"")</f>
        <v>42630</v>
      </c>
      <c r="D3" s="216">
        <f>IFERROR(INDEX(STATUS!A:K,MATCH("РЕШ шаблон",STATUS!K:K,0),4),"")</f>
        <v>43789</v>
      </c>
      <c r="E3" s="216" t="str">
        <f>IFERROR(CHALLANGE_draft!CC3,"")</f>
        <v>60 03 № 672915</v>
      </c>
      <c r="F3" s="216" t="str">
        <f>CHALLANGE_draft!BX3</f>
        <v>ДА</v>
      </c>
      <c r="H3" s="790">
        <f>IFERROR(IF(H4="ГИБДД",IF(B16&gt;DRAFT!AG3,DRAFT!AF3,DRAFT!AF2),IF(B15&gt;DRAFT!AG6,DRAFT!AF6,DRAFT!AF5)),400000)</f>
        <v>400000</v>
      </c>
      <c r="J3" s="905" t="str">
        <f>IF(OR(K3=CHALLANGE_draft!$DR$27,K3=CHALLANGE_draft!$DR$28,K3=CHALLANGE_draft!$DR$29,K3=CHALLANGE_draft!$DR$30),"БР",IF(K3="","",IF(OR(K3=O$2,K3=O$3,K3=O$4,K3=O$5,K3=O$6,K3=O$7,K3=O$8,K3=O$9,K3=O$10,K3=O$11,K3=O$12,K3=O$13,K3=O$14,K3=O$15,K3=O$16),"ОК","БР")))</f>
        <v/>
      </c>
      <c r="K3" s="787" t="str">
        <f>ANALYSE!A4</f>
        <v/>
      </c>
      <c r="L3" s="788" t="str">
        <f>ANALYSE!B4</f>
        <v/>
      </c>
      <c r="M3" s="906" t="str">
        <f>ANALYSE!C4</f>
        <v/>
      </c>
      <c r="N3" s="906" t="str">
        <f>ANALYSE!D4</f>
        <v/>
      </c>
      <c r="O3" s="923" t="s">
        <v>456</v>
      </c>
      <c r="P3" s="451"/>
      <c r="Q3" s="452"/>
      <c r="S3" s="1138" t="s">
        <v>124</v>
      </c>
      <c r="T3" s="1134" t="str">
        <f>CHALLANGE_draft!HL4</f>
        <v>Женишбека Бекназара</v>
      </c>
      <c r="U3" s="1124" t="str">
        <f>CHALLANGE_draft!HL6</f>
        <v>ВАЗ 2106</v>
      </c>
      <c r="V3" s="1124" t="str">
        <f>CHALLANGE_draft!HL7</f>
        <v>А086НТ61</v>
      </c>
      <c r="W3" s="1124"/>
      <c r="X3" s="921" t="str">
        <f>CHALLANGE_draft!JO4</f>
        <v>СПАО «РЕСО-Гарантия»</v>
      </c>
      <c r="Y3" s="921" t="str">
        <f>CHALLANGE_draft!JO5</f>
        <v>ККК 3001108454</v>
      </c>
      <c r="Z3" s="1127"/>
      <c r="AA3" s="1142" t="str">
        <f>CHALLANGE_draft!JO7</f>
        <v/>
      </c>
      <c r="AB3" s="1143" t="str">
        <f>CHALLANGE_draft!JO8</f>
        <v/>
      </c>
    </row>
    <row r="4" spans="1:28" ht="15.6" customHeight="1" thickTop="1" x14ac:dyDescent="0.3">
      <c r="A4" s="1380" t="str">
        <f>IFERROR(CHALLANGE_draft!CH3,"")</f>
        <v>344092, г. Ростов-на-Дону, ул. Верная, д. 17/88</v>
      </c>
      <c r="B4" s="1381"/>
      <c r="C4" s="1382"/>
      <c r="D4" s="1382"/>
      <c r="E4" s="1382"/>
      <c r="F4" s="1383"/>
      <c r="H4" s="267" t="str">
        <f>CHALLANGE!D90</f>
        <v>ГИБДД</v>
      </c>
      <c r="J4" s="905" t="str">
        <f>IF(OR(K4=CHALLANGE_draft!$DR$27,K4=CHALLANGE_draft!$DR$28,K4=CHALLANGE_draft!$DR$29,K4=CHALLANGE_draft!$DR$30),"БР",IF(K4="","",IF(OR(K4=O$2,K4=O$3,K4=O$4,K4=O$5,K4=O$6,K4=O$7,K4=O$8,K4=O$9,K4=O$10,K4=O$11,K4=O$12,K4=O$13,K4=O$14,K4=O$15,K4=O$16),"ОК","БР")))</f>
        <v/>
      </c>
      <c r="K4" s="787" t="str">
        <f>ANALYSE!A5</f>
        <v/>
      </c>
      <c r="L4" s="788" t="str">
        <f>ANALYSE!B5</f>
        <v/>
      </c>
      <c r="M4" s="906" t="str">
        <f>ANALYSE!C5</f>
        <v/>
      </c>
      <c r="N4" s="906" t="str">
        <f>ANALYSE!D5</f>
        <v/>
      </c>
      <c r="O4" s="923"/>
      <c r="P4" s="451"/>
      <c r="Q4" s="452"/>
      <c r="S4" s="1138" t="s">
        <v>8614</v>
      </c>
      <c r="T4" s="1134"/>
      <c r="U4" s="942"/>
      <c r="V4" s="942"/>
      <c r="W4" s="942"/>
      <c r="X4" s="942"/>
      <c r="Y4" s="942"/>
      <c r="Z4" s="1127"/>
      <c r="AA4" s="1127"/>
      <c r="AB4" s="1144"/>
    </row>
    <row r="5" spans="1:28" ht="14.4" customHeight="1" thickBot="1" x14ac:dyDescent="0.35">
      <c r="A5" s="1384" t="str">
        <f>IFERROR(CHALLANGE_draft!CM3,"")</f>
        <v>344092, г. Ростов-на-Дону, ул. Верная, д. 17/88</v>
      </c>
      <c r="B5" s="1385"/>
      <c r="C5" s="1385"/>
      <c r="D5" s="1385"/>
      <c r="E5" s="1385"/>
      <c r="F5" s="1386"/>
      <c r="H5" s="307" t="str">
        <f>IFERROR(IF(OR(ISBLANK(B17),ISBLANK(B2)),"",IF((B2-(EDATE(B18,36)))&gt;=0,"СРОК ДАВНОСТИ","")),"")</f>
        <v/>
      </c>
      <c r="J5" s="905" t="str">
        <f>IF(OR(K5=CHALLANGE_draft!$DR$27,K5=CHALLANGE_draft!$DR$28,K5=CHALLANGE_draft!$DR$29,K5=CHALLANGE_draft!$DR$30),"БР",IF(K5="","",IF(OR(K5=O$2,K5=O$3,K5=O$4,K5=O$5,K5=O$6,K5=O$7,K5=O$8,K5=O$9,K5=O$10,K5=O$11,K5=O$12,K5=O$13,K5=O$14,K5=O$15,K5=O$16),"ОК","БР")))</f>
        <v/>
      </c>
      <c r="K5" s="787" t="str">
        <f>ANALYSE!A6</f>
        <v/>
      </c>
      <c r="L5" s="788" t="str">
        <f>ANALYSE!B6</f>
        <v/>
      </c>
      <c r="M5" s="906" t="str">
        <f>ANALYSE!C6</f>
        <v/>
      </c>
      <c r="N5" s="906" t="str">
        <f>ANALYSE!D6</f>
        <v/>
      </c>
      <c r="O5" s="923"/>
      <c r="P5" s="451" t="s">
        <v>149</v>
      </c>
      <c r="Q5" s="452"/>
      <c r="S5" s="1138" t="s">
        <v>8615</v>
      </c>
      <c r="T5" s="1134"/>
      <c r="U5" s="942"/>
      <c r="V5" s="942"/>
      <c r="W5" s="942"/>
      <c r="X5" s="942"/>
      <c r="Y5" s="942"/>
      <c r="Z5" s="1127"/>
      <c r="AA5" s="1127"/>
      <c r="AB5" s="1144"/>
    </row>
    <row r="6" spans="1:28" ht="14.4" customHeight="1" thickTop="1" thickBot="1" x14ac:dyDescent="0.35">
      <c r="A6" s="1376" t="s">
        <v>7</v>
      </c>
      <c r="B6" s="1377"/>
      <c r="C6" s="1377"/>
      <c r="D6" s="1377"/>
      <c r="E6" s="1377"/>
      <c r="F6" s="1378"/>
      <c r="H6" s="307" t="str">
        <f>IF(ISBLANK(B15),"",IF((B17-B15)&gt;1095,"ИСКОВАЯ ДАВНОСТЬ",""))</f>
        <v/>
      </c>
      <c r="J6" s="905" t="str">
        <f>IF(OR(K6=CHALLANGE_draft!$DR$27,K6=CHALLANGE_draft!$DR$28,K6=CHALLANGE_draft!$DR$29,K6=CHALLANGE_draft!$DR$30),"БР",IF(K6="","",IF(OR(K6=O$2,K6=O$3,K6=O$4,K6=O$5,K6=O$6,K6=O$7,K6=O$8,K6=O$9,K6=O$10,K6=O$11,K6=O$12,K6=O$13,K6=O$14,K6=O$15,K6=O$16),"ОК","БР")))</f>
        <v/>
      </c>
      <c r="K6" s="787" t="str">
        <f>ANALYSE!A7</f>
        <v/>
      </c>
      <c r="L6" s="788" t="str">
        <f>ANALYSE!B7</f>
        <v/>
      </c>
      <c r="M6" s="906" t="str">
        <f>ANALYSE!C7</f>
        <v/>
      </c>
      <c r="N6" s="906" t="str">
        <f>ANALYSE!D7</f>
        <v/>
      </c>
      <c r="O6" s="923"/>
      <c r="P6" s="451"/>
      <c r="Q6" s="452"/>
      <c r="S6" s="1139" t="s">
        <v>8616</v>
      </c>
      <c r="T6" s="1135"/>
      <c r="U6" s="1130"/>
      <c r="V6" s="1130"/>
      <c r="W6" s="1130"/>
      <c r="X6" s="1130"/>
      <c r="Y6" s="1130"/>
      <c r="Z6" s="1145"/>
      <c r="AA6" s="1145"/>
      <c r="AB6" s="1146"/>
    </row>
    <row r="7" spans="1:28" ht="14.4" customHeight="1" thickTop="1" thickBot="1" x14ac:dyDescent="0.35">
      <c r="A7" s="733">
        <f>IFERROR(INDEX(ФО!A:E,MATCH(C7,ФО!A:A,0),2),"")</f>
        <v>1644001196</v>
      </c>
      <c r="B7" s="213">
        <f>IFERROR(INDEX(ФО!A:E,MATCH(C7,ФО!A:A,0),5),"")</f>
        <v>37411</v>
      </c>
      <c r="C7" s="1379" t="str">
        <f>IFERROR(INDEX(STATUS!A:K,MATCH("РЕШ шаблон",STATUS!K:K,0),7),"")</f>
        <v>АО СК «Чулпан»</v>
      </c>
      <c r="D7" s="1374"/>
      <c r="E7" s="1374"/>
      <c r="F7" s="1375"/>
      <c r="H7" s="777"/>
      <c r="J7" s="905" t="str">
        <f>IF(OR(K7=CHALLANGE_draft!$DR$27,K7=CHALLANGE_draft!$DR$28,K7=CHALLANGE_draft!$DR$29,K7=CHALLANGE_draft!$DR$30),"БР",IF(K7="","",IF(OR(K7=O$2,K7=O$3,K7=O$4,K7=O$5,K7=O$6,K7=O$7,K7=O$8,K7=O$9,K7=O$10,K7=O$11,K7=O$12,K7=O$13,K7=O$14,K7=O$15,K7=O$16),"ОК","БР")))</f>
        <v/>
      </c>
      <c r="K7" s="787" t="str">
        <f>ANALYSE!A8</f>
        <v/>
      </c>
      <c r="L7" s="788" t="str">
        <f>ANALYSE!B8</f>
        <v/>
      </c>
      <c r="M7" s="906" t="str">
        <f>ANALYSE!C8</f>
        <v/>
      </c>
      <c r="N7" s="906" t="str">
        <f>ANALYSE!D8</f>
        <v/>
      </c>
      <c r="O7" s="923"/>
      <c r="P7" s="451"/>
      <c r="Q7" s="452"/>
    </row>
    <row r="8" spans="1:28" ht="14.4" customHeight="1" thickTop="1" thickBot="1" x14ac:dyDescent="0.35">
      <c r="A8" s="1364" t="str">
        <f>IFERROR(INDEX(ФО!A:E,MATCH(C7,ФО!A:A,0),3),"")</f>
        <v>423452, Республика Татарстан, г. Альметьевск, Альметьевский район, ул. Пушкина, д. 66, пом. 1</v>
      </c>
      <c r="B8" s="1365"/>
      <c r="C8" s="1365"/>
      <c r="D8" s="1365"/>
      <c r="E8" s="1365"/>
      <c r="F8" s="1366"/>
      <c r="G8" s="754"/>
      <c r="H8" s="5"/>
      <c r="J8" s="905" t="str">
        <f>IF(OR(K8=CHALLANGE_draft!$DR$27,K8=CHALLANGE_draft!$DR$28,K8=CHALLANGE_draft!$DR$29,K8=CHALLANGE_draft!$DR$30),"БР",IF(K8="","",IF(OR(K8=O$2,K8=O$3,K8=O$4,K8=O$5,K8=O$6,K8=O$7,K8=O$8,K8=O$9,K8=O$10,K8=O$11,K8=O$12,K8=O$13,K8=O$14,K8=O$15,K8=O$16),"ОК","БР")))</f>
        <v/>
      </c>
      <c r="K8" s="787" t="str">
        <f>ANALYSE!A9</f>
        <v/>
      </c>
      <c r="L8" s="788" t="str">
        <f>ANALYSE!B9</f>
        <v/>
      </c>
      <c r="M8" s="906" t="str">
        <f>ANALYSE!C9</f>
        <v/>
      </c>
      <c r="N8" s="906" t="str">
        <f>ANALYSE!D9</f>
        <v/>
      </c>
      <c r="O8" s="923"/>
      <c r="P8" s="451"/>
      <c r="Q8" s="452"/>
      <c r="S8" s="468" t="s">
        <v>1993</v>
      </c>
      <c r="T8" s="1140" t="s">
        <v>7305</v>
      </c>
      <c r="U8" s="1136" t="s">
        <v>5</v>
      </c>
      <c r="V8" s="1136" t="s">
        <v>4</v>
      </c>
      <c r="W8" s="1136" t="s">
        <v>600</v>
      </c>
      <c r="X8" s="1136" t="s">
        <v>601</v>
      </c>
      <c r="Y8" s="1136" t="s">
        <v>9495</v>
      </c>
      <c r="Z8" s="1137" t="s">
        <v>9496</v>
      </c>
      <c r="AA8" s="1137" t="s">
        <v>641</v>
      </c>
      <c r="AB8" s="1177" t="s">
        <v>714</v>
      </c>
    </row>
    <row r="9" spans="1:28" ht="14.4" customHeight="1" thickTop="1" thickBot="1" x14ac:dyDescent="0.35">
      <c r="A9" s="1364" t="str">
        <f>IFERROR(INDEX(ФО!A:E,MATCH(C7,ФО!A:A,0),4),"")</f>
        <v>423452, Республика Татарстан, г. Альметьевск, Альметьевский район, ул. Пушкина, д. 66, пом. 1</v>
      </c>
      <c r="B9" s="1365"/>
      <c r="C9" s="1365"/>
      <c r="D9" s="1365"/>
      <c r="E9" s="1365"/>
      <c r="F9" s="1366"/>
      <c r="J9" s="905" t="str">
        <f>IF(OR(K9=CHALLANGE_draft!$DR$27,K9=CHALLANGE_draft!$DR$28,K9=CHALLANGE_draft!$DR$29,K9=CHALLANGE_draft!$DR$30),"БР",IF(K9="","",IF(OR(K9=O$2,K9=O$3,K9=O$4,K9=O$5,K9=O$6,K9=O$7,K9=O$8,K9=O$9,K9=O$10,K9=O$11,K9=O$12,K9=O$13,K9=O$14,K9=O$15,K9=O$16),"ОК","БР")))</f>
        <v/>
      </c>
      <c r="K9" s="787" t="str">
        <f>ANALYSE!A10</f>
        <v/>
      </c>
      <c r="L9" s="788" t="str">
        <f>ANALYSE!B10</f>
        <v/>
      </c>
      <c r="M9" s="906" t="str">
        <f>ANALYSE!C10</f>
        <v/>
      </c>
      <c r="N9" s="906" t="str">
        <f>ANALYSE!D10</f>
        <v/>
      </c>
      <c r="O9" s="923"/>
      <c r="P9" s="451"/>
      <c r="Q9" s="452"/>
      <c r="S9" s="499" t="s">
        <v>678</v>
      </c>
      <c r="T9" s="1194" t="str">
        <f>CHALLANGE_draft!ADR3</f>
        <v/>
      </c>
      <c r="U9" s="1191" t="str">
        <f>CHALLANGE_draft!ADR4</f>
        <v/>
      </c>
      <c r="V9" s="1192" t="str">
        <f>CHALLANGE_draft!ADR5</f>
        <v/>
      </c>
      <c r="W9" s="1193" t="str">
        <f>CHALLANGE_draft!ADR6</f>
        <v/>
      </c>
      <c r="X9" s="1193" t="str">
        <f>CHALLANGE_draft!ADR7</f>
        <v/>
      </c>
      <c r="Y9" s="1193" t="str">
        <f>CHALLANGE_draft!ADR8</f>
        <v/>
      </c>
      <c r="Z9" s="1193" t="str">
        <f>CHALLANGE_draft!ADR9</f>
        <v/>
      </c>
      <c r="AA9" s="1200" t="str">
        <f>IFERROR(Y9-Z9,"")</f>
        <v/>
      </c>
      <c r="AB9" s="1195" t="str">
        <f>IF(AA9="",X9,AA9)</f>
        <v/>
      </c>
    </row>
    <row r="10" spans="1:28" ht="14.4" customHeight="1" thickTop="1" thickBot="1" x14ac:dyDescent="0.35">
      <c r="A10" s="752" t="s">
        <v>3</v>
      </c>
      <c r="B10" s="753" t="s">
        <v>2</v>
      </c>
      <c r="C10" s="763" t="s">
        <v>6082</v>
      </c>
      <c r="D10" s="763" t="s">
        <v>197</v>
      </c>
      <c r="E10" s="755"/>
      <c r="F10" s="756"/>
      <c r="J10" s="905" t="str">
        <f>IF(OR(K10=CHALLANGE_draft!$DR$27,K10=CHALLANGE_draft!$DR$28,K10=CHALLANGE_draft!$DR$29,K10=CHALLANGE_draft!$DR$30),"БР",IF(K10="","",IF(OR(K10=O$2,K10=O$3,K10=O$4,K10=O$5,K10=O$6,K10=O$7,K10=O$8,K10=O$9,K10=O$10,K10=O$11,K10=O$12,K10=O$13,K10=O$14,K10=O$15,K10=O$16),"ОК","БР")))</f>
        <v/>
      </c>
      <c r="K10" s="787" t="str">
        <f>ANALYSE!A11</f>
        <v/>
      </c>
      <c r="L10" s="788" t="str">
        <f>ANALYSE!B11</f>
        <v/>
      </c>
      <c r="M10" s="906" t="str">
        <f>ANALYSE!C11</f>
        <v/>
      </c>
      <c r="N10" s="906" t="str">
        <f>ANALYSE!D11</f>
        <v/>
      </c>
      <c r="O10" s="923"/>
      <c r="P10" s="451"/>
      <c r="Q10" s="452"/>
      <c r="S10" s="1138" t="s">
        <v>9497</v>
      </c>
      <c r="T10" s="1196" t="str">
        <f>CHALLANGE_draft!RB3</f>
        <v>ООО «Сибирская Ассистанская Компания»</v>
      </c>
      <c r="U10" s="921" t="str">
        <f>CHALLANGE_draft!RB4</f>
        <v/>
      </c>
      <c r="V10" s="1178" t="str">
        <f>CHALLANGE_draft!RB5</f>
        <v>45/06/19</v>
      </c>
      <c r="W10" s="1205" t="str">
        <f>CHALLANGE_draft!RB6</f>
        <v/>
      </c>
      <c r="X10" s="1205" t="str">
        <f>CHALLANGE_draft!RB7</f>
        <v/>
      </c>
      <c r="Y10" s="1205" t="str">
        <f>CHALLANGE_draft!RB8</f>
        <v/>
      </c>
      <c r="Z10" s="1205" t="str">
        <f>CHALLANGE_draft!RB9</f>
        <v/>
      </c>
      <c r="AA10" s="1201" t="str">
        <f t="shared" ref="AA10:AA12" si="0">IFERROR(Y10-Z10,"")</f>
        <v/>
      </c>
      <c r="AB10" s="1197" t="str">
        <f t="shared" ref="AB10:AB12" si="1">IF(AA10="",X10,AA10)</f>
        <v/>
      </c>
    </row>
    <row r="11" spans="1:28" ht="14.4" customHeight="1" thickTop="1" x14ac:dyDescent="0.3">
      <c r="A11" s="217" t="str">
        <f>CHALLANGE!D7</f>
        <v>Е.Л. Писаревский</v>
      </c>
      <c r="B11" s="216" t="str">
        <f>CHALLANGE!D6</f>
        <v>ОШИБКИ</v>
      </c>
      <c r="C11" s="216" t="str">
        <f>CHALLANGE!D81</f>
        <v>Предоставлены</v>
      </c>
      <c r="D11" s="217" t="str">
        <f>CHALLANGE!C4</f>
        <v>ОСАГО</v>
      </c>
      <c r="E11" s="217" t="str">
        <f>CHALLANGE!C5</f>
        <v>УЩЕРБ</v>
      </c>
      <c r="F11" s="217" t="str">
        <f>CHALLANGE_draft!MW4</f>
        <v>ПВУ</v>
      </c>
      <c r="J11" s="905" t="str">
        <f>IF(OR(K11=CHALLANGE_draft!$DR$27,K11=CHALLANGE_draft!$DR$28,K11=CHALLANGE_draft!$DR$29,K11=CHALLANGE_draft!$DR$30),"БР",IF(K11="","",IF(OR(K11=O$2,K11=O$3,K11=O$4,K11=O$5,K11=O$6,K11=O$7,K11=O$8,K11=O$9,K11=O$10,K11=O$11,K11=O$12,K11=O$13,K11=O$14,K11=O$15,K11=O$16),"ОК","БР")))</f>
        <v/>
      </c>
      <c r="K11" s="787" t="str">
        <f>ANALYSE!A12</f>
        <v/>
      </c>
      <c r="L11" s="788" t="str">
        <f>ANALYSE!B12</f>
        <v/>
      </c>
      <c r="M11" s="906" t="str">
        <f>ANALYSE!C12</f>
        <v/>
      </c>
      <c r="N11" s="906" t="str">
        <f>ANALYSE!D12</f>
        <v/>
      </c>
      <c r="O11" s="923"/>
      <c r="P11" s="451"/>
      <c r="Q11" s="452"/>
      <c r="S11" s="1138" t="s">
        <v>9498</v>
      </c>
      <c r="T11" s="1196" t="str">
        <f>CHALLANGE_draft!RB10</f>
        <v/>
      </c>
      <c r="U11" s="921" t="str">
        <f>CHALLANGE_draft!RB11</f>
        <v/>
      </c>
      <c r="V11" s="1178" t="str">
        <f>CHALLANGE_draft!RB12</f>
        <v/>
      </c>
      <c r="W11" s="1205" t="str">
        <f>CHALLANGE_draft!RB13</f>
        <v/>
      </c>
      <c r="X11" s="1205" t="str">
        <f>CHALLANGE_draft!RB14</f>
        <v/>
      </c>
      <c r="Y11" s="1205" t="str">
        <f>CHALLANGE_draft!RB15</f>
        <v/>
      </c>
      <c r="Z11" s="1205" t="str">
        <f>CHALLANGE_draft!RB16</f>
        <v/>
      </c>
      <c r="AA11" s="1201" t="str">
        <f t="shared" si="0"/>
        <v/>
      </c>
      <c r="AB11" s="1197" t="str">
        <f t="shared" si="1"/>
        <v/>
      </c>
    </row>
    <row r="12" spans="1:28" ht="14.4" customHeight="1" thickBot="1" x14ac:dyDescent="0.35">
      <c r="G12" s="6"/>
      <c r="I12" t="s">
        <v>149</v>
      </c>
      <c r="J12" s="905" t="str">
        <f>IF(OR(K12=CHALLANGE_draft!$DR$27,K12=CHALLANGE_draft!$DR$28,K12=CHALLANGE_draft!$DR$29,K12=CHALLANGE_draft!$DR$30),"БР",IF(K12="","",IF(OR(K12=O$2,K12=O$3,K12=O$4,K12=O$5,K12=O$6,K12=O$7,K12=O$8,K12=O$9,K12=O$10,K12=O$11,K12=O$12,K12=O$13,K12=O$14,K12=O$15,K12=O$16),"ОК","БР")))</f>
        <v/>
      </c>
      <c r="K12" s="787" t="str">
        <f>ANALYSE!A13</f>
        <v/>
      </c>
      <c r="L12" s="788" t="str">
        <f>ANALYSE!B13</f>
        <v/>
      </c>
      <c r="M12" s="906" t="str">
        <f>ANALYSE!C13</f>
        <v/>
      </c>
      <c r="N12" s="906" t="str">
        <f>ANALYSE!D13</f>
        <v/>
      </c>
      <c r="O12" s="923"/>
      <c r="P12" s="451"/>
      <c r="Q12" s="452"/>
      <c r="S12" s="1139" t="s">
        <v>9499</v>
      </c>
      <c r="T12" s="1198" t="str">
        <f>CHALLANGE_draft!RB17</f>
        <v/>
      </c>
      <c r="U12" s="1188" t="str">
        <f>CHALLANGE_draft!RB18</f>
        <v/>
      </c>
      <c r="V12" s="1189" t="str">
        <f>CHALLANGE_draft!RB19</f>
        <v/>
      </c>
      <c r="W12" s="1190" t="str">
        <f>CHALLANGE_draft!RB20</f>
        <v/>
      </c>
      <c r="X12" s="1190" t="str">
        <f>CHALLANGE_draft!RB21</f>
        <v/>
      </c>
      <c r="Y12" s="1190" t="str">
        <f>CHALLANGE_draft!RB22</f>
        <v/>
      </c>
      <c r="Z12" s="1190" t="str">
        <f>CHALLANGE_draft!RB23</f>
        <v/>
      </c>
      <c r="AA12" s="1202" t="str">
        <f t="shared" si="0"/>
        <v/>
      </c>
      <c r="AB12" s="1199" t="str">
        <f t="shared" si="1"/>
        <v/>
      </c>
    </row>
    <row r="13" spans="1:28" ht="14.4" customHeight="1" thickTop="1" thickBot="1" x14ac:dyDescent="0.35">
      <c r="B13" s="6" t="b">
        <v>0</v>
      </c>
      <c r="I13" t="s">
        <v>149</v>
      </c>
      <c r="J13" s="905" t="str">
        <f>IF(OR(K13=CHALLANGE_draft!$DR$27,K13=CHALLANGE_draft!$DR$28,K13=CHALLANGE_draft!$DR$29,K13=CHALLANGE_draft!$DR$30),"БР",IF(K13="","",IF(OR(K13=O$2,K13=O$3,K13=O$4,K13=O$5,K13=O$6,K13=O$7,K13=O$8,K13=O$9,K13=O$10,K13=O$11,K13=O$12,K13=O$13,K13=O$14,K13=O$15,K13=O$16),"ОК","БР")))</f>
        <v/>
      </c>
      <c r="K13" s="787" t="str">
        <f>ANALYSE!A14</f>
        <v/>
      </c>
      <c r="L13" s="788" t="str">
        <f>ANALYSE!B14</f>
        <v/>
      </c>
      <c r="M13" s="906" t="str">
        <f>ANALYSE!C14</f>
        <v/>
      </c>
      <c r="N13" s="906" t="str">
        <f>ANALYSE!D14</f>
        <v/>
      </c>
      <c r="O13" s="923"/>
      <c r="P13" s="451"/>
      <c r="Q13" s="452"/>
    </row>
    <row r="14" spans="1:28" ht="14.4" customHeight="1" thickTop="1" thickBot="1" x14ac:dyDescent="0.35">
      <c r="A14" s="468" t="s">
        <v>5576</v>
      </c>
      <c r="B14" s="475" t="s">
        <v>5</v>
      </c>
      <c r="C14" s="468" t="s">
        <v>8433</v>
      </c>
      <c r="D14" s="468" t="s">
        <v>5</v>
      </c>
      <c r="E14" s="468" t="s">
        <v>627</v>
      </c>
      <c r="F14" s="468" t="s">
        <v>653</v>
      </c>
      <c r="G14" s="468" t="s">
        <v>456</v>
      </c>
      <c r="H14" s="468" t="s">
        <v>5577</v>
      </c>
      <c r="I14" t="s">
        <v>149</v>
      </c>
      <c r="J14" s="905" t="str">
        <f>IF(OR(K14=CHALLANGE_draft!$DR$27,K14=CHALLANGE_draft!$DR$28,K14=CHALLANGE_draft!$DR$29,K14=CHALLANGE_draft!$DR$30),"БР",IF(K14="","",IF(OR(K14=O$2,K14=O$3,K14=O$4,K14=O$5,K14=O$6,K14=O$7,K14=O$8,K14=O$9,K14=O$10,K14=O$11,K14=O$12,K14=O$13,K14=O$14,K14=O$15,K14=O$16),"ОК","БР")))</f>
        <v/>
      </c>
      <c r="K14" s="787" t="str">
        <f>ANALYSE!A15</f>
        <v/>
      </c>
      <c r="L14" s="788" t="str">
        <f>ANALYSE!B15</f>
        <v/>
      </c>
      <c r="M14" s="906" t="str">
        <f>ANALYSE!C15</f>
        <v/>
      </c>
      <c r="N14" s="906" t="str">
        <f>ANALYSE!D15</f>
        <v/>
      </c>
      <c r="O14" s="923"/>
      <c r="P14" s="451"/>
      <c r="Q14" s="452"/>
    </row>
    <row r="15" spans="1:28" ht="14.4" customHeight="1" thickTop="1" x14ac:dyDescent="0.3">
      <c r="A15" s="1258" t="s">
        <v>2188</v>
      </c>
      <c r="B15" s="1264">
        <f>IFERROR(CHALLANGE!D89,"")</f>
        <v>43626</v>
      </c>
      <c r="C15" s="1254" t="s">
        <v>1246</v>
      </c>
      <c r="D15" s="1255">
        <v>43976</v>
      </c>
      <c r="E15" s="1256">
        <v>400000</v>
      </c>
      <c r="F15" s="473">
        <f>IF($B$18&lt;$C$3,
MAX(D15-$C$3+1,0),
IF($B$44&lt;&gt;"",MAX(D15-$B$46+1,0),
IF($B$34&lt;&gt;"",
(IF(C15="Ущерб",MAX($B$34-$B$18,0),IF(C15=$A$19,MAX($B$34-$B$20,0),IF(C15=$A$21,MAX($B$34-$B$22,0),IF(C15=$A$23,MAX($B$34-$B$24,0),0)))))+(IF(C15="Ущерб",MAX(D15-$B$35,0),IF(C15=$A$19,MAX(D15-$B$35,0),IF(C15=$A$21,MAX(D15-$B$35,0),IF(C15=$A$23,MAX(D15-$B$35,0),0))))),
IF(C15="Ущерб",MAX(D15-$B$18+1,0),IF(C15=$A$19,MAX(D15-$B$20+1,0),IF(C15=$A$21,MAX(D15-$B$22+1,0),IF(C15=$A$23,MAX(D15-$B$24+1,0),0)))))))</f>
        <v>60</v>
      </c>
      <c r="G15" s="474">
        <f>IFERROR(E15*F15*0.01,"")</f>
        <v>240000</v>
      </c>
      <c r="H15" s="278" t="str">
        <f>IF(ISBLANK(G15),"",SUBSTITUTE(TEXT(G15,"# ##0\ рублей ,00\ копеек"),",",))</f>
        <v>240 000 рублей 00 копеек</v>
      </c>
      <c r="I15" t="s">
        <v>149</v>
      </c>
      <c r="J15" s="905" t="str">
        <f>IF(OR(K15=CHALLANGE_draft!$DR$27,K15=CHALLANGE_draft!$DR$28,K15=CHALLANGE_draft!$DR$29,K15=CHALLANGE_draft!$DR$30),"БР",IF(K15="","",IF(OR(K15=O$2,K15=O$3,K15=O$4,K15=O$5,K15=O$6,K15=O$7,K15=O$8,K15=O$9,K15=O$10,K15=O$11,K15=O$12,K15=O$13,K15=O$14,K15=O$15,K15=O$16),"ОК","БР")))</f>
        <v/>
      </c>
      <c r="K15" s="787" t="str">
        <f>ANALYSE!A16</f>
        <v/>
      </c>
      <c r="L15" s="788" t="str">
        <f>ANALYSE!B16</f>
        <v/>
      </c>
      <c r="M15" s="906" t="str">
        <f>ANALYSE!C16</f>
        <v/>
      </c>
      <c r="N15" s="906" t="str">
        <f>ANALYSE!D16</f>
        <v/>
      </c>
      <c r="O15" s="923"/>
      <c r="P15" s="451"/>
      <c r="Q15" s="452"/>
    </row>
    <row r="16" spans="1:28" ht="14.4" customHeight="1" thickBot="1" x14ac:dyDescent="0.35">
      <c r="A16" s="1259" t="s">
        <v>213</v>
      </c>
      <c r="B16" s="786">
        <f>IFERROR(IF(CHALLANGE_draft!KB3="",IF(CHALLANGE_draft!ID3="ТОТ",CHALLANGE_draft!JH3,IF(CHALLANGE_draft!KG3="ТОТ",CHALLANGE_draft!KT3,"")),CHALLANGE_draft!KB3),"")</f>
        <v>43560</v>
      </c>
      <c r="C16" s="1254"/>
      <c r="D16" s="1255"/>
      <c r="E16" s="1256"/>
      <c r="F16" s="473">
        <f>IF($B$18&lt;$C$3,
MAX(D16-$C$3+1,0),
IF($B$44&lt;&gt;"",MAX(D16-$B$46+1,0),
IF($B$34&lt;&gt;"",
(IF(C16="Ущерб",MAX($B$34-$B$18,0),IF(C16=$A$19,MAX($B$34-$B$20,0),IF(C16=$A$21,MAX($B$34-$B$22,0),IF(C16=$A$23,MAX($B$34-$B$24,0),0)))))+(IF(C16="Ущерб",MAX(D16-$B$35,0),IF(C16=$A$19,MAX(D16-$B$35,0),IF(C16=$A$21,MAX(D16-$B$35,0),IF(C16=$A$23,MAX(D16-$B$35,0),0))))),
IF(C16="Ущерб",MAX(D16-$B$18+1,0),IF(C16=$A$19,MAX(D16-$B$20+1,0),IF(C16=$A$21,MAX(D16-$B$22+1,0),IF(C16=$A$23,MAX(D16-$B$24+1,0),0)))))))</f>
        <v>0</v>
      </c>
      <c r="G16" s="474">
        <f t="shared" ref="G16:G29" si="2">IFERROR(E16*F16*0.01,"")</f>
        <v>0</v>
      </c>
      <c r="H16" s="278" t="str">
        <f t="shared" ref="H16:H37" si="3">IF(ISBLANK(G16),"",SUBSTITUTE(TEXT(G16,"# ##0\ рублей ,00\ копеек"),",",))</f>
        <v>0 рублей 00 копеек</v>
      </c>
      <c r="I16" t="s">
        <v>149</v>
      </c>
      <c r="J16" s="907" t="str">
        <f>IF(OR(K16=CHALLANGE_draft!$DR$27,K16=CHALLANGE_draft!$DR$28,K16=CHALLANGE_draft!$DR$29,K16=CHALLANGE_draft!$DR$30),"БР",IF(K16="","",IF(OR(K16=O$2,K16=O$3,K16=O$4,K16=O$5,K16=O$6,K16=O$7,K16=O$8,K16=O$9,K16=O$10,K16=O$11,K16=O$12,K16=O$13,K16=O$14,K16=O$15,K16=O$16),"ОК","БР")))</f>
        <v/>
      </c>
      <c r="K16" s="908" t="str">
        <f>ANALYSE!A17</f>
        <v/>
      </c>
      <c r="L16" s="909" t="str">
        <f>ANALYSE!B17</f>
        <v/>
      </c>
      <c r="M16" s="910" t="str">
        <f>ANALYSE!C17</f>
        <v/>
      </c>
      <c r="N16" s="910" t="str">
        <f>ANALYSE!D17</f>
        <v/>
      </c>
      <c r="O16" s="924"/>
      <c r="P16" s="453"/>
      <c r="Q16" s="454"/>
    </row>
    <row r="17" spans="1:16" ht="14.4" customHeight="1" thickTop="1" thickBot="1" x14ac:dyDescent="0.35">
      <c r="A17" s="1260" t="s">
        <v>606</v>
      </c>
      <c r="B17" s="789">
        <f>IF(ISBLANK(B27),IFERROR(CHALLANGE!D103,""),B27)</f>
        <v>43627</v>
      </c>
      <c r="C17" s="1254"/>
      <c r="D17" s="1255"/>
      <c r="E17" s="1256"/>
      <c r="F17" s="473">
        <f t="shared" ref="F17:F29" si="4">IF($B$18&lt;$C$3,
MAX(D17-$C$3+1,0),
IF($B$44&lt;&gt;"",MAX(D17-$B$46+1,0),
IF($B$34&lt;&gt;"",
(IF(C17="Ущерб",MAX($B$34-$B$18,0),IF(C17=$A$19,MAX($B$34-$B$20,0),IF(C17=$A$21,MAX($B$34-$B$22,0),IF(C17=$A$23,MAX($B$34-$B$24,0),0)))))+(IF(C17="Ущерб",MAX(D17-$B$35,0),IF(C17=$A$19,MAX(D17-$B$35,0),IF(C17=$A$21,MAX(D17-$B$35,0),IF(C17=$A$23,MAX(D17-$B$35,0),0))))),
IF(C17="Ущерб",MAX(D17-$B$18+1,0),IF(C17=$A$19,MAX(D17-$B$20+1,0),IF(C17=$A$21,MAX(D17-$B$22+1,0),IF(C17=$A$23,MAX(D17-$B$24+1,0),0)))))))</f>
        <v>0</v>
      </c>
      <c r="G17" s="474">
        <f t="shared" si="2"/>
        <v>0</v>
      </c>
      <c r="H17" s="278" t="str">
        <f t="shared" si="3"/>
        <v>0 рублей 00 копеек</v>
      </c>
      <c r="I17" t="s">
        <v>149</v>
      </c>
      <c r="K17" s="781" t="s">
        <v>45</v>
      </c>
      <c r="L17" s="784">
        <f>SUM(L2:L16)</f>
        <v>100000</v>
      </c>
      <c r="M17" s="841"/>
      <c r="N17" s="841"/>
      <c r="P17" s="324"/>
    </row>
    <row r="18" spans="1:16" ht="14.4" customHeight="1" thickTop="1" thickBot="1" x14ac:dyDescent="0.35">
      <c r="A18" s="1261" t="s">
        <v>5575</v>
      </c>
      <c r="B18" s="786">
        <f>IFERROR(IF(B13,IF(WEEKDAY(WORKDAY.INTL(B17,20,"0000000",DRAFT!AX2:AX115),2)=6,WORKDAY.INTL(B17,20,"0000000",DRAFT!AX2:AX115)+2,IF(WEEKDAY(WORKDAY.INTL(B17,20,"0000000",DRAFT!AX2:AX115),2)=7,WORKDAY.INTL(B17,20,"0000000",DRAFT!AX2:AX115)+1,WORKDAY.INTL(B17,20,"0000000",DRAFT!AX2:AX115)))+1,IF(WEEKDAY(WORKDAY.INTL(B17,20,"0000000",DRAFT!AW2:AW113),2)=6,WORKDAY.INTL(B17,20,"0000000",DRAFT!AW2:AW113)+2,IF(WEEKDAY(WORKDAY.INTL(B17,20,"0000000",DRAFT!AW2:AW113),2)=7,WORKDAY.INTL(B17,20,"0000000",DRAFT!AW2:AW113)+1,WORKDAY.INTL(B17,20,"0000000",DRAFT!AW2:AW113)))+1),"")</f>
        <v>43649</v>
      </c>
      <c r="C18" s="1254"/>
      <c r="D18" s="1255"/>
      <c r="E18" s="1256"/>
      <c r="F18" s="473">
        <f t="shared" si="4"/>
        <v>0</v>
      </c>
      <c r="G18" s="474">
        <f t="shared" si="2"/>
        <v>0</v>
      </c>
      <c r="H18" s="278" t="str">
        <f t="shared" si="3"/>
        <v>0 рублей 00 копеек</v>
      </c>
      <c r="I18" t="s">
        <v>149</v>
      </c>
      <c r="J18" s="324"/>
      <c r="K18" s="303" t="s">
        <v>641</v>
      </c>
      <c r="L18" s="1247">
        <f>CHALLANGE_draft!APV3</f>
        <v>100000</v>
      </c>
      <c r="M18" s="840"/>
      <c r="N18" s="840"/>
      <c r="O18" s="904"/>
    </row>
    <row r="19" spans="1:16" ht="14.4" customHeight="1" thickTop="1" thickBot="1" x14ac:dyDescent="0.35">
      <c r="A19" s="476" t="s">
        <v>604</v>
      </c>
      <c r="B19" s="1265"/>
      <c r="C19" s="1254"/>
      <c r="D19" s="1255"/>
      <c r="E19" s="1256"/>
      <c r="F19" s="473">
        <f t="shared" si="4"/>
        <v>0</v>
      </c>
      <c r="G19" s="474">
        <f t="shared" si="2"/>
        <v>0</v>
      </c>
      <c r="H19" s="278" t="str">
        <f t="shared" si="3"/>
        <v>0 рублей 00 копеек</v>
      </c>
      <c r="I19" t="s">
        <v>149</v>
      </c>
      <c r="K19" s="303" t="s">
        <v>4064</v>
      </c>
      <c r="L19" s="374">
        <f>L18-L17</f>
        <v>0</v>
      </c>
      <c r="M19" s="839"/>
      <c r="N19" s="839"/>
    </row>
    <row r="20" spans="1:16" ht="14.4" customHeight="1" thickTop="1" thickBot="1" x14ac:dyDescent="0.35">
      <c r="A20" s="1261" t="s">
        <v>5575</v>
      </c>
      <c r="B20" s="786">
        <f>IFERROR(IF(B13,IF(WEEKDAY(WORKDAY.INTL(B19,20,"0000000",DRAFT!AX2:AX115),2)=6,WORKDAY.INTL(B19,20,"0000000",DRAFT!AX2:AX115)+2,IF(WEEKDAY(WORKDAY.INTL(B19,20,"0000000",DRAFT!AX2:AX115),2)=7,WORKDAY.INTL(B19,20,"0000000",DRAFT!AX2:AX115)+1,WORKDAY.INTL(B19,20,"0000000",DRAFT!AX2:AX115)))+1,IF(WEEKDAY(WORKDAY.INTL(B19,20,"0000000",DRAFT!AW2:AW113),2)=6,WORKDAY.INTL(B19,20,"0000000",DRAFT!AW2:AW113)+2,IF(WEEKDAY(WORKDAY.INTL(B19,20,"0000000",DRAFT!AW2:AW113),2)=7,WORKDAY.INTL(B19,20,"0000000",DRAFT!AW2:AW113)+1,WORKDAY.INTL(B19,20,"0000000",DRAFT!AW2:AW113)))+1),"")</f>
        <v>21</v>
      </c>
      <c r="C20" s="1254"/>
      <c r="D20" s="1255"/>
      <c r="E20" s="1256"/>
      <c r="F20" s="473">
        <f t="shared" si="4"/>
        <v>0</v>
      </c>
      <c r="G20" s="474">
        <f t="shared" si="2"/>
        <v>0</v>
      </c>
      <c r="H20" s="278" t="str">
        <f t="shared" si="3"/>
        <v>0 рублей 00 копеек</v>
      </c>
      <c r="I20" t="s">
        <v>149</v>
      </c>
      <c r="M20" s="99"/>
      <c r="N20" s="99"/>
    </row>
    <row r="21" spans="1:16" ht="15" thickTop="1" x14ac:dyDescent="0.3">
      <c r="A21" s="476" t="s">
        <v>1117</v>
      </c>
      <c r="B21" s="1265"/>
      <c r="C21" s="1254"/>
      <c r="D21" s="1255"/>
      <c r="E21" s="1256"/>
      <c r="F21" s="473">
        <f t="shared" si="4"/>
        <v>0</v>
      </c>
      <c r="G21" s="474">
        <f t="shared" si="2"/>
        <v>0</v>
      </c>
      <c r="H21" s="278" t="str">
        <f t="shared" si="3"/>
        <v>0 рублей 00 копеек</v>
      </c>
      <c r="I21" t="s">
        <v>149</v>
      </c>
    </row>
    <row r="22" spans="1:16" ht="15" thickBot="1" x14ac:dyDescent="0.35">
      <c r="A22" s="1261" t="s">
        <v>5575</v>
      </c>
      <c r="B22" s="786">
        <f>IFERROR(IF(B13,IF(WEEKDAY(WORKDAY.INTL(B21,20,"0000000",DRAFT!AX2:AX115),2)=6,WORKDAY.INTL(B21,20,"0000000",DRAFT!AX2:AX115)+2,IF(WEEKDAY(WORKDAY.INTL(B21,20,"0000000",DRAFT!AX2:AX115),2)=7,WORKDAY.INTL(B21,20,"0000000",DRAFT!AX2:AX115)+1,WORKDAY.INTL(B21,20,"0000000",DRAFT!AX2:AX115)))+1,IF(WEEKDAY(WORKDAY.INTL(B21,20,"0000000",DRAFT!AW2:AW113),2)=6,WORKDAY.INTL(B21,20,"0000000",DRAFT!AW2:AW113)+2,IF(WEEKDAY(WORKDAY.INTL(B21,20,"0000000",DRAFT!AW2:AW113),2)=7,WORKDAY.INTL(B21,20,"0000000",DRAFT!AW2:AW113)+1,WORKDAY.INTL(B21,20,"0000000",DRAFT!AW2:AW113)))+1),"")</f>
        <v>21</v>
      </c>
      <c r="C22" s="1254"/>
      <c r="D22" s="1255"/>
      <c r="E22" s="1256"/>
      <c r="F22" s="473">
        <f t="shared" si="4"/>
        <v>0</v>
      </c>
      <c r="G22" s="474">
        <f t="shared" ref="G22:G27" si="5">IFERROR(E22*F22*0.01,"")</f>
        <v>0</v>
      </c>
      <c r="H22" s="278" t="str">
        <f t="shared" ref="H22:H27" si="6">IF(ISBLANK(G22),"",SUBSTITUTE(TEXT(G22,"# ##0\ рублей ,00\ копеек"),",",))</f>
        <v>0 рублей 00 копеек</v>
      </c>
      <c r="I22" t="s">
        <v>149</v>
      </c>
    </row>
    <row r="23" spans="1:16" ht="15.75" customHeight="1" thickTop="1" x14ac:dyDescent="0.3">
      <c r="A23" s="476" t="s">
        <v>4951</v>
      </c>
      <c r="B23" s="1265"/>
      <c r="C23" s="1254"/>
      <c r="D23" s="1255"/>
      <c r="E23" s="1256"/>
      <c r="F23" s="473">
        <f t="shared" si="4"/>
        <v>0</v>
      </c>
      <c r="G23" s="474">
        <f t="shared" si="5"/>
        <v>0</v>
      </c>
      <c r="H23" s="278" t="str">
        <f t="shared" si="6"/>
        <v>0 рублей 00 копеек</v>
      </c>
      <c r="I23" t="s">
        <v>149</v>
      </c>
      <c r="J23" s="6"/>
      <c r="K23" s="1355" t="str">
        <f>CHALLANGE_draft!OB3</f>
        <v>ОТВЕТА НЕТ</v>
      </c>
      <c r="L23" s="1355"/>
      <c r="M23" s="1355"/>
      <c r="N23" s="1355"/>
      <c r="O23" s="1355"/>
    </row>
    <row r="24" spans="1:16" ht="15" thickBot="1" x14ac:dyDescent="0.35">
      <c r="A24" s="1261" t="s">
        <v>5575</v>
      </c>
      <c r="B24" s="786" t="str">
        <f>IF(ISBLANK(B23),"",IF(WEEKDAY(WORKDAY.INTL(B23,20,"0000000",DRAFT!X8:X131),2)=6,WORKDAY.INTL(B23,20,"0000000",DRAFT!X8:X131)+2,IF(WEEKDAY(WORKDAY.INTL(B23,20,"0000000",DRAFT!X8:X131),2)=7,WORKDAY.INTL(B23,20,"0000000",DRAFT!X8:X131)+1,WORKDAY.INTL(B23,20,"0000000",DRAFT!X8:X131)))+1)</f>
        <v/>
      </c>
      <c r="C24" s="1254"/>
      <c r="D24" s="1255"/>
      <c r="E24" s="1256"/>
      <c r="F24" s="473">
        <f t="shared" si="4"/>
        <v>0</v>
      </c>
      <c r="G24" s="474">
        <f t="shared" si="5"/>
        <v>0</v>
      </c>
      <c r="H24" s="278" t="str">
        <f t="shared" si="6"/>
        <v>0 рублей 00 копеек</v>
      </c>
      <c r="I24" t="s">
        <v>149</v>
      </c>
      <c r="K24" s="1355"/>
      <c r="L24" s="1355"/>
      <c r="M24" s="1355"/>
      <c r="N24" s="1355"/>
      <c r="O24" s="1355"/>
    </row>
    <row r="25" spans="1:16" ht="15" thickTop="1" x14ac:dyDescent="0.3">
      <c r="A25" s="1260" t="s">
        <v>5567</v>
      </c>
      <c r="B25" s="1266"/>
      <c r="C25" s="1254"/>
      <c r="D25" s="1255"/>
      <c r="E25" s="1256"/>
      <c r="F25" s="473">
        <f t="shared" si="4"/>
        <v>0</v>
      </c>
      <c r="G25" s="474">
        <f t="shared" si="5"/>
        <v>0</v>
      </c>
      <c r="H25" s="278" t="str">
        <f t="shared" si="6"/>
        <v>0 рублей 00 копеек</v>
      </c>
      <c r="I25" t="s">
        <v>149</v>
      </c>
      <c r="K25" s="1355"/>
      <c r="L25" s="1355"/>
      <c r="M25" s="1355"/>
      <c r="N25" s="1355"/>
      <c r="O25" s="1355"/>
    </row>
    <row r="26" spans="1:16" x14ac:dyDescent="0.3">
      <c r="A26" s="1262" t="b">
        <v>0</v>
      </c>
      <c r="B26" s="1267" t="str">
        <f>IF(ISBLANK(B25),"",IF(A26,IF((B25-B17)&gt;0,"LATE","NORM"),IF((B25-B17)&gt;3,"LATE","NORM")))</f>
        <v/>
      </c>
      <c r="C26" s="1254"/>
      <c r="D26" s="1255"/>
      <c r="E26" s="1256"/>
      <c r="F26" s="473">
        <f t="shared" si="4"/>
        <v>0</v>
      </c>
      <c r="G26" s="474">
        <f t="shared" si="5"/>
        <v>0</v>
      </c>
      <c r="H26" s="278" t="str">
        <f t="shared" si="6"/>
        <v>0 рублей 00 копеек</v>
      </c>
      <c r="I26" t="s">
        <v>149</v>
      </c>
      <c r="K26" s="1355"/>
      <c r="L26" s="1355"/>
      <c r="M26" s="1355"/>
      <c r="N26" s="1355"/>
      <c r="O26" s="1355"/>
    </row>
    <row r="27" spans="1:16" ht="15" thickBot="1" x14ac:dyDescent="0.35">
      <c r="A27" s="1263" t="s">
        <v>5568</v>
      </c>
      <c r="B27" s="467"/>
      <c r="C27" s="1254"/>
      <c r="D27" s="1255"/>
      <c r="E27" s="1256"/>
      <c r="F27" s="473">
        <f t="shared" si="4"/>
        <v>0</v>
      </c>
      <c r="G27" s="474">
        <f t="shared" si="5"/>
        <v>0</v>
      </c>
      <c r="H27" s="278" t="str">
        <f t="shared" si="6"/>
        <v>0 рублей 00 копеек</v>
      </c>
      <c r="I27" t="s">
        <v>149</v>
      </c>
      <c r="K27" s="1355"/>
      <c r="L27" s="1355"/>
      <c r="M27" s="1355"/>
      <c r="N27" s="1355"/>
      <c r="O27" s="1355"/>
    </row>
    <row r="28" spans="1:16" ht="15" thickTop="1" x14ac:dyDescent="0.3">
      <c r="A28" s="304" t="s">
        <v>5569</v>
      </c>
      <c r="B28" s="518"/>
      <c r="C28" s="1254"/>
      <c r="D28" s="1255"/>
      <c r="E28" s="1256"/>
      <c r="F28" s="473">
        <f t="shared" si="4"/>
        <v>0</v>
      </c>
      <c r="G28" s="474">
        <f t="shared" si="2"/>
        <v>0</v>
      </c>
      <c r="H28" s="278" t="str">
        <f t="shared" si="3"/>
        <v>0 рублей 00 копеек</v>
      </c>
      <c r="I28" t="s">
        <v>149</v>
      </c>
      <c r="K28" s="1355"/>
      <c r="L28" s="1355"/>
      <c r="M28" s="1355"/>
      <c r="N28" s="1355"/>
      <c r="O28" s="1355"/>
    </row>
    <row r="29" spans="1:16" ht="15" thickBot="1" x14ac:dyDescent="0.35">
      <c r="A29" s="309" t="s">
        <v>5570</v>
      </c>
      <c r="B29" s="519"/>
      <c r="C29" s="1254"/>
      <c r="D29" s="1255"/>
      <c r="E29" s="1256"/>
      <c r="F29" s="473">
        <f t="shared" si="4"/>
        <v>0</v>
      </c>
      <c r="G29" s="474">
        <f t="shared" si="2"/>
        <v>0</v>
      </c>
      <c r="H29" s="278" t="str">
        <f t="shared" si="3"/>
        <v>0 рублей 00 копеек</v>
      </c>
      <c r="I29" t="s">
        <v>149</v>
      </c>
      <c r="K29" s="1355"/>
      <c r="L29" s="1355"/>
      <c r="M29" s="1355"/>
      <c r="N29" s="1355"/>
      <c r="O29" s="1355"/>
    </row>
    <row r="30" spans="1:16" ht="15" thickTop="1" x14ac:dyDescent="0.3">
      <c r="A30" s="309" t="s">
        <v>5571</v>
      </c>
      <c r="B30" s="519"/>
      <c r="C30" s="967" t="str">
        <f>IF(ISBLANK($B$34),"",C15)</f>
        <v>Ущерб</v>
      </c>
      <c r="D30" s="537"/>
      <c r="E30" s="970">
        <f>IF(ISBLANK($B$34),"",E15)</f>
        <v>400000</v>
      </c>
      <c r="F30" s="533">
        <f>IFERROR(IF(B44&lt;&gt;"",MAX(B34-B46,0),MAX(B34-B18,0)),0)</f>
        <v>0</v>
      </c>
      <c r="G30" s="503">
        <f t="shared" ref="G30:G37" si="7">IFERROR(E30*F30*0.01,"")</f>
        <v>0</v>
      </c>
      <c r="H30" s="534" t="str">
        <f t="shared" si="3"/>
        <v>0 рублей 00 копеек</v>
      </c>
      <c r="I30" t="s">
        <v>149</v>
      </c>
      <c r="K30" s="1355"/>
      <c r="L30" s="1355"/>
      <c r="M30" s="1355"/>
      <c r="N30" s="1355"/>
      <c r="O30" s="1355"/>
    </row>
    <row r="31" spans="1:16" ht="15" thickBot="1" x14ac:dyDescent="0.35">
      <c r="A31" s="310" t="s">
        <v>5570</v>
      </c>
      <c r="B31" s="520"/>
      <c r="C31" s="968" t="str">
        <f>IF(ISBLANK($B$35),"",C15)</f>
        <v>Ущерб</v>
      </c>
      <c r="D31" s="969">
        <f>IF(ISBLANK($B$34),"",D15)</f>
        <v>43976</v>
      </c>
      <c r="E31" s="971">
        <f>IF(ISBLANK($B$34),"",E15)</f>
        <v>400000</v>
      </c>
      <c r="F31" s="478">
        <f>IF(ISBLANK($B$35),0,MAX(D31-$B$35,0))</f>
        <v>60</v>
      </c>
      <c r="G31" s="479">
        <f t="shared" si="7"/>
        <v>240000</v>
      </c>
      <c r="H31" s="480" t="str">
        <f t="shared" si="3"/>
        <v>240 000 рублей 00 копеек</v>
      </c>
      <c r="I31" t="s">
        <v>149</v>
      </c>
      <c r="K31" s="1355"/>
      <c r="L31" s="1355"/>
      <c r="M31" s="1355"/>
      <c r="N31" s="1355"/>
      <c r="O31" s="1355"/>
    </row>
    <row r="32" spans="1:16" ht="15" thickTop="1" x14ac:dyDescent="0.3">
      <c r="A32" s="521" t="s">
        <v>663</v>
      </c>
      <c r="B32" s="463"/>
      <c r="C32" s="967">
        <f>IF(ISBLANK($B$34),"",C16)</f>
        <v>0</v>
      </c>
      <c r="D32" s="537"/>
      <c r="E32" s="970">
        <f>IF(ISBLANK($B$34),"",E16)</f>
        <v>0</v>
      </c>
      <c r="F32" s="533">
        <f>IF(B44&lt;&gt;"",MAX(B34-B46,0),MAX(B34-B18,0))</f>
        <v>0</v>
      </c>
      <c r="G32" s="503">
        <f t="shared" si="7"/>
        <v>0</v>
      </c>
      <c r="H32" s="534" t="str">
        <f t="shared" ref="H32:H35" si="8">IF(ISBLANK(G32),"",SUBSTITUTE(TEXT(G32,"# ##0\ рублей ,00\ копеек"),",",))</f>
        <v>0 рублей 00 копеек</v>
      </c>
      <c r="I32" t="s">
        <v>149</v>
      </c>
      <c r="K32" s="1355"/>
      <c r="L32" s="1355"/>
      <c r="M32" s="1355"/>
      <c r="N32" s="1355"/>
      <c r="O32" s="1355"/>
    </row>
    <row r="33" spans="1:15" ht="15" thickBot="1" x14ac:dyDescent="0.35">
      <c r="A33" s="516" t="s">
        <v>5572</v>
      </c>
      <c r="B33" s="323" t="str">
        <f>IFERROR(CHALLANGE_draft!SH3,"")</f>
        <v/>
      </c>
      <c r="C33" s="968">
        <f>IF(ISBLANK($B$35),"",C16)</f>
        <v>0</v>
      </c>
      <c r="D33" s="969">
        <f>IF(ISBLANK($B$34),"",D16)</f>
        <v>0</v>
      </c>
      <c r="E33" s="971">
        <f>IF(ISBLANK($B$34),"",E16)</f>
        <v>0</v>
      </c>
      <c r="F33" s="478">
        <f>IF(ISBLANK($B$35),0,MAX(D33-$B$35,0))</f>
        <v>0</v>
      </c>
      <c r="G33" s="479">
        <f t="shared" si="7"/>
        <v>0</v>
      </c>
      <c r="H33" s="480" t="str">
        <f t="shared" si="8"/>
        <v>0 рублей 00 копеек</v>
      </c>
      <c r="I33" t="s">
        <v>149</v>
      </c>
      <c r="K33" s="1355"/>
      <c r="L33" s="1355"/>
      <c r="M33" s="1355"/>
      <c r="N33" s="1355"/>
      <c r="O33" s="1355"/>
    </row>
    <row r="34" spans="1:15" ht="15" thickTop="1" x14ac:dyDescent="0.3">
      <c r="A34" s="521" t="s">
        <v>5584</v>
      </c>
      <c r="B34" s="1290">
        <v>43648</v>
      </c>
      <c r="C34" s="967">
        <f>IF(ISBLANK($B$34),"",C19)</f>
        <v>0</v>
      </c>
      <c r="D34" s="537"/>
      <c r="E34" s="970">
        <f>IF(ISBLANK($B$34),"",E17)</f>
        <v>0</v>
      </c>
      <c r="F34" s="533">
        <f>IF(B44&lt;&gt;"",MAX(B34-B46,0),MAX(B34-B18,0))</f>
        <v>0</v>
      </c>
      <c r="G34" s="503">
        <f t="shared" si="7"/>
        <v>0</v>
      </c>
      <c r="H34" s="534" t="str">
        <f t="shared" si="8"/>
        <v>0 рублей 00 копеек</v>
      </c>
      <c r="I34" t="s">
        <v>149</v>
      </c>
      <c r="K34" s="1355"/>
      <c r="L34" s="1355"/>
      <c r="M34" s="1355"/>
      <c r="N34" s="1355"/>
      <c r="O34" s="1355"/>
    </row>
    <row r="35" spans="1:15" ht="15" thickBot="1" x14ac:dyDescent="0.35">
      <c r="A35" s="554" t="s">
        <v>5585</v>
      </c>
      <c r="B35" s="1291">
        <v>43916</v>
      </c>
      <c r="C35" s="968">
        <f>IF(ISBLANK($B$35),"",C20)</f>
        <v>0</v>
      </c>
      <c r="D35" s="969">
        <f>IF(ISBLANK($B$34),"",D17)</f>
        <v>0</v>
      </c>
      <c r="E35" s="971">
        <f>IF(ISBLANK($B$34),"",E17)</f>
        <v>0</v>
      </c>
      <c r="F35" s="478">
        <f>IF(ISBLANK($B$35),0,MAX(D35-$B$35,0))</f>
        <v>0</v>
      </c>
      <c r="G35" s="479">
        <f>IFERROR(E35*F35*0.01,"")</f>
        <v>0</v>
      </c>
      <c r="H35" s="480" t="str">
        <f t="shared" si="8"/>
        <v>0 рублей 00 копеек</v>
      </c>
      <c r="I35" t="s">
        <v>149</v>
      </c>
      <c r="K35" s="754"/>
      <c r="L35" s="754"/>
      <c r="M35" s="754"/>
      <c r="N35" s="754"/>
      <c r="O35" s="754"/>
    </row>
    <row r="36" spans="1:15" ht="15" thickTop="1" x14ac:dyDescent="0.3">
      <c r="A36" s="554" t="s">
        <v>5584</v>
      </c>
      <c r="B36" s="1291"/>
      <c r="C36" s="967">
        <f>IF(ISBLANK($B$34),"",C21)</f>
        <v>0</v>
      </c>
      <c r="D36" s="537"/>
      <c r="E36" s="970">
        <f>IF(ISBLANK($B$34),"",E18)</f>
        <v>0</v>
      </c>
      <c r="F36" s="533">
        <f>IF(B44&lt;&gt;"",MAX(B34-B46,0),MAX(B34-B18,0))</f>
        <v>0</v>
      </c>
      <c r="G36" s="503">
        <f t="shared" si="7"/>
        <v>0</v>
      </c>
      <c r="H36" s="534" t="str">
        <f t="shared" si="3"/>
        <v>0 рублей 00 копеек</v>
      </c>
      <c r="I36" t="s">
        <v>149</v>
      </c>
      <c r="K36" s="754"/>
      <c r="L36" s="754"/>
      <c r="M36" s="754"/>
      <c r="N36" s="754"/>
      <c r="O36" s="754"/>
    </row>
    <row r="37" spans="1:15" ht="15" thickBot="1" x14ac:dyDescent="0.35">
      <c r="A37" s="554" t="s">
        <v>5585</v>
      </c>
      <c r="B37" s="1291"/>
      <c r="C37" s="968">
        <f>IF(ISBLANK($B$35),"",C22)</f>
        <v>0</v>
      </c>
      <c r="D37" s="969">
        <f>IF(ISBLANK($B$34),"",D18)</f>
        <v>0</v>
      </c>
      <c r="E37" s="971">
        <f>IF(ISBLANK($B$34),"",E18)</f>
        <v>0</v>
      </c>
      <c r="F37" s="478">
        <f>IF(ISBLANK($B$35),0,MAX(D37-$B$35,0))</f>
        <v>0</v>
      </c>
      <c r="G37" s="479">
        <f t="shared" si="7"/>
        <v>0</v>
      </c>
      <c r="H37" s="480" t="str">
        <f t="shared" si="3"/>
        <v>0 рублей 00 копеек</v>
      </c>
      <c r="I37" t="s">
        <v>149</v>
      </c>
      <c r="K37" s="754"/>
      <c r="L37" s="754"/>
      <c r="M37" s="754"/>
      <c r="N37" s="754"/>
      <c r="O37" s="754"/>
    </row>
    <row r="38" spans="1:15" ht="15" thickTop="1" x14ac:dyDescent="0.3">
      <c r="A38" s="554" t="s">
        <v>5584</v>
      </c>
      <c r="B38" s="1291"/>
      <c r="C38" s="485" t="s">
        <v>1246</v>
      </c>
      <c r="D38" s="1367">
        <f>SUMIFS(E$15:E$29,C$15:C$29,C38)</f>
        <v>400000</v>
      </c>
      <c r="E38" s="1368"/>
      <c r="F38" s="741">
        <f>SUMIFS(G$15:G$29,C$15:C$29,C38)</f>
        <v>240000</v>
      </c>
      <c r="G38" s="742"/>
      <c r="H38" s="482" t="str">
        <f>IF(ISBLANK(F38),"",SUBSTITUTE(TEXT(F38,"# ##0\ рублей ,00\ копеек"),",",))</f>
        <v>240 000 рублей 00 копеек</v>
      </c>
      <c r="I38" t="s">
        <v>149</v>
      </c>
      <c r="K38" s="754"/>
      <c r="L38" s="754"/>
      <c r="M38" s="754"/>
      <c r="N38" s="754"/>
      <c r="O38" s="754"/>
    </row>
    <row r="39" spans="1:15" x14ac:dyDescent="0.3">
      <c r="A39" s="554" t="s">
        <v>5585</v>
      </c>
      <c r="B39" s="1291"/>
      <c r="C39" s="486" t="s">
        <v>604</v>
      </c>
      <c r="D39" s="1359">
        <f>SUMIFS(E$15:E$29,C$15:C$29,C39)</f>
        <v>0</v>
      </c>
      <c r="E39" s="1360"/>
      <c r="F39" s="743">
        <f>SUMIFS(G$15:G$29,C$15:C$29,C39)</f>
        <v>0</v>
      </c>
      <c r="G39" s="744"/>
      <c r="H39" s="483" t="str">
        <f>IF(ISBLANK(F39),"",SUBSTITUTE(TEXT(F39,"# ##0\ рублей ,00\ копеек"),",",))</f>
        <v>0 рублей 00 копеек</v>
      </c>
      <c r="I39" t="s">
        <v>149</v>
      </c>
      <c r="K39" s="754"/>
      <c r="L39" s="754"/>
      <c r="M39" s="754"/>
      <c r="N39" s="754"/>
      <c r="O39" s="754"/>
    </row>
    <row r="40" spans="1:15" x14ac:dyDescent="0.3">
      <c r="A40" s="554" t="s">
        <v>5584</v>
      </c>
      <c r="B40" s="1291"/>
      <c r="C40" s="486" t="s">
        <v>1117</v>
      </c>
      <c r="D40" s="1359">
        <f>SUMIFS(E$15:E$29,C$15:C$29,C40)</f>
        <v>0</v>
      </c>
      <c r="E40" s="1360"/>
      <c r="F40" s="743">
        <f>SUMIFS(G$15:G$29,C$15:C$29,C40)</f>
        <v>0</v>
      </c>
      <c r="G40" s="744"/>
      <c r="H40" s="483" t="str">
        <f>IF(ISBLANK(F40),"",SUBSTITUTE(TEXT(F40,"# ##0\ рублей ,00\ копеек"),",",))</f>
        <v>0 рублей 00 копеек</v>
      </c>
      <c r="I40" t="s">
        <v>149</v>
      </c>
      <c r="K40" s="754"/>
      <c r="L40" s="754"/>
      <c r="M40" s="754"/>
      <c r="N40" s="754"/>
      <c r="O40" s="754"/>
    </row>
    <row r="41" spans="1:15" ht="15" thickBot="1" x14ac:dyDescent="0.35">
      <c r="A41" s="554" t="s">
        <v>5585</v>
      </c>
      <c r="B41" s="1291"/>
      <c r="C41" s="466" t="s">
        <v>4951</v>
      </c>
      <c r="D41" s="1361">
        <f>SUMIFS(E$15:E$29,C$15:C$29,C41)</f>
        <v>0</v>
      </c>
      <c r="E41" s="1362"/>
      <c r="F41" s="745">
        <f>SUMIFS(G$15:G$29,C$15:C$29,C41)</f>
        <v>0</v>
      </c>
      <c r="G41" s="746"/>
      <c r="H41" s="484" t="str">
        <f>IF(ISBLANK(F41),"",SUBSTITUTE(TEXT(F41,"# ##0\ рублей ,00\ копеек"),",",))</f>
        <v>0 рублей 00 копеек</v>
      </c>
      <c r="I41" t="s">
        <v>149</v>
      </c>
      <c r="K41" s="754"/>
      <c r="L41" s="754"/>
      <c r="M41" s="754"/>
      <c r="N41" s="754"/>
      <c r="O41" s="754"/>
    </row>
    <row r="42" spans="1:15" ht="15.6" thickTop="1" thickBot="1" x14ac:dyDescent="0.35">
      <c r="A42" s="554" t="s">
        <v>5584</v>
      </c>
      <c r="B42" s="1291"/>
      <c r="C42" s="268" t="s">
        <v>5578</v>
      </c>
      <c r="D42" s="525" t="str">
        <f>IFERROR('MOT (Ущерб)'!EL3,"")</f>
        <v/>
      </c>
      <c r="E42" s="499" t="s">
        <v>641</v>
      </c>
      <c r="F42" s="747">
        <f>SUM(F38:G41)</f>
        <v>240000</v>
      </c>
      <c r="G42" s="748"/>
      <c r="H42" s="481" t="str">
        <f>IF(ISBLANK(F42),"",SUBSTITUTE(TEXT(F42,"# ##0\ рублей ,00\ копеек"),",",))</f>
        <v>240 000 рублей 00 копеек</v>
      </c>
      <c r="I42" t="s">
        <v>149</v>
      </c>
      <c r="J42" t="s">
        <v>149</v>
      </c>
      <c r="K42" s="754"/>
      <c r="L42" s="754"/>
      <c r="M42" s="754"/>
      <c r="N42" s="754"/>
      <c r="O42" s="754"/>
    </row>
    <row r="43" spans="1:15" ht="15.6" thickTop="1" thickBot="1" x14ac:dyDescent="0.35">
      <c r="A43" s="516" t="s">
        <v>5585</v>
      </c>
      <c r="B43" s="1292"/>
      <c r="C43" s="269" t="s">
        <v>5579</v>
      </c>
      <c r="D43" s="506" t="str">
        <f>IFERROR('MOT (Ущерб)'!EU3,"")</f>
        <v/>
      </c>
      <c r="E43" s="500">
        <f>IF(D42&gt;D44,D44-D45,0)</f>
        <v>0</v>
      </c>
      <c r="F43" s="1257">
        <v>300000</v>
      </c>
      <c r="G43" s="1294">
        <f>F43*0.13</f>
        <v>39000</v>
      </c>
      <c r="H43" s="1295">
        <f>F43*0.87</f>
        <v>261000</v>
      </c>
      <c r="J43" t="s">
        <v>149</v>
      </c>
      <c r="K43" s="754"/>
      <c r="L43" s="754"/>
      <c r="M43" s="754"/>
      <c r="N43" s="754"/>
      <c r="O43" s="754"/>
    </row>
    <row r="44" spans="1:15" ht="15" thickTop="1" x14ac:dyDescent="0.3">
      <c r="A44" s="521" t="s">
        <v>656</v>
      </c>
      <c r="B44" s="463"/>
      <c r="C44" s="269" t="s">
        <v>602</v>
      </c>
      <c r="D44" s="1001" t="str">
        <f>IFERROR('MOT (Ущерб)'!FD3,"")</f>
        <v/>
      </c>
      <c r="E44" s="499" t="s">
        <v>714</v>
      </c>
      <c r="F44" s="1257"/>
      <c r="G44" s="1294">
        <f>F44*0.13</f>
        <v>0</v>
      </c>
      <c r="H44" s="1294">
        <f>F44*0.87</f>
        <v>0</v>
      </c>
      <c r="J44" t="s">
        <v>149</v>
      </c>
      <c r="L44" s="49"/>
      <c r="M44" s="49"/>
      <c r="N44" s="49"/>
    </row>
    <row r="45" spans="1:15" x14ac:dyDescent="0.3">
      <c r="A45" s="554" t="s">
        <v>653</v>
      </c>
      <c r="B45" s="555"/>
      <c r="C45" s="269" t="s">
        <v>5580</v>
      </c>
      <c r="D45" s="1001" t="str">
        <f>IFERROR('MOT (Ущерб)'!FM3,"")</f>
        <v/>
      </c>
      <c r="E45" s="501" t="str">
        <f>IF(D47,IF(E43=0,D43,E43)/2,IF(E43=0,D43,E43))</f>
        <v/>
      </c>
      <c r="F45" s="1257"/>
      <c r="G45" s="1294">
        <f>F45*0.13</f>
        <v>0</v>
      </c>
      <c r="H45" s="1294">
        <f>F45*0.87</f>
        <v>0</v>
      </c>
      <c r="J45" t="s">
        <v>149</v>
      </c>
    </row>
    <row r="46" spans="1:15" ht="15" thickBot="1" x14ac:dyDescent="0.35">
      <c r="A46" s="553" t="s">
        <v>5575</v>
      </c>
      <c r="B46" s="323">
        <f>WORKDAY(B44,B45)+1</f>
        <v>1</v>
      </c>
      <c r="C46" s="270" t="s">
        <v>604</v>
      </c>
      <c r="D46" s="1002"/>
      <c r="E46" s="582">
        <f>IFERROR(IF(((E45-D38)/D38)&lt;0,"Больше",ROUND((E45-D38)/D38,5)),0)</f>
        <v>0</v>
      </c>
      <c r="F46" s="489">
        <f>SUM(F43:F45)</f>
        <v>300000</v>
      </c>
      <c r="G46" s="1294">
        <f>SUM(G43:G45)</f>
        <v>39000</v>
      </c>
      <c r="H46" s="1296">
        <f>SUM(H43:H45)</f>
        <v>261000</v>
      </c>
      <c r="J46" t="s">
        <v>149</v>
      </c>
    </row>
    <row r="47" spans="1:15" ht="15.6" thickTop="1" thickBot="1" x14ac:dyDescent="0.35">
      <c r="D47" t="b">
        <v>0</v>
      </c>
      <c r="E47" t="b">
        <v>0</v>
      </c>
      <c r="F47" s="468" t="s">
        <v>653</v>
      </c>
      <c r="G47" s="468" t="s">
        <v>1247</v>
      </c>
      <c r="H47" s="468" t="s">
        <v>5577</v>
      </c>
      <c r="J47" t="s">
        <v>149</v>
      </c>
    </row>
    <row r="48" spans="1:15" ht="15" thickTop="1" x14ac:dyDescent="0.3">
      <c r="C48" s="41" t="s">
        <v>1993</v>
      </c>
      <c r="D48" s="41" t="s">
        <v>4395</v>
      </c>
      <c r="E48" s="1297"/>
      <c r="F48" s="502">
        <f>IFERROR(MAX(MIN(B33,B32,D15)-B18+1,0),0)</f>
        <v>328</v>
      </c>
      <c r="G48" s="503">
        <f>MAX(H3*0.0005*F48,0)</f>
        <v>65600</v>
      </c>
      <c r="H48" s="504" t="str">
        <f>IF(ISBLANK(G48),"",SUBSTITUTE(TEXT(G48,"# ##0\ рублей ,00\ копеек"),",",))</f>
        <v>65 600 рублей 00 копеек</v>
      </c>
      <c r="I48" t="s">
        <v>149</v>
      </c>
    </row>
    <row r="49" spans="1:17" x14ac:dyDescent="0.3">
      <c r="C49" s="253"/>
      <c r="D49" s="545"/>
      <c r="F49" s="505"/>
      <c r="G49" s="462">
        <f>IF(E47,(F49*100/87)*13/100,0)</f>
        <v>0</v>
      </c>
      <c r="H49" s="506">
        <f>SUM(F49:G49)</f>
        <v>0</v>
      </c>
      <c r="L49" t="s">
        <v>149</v>
      </c>
      <c r="O49"/>
      <c r="Q49" s="768"/>
    </row>
    <row r="50" spans="1:17" ht="15" thickBot="1" x14ac:dyDescent="0.35">
      <c r="C50" s="347">
        <f>IF(C51="",0,IF(AND(C51&gt;DRAFT!U4,C51&lt;DRAFT!U3),IFERROR(INDEX(DRAFT!T:T,MATCH(C49,DRAFT!Q:Q,0),1),0),IF(AND(C51&gt;DRAFT!U5,C51&lt;DRAFT!U4),IFERROR(INDEX(DRAFT!AI:AI,MATCH(C49,DRAFT!Q:Q,0),1),0),IF(C51&gt;DRAFT!U3,"ПОСЛЕ 01.06",IFERROR(INDEX(DRAFT!AI:AI,MATCH(C49,DRAFT!Q:Q,0),1),0)))))</f>
        <v>0</v>
      </c>
      <c r="D50" s="544">
        <f>D49*500000</f>
        <v>0</v>
      </c>
      <c r="F50" s="507"/>
      <c r="G50" s="508">
        <f>IF(E47,(F50*100/87)*13/100,0)</f>
        <v>0</v>
      </c>
      <c r="H50" s="509">
        <f>SUM(F50:G50)</f>
        <v>0</v>
      </c>
      <c r="L50" t="s">
        <v>149</v>
      </c>
      <c r="O50"/>
      <c r="Q50" s="768"/>
    </row>
    <row r="51" spans="1:17" ht="15.6" thickTop="1" thickBot="1" x14ac:dyDescent="0.35">
      <c r="C51" s="786" t="str">
        <f>CHALLANGE_draft!ADR4</f>
        <v/>
      </c>
      <c r="F51" s="510">
        <f>SUM(F49:F50)</f>
        <v>0</v>
      </c>
      <c r="G51" s="511">
        <f>SUM(G48:G50)</f>
        <v>65600</v>
      </c>
      <c r="H51" s="512">
        <f>SUM(H48:H50)</f>
        <v>0</v>
      </c>
      <c r="L51" t="s">
        <v>149</v>
      </c>
      <c r="O51"/>
      <c r="Q51" s="768"/>
    </row>
    <row r="52" spans="1:17" ht="15" thickTop="1" x14ac:dyDescent="0.3">
      <c r="C52" s="6"/>
      <c r="L52" t="s">
        <v>149</v>
      </c>
      <c r="O52"/>
      <c r="Q52" s="768"/>
    </row>
    <row r="53" spans="1:17" x14ac:dyDescent="0.3">
      <c r="C53" s="6"/>
      <c r="L53" t="s">
        <v>149</v>
      </c>
      <c r="O53"/>
      <c r="Q53" s="768"/>
    </row>
    <row r="54" spans="1:17" ht="15" thickBot="1" x14ac:dyDescent="0.35">
      <c r="C54" s="6"/>
      <c r="I54" t="s">
        <v>149</v>
      </c>
      <c r="J54" t="s">
        <v>149</v>
      </c>
      <c r="L54" t="s">
        <v>149</v>
      </c>
      <c r="O54"/>
      <c r="Q54" s="768"/>
    </row>
    <row r="55" spans="1:17" ht="15.6" thickTop="1" thickBot="1" x14ac:dyDescent="0.35">
      <c r="A55" s="475" t="s">
        <v>8888</v>
      </c>
      <c r="B55" s="487"/>
      <c r="C55" s="989" t="s">
        <v>8647</v>
      </c>
      <c r="D55" s="989" t="s">
        <v>5581</v>
      </c>
      <c r="E55" s="989" t="s">
        <v>5582</v>
      </c>
      <c r="F55" s="989" t="s">
        <v>560</v>
      </c>
      <c r="G55" s="1356" t="s">
        <v>806</v>
      </c>
      <c r="H55" s="1357"/>
      <c r="I55" s="1358"/>
      <c r="M55" s="768"/>
      <c r="O55"/>
    </row>
    <row r="56" spans="1:17" ht="15" thickTop="1" x14ac:dyDescent="0.3">
      <c r="A56" s="1048" t="str">
        <f>IF('MOT (Ущерб)'!EC3="ОТКАЗ ПО ТРАСЕ","ТРАСА",
IF(D56&lt;=E56,"ДОСТАТОЧНО",
IF(AND(E46&gt;0,E46&lt;=0.1),"&lt; 10%",
IF(AND(E46&gt;0.1),"&gt; 10%",
IF(E43&lt;&gt;0,"ТОТАЛ",
IF(D38=H3,"MAXIMUM",
IF(AND(B33&lt;&gt;"",B33&gt;=B18),"ННР не в срок",
IF(B33&lt;B18,"ННР в срок",
""
))))))))</f>
        <v>ДОСТАТОЧНО</v>
      </c>
      <c r="B56" s="491" t="s">
        <v>1246</v>
      </c>
      <c r="C56" s="503">
        <f>IFERROR(INDEX(L2:L16,MATCH(B56,K2:K16,0),1),0)</f>
        <v>0</v>
      </c>
      <c r="D56" s="488">
        <f>IF(D49="",IF(E45&gt;H3,H3,E45),D50)</f>
        <v>400000</v>
      </c>
      <c r="E56" s="474">
        <f>D38</f>
        <v>400000</v>
      </c>
      <c r="F56" s="474">
        <f>IFERROR(INDEX(RES!BL:BL,MATCH(B56,RES!BK:BK,0),1),0)</f>
        <v>0</v>
      </c>
      <c r="G56" s="474">
        <f>IF(E46&gt;0.1,MAX(D56-E56,0),0)</f>
        <v>0</v>
      </c>
      <c r="H56" s="278" t="str">
        <f t="shared" ref="H56:H60" si="9">IF(ISBLANK(G56),"",SUBSTITUTE(TEXT(G56,"# ##0\ рублей ,00\ копеек"),",",))</f>
        <v>0 рублей 00 копеек</v>
      </c>
      <c r="I56" s="550" t="str">
        <f>SUBSTITUTE(TEXT(INT(G56),"# ##0"),",",)&amp;" ("&amp;LOWER(TRIM(SUBSTITUTE(PROPER(INDEX(n_4,MID(TEXT(SUBSTITUTE(TEXT(INT(G56),"# ##0"),",",),n0),1,1)+1)&amp;INDEX(n0x,MID(TEXT(SUBSTITUTE(TEXT(INT(G56),"# ##0"),",",),n0),2,1)+1,MID(TEXT(SUBSTITUTE(TEXT(INT(G56),"# ##0"),",",),n0),3,1)+1)&amp;IF(-MID(TEXT(SUBSTITUTE(TEXT(INT(G56),"# ##0"),",",),n0),1,3),"миллиард"&amp;VLOOKUP(MID(TEXT(SUBSTITUTE(TEXT(INT(G56),"# ##0"),",",),n0),3,1)*AND(MID(TEXT(SUBSTITUTE(TEXT(INT(G56),"# ##0"),",",),n0),2,1)-1),мил,2),"")&amp;INDEX(n_4,MID(TEXT(SUBSTITUTE(TEXT(INT(G56),"# ##0"),",",),n0),4,1)+1)&amp;INDEX(n0x,MID(TEXT(SUBSTITUTE(TEXT(INT(G56),"# ##0"),",",),n0),5,1)+1,MID(TEXT(SUBSTITUTE(TEXT(INT(G56),"# ##0"),",",),n0),6,1)+1)&amp;IF(-MID(TEXT(SUBSTITUTE(TEXT(INT(G56),"# ##0"),",",),n0),4,3),"миллион"&amp;VLOOKUP(MID(TEXT(SUBSTITUTE(TEXT(INT(G56),"# ##0"),",",),n0),6,1)*AND(MID(TEXT(SUBSTITUTE(TEXT(INT(G56),"# ##0"),",",),n0),5,1)-1),мил,2),"")&amp;INDEX(n_4,MID(TEXT(SUBSTITUTE(TEXT(INT(G56),"# ##0"),",",),n0),7,1)+1)&amp;INDEX(n1x,MID(TEXT(SUBSTITUTE(TEXT(INT(G56),"# ##0"),",",),n0),8,1)+1,MID(TEXT(SUBSTITUTE(TEXT(INT(G56),"# ##0"),",",),n0),9,1)+1)&amp;IF(-MID(TEXT(SUBSTITUTE(TEXT(INT(G56),"# ##0"),",",),n0),7,3),VLOOKUP(MID(TEXT(SUBSTITUTE(TEXT(INT(G56),"# ##0"),",",),n0),9,1)*AND(MID(TEXT(SUBSTITUTE(TEXT(INT(G56),"# ##0"),",",),n0),8,1)-1),тыс,2),"")&amp;INDEX(n_4,MID(TEXT(SUBSTITUTE(TEXT(INT(G56),"# ##0"),",",),n0),10,1)+1)&amp;INDEX(IF(-MID(TEXT(SUBSTITUTE(TEXT(INT(G56),"# ##0"),",",),n0),14,6),n1x,n0x),MID(TEXT(SUBSTITUTE(TEXT(INT(G56),"# ##0"),",",),n0),11,1)+1,MID(TEXT(SUBSTITUTE(TEXT(INT(G56),"# ##0"),",",),n0),12,1)+1)),"z"," ")&amp;IF(TRUNC(TEXT(SUBSTITUTE(TEXT(INT(G56),"# ##0"),",",),n0)),,"Ноль ")&amp;IF(-MID(TEXT(SUBSTITUTE(TEXT(INT(G56),"# ##0"),",",),n0),14,6),IF(MOD(MAX(MOD(MID(TEXT(SUBSTITUTE(TEXT(INT(G56),"# ##0"),",",),n0),11,2)-11,100),9),10),"целых ","целая ")&amp;SUBSTITUTE(INDEX(n_4,MID(TEXT(SUBSTITUTE(TEXT(INT(G56),"# ##0"),",",),n0),14,6)/10^5+1)&amp;INDEX(n1x,MOD(MID(TEXT(SUBSTITUTE(TEXT(INT(G56),"# ##0"),",",),n0),14,6)/10^4,10)+1,MOD(MID(TEXT(SUBSTITUTE(TEXT(INT(G56),"# ##0"),",",),n0),14,6)/1000,10)+1)&amp;IF(INT(MID(TEXT(SUBSTITUTE(TEXT(INT(G56),"# ##0"),",",),n0),14,6)/1000),VLOOKUP(MOD(MID(TEXT(SUBSTITUTE(TEXT(INT(G56),"# ##0"),",",),n0),14,6)/1000,10)*(MOD(INT(MID(TEXT(SUBSTITUTE(TEXT(INT(G56),"# ##0"),",",),n0),14,6)/10^4),10)&lt;&gt;1),тыс,2),"")&amp;INDEX(n_4,MOD(MID(TEXT(SUBSTITUTE(TEXT(INT(G56),"# ##0"),",",),n0),14,6)/100,10)+1)&amp;INDEX(n1x,MOD(MID(TEXT(SUBSTITUTE(TEXT(INT(G56),"# ##0"),",",),n0),14,6)/10,10)+1,MOD(MID(TEXT(SUBSTITUTE(TEXT(INT(G56),"# ##0"),",",),n0),14,6),10)+1),"z"," ")&amp;INDEX(доля,LEN(MID(TEXT(SUBSTITUTE(TEXT(INT(G56),"# ##0"),",",),n0),14,6)),(MOD(MAX(MOD(MID(TEXT(SUBSTITUTE(TEXT(INT(G56),"# ##0"),",",),n0),14,6)-11,100),9),10)&gt;0)+1),)))&amp;")"&amp;" "&amp;SUBSTITUTE(TEXT(ROUND((G56-SUBSTITUTE(TEXT(INT(G56),"# ##0"),",",))*100,2),"00"),",",)&amp;" копеек"</f>
        <v>0 (ноль) 00 копеек</v>
      </c>
      <c r="J56" t="s">
        <v>149</v>
      </c>
      <c r="M56" s="768"/>
      <c r="O56"/>
    </row>
    <row r="57" spans="1:17" x14ac:dyDescent="0.3">
      <c r="B57" s="492" t="s">
        <v>604</v>
      </c>
      <c r="C57" s="462">
        <f>IFERROR(INDEX(L2:L16,MATCH(B57,K2:K16,0),1),0)</f>
        <v>0</v>
      </c>
      <c r="D57" s="489">
        <f>D46</f>
        <v>0</v>
      </c>
      <c r="E57" s="462">
        <f>D39</f>
        <v>0</v>
      </c>
      <c r="F57" s="474">
        <f>IFERROR(INDEX(RES!BL:BL,MATCH(B57,RES!BK:BK,0),1),0)</f>
        <v>0</v>
      </c>
      <c r="G57" s="462">
        <f>MAX(D57-E57,0)</f>
        <v>0</v>
      </c>
      <c r="H57" s="278" t="str">
        <f t="shared" si="9"/>
        <v>0 рублей 00 копеек</v>
      </c>
      <c r="I57" s="551" t="str">
        <f>SUBSTITUTE(TEXT(INT(G57),"# ##0"),",",)&amp;" ("&amp;LOWER(TRIM(SUBSTITUTE(PROPER(INDEX(n_4,MID(TEXT(SUBSTITUTE(TEXT(INT(G57),"# ##0"),",",),n0),1,1)+1)&amp;INDEX(n0x,MID(TEXT(SUBSTITUTE(TEXT(INT(G57),"# ##0"),",",),n0),2,1)+1,MID(TEXT(SUBSTITUTE(TEXT(INT(G57),"# ##0"),",",),n0),3,1)+1)&amp;IF(-MID(TEXT(SUBSTITUTE(TEXT(INT(G57),"# ##0"),",",),n0),1,3),"миллиард"&amp;VLOOKUP(MID(TEXT(SUBSTITUTE(TEXT(INT(G57),"# ##0"),",",),n0),3,1)*AND(MID(TEXT(SUBSTITUTE(TEXT(INT(G57),"# ##0"),",",),n0),2,1)-1),мил,2),"")&amp;INDEX(n_4,MID(TEXT(SUBSTITUTE(TEXT(INT(G57),"# ##0"),",",),n0),4,1)+1)&amp;INDEX(n0x,MID(TEXT(SUBSTITUTE(TEXT(INT(G57),"# ##0"),",",),n0),5,1)+1,MID(TEXT(SUBSTITUTE(TEXT(INT(G57),"# ##0"),",",),n0),6,1)+1)&amp;IF(-MID(TEXT(SUBSTITUTE(TEXT(INT(G57),"# ##0"),",",),n0),4,3),"миллион"&amp;VLOOKUP(MID(TEXT(SUBSTITUTE(TEXT(INT(G57),"# ##0"),",",),n0),6,1)*AND(MID(TEXT(SUBSTITUTE(TEXT(INT(G57),"# ##0"),",",),n0),5,1)-1),мил,2),"")&amp;INDEX(n_4,MID(TEXT(SUBSTITUTE(TEXT(INT(G57),"# ##0"),",",),n0),7,1)+1)&amp;INDEX(n1x,MID(TEXT(SUBSTITUTE(TEXT(INT(G57),"# ##0"),",",),n0),8,1)+1,MID(TEXT(SUBSTITUTE(TEXT(INT(G57),"# ##0"),",",),n0),9,1)+1)&amp;IF(-MID(TEXT(SUBSTITUTE(TEXT(INT(G57),"# ##0"),",",),n0),7,3),VLOOKUP(MID(TEXT(SUBSTITUTE(TEXT(INT(G57),"# ##0"),",",),n0),9,1)*AND(MID(TEXT(SUBSTITUTE(TEXT(INT(G57),"# ##0"),",",),n0),8,1)-1),тыс,2),"")&amp;INDEX(n_4,MID(TEXT(SUBSTITUTE(TEXT(INT(G57),"# ##0"),",",),n0),10,1)+1)&amp;INDEX(IF(-MID(TEXT(SUBSTITUTE(TEXT(INT(G57),"# ##0"),",",),n0),14,6),n1x,n0x),MID(TEXT(SUBSTITUTE(TEXT(INT(G57),"# ##0"),",",),n0),11,1)+1,MID(TEXT(SUBSTITUTE(TEXT(INT(G57),"# ##0"),",",),n0),12,1)+1)),"z"," ")&amp;IF(TRUNC(TEXT(SUBSTITUTE(TEXT(INT(G57),"# ##0"),",",),n0)),,"Ноль ")&amp;IF(-MID(TEXT(SUBSTITUTE(TEXT(INT(G57),"# ##0"),",",),n0),14,6),IF(MOD(MAX(MOD(MID(TEXT(SUBSTITUTE(TEXT(INT(G57),"# ##0"),",",),n0),11,2)-11,100),9),10),"целых ","целая ")&amp;SUBSTITUTE(INDEX(n_4,MID(TEXT(SUBSTITUTE(TEXT(INT(G57),"# ##0"),",",),n0),14,6)/10^5+1)&amp;INDEX(n1x,MOD(MID(TEXT(SUBSTITUTE(TEXT(INT(G57),"# ##0"),",",),n0),14,6)/10^4,10)+1,MOD(MID(TEXT(SUBSTITUTE(TEXT(INT(G57),"# ##0"),",",),n0),14,6)/1000,10)+1)&amp;IF(INT(MID(TEXT(SUBSTITUTE(TEXT(INT(G57),"# ##0"),",",),n0),14,6)/1000),VLOOKUP(MOD(MID(TEXT(SUBSTITUTE(TEXT(INT(G57),"# ##0"),",",),n0),14,6)/1000,10)*(MOD(INT(MID(TEXT(SUBSTITUTE(TEXT(INT(G57),"# ##0"),",",),n0),14,6)/10^4),10)&lt;&gt;1),тыс,2),"")&amp;INDEX(n_4,MOD(MID(TEXT(SUBSTITUTE(TEXT(INT(G57),"# ##0"),",",),n0),14,6)/100,10)+1)&amp;INDEX(n1x,MOD(MID(TEXT(SUBSTITUTE(TEXT(INT(G57),"# ##0"),",",),n0),14,6)/10,10)+1,MOD(MID(TEXT(SUBSTITUTE(TEXT(INT(G57),"# ##0"),",",),n0),14,6),10)+1),"z"," ")&amp;INDEX(доля,LEN(MID(TEXT(SUBSTITUTE(TEXT(INT(G57),"# ##0"),",",),n0),14,6)),(MOD(MAX(MOD(MID(TEXT(SUBSTITUTE(TEXT(INT(G57),"# ##0"),",",),n0),14,6)-11,100),9),10)&gt;0)+1),)))&amp;")"&amp;" "&amp;SUBSTITUTE(TEXT(ROUND((G57-SUBSTITUTE(TEXT(INT(G57),"# ##0"),",",))*100,2),"00"),",",)&amp;" копеек"</f>
        <v>0 (ноль) 00 копеек</v>
      </c>
      <c r="J57" t="s">
        <v>149</v>
      </c>
      <c r="M57" s="768"/>
      <c r="O57"/>
    </row>
    <row r="58" spans="1:17" x14ac:dyDescent="0.3">
      <c r="A58" s="1050" t="str">
        <f>IF(D58&lt;=E58,"ДОСТАТОЧНО",
""
)</f>
        <v>ДОСТАТОЧНО</v>
      </c>
      <c r="B58" s="1049" t="s">
        <v>456</v>
      </c>
      <c r="C58" s="462">
        <f>IFERROR(INDEX(L2:L16,MATCH(B58,K2:K16,0),1),0)</f>
        <v>100000</v>
      </c>
      <c r="D58" s="489">
        <f>IF(F42&gt;H3,H3,F42)</f>
        <v>240000</v>
      </c>
      <c r="E58" s="462">
        <f>F46</f>
        <v>300000</v>
      </c>
      <c r="F58" s="474">
        <f>IFERROR(INDEX(RES!BL:BL,MATCH(B58,RES!BK:BK,0),1),0)</f>
        <v>100000</v>
      </c>
      <c r="G58" s="462">
        <f>MAX(D58-E58,0)</f>
        <v>0</v>
      </c>
      <c r="H58" s="278" t="str">
        <f t="shared" si="9"/>
        <v>0 рублей 00 копеек</v>
      </c>
      <c r="I58" s="551" t="str">
        <f>SUBSTITUTE(TEXT(INT(G58),"# ##0"),",",)&amp;" ("&amp;LOWER(TRIM(SUBSTITUTE(PROPER(INDEX(n_4,MID(TEXT(SUBSTITUTE(TEXT(INT(G58),"# ##0"),",",),n0),1,1)+1)&amp;INDEX(n0x,MID(TEXT(SUBSTITUTE(TEXT(INT(G58),"# ##0"),",",),n0),2,1)+1,MID(TEXT(SUBSTITUTE(TEXT(INT(G58),"# ##0"),",",),n0),3,1)+1)&amp;IF(-MID(TEXT(SUBSTITUTE(TEXT(INT(G58),"# ##0"),",",),n0),1,3),"миллиард"&amp;VLOOKUP(MID(TEXT(SUBSTITUTE(TEXT(INT(G58),"# ##0"),",",),n0),3,1)*AND(MID(TEXT(SUBSTITUTE(TEXT(INT(G58),"# ##0"),",",),n0),2,1)-1),мил,2),"")&amp;INDEX(n_4,MID(TEXT(SUBSTITUTE(TEXT(INT(G58),"# ##0"),",",),n0),4,1)+1)&amp;INDEX(n0x,MID(TEXT(SUBSTITUTE(TEXT(INT(G58),"# ##0"),",",),n0),5,1)+1,MID(TEXT(SUBSTITUTE(TEXT(INT(G58),"# ##0"),",",),n0),6,1)+1)&amp;IF(-MID(TEXT(SUBSTITUTE(TEXT(INT(G58),"# ##0"),",",),n0),4,3),"миллион"&amp;VLOOKUP(MID(TEXT(SUBSTITUTE(TEXT(INT(G58),"# ##0"),",",),n0),6,1)*AND(MID(TEXT(SUBSTITUTE(TEXT(INT(G58),"# ##0"),",",),n0),5,1)-1),мил,2),"")&amp;INDEX(n_4,MID(TEXT(SUBSTITUTE(TEXT(INT(G58),"# ##0"),",",),n0),7,1)+1)&amp;INDEX(n1x,MID(TEXT(SUBSTITUTE(TEXT(INT(G58),"# ##0"),",",),n0),8,1)+1,MID(TEXT(SUBSTITUTE(TEXT(INT(G58),"# ##0"),",",),n0),9,1)+1)&amp;IF(-MID(TEXT(SUBSTITUTE(TEXT(INT(G58),"# ##0"),",",),n0),7,3),VLOOKUP(MID(TEXT(SUBSTITUTE(TEXT(INT(G58),"# ##0"),",",),n0),9,1)*AND(MID(TEXT(SUBSTITUTE(TEXT(INT(G58),"# ##0"),",",),n0),8,1)-1),тыс,2),"")&amp;INDEX(n_4,MID(TEXT(SUBSTITUTE(TEXT(INT(G58),"# ##0"),",",),n0),10,1)+1)&amp;INDEX(IF(-MID(TEXT(SUBSTITUTE(TEXT(INT(G58),"# ##0"),",",),n0),14,6),n1x,n0x),MID(TEXT(SUBSTITUTE(TEXT(INT(G58),"# ##0"),",",),n0),11,1)+1,MID(TEXT(SUBSTITUTE(TEXT(INT(G58),"# ##0"),",",),n0),12,1)+1)),"z"," ")&amp;IF(TRUNC(TEXT(SUBSTITUTE(TEXT(INT(G58),"# ##0"),",",),n0)),,"Ноль ")&amp;IF(-MID(TEXT(SUBSTITUTE(TEXT(INT(G58),"# ##0"),",",),n0),14,6),IF(MOD(MAX(MOD(MID(TEXT(SUBSTITUTE(TEXT(INT(G58),"# ##0"),",",),n0),11,2)-11,100),9),10),"целых ","целая ")&amp;SUBSTITUTE(INDEX(n_4,MID(TEXT(SUBSTITUTE(TEXT(INT(G58),"# ##0"),",",),n0),14,6)/10^5+1)&amp;INDEX(n1x,MOD(MID(TEXT(SUBSTITUTE(TEXT(INT(G58),"# ##0"),",",),n0),14,6)/10^4,10)+1,MOD(MID(TEXT(SUBSTITUTE(TEXT(INT(G58),"# ##0"),",",),n0),14,6)/1000,10)+1)&amp;IF(INT(MID(TEXT(SUBSTITUTE(TEXT(INT(G58),"# ##0"),",",),n0),14,6)/1000),VLOOKUP(MOD(MID(TEXT(SUBSTITUTE(TEXT(INT(G58),"# ##0"),",",),n0),14,6)/1000,10)*(MOD(INT(MID(TEXT(SUBSTITUTE(TEXT(INT(G58),"# ##0"),",",),n0),14,6)/10^4),10)&lt;&gt;1),тыс,2),"")&amp;INDEX(n_4,MOD(MID(TEXT(SUBSTITUTE(TEXT(INT(G58),"# ##0"),",",),n0),14,6)/100,10)+1)&amp;INDEX(n1x,MOD(MID(TEXT(SUBSTITUTE(TEXT(INT(G58),"# ##0"),",",),n0),14,6)/10,10)+1,MOD(MID(TEXT(SUBSTITUTE(TEXT(INT(G58),"# ##0"),",",),n0),14,6),10)+1),"z"," ")&amp;INDEX(доля,LEN(MID(TEXT(SUBSTITUTE(TEXT(INT(G58),"# ##0"),",",),n0),14,6)),(MOD(MAX(MOD(MID(TEXT(SUBSTITUTE(TEXT(INT(G58),"# ##0"),",",),n0),14,6)-11,100),9),10)&gt;0)+1),)))&amp;")"&amp;" "&amp;SUBSTITUTE(TEXT(ROUND((G58-SUBSTITUTE(TEXT(INT(G58),"# ##0"),",",))*100,2),"00"),",",)&amp;" копеек"</f>
        <v>0 (ноль) 00 копеек</v>
      </c>
      <c r="J58" t="s">
        <v>149</v>
      </c>
      <c r="M58" s="768"/>
      <c r="O58"/>
    </row>
    <row r="59" spans="1:17" x14ac:dyDescent="0.3">
      <c r="B59" s="1171" t="s">
        <v>78</v>
      </c>
      <c r="C59" s="462">
        <f>IFERROR(INDEX(L2:L16,MATCH(B59,K2:K16,0),1),0)</f>
        <v>0</v>
      </c>
      <c r="D59" s="489">
        <f>G48</f>
        <v>65600</v>
      </c>
      <c r="E59" s="462">
        <f>H51</f>
        <v>0</v>
      </c>
      <c r="F59" s="474">
        <f>IFERROR(INDEX(RES!BL:BL,MATCH(B59,RES!BK:BK,0),1),0)</f>
        <v>0</v>
      </c>
      <c r="G59" s="462">
        <f>MAX(D59-E59,0)</f>
        <v>65600</v>
      </c>
      <c r="H59" s="278" t="str">
        <f t="shared" si="9"/>
        <v>65 600 рублей 00 копеек</v>
      </c>
      <c r="I59" s="551" t="str">
        <f>SUBSTITUTE(TEXT(INT(G59),"# ##0"),",",)&amp;" ("&amp;LOWER(TRIM(SUBSTITUTE(PROPER(INDEX(n_4,MID(TEXT(SUBSTITUTE(TEXT(INT(G59),"# ##0"),",",),n0),1,1)+1)&amp;INDEX(n0x,MID(TEXT(SUBSTITUTE(TEXT(INT(G59),"# ##0"),",",),n0),2,1)+1,MID(TEXT(SUBSTITUTE(TEXT(INT(G59),"# ##0"),",",),n0),3,1)+1)&amp;IF(-MID(TEXT(SUBSTITUTE(TEXT(INT(G59),"# ##0"),",",),n0),1,3),"миллиард"&amp;VLOOKUP(MID(TEXT(SUBSTITUTE(TEXT(INT(G59),"# ##0"),",",),n0),3,1)*AND(MID(TEXT(SUBSTITUTE(TEXT(INT(G59),"# ##0"),",",),n0),2,1)-1),мил,2),"")&amp;INDEX(n_4,MID(TEXT(SUBSTITUTE(TEXT(INT(G59),"# ##0"),",",),n0),4,1)+1)&amp;INDEX(n0x,MID(TEXT(SUBSTITUTE(TEXT(INT(G59),"# ##0"),",",),n0),5,1)+1,MID(TEXT(SUBSTITUTE(TEXT(INT(G59),"# ##0"),",",),n0),6,1)+1)&amp;IF(-MID(TEXT(SUBSTITUTE(TEXT(INT(G59),"# ##0"),",",),n0),4,3),"миллион"&amp;VLOOKUP(MID(TEXT(SUBSTITUTE(TEXT(INT(G59),"# ##0"),",",),n0),6,1)*AND(MID(TEXT(SUBSTITUTE(TEXT(INT(G59),"# ##0"),",",),n0),5,1)-1),мил,2),"")&amp;INDEX(n_4,MID(TEXT(SUBSTITUTE(TEXT(INT(G59),"# ##0"),",",),n0),7,1)+1)&amp;INDEX(n1x,MID(TEXT(SUBSTITUTE(TEXT(INT(G59),"# ##0"),",",),n0),8,1)+1,MID(TEXT(SUBSTITUTE(TEXT(INT(G59),"# ##0"),",",),n0),9,1)+1)&amp;IF(-MID(TEXT(SUBSTITUTE(TEXT(INT(G59),"# ##0"),",",),n0),7,3),VLOOKUP(MID(TEXT(SUBSTITUTE(TEXT(INT(G59),"# ##0"),",",),n0),9,1)*AND(MID(TEXT(SUBSTITUTE(TEXT(INT(G59),"# ##0"),",",),n0),8,1)-1),тыс,2),"")&amp;INDEX(n_4,MID(TEXT(SUBSTITUTE(TEXT(INT(G59),"# ##0"),",",),n0),10,1)+1)&amp;INDEX(IF(-MID(TEXT(SUBSTITUTE(TEXT(INT(G59),"# ##0"),",",),n0),14,6),n1x,n0x),MID(TEXT(SUBSTITUTE(TEXT(INT(G59),"# ##0"),",",),n0),11,1)+1,MID(TEXT(SUBSTITUTE(TEXT(INT(G59),"# ##0"),",",),n0),12,1)+1)),"z"," ")&amp;IF(TRUNC(TEXT(SUBSTITUTE(TEXT(INT(G59),"# ##0"),",",),n0)),,"Ноль ")&amp;IF(-MID(TEXT(SUBSTITUTE(TEXT(INT(G59),"# ##0"),",",),n0),14,6),IF(MOD(MAX(MOD(MID(TEXT(SUBSTITUTE(TEXT(INT(G59),"# ##0"),",",),n0),11,2)-11,100),9),10),"целых ","целая ")&amp;SUBSTITUTE(INDEX(n_4,MID(TEXT(SUBSTITUTE(TEXT(INT(G59),"# ##0"),",",),n0),14,6)/10^5+1)&amp;INDEX(n1x,MOD(MID(TEXT(SUBSTITUTE(TEXT(INT(G59),"# ##0"),",",),n0),14,6)/10^4,10)+1,MOD(MID(TEXT(SUBSTITUTE(TEXT(INT(G59),"# ##0"),",",),n0),14,6)/1000,10)+1)&amp;IF(INT(MID(TEXT(SUBSTITUTE(TEXT(INT(G59),"# ##0"),",",),n0),14,6)/1000),VLOOKUP(MOD(MID(TEXT(SUBSTITUTE(TEXT(INT(G59),"# ##0"),",",),n0),14,6)/1000,10)*(MOD(INT(MID(TEXT(SUBSTITUTE(TEXT(INT(G59),"# ##0"),",",),n0),14,6)/10^4),10)&lt;&gt;1),тыс,2),"")&amp;INDEX(n_4,MOD(MID(TEXT(SUBSTITUTE(TEXT(INT(G59),"# ##0"),",",),n0),14,6)/100,10)+1)&amp;INDEX(n1x,MOD(MID(TEXT(SUBSTITUTE(TEXT(INT(G59),"# ##0"),",",),n0),14,6)/10,10)+1,MOD(MID(TEXT(SUBSTITUTE(TEXT(INT(G59),"# ##0"),",",),n0),14,6),10)+1),"z"," ")&amp;INDEX(доля,LEN(MID(TEXT(SUBSTITUTE(TEXT(INT(G59),"# ##0"),",",),n0),14,6)),(MOD(MAX(MOD(MID(TEXT(SUBSTITUTE(TEXT(INT(G59),"# ##0"),",",),n0),14,6)-11,100),9),10)&gt;0)+1),)))&amp;")"&amp;" "&amp;SUBSTITUTE(TEXT(ROUND((G59-SUBSTITUTE(TEXT(INT(G59),"# ##0"),",",))*100,2),"00"),",",)&amp;" копеек"</f>
        <v>65 600 (шестьдесят пять тысяч шестьсот) 00 копеек</v>
      </c>
      <c r="J59" t="s">
        <v>149</v>
      </c>
      <c r="M59" s="768"/>
      <c r="O59"/>
    </row>
    <row r="60" spans="1:17" ht="15" thickBot="1" x14ac:dyDescent="0.35">
      <c r="A60" s="1051">
        <f>C50</f>
        <v>0</v>
      </c>
      <c r="B60" s="493" t="s">
        <v>1248</v>
      </c>
      <c r="C60" s="479">
        <f>IFERROR(INDEX(L2:L16,MATCH(B60,K2:K16,0),1),0)</f>
        <v>0</v>
      </c>
      <c r="D60" s="490">
        <f>C50</f>
        <v>0</v>
      </c>
      <c r="E60" s="479">
        <f>SUMIFS(E$15:E$37,C$15:C$37,B60)</f>
        <v>0</v>
      </c>
      <c r="F60" s="479">
        <f>IFERROR(INDEX(RES!BL:BL,MATCH(B60,RES!BK:BK,0),1),0)</f>
        <v>0</v>
      </c>
      <c r="G60" s="479">
        <f>IFERROR(MAX(D60-E60,0),0)</f>
        <v>0</v>
      </c>
      <c r="H60" s="480" t="str">
        <f t="shared" si="9"/>
        <v>0 рублей 00 копеек</v>
      </c>
      <c r="I60" s="552" t="str">
        <f>SUBSTITUTE(TEXT(INT(G60),"# ##0"),",",)&amp;" ("&amp;LOWER(TRIM(SUBSTITUTE(PROPER(INDEX(n_4,MID(TEXT(SUBSTITUTE(TEXT(INT(G60),"# ##0"),",",),n0),1,1)+1)&amp;INDEX(n0x,MID(TEXT(SUBSTITUTE(TEXT(INT(G60),"# ##0"),",",),n0),2,1)+1,MID(TEXT(SUBSTITUTE(TEXT(INT(G60),"# ##0"),",",),n0),3,1)+1)&amp;IF(-MID(TEXT(SUBSTITUTE(TEXT(INT(G60),"# ##0"),",",),n0),1,3),"миллиард"&amp;VLOOKUP(MID(TEXT(SUBSTITUTE(TEXT(INT(G60),"# ##0"),",",),n0),3,1)*AND(MID(TEXT(SUBSTITUTE(TEXT(INT(G60),"# ##0"),",",),n0),2,1)-1),мил,2),"")&amp;INDEX(n_4,MID(TEXT(SUBSTITUTE(TEXT(INT(G60),"# ##0"),",",),n0),4,1)+1)&amp;INDEX(n0x,MID(TEXT(SUBSTITUTE(TEXT(INT(G60),"# ##0"),",",),n0),5,1)+1,MID(TEXT(SUBSTITUTE(TEXT(INT(G60),"# ##0"),",",),n0),6,1)+1)&amp;IF(-MID(TEXT(SUBSTITUTE(TEXT(INT(G60),"# ##0"),",",),n0),4,3),"миллион"&amp;VLOOKUP(MID(TEXT(SUBSTITUTE(TEXT(INT(G60),"# ##0"),",",),n0),6,1)*AND(MID(TEXT(SUBSTITUTE(TEXT(INT(G60),"# ##0"),",",),n0),5,1)-1),мил,2),"")&amp;INDEX(n_4,MID(TEXT(SUBSTITUTE(TEXT(INT(G60),"# ##0"),",",),n0),7,1)+1)&amp;INDEX(n1x,MID(TEXT(SUBSTITUTE(TEXT(INT(G60),"# ##0"),",",),n0),8,1)+1,MID(TEXT(SUBSTITUTE(TEXT(INT(G60),"# ##0"),",",),n0),9,1)+1)&amp;IF(-MID(TEXT(SUBSTITUTE(TEXT(INT(G60),"# ##0"),",",),n0),7,3),VLOOKUP(MID(TEXT(SUBSTITUTE(TEXT(INT(G60),"# ##0"),",",),n0),9,1)*AND(MID(TEXT(SUBSTITUTE(TEXT(INT(G60),"# ##0"),",",),n0),8,1)-1),тыс,2),"")&amp;INDEX(n_4,MID(TEXT(SUBSTITUTE(TEXT(INT(G60),"# ##0"),",",),n0),10,1)+1)&amp;INDEX(IF(-MID(TEXT(SUBSTITUTE(TEXT(INT(G60),"# ##0"),",",),n0),14,6),n1x,n0x),MID(TEXT(SUBSTITUTE(TEXT(INT(G60),"# ##0"),",",),n0),11,1)+1,MID(TEXT(SUBSTITUTE(TEXT(INT(G60),"# ##0"),",",),n0),12,1)+1)),"z"," ")&amp;IF(TRUNC(TEXT(SUBSTITUTE(TEXT(INT(G60),"# ##0"),",",),n0)),,"Ноль ")&amp;IF(-MID(TEXT(SUBSTITUTE(TEXT(INT(G60),"# ##0"),",",),n0),14,6),IF(MOD(MAX(MOD(MID(TEXT(SUBSTITUTE(TEXT(INT(G60),"# ##0"),",",),n0),11,2)-11,100),9),10),"целых ","целая ")&amp;SUBSTITUTE(INDEX(n_4,MID(TEXT(SUBSTITUTE(TEXT(INT(G60),"# ##0"),",",),n0),14,6)/10^5+1)&amp;INDEX(n1x,MOD(MID(TEXT(SUBSTITUTE(TEXT(INT(G60),"# ##0"),",",),n0),14,6)/10^4,10)+1,MOD(MID(TEXT(SUBSTITUTE(TEXT(INT(G60),"# ##0"),",",),n0),14,6)/1000,10)+1)&amp;IF(INT(MID(TEXT(SUBSTITUTE(TEXT(INT(G60),"# ##0"),",",),n0),14,6)/1000),VLOOKUP(MOD(MID(TEXT(SUBSTITUTE(TEXT(INT(G60),"# ##0"),",",),n0),14,6)/1000,10)*(MOD(INT(MID(TEXT(SUBSTITUTE(TEXT(INT(G60),"# ##0"),",",),n0),14,6)/10^4),10)&lt;&gt;1),тыс,2),"")&amp;INDEX(n_4,MOD(MID(TEXT(SUBSTITUTE(TEXT(INT(G60),"# ##0"),",",),n0),14,6)/100,10)+1)&amp;INDEX(n1x,MOD(MID(TEXT(SUBSTITUTE(TEXT(INT(G60),"# ##0"),",",),n0),14,6)/10,10)+1,MOD(MID(TEXT(SUBSTITUTE(TEXT(INT(G60),"# ##0"),",",),n0),14,6),10)+1),"z"," ")&amp;INDEX(доля,LEN(MID(TEXT(SUBSTITUTE(TEXT(INT(G60),"# ##0"),",",),n0),14,6)),(MOD(MAX(MOD(MID(TEXT(SUBSTITUTE(TEXT(INT(G60),"# ##0"),",",),n0),14,6)-11,100),9),10)&gt;0)+1),)))&amp;")"&amp;" "&amp;SUBSTITUTE(TEXT(ROUND((G60-SUBSTITUTE(TEXT(INT(G60),"# ##0"),",",))*100,2),"00"),",",)&amp;" копеек"</f>
        <v>0 (ноль) 00 копеек</v>
      </c>
      <c r="J60" t="s">
        <v>149</v>
      </c>
      <c r="M60" s="768"/>
      <c r="O60"/>
    </row>
    <row r="61" spans="1:17" ht="15" thickTop="1" x14ac:dyDescent="0.3"/>
    <row r="63" spans="1:17" ht="15" thickBot="1" x14ac:dyDescent="0.35">
      <c r="E63" s="61"/>
      <c r="F63" s="548" t="str">
        <f t="shared" ref="F63" si="10">IF(ISBLANK(E63),"",SUBSTITUTE(TEXT(E63,"# ##0\ рублей ,00\ копеек"),",",))</f>
        <v/>
      </c>
    </row>
    <row r="64" spans="1:17" ht="18.600000000000001" thickTop="1" x14ac:dyDescent="0.35">
      <c r="A64" s="268" t="s">
        <v>1769</v>
      </c>
      <c r="B64" s="513"/>
      <c r="C64" s="271"/>
      <c r="E64" s="5" t="s">
        <v>7584</v>
      </c>
      <c r="F64" s="547"/>
    </row>
    <row r="65" spans="1:5" x14ac:dyDescent="0.3">
      <c r="A65" s="269" t="s">
        <v>1770</v>
      </c>
      <c r="B65" s="267" t="str">
        <f>IFERROR(IF(ISBLANK(B64),"",Term_EntryIntoForce(B64)),"")</f>
        <v/>
      </c>
      <c r="C65" s="272"/>
    </row>
    <row r="66" spans="1:5" x14ac:dyDescent="0.3">
      <c r="A66" s="269" t="s">
        <v>1771</v>
      </c>
      <c r="B66" s="267" t="str">
        <f>IFERROR(WORKDAY.INTL(B65,10,1,DRAFT!X2:X125),"")</f>
        <v/>
      </c>
      <c r="C66" s="272"/>
      <c r="D66" s="6"/>
    </row>
    <row r="67" spans="1:5" x14ac:dyDescent="0.3">
      <c r="A67" s="269" t="s">
        <v>1772</v>
      </c>
      <c r="B67" s="305"/>
      <c r="C67" s="322" t="str">
        <f>IF(B67="","",IF(B67&gt;=B66,IF(B67&lt;=C66,"ВСЕ ОК","НАРУШЕНИЕ"),"НАРУШЕНИЕ"))</f>
        <v/>
      </c>
      <c r="D67" s="6"/>
    </row>
    <row r="68" spans="1:5" x14ac:dyDescent="0.3">
      <c r="A68" s="269" t="s">
        <v>2485</v>
      </c>
      <c r="B68" s="305"/>
      <c r="C68" s="515" t="str">
        <f>IFERROR(EDATE(B66,3)-1,"")</f>
        <v/>
      </c>
    </row>
    <row r="69" spans="1:5" ht="15" thickBot="1" x14ac:dyDescent="0.35">
      <c r="A69" s="270" t="s">
        <v>10062</v>
      </c>
      <c r="B69" s="535"/>
      <c r="C69" s="323" t="str">
        <f>IF(ISBLANK(B69),"",Term_EntryIntoForceCourt(B69))</f>
        <v/>
      </c>
      <c r="D69" s="1271"/>
      <c r="E69" s="266"/>
    </row>
    <row r="70" spans="1:5" ht="15" thickTop="1" x14ac:dyDescent="0.3">
      <c r="E70" s="266"/>
    </row>
    <row r="71" spans="1:5" x14ac:dyDescent="0.3">
      <c r="E71" s="266"/>
    </row>
    <row r="72" spans="1:5" x14ac:dyDescent="0.3">
      <c r="E72" s="266"/>
    </row>
    <row r="73" spans="1:5" x14ac:dyDescent="0.3">
      <c r="E73" s="266"/>
    </row>
    <row r="74" spans="1:5" x14ac:dyDescent="0.3">
      <c r="E74" s="266"/>
    </row>
    <row r="75" spans="1:5" x14ac:dyDescent="0.3">
      <c r="E75" s="266"/>
    </row>
    <row r="76" spans="1:5" x14ac:dyDescent="0.3">
      <c r="E76" s="266"/>
    </row>
    <row r="77" spans="1:5" x14ac:dyDescent="0.3">
      <c r="E77" s="266"/>
    </row>
    <row r="78" spans="1:5" x14ac:dyDescent="0.3">
      <c r="E78" s="266"/>
    </row>
    <row r="79" spans="1:5" x14ac:dyDescent="0.3">
      <c r="E79" s="266"/>
    </row>
    <row r="80" spans="1:5" x14ac:dyDescent="0.3">
      <c r="E80" s="266"/>
    </row>
    <row r="81" spans="5:5" x14ac:dyDescent="0.3">
      <c r="E81" s="266"/>
    </row>
    <row r="82" spans="5:5" x14ac:dyDescent="0.3">
      <c r="E82" s="266"/>
    </row>
    <row r="83" spans="5:5" x14ac:dyDescent="0.3">
      <c r="E83" s="266"/>
    </row>
    <row r="84" spans="5:5" x14ac:dyDescent="0.3">
      <c r="E84" s="266"/>
    </row>
    <row r="85" spans="5:5" x14ac:dyDescent="0.3">
      <c r="E85" s="266"/>
    </row>
    <row r="86" spans="5:5" x14ac:dyDescent="0.3">
      <c r="E86" s="266"/>
    </row>
    <row r="87" spans="5:5" x14ac:dyDescent="0.3">
      <c r="E87" s="266"/>
    </row>
    <row r="88" spans="5:5" x14ac:dyDescent="0.3">
      <c r="E88" s="266"/>
    </row>
    <row r="89" spans="5:5" x14ac:dyDescent="0.3">
      <c r="E89" s="266"/>
    </row>
    <row r="90" spans="5:5" x14ac:dyDescent="0.3">
      <c r="E90" s="266"/>
    </row>
    <row r="91" spans="5:5" x14ac:dyDescent="0.3">
      <c r="E91" s="266"/>
    </row>
    <row r="92" spans="5:5" x14ac:dyDescent="0.3">
      <c r="E92" s="266"/>
    </row>
    <row r="93" spans="5:5" x14ac:dyDescent="0.3">
      <c r="E93" s="266"/>
    </row>
    <row r="94" spans="5:5" x14ac:dyDescent="0.3">
      <c r="E94" s="266"/>
    </row>
    <row r="95" spans="5:5" x14ac:dyDescent="0.3">
      <c r="E95" s="266"/>
    </row>
    <row r="96" spans="5:5" x14ac:dyDescent="0.3">
      <c r="E96" s="266"/>
    </row>
    <row r="97" spans="5:5" x14ac:dyDescent="0.3">
      <c r="E97" s="266"/>
    </row>
    <row r="98" spans="5:5" x14ac:dyDescent="0.3">
      <c r="E98" s="266"/>
    </row>
    <row r="99" spans="5:5" x14ac:dyDescent="0.3">
      <c r="E99" s="266"/>
    </row>
    <row r="100" spans="5:5" x14ac:dyDescent="0.3">
      <c r="E100" s="266"/>
    </row>
    <row r="101" spans="5:5" x14ac:dyDescent="0.3">
      <c r="E101" s="266"/>
    </row>
    <row r="102" spans="5:5" x14ac:dyDescent="0.3">
      <c r="E102" s="266"/>
    </row>
    <row r="103" spans="5:5" x14ac:dyDescent="0.3">
      <c r="E103" s="266"/>
    </row>
    <row r="104" spans="5:5" x14ac:dyDescent="0.3">
      <c r="E104" s="266"/>
    </row>
    <row r="105" spans="5:5" x14ac:dyDescent="0.3">
      <c r="E105" s="266"/>
    </row>
    <row r="106" spans="5:5" x14ac:dyDescent="0.3">
      <c r="E106" s="266"/>
    </row>
    <row r="107" spans="5:5" x14ac:dyDescent="0.3">
      <c r="E107" s="266"/>
    </row>
    <row r="108" spans="5:5" x14ac:dyDescent="0.3">
      <c r="E108" s="266"/>
    </row>
    <row r="109" spans="5:5" x14ac:dyDescent="0.3">
      <c r="E109" s="266"/>
    </row>
    <row r="110" spans="5:5" x14ac:dyDescent="0.3">
      <c r="E110" s="266"/>
    </row>
    <row r="111" spans="5:5" x14ac:dyDescent="0.3">
      <c r="E111" s="266"/>
    </row>
    <row r="112" spans="5:5" x14ac:dyDescent="0.3">
      <c r="E112" s="266"/>
    </row>
    <row r="113" spans="5:5" x14ac:dyDescent="0.3">
      <c r="E113" s="266"/>
    </row>
    <row r="114" spans="5:5" x14ac:dyDescent="0.3">
      <c r="E114" s="266"/>
    </row>
    <row r="115" spans="5:5" x14ac:dyDescent="0.3">
      <c r="E115" s="266"/>
    </row>
    <row r="116" spans="5:5" x14ac:dyDescent="0.3">
      <c r="E116" s="266"/>
    </row>
    <row r="117" spans="5:5" x14ac:dyDescent="0.3">
      <c r="E117" s="266"/>
    </row>
    <row r="118" spans="5:5" x14ac:dyDescent="0.3">
      <c r="E118" s="266"/>
    </row>
    <row r="119" spans="5:5" x14ac:dyDescent="0.3">
      <c r="E119" s="266"/>
    </row>
    <row r="120" spans="5:5" x14ac:dyDescent="0.3">
      <c r="E120" s="266"/>
    </row>
    <row r="121" spans="5:5" x14ac:dyDescent="0.3">
      <c r="E121" s="266"/>
    </row>
    <row r="122" spans="5:5" x14ac:dyDescent="0.3">
      <c r="E122" s="266"/>
    </row>
    <row r="123" spans="5:5" x14ac:dyDescent="0.3">
      <c r="E123" s="266"/>
    </row>
    <row r="124" spans="5:5" x14ac:dyDescent="0.3">
      <c r="E124" s="266"/>
    </row>
    <row r="125" spans="5:5" x14ac:dyDescent="0.3">
      <c r="E125" s="266"/>
    </row>
    <row r="126" spans="5:5" x14ac:dyDescent="0.3">
      <c r="E126" s="266"/>
    </row>
    <row r="127" spans="5:5" x14ac:dyDescent="0.3">
      <c r="E127" s="266"/>
    </row>
    <row r="128" spans="5:5" x14ac:dyDescent="0.3">
      <c r="E128" s="266"/>
    </row>
    <row r="129" spans="5:5" x14ac:dyDescent="0.3">
      <c r="E129" s="266"/>
    </row>
    <row r="130" spans="5:5" x14ac:dyDescent="0.3">
      <c r="E130" s="266"/>
    </row>
    <row r="131" spans="5:5" x14ac:dyDescent="0.3">
      <c r="E131" s="266"/>
    </row>
    <row r="132" spans="5:5" x14ac:dyDescent="0.3">
      <c r="E132" s="266"/>
    </row>
    <row r="133" spans="5:5" x14ac:dyDescent="0.3">
      <c r="E133" s="266"/>
    </row>
    <row r="134" spans="5:5" x14ac:dyDescent="0.3">
      <c r="E134" s="266"/>
    </row>
    <row r="135" spans="5:5" x14ac:dyDescent="0.3">
      <c r="E135" s="266"/>
    </row>
    <row r="136" spans="5:5" x14ac:dyDescent="0.3">
      <c r="E136" s="266"/>
    </row>
  </sheetData>
  <mergeCells count="16">
    <mergeCell ref="K23:O34"/>
    <mergeCell ref="G55:I55"/>
    <mergeCell ref="D40:E40"/>
    <mergeCell ref="D41:E41"/>
    <mergeCell ref="K1:L1"/>
    <mergeCell ref="A8:F8"/>
    <mergeCell ref="A9:F9"/>
    <mergeCell ref="D38:E38"/>
    <mergeCell ref="D39:E39"/>
    <mergeCell ref="A1:B1"/>
    <mergeCell ref="C1:F1"/>
    <mergeCell ref="C2:F2"/>
    <mergeCell ref="A6:F6"/>
    <mergeCell ref="C7:F7"/>
    <mergeCell ref="A4:F4"/>
    <mergeCell ref="A5:F5"/>
  </mergeCells>
  <conditionalFormatting sqref="C67">
    <cfRule type="containsText" dxfId="578" priority="60" operator="containsText" text="НАРУШЕНИЕ">
      <formula>NOT(ISERROR(SEARCH("НАРУШЕНИЕ",C67)))</formula>
    </cfRule>
    <cfRule type="containsText" dxfId="577" priority="61" operator="containsText" text="ВСЕ ОК">
      <formula>NOT(ISERROR(SEARCH("ВСЕ ОК",C67)))</formula>
    </cfRule>
  </conditionalFormatting>
  <conditionalFormatting sqref="J2:J16">
    <cfRule type="containsText" dxfId="576" priority="50" operator="containsText" text="БР">
      <formula>NOT(ISERROR(SEARCH("БР",J2)))</formula>
    </cfRule>
    <cfRule type="containsText" dxfId="575" priority="51" operator="containsText" text="ОК">
      <formula>NOT(ISERROR(SEARCH("ОК",J2)))</formula>
    </cfRule>
  </conditionalFormatting>
  <conditionalFormatting sqref="C49">
    <cfRule type="containsBlanks" dxfId="574" priority="47">
      <formula>LEN(TRIM(C49))=0</formula>
    </cfRule>
    <cfRule type="notContainsBlanks" dxfId="573" priority="48">
      <formula>LEN(TRIM(C49))&gt;0</formula>
    </cfRule>
  </conditionalFormatting>
  <conditionalFormatting sqref="C50">
    <cfRule type="containsText" dxfId="572" priority="46" operator="containsText" text="НЕ ПОЛОЖЕНО">
      <formula>NOT(ISERROR(SEARCH("НЕ ПОЛОЖЕНО",C50)))</formula>
    </cfRule>
  </conditionalFormatting>
  <conditionalFormatting sqref="H5">
    <cfRule type="containsText" dxfId="571" priority="45" operator="containsText" text="СРОК ДАВНОСТИ">
      <formula>NOT(ISERROR(SEARCH("СРОК ДАВНОСТИ",H5)))</formula>
    </cfRule>
  </conditionalFormatting>
  <conditionalFormatting sqref="H6">
    <cfRule type="containsText" dxfId="570" priority="44" operator="containsText" text="ИСКОВАЯ ДАВНОСТЬ">
      <formula>NOT(ISERROR(SEARCH("ИСКОВАЯ ДАВНОСТЬ",H6)))</formula>
    </cfRule>
  </conditionalFormatting>
  <conditionalFormatting sqref="B26">
    <cfRule type="containsText" dxfId="569" priority="42" operator="containsText" text="NORM">
      <formula>NOT(ISERROR(SEARCH("NORM",B26)))</formula>
    </cfRule>
    <cfRule type="containsText" dxfId="568" priority="43" operator="containsText" text="LATE">
      <formula>NOT(ISERROR(SEARCH("LATE",B26)))</formula>
    </cfRule>
  </conditionalFormatting>
  <conditionalFormatting sqref="F56">
    <cfRule type="expression" dxfId="567" priority="22">
      <formula>AND($C$56&lt;&gt;0,$F$56&lt;&gt;$G$56)</formula>
    </cfRule>
    <cfRule type="expression" dxfId="566" priority="23">
      <formula>AND($C$56&lt;&gt;0,$F$56=$G$56)</formula>
    </cfRule>
  </conditionalFormatting>
  <conditionalFormatting sqref="F57">
    <cfRule type="expression" dxfId="565" priority="20">
      <formula>AND($C$57&lt;&gt;0,$F$57&lt;&gt;$G$57)</formula>
    </cfRule>
    <cfRule type="expression" dxfId="564" priority="21">
      <formula>AND($C$57&lt;&gt;0,$F$57=$G$57)</formula>
    </cfRule>
  </conditionalFormatting>
  <conditionalFormatting sqref="F58">
    <cfRule type="expression" dxfId="563" priority="18">
      <formula>AND($C$58&lt;&gt;0,$F$58&lt;&gt;$G$58)</formula>
    </cfRule>
    <cfRule type="expression" dxfId="562" priority="19">
      <formula>AND($C$58&lt;&gt;0,$F$58=$G$58)</formula>
    </cfRule>
  </conditionalFormatting>
  <conditionalFormatting sqref="F59">
    <cfRule type="expression" dxfId="561" priority="16">
      <formula>AND($C$59&lt;&gt;0,$F$59&lt;&gt;$G$59)</formula>
    </cfRule>
    <cfRule type="expression" dxfId="560" priority="17">
      <formula>AND($C$59&lt;&gt;0,$F$59=$G$59)</formula>
    </cfRule>
  </conditionalFormatting>
  <conditionalFormatting sqref="F60">
    <cfRule type="expression" dxfId="559" priority="14">
      <formula>AND($C$60&lt;&gt;0,$F$60&lt;&gt;$G$60)</formula>
    </cfRule>
    <cfRule type="expression" dxfId="558" priority="15">
      <formula>AND($C$60&lt;&gt;0,$F$60=$G$60)</formula>
    </cfRule>
  </conditionalFormatting>
  <conditionalFormatting sqref="L19">
    <cfRule type="cellIs" dxfId="557" priority="13" operator="equal">
      <formula>0</formula>
    </cfRule>
  </conditionalFormatting>
  <conditionalFormatting sqref="B33">
    <cfRule type="expression" dxfId="556" priority="5">
      <formula>B33&lt;B18</formula>
    </cfRule>
    <cfRule type="expression" dxfId="555" priority="12">
      <formula>AND(B33&lt;&gt;"",B33&gt;=B18)</formula>
    </cfRule>
  </conditionalFormatting>
  <conditionalFormatting sqref="B56">
    <cfRule type="expression" dxfId="554" priority="11">
      <formula>INDEX(K2:K16,MATCH(B56,K2:K16,0),1)=$B$56</formula>
    </cfRule>
  </conditionalFormatting>
  <conditionalFormatting sqref="B57">
    <cfRule type="expression" dxfId="553" priority="10">
      <formula>INDEX(K2:K16,MATCH(B57,K2:K16,0),1)=$B$57</formula>
    </cfRule>
  </conditionalFormatting>
  <conditionalFormatting sqref="B58">
    <cfRule type="expression" dxfId="552" priority="9">
      <formula>INDEX(K2:K16,MATCH(B58,K2:K16,0),1)=$B$58</formula>
    </cfRule>
  </conditionalFormatting>
  <conditionalFormatting sqref="B59">
    <cfRule type="expression" dxfId="551" priority="8">
      <formula>INDEX(K2:K16,MATCH(B59,K2:K16,0),1)=$B$59</formula>
    </cfRule>
  </conditionalFormatting>
  <conditionalFormatting sqref="B60">
    <cfRule type="expression" dxfId="550" priority="7">
      <formula>INDEX(K2:K16,MATCH(B60,K2:K16,0),1)=$B$60</formula>
    </cfRule>
  </conditionalFormatting>
  <conditionalFormatting sqref="D50">
    <cfRule type="containsText" dxfId="549" priority="6" operator="containsText" text="НЕ ПОЛОЖЕНО">
      <formula>NOT(ISERROR(SEARCH("НЕ ПОЛОЖЕНО",D50)))</formula>
    </cfRule>
  </conditionalFormatting>
  <conditionalFormatting sqref="D38:E38">
    <cfRule type="expression" dxfId="548" priority="1">
      <formula>$D$38=$AB$9</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2341" r:id="rId4" name="NewFilledListDates">
          <controlPr defaultSize="0" autoLine="0" autoPict="0" r:id="rId5">
            <anchor moveWithCells="1">
              <from>
                <xdr:col>6</xdr:col>
                <xdr:colOff>0</xdr:colOff>
                <xdr:row>2</xdr:row>
                <xdr:rowOff>0</xdr:rowOff>
              </from>
              <to>
                <xdr:col>7</xdr:col>
                <xdr:colOff>0</xdr:colOff>
                <xdr:row>4</xdr:row>
                <xdr:rowOff>7620</xdr:rowOff>
              </to>
            </anchor>
          </controlPr>
        </control>
      </mc:Choice>
      <mc:Fallback>
        <control shapeId="12341" r:id="rId4" name="NewFilledListDates"/>
      </mc:Fallback>
    </mc:AlternateContent>
    <mc:AlternateContent xmlns:mc="http://schemas.openxmlformats.org/markup-compatibility/2006">
      <mc:Choice Requires="x14">
        <control shapeId="12339" r:id="rId6" name="ComboBox31">
          <controlPr defaultSize="0" autoLine="0" autoPict="0" linkedCell="C49" listFillRange="DDL_Fake_Region" r:id="rId7">
            <anchor moveWithCells="1">
              <from>
                <xdr:col>2</xdr:col>
                <xdr:colOff>0</xdr:colOff>
                <xdr:row>48</xdr:row>
                <xdr:rowOff>0</xdr:rowOff>
              </from>
              <to>
                <xdr:col>3</xdr:col>
                <xdr:colOff>0</xdr:colOff>
                <xdr:row>49</xdr:row>
                <xdr:rowOff>0</xdr:rowOff>
              </to>
            </anchor>
          </controlPr>
        </control>
      </mc:Choice>
      <mc:Fallback>
        <control shapeId="12339" r:id="rId6" name="ComboBox31"/>
      </mc:Fallback>
    </mc:AlternateContent>
    <mc:AlternateContent xmlns:mc="http://schemas.openxmlformats.org/markup-compatibility/2006">
      <mc:Choice Requires="x14">
        <control shapeId="12323" r:id="rId8" name="Button_Delete">
          <controlPr defaultSize="0" autoFill="0" autoLine="0" autoPict="0" r:id="rId9">
            <anchor moveWithCells="1">
              <from>
                <xdr:col>6</xdr:col>
                <xdr:colOff>0</xdr:colOff>
                <xdr:row>0</xdr:row>
                <xdr:rowOff>0</xdr:rowOff>
              </from>
              <to>
                <xdr:col>7</xdr:col>
                <xdr:colOff>0</xdr:colOff>
                <xdr:row>2</xdr:row>
                <xdr:rowOff>0</xdr:rowOff>
              </to>
            </anchor>
          </controlPr>
        </control>
      </mc:Choice>
      <mc:Fallback>
        <control shapeId="12323" r:id="rId8" name="Button_Delete"/>
      </mc:Fallback>
    </mc:AlternateContent>
    <mc:AlternateContent xmlns:mc="http://schemas.openxmlformats.org/markup-compatibility/2006">
      <mc:Choice Requires="x14">
        <control shapeId="12344" r:id="rId10" name="DescriptionList">
          <controlPr defaultSize="0" autoLine="0" autoPict="0" linkedCell="E64" listFillRange="DRAFT!AR2:AR3" r:id="rId11">
            <anchor moveWithCells="1">
              <from>
                <xdr:col>4</xdr:col>
                <xdr:colOff>0</xdr:colOff>
                <xdr:row>63</xdr:row>
                <xdr:rowOff>0</xdr:rowOff>
              </from>
              <to>
                <xdr:col>5</xdr:col>
                <xdr:colOff>0</xdr:colOff>
                <xdr:row>64</xdr:row>
                <xdr:rowOff>0</xdr:rowOff>
              </to>
            </anchor>
          </controlPr>
        </control>
      </mc:Choice>
      <mc:Fallback>
        <control shapeId="12344" r:id="rId10" name="DescriptionList"/>
      </mc:Fallback>
    </mc:AlternateContent>
    <mc:AlternateContent xmlns:mc="http://schemas.openxmlformats.org/markup-compatibility/2006">
      <mc:Choice Requires="x14">
        <control shapeId="12345" r:id="rId12" name="CommandButton_CheckDecision">
          <controlPr defaultSize="0" autoLine="0" autoPict="0" r:id="rId13">
            <anchor moveWithCells="1">
              <from>
                <xdr:col>6</xdr:col>
                <xdr:colOff>0</xdr:colOff>
                <xdr:row>4</xdr:row>
                <xdr:rowOff>0</xdr:rowOff>
              </from>
              <to>
                <xdr:col>7</xdr:col>
                <xdr:colOff>0</xdr:colOff>
                <xdr:row>6</xdr:row>
                <xdr:rowOff>30480</xdr:rowOff>
              </to>
            </anchor>
          </controlPr>
        </control>
      </mc:Choice>
      <mc:Fallback>
        <control shapeId="12345" r:id="rId12" name="CommandButton_CheckDecision"/>
      </mc:Fallback>
    </mc:AlternateContent>
    <mc:AlternateContent xmlns:mc="http://schemas.openxmlformats.org/markup-compatibility/2006">
      <mc:Choice Requires="x14">
        <control shapeId="12337" r:id="rId14" name="Check Box 49">
          <controlPr defaultSize="0" autoFill="0" autoLine="0" autoPict="0">
            <anchor moveWithCells="1">
              <from>
                <xdr:col>3</xdr:col>
                <xdr:colOff>0</xdr:colOff>
                <xdr:row>45</xdr:row>
                <xdr:rowOff>198120</xdr:rowOff>
              </from>
              <to>
                <xdr:col>4</xdr:col>
                <xdr:colOff>0</xdr:colOff>
                <xdr:row>47</xdr:row>
                <xdr:rowOff>0</xdr:rowOff>
              </to>
            </anchor>
          </controlPr>
        </control>
      </mc:Choice>
    </mc:AlternateContent>
    <mc:AlternateContent xmlns:mc="http://schemas.openxmlformats.org/markup-compatibility/2006">
      <mc:Choice Requires="x14">
        <control shapeId="12338" r:id="rId15" name="Check Box 50">
          <controlPr defaultSize="0" autoFill="0" autoLine="0" autoPict="0">
            <anchor moveWithCells="1">
              <from>
                <xdr:col>4</xdr:col>
                <xdr:colOff>0</xdr:colOff>
                <xdr:row>46</xdr:row>
                <xdr:rowOff>7620</xdr:rowOff>
              </from>
              <to>
                <xdr:col>5</xdr:col>
                <xdr:colOff>0</xdr:colOff>
                <xdr:row>47</xdr:row>
                <xdr:rowOff>0</xdr:rowOff>
              </to>
            </anchor>
          </controlPr>
        </control>
      </mc:Choice>
    </mc:AlternateContent>
    <mc:AlternateContent xmlns:mc="http://schemas.openxmlformats.org/markup-compatibility/2006">
      <mc:Choice Requires="x14">
        <control shapeId="12340" r:id="rId16" name="Check Box 52">
          <controlPr defaultSize="0" autoFill="0" autoLine="0" autoPict="0">
            <anchor moveWithCells="1">
              <from>
                <xdr:col>0</xdr:col>
                <xdr:colOff>0</xdr:colOff>
                <xdr:row>24</xdr:row>
                <xdr:rowOff>182880</xdr:rowOff>
              </from>
              <to>
                <xdr:col>1</xdr:col>
                <xdr:colOff>0</xdr:colOff>
                <xdr:row>26</xdr:row>
                <xdr:rowOff>0</xdr:rowOff>
              </to>
            </anchor>
          </controlPr>
        </control>
      </mc:Choice>
    </mc:AlternateContent>
    <mc:AlternateContent xmlns:mc="http://schemas.openxmlformats.org/markup-compatibility/2006">
      <mc:Choice Requires="x14">
        <control shapeId="12348" r:id="rId17" name="Check Box 60">
          <controlPr defaultSize="0" autoFill="0" autoLine="0" autoPict="0">
            <anchor moveWithCells="1">
              <from>
                <xdr:col>1</xdr:col>
                <xdr:colOff>0</xdr:colOff>
                <xdr:row>12</xdr:row>
                <xdr:rowOff>0</xdr:rowOff>
              </from>
              <to>
                <xdr:col>2</xdr:col>
                <xdr:colOff>0</xdr:colOff>
                <xdr:row>13</xdr:row>
                <xdr:rowOff>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37" id="{55557C1C-A7EA-469A-AE14-5EA800A3857C}">
            <xm:f>CHALLANGE!$E$14=1</xm:f>
            <x14:dxf>
              <fill>
                <patternFill>
                  <bgColor rgb="FF92D050"/>
                </patternFill>
              </fill>
            </x14:dxf>
          </x14:cfRule>
          <xm:sqref>C7:F7</xm:sqref>
        </x14:conditionalFormatting>
        <x14:conditionalFormatting xmlns:xm="http://schemas.microsoft.com/office/excel/2006/main">
          <x14:cfRule type="expression" priority="36" id="{0FFFF20C-E4F6-4AFD-9B1D-705DD9C0BCF2}">
            <xm:f>CHALLANGE!$E$17=1</xm:f>
            <x14:dxf>
              <fill>
                <patternFill>
                  <bgColor rgb="FF92D050"/>
                </patternFill>
              </fill>
            </x14:dxf>
          </x14:cfRule>
          <xm:sqref>B7</xm:sqref>
        </x14:conditionalFormatting>
        <x14:conditionalFormatting xmlns:xm="http://schemas.microsoft.com/office/excel/2006/main">
          <x14:cfRule type="expression" priority="35" id="{C8313714-D390-4EA2-8DDA-AC4904D32690}">
            <xm:f>CHALLANGE!$E$18=1</xm:f>
            <x14:dxf>
              <fill>
                <patternFill>
                  <bgColor rgb="FF92D050"/>
                </patternFill>
              </fill>
            </x14:dxf>
          </x14:cfRule>
          <xm:sqref>A7</xm:sqref>
        </x14:conditionalFormatting>
        <x14:conditionalFormatting xmlns:xm="http://schemas.microsoft.com/office/excel/2006/main">
          <x14:cfRule type="expression" priority="34" id="{141A6D9E-E797-49B9-8F44-73DC9044DB22}">
            <xm:f>CHALLANGE!$E$15=1</xm:f>
            <x14:dxf>
              <fill>
                <patternFill>
                  <bgColor rgb="FF92D050"/>
                </patternFill>
              </fill>
            </x14:dxf>
          </x14:cfRule>
          <xm:sqref>A8:F8</xm:sqref>
        </x14:conditionalFormatting>
        <x14:conditionalFormatting xmlns:xm="http://schemas.microsoft.com/office/excel/2006/main">
          <x14:cfRule type="expression" priority="33" id="{CD14DD62-FE9C-49D6-B0F3-9AC799C30002}">
            <xm:f>CHALLANGE!$E$16=1</xm:f>
            <x14:dxf>
              <fill>
                <patternFill>
                  <bgColor rgb="FF92D050"/>
                </patternFill>
              </fill>
            </x14:dxf>
          </x14:cfRule>
          <xm:sqref>A9:F9</xm:sqref>
        </x14:conditionalFormatting>
        <x14:conditionalFormatting xmlns:xm="http://schemas.microsoft.com/office/excel/2006/main">
          <x14:cfRule type="expression" priority="32" id="{5A18847E-206C-460F-A716-BDE971A8BC75}">
            <xm:f>CHALLANGE!$E$3=1</xm:f>
            <x14:dxf>
              <fill>
                <patternFill>
                  <bgColor rgb="FF92D050"/>
                </patternFill>
              </fill>
            </x14:dxf>
          </x14:cfRule>
          <xm:sqref>A2</xm:sqref>
        </x14:conditionalFormatting>
        <x14:conditionalFormatting xmlns:xm="http://schemas.microsoft.com/office/excel/2006/main">
          <x14:cfRule type="expression" priority="31" id="{E52B1852-A42A-4379-80EA-638F14377DAD}">
            <xm:f>CHALLANGE!$E$2=1</xm:f>
            <x14:dxf>
              <fill>
                <patternFill>
                  <bgColor rgb="FF92D050"/>
                </patternFill>
              </fill>
            </x14:dxf>
          </x14:cfRule>
          <xm:sqref>B2</xm:sqref>
        </x14:conditionalFormatting>
        <x14:conditionalFormatting xmlns:xm="http://schemas.microsoft.com/office/excel/2006/main">
          <x14:cfRule type="expression" priority="30" id="{E0AED8C8-E935-45E6-ADA3-EEC0AF068BB1}">
            <xm:f>CHALLANGE!$E$9=1</xm:f>
            <x14:dxf>
              <font>
                <color theme="1" tint="0.14996795556505021"/>
              </font>
              <fill>
                <patternFill>
                  <bgColor rgb="FF92D050"/>
                </patternFill>
              </fill>
            </x14:dxf>
          </x14:cfRule>
          <xm:sqref>C2:F2</xm:sqref>
        </x14:conditionalFormatting>
        <x14:conditionalFormatting xmlns:xm="http://schemas.microsoft.com/office/excel/2006/main">
          <x14:cfRule type="expression" priority="27" id="{9510A203-2A0A-4B71-8414-D7B2B15FFE70}">
            <xm:f>CHALLANGE!$E$80=1</xm:f>
            <x14:dxf>
              <fill>
                <patternFill>
                  <bgColor rgb="FF92D050"/>
                </patternFill>
              </fill>
            </x14:dxf>
          </x14:cfRule>
          <xm:sqref>A3</xm:sqref>
        </x14:conditionalFormatting>
        <x14:conditionalFormatting xmlns:xm="http://schemas.microsoft.com/office/excel/2006/main">
          <x14:cfRule type="expression" priority="26" id="{1F851C22-6694-4DFD-8DD7-C944E8954D1E}">
            <xm:f>CHALLANGE!$E$79=1</xm:f>
            <x14:dxf>
              <fill>
                <patternFill>
                  <bgColor rgb="FF92D050"/>
                </patternFill>
              </fill>
            </x14:dxf>
          </x14:cfRule>
          <xm:sqref>B3</xm:sqref>
        </x14:conditionalFormatting>
        <x14:conditionalFormatting xmlns:xm="http://schemas.microsoft.com/office/excel/2006/main">
          <x14:cfRule type="expression" priority="31133" id="{922D7AC6-0478-46AA-BB8A-A231074949C0}">
            <xm:f>CHALLANGE!$E$6=1</xm:f>
            <x14:dxf>
              <fill>
                <patternFill>
                  <bgColor rgb="FF92D050"/>
                </patternFill>
              </fill>
            </x14:dxf>
          </x14:cfRule>
          <xm:sqref>B11</xm:sqref>
        </x14:conditionalFormatting>
        <x14:conditionalFormatting xmlns:xm="http://schemas.microsoft.com/office/excel/2006/main">
          <x14:cfRule type="expression" priority="31139" id="{2488A321-3E4A-476B-A98E-5236B911BABC}">
            <xm:f>CHALLANGE!$E$7=1</xm:f>
            <x14:dxf>
              <fill>
                <patternFill>
                  <bgColor rgb="FF92D050"/>
                </patternFill>
              </fill>
            </x14:dxf>
          </x14:cfRule>
          <xm:sqref>A11</xm:sqref>
        </x14:conditionalFormatting>
        <x14:conditionalFormatting xmlns:xm="http://schemas.microsoft.com/office/excel/2006/main">
          <x14:cfRule type="iconSet" priority="31166" id="{3FAB1E2B-CB5A-477A-A41C-F00E4E57FE44}">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P2:Q16</xm:sqref>
        </x14:conditionalFormatting>
        <x14:conditionalFormatting xmlns:xm="http://schemas.microsoft.com/office/excel/2006/main">
          <x14:cfRule type="expression" priority="31569" id="{752DBA7C-0211-432E-BAF5-3834FD854CFA}">
            <xm:f>WEEKDAY(WORKDAY.INTL(B17,20,"0000000",DRAFT!X5:X128),2)=7</xm:f>
            <x14:dxf>
              <fill>
                <patternFill>
                  <bgColor rgb="FFFF0000"/>
                </patternFill>
              </fill>
            </x14:dxf>
          </x14:cfRule>
          <x14:cfRule type="expression" priority="31570" id="{68E969AA-784B-46E1-A6CC-F275A3F6483B}">
            <xm:f>WEEKDAY(WORKDAY.INTL(B17,20,"0000000",DRAFT!X5:X128),2)=6</xm:f>
            <x14:dxf>
              <fill>
                <patternFill>
                  <bgColor rgb="FFFF0000"/>
                </patternFill>
              </fill>
            </x14:dxf>
          </x14:cfRule>
          <xm:sqref>A17</xm:sqref>
        </x14:conditionalFormatting>
        <x14:conditionalFormatting xmlns:xm="http://schemas.microsoft.com/office/excel/2006/main">
          <x14:cfRule type="expression" priority="4" id="{5CEC1C88-D78B-4774-8374-66E316CA6F84}">
            <xm:f>CHALLANGE!$E$11=1</xm:f>
            <x14:dxf>
              <fill>
                <patternFill>
                  <bgColor rgb="FF92D050"/>
                </patternFill>
              </fill>
            </x14:dxf>
          </x14:cfRule>
          <xm:sqref>E3</xm:sqref>
        </x14:conditionalFormatting>
        <x14:conditionalFormatting xmlns:xm="http://schemas.microsoft.com/office/excel/2006/main">
          <x14:cfRule type="expression" priority="3" id="{0F9F41EB-19DB-4E21-9F15-E8EE2909208A}">
            <xm:f>CHALLANGE!$E$12=1</xm:f>
            <x14:dxf>
              <fill>
                <patternFill>
                  <bgColor rgb="FF92D050"/>
                </patternFill>
              </fill>
            </x14:dxf>
          </x14:cfRule>
          <xm:sqref>A4:F4</xm:sqref>
        </x14:conditionalFormatting>
        <x14:conditionalFormatting xmlns:xm="http://schemas.microsoft.com/office/excel/2006/main">
          <x14:cfRule type="expression" priority="2" id="{69AAE6F3-F405-4A65-B788-EF74B02B7008}">
            <xm:f>CHALLANGE!$E$13=1</xm:f>
            <x14:dxf>
              <fill>
                <patternFill>
                  <bgColor rgb="FF92D050"/>
                </patternFill>
              </fill>
            </x14:dxf>
          </x14:cfRule>
          <xm:sqref>A5:F5</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tes1">
    <tabColor rgb="FF7030A0"/>
  </sheetPr>
  <dimension ref="A1:AAZ55"/>
  <sheetViews>
    <sheetView tabSelected="1" zoomScale="85" zoomScaleNormal="85" workbookViewId="0">
      <selection activeCell="K17" sqref="K17"/>
    </sheetView>
  </sheetViews>
  <sheetFormatPr defaultRowHeight="14.4" x14ac:dyDescent="0.3"/>
  <cols>
    <col min="1" max="1" width="20.88671875" customWidth="1"/>
    <col min="2" max="2" width="16.109375" style="6" customWidth="1"/>
    <col min="3" max="3" width="16.33203125" customWidth="1"/>
    <col min="4" max="4" width="13.88671875" customWidth="1"/>
    <col min="5" max="5" width="16.109375" customWidth="1"/>
    <col min="6" max="6" width="14.109375" customWidth="1"/>
    <col min="7" max="7" width="15.88671875" customWidth="1"/>
    <col min="8" max="8" width="20" customWidth="1"/>
    <col min="9" max="9" width="12.44140625" customWidth="1"/>
    <col min="10" max="10" width="7.44140625" customWidth="1"/>
    <col min="11" max="11" width="15.5546875" customWidth="1"/>
    <col min="12" max="12" width="17.88671875" customWidth="1"/>
    <col min="13" max="13" width="15.5546875" customWidth="1"/>
    <col min="14" max="14" width="6.44140625" customWidth="1"/>
    <col min="15" max="15" width="6.109375" customWidth="1"/>
    <col min="16" max="16" width="8" customWidth="1"/>
    <col min="18" max="18" width="13.109375" customWidth="1"/>
  </cols>
  <sheetData>
    <row r="1" spans="1:728" ht="15.6" customHeight="1" thickTop="1" thickBot="1" x14ac:dyDescent="0.35">
      <c r="A1" s="1369" t="s">
        <v>0</v>
      </c>
      <c r="B1" s="1370"/>
      <c r="C1" s="1371" t="s">
        <v>6</v>
      </c>
      <c r="D1" s="1372"/>
      <c r="E1" s="1372"/>
      <c r="F1" s="1373"/>
      <c r="H1" s="757"/>
      <c r="J1" s="778" t="s">
        <v>5573</v>
      </c>
      <c r="K1" s="1363" t="s">
        <v>40</v>
      </c>
      <c r="L1" s="1363"/>
      <c r="M1" s="778" t="s">
        <v>608</v>
      </c>
      <c r="N1" s="778" t="s">
        <v>3857</v>
      </c>
      <c r="O1" s="778" t="s">
        <v>3858</v>
      </c>
    </row>
    <row r="2" spans="1:728" ht="15.6" customHeight="1" thickTop="1" thickBot="1" x14ac:dyDescent="0.35">
      <c r="A2" s="734" t="str">
        <f>IFERROR(INDEX(STATUS!A:K,MATCH("РЕШ шаблон",STATUS!K:K,0),1),"")</f>
        <v>У-19-32531</v>
      </c>
      <c r="B2" s="448">
        <f>IFERROR(INDEX(STATUS!A:K,MATCH("РЕШ шаблон",STATUS!K:K,0),3),"")</f>
        <v>43725</v>
      </c>
      <c r="C2" s="1379" t="str">
        <f>IFERROR((INDEX(STATUS!A:K,MATCH("РЕШ шаблон",STATUS!K:K,0),6)),"")</f>
        <v>Герасименко Робэр Валериевич</v>
      </c>
      <c r="D2" s="1374"/>
      <c r="E2" s="1374"/>
      <c r="F2" s="1375"/>
      <c r="H2" s="458" t="s">
        <v>916</v>
      </c>
      <c r="J2" s="455" t="str">
        <f>IF(ISBLANK(K2),"",IF(OR(K2=M$2,K2=M$3,K2=M$4,K2=M$5,K2=M$6,K2=M$7,K2=M$8,K2=M$9,K2=M$10,K2=M$11),"ОК","БР"))</f>
        <v>ОК</v>
      </c>
      <c r="K2" s="774" t="s">
        <v>7584</v>
      </c>
      <c r="L2" s="775"/>
      <c r="M2" s="772"/>
      <c r="N2" s="449"/>
      <c r="O2" s="450"/>
    </row>
    <row r="3" spans="1:728" ht="15.6" customHeight="1" thickTop="1" x14ac:dyDescent="0.3">
      <c r="A3" s="771" t="str">
        <f>CHALLANGE!D80</f>
        <v>У-20-175174/2040-002</v>
      </c>
      <c r="B3" s="216">
        <f>CHALLANGE!D79</f>
        <v>44161</v>
      </c>
      <c r="C3" s="216">
        <f>IFERROR(EDATE(B2,-36),"")</f>
        <v>42630</v>
      </c>
      <c r="D3" s="216"/>
      <c r="E3" s="216" t="e">
        <f>CHALLANGE!#REF!</f>
        <v>#REF!</v>
      </c>
      <c r="F3" s="216" t="e">
        <f>CHALLANGE!#REF!</f>
        <v>#REF!</v>
      </c>
      <c r="H3" s="459">
        <f>IF(NOT(B16=""),IF(H4=FALSE,IF(B16&gt;DRAFT!AG3,DRAFT!AF3,DRAFT!AF2),IF(B16&gt;DRAFT!AG6,DRAFT!AF6,DRAFT!AF5)),0)</f>
        <v>0</v>
      </c>
      <c r="J3" s="456" t="str">
        <f t="shared" ref="J3:J11" si="0">IF(ISBLANK(K3),"",IF(OR(K3=M$2,K3=M$3,K3=M$4,K3=M$5,K3=M$6,K3=M$7,K3=M$8,K3=M$9,K3=M$10,K3=M$11),"ОК","БР"))</f>
        <v>ОК</v>
      </c>
      <c r="K3" s="774" t="s">
        <v>7584</v>
      </c>
      <c r="L3" s="776"/>
      <c r="M3" s="773"/>
      <c r="N3" s="451"/>
      <c r="O3" s="452"/>
      <c r="NJ3">
        <f>SEARCH(NI3,NK4)</f>
        <v>1</v>
      </c>
      <c r="NN3">
        <f>SEARCH(NK3,NK$4)+LEN(NK3)</f>
        <v>1</v>
      </c>
      <c r="AAZ3">
        <f>MIN(IFERROR(SEARCH(AAY$3,$AAR3)+LEN(AAY$3),99999),
IFERROR(SEARCH(AAY$4,$AAR3)+LEN(AAY$4),99999),
IFERROR(SEARCH(AAY$5,$AAR3)+LEN(AAY$5),99999),
IFERROR(SEARCH(AAY$6,$AAR3)+LEN(AAY$6),99999),
IFERROR(SEARCH(AAY$7,$AAR3)+LEN(AAY$7),99999),
IFERROR(SEARCH(AAY$8,$AAR3)+LEN(AAY$8),99999),
IFERROR(SEARCH(AAY$9,$AAR3)+LEN(AAY$9),99999),
IFERROR(SEARCH(AAY$10,$AAR3)+LEN(AAY$10),99999),
IFERROR(SEARCH(AAY$11,$AAR3+LEN(AAY$11)),99999),
IFERROR(SEARCH(AAY$12,$AAR3)+LEN(AAY$12),99999),
IFERROR(SEARCH(AAY$13,$AAR3)+LEN(AAY$13),99999),
IFERROR(SEARCH(AAY$14,$AAR3)+LEN(AAY$14),99999)
)</f>
        <v>1</v>
      </c>
    </row>
    <row r="4" spans="1:728" ht="15.6" customHeight="1" thickBot="1" x14ac:dyDescent="0.35">
      <c r="A4" s="771" t="str">
        <f>CHALLANGE!D12</f>
        <v>344092, г. Ростов-на-Дону, ул. Верная, д. 17/88</v>
      </c>
      <c r="B4" s="216"/>
      <c r="C4" s="546"/>
      <c r="D4" s="546"/>
      <c r="E4" s="217"/>
      <c r="F4" s="217"/>
      <c r="H4" t="b">
        <v>0</v>
      </c>
      <c r="J4" s="456" t="str">
        <f t="shared" si="0"/>
        <v/>
      </c>
      <c r="K4" s="774"/>
      <c r="L4" s="776"/>
      <c r="M4" s="30"/>
      <c r="N4" s="451"/>
      <c r="O4" s="452"/>
      <c r="NK4">
        <f>NH3</f>
        <v>0</v>
      </c>
      <c r="AAZ4" t="e">
        <f>SEARCH(AAY3,$AAR$3)</f>
        <v>#VALUE!</v>
      </c>
    </row>
    <row r="5" spans="1:728" ht="15.6" customHeight="1" thickTop="1" thickBot="1" x14ac:dyDescent="0.35">
      <c r="A5" s="771" t="str">
        <f>CHALLANGE!D13</f>
        <v>344092, г. Ростов-на-Дону, ул. Верная, д. 17/88</v>
      </c>
      <c r="B5" s="546"/>
      <c r="C5" s="546"/>
      <c r="D5" s="546"/>
      <c r="E5" s="546"/>
      <c r="F5" s="217"/>
      <c r="H5" s="522" t="str">
        <f>IFERROR(IF(OR(ISBLANK(B17),ISBLANK(B2)),"",IF((B2-(EDATE(B18,36)))&gt;=0,"СРОК ДАВНОСТИ","")),"")</f>
        <v/>
      </c>
      <c r="J5" s="456" t="str">
        <f t="shared" si="0"/>
        <v/>
      </c>
      <c r="K5" s="774"/>
      <c r="L5" s="776"/>
      <c r="M5" s="773"/>
      <c r="N5" s="451"/>
      <c r="O5" s="452"/>
      <c r="DV5" t="e">
        <f>DATEVALUE(MID($C$3,DR5,DU5))</f>
        <v>#VALUE!</v>
      </c>
      <c r="AAZ5" t="e">
        <f>SEARCH(AAY3,$AAR$3)</f>
        <v>#VALUE!</v>
      </c>
    </row>
    <row r="6" spans="1:728" ht="15.6" customHeight="1" thickTop="1" thickBot="1" x14ac:dyDescent="0.35">
      <c r="A6" s="1376" t="s">
        <v>7</v>
      </c>
      <c r="B6" s="1377"/>
      <c r="C6" s="1377"/>
      <c r="D6" s="1377"/>
      <c r="E6" s="1377"/>
      <c r="F6" s="1378"/>
      <c r="H6" s="523" t="str">
        <f>IF(ISBLANK(B15),"",IF((B17-B15)&gt;1095,"ИСКОВАЯ ДАВНОСТЬ",""))</f>
        <v/>
      </c>
      <c r="J6" s="456" t="str">
        <f t="shared" si="0"/>
        <v/>
      </c>
      <c r="K6" s="774"/>
      <c r="L6" s="776"/>
      <c r="M6" s="30"/>
      <c r="N6" s="451"/>
      <c r="O6" s="452"/>
    </row>
    <row r="7" spans="1:728" ht="15.6" customHeight="1" thickTop="1" x14ac:dyDescent="0.3">
      <c r="A7" s="733">
        <f>IFERROR(INDEX(ФО!A:E,MATCH(C7,ФО!A:A,0),2),"")</f>
        <v>1644001196</v>
      </c>
      <c r="B7" s="213">
        <f>IFERROR(INDEX(ФО!A:E,MATCH(C7,ФО!A:A,0),5),"")</f>
        <v>37411</v>
      </c>
      <c r="C7" s="1379" t="str">
        <f>IFERROR(INDEX(STATUS!A:K,MATCH("РЕШ шаблон",STATUS!K:K,0),7),"")</f>
        <v>АО СК «Чулпан»</v>
      </c>
      <c r="D7" s="1374"/>
      <c r="E7" s="1374"/>
      <c r="F7" s="1375"/>
      <c r="H7" s="777"/>
      <c r="J7" s="456" t="str">
        <f t="shared" si="0"/>
        <v/>
      </c>
      <c r="K7" s="774"/>
      <c r="L7" s="776"/>
      <c r="M7" s="30"/>
      <c r="N7" s="451"/>
      <c r="O7" s="452"/>
    </row>
    <row r="8" spans="1:728" ht="15.6" customHeight="1" x14ac:dyDescent="0.3">
      <c r="A8" s="1364" t="str">
        <f>IFERROR(INDEX(ФО!A:E,MATCH(C7,ФО!A:A,0),3),"")</f>
        <v>423452, Республика Татарстан, г. Альметьевск, Альметьевский район, ул. Пушкина, д. 66, пом. 1</v>
      </c>
      <c r="B8" s="1365"/>
      <c r="C8" s="1365"/>
      <c r="D8" s="1365"/>
      <c r="E8" s="1365"/>
      <c r="F8" s="1366"/>
      <c r="G8" s="754"/>
      <c r="H8" s="5"/>
      <c r="J8" s="456" t="str">
        <f t="shared" si="0"/>
        <v/>
      </c>
      <c r="K8" s="774"/>
      <c r="L8" s="776"/>
      <c r="M8" s="30"/>
      <c r="N8" s="451"/>
      <c r="O8" s="452"/>
    </row>
    <row r="9" spans="1:728" ht="15.6" customHeight="1" thickBot="1" x14ac:dyDescent="0.35">
      <c r="A9" s="1364" t="str">
        <f>IFERROR(INDEX(ФО!A:E,MATCH(C7,ФО!A:A,0),4),"")</f>
        <v>423452, Республика Татарстан, г. Альметьевск, Альметьевский район, ул. Пушкина, д. 66, пом. 1</v>
      </c>
      <c r="B9" s="1365"/>
      <c r="C9" s="1365"/>
      <c r="D9" s="1365"/>
      <c r="E9" s="1365"/>
      <c r="F9" s="1366"/>
      <c r="J9" s="456" t="str">
        <f t="shared" si="0"/>
        <v/>
      </c>
      <c r="K9" s="774"/>
      <c r="L9" s="776"/>
      <c r="M9" s="30"/>
      <c r="N9" s="451"/>
      <c r="O9" s="452"/>
      <c r="DW9" s="100">
        <f>DV9</f>
        <v>0</v>
      </c>
      <c r="TX9" t="str">
        <f>IF(OR(TX3="Штраф 50%",TX3=""),"",TW9)</f>
        <v/>
      </c>
    </row>
    <row r="10" spans="1:728" ht="15.6" customHeight="1" thickTop="1" thickBot="1" x14ac:dyDescent="0.35">
      <c r="A10" s="779" t="s">
        <v>3</v>
      </c>
      <c r="B10" s="780" t="s">
        <v>2</v>
      </c>
      <c r="C10" s="780" t="s">
        <v>6082</v>
      </c>
      <c r="D10" s="780" t="s">
        <v>197</v>
      </c>
      <c r="E10" s="755"/>
      <c r="F10" s="756"/>
      <c r="J10" s="456" t="str">
        <f t="shared" si="0"/>
        <v/>
      </c>
      <c r="K10" s="774"/>
      <c r="L10" s="776">
        <f>IFERROR(CHALLANGE!G52,"")</f>
        <v>0</v>
      </c>
      <c r="M10" s="30"/>
      <c r="N10" s="451"/>
      <c r="O10" s="452"/>
    </row>
    <row r="11" spans="1:728" ht="15.6" customHeight="1" thickTop="1" thickBot="1" x14ac:dyDescent="0.35">
      <c r="A11" s="217" t="str">
        <f>CHALLANGE!D7</f>
        <v>Е.Л. Писаревский</v>
      </c>
      <c r="B11" s="216" t="e">
        <f>CHALLANGE!#REF!</f>
        <v>#REF!</v>
      </c>
      <c r="C11" s="216" t="str">
        <f>CHALLANGE!D81</f>
        <v>Предоставлены</v>
      </c>
      <c r="D11" s="217" t="str">
        <f>CHALLANGE!C4</f>
        <v>ОСАГО</v>
      </c>
      <c r="E11" s="217"/>
      <c r="F11" s="217"/>
      <c r="J11" s="457" t="str">
        <f t="shared" si="0"/>
        <v/>
      </c>
      <c r="K11" s="774"/>
      <c r="L11" s="776">
        <f>IFERROR(CHALLANGE!G56,"")</f>
        <v>0</v>
      </c>
      <c r="M11" s="30"/>
      <c r="N11" s="453"/>
      <c r="O11" s="454"/>
    </row>
    <row r="12" spans="1:728" ht="15.6" thickTop="1" thickBot="1" x14ac:dyDescent="0.35">
      <c r="I12" t="s">
        <v>149</v>
      </c>
      <c r="K12" s="779" t="s">
        <v>45</v>
      </c>
      <c r="L12" s="113">
        <f>SUM(L2:L11)</f>
        <v>0</v>
      </c>
      <c r="N12" s="324"/>
    </row>
    <row r="13" spans="1:728" ht="15.6" thickTop="1" thickBot="1" x14ac:dyDescent="0.35">
      <c r="I13" t="s">
        <v>149</v>
      </c>
      <c r="J13" s="324"/>
      <c r="K13" s="303" t="s">
        <v>641</v>
      </c>
      <c r="L13" s="311"/>
      <c r="M13" s="324"/>
    </row>
    <row r="14" spans="1:728" ht="15.6" thickTop="1" thickBot="1" x14ac:dyDescent="0.35">
      <c r="A14" s="468" t="s">
        <v>5576</v>
      </c>
      <c r="B14" s="475" t="s">
        <v>5</v>
      </c>
      <c r="C14" s="468" t="s">
        <v>5574</v>
      </c>
      <c r="D14" s="468" t="s">
        <v>5</v>
      </c>
      <c r="E14" s="468" t="s">
        <v>627</v>
      </c>
      <c r="F14" s="468" t="s">
        <v>653</v>
      </c>
      <c r="G14" s="468" t="s">
        <v>456</v>
      </c>
      <c r="H14" s="468" t="s">
        <v>5577</v>
      </c>
      <c r="I14" t="s">
        <v>149</v>
      </c>
      <c r="K14" s="303" t="s">
        <v>4064</v>
      </c>
      <c r="L14" s="374">
        <f>L13-L12</f>
        <v>0</v>
      </c>
    </row>
    <row r="15" spans="1:728" ht="15" thickTop="1" x14ac:dyDescent="0.3">
      <c r="A15" s="469" t="s">
        <v>2188</v>
      </c>
      <c r="B15" s="470"/>
      <c r="C15" s="538"/>
      <c r="D15" s="471"/>
      <c r="E15" s="472"/>
      <c r="F15" s="473">
        <f>IF(B18&lt;C3,
IF(B36&lt;&gt;"",MAX(D15-C3+1,0),IF(C15="Ущерб",MAX(D15-C3+1,0),IF(C15=A$19,MAX(D15-C3+1,0),IF(C15=A$21,MAX(D15-C3+1,0),IF(C15=A$23,MAX(D15-C3+1,0),0))))),
IF(B36&lt;&gt;"",MAX(D15-B38+1,0),IF(C15="Ущерб",MAX(D15-B$18+1,0),IF(C15=A$19,MAX(D15-B$20+1,0),IF(C15=A$21,MAX(D15-B$22+1,0),IF(C15=A$23,MAX(D15-B$24+1,0),0))))))</f>
        <v>0</v>
      </c>
      <c r="G15" s="474">
        <f t="shared" ref="G15:G24" si="1">E15*F15*0.01</f>
        <v>0</v>
      </c>
      <c r="H15" s="278" t="str">
        <f>IF(ISBLANK(G15),"",SUBSTITUTE(TEXT(G15,"# ##0\ рублей ,00\ копеек"),",",))</f>
        <v>0 рублей 00 копеек</v>
      </c>
      <c r="I15" t="s">
        <v>149</v>
      </c>
    </row>
    <row r="16" spans="1:728" ht="15" thickBot="1" x14ac:dyDescent="0.35">
      <c r="A16" s="466" t="s">
        <v>213</v>
      </c>
      <c r="B16" s="467"/>
      <c r="C16" s="539"/>
      <c r="D16" s="471"/>
      <c r="E16" s="461"/>
      <c r="F16" s="307">
        <f>IF(B36&lt;&gt;"",MAX(D16-B38+1,0),IF(C16="Ущерб",MAX(D16-B$18+1,0),IF(C16=A$19,MAX(D16-B$20+1,0),IF(C16=A$21,MAX(D16-B$22+1,0),IF(C16=A$23,MAX(D16-B$24+1,0),0)))))</f>
        <v>0</v>
      </c>
      <c r="G16" s="462">
        <f t="shared" si="1"/>
        <v>0</v>
      </c>
      <c r="H16" s="278" t="str">
        <f t="shared" ref="H16:H24" si="2">IF(ISBLANK(G16),"",SUBSTITUTE(TEXT(G16,"# ##0\ рублей ,00\ копеек"),",",))</f>
        <v>0 рублей 00 копеек</v>
      </c>
    </row>
    <row r="17" spans="1:9" ht="15.6" thickTop="1" thickBot="1" x14ac:dyDescent="0.35">
      <c r="A17" s="464" t="s">
        <v>606</v>
      </c>
      <c r="B17" s="467"/>
      <c r="C17" s="539"/>
      <c r="D17" s="460"/>
      <c r="E17" s="461"/>
      <c r="F17" s="307">
        <f>IF(B36&lt;&gt;"",MAX(D17-B38+1,0),IF(C17="Ущерб",MAX(D17-B$18+1,0),IF(C17=A$19,MAX(D17-B$20+1,0),IF(C17=A$21,MAX(D17-B$22+1,0),IF(C17=A$23,MAX(D17-B$24+1,0),0)))))</f>
        <v>0</v>
      </c>
      <c r="G17" s="462">
        <f t="shared" si="1"/>
        <v>0</v>
      </c>
      <c r="H17" s="278" t="str">
        <f t="shared" si="2"/>
        <v>0 рублей 00 копеек</v>
      </c>
      <c r="I17" t="s">
        <v>149</v>
      </c>
    </row>
    <row r="18" spans="1:9" ht="15.6" thickTop="1" thickBot="1" x14ac:dyDescent="0.35">
      <c r="A18" s="465" t="s">
        <v>5575</v>
      </c>
      <c r="B18" s="323">
        <f>IFERROR(IF(B13,IF(WEEKDAY(WORKDAY.INTL(B17,20,"0000000",DRAFT!AX2:AX115),2)=6,WORKDAY.INTL(B17,20,"0000000",DRAFT!AX2:AX115)+2,IF(WEEKDAY(WORKDAY.INTL(B17,20,"0000000",DRAFT!AX2:AX115),2)=7,WORKDAY.INTL(B17,20,"0000000",DRAFT!AX2:AX115)+1,WORKDAY.INTL(B17,20,"0000000",DRAFT!AX2:AX115)))+1,IF(WEEKDAY(WORKDAY.INTL(B17,20,"0000000",DRAFT!AW2:AW113),2)=6,WORKDAY.INTL(B17,20,"0000000",DRAFT!AW2:AW113)+2,IF(WEEKDAY(WORKDAY.INTL(B17,20,"0000000",DRAFT!AW2:AW113),2)=7,WORKDAY.INTL(B17,20,"0000000",DRAFT!AW2:AW113)+1,WORKDAY.INTL(B17,20,"0000000",DRAFT!AW2:AW113)))+1),"")</f>
        <v>21</v>
      </c>
      <c r="C18" s="539"/>
      <c r="D18" s="460"/>
      <c r="E18" s="461"/>
      <c r="F18" s="307">
        <f>IF(B36&lt;&gt;"",MAX(D18-B38+1,0),IF(C18="Ущерб",MAX(D18-B$18+1,0),IF(C18=A$19,MAX(D18-B$20+1,0),IF(C18=A$21,MAX(D18-B$22+1,0),IF(C18=A$23,MAX(D18-B$24+1,0),0)))))</f>
        <v>0</v>
      </c>
      <c r="G18" s="462">
        <f t="shared" si="1"/>
        <v>0</v>
      </c>
      <c r="H18" s="278" t="str">
        <f t="shared" si="2"/>
        <v>0 рублей 00 копеек</v>
      </c>
      <c r="I18" t="s">
        <v>149</v>
      </c>
    </row>
    <row r="19" spans="1:9" ht="15" thickTop="1" x14ac:dyDescent="0.3">
      <c r="A19" s="476" t="s">
        <v>604</v>
      </c>
      <c r="B19" s="477"/>
      <c r="C19" s="539"/>
      <c r="D19" s="460"/>
      <c r="E19" s="461"/>
      <c r="F19" s="307">
        <f>IF(B36&lt;&gt;"",MAX(D19-B38+1,0),IF(C19="Ущерб",MAX(D19-B$18+1,0),IF(C19=A$19,MAX(D19-B$20+1,0),IF(C19=A$21,MAX(D19-B$22+1,0),IF(C19=A$23,MAX(D19-B$24+1,0),0)))))</f>
        <v>0</v>
      </c>
      <c r="G19" s="462">
        <f t="shared" si="1"/>
        <v>0</v>
      </c>
      <c r="H19" s="278" t="str">
        <f t="shared" si="2"/>
        <v>0 рублей 00 копеек</v>
      </c>
      <c r="I19" t="s">
        <v>149</v>
      </c>
    </row>
    <row r="20" spans="1:9" ht="15" thickBot="1" x14ac:dyDescent="0.35">
      <c r="A20" s="465" t="s">
        <v>5575</v>
      </c>
      <c r="B20" s="323">
        <f>IF(WEEKDAY(WORKDAY.INTL(B19,20,"0000000",DRAFT!X4:X127),2)=6,WORKDAY.INTL(B19,20,"0000000",DRAFT!X4:X127)+2,IF(WEEKDAY(WORKDAY.INTL(B19,20,"0000000",DRAFT!X4:X127),2)=7,WORKDAY.INTL(B19,20,"0000000",DRAFT!X4:X127)+1,WORKDAY.INTL(B19,20,"0000000",DRAFT!X4:X127)))+1</f>
        <v>21</v>
      </c>
      <c r="C20" s="540"/>
      <c r="D20" s="460"/>
      <c r="E20" s="461"/>
      <c r="F20" s="307">
        <f>IF(B36&lt;&gt;"",MAX(D20-B38+1,0),IF(C20="Ущерб",MAX(D20-B$18+1,0),IF(C20=A$19,MAX(D20-B$20+1,0),IF(C20=A$21,MAX(D20-B$22+1,0),IF(C20=A$23,MAX(D20-B$24+1,0),0)))))</f>
        <v>0</v>
      </c>
      <c r="G20" s="462">
        <f t="shared" si="1"/>
        <v>0</v>
      </c>
      <c r="H20" s="278" t="str">
        <f t="shared" si="2"/>
        <v>0 рублей 00 копеек</v>
      </c>
      <c r="I20" t="s">
        <v>149</v>
      </c>
    </row>
    <row r="21" spans="1:9" ht="15" thickTop="1" x14ac:dyDescent="0.3">
      <c r="A21" s="476" t="s">
        <v>1117</v>
      </c>
      <c r="B21" s="477"/>
      <c r="C21" s="540"/>
      <c r="D21" s="305"/>
      <c r="E21" s="308"/>
      <c r="F21" s="307">
        <f>IF(B36&lt;&gt;"",MAX(D21-B38+1,0),IF(C21="Ущерб",MAX(D21-B$18+1,0),IF(C21=A$19,MAX(D21-B$20+1,0),IF(C21=A$21,MAX(D21-B$22+1,0),IF(C21=A$23,MAX(D21-B$24+1,0),0)))))</f>
        <v>0</v>
      </c>
      <c r="G21" s="462">
        <f t="shared" si="1"/>
        <v>0</v>
      </c>
      <c r="H21" s="278" t="str">
        <f t="shared" si="2"/>
        <v>0 рублей 00 копеек</v>
      </c>
      <c r="I21" t="s">
        <v>149</v>
      </c>
    </row>
    <row r="22" spans="1:9" ht="15" thickBot="1" x14ac:dyDescent="0.35">
      <c r="A22" s="465" t="s">
        <v>5575</v>
      </c>
      <c r="B22" s="323">
        <f>IF(WEEKDAY(WORKDAY.INTL(B21,20,"0000000",DRAFT!X6:X129),2)=6,WORKDAY.INTL(B21,20,"0000000",DRAFT!X6:X129)+2,IF(WEEKDAY(WORKDAY.INTL(B21,20,"0000000",DRAFT!X6:X129),2)=7,WORKDAY.INTL(B21,20,"0000000",DRAFT!X6:X129)+1,WORKDAY.INTL(B21,20,"0000000",DRAFT!X6:X129)))+1</f>
        <v>21</v>
      </c>
      <c r="C22" s="541"/>
      <c r="D22" s="529"/>
      <c r="E22" s="530"/>
      <c r="F22" s="531">
        <f>IF(B36&lt;&gt;"",MAX(D22-B38+1,0),IF(C22="Ущерб",MAX(D22-B$18+1,0),IF(C22=A$19,MAX(D22-B$20+1,0),IF(C22=A$21,MAX(D22-B$22+1,0),IF(C22=A$23,MAX(D22-B$24+1,0),0)))))</f>
        <v>0</v>
      </c>
      <c r="G22" s="508">
        <f t="shared" si="1"/>
        <v>0</v>
      </c>
      <c r="H22" s="278" t="str">
        <f t="shared" si="2"/>
        <v>0 рублей 00 копеек</v>
      </c>
      <c r="I22" t="s">
        <v>149</v>
      </c>
    </row>
    <row r="23" spans="1:9" ht="15" thickTop="1" x14ac:dyDescent="0.3">
      <c r="A23" s="476" t="s">
        <v>4951</v>
      </c>
      <c r="B23" s="477"/>
      <c r="C23" s="542"/>
      <c r="D23" s="537"/>
      <c r="E23" s="532"/>
      <c r="F23" s="533">
        <f>IF(B36&lt;&gt;"",MAX(B34-B38,0),MAX(B34-B18,0))</f>
        <v>0</v>
      </c>
      <c r="G23" s="503">
        <f t="shared" si="1"/>
        <v>0</v>
      </c>
      <c r="H23" s="534" t="str">
        <f t="shared" si="2"/>
        <v>0 рублей 00 копеек</v>
      </c>
      <c r="I23" t="s">
        <v>149</v>
      </c>
    </row>
    <row r="24" spans="1:9" ht="15" thickBot="1" x14ac:dyDescent="0.35">
      <c r="A24" s="465" t="s">
        <v>5575</v>
      </c>
      <c r="B24" s="528">
        <f>IF(WEEKDAY(WORKDAY.INTL(B23,20,"0000000",DRAFT!X8:X131),2)=6,WORKDAY.INTL(B23,20,"0000000",DRAFT!X8:X131)+2,IF(WEEKDAY(WORKDAY.INTL(B23,20,"0000000",DRAFT!X8:X131),2)=7,WORKDAY.INTL(B23,20,"0000000",DRAFT!X8:X131)+1,WORKDAY.INTL(B23,20,"0000000",DRAFT!X8:X131)))+1</f>
        <v>21</v>
      </c>
      <c r="C24" s="543"/>
      <c r="D24" s="535"/>
      <c r="E24" s="536"/>
      <c r="F24" s="478">
        <f>D24-B35</f>
        <v>0</v>
      </c>
      <c r="G24" s="479">
        <f t="shared" si="1"/>
        <v>0</v>
      </c>
      <c r="H24" s="480" t="str">
        <f t="shared" si="2"/>
        <v>0 рублей 00 копеек</v>
      </c>
      <c r="I24" t="s">
        <v>149</v>
      </c>
    </row>
    <row r="25" spans="1:9" ht="15" thickTop="1" x14ac:dyDescent="0.3">
      <c r="A25" s="464" t="s">
        <v>5567</v>
      </c>
      <c r="B25" s="463"/>
      <c r="C25" s="485" t="s">
        <v>1246</v>
      </c>
      <c r="D25" s="1367">
        <f>SUMIFS(E$15:E$24,C$15:C$24,C25)</f>
        <v>0</v>
      </c>
      <c r="E25" s="1368"/>
      <c r="F25" s="741">
        <f>SUMIFS(G$15:G$24,C$15:C$24,C25)</f>
        <v>0</v>
      </c>
      <c r="G25" s="742"/>
      <c r="H25" s="482" t="str">
        <f>IF(ISBLANK(F25),"",SUBSTITUTE(TEXT(F25,"# ##0\ рублей ,00\ копеек"),",",))</f>
        <v>0 рублей 00 копеек</v>
      </c>
      <c r="I25" t="s">
        <v>149</v>
      </c>
    </row>
    <row r="26" spans="1:9" x14ac:dyDescent="0.3">
      <c r="A26" s="514" t="b">
        <v>0</v>
      </c>
      <c r="B26" s="515" t="str">
        <f>IF(ISBLANK(B25),"",IF(A26,IF((B25-B17)&gt;0,"LATE","NORM"),IF((B25-B17)&gt;3,"LATE","NORM")))</f>
        <v/>
      </c>
      <c r="C26" s="486" t="s">
        <v>604</v>
      </c>
      <c r="D26" s="1359">
        <f>SUMIFS(E$15:E$24,C$15:C$24,C26)</f>
        <v>0</v>
      </c>
      <c r="E26" s="1360"/>
      <c r="F26" s="743">
        <f>SUMIFS(G$15:G$24,C$15:C$24,C26)</f>
        <v>0</v>
      </c>
      <c r="G26" s="744"/>
      <c r="H26" s="483" t="str">
        <f>IF(ISBLANK(F26),"",SUBSTITUTE(TEXT(F26,"# ##0\ рублей ,00\ копеек"),",",))</f>
        <v>0 рублей 00 копеек</v>
      </c>
      <c r="I26" t="s">
        <v>149</v>
      </c>
    </row>
    <row r="27" spans="1:9" ht="15" thickBot="1" x14ac:dyDescent="0.35">
      <c r="A27" s="516" t="s">
        <v>5568</v>
      </c>
      <c r="B27" s="517"/>
      <c r="C27" s="486" t="s">
        <v>1117</v>
      </c>
      <c r="D27" s="1359">
        <f>SUMIFS(E$15:E$24,C$15:C$24,C27)</f>
        <v>0</v>
      </c>
      <c r="E27" s="1360"/>
      <c r="F27" s="743">
        <f>SUMIFS(G$15:G$24,C$15:C$24,C27)</f>
        <v>0</v>
      </c>
      <c r="G27" s="744"/>
      <c r="H27" s="483" t="str">
        <f>IF(ISBLANK(F27),"",SUBSTITUTE(TEXT(F27,"# ##0\ рублей ,00\ копеек"),",",))</f>
        <v>0 рублей 00 копеек</v>
      </c>
    </row>
    <row r="28" spans="1:9" ht="15.6" thickTop="1" thickBot="1" x14ac:dyDescent="0.35">
      <c r="A28" s="304" t="s">
        <v>5569</v>
      </c>
      <c r="B28" s="518"/>
      <c r="C28" s="466" t="s">
        <v>4951</v>
      </c>
      <c r="D28" s="1361">
        <f>SUMIFS(E$15:E$24,C$15:C$24,C28)</f>
        <v>0</v>
      </c>
      <c r="E28" s="1362"/>
      <c r="F28" s="745">
        <f>SUMIFS(G$15:G$24,C$15:C$24,C28)</f>
        <v>0</v>
      </c>
      <c r="G28" s="746"/>
      <c r="H28" s="484" t="str">
        <f>IF(ISBLANK(F28),"",SUBSTITUTE(TEXT(F28,"# ##0\ рублей ,00\ копеек"),",",))</f>
        <v>0 рублей 00 копеек</v>
      </c>
    </row>
    <row r="29" spans="1:9" ht="15.6" thickTop="1" thickBot="1" x14ac:dyDescent="0.35">
      <c r="A29" s="309" t="s">
        <v>5570</v>
      </c>
      <c r="B29" s="519"/>
      <c r="C29" s="268" t="s">
        <v>5578</v>
      </c>
      <c r="D29" s="494"/>
      <c r="E29" s="499" t="s">
        <v>641</v>
      </c>
      <c r="F29" s="747">
        <f>SUM(F25:G28)</f>
        <v>0</v>
      </c>
      <c r="G29" s="748"/>
      <c r="H29" s="481" t="str">
        <f>IF(ISBLANK(F29),"",SUBSTITUTE(TEXT(F29,"# ##0\ рублей ,00\ копеек"),",",))</f>
        <v>0 рублей 00 копеек</v>
      </c>
      <c r="I29" t="s">
        <v>149</v>
      </c>
    </row>
    <row r="30" spans="1:9" ht="15.6" thickTop="1" thickBot="1" x14ac:dyDescent="0.35">
      <c r="A30" s="309" t="s">
        <v>5571</v>
      </c>
      <c r="B30" s="519"/>
      <c r="C30" s="269" t="s">
        <v>5579</v>
      </c>
      <c r="D30" s="495"/>
      <c r="E30" s="500">
        <f>IF(D29&gt;D31,D31-D32,0)</f>
        <v>0</v>
      </c>
      <c r="F30" s="498"/>
      <c r="G30" s="462">
        <f>IF(E34,(F30*100/87)*13/100,0)</f>
        <v>0</v>
      </c>
      <c r="H30" s="525">
        <f>SUM(F30:G30)</f>
        <v>0</v>
      </c>
    </row>
    <row r="31" spans="1:9" ht="15.6" thickTop="1" thickBot="1" x14ac:dyDescent="0.35">
      <c r="A31" s="310" t="s">
        <v>5570</v>
      </c>
      <c r="B31" s="520"/>
      <c r="C31" s="269" t="s">
        <v>602</v>
      </c>
      <c r="D31" s="496"/>
      <c r="E31" s="499" t="s">
        <v>714</v>
      </c>
      <c r="F31" s="498"/>
      <c r="G31" s="462">
        <f>IF(E34,(F31*100/87)*13/100,0)</f>
        <v>0</v>
      </c>
      <c r="H31" s="506">
        <f>SUM(F31:G31)</f>
        <v>0</v>
      </c>
    </row>
    <row r="32" spans="1:9" ht="15" thickTop="1" x14ac:dyDescent="0.3">
      <c r="A32" s="521" t="s">
        <v>663</v>
      </c>
      <c r="B32" s="463"/>
      <c r="C32" s="269" t="s">
        <v>5580</v>
      </c>
      <c r="D32" s="496"/>
      <c r="E32" s="501">
        <f>IF(D34,IF(E30=0,D30,E30)/2,IF(E30=0,D30,E30))</f>
        <v>0</v>
      </c>
      <c r="F32" s="498"/>
      <c r="G32" s="462">
        <f>IF(E34,(F32*100/87)*13/100,0)</f>
        <v>0</v>
      </c>
      <c r="H32" s="506">
        <f>SUM(F32:G32)</f>
        <v>0</v>
      </c>
      <c r="I32" t="s">
        <v>149</v>
      </c>
    </row>
    <row r="33" spans="1:12" ht="15" thickBot="1" x14ac:dyDescent="0.35">
      <c r="A33" s="516" t="s">
        <v>5572</v>
      </c>
      <c r="B33" s="517"/>
      <c r="C33" s="270" t="s">
        <v>604</v>
      </c>
      <c r="D33" s="497"/>
      <c r="E33" s="582">
        <f>IFERROR(IF(NOT(E30=0),"",IF(ROUND((D30-D25)/D25,0)&lt;0,"Больше",ROUND((E32-D25)/D25,5))),0)</f>
        <v>0</v>
      </c>
      <c r="F33" s="489">
        <f>SUM(F30:F32)</f>
        <v>0</v>
      </c>
      <c r="G33" s="462">
        <f>SUM(G30:G32)</f>
        <v>0</v>
      </c>
      <c r="H33" s="526">
        <f>SUM(H30:H32)</f>
        <v>0</v>
      </c>
    </row>
    <row r="34" spans="1:12" ht="15.6" thickTop="1" thickBot="1" x14ac:dyDescent="0.35">
      <c r="A34" s="524" t="s">
        <v>5584</v>
      </c>
      <c r="B34" s="463"/>
      <c r="D34" t="b">
        <v>0</v>
      </c>
      <c r="E34" t="b">
        <v>0</v>
      </c>
      <c r="F34" s="468" t="s">
        <v>653</v>
      </c>
      <c r="G34" s="468" t="s">
        <v>1247</v>
      </c>
      <c r="H34" s="468" t="s">
        <v>5577</v>
      </c>
    </row>
    <row r="35" spans="1:12" ht="15.6" thickTop="1" thickBot="1" x14ac:dyDescent="0.35">
      <c r="A35" s="516" t="s">
        <v>5585</v>
      </c>
      <c r="B35" s="527"/>
      <c r="C35" s="41" t="s">
        <v>1993</v>
      </c>
      <c r="D35" s="41" t="s">
        <v>4395</v>
      </c>
      <c r="F35" s="502">
        <f>MAX(MIN(B33,B32,D15)-B18+1,0)</f>
        <v>0</v>
      </c>
      <c r="G35" s="503">
        <f>MAX(H3*0.0005*F35,0)</f>
        <v>0</v>
      </c>
      <c r="H35" s="504" t="str">
        <f>IF(ISBLANK(G35),"",SUBSTITUTE(TEXT(G35,"# ##0\ рублей ,00\ копеек"),",",))</f>
        <v>0 рублей 00 копеек</v>
      </c>
    </row>
    <row r="36" spans="1:12" ht="15" thickTop="1" x14ac:dyDescent="0.3">
      <c r="A36" s="521" t="s">
        <v>656</v>
      </c>
      <c r="B36" s="463"/>
      <c r="C36" s="253" t="s">
        <v>7584</v>
      </c>
      <c r="D36" s="545"/>
      <c r="F36" s="505"/>
      <c r="G36" s="462">
        <f>IF(E34,(F36*100/87)*13/100,0)</f>
        <v>0</v>
      </c>
      <c r="H36" s="506">
        <f>SUM(F36:G36)</f>
        <v>0</v>
      </c>
    </row>
    <row r="37" spans="1:12" ht="15" thickBot="1" x14ac:dyDescent="0.35">
      <c r="A37" s="554" t="s">
        <v>653</v>
      </c>
      <c r="B37" s="555"/>
      <c r="C37" s="347">
        <f>IF(C38="",0,IF(AND(C38&gt;DRAFT!U4,C38&lt;DRAFT!U3),IFERROR(INDEX(DRAFT!T:T,MATCH(C36,DRAFT!Q:Q,0),1),0),IF(AND(C38&gt;DRAFT!U5,C38&lt;DRAFT!U4),IFERROR(INDEX(DRAFT!AI:AI,MATCH(C36,DRAFT!Q:Q,0),1),0),IF(C38&gt;DRAFT!U3,"НЕ ПОЛОЖЕНО",IFERROR(INDEX(DRAFT!AI:AI,MATCH(C36,DRAFT!Q:Q,0),1),0)))))</f>
        <v>0</v>
      </c>
      <c r="D37" s="544">
        <f>D36*500000</f>
        <v>0</v>
      </c>
      <c r="F37" s="507"/>
      <c r="G37" s="508">
        <f>IF(E34,(F37*100/87)*13/100,0)</f>
        <v>0</v>
      </c>
      <c r="H37" s="509">
        <f>SUM(F37:G37)</f>
        <v>0</v>
      </c>
    </row>
    <row r="38" spans="1:12" ht="15.6" thickTop="1" thickBot="1" x14ac:dyDescent="0.35">
      <c r="A38" s="553" t="s">
        <v>5575</v>
      </c>
      <c r="B38" s="323">
        <f>WORKDAY(B36,B37)+1</f>
        <v>1</v>
      </c>
      <c r="C38" s="467"/>
      <c r="F38" s="510">
        <f>SUM(F36:F37)</f>
        <v>0</v>
      </c>
      <c r="G38" s="511">
        <f>SUM(G35:G37)</f>
        <v>0</v>
      </c>
      <c r="H38" s="512">
        <f>SUM(H35:H37)</f>
        <v>0</v>
      </c>
    </row>
    <row r="39" spans="1:12" ht="15" thickTop="1" x14ac:dyDescent="0.3">
      <c r="C39" s="6"/>
      <c r="I39" t="s">
        <v>149</v>
      </c>
      <c r="J39" t="s">
        <v>149</v>
      </c>
      <c r="L39" s="49"/>
    </row>
    <row r="40" spans="1:12" ht="15" thickBot="1" x14ac:dyDescent="0.35">
      <c r="I40" t="s">
        <v>149</v>
      </c>
      <c r="J40" t="s">
        <v>149</v>
      </c>
    </row>
    <row r="41" spans="1:12" ht="15.6" thickTop="1" thickBot="1" x14ac:dyDescent="0.35">
      <c r="B41" s="487"/>
      <c r="C41" s="1387" t="s">
        <v>5581</v>
      </c>
      <c r="D41" s="1387"/>
      <c r="E41" s="1387" t="s">
        <v>5582</v>
      </c>
      <c r="F41" s="1387"/>
      <c r="G41" s="749" t="s">
        <v>806</v>
      </c>
      <c r="H41" s="750"/>
      <c r="I41" s="751"/>
      <c r="J41" t="s">
        <v>149</v>
      </c>
    </row>
    <row r="42" spans="1:12" ht="15" thickTop="1" x14ac:dyDescent="0.3">
      <c r="B42" s="491" t="s">
        <v>1246</v>
      </c>
      <c r="C42" s="488">
        <f>IF(D36="",E32,D37)</f>
        <v>0</v>
      </c>
      <c r="D42" s="278" t="str">
        <f t="shared" ref="D42:H46" si="3">IF(ISBLANK(C42),"",SUBSTITUTE(TEXT(C42,"# ##0\ рублей ,00\ копеек"),",",))</f>
        <v>0 рублей 00 копеек</v>
      </c>
      <c r="E42" s="474">
        <f>D25</f>
        <v>0</v>
      </c>
      <c r="F42" s="278" t="str">
        <f t="shared" si="3"/>
        <v>0 рублей 00 копеек</v>
      </c>
      <c r="G42" s="474">
        <f>MAX(C42-E42,0)</f>
        <v>0</v>
      </c>
      <c r="H42" s="278" t="str">
        <f t="shared" si="3"/>
        <v>0 рублей 00 копеек</v>
      </c>
      <c r="I42" s="550" t="str">
        <f>SUBSTITUTE(TEXT(INT(G42),"# ##0"),",",)&amp;" ("&amp;LOWER(TRIM(SUBSTITUTE(PROPER(INDEX(n_4,MID(TEXT(SUBSTITUTE(TEXT(INT(G42),"# ##0"),",",),n0),1,1)+1)&amp;INDEX(n0x,MID(TEXT(SUBSTITUTE(TEXT(INT(G42),"# ##0"),",",),n0),2,1)+1,MID(TEXT(SUBSTITUTE(TEXT(INT(G42),"# ##0"),",",),n0),3,1)+1)&amp;IF(-MID(TEXT(SUBSTITUTE(TEXT(INT(G42),"# ##0"),",",),n0),1,3),"миллиард"&amp;VLOOKUP(MID(TEXT(SUBSTITUTE(TEXT(INT(G42),"# ##0"),",",),n0),3,1)*AND(MID(TEXT(SUBSTITUTE(TEXT(INT(G42),"# ##0"),",",),n0),2,1)-1),мил,2),"")&amp;INDEX(n_4,MID(TEXT(SUBSTITUTE(TEXT(INT(G42),"# ##0"),",",),n0),4,1)+1)&amp;INDEX(n0x,MID(TEXT(SUBSTITUTE(TEXT(INT(G42),"# ##0"),",",),n0),5,1)+1,MID(TEXT(SUBSTITUTE(TEXT(INT(G42),"# ##0"),",",),n0),6,1)+1)&amp;IF(-MID(TEXT(SUBSTITUTE(TEXT(INT(G42),"# ##0"),",",),n0),4,3),"миллион"&amp;VLOOKUP(MID(TEXT(SUBSTITUTE(TEXT(INT(G42),"# ##0"),",",),n0),6,1)*AND(MID(TEXT(SUBSTITUTE(TEXT(INT(G42),"# ##0"),",",),n0),5,1)-1),мил,2),"")&amp;INDEX(n_4,MID(TEXT(SUBSTITUTE(TEXT(INT(G42),"# ##0"),",",),n0),7,1)+1)&amp;INDEX(n1x,MID(TEXT(SUBSTITUTE(TEXT(INT(G42),"# ##0"),",",),n0),8,1)+1,MID(TEXT(SUBSTITUTE(TEXT(INT(G42),"# ##0"),",",),n0),9,1)+1)&amp;IF(-MID(TEXT(SUBSTITUTE(TEXT(INT(G42),"# ##0"),",",),n0),7,3),VLOOKUP(MID(TEXT(SUBSTITUTE(TEXT(INT(G42),"# ##0"),",",),n0),9,1)*AND(MID(TEXT(SUBSTITUTE(TEXT(INT(G42),"# ##0"),",",),n0),8,1)-1),тыс,2),"")&amp;INDEX(n_4,MID(TEXT(SUBSTITUTE(TEXT(INT(G42),"# ##0"),",",),n0),10,1)+1)&amp;INDEX(IF(-MID(TEXT(SUBSTITUTE(TEXT(INT(G42),"# ##0"),",",),n0),14,6),n1x,n0x),MID(TEXT(SUBSTITUTE(TEXT(INT(G42),"# ##0"),",",),n0),11,1)+1,MID(TEXT(SUBSTITUTE(TEXT(INT(G42),"# ##0"),",",),n0),12,1)+1)),"z"," ")&amp;IF(TRUNC(TEXT(SUBSTITUTE(TEXT(INT(G42),"# ##0"),",",),n0)),,"Ноль ")&amp;IF(-MID(TEXT(SUBSTITUTE(TEXT(INT(G42),"# ##0"),",",),n0),14,6),IF(MOD(MAX(MOD(MID(TEXT(SUBSTITUTE(TEXT(INT(G42),"# ##0"),",",),n0),11,2)-11,100),9),10),"целых ","целая ")&amp;SUBSTITUTE(INDEX(n_4,MID(TEXT(SUBSTITUTE(TEXT(INT(G42),"# ##0"),",",),n0),14,6)/10^5+1)&amp;INDEX(n1x,MOD(MID(TEXT(SUBSTITUTE(TEXT(INT(G42),"# ##0"),",",),n0),14,6)/10^4,10)+1,MOD(MID(TEXT(SUBSTITUTE(TEXT(INT(G42),"# ##0"),",",),n0),14,6)/1000,10)+1)&amp;IF(INT(MID(TEXT(SUBSTITUTE(TEXT(INT(G42),"# ##0"),",",),n0),14,6)/1000),VLOOKUP(MOD(MID(TEXT(SUBSTITUTE(TEXT(INT(G42),"# ##0"),",",),n0),14,6)/1000,10)*(MOD(INT(MID(TEXT(SUBSTITUTE(TEXT(INT(G42),"# ##0"),",",),n0),14,6)/10^4),10)&lt;&gt;1),тыс,2),"")&amp;INDEX(n_4,MOD(MID(TEXT(SUBSTITUTE(TEXT(INT(G42),"# ##0"),",",),n0),14,6)/100,10)+1)&amp;INDEX(n1x,MOD(MID(TEXT(SUBSTITUTE(TEXT(INT(G42),"# ##0"),",",),n0),14,6)/10,10)+1,MOD(MID(TEXT(SUBSTITUTE(TEXT(INT(G42),"# ##0"),",",),n0),14,6),10)+1),"z"," ")&amp;INDEX(доля,LEN(MID(TEXT(SUBSTITUTE(TEXT(INT(G42),"# ##0"),",",),n0),14,6)),(MOD(MAX(MOD(MID(TEXT(SUBSTITUTE(TEXT(INT(G42),"# ##0"),",",),n0),14,6)-11,100),9),10)&gt;0)+1),)))&amp;")"&amp;" "&amp;SUBSTITUTE(TEXT(ROUND((G42-SUBSTITUTE(TEXT(INT(G42),"# ##0"),",",))*100,2),"00"),",",)&amp;" копеек"</f>
        <v>0 (ноль) 00 копеек</v>
      </c>
      <c r="J42" t="s">
        <v>149</v>
      </c>
    </row>
    <row r="43" spans="1:12" x14ac:dyDescent="0.3">
      <c r="B43" s="492" t="s">
        <v>604</v>
      </c>
      <c r="C43" s="489">
        <f>D33</f>
        <v>0</v>
      </c>
      <c r="D43" s="278" t="str">
        <f t="shared" si="3"/>
        <v>0 рублей 00 копеек</v>
      </c>
      <c r="E43" s="462">
        <f>D26</f>
        <v>0</v>
      </c>
      <c r="F43" s="278" t="str">
        <f t="shared" si="3"/>
        <v>0 рублей 00 копеек</v>
      </c>
      <c r="G43" s="462">
        <f>MAX(C43-E43,0)</f>
        <v>0</v>
      </c>
      <c r="H43" s="278" t="str">
        <f t="shared" si="3"/>
        <v>0 рублей 00 копеек</v>
      </c>
      <c r="I43" s="551" t="str">
        <f>SUBSTITUTE(TEXT(INT(G43),"# ##0"),",",)&amp;" ("&amp;LOWER(TRIM(SUBSTITUTE(PROPER(INDEX(n_4,MID(TEXT(SUBSTITUTE(TEXT(INT(G43),"# ##0"),",",),n0),1,1)+1)&amp;INDEX(n0x,MID(TEXT(SUBSTITUTE(TEXT(INT(G43),"# ##0"),",",),n0),2,1)+1,MID(TEXT(SUBSTITUTE(TEXT(INT(G43),"# ##0"),",",),n0),3,1)+1)&amp;IF(-MID(TEXT(SUBSTITUTE(TEXT(INT(G43),"# ##0"),",",),n0),1,3),"миллиард"&amp;VLOOKUP(MID(TEXT(SUBSTITUTE(TEXT(INT(G43),"# ##0"),",",),n0),3,1)*AND(MID(TEXT(SUBSTITUTE(TEXT(INT(G43),"# ##0"),",",),n0),2,1)-1),мил,2),"")&amp;INDEX(n_4,MID(TEXT(SUBSTITUTE(TEXT(INT(G43),"# ##0"),",",),n0),4,1)+1)&amp;INDEX(n0x,MID(TEXT(SUBSTITUTE(TEXT(INT(G43),"# ##0"),",",),n0),5,1)+1,MID(TEXT(SUBSTITUTE(TEXT(INT(G43),"# ##0"),",",),n0),6,1)+1)&amp;IF(-MID(TEXT(SUBSTITUTE(TEXT(INT(G43),"# ##0"),",",),n0),4,3),"миллион"&amp;VLOOKUP(MID(TEXT(SUBSTITUTE(TEXT(INT(G43),"# ##0"),",",),n0),6,1)*AND(MID(TEXT(SUBSTITUTE(TEXT(INT(G43),"# ##0"),",",),n0),5,1)-1),мил,2),"")&amp;INDEX(n_4,MID(TEXT(SUBSTITUTE(TEXT(INT(G43),"# ##0"),",",),n0),7,1)+1)&amp;INDEX(n1x,MID(TEXT(SUBSTITUTE(TEXT(INT(G43),"# ##0"),",",),n0),8,1)+1,MID(TEXT(SUBSTITUTE(TEXT(INT(G43),"# ##0"),",",),n0),9,1)+1)&amp;IF(-MID(TEXT(SUBSTITUTE(TEXT(INT(G43),"# ##0"),",",),n0),7,3),VLOOKUP(MID(TEXT(SUBSTITUTE(TEXT(INT(G43),"# ##0"),",",),n0),9,1)*AND(MID(TEXT(SUBSTITUTE(TEXT(INT(G43),"# ##0"),",",),n0),8,1)-1),тыс,2),"")&amp;INDEX(n_4,MID(TEXT(SUBSTITUTE(TEXT(INT(G43),"# ##0"),",",),n0),10,1)+1)&amp;INDEX(IF(-MID(TEXT(SUBSTITUTE(TEXT(INT(G43),"# ##0"),",",),n0),14,6),n1x,n0x),MID(TEXT(SUBSTITUTE(TEXT(INT(G43),"# ##0"),",",),n0),11,1)+1,MID(TEXT(SUBSTITUTE(TEXT(INT(G43),"# ##0"),",",),n0),12,1)+1)),"z"," ")&amp;IF(TRUNC(TEXT(SUBSTITUTE(TEXT(INT(G43),"# ##0"),",",),n0)),,"Ноль ")&amp;IF(-MID(TEXT(SUBSTITUTE(TEXT(INT(G43),"# ##0"),",",),n0),14,6),IF(MOD(MAX(MOD(MID(TEXT(SUBSTITUTE(TEXT(INT(G43),"# ##0"),",",),n0),11,2)-11,100),9),10),"целых ","целая ")&amp;SUBSTITUTE(INDEX(n_4,MID(TEXT(SUBSTITUTE(TEXT(INT(G43),"# ##0"),",",),n0),14,6)/10^5+1)&amp;INDEX(n1x,MOD(MID(TEXT(SUBSTITUTE(TEXT(INT(G43),"# ##0"),",",),n0),14,6)/10^4,10)+1,MOD(MID(TEXT(SUBSTITUTE(TEXT(INT(G43),"# ##0"),",",),n0),14,6)/1000,10)+1)&amp;IF(INT(MID(TEXT(SUBSTITUTE(TEXT(INT(G43),"# ##0"),",",),n0),14,6)/1000),VLOOKUP(MOD(MID(TEXT(SUBSTITUTE(TEXT(INT(G43),"# ##0"),",",),n0),14,6)/1000,10)*(MOD(INT(MID(TEXT(SUBSTITUTE(TEXT(INT(G43),"# ##0"),",",),n0),14,6)/10^4),10)&lt;&gt;1),тыс,2),"")&amp;INDEX(n_4,MOD(MID(TEXT(SUBSTITUTE(TEXT(INT(G43),"# ##0"),",",),n0),14,6)/100,10)+1)&amp;INDEX(n1x,MOD(MID(TEXT(SUBSTITUTE(TEXT(INT(G43),"# ##0"),",",),n0),14,6)/10,10)+1,MOD(MID(TEXT(SUBSTITUTE(TEXT(INT(G43),"# ##0"),",",),n0),14,6),10)+1),"z"," ")&amp;INDEX(доля,LEN(MID(TEXT(SUBSTITUTE(TEXT(INT(G43),"# ##0"),",",),n0),14,6)),(MOD(MAX(MOD(MID(TEXT(SUBSTITUTE(TEXT(INT(G43),"# ##0"),",",),n0),14,6)-11,100),9),10)&gt;0)+1),)))&amp;")"&amp;" "&amp;SUBSTITUTE(TEXT(ROUND((G43-SUBSTITUTE(TEXT(INT(G43),"# ##0"),",",))*100,2),"00"),",",)&amp;" копеек"</f>
        <v>0 (ноль) 00 копеек</v>
      </c>
      <c r="J43" t="s">
        <v>149</v>
      </c>
    </row>
    <row r="44" spans="1:12" x14ac:dyDescent="0.3">
      <c r="B44" s="492" t="s">
        <v>456</v>
      </c>
      <c r="C44" s="489">
        <f>IF(F29&gt;H3,H3,F29)</f>
        <v>0</v>
      </c>
      <c r="D44" s="278" t="str">
        <f t="shared" si="3"/>
        <v>0 рублей 00 копеек</v>
      </c>
      <c r="E44" s="462">
        <f>H33</f>
        <v>0</v>
      </c>
      <c r="F44" s="278" t="str">
        <f t="shared" si="3"/>
        <v>0 рублей 00 копеек</v>
      </c>
      <c r="G44" s="462">
        <f t="shared" ref="G44:G45" si="4">MAX(C44-E44,0)</f>
        <v>0</v>
      </c>
      <c r="H44" s="278" t="str">
        <f t="shared" si="3"/>
        <v>0 рублей 00 копеек</v>
      </c>
      <c r="I44" s="551" t="str">
        <f>SUBSTITUTE(TEXT(INT(G44),"# ##0"),",",)&amp;" ("&amp;LOWER(TRIM(SUBSTITUTE(PROPER(INDEX(n_4,MID(TEXT(SUBSTITUTE(TEXT(INT(G44),"# ##0"),",",),n0),1,1)+1)&amp;INDEX(n0x,MID(TEXT(SUBSTITUTE(TEXT(INT(G44),"# ##0"),",",),n0),2,1)+1,MID(TEXT(SUBSTITUTE(TEXT(INT(G44),"# ##0"),",",),n0),3,1)+1)&amp;IF(-MID(TEXT(SUBSTITUTE(TEXT(INT(G44),"# ##0"),",",),n0),1,3),"миллиард"&amp;VLOOKUP(MID(TEXT(SUBSTITUTE(TEXT(INT(G44),"# ##0"),",",),n0),3,1)*AND(MID(TEXT(SUBSTITUTE(TEXT(INT(G44),"# ##0"),",",),n0),2,1)-1),мил,2),"")&amp;INDEX(n_4,MID(TEXT(SUBSTITUTE(TEXT(INT(G44),"# ##0"),",",),n0),4,1)+1)&amp;INDEX(n0x,MID(TEXT(SUBSTITUTE(TEXT(INT(G44),"# ##0"),",",),n0),5,1)+1,MID(TEXT(SUBSTITUTE(TEXT(INT(G44),"# ##0"),",",),n0),6,1)+1)&amp;IF(-MID(TEXT(SUBSTITUTE(TEXT(INT(G44),"# ##0"),",",),n0),4,3),"миллион"&amp;VLOOKUP(MID(TEXT(SUBSTITUTE(TEXT(INT(G44),"# ##0"),",",),n0),6,1)*AND(MID(TEXT(SUBSTITUTE(TEXT(INT(G44),"# ##0"),",",),n0),5,1)-1),мил,2),"")&amp;INDEX(n_4,MID(TEXT(SUBSTITUTE(TEXT(INT(G44),"# ##0"),",",),n0),7,1)+1)&amp;INDEX(n1x,MID(TEXT(SUBSTITUTE(TEXT(INT(G44),"# ##0"),",",),n0),8,1)+1,MID(TEXT(SUBSTITUTE(TEXT(INT(G44),"# ##0"),",",),n0),9,1)+1)&amp;IF(-MID(TEXT(SUBSTITUTE(TEXT(INT(G44),"# ##0"),",",),n0),7,3),VLOOKUP(MID(TEXT(SUBSTITUTE(TEXT(INT(G44),"# ##0"),",",),n0),9,1)*AND(MID(TEXT(SUBSTITUTE(TEXT(INT(G44),"# ##0"),",",),n0),8,1)-1),тыс,2),"")&amp;INDEX(n_4,MID(TEXT(SUBSTITUTE(TEXT(INT(G44),"# ##0"),",",),n0),10,1)+1)&amp;INDEX(IF(-MID(TEXT(SUBSTITUTE(TEXT(INT(G44),"# ##0"),",",),n0),14,6),n1x,n0x),MID(TEXT(SUBSTITUTE(TEXT(INT(G44),"# ##0"),",",),n0),11,1)+1,MID(TEXT(SUBSTITUTE(TEXT(INT(G44),"# ##0"),",",),n0),12,1)+1)),"z"," ")&amp;IF(TRUNC(TEXT(SUBSTITUTE(TEXT(INT(G44),"# ##0"),",",),n0)),,"Ноль ")&amp;IF(-MID(TEXT(SUBSTITUTE(TEXT(INT(G44),"# ##0"),",",),n0),14,6),IF(MOD(MAX(MOD(MID(TEXT(SUBSTITUTE(TEXT(INT(G44),"# ##0"),",",),n0),11,2)-11,100),9),10),"целых ","целая ")&amp;SUBSTITUTE(INDEX(n_4,MID(TEXT(SUBSTITUTE(TEXT(INT(G44),"# ##0"),",",),n0),14,6)/10^5+1)&amp;INDEX(n1x,MOD(MID(TEXT(SUBSTITUTE(TEXT(INT(G44),"# ##0"),",",),n0),14,6)/10^4,10)+1,MOD(MID(TEXT(SUBSTITUTE(TEXT(INT(G44),"# ##0"),",",),n0),14,6)/1000,10)+1)&amp;IF(INT(MID(TEXT(SUBSTITUTE(TEXT(INT(G44),"# ##0"),",",),n0),14,6)/1000),VLOOKUP(MOD(MID(TEXT(SUBSTITUTE(TEXT(INT(G44),"# ##0"),",",),n0),14,6)/1000,10)*(MOD(INT(MID(TEXT(SUBSTITUTE(TEXT(INT(G44),"# ##0"),",",),n0),14,6)/10^4),10)&lt;&gt;1),тыс,2),"")&amp;INDEX(n_4,MOD(MID(TEXT(SUBSTITUTE(TEXT(INT(G44),"# ##0"),",",),n0),14,6)/100,10)+1)&amp;INDEX(n1x,MOD(MID(TEXT(SUBSTITUTE(TEXT(INT(G44),"# ##0"),",",),n0),14,6)/10,10)+1,MOD(MID(TEXT(SUBSTITUTE(TEXT(INT(G44),"# ##0"),",",),n0),14,6),10)+1),"z"," ")&amp;INDEX(доля,LEN(MID(TEXT(SUBSTITUTE(TEXT(INT(G44),"# ##0"),",",),n0),14,6)),(MOD(MAX(MOD(MID(TEXT(SUBSTITUTE(TEXT(INT(G44),"# ##0"),",",),n0),14,6)-11,100),9),10)&gt;0)+1),)))&amp;")"&amp;" "&amp;SUBSTITUTE(TEXT(ROUND((G44-SUBSTITUTE(TEXT(INT(G44),"# ##0"),",",))*100,2),"00"),",",)&amp;" копеек"</f>
        <v>0 (ноль) 00 копеек</v>
      </c>
      <c r="J44" t="s">
        <v>149</v>
      </c>
    </row>
    <row r="45" spans="1:12" x14ac:dyDescent="0.3">
      <c r="B45" s="492" t="s">
        <v>1247</v>
      </c>
      <c r="C45" s="489">
        <f>G35</f>
        <v>0</v>
      </c>
      <c r="D45" s="278" t="str">
        <f t="shared" si="3"/>
        <v>0 рублей 00 копеек</v>
      </c>
      <c r="E45" s="462">
        <f>H38</f>
        <v>0</v>
      </c>
      <c r="F45" s="278" t="str">
        <f t="shared" si="3"/>
        <v>0 рублей 00 копеек</v>
      </c>
      <c r="G45" s="462">
        <f t="shared" si="4"/>
        <v>0</v>
      </c>
      <c r="H45" s="278" t="str">
        <f t="shared" si="3"/>
        <v>0 рублей 00 копеек</v>
      </c>
      <c r="I45" s="551" t="str">
        <f>SUBSTITUTE(TEXT(INT(G45),"# ##0"),",",)&amp;" ("&amp;LOWER(TRIM(SUBSTITUTE(PROPER(INDEX(n_4,MID(TEXT(SUBSTITUTE(TEXT(INT(G45),"# ##0"),",",),n0),1,1)+1)&amp;INDEX(n0x,MID(TEXT(SUBSTITUTE(TEXT(INT(G45),"# ##0"),",",),n0),2,1)+1,MID(TEXT(SUBSTITUTE(TEXT(INT(G45),"# ##0"),",",),n0),3,1)+1)&amp;IF(-MID(TEXT(SUBSTITUTE(TEXT(INT(G45),"# ##0"),",",),n0),1,3),"миллиард"&amp;VLOOKUP(MID(TEXT(SUBSTITUTE(TEXT(INT(G45),"# ##0"),",",),n0),3,1)*AND(MID(TEXT(SUBSTITUTE(TEXT(INT(G45),"# ##0"),",",),n0),2,1)-1),мил,2),"")&amp;INDEX(n_4,MID(TEXT(SUBSTITUTE(TEXT(INT(G45),"# ##0"),",",),n0),4,1)+1)&amp;INDEX(n0x,MID(TEXT(SUBSTITUTE(TEXT(INT(G45),"# ##0"),",",),n0),5,1)+1,MID(TEXT(SUBSTITUTE(TEXT(INT(G45),"# ##0"),",",),n0),6,1)+1)&amp;IF(-MID(TEXT(SUBSTITUTE(TEXT(INT(G45),"# ##0"),",",),n0),4,3),"миллион"&amp;VLOOKUP(MID(TEXT(SUBSTITUTE(TEXT(INT(G45),"# ##0"),",",),n0),6,1)*AND(MID(TEXT(SUBSTITUTE(TEXT(INT(G45),"# ##0"),",",),n0),5,1)-1),мил,2),"")&amp;INDEX(n_4,MID(TEXT(SUBSTITUTE(TEXT(INT(G45),"# ##0"),",",),n0),7,1)+1)&amp;INDEX(n1x,MID(TEXT(SUBSTITUTE(TEXT(INT(G45),"# ##0"),",",),n0),8,1)+1,MID(TEXT(SUBSTITUTE(TEXT(INT(G45),"# ##0"),",",),n0),9,1)+1)&amp;IF(-MID(TEXT(SUBSTITUTE(TEXT(INT(G45),"# ##0"),",",),n0),7,3),VLOOKUP(MID(TEXT(SUBSTITUTE(TEXT(INT(G45),"# ##0"),",",),n0),9,1)*AND(MID(TEXT(SUBSTITUTE(TEXT(INT(G45),"# ##0"),",",),n0),8,1)-1),тыс,2),"")&amp;INDEX(n_4,MID(TEXT(SUBSTITUTE(TEXT(INT(G45),"# ##0"),",",),n0),10,1)+1)&amp;INDEX(IF(-MID(TEXT(SUBSTITUTE(TEXT(INT(G45),"# ##0"),",",),n0),14,6),n1x,n0x),MID(TEXT(SUBSTITUTE(TEXT(INT(G45),"# ##0"),",",),n0),11,1)+1,MID(TEXT(SUBSTITUTE(TEXT(INT(G45),"# ##0"),",",),n0),12,1)+1)),"z"," ")&amp;IF(TRUNC(TEXT(SUBSTITUTE(TEXT(INT(G45),"# ##0"),",",),n0)),,"Ноль ")&amp;IF(-MID(TEXT(SUBSTITUTE(TEXT(INT(G45),"# ##0"),",",),n0),14,6),IF(MOD(MAX(MOD(MID(TEXT(SUBSTITUTE(TEXT(INT(G45),"# ##0"),",",),n0),11,2)-11,100),9),10),"целых ","целая ")&amp;SUBSTITUTE(INDEX(n_4,MID(TEXT(SUBSTITUTE(TEXT(INT(G45),"# ##0"),",",),n0),14,6)/10^5+1)&amp;INDEX(n1x,MOD(MID(TEXT(SUBSTITUTE(TEXT(INT(G45),"# ##0"),",",),n0),14,6)/10^4,10)+1,MOD(MID(TEXT(SUBSTITUTE(TEXT(INT(G45),"# ##0"),",",),n0),14,6)/1000,10)+1)&amp;IF(INT(MID(TEXT(SUBSTITUTE(TEXT(INT(G45),"# ##0"),",",),n0),14,6)/1000),VLOOKUP(MOD(MID(TEXT(SUBSTITUTE(TEXT(INT(G45),"# ##0"),",",),n0),14,6)/1000,10)*(MOD(INT(MID(TEXT(SUBSTITUTE(TEXT(INT(G45),"# ##0"),",",),n0),14,6)/10^4),10)&lt;&gt;1),тыс,2),"")&amp;INDEX(n_4,MOD(MID(TEXT(SUBSTITUTE(TEXT(INT(G45),"# ##0"),",",),n0),14,6)/100,10)+1)&amp;INDEX(n1x,MOD(MID(TEXT(SUBSTITUTE(TEXT(INT(G45),"# ##0"),",",),n0),14,6)/10,10)+1,MOD(MID(TEXT(SUBSTITUTE(TEXT(INT(G45),"# ##0"),",",),n0),14,6),10)+1),"z"," ")&amp;INDEX(доля,LEN(MID(TEXT(SUBSTITUTE(TEXT(INT(G45),"# ##0"),",",),n0),14,6)),(MOD(MAX(MOD(MID(TEXT(SUBSTITUTE(TEXT(INT(G45),"# ##0"),",",),n0),14,6)-11,100),9),10)&gt;0)+1),)))&amp;")"&amp;" "&amp;SUBSTITUTE(TEXT(ROUND((G45-SUBSTITUTE(TEXT(INT(G45),"# ##0"),",",))*100,2),"00"),",",)&amp;" копеек"</f>
        <v>0 (ноль) 00 копеек</v>
      </c>
      <c r="J45" t="s">
        <v>149</v>
      </c>
    </row>
    <row r="46" spans="1:12" ht="15" thickBot="1" x14ac:dyDescent="0.35">
      <c r="B46" s="493" t="s">
        <v>1248</v>
      </c>
      <c r="C46" s="490">
        <f>C37</f>
        <v>0</v>
      </c>
      <c r="D46" s="480" t="str">
        <f t="shared" si="3"/>
        <v>0 рублей 00 копеек</v>
      </c>
      <c r="E46" s="479">
        <f>SUMIFS(E$15:E$24,C$15:C$24,B46)</f>
        <v>0</v>
      </c>
      <c r="F46" s="480" t="str">
        <f t="shared" si="3"/>
        <v>0 рублей 00 копеек</v>
      </c>
      <c r="G46" s="479">
        <f>IFERROR(MAX(C46-E46,0),0)</f>
        <v>0</v>
      </c>
      <c r="H46" s="480" t="str">
        <f t="shared" si="3"/>
        <v>0 рублей 00 копеек</v>
      </c>
      <c r="I46" s="552" t="str">
        <f>SUBSTITUTE(TEXT(INT(G46),"# ##0"),",",)&amp;" ("&amp;LOWER(TRIM(SUBSTITUTE(PROPER(INDEX(n_4,MID(TEXT(SUBSTITUTE(TEXT(INT(G46),"# ##0"),",",),n0),1,1)+1)&amp;INDEX(n0x,MID(TEXT(SUBSTITUTE(TEXT(INT(G46),"# ##0"),",",),n0),2,1)+1,MID(TEXT(SUBSTITUTE(TEXT(INT(G46),"# ##0"),",",),n0),3,1)+1)&amp;IF(-MID(TEXT(SUBSTITUTE(TEXT(INT(G46),"# ##0"),",",),n0),1,3),"миллиард"&amp;VLOOKUP(MID(TEXT(SUBSTITUTE(TEXT(INT(G46),"# ##0"),",",),n0),3,1)*AND(MID(TEXT(SUBSTITUTE(TEXT(INT(G46),"# ##0"),",",),n0),2,1)-1),мил,2),"")&amp;INDEX(n_4,MID(TEXT(SUBSTITUTE(TEXT(INT(G46),"# ##0"),",",),n0),4,1)+1)&amp;INDEX(n0x,MID(TEXT(SUBSTITUTE(TEXT(INT(G46),"# ##0"),",",),n0),5,1)+1,MID(TEXT(SUBSTITUTE(TEXT(INT(G46),"# ##0"),",",),n0),6,1)+1)&amp;IF(-MID(TEXT(SUBSTITUTE(TEXT(INT(G46),"# ##0"),",",),n0),4,3),"миллион"&amp;VLOOKUP(MID(TEXT(SUBSTITUTE(TEXT(INT(G46),"# ##0"),",",),n0),6,1)*AND(MID(TEXT(SUBSTITUTE(TEXT(INT(G46),"# ##0"),",",),n0),5,1)-1),мил,2),"")&amp;INDEX(n_4,MID(TEXT(SUBSTITUTE(TEXT(INT(G46),"# ##0"),",",),n0),7,1)+1)&amp;INDEX(n1x,MID(TEXT(SUBSTITUTE(TEXT(INT(G46),"# ##0"),",",),n0),8,1)+1,MID(TEXT(SUBSTITUTE(TEXT(INT(G46),"# ##0"),",",),n0),9,1)+1)&amp;IF(-MID(TEXT(SUBSTITUTE(TEXT(INT(G46),"# ##0"),",",),n0),7,3),VLOOKUP(MID(TEXT(SUBSTITUTE(TEXT(INT(G46),"# ##0"),",",),n0),9,1)*AND(MID(TEXT(SUBSTITUTE(TEXT(INT(G46),"# ##0"),",",),n0),8,1)-1),тыс,2),"")&amp;INDEX(n_4,MID(TEXT(SUBSTITUTE(TEXT(INT(G46),"# ##0"),",",),n0),10,1)+1)&amp;INDEX(IF(-MID(TEXT(SUBSTITUTE(TEXT(INT(G46),"# ##0"),",",),n0),14,6),n1x,n0x),MID(TEXT(SUBSTITUTE(TEXT(INT(G46),"# ##0"),",",),n0),11,1)+1,MID(TEXT(SUBSTITUTE(TEXT(INT(G46),"# ##0"),",",),n0),12,1)+1)),"z"," ")&amp;IF(TRUNC(TEXT(SUBSTITUTE(TEXT(INT(G46),"# ##0"),",",),n0)),,"Ноль ")&amp;IF(-MID(TEXT(SUBSTITUTE(TEXT(INT(G46),"# ##0"),",",),n0),14,6),IF(MOD(MAX(MOD(MID(TEXT(SUBSTITUTE(TEXT(INT(G46),"# ##0"),",",),n0),11,2)-11,100),9),10),"целых ","целая ")&amp;SUBSTITUTE(INDEX(n_4,MID(TEXT(SUBSTITUTE(TEXT(INT(G46),"# ##0"),",",),n0),14,6)/10^5+1)&amp;INDEX(n1x,MOD(MID(TEXT(SUBSTITUTE(TEXT(INT(G46),"# ##0"),",",),n0),14,6)/10^4,10)+1,MOD(MID(TEXT(SUBSTITUTE(TEXT(INT(G46),"# ##0"),",",),n0),14,6)/1000,10)+1)&amp;IF(INT(MID(TEXT(SUBSTITUTE(TEXT(INT(G46),"# ##0"),",",),n0),14,6)/1000),VLOOKUP(MOD(MID(TEXT(SUBSTITUTE(TEXT(INT(G46),"# ##0"),",",),n0),14,6)/1000,10)*(MOD(INT(MID(TEXT(SUBSTITUTE(TEXT(INT(G46),"# ##0"),",",),n0),14,6)/10^4),10)&lt;&gt;1),тыс,2),"")&amp;INDEX(n_4,MOD(MID(TEXT(SUBSTITUTE(TEXT(INT(G46),"# ##0"),",",),n0),14,6)/100,10)+1)&amp;INDEX(n1x,MOD(MID(TEXT(SUBSTITUTE(TEXT(INT(G46),"# ##0"),",",),n0),14,6)/10,10)+1,MOD(MID(TEXT(SUBSTITUTE(TEXT(INT(G46),"# ##0"),",",),n0),14,6),10)+1),"z"," ")&amp;INDEX(доля,LEN(MID(TEXT(SUBSTITUTE(TEXT(INT(G46),"# ##0"),",",),n0),14,6)),(MOD(MAX(MOD(MID(TEXT(SUBSTITUTE(TEXT(INT(G46),"# ##0"),",",),n0),14,6)-11,100),9),10)&gt;0)+1),)))&amp;")"&amp;" "&amp;SUBSTITUTE(TEXT(ROUND((G46-SUBSTITUTE(TEXT(INT(G46),"# ##0"),",",))*100,2),"00"),",",)&amp;" копеек"</f>
        <v>0 (ноль) 00 копеек</v>
      </c>
      <c r="J46" t="s">
        <v>149</v>
      </c>
    </row>
    <row r="47" spans="1:12" ht="15" thickTop="1" x14ac:dyDescent="0.3"/>
    <row r="49" spans="1:6" ht="15" thickBot="1" x14ac:dyDescent="0.35">
      <c r="E49" s="61"/>
      <c r="F49" s="548" t="str">
        <f t="shared" ref="F49" si="5">IF(ISBLANK(E49),"",SUBSTITUTE(TEXT(E49,"# ##0\ рублей ,00\ копеек"),",",))</f>
        <v/>
      </c>
    </row>
    <row r="50" spans="1:6" ht="18.600000000000001" thickTop="1" x14ac:dyDescent="0.35">
      <c r="A50" s="268" t="s">
        <v>1769</v>
      </c>
      <c r="B50" s="513"/>
      <c r="C50" s="271"/>
      <c r="E50" s="5" t="s">
        <v>7584</v>
      </c>
      <c r="F50" s="547"/>
    </row>
    <row r="51" spans="1:6" x14ac:dyDescent="0.3">
      <c r="A51" s="269" t="s">
        <v>1770</v>
      </c>
      <c r="B51" s="267" t="str">
        <f>IFERROR(IF(ISBLANK(B50),"",Term_EntryIntoForce(B50)),"")</f>
        <v/>
      </c>
      <c r="C51" s="272"/>
    </row>
    <row r="52" spans="1:6" x14ac:dyDescent="0.3">
      <c r="A52" s="269" t="s">
        <v>1771</v>
      </c>
      <c r="B52" s="267" t="str">
        <f>IFERROR(WORKDAY.INTL(B51,10,1,DRAFT!X2:X125),"")</f>
        <v/>
      </c>
      <c r="C52" s="272"/>
    </row>
    <row r="53" spans="1:6" x14ac:dyDescent="0.3">
      <c r="A53" s="269" t="s">
        <v>1772</v>
      </c>
      <c r="B53" s="305"/>
      <c r="C53" s="322" t="str">
        <f>IF(B53="","",IF(B53&gt;=B52,IF(B53&lt;=C52,"ВСЕ ОК","НАРУШЕНИЕ"),"НАРУШЕНИЕ"))</f>
        <v/>
      </c>
    </row>
    <row r="54" spans="1:6" ht="15" thickBot="1" x14ac:dyDescent="0.35">
      <c r="A54" s="270" t="s">
        <v>2485</v>
      </c>
      <c r="B54" s="302"/>
      <c r="C54" s="323" t="str">
        <f>IFERROR(EDATE(B52,3)-1,"")</f>
        <v/>
      </c>
    </row>
    <row r="55" spans="1:6" ht="15" thickTop="1" x14ac:dyDescent="0.3"/>
  </sheetData>
  <mergeCells count="14">
    <mergeCell ref="C7:F7"/>
    <mergeCell ref="A1:B1"/>
    <mergeCell ref="C1:F1"/>
    <mergeCell ref="K1:L1"/>
    <mergeCell ref="C2:F2"/>
    <mergeCell ref="A6:F6"/>
    <mergeCell ref="C41:D41"/>
    <mergeCell ref="E41:F41"/>
    <mergeCell ref="A8:F8"/>
    <mergeCell ref="A9:F9"/>
    <mergeCell ref="D25:E25"/>
    <mergeCell ref="D26:E26"/>
    <mergeCell ref="D27:E27"/>
    <mergeCell ref="D28:E28"/>
  </mergeCells>
  <conditionalFormatting sqref="C53">
    <cfRule type="containsText" dxfId="530" priority="21" operator="containsText" text="НАРУШЕНИЕ">
      <formula>NOT(ISERROR(SEARCH("НАРУШЕНИЕ",C53)))</formula>
    </cfRule>
    <cfRule type="containsText" dxfId="529" priority="22" operator="containsText" text="ВСЕ ОК">
      <formula>NOT(ISERROR(SEARCH("ВСЕ ОК",C53)))</formula>
    </cfRule>
  </conditionalFormatting>
  <conditionalFormatting sqref="J2:J11">
    <cfRule type="containsText" dxfId="528" priority="18" operator="containsText" text="БР">
      <formula>NOT(ISERROR(SEARCH("БР",J2)))</formula>
    </cfRule>
    <cfRule type="containsText" dxfId="527" priority="19" operator="containsText" text="ОК">
      <formula>NOT(ISERROR(SEARCH("ОК",J2)))</formula>
    </cfRule>
  </conditionalFormatting>
  <conditionalFormatting sqref="L14">
    <cfRule type="cellIs" dxfId="526" priority="17" operator="equal">
      <formula>0</formula>
    </cfRule>
  </conditionalFormatting>
  <conditionalFormatting sqref="C36">
    <cfRule type="containsBlanks" dxfId="525" priority="15">
      <formula>LEN(TRIM(C36))=0</formula>
    </cfRule>
    <cfRule type="notContainsBlanks" dxfId="524" priority="16">
      <formula>LEN(TRIM(C36))&gt;0</formula>
    </cfRule>
  </conditionalFormatting>
  <conditionalFormatting sqref="C37">
    <cfRule type="containsText" dxfId="523" priority="14" operator="containsText" text="НЕ ПОЛОЖЕНО">
      <formula>NOT(ISERROR(SEARCH("НЕ ПОЛОЖЕНО",C37)))</formula>
    </cfRule>
  </conditionalFormatting>
  <conditionalFormatting sqref="H5">
    <cfRule type="containsText" dxfId="522" priority="13" operator="containsText" text="СРОК ДАВНОСТИ">
      <formula>NOT(ISERROR(SEARCH("СРОК ДАВНОСТИ",H5)))</formula>
    </cfRule>
  </conditionalFormatting>
  <conditionalFormatting sqref="H6">
    <cfRule type="containsText" dxfId="521" priority="12" operator="containsText" text="ИСКОВАЯ ДАВНОСТЬ">
      <formula>NOT(ISERROR(SEARCH("ИСКОВАЯ ДАВНОСТЬ",H6)))</formula>
    </cfRule>
  </conditionalFormatting>
  <conditionalFormatting sqref="B26">
    <cfRule type="containsText" dxfId="520" priority="10" operator="containsText" text="NORM">
      <formula>NOT(ISERROR(SEARCH("NORM",B26)))</formula>
    </cfRule>
    <cfRule type="containsText" dxfId="519" priority="11" operator="containsText" text="LATE">
      <formula>NOT(ISERROR(SEARCH("LATE",B26)))</formula>
    </cfRule>
  </conditionalFormatting>
  <conditionalFormatting sqref="D37">
    <cfRule type="containsText" dxfId="518" priority="9" operator="containsText" text="НЕ ПОЛОЖЕНО">
      <formula>NOT(ISERROR(SEARCH("НЕ ПОЛОЖЕНО",D37)))</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9697" r:id="rId4" name="ComboBox1">
          <controlPr defaultSize="0" autoLine="0" linkedCell="K2" listFillRange="DRAFT!M2:M18" r:id="rId5">
            <anchor moveWithCells="1">
              <from>
                <xdr:col>10</xdr:col>
                <xdr:colOff>0</xdr:colOff>
                <xdr:row>1</xdr:row>
                <xdr:rowOff>0</xdr:rowOff>
              </from>
              <to>
                <xdr:col>11</xdr:col>
                <xdr:colOff>30480</xdr:colOff>
                <xdr:row>2</xdr:row>
                <xdr:rowOff>0</xdr:rowOff>
              </to>
            </anchor>
          </controlPr>
        </control>
      </mc:Choice>
      <mc:Fallback>
        <control shapeId="29697" r:id="rId4" name="ComboBox1"/>
      </mc:Fallback>
    </mc:AlternateContent>
    <mc:AlternateContent xmlns:mc="http://schemas.openxmlformats.org/markup-compatibility/2006">
      <mc:Choice Requires="x14">
        <control shapeId="29698" r:id="rId6" name="ComboBox2">
          <controlPr defaultSize="0" autoLine="0" linkedCell="K3" listFillRange="DRAFT!M2:M18" r:id="rId7">
            <anchor moveWithCells="1">
              <from>
                <xdr:col>10</xdr:col>
                <xdr:colOff>0</xdr:colOff>
                <xdr:row>2</xdr:row>
                <xdr:rowOff>0</xdr:rowOff>
              </from>
              <to>
                <xdr:col>11</xdr:col>
                <xdr:colOff>22860</xdr:colOff>
                <xdr:row>3</xdr:row>
                <xdr:rowOff>0</xdr:rowOff>
              </to>
            </anchor>
          </controlPr>
        </control>
      </mc:Choice>
      <mc:Fallback>
        <control shapeId="29698" r:id="rId6" name="ComboBox2"/>
      </mc:Fallback>
    </mc:AlternateContent>
    <mc:AlternateContent xmlns:mc="http://schemas.openxmlformats.org/markup-compatibility/2006">
      <mc:Choice Requires="x14">
        <control shapeId="29699" r:id="rId8" name="ComboBox3">
          <controlPr defaultSize="0" autoLine="0" linkedCell="K4" listFillRange="DRAFT!M2:M18" r:id="rId9">
            <anchor moveWithCells="1">
              <from>
                <xdr:col>10</xdr:col>
                <xdr:colOff>0</xdr:colOff>
                <xdr:row>3</xdr:row>
                <xdr:rowOff>0</xdr:rowOff>
              </from>
              <to>
                <xdr:col>11</xdr:col>
                <xdr:colOff>22860</xdr:colOff>
                <xdr:row>4</xdr:row>
                <xdr:rowOff>0</xdr:rowOff>
              </to>
            </anchor>
          </controlPr>
        </control>
      </mc:Choice>
      <mc:Fallback>
        <control shapeId="29699" r:id="rId8" name="ComboBox3"/>
      </mc:Fallback>
    </mc:AlternateContent>
    <mc:AlternateContent xmlns:mc="http://schemas.openxmlformats.org/markup-compatibility/2006">
      <mc:Choice Requires="x14">
        <control shapeId="29700" r:id="rId10" name="ComboBox4">
          <controlPr defaultSize="0" autoLine="0" linkedCell="K5" listFillRange="DRAFT!M2:M18" r:id="rId9">
            <anchor moveWithCells="1">
              <from>
                <xdr:col>10</xdr:col>
                <xdr:colOff>0</xdr:colOff>
                <xdr:row>4</xdr:row>
                <xdr:rowOff>0</xdr:rowOff>
              </from>
              <to>
                <xdr:col>11</xdr:col>
                <xdr:colOff>22860</xdr:colOff>
                <xdr:row>5</xdr:row>
                <xdr:rowOff>0</xdr:rowOff>
              </to>
            </anchor>
          </controlPr>
        </control>
      </mc:Choice>
      <mc:Fallback>
        <control shapeId="29700" r:id="rId10" name="ComboBox4"/>
      </mc:Fallback>
    </mc:AlternateContent>
    <mc:AlternateContent xmlns:mc="http://schemas.openxmlformats.org/markup-compatibility/2006">
      <mc:Choice Requires="x14">
        <control shapeId="29701" r:id="rId11" name="ComboBox5">
          <controlPr defaultSize="0" autoLine="0" linkedCell="K6" listFillRange="DRAFT!M2:M18" r:id="rId9">
            <anchor moveWithCells="1">
              <from>
                <xdr:col>10</xdr:col>
                <xdr:colOff>0</xdr:colOff>
                <xdr:row>5</xdr:row>
                <xdr:rowOff>0</xdr:rowOff>
              </from>
              <to>
                <xdr:col>11</xdr:col>
                <xdr:colOff>22860</xdr:colOff>
                <xdr:row>6</xdr:row>
                <xdr:rowOff>0</xdr:rowOff>
              </to>
            </anchor>
          </controlPr>
        </control>
      </mc:Choice>
      <mc:Fallback>
        <control shapeId="29701" r:id="rId11" name="ComboBox5"/>
      </mc:Fallback>
    </mc:AlternateContent>
    <mc:AlternateContent xmlns:mc="http://schemas.openxmlformats.org/markup-compatibility/2006">
      <mc:Choice Requires="x14">
        <control shapeId="29702" r:id="rId12" name="ComboBox6">
          <controlPr defaultSize="0" autoLine="0" linkedCell="K7" listFillRange="DRAFT!M2:M18" r:id="rId9">
            <anchor moveWithCells="1">
              <from>
                <xdr:col>10</xdr:col>
                <xdr:colOff>0</xdr:colOff>
                <xdr:row>6</xdr:row>
                <xdr:rowOff>0</xdr:rowOff>
              </from>
              <to>
                <xdr:col>11</xdr:col>
                <xdr:colOff>22860</xdr:colOff>
                <xdr:row>7</xdr:row>
                <xdr:rowOff>0</xdr:rowOff>
              </to>
            </anchor>
          </controlPr>
        </control>
      </mc:Choice>
      <mc:Fallback>
        <control shapeId="29702" r:id="rId12" name="ComboBox6"/>
      </mc:Fallback>
    </mc:AlternateContent>
    <mc:AlternateContent xmlns:mc="http://schemas.openxmlformats.org/markup-compatibility/2006">
      <mc:Choice Requires="x14">
        <control shapeId="29703" r:id="rId13" name="ComboBox7">
          <controlPr defaultSize="0" autoLine="0" linkedCell="K8" listFillRange="DRAFT!M2:M18" r:id="rId9">
            <anchor moveWithCells="1">
              <from>
                <xdr:col>10</xdr:col>
                <xdr:colOff>0</xdr:colOff>
                <xdr:row>7</xdr:row>
                <xdr:rowOff>0</xdr:rowOff>
              </from>
              <to>
                <xdr:col>11</xdr:col>
                <xdr:colOff>22860</xdr:colOff>
                <xdr:row>8</xdr:row>
                <xdr:rowOff>0</xdr:rowOff>
              </to>
            </anchor>
          </controlPr>
        </control>
      </mc:Choice>
      <mc:Fallback>
        <control shapeId="29703" r:id="rId13" name="ComboBox7"/>
      </mc:Fallback>
    </mc:AlternateContent>
    <mc:AlternateContent xmlns:mc="http://schemas.openxmlformats.org/markup-compatibility/2006">
      <mc:Choice Requires="x14">
        <control shapeId="29704" r:id="rId14" name="ComboBox8">
          <controlPr defaultSize="0" autoLine="0" linkedCell="K9" listFillRange="DRAFT!M2:M18" r:id="rId9">
            <anchor moveWithCells="1">
              <from>
                <xdr:col>10</xdr:col>
                <xdr:colOff>0</xdr:colOff>
                <xdr:row>8</xdr:row>
                <xdr:rowOff>0</xdr:rowOff>
              </from>
              <to>
                <xdr:col>11</xdr:col>
                <xdr:colOff>22860</xdr:colOff>
                <xdr:row>9</xdr:row>
                <xdr:rowOff>0</xdr:rowOff>
              </to>
            </anchor>
          </controlPr>
        </control>
      </mc:Choice>
      <mc:Fallback>
        <control shapeId="29704" r:id="rId14" name="ComboBox8"/>
      </mc:Fallback>
    </mc:AlternateContent>
    <mc:AlternateContent xmlns:mc="http://schemas.openxmlformats.org/markup-compatibility/2006">
      <mc:Choice Requires="x14">
        <control shapeId="29705" r:id="rId15" name="ComboBox9">
          <controlPr defaultSize="0" autoLine="0" linkedCell="K10" listFillRange="DRAFT!M2:M18" r:id="rId9">
            <anchor moveWithCells="1">
              <from>
                <xdr:col>10</xdr:col>
                <xdr:colOff>0</xdr:colOff>
                <xdr:row>9</xdr:row>
                <xdr:rowOff>0</xdr:rowOff>
              </from>
              <to>
                <xdr:col>11</xdr:col>
                <xdr:colOff>22860</xdr:colOff>
                <xdr:row>10</xdr:row>
                <xdr:rowOff>0</xdr:rowOff>
              </to>
            </anchor>
          </controlPr>
        </control>
      </mc:Choice>
      <mc:Fallback>
        <control shapeId="29705" r:id="rId15" name="ComboBox9"/>
      </mc:Fallback>
    </mc:AlternateContent>
    <mc:AlternateContent xmlns:mc="http://schemas.openxmlformats.org/markup-compatibility/2006">
      <mc:Choice Requires="x14">
        <control shapeId="29706" r:id="rId16" name="ComboBox10">
          <controlPr defaultSize="0" autoLine="0" linkedCell="K11" listFillRange="DRAFT!M2:M18" r:id="rId9">
            <anchor moveWithCells="1">
              <from>
                <xdr:col>10</xdr:col>
                <xdr:colOff>0</xdr:colOff>
                <xdr:row>10</xdr:row>
                <xdr:rowOff>0</xdr:rowOff>
              </from>
              <to>
                <xdr:col>11</xdr:col>
                <xdr:colOff>22860</xdr:colOff>
                <xdr:row>11</xdr:row>
                <xdr:rowOff>0</xdr:rowOff>
              </to>
            </anchor>
          </controlPr>
        </control>
      </mc:Choice>
      <mc:Fallback>
        <control shapeId="29706" r:id="rId16" name="ComboBox10"/>
      </mc:Fallback>
    </mc:AlternateContent>
    <mc:AlternateContent xmlns:mc="http://schemas.openxmlformats.org/markup-compatibility/2006">
      <mc:Choice Requires="x14">
        <control shapeId="29707" r:id="rId17" name="ComboBox11">
          <controlPr defaultSize="0" autoLine="0" linkedCell="M2" listFillRange="DRAFT!M2:M18" r:id="rId9">
            <anchor moveWithCells="1">
              <from>
                <xdr:col>12</xdr:col>
                <xdr:colOff>0</xdr:colOff>
                <xdr:row>1</xdr:row>
                <xdr:rowOff>0</xdr:rowOff>
              </from>
              <to>
                <xdr:col>13</xdr:col>
                <xdr:colOff>22860</xdr:colOff>
                <xdr:row>2</xdr:row>
                <xdr:rowOff>0</xdr:rowOff>
              </to>
            </anchor>
          </controlPr>
        </control>
      </mc:Choice>
      <mc:Fallback>
        <control shapeId="29707" r:id="rId17" name="ComboBox11"/>
      </mc:Fallback>
    </mc:AlternateContent>
    <mc:AlternateContent xmlns:mc="http://schemas.openxmlformats.org/markup-compatibility/2006">
      <mc:Choice Requires="x14">
        <control shapeId="29708" r:id="rId18" name="ComboBox12">
          <controlPr defaultSize="0" autoLine="0" linkedCell="M3" listFillRange="DRAFT!M2:M18" r:id="rId9">
            <anchor moveWithCells="1">
              <from>
                <xdr:col>12</xdr:col>
                <xdr:colOff>0</xdr:colOff>
                <xdr:row>2</xdr:row>
                <xdr:rowOff>0</xdr:rowOff>
              </from>
              <to>
                <xdr:col>13</xdr:col>
                <xdr:colOff>22860</xdr:colOff>
                <xdr:row>3</xdr:row>
                <xdr:rowOff>0</xdr:rowOff>
              </to>
            </anchor>
          </controlPr>
        </control>
      </mc:Choice>
      <mc:Fallback>
        <control shapeId="29708" r:id="rId18" name="ComboBox12"/>
      </mc:Fallback>
    </mc:AlternateContent>
    <mc:AlternateContent xmlns:mc="http://schemas.openxmlformats.org/markup-compatibility/2006">
      <mc:Choice Requires="x14">
        <control shapeId="29709" r:id="rId19" name="ComboBox13">
          <controlPr defaultSize="0" autoLine="0" linkedCell="M4" listFillRange="DRAFT!M2:M18" r:id="rId9">
            <anchor moveWithCells="1">
              <from>
                <xdr:col>12</xdr:col>
                <xdr:colOff>0</xdr:colOff>
                <xdr:row>3</xdr:row>
                <xdr:rowOff>0</xdr:rowOff>
              </from>
              <to>
                <xdr:col>13</xdr:col>
                <xdr:colOff>22860</xdr:colOff>
                <xdr:row>4</xdr:row>
                <xdr:rowOff>0</xdr:rowOff>
              </to>
            </anchor>
          </controlPr>
        </control>
      </mc:Choice>
      <mc:Fallback>
        <control shapeId="29709" r:id="rId19" name="ComboBox13"/>
      </mc:Fallback>
    </mc:AlternateContent>
    <mc:AlternateContent xmlns:mc="http://schemas.openxmlformats.org/markup-compatibility/2006">
      <mc:Choice Requires="x14">
        <control shapeId="29710" r:id="rId20" name="ComboBox14">
          <controlPr defaultSize="0" autoLine="0" linkedCell="M5" listFillRange="DRAFT!M2:M18" r:id="rId9">
            <anchor moveWithCells="1">
              <from>
                <xdr:col>12</xdr:col>
                <xdr:colOff>0</xdr:colOff>
                <xdr:row>4</xdr:row>
                <xdr:rowOff>0</xdr:rowOff>
              </from>
              <to>
                <xdr:col>13</xdr:col>
                <xdr:colOff>22860</xdr:colOff>
                <xdr:row>5</xdr:row>
                <xdr:rowOff>0</xdr:rowOff>
              </to>
            </anchor>
          </controlPr>
        </control>
      </mc:Choice>
      <mc:Fallback>
        <control shapeId="29710" r:id="rId20" name="ComboBox14"/>
      </mc:Fallback>
    </mc:AlternateContent>
    <mc:AlternateContent xmlns:mc="http://schemas.openxmlformats.org/markup-compatibility/2006">
      <mc:Choice Requires="x14">
        <control shapeId="29711" r:id="rId21" name="ComboBox15">
          <controlPr defaultSize="0" autoLine="0" linkedCell="M6" listFillRange="DRAFT!M2:M18" r:id="rId9">
            <anchor moveWithCells="1">
              <from>
                <xdr:col>12</xdr:col>
                <xdr:colOff>0</xdr:colOff>
                <xdr:row>5</xdr:row>
                <xdr:rowOff>0</xdr:rowOff>
              </from>
              <to>
                <xdr:col>13</xdr:col>
                <xdr:colOff>22860</xdr:colOff>
                <xdr:row>6</xdr:row>
                <xdr:rowOff>0</xdr:rowOff>
              </to>
            </anchor>
          </controlPr>
        </control>
      </mc:Choice>
      <mc:Fallback>
        <control shapeId="29711" r:id="rId21" name="ComboBox15"/>
      </mc:Fallback>
    </mc:AlternateContent>
    <mc:AlternateContent xmlns:mc="http://schemas.openxmlformats.org/markup-compatibility/2006">
      <mc:Choice Requires="x14">
        <control shapeId="29712" r:id="rId22" name="ComboBox16">
          <controlPr defaultSize="0" autoLine="0" linkedCell="M7" listFillRange="DRAFT!M2:M18" r:id="rId9">
            <anchor moveWithCells="1">
              <from>
                <xdr:col>12</xdr:col>
                <xdr:colOff>0</xdr:colOff>
                <xdr:row>6</xdr:row>
                <xdr:rowOff>0</xdr:rowOff>
              </from>
              <to>
                <xdr:col>13</xdr:col>
                <xdr:colOff>22860</xdr:colOff>
                <xdr:row>7</xdr:row>
                <xdr:rowOff>0</xdr:rowOff>
              </to>
            </anchor>
          </controlPr>
        </control>
      </mc:Choice>
      <mc:Fallback>
        <control shapeId="29712" r:id="rId22" name="ComboBox16"/>
      </mc:Fallback>
    </mc:AlternateContent>
    <mc:AlternateContent xmlns:mc="http://schemas.openxmlformats.org/markup-compatibility/2006">
      <mc:Choice Requires="x14">
        <control shapeId="29713" r:id="rId23" name="ComboBox17">
          <controlPr defaultSize="0" autoLine="0" linkedCell="M8" listFillRange="DRAFT!M2:M18" r:id="rId9">
            <anchor moveWithCells="1">
              <from>
                <xdr:col>12</xdr:col>
                <xdr:colOff>0</xdr:colOff>
                <xdr:row>7</xdr:row>
                <xdr:rowOff>0</xdr:rowOff>
              </from>
              <to>
                <xdr:col>13</xdr:col>
                <xdr:colOff>22860</xdr:colOff>
                <xdr:row>8</xdr:row>
                <xdr:rowOff>0</xdr:rowOff>
              </to>
            </anchor>
          </controlPr>
        </control>
      </mc:Choice>
      <mc:Fallback>
        <control shapeId="29713" r:id="rId23" name="ComboBox17"/>
      </mc:Fallback>
    </mc:AlternateContent>
    <mc:AlternateContent xmlns:mc="http://schemas.openxmlformats.org/markup-compatibility/2006">
      <mc:Choice Requires="x14">
        <control shapeId="29714" r:id="rId24" name="ComboBox18">
          <controlPr defaultSize="0" autoLine="0" linkedCell="M9" listFillRange="DRAFT!M2:M18" r:id="rId9">
            <anchor moveWithCells="1">
              <from>
                <xdr:col>12</xdr:col>
                <xdr:colOff>0</xdr:colOff>
                <xdr:row>8</xdr:row>
                <xdr:rowOff>0</xdr:rowOff>
              </from>
              <to>
                <xdr:col>13</xdr:col>
                <xdr:colOff>22860</xdr:colOff>
                <xdr:row>9</xdr:row>
                <xdr:rowOff>0</xdr:rowOff>
              </to>
            </anchor>
          </controlPr>
        </control>
      </mc:Choice>
      <mc:Fallback>
        <control shapeId="29714" r:id="rId24" name="ComboBox18"/>
      </mc:Fallback>
    </mc:AlternateContent>
    <mc:AlternateContent xmlns:mc="http://schemas.openxmlformats.org/markup-compatibility/2006">
      <mc:Choice Requires="x14">
        <control shapeId="29715" r:id="rId25" name="ComboBox19">
          <controlPr defaultSize="0" autoLine="0" linkedCell="M10" listFillRange="DRAFT!M2:M18" r:id="rId9">
            <anchor moveWithCells="1">
              <from>
                <xdr:col>12</xdr:col>
                <xdr:colOff>0</xdr:colOff>
                <xdr:row>9</xdr:row>
                <xdr:rowOff>0</xdr:rowOff>
              </from>
              <to>
                <xdr:col>13</xdr:col>
                <xdr:colOff>22860</xdr:colOff>
                <xdr:row>10</xdr:row>
                <xdr:rowOff>0</xdr:rowOff>
              </to>
            </anchor>
          </controlPr>
        </control>
      </mc:Choice>
      <mc:Fallback>
        <control shapeId="29715" r:id="rId25" name="ComboBox19"/>
      </mc:Fallback>
    </mc:AlternateContent>
    <mc:AlternateContent xmlns:mc="http://schemas.openxmlformats.org/markup-compatibility/2006">
      <mc:Choice Requires="x14">
        <control shapeId="29716" r:id="rId26" name="ComboBox20">
          <controlPr defaultSize="0" autoLine="0" linkedCell="M11" listFillRange="DRAFT!M2:M18" r:id="rId9">
            <anchor moveWithCells="1">
              <from>
                <xdr:col>12</xdr:col>
                <xdr:colOff>0</xdr:colOff>
                <xdr:row>10</xdr:row>
                <xdr:rowOff>0</xdr:rowOff>
              </from>
              <to>
                <xdr:col>13</xdr:col>
                <xdr:colOff>22860</xdr:colOff>
                <xdr:row>11</xdr:row>
                <xdr:rowOff>0</xdr:rowOff>
              </to>
            </anchor>
          </controlPr>
        </control>
      </mc:Choice>
      <mc:Fallback>
        <control shapeId="29716" r:id="rId26" name="ComboBox20"/>
      </mc:Fallback>
    </mc:AlternateContent>
    <mc:AlternateContent xmlns:mc="http://schemas.openxmlformats.org/markup-compatibility/2006">
      <mc:Choice Requires="x14">
        <control shapeId="29717" r:id="rId27" name="Button_Delete">
          <controlPr defaultSize="0" autoFill="0" autoLine="0" r:id="rId28">
            <anchor moveWithCells="1">
              <from>
                <xdr:col>6</xdr:col>
                <xdr:colOff>0</xdr:colOff>
                <xdr:row>0</xdr:row>
                <xdr:rowOff>0</xdr:rowOff>
              </from>
              <to>
                <xdr:col>7</xdr:col>
                <xdr:colOff>22860</xdr:colOff>
                <xdr:row>1</xdr:row>
                <xdr:rowOff>190500</xdr:rowOff>
              </to>
            </anchor>
          </controlPr>
        </control>
      </mc:Choice>
      <mc:Fallback>
        <control shapeId="29717" r:id="rId27" name="Button_Delete"/>
      </mc:Fallback>
    </mc:AlternateContent>
    <mc:AlternateContent xmlns:mc="http://schemas.openxmlformats.org/markup-compatibility/2006">
      <mc:Choice Requires="x14">
        <control shapeId="29719" r:id="rId29" name="ComboBox21">
          <controlPr defaultSize="0" autoLine="0" linkedCell="C15" listFillRange="DRAFT!M2:M18" r:id="rId30">
            <anchor moveWithCells="1">
              <from>
                <xdr:col>2</xdr:col>
                <xdr:colOff>0</xdr:colOff>
                <xdr:row>14</xdr:row>
                <xdr:rowOff>0</xdr:rowOff>
              </from>
              <to>
                <xdr:col>3</xdr:col>
                <xdr:colOff>15240</xdr:colOff>
                <xdr:row>15</xdr:row>
                <xdr:rowOff>7620</xdr:rowOff>
              </to>
            </anchor>
          </controlPr>
        </control>
      </mc:Choice>
      <mc:Fallback>
        <control shapeId="29719" r:id="rId29" name="ComboBox21"/>
      </mc:Fallback>
    </mc:AlternateContent>
    <mc:AlternateContent xmlns:mc="http://schemas.openxmlformats.org/markup-compatibility/2006">
      <mc:Choice Requires="x14">
        <control shapeId="29720" r:id="rId31" name="ComboBox22">
          <controlPr defaultSize="0" autoLine="0" linkedCell="C16" listFillRange="DRAFT!M2:M18" r:id="rId30">
            <anchor moveWithCells="1">
              <from>
                <xdr:col>2</xdr:col>
                <xdr:colOff>0</xdr:colOff>
                <xdr:row>15</xdr:row>
                <xdr:rowOff>0</xdr:rowOff>
              </from>
              <to>
                <xdr:col>3</xdr:col>
                <xdr:colOff>15240</xdr:colOff>
                <xdr:row>16</xdr:row>
                <xdr:rowOff>7620</xdr:rowOff>
              </to>
            </anchor>
          </controlPr>
        </control>
      </mc:Choice>
      <mc:Fallback>
        <control shapeId="29720" r:id="rId31" name="ComboBox22"/>
      </mc:Fallback>
    </mc:AlternateContent>
    <mc:AlternateContent xmlns:mc="http://schemas.openxmlformats.org/markup-compatibility/2006">
      <mc:Choice Requires="x14">
        <control shapeId="29721" r:id="rId32" name="ComboBox23">
          <controlPr defaultSize="0" autoLine="0" linkedCell="C17" listFillRange="DRAFT!M2:M18" r:id="rId30">
            <anchor moveWithCells="1">
              <from>
                <xdr:col>2</xdr:col>
                <xdr:colOff>0</xdr:colOff>
                <xdr:row>16</xdr:row>
                <xdr:rowOff>0</xdr:rowOff>
              </from>
              <to>
                <xdr:col>3</xdr:col>
                <xdr:colOff>15240</xdr:colOff>
                <xdr:row>17</xdr:row>
                <xdr:rowOff>0</xdr:rowOff>
              </to>
            </anchor>
          </controlPr>
        </control>
      </mc:Choice>
      <mc:Fallback>
        <control shapeId="29721" r:id="rId32" name="ComboBox23"/>
      </mc:Fallback>
    </mc:AlternateContent>
    <mc:AlternateContent xmlns:mc="http://schemas.openxmlformats.org/markup-compatibility/2006">
      <mc:Choice Requires="x14">
        <control shapeId="29722" r:id="rId33" name="ComboBox24">
          <controlPr defaultSize="0" autoLine="0" linkedCell="C18" listFillRange="DRAFT!M2:M18" r:id="rId30">
            <anchor moveWithCells="1">
              <from>
                <xdr:col>2</xdr:col>
                <xdr:colOff>0</xdr:colOff>
                <xdr:row>17</xdr:row>
                <xdr:rowOff>0</xdr:rowOff>
              </from>
              <to>
                <xdr:col>3</xdr:col>
                <xdr:colOff>15240</xdr:colOff>
                <xdr:row>18</xdr:row>
                <xdr:rowOff>0</xdr:rowOff>
              </to>
            </anchor>
          </controlPr>
        </control>
      </mc:Choice>
      <mc:Fallback>
        <control shapeId="29722" r:id="rId33" name="ComboBox24"/>
      </mc:Fallback>
    </mc:AlternateContent>
    <mc:AlternateContent xmlns:mc="http://schemas.openxmlformats.org/markup-compatibility/2006">
      <mc:Choice Requires="x14">
        <control shapeId="29723" r:id="rId34" name="ComboBox25">
          <controlPr defaultSize="0" autoLine="0" linkedCell="C19" listFillRange="DRAFT!M2:M18" r:id="rId35">
            <anchor moveWithCells="1">
              <from>
                <xdr:col>2</xdr:col>
                <xdr:colOff>0</xdr:colOff>
                <xdr:row>18</xdr:row>
                <xdr:rowOff>0</xdr:rowOff>
              </from>
              <to>
                <xdr:col>3</xdr:col>
                <xdr:colOff>15240</xdr:colOff>
                <xdr:row>19</xdr:row>
                <xdr:rowOff>7620</xdr:rowOff>
              </to>
            </anchor>
          </controlPr>
        </control>
      </mc:Choice>
      <mc:Fallback>
        <control shapeId="29723" r:id="rId34" name="ComboBox25"/>
      </mc:Fallback>
    </mc:AlternateContent>
    <mc:AlternateContent xmlns:mc="http://schemas.openxmlformats.org/markup-compatibility/2006">
      <mc:Choice Requires="x14">
        <control shapeId="29724" r:id="rId36" name="ComboBox26">
          <controlPr defaultSize="0" autoLine="0" linkedCell="C20" listFillRange="DRAFT!M2:M18" r:id="rId35">
            <anchor moveWithCells="1">
              <from>
                <xdr:col>2</xdr:col>
                <xdr:colOff>0</xdr:colOff>
                <xdr:row>19</xdr:row>
                <xdr:rowOff>0</xdr:rowOff>
              </from>
              <to>
                <xdr:col>3</xdr:col>
                <xdr:colOff>15240</xdr:colOff>
                <xdr:row>20</xdr:row>
                <xdr:rowOff>7620</xdr:rowOff>
              </to>
            </anchor>
          </controlPr>
        </control>
      </mc:Choice>
      <mc:Fallback>
        <control shapeId="29724" r:id="rId36" name="ComboBox26"/>
      </mc:Fallback>
    </mc:AlternateContent>
    <mc:AlternateContent xmlns:mc="http://schemas.openxmlformats.org/markup-compatibility/2006">
      <mc:Choice Requires="x14">
        <control shapeId="29725" r:id="rId37" name="ComboBox27">
          <controlPr defaultSize="0" autoLine="0" linkedCell="C21" listFillRange="DRAFT!M2:M18" r:id="rId35">
            <anchor moveWithCells="1">
              <from>
                <xdr:col>2</xdr:col>
                <xdr:colOff>0</xdr:colOff>
                <xdr:row>20</xdr:row>
                <xdr:rowOff>0</xdr:rowOff>
              </from>
              <to>
                <xdr:col>3</xdr:col>
                <xdr:colOff>15240</xdr:colOff>
                <xdr:row>21</xdr:row>
                <xdr:rowOff>7620</xdr:rowOff>
              </to>
            </anchor>
          </controlPr>
        </control>
      </mc:Choice>
      <mc:Fallback>
        <control shapeId="29725" r:id="rId37" name="ComboBox27"/>
      </mc:Fallback>
    </mc:AlternateContent>
    <mc:AlternateContent xmlns:mc="http://schemas.openxmlformats.org/markup-compatibility/2006">
      <mc:Choice Requires="x14">
        <control shapeId="29726" r:id="rId38" name="ComboBox28">
          <controlPr defaultSize="0" autoLine="0" linkedCell="C22" listFillRange="DRAFT!M2:M18" r:id="rId35">
            <anchor moveWithCells="1">
              <from>
                <xdr:col>2</xdr:col>
                <xdr:colOff>0</xdr:colOff>
                <xdr:row>21</xdr:row>
                <xdr:rowOff>0</xdr:rowOff>
              </from>
              <to>
                <xdr:col>3</xdr:col>
                <xdr:colOff>15240</xdr:colOff>
                <xdr:row>22</xdr:row>
                <xdr:rowOff>7620</xdr:rowOff>
              </to>
            </anchor>
          </controlPr>
        </control>
      </mc:Choice>
      <mc:Fallback>
        <control shapeId="29726" r:id="rId38" name="ComboBox28"/>
      </mc:Fallback>
    </mc:AlternateContent>
    <mc:AlternateContent xmlns:mc="http://schemas.openxmlformats.org/markup-compatibility/2006">
      <mc:Choice Requires="x14">
        <control shapeId="29727" r:id="rId39" name="ComboBox29">
          <controlPr defaultSize="0" autoLine="0" linkedCell="C23" listFillRange="DRAFT!M2:M18" r:id="rId30">
            <anchor moveWithCells="1">
              <from>
                <xdr:col>2</xdr:col>
                <xdr:colOff>0</xdr:colOff>
                <xdr:row>22</xdr:row>
                <xdr:rowOff>0</xdr:rowOff>
              </from>
              <to>
                <xdr:col>3</xdr:col>
                <xdr:colOff>15240</xdr:colOff>
                <xdr:row>23</xdr:row>
                <xdr:rowOff>7620</xdr:rowOff>
              </to>
            </anchor>
          </controlPr>
        </control>
      </mc:Choice>
      <mc:Fallback>
        <control shapeId="29727" r:id="rId39" name="ComboBox29"/>
      </mc:Fallback>
    </mc:AlternateContent>
    <mc:AlternateContent xmlns:mc="http://schemas.openxmlformats.org/markup-compatibility/2006">
      <mc:Choice Requires="x14">
        <control shapeId="29728" r:id="rId40" name="ComboBox30">
          <controlPr defaultSize="0" autoLine="0" linkedCell="C24" listFillRange="DRAFT!M2:M18" r:id="rId30">
            <anchor moveWithCells="1">
              <from>
                <xdr:col>2</xdr:col>
                <xdr:colOff>0</xdr:colOff>
                <xdr:row>23</xdr:row>
                <xdr:rowOff>0</xdr:rowOff>
              </from>
              <to>
                <xdr:col>3</xdr:col>
                <xdr:colOff>15240</xdr:colOff>
                <xdr:row>24</xdr:row>
                <xdr:rowOff>7620</xdr:rowOff>
              </to>
            </anchor>
          </controlPr>
        </control>
      </mc:Choice>
      <mc:Fallback>
        <control shapeId="29728" r:id="rId40" name="ComboBox30"/>
      </mc:Fallback>
    </mc:AlternateContent>
    <mc:AlternateContent xmlns:mc="http://schemas.openxmlformats.org/markup-compatibility/2006">
      <mc:Choice Requires="x14">
        <control shapeId="29731" r:id="rId41" name="ComboBox31">
          <controlPr defaultSize="0" autoLine="0" linkedCell="C36" listFillRange="DDL_Fake_Region" r:id="rId42">
            <anchor moveWithCells="1">
              <from>
                <xdr:col>2</xdr:col>
                <xdr:colOff>0</xdr:colOff>
                <xdr:row>35</xdr:row>
                <xdr:rowOff>0</xdr:rowOff>
              </from>
              <to>
                <xdr:col>3</xdr:col>
                <xdr:colOff>15240</xdr:colOff>
                <xdr:row>35</xdr:row>
                <xdr:rowOff>182880</xdr:rowOff>
              </to>
            </anchor>
          </controlPr>
        </control>
      </mc:Choice>
      <mc:Fallback>
        <control shapeId="29731" r:id="rId41" name="ComboBox31"/>
      </mc:Fallback>
    </mc:AlternateContent>
    <mc:AlternateContent xmlns:mc="http://schemas.openxmlformats.org/markup-compatibility/2006">
      <mc:Choice Requires="x14">
        <control shapeId="29733" r:id="rId43" name="NewFilledListDates">
          <controlPr defaultSize="0" autoLine="0" r:id="rId44">
            <anchor moveWithCells="1">
              <from>
                <xdr:col>6</xdr:col>
                <xdr:colOff>0</xdr:colOff>
                <xdr:row>2</xdr:row>
                <xdr:rowOff>0</xdr:rowOff>
              </from>
              <to>
                <xdr:col>7</xdr:col>
                <xdr:colOff>22860</xdr:colOff>
                <xdr:row>4</xdr:row>
                <xdr:rowOff>0</xdr:rowOff>
              </to>
            </anchor>
          </controlPr>
        </control>
      </mc:Choice>
      <mc:Fallback>
        <control shapeId="29733" r:id="rId43" name="NewFilledListDates"/>
      </mc:Fallback>
    </mc:AlternateContent>
    <mc:AlternateContent xmlns:mc="http://schemas.openxmlformats.org/markup-compatibility/2006">
      <mc:Choice Requires="x14">
        <control shapeId="29734" r:id="rId45" name="DescriptionList">
          <controlPr defaultSize="0" autoLine="0" linkedCell="E50" listFillRange="DRAFT!AR2:AR3" r:id="rId46">
            <anchor moveWithCells="1">
              <from>
                <xdr:col>4</xdr:col>
                <xdr:colOff>0</xdr:colOff>
                <xdr:row>49</xdr:row>
                <xdr:rowOff>0</xdr:rowOff>
              </from>
              <to>
                <xdr:col>5</xdr:col>
                <xdr:colOff>22860</xdr:colOff>
                <xdr:row>50</xdr:row>
                <xdr:rowOff>0</xdr:rowOff>
              </to>
            </anchor>
          </controlPr>
        </control>
      </mc:Choice>
      <mc:Fallback>
        <control shapeId="29734" r:id="rId45" name="DescriptionList"/>
      </mc:Fallback>
    </mc:AlternateContent>
    <mc:AlternateContent xmlns:mc="http://schemas.openxmlformats.org/markup-compatibility/2006">
      <mc:Choice Requires="x14">
        <control shapeId="29718" r:id="rId47" name="Check Box 22">
          <controlPr defaultSize="0" autoFill="0" autoLine="0" autoPict="0">
            <anchor moveWithCells="1">
              <from>
                <xdr:col>7</xdr:col>
                <xdr:colOff>0</xdr:colOff>
                <xdr:row>3</xdr:row>
                <xdr:rowOff>0</xdr:rowOff>
              </from>
              <to>
                <xdr:col>8</xdr:col>
                <xdr:colOff>0</xdr:colOff>
                <xdr:row>4</xdr:row>
                <xdr:rowOff>0</xdr:rowOff>
              </to>
            </anchor>
          </controlPr>
        </control>
      </mc:Choice>
    </mc:AlternateContent>
    <mc:AlternateContent xmlns:mc="http://schemas.openxmlformats.org/markup-compatibility/2006">
      <mc:Choice Requires="x14">
        <control shapeId="29729" r:id="rId48" name="Check Box 33">
          <controlPr defaultSize="0" autoFill="0" autoLine="0" autoPict="0">
            <anchor moveWithCells="1">
              <from>
                <xdr:col>3</xdr:col>
                <xdr:colOff>0</xdr:colOff>
                <xdr:row>33</xdr:row>
                <xdr:rowOff>0</xdr:rowOff>
              </from>
              <to>
                <xdr:col>4</xdr:col>
                <xdr:colOff>0</xdr:colOff>
                <xdr:row>33</xdr:row>
                <xdr:rowOff>182880</xdr:rowOff>
              </to>
            </anchor>
          </controlPr>
        </control>
      </mc:Choice>
    </mc:AlternateContent>
    <mc:AlternateContent xmlns:mc="http://schemas.openxmlformats.org/markup-compatibility/2006">
      <mc:Choice Requires="x14">
        <control shapeId="29730" r:id="rId49" name="Check Box 34">
          <controlPr defaultSize="0" autoFill="0" autoLine="0" autoPict="0">
            <anchor moveWithCells="1">
              <from>
                <xdr:col>3</xdr:col>
                <xdr:colOff>960120</xdr:colOff>
                <xdr:row>33</xdr:row>
                <xdr:rowOff>0</xdr:rowOff>
              </from>
              <to>
                <xdr:col>5</xdr:col>
                <xdr:colOff>0</xdr:colOff>
                <xdr:row>33</xdr:row>
                <xdr:rowOff>182880</xdr:rowOff>
              </to>
            </anchor>
          </controlPr>
        </control>
      </mc:Choice>
    </mc:AlternateContent>
    <mc:AlternateContent xmlns:mc="http://schemas.openxmlformats.org/markup-compatibility/2006">
      <mc:Choice Requires="x14">
        <control shapeId="29732" r:id="rId50" name="Check Box 36">
          <controlPr defaultSize="0" autoFill="0" autoLine="0" autoPict="0">
            <anchor moveWithCells="1">
              <from>
                <xdr:col>0</xdr:col>
                <xdr:colOff>0</xdr:colOff>
                <xdr:row>24</xdr:row>
                <xdr:rowOff>182880</xdr:rowOff>
              </from>
              <to>
                <xdr:col>1</xdr:col>
                <xdr:colOff>0</xdr:colOff>
                <xdr:row>26</xdr:row>
                <xdr:rowOff>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iconSet" priority="20" id="{D671C580-E1F9-4799-ABE4-E94BC2B6FB70}">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N2:O11</xm:sqref>
        </x14:conditionalFormatting>
        <x14:conditionalFormatting xmlns:xm="http://schemas.microsoft.com/office/excel/2006/main">
          <x14:cfRule type="expression" priority="8" id="{6FAB95B1-4D3C-41EF-B001-7E84E4C057E2}">
            <xm:f>CHALLANGE!$E$14=1</xm:f>
            <x14:dxf>
              <fill>
                <patternFill>
                  <bgColor rgb="FF92D050"/>
                </patternFill>
              </fill>
            </x14:dxf>
          </x14:cfRule>
          <xm:sqref>C7:F7</xm:sqref>
        </x14:conditionalFormatting>
        <x14:conditionalFormatting xmlns:xm="http://schemas.microsoft.com/office/excel/2006/main">
          <x14:cfRule type="expression" priority="7" id="{3759853B-1D04-41B2-AC2E-FE4CB51F7F99}">
            <xm:f>CHALLANGE!$E$17=1</xm:f>
            <x14:dxf>
              <fill>
                <patternFill>
                  <bgColor rgb="FF92D050"/>
                </patternFill>
              </fill>
            </x14:dxf>
          </x14:cfRule>
          <xm:sqref>B7</xm:sqref>
        </x14:conditionalFormatting>
        <x14:conditionalFormatting xmlns:xm="http://schemas.microsoft.com/office/excel/2006/main">
          <x14:cfRule type="expression" priority="6" id="{DAB2FA74-497B-4C68-B3B8-B08FA58FA842}">
            <xm:f>CHALLANGE!$E$18=1</xm:f>
            <x14:dxf>
              <fill>
                <patternFill>
                  <bgColor rgb="FF92D050"/>
                </patternFill>
              </fill>
            </x14:dxf>
          </x14:cfRule>
          <xm:sqref>A7</xm:sqref>
        </x14:conditionalFormatting>
        <x14:conditionalFormatting xmlns:xm="http://schemas.microsoft.com/office/excel/2006/main">
          <x14:cfRule type="expression" priority="5" id="{A779CA90-E615-43E6-9E4B-701F2A025BDB}">
            <xm:f>CHALLANGE!$E$15=1</xm:f>
            <x14:dxf>
              <fill>
                <patternFill>
                  <bgColor rgb="FF92D050"/>
                </patternFill>
              </fill>
            </x14:dxf>
          </x14:cfRule>
          <xm:sqref>A8:F8</xm:sqref>
        </x14:conditionalFormatting>
        <x14:conditionalFormatting xmlns:xm="http://schemas.microsoft.com/office/excel/2006/main">
          <x14:cfRule type="expression" priority="4" id="{BD6D055B-7545-4CB1-ADF0-503AAD02BE60}">
            <xm:f>CHALLANGE!$E$16=1</xm:f>
            <x14:dxf>
              <fill>
                <patternFill>
                  <bgColor rgb="FF92D050"/>
                </patternFill>
              </fill>
            </x14:dxf>
          </x14:cfRule>
          <xm:sqref>A9:F9</xm:sqref>
        </x14:conditionalFormatting>
        <x14:conditionalFormatting xmlns:xm="http://schemas.microsoft.com/office/excel/2006/main">
          <x14:cfRule type="expression" priority="3" id="{B1C2FC41-DA7C-4AF8-AD6A-23581899C110}">
            <xm:f>CHALLANGE!$E$3=1</xm:f>
            <x14:dxf>
              <fill>
                <patternFill>
                  <bgColor rgb="FF92D050"/>
                </patternFill>
              </fill>
            </x14:dxf>
          </x14:cfRule>
          <xm:sqref>A2</xm:sqref>
        </x14:conditionalFormatting>
        <x14:conditionalFormatting xmlns:xm="http://schemas.microsoft.com/office/excel/2006/main">
          <x14:cfRule type="expression" priority="2" id="{D8113542-C7AC-4228-98FD-25E0B609BF44}">
            <xm:f>CHALLANGE!$E$2=1</xm:f>
            <x14:dxf>
              <fill>
                <patternFill>
                  <bgColor rgb="FF92D050"/>
                </patternFill>
              </fill>
            </x14:dxf>
          </x14:cfRule>
          <xm:sqref>B2</xm:sqref>
        </x14:conditionalFormatting>
        <x14:conditionalFormatting xmlns:xm="http://schemas.microsoft.com/office/excel/2006/main">
          <x14:cfRule type="expression" priority="1" id="{DF3A8AF7-5A50-4434-8D54-17946B919BEE}">
            <xm:f>CHALLANGE!$E$9=1</xm:f>
            <x14:dxf>
              <fill>
                <patternFill>
                  <bgColor rgb="FF92D050"/>
                </patternFill>
              </fill>
            </x14:dxf>
          </x14:cfRule>
          <xm:sqref>C2:F2</xm:sqref>
        </x14:conditionalFormatting>
        <x14:conditionalFormatting xmlns:xm="http://schemas.microsoft.com/office/excel/2006/main">
          <x14:cfRule type="expression" priority="31559" id="{622EEBAF-0928-4FC5-BAF5-C5ED2442274B}">
            <xm:f>WEEKDAY(WORKDAY.INTL(B17,20,"0000000",DRAFT!X5:X128),2)=7</xm:f>
            <x14:dxf>
              <fill>
                <patternFill>
                  <bgColor rgb="FFFF0000"/>
                </patternFill>
              </fill>
            </x14:dxf>
          </x14:cfRule>
          <x14:cfRule type="expression" priority="31560" id="{FDBBDD52-46AC-4FA1-8113-17A87D40674E}">
            <xm:f>WEEKDAY(WORKDAY.INTL(B17,20,"0000000",DRAFT!X5:X128),2)=6</xm:f>
            <x14:dxf>
              <fill>
                <patternFill>
                  <bgColor rgb="FFFF0000"/>
                </patternFill>
              </fill>
            </x14:dxf>
          </x14:cfRule>
          <xm:sqref>A17</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yStatusList">
    <tabColor rgb="FFFFC000"/>
  </sheetPr>
  <dimension ref="A1:AM3883"/>
  <sheetViews>
    <sheetView zoomScaleNormal="100" workbookViewId="0">
      <pane xSplit="1" ySplit="2" topLeftCell="O2426" activePane="bottomRight" state="frozen"/>
      <selection pane="topRight" activeCell="B1" sqref="B1"/>
      <selection pane="bottomLeft" activeCell="A5" sqref="A5"/>
      <selection pane="bottomRight" activeCell="A2435" sqref="A2435:XFD2435"/>
    </sheetView>
  </sheetViews>
  <sheetFormatPr defaultColWidth="8.6640625" defaultRowHeight="14.4" x14ac:dyDescent="0.3"/>
  <cols>
    <col min="1" max="1" width="11.88671875" style="79" customWidth="1"/>
    <col min="2" max="2" width="11.109375" style="86" customWidth="1"/>
    <col min="3" max="3" width="10.5546875" style="81" customWidth="1"/>
    <col min="4" max="4" width="10.33203125" style="81" customWidth="1"/>
    <col min="5" max="5" width="13.44140625" style="81" customWidth="1"/>
    <col min="6" max="6" width="12.33203125" style="86" customWidth="1"/>
    <col min="7" max="7" width="10" style="86" customWidth="1"/>
    <col min="8" max="8" width="8" style="79" customWidth="1"/>
    <col min="9" max="9" width="9.44140625" style="86" customWidth="1"/>
    <col min="10" max="10" width="4.5546875" style="91" customWidth="1"/>
    <col min="11" max="11" width="13.88671875" style="79" customWidth="1"/>
    <col min="12" max="12" width="65.44140625" style="86" customWidth="1"/>
    <col min="13" max="13" width="9.44140625" style="79" customWidth="1"/>
    <col min="14" max="14" width="13" style="76" customWidth="1"/>
    <col min="15" max="15" width="14.5546875" style="111" customWidth="1"/>
    <col min="16" max="16" width="15.6640625" style="111" customWidth="1"/>
    <col min="17" max="17" width="9" style="76" customWidth="1"/>
    <col min="18" max="18" width="4.6640625" style="76" customWidth="1"/>
    <col min="19" max="19" width="7.109375" style="76" customWidth="1"/>
    <col min="20" max="20" width="12.33203125" style="76" customWidth="1"/>
    <col min="21" max="21" width="9.6640625" style="76" customWidth="1"/>
    <col min="22" max="22" width="34.44140625" style="76" customWidth="1"/>
    <col min="23" max="23" width="13.88671875" style="76" customWidth="1"/>
    <col min="24" max="24" width="12.5546875" style="76" customWidth="1"/>
    <col min="25" max="28" width="12.5546875" style="566" customWidth="1"/>
    <col min="29" max="29" width="9.44140625" style="76" bestFit="1" customWidth="1"/>
    <col min="30" max="30" width="8.6640625" style="76"/>
    <col min="31" max="31" width="14.6640625" style="76" customWidth="1"/>
    <col min="32" max="32" width="15" style="76" customWidth="1"/>
    <col min="33" max="33" width="10.88671875" style="76" customWidth="1"/>
    <col min="34" max="34" width="9.88671875" style="76" customWidth="1"/>
    <col min="35" max="35" width="11.88671875" style="76" customWidth="1"/>
    <col min="36" max="36" width="16.5546875" style="76" customWidth="1"/>
    <col min="37" max="38" width="16.6640625" style="76" customWidth="1"/>
    <col min="39" max="16384" width="8.6640625" style="76"/>
  </cols>
  <sheetData>
    <row r="1" spans="1:39" ht="15" customHeight="1" thickTop="1" thickBot="1" x14ac:dyDescent="0.35">
      <c r="A1" s="1388" t="s">
        <v>4</v>
      </c>
      <c r="B1" s="1392" t="s">
        <v>196</v>
      </c>
      <c r="C1" s="1394" t="s">
        <v>5</v>
      </c>
      <c r="D1" s="1394" t="s">
        <v>5797</v>
      </c>
      <c r="E1" s="1394" t="s">
        <v>5798</v>
      </c>
      <c r="F1" s="1388" t="s">
        <v>8</v>
      </c>
      <c r="G1" s="1388" t="s">
        <v>12</v>
      </c>
      <c r="H1" s="1388" t="s">
        <v>197</v>
      </c>
      <c r="I1" s="1388" t="s">
        <v>198</v>
      </c>
      <c r="J1" s="387"/>
      <c r="K1" s="1388" t="s">
        <v>199</v>
      </c>
      <c r="L1" s="1388" t="s">
        <v>3852</v>
      </c>
      <c r="M1" s="1388" t="s">
        <v>200</v>
      </c>
      <c r="N1" s="1388" t="s">
        <v>2</v>
      </c>
      <c r="O1" s="1390" t="s">
        <v>916</v>
      </c>
      <c r="P1" s="1390" t="s">
        <v>915</v>
      </c>
      <c r="Q1" s="1390" t="s">
        <v>1969</v>
      </c>
      <c r="R1" s="389"/>
      <c r="S1" s="1390" t="s">
        <v>199</v>
      </c>
      <c r="T1" s="1390" t="s">
        <v>5277</v>
      </c>
      <c r="U1" s="1390" t="s">
        <v>4726</v>
      </c>
      <c r="V1" s="1390" t="s">
        <v>5284</v>
      </c>
      <c r="W1" s="1390" t="s">
        <v>4727</v>
      </c>
      <c r="X1" s="1390" t="s">
        <v>4731</v>
      </c>
      <c r="Y1" s="1398" t="s">
        <v>5800</v>
      </c>
      <c r="Z1" s="1399"/>
      <c r="AA1" s="1400"/>
      <c r="AB1" s="1396" t="s">
        <v>7357</v>
      </c>
      <c r="AC1" s="314" t="s">
        <v>2435</v>
      </c>
      <c r="AD1" s="314" t="s">
        <v>2421</v>
      </c>
      <c r="AE1" s="320" t="s">
        <v>1976</v>
      </c>
      <c r="AF1" s="320" t="s">
        <v>1975</v>
      </c>
      <c r="AG1" s="320" t="s">
        <v>1974</v>
      </c>
      <c r="AH1" s="320" t="s">
        <v>1973</v>
      </c>
      <c r="AI1" s="319" t="s">
        <v>2428</v>
      </c>
      <c r="AJ1" s="319" t="s">
        <v>2430</v>
      </c>
      <c r="AK1" s="319" t="s">
        <v>2429</v>
      </c>
      <c r="AL1" s="319" t="s">
        <v>1973</v>
      </c>
    </row>
    <row r="2" spans="1:39" s="18" customFormat="1" ht="15.75" customHeight="1" thickTop="1" thickBot="1" x14ac:dyDescent="0.35">
      <c r="A2" s="1389"/>
      <c r="B2" s="1393"/>
      <c r="C2" s="1395"/>
      <c r="D2" s="1395"/>
      <c r="E2" s="1395"/>
      <c r="F2" s="1389"/>
      <c r="G2" s="1389"/>
      <c r="H2" s="1389"/>
      <c r="I2" s="1389"/>
      <c r="J2" s="388"/>
      <c r="K2" s="1389"/>
      <c r="L2" s="1389"/>
      <c r="M2" s="1389"/>
      <c r="N2" s="1389"/>
      <c r="O2" s="1391"/>
      <c r="P2" s="1391"/>
      <c r="Q2" s="1391"/>
      <c r="R2" s="390"/>
      <c r="S2" s="1391"/>
      <c r="T2" s="1391"/>
      <c r="U2" s="1391"/>
      <c r="V2" s="1391"/>
      <c r="W2" s="1391"/>
      <c r="X2" s="1391"/>
      <c r="Y2" s="564" t="s">
        <v>120</v>
      </c>
      <c r="Z2" s="564" t="s">
        <v>121</v>
      </c>
      <c r="AA2" s="564" t="s">
        <v>5801</v>
      </c>
      <c r="AB2" s="1397"/>
      <c r="AC2" s="315">
        <f>SUBTOTAL(3,Q:Q)-1</f>
        <v>3696</v>
      </c>
      <c r="AD2" s="315">
        <f ca="1">SUBTOTAL(9,AE2:AH2)</f>
        <v>0</v>
      </c>
      <c r="AE2" s="315">
        <f ca="1">COUNTIFS($S:$S,AE1,$D:$D,TODAY()+$AM$2)</f>
        <v>0</v>
      </c>
      <c r="AF2" s="315">
        <f ca="1">COUNTIFS($S:$S,AF1,$D:$D,TODAY()+$AM$2)</f>
        <v>0</v>
      </c>
      <c r="AG2" s="315">
        <f ca="1">COUNTIFS($S:$S,AG1,$D:$D,TODAY()+$AM$2)</f>
        <v>0</v>
      </c>
      <c r="AH2" s="315">
        <f ca="1">COUNTIFS($S:$S,AH1,$D:$D,TODAY()+$AM$2)</f>
        <v>0</v>
      </c>
      <c r="AI2" s="318">
        <f ca="1">COUNTIFS(J:J,1,$D:$D,TODAY()+$AM$2)</f>
        <v>0</v>
      </c>
      <c r="AJ2" s="317">
        <f ca="1">COUNTIFS(K:K,"РЕШ согласовано",$D:$D,TODAY()+$AM$2)</f>
        <v>0</v>
      </c>
      <c r="AK2" s="317">
        <f ca="1">COUNTIFS(K:K,"РЕШ согласование",$D:$D,TODAY()+$AM$2)</f>
        <v>0</v>
      </c>
      <c r="AL2" s="317">
        <f ca="1">COUNTIFS(K:K,"",$D:$D,TODAY()+$AM$2)</f>
        <v>0</v>
      </c>
      <c r="AM2" s="316"/>
    </row>
    <row r="3" spans="1:39" ht="15.75" customHeight="1" thickTop="1" x14ac:dyDescent="0.3">
      <c r="A3" s="67" t="s">
        <v>201</v>
      </c>
      <c r="B3" s="68" t="s">
        <v>202</v>
      </c>
      <c r="C3" s="69">
        <v>43694</v>
      </c>
      <c r="D3" s="119">
        <v>43745</v>
      </c>
      <c r="E3" s="560"/>
      <c r="F3" s="71" t="s">
        <v>203</v>
      </c>
      <c r="G3" s="71"/>
      <c r="H3" s="72"/>
      <c r="I3" s="71"/>
      <c r="J3" s="73">
        <f t="shared" ref="J3:J66" si="0">IF(OR(K3="Документы готовы",K3="Запрос в ФО",K3="ЭЗ",K3="РЕШ",K3="РЕШ шаблон"),0.1,IF(OR(K3="ЭЗ согласование",K3="РЕШ согласование"),0.3,IF(OR(K3="ЭЗ согласовано",K3="РЕШ согласовано",K3="РЕШ подписано"),0.6,IF(OR(K3="ЭЗ ПР согласование",K3="РЕШ УВ согласование"),0.9,IF(OR(K3="ЭЗ ПР DONE",K3="РЕШ УВ DONE"),1,0)))))</f>
        <v>1</v>
      </c>
      <c r="K3" s="74" t="s">
        <v>204</v>
      </c>
      <c r="L3" s="71" t="s">
        <v>205</v>
      </c>
      <c r="M3" s="75">
        <v>1</v>
      </c>
      <c r="N3" s="301" t="s">
        <v>17</v>
      </c>
      <c r="O3" s="111">
        <v>20702</v>
      </c>
      <c r="P3" s="111">
        <v>20702</v>
      </c>
      <c r="R3" s="73">
        <f t="shared" ref="R3" si="1">IF(S3="В работе",0.3,IF(S3="Отписано",0.6,IF(S3="На доработку",0.9,IF(S3="Согласовано",1,0))))</f>
        <v>0</v>
      </c>
      <c r="S3" s="260"/>
      <c r="T3" s="260"/>
      <c r="U3" s="260"/>
      <c r="V3" s="260"/>
      <c r="W3" s="260"/>
      <c r="X3" s="260"/>
      <c r="Y3" s="565"/>
      <c r="Z3" s="565"/>
      <c r="AA3" s="566">
        <f t="shared" ref="AA3:AA66" si="2">Z3-Y3</f>
        <v>0</v>
      </c>
    </row>
    <row r="4" spans="1:39" ht="15.75" customHeight="1" x14ac:dyDescent="0.3">
      <c r="A4" s="67" t="s">
        <v>206</v>
      </c>
      <c r="B4" s="77" t="s">
        <v>207</v>
      </c>
      <c r="C4" s="69">
        <v>43721</v>
      </c>
      <c r="D4" s="78">
        <v>43745</v>
      </c>
      <c r="E4" s="560"/>
      <c r="F4" s="74" t="s">
        <v>208</v>
      </c>
      <c r="G4" s="74"/>
      <c r="H4" s="69" t="s">
        <v>268</v>
      </c>
      <c r="I4" s="260" t="s">
        <v>649</v>
      </c>
      <c r="J4" s="73">
        <f t="shared" si="0"/>
        <v>1</v>
      </c>
      <c r="K4" s="74" t="s">
        <v>204</v>
      </c>
      <c r="L4" s="71" t="s">
        <v>209</v>
      </c>
      <c r="M4" s="79">
        <v>0</v>
      </c>
      <c r="N4" s="301" t="s">
        <v>18</v>
      </c>
      <c r="R4" s="73">
        <f t="shared" ref="R4" si="3">IF(S4="В работе",0.3,IF(S4="Отписано",0.6,IF(S4="На доработку",0.9,IF(S4="Согласовано",1,0))))</f>
        <v>0</v>
      </c>
      <c r="S4" s="260"/>
      <c r="T4" s="260"/>
      <c r="U4" s="260"/>
      <c r="V4" s="260"/>
      <c r="W4" s="260"/>
      <c r="X4" s="260"/>
      <c r="Y4" s="565"/>
      <c r="Z4" s="565"/>
      <c r="AA4" s="566">
        <f t="shared" si="2"/>
        <v>0</v>
      </c>
    </row>
    <row r="5" spans="1:39" ht="15.75" customHeight="1" x14ac:dyDescent="0.3">
      <c r="A5" s="67" t="s">
        <v>210</v>
      </c>
      <c r="B5" s="77" t="s">
        <v>211</v>
      </c>
      <c r="C5" s="69">
        <v>43724</v>
      </c>
      <c r="D5" s="80">
        <v>43759</v>
      </c>
      <c r="E5" s="560"/>
      <c r="F5" s="71" t="s">
        <v>212</v>
      </c>
      <c r="G5" s="71" t="s">
        <v>158</v>
      </c>
      <c r="H5" s="72" t="s">
        <v>213</v>
      </c>
      <c r="I5" s="71" t="s">
        <v>645</v>
      </c>
      <c r="J5" s="73">
        <f t="shared" si="0"/>
        <v>1</v>
      </c>
      <c r="K5" s="74" t="s">
        <v>204</v>
      </c>
      <c r="L5" s="95" t="s">
        <v>1183</v>
      </c>
      <c r="M5" s="75">
        <v>1</v>
      </c>
      <c r="N5" s="76" t="s">
        <v>18</v>
      </c>
      <c r="R5" s="73">
        <f t="shared" ref="R5" si="4">IF(S5="В работе",0.3,IF(S5="Отписано",0.6,IF(S5="На доработку",0.9,IF(S5="Согласовано",1,0))))</f>
        <v>0</v>
      </c>
      <c r="S5" s="260"/>
      <c r="T5" s="260"/>
      <c r="U5" s="260"/>
      <c r="V5" s="260"/>
      <c r="W5" s="260"/>
      <c r="X5" s="260"/>
      <c r="Y5" s="565"/>
      <c r="Z5" s="565"/>
      <c r="AA5" s="566">
        <f t="shared" si="2"/>
        <v>0</v>
      </c>
      <c r="AB5" s="699"/>
    </row>
    <row r="6" spans="1:39" ht="15.75" customHeight="1" x14ac:dyDescent="0.3">
      <c r="A6" s="67" t="s">
        <v>215</v>
      </c>
      <c r="B6" s="77" t="s">
        <v>216</v>
      </c>
      <c r="C6" s="69">
        <v>43724</v>
      </c>
      <c r="D6" s="80">
        <v>43759</v>
      </c>
      <c r="E6" s="560"/>
      <c r="F6" s="71" t="s">
        <v>217</v>
      </c>
      <c r="G6" s="71" t="s">
        <v>158</v>
      </c>
      <c r="H6" s="72" t="s">
        <v>213</v>
      </c>
      <c r="I6" s="95" t="s">
        <v>714</v>
      </c>
      <c r="J6" s="73">
        <f t="shared" si="0"/>
        <v>1</v>
      </c>
      <c r="K6" s="74" t="s">
        <v>204</v>
      </c>
      <c r="L6" s="95" t="s">
        <v>1184</v>
      </c>
      <c r="M6" s="75">
        <v>1</v>
      </c>
      <c r="N6" s="76" t="s">
        <v>17</v>
      </c>
      <c r="O6" s="111">
        <v>949.71</v>
      </c>
      <c r="P6" s="111">
        <v>949.71</v>
      </c>
      <c r="R6" s="73">
        <f t="shared" ref="R6" si="5">IF(S6="В работе",0.3,IF(S6="Отписано",0.6,IF(S6="На доработку",0.9,IF(S6="Согласовано",1,0))))</f>
        <v>0</v>
      </c>
      <c r="S6" s="260"/>
      <c r="T6" s="260"/>
      <c r="U6" s="260"/>
      <c r="V6" s="260"/>
      <c r="W6" s="260"/>
      <c r="X6" s="260"/>
      <c r="Y6" s="565"/>
      <c r="Z6" s="565"/>
      <c r="AA6" s="566">
        <f t="shared" si="2"/>
        <v>0</v>
      </c>
      <c r="AB6" s="699"/>
    </row>
    <row r="7" spans="1:39" ht="15.75" customHeight="1" x14ac:dyDescent="0.3">
      <c r="A7" s="67" t="s">
        <v>218</v>
      </c>
      <c r="B7" s="77" t="s">
        <v>219</v>
      </c>
      <c r="C7" s="69">
        <v>43724</v>
      </c>
      <c r="D7" s="70">
        <v>43745</v>
      </c>
      <c r="E7" s="560"/>
      <c r="F7" s="71" t="s">
        <v>220</v>
      </c>
      <c r="G7" s="71"/>
      <c r="H7" s="72"/>
      <c r="I7" s="95" t="s">
        <v>755</v>
      </c>
      <c r="J7" s="73">
        <f t="shared" si="0"/>
        <v>1</v>
      </c>
      <c r="K7" s="74" t="s">
        <v>204</v>
      </c>
      <c r="L7" s="71" t="s">
        <v>221</v>
      </c>
      <c r="M7" s="79">
        <v>0</v>
      </c>
      <c r="N7" s="76" t="s">
        <v>18</v>
      </c>
      <c r="R7" s="73">
        <f t="shared" ref="R7" si="6">IF(S7="В работе",0.3,IF(S7="Отписано",0.6,IF(S7="На доработку",0.9,IF(S7="Согласовано",1,0))))</f>
        <v>0</v>
      </c>
      <c r="S7" s="260"/>
      <c r="T7" s="260"/>
      <c r="U7" s="260"/>
      <c r="V7" s="260"/>
      <c r="W7" s="260"/>
      <c r="X7" s="260"/>
      <c r="Y7" s="565"/>
      <c r="Z7" s="565"/>
      <c r="AA7" s="566">
        <f t="shared" si="2"/>
        <v>0</v>
      </c>
      <c r="AB7" s="699"/>
    </row>
    <row r="8" spans="1:39" ht="15.75" customHeight="1" x14ac:dyDescent="0.3">
      <c r="A8" s="82" t="s">
        <v>222</v>
      </c>
      <c r="B8" s="77" t="s">
        <v>223</v>
      </c>
      <c r="C8" s="69">
        <v>43724</v>
      </c>
      <c r="D8" s="70">
        <v>43745</v>
      </c>
      <c r="E8" s="560"/>
      <c r="F8" s="71" t="s">
        <v>224</v>
      </c>
      <c r="G8" s="71"/>
      <c r="H8" s="72"/>
      <c r="I8" s="95" t="s">
        <v>1204</v>
      </c>
      <c r="J8" s="73">
        <f t="shared" si="0"/>
        <v>1</v>
      </c>
      <c r="K8" s="74" t="s">
        <v>204</v>
      </c>
      <c r="L8" s="71" t="s">
        <v>225</v>
      </c>
      <c r="M8" s="79">
        <v>0</v>
      </c>
      <c r="N8" s="76" t="s">
        <v>18</v>
      </c>
      <c r="R8" s="73">
        <f t="shared" ref="R8" si="7">IF(S8="В работе",0.3,IF(S8="Отписано",0.6,IF(S8="На доработку",0.9,IF(S8="Согласовано",1,0))))</f>
        <v>0</v>
      </c>
      <c r="S8" s="260"/>
      <c r="T8" s="260"/>
      <c r="U8" s="260"/>
      <c r="V8" s="260"/>
      <c r="W8" s="260"/>
      <c r="X8" s="260"/>
      <c r="Y8" s="565"/>
      <c r="Z8" s="565"/>
      <c r="AA8" s="566">
        <f t="shared" si="2"/>
        <v>0</v>
      </c>
      <c r="AB8" s="699"/>
    </row>
    <row r="9" spans="1:39" ht="15.75" customHeight="1" x14ac:dyDescent="0.3">
      <c r="A9" s="67" t="s">
        <v>226</v>
      </c>
      <c r="B9" s="68" t="s">
        <v>227</v>
      </c>
      <c r="C9" s="69">
        <v>43694</v>
      </c>
      <c r="D9" s="70">
        <v>43745</v>
      </c>
      <c r="E9" s="560"/>
      <c r="F9" s="71" t="s">
        <v>228</v>
      </c>
      <c r="G9" s="71"/>
      <c r="H9" s="72"/>
      <c r="I9" s="95" t="s">
        <v>1285</v>
      </c>
      <c r="J9" s="73">
        <f t="shared" si="0"/>
        <v>1</v>
      </c>
      <c r="K9" s="74" t="s">
        <v>204</v>
      </c>
      <c r="L9" s="71" t="s">
        <v>229</v>
      </c>
      <c r="M9" s="75">
        <v>1</v>
      </c>
      <c r="N9" s="301" t="s">
        <v>19</v>
      </c>
      <c r="R9" s="73">
        <f t="shared" ref="R9:R72" si="8">IF(S9="В работе",0.3,IF(S9="Отписано",0.6,IF(S9="На доработку",0.9,IF(S9="Согласовано",1,0))))</f>
        <v>0</v>
      </c>
      <c r="S9" s="260"/>
      <c r="T9" s="260"/>
      <c r="U9" s="260"/>
      <c r="V9" s="260"/>
      <c r="W9" s="260"/>
      <c r="X9" s="260"/>
      <c r="Y9" s="565"/>
      <c r="Z9" s="565"/>
      <c r="AA9" s="566">
        <f t="shared" si="2"/>
        <v>0</v>
      </c>
      <c r="AB9" s="699"/>
    </row>
    <row r="10" spans="1:39" ht="15" customHeight="1" x14ac:dyDescent="0.3">
      <c r="A10" s="82" t="s">
        <v>230</v>
      </c>
      <c r="B10" s="68" t="s">
        <v>231</v>
      </c>
      <c r="C10" s="69">
        <v>43697</v>
      </c>
      <c r="D10" s="94">
        <v>43746</v>
      </c>
      <c r="E10" s="560"/>
      <c r="F10" s="71" t="s">
        <v>232</v>
      </c>
      <c r="G10" s="83"/>
      <c r="H10" s="84"/>
      <c r="I10" s="83"/>
      <c r="J10" s="73">
        <f t="shared" si="0"/>
        <v>1</v>
      </c>
      <c r="K10" s="74" t="s">
        <v>204</v>
      </c>
      <c r="L10" s="71" t="s">
        <v>233</v>
      </c>
      <c r="M10" s="75">
        <v>1</v>
      </c>
      <c r="N10" s="76" t="s">
        <v>17</v>
      </c>
      <c r="O10" s="111">
        <v>85200</v>
      </c>
      <c r="P10" s="111">
        <v>85200</v>
      </c>
      <c r="R10" s="73">
        <f t="shared" si="8"/>
        <v>0</v>
      </c>
      <c r="S10" s="260"/>
      <c r="T10" s="260"/>
      <c r="U10" s="260"/>
      <c r="V10" s="260"/>
      <c r="W10" s="260"/>
      <c r="X10" s="260"/>
      <c r="Y10" s="565"/>
      <c r="Z10" s="565"/>
      <c r="AA10" s="566">
        <f t="shared" si="2"/>
        <v>0</v>
      </c>
      <c r="AB10" s="699"/>
    </row>
    <row r="11" spans="1:39" ht="15.75" customHeight="1" x14ac:dyDescent="0.3">
      <c r="A11" s="67" t="s">
        <v>234</v>
      </c>
      <c r="B11" s="68" t="s">
        <v>235</v>
      </c>
      <c r="C11" s="69">
        <v>43697</v>
      </c>
      <c r="D11" s="94">
        <v>43760</v>
      </c>
      <c r="E11" s="560"/>
      <c r="F11" s="71" t="s">
        <v>236</v>
      </c>
      <c r="G11" s="71" t="s">
        <v>150</v>
      </c>
      <c r="H11" s="72" t="s">
        <v>213</v>
      </c>
      <c r="I11" s="71" t="s">
        <v>657</v>
      </c>
      <c r="J11" s="73">
        <f t="shared" si="0"/>
        <v>1</v>
      </c>
      <c r="K11" s="74" t="s">
        <v>204</v>
      </c>
      <c r="L11" s="95" t="s">
        <v>1185</v>
      </c>
      <c r="M11" s="75">
        <v>1</v>
      </c>
      <c r="N11" s="76" t="s">
        <v>17</v>
      </c>
      <c r="O11" s="111">
        <v>41300</v>
      </c>
      <c r="P11" s="111">
        <v>41300</v>
      </c>
      <c r="R11" s="73">
        <f t="shared" si="8"/>
        <v>0</v>
      </c>
      <c r="S11" s="260"/>
      <c r="T11" s="260"/>
      <c r="U11" s="260"/>
      <c r="V11" s="260"/>
      <c r="W11" s="260"/>
      <c r="X11" s="260"/>
      <c r="Y11" s="565"/>
      <c r="Z11" s="565"/>
      <c r="AA11" s="566">
        <f t="shared" si="2"/>
        <v>0</v>
      </c>
      <c r="AB11" s="699"/>
    </row>
    <row r="12" spans="1:39" ht="15.75" customHeight="1" x14ac:dyDescent="0.3">
      <c r="A12" s="82" t="s">
        <v>237</v>
      </c>
      <c r="B12" s="68" t="s">
        <v>238</v>
      </c>
      <c r="C12" s="69">
        <v>43711</v>
      </c>
      <c r="D12" s="69">
        <v>43746</v>
      </c>
      <c r="E12" s="560"/>
      <c r="F12" s="71" t="s">
        <v>239</v>
      </c>
      <c r="G12" s="71"/>
      <c r="H12" s="72"/>
      <c r="I12" s="95" t="s">
        <v>714</v>
      </c>
      <c r="J12" s="73">
        <f t="shared" si="0"/>
        <v>1</v>
      </c>
      <c r="K12" s="74" t="s">
        <v>204</v>
      </c>
      <c r="L12" s="71" t="s">
        <v>240</v>
      </c>
      <c r="M12" s="75">
        <v>1</v>
      </c>
      <c r="N12" s="76" t="s">
        <v>18</v>
      </c>
      <c r="R12" s="73">
        <f t="shared" si="8"/>
        <v>0</v>
      </c>
      <c r="S12" s="260"/>
      <c r="T12" s="260"/>
      <c r="U12" s="260"/>
      <c r="V12" s="260"/>
      <c r="W12" s="260"/>
      <c r="X12" s="260"/>
      <c r="Y12" s="565"/>
      <c r="Z12" s="565"/>
      <c r="AA12" s="566">
        <f t="shared" si="2"/>
        <v>0</v>
      </c>
      <c r="AB12" s="699"/>
    </row>
    <row r="13" spans="1:39" ht="15.75" customHeight="1" x14ac:dyDescent="0.3">
      <c r="A13" s="67" t="s">
        <v>241</v>
      </c>
      <c r="B13" s="68" t="s">
        <v>242</v>
      </c>
      <c r="C13" s="81">
        <v>43725</v>
      </c>
      <c r="D13" s="109">
        <v>43775</v>
      </c>
      <c r="E13" s="560"/>
      <c r="F13" s="86" t="s">
        <v>243</v>
      </c>
      <c r="G13" s="97" t="s">
        <v>166</v>
      </c>
      <c r="H13" s="79" t="s">
        <v>213</v>
      </c>
      <c r="I13" s="97" t="s">
        <v>714</v>
      </c>
      <c r="J13" s="73">
        <f t="shared" si="0"/>
        <v>1</v>
      </c>
      <c r="K13" s="74" t="s">
        <v>204</v>
      </c>
      <c r="L13" s="95" t="s">
        <v>1157</v>
      </c>
      <c r="M13" s="75">
        <v>1</v>
      </c>
      <c r="N13" s="76" t="s">
        <v>18</v>
      </c>
      <c r="R13" s="73">
        <f t="shared" si="8"/>
        <v>0</v>
      </c>
      <c r="S13" s="260"/>
      <c r="T13" s="260"/>
      <c r="U13" s="260"/>
      <c r="V13" s="260"/>
      <c r="W13" s="260"/>
      <c r="X13" s="260"/>
      <c r="Y13" s="565"/>
      <c r="Z13" s="565"/>
      <c r="AA13" s="566">
        <f t="shared" si="2"/>
        <v>0</v>
      </c>
      <c r="AB13" s="699"/>
    </row>
    <row r="14" spans="1:39" ht="15.75" customHeight="1" x14ac:dyDescent="0.3">
      <c r="A14" s="67" t="s">
        <v>244</v>
      </c>
      <c r="B14" s="148" t="s">
        <v>245</v>
      </c>
      <c r="C14" s="69">
        <v>43725</v>
      </c>
      <c r="D14" s="94">
        <v>43789</v>
      </c>
      <c r="E14" s="560"/>
      <c r="F14" s="71" t="s">
        <v>246</v>
      </c>
      <c r="G14" s="71" t="s">
        <v>173</v>
      </c>
      <c r="H14" s="72" t="s">
        <v>213</v>
      </c>
      <c r="I14" s="95" t="s">
        <v>714</v>
      </c>
      <c r="J14" s="73">
        <f t="shared" si="0"/>
        <v>0.1</v>
      </c>
      <c r="K14" s="74" t="s">
        <v>480</v>
      </c>
      <c r="L14" s="95" t="s">
        <v>1684</v>
      </c>
      <c r="M14" s="75">
        <v>1</v>
      </c>
      <c r="N14" s="76" t="s">
        <v>18</v>
      </c>
      <c r="R14" s="73">
        <f t="shared" si="8"/>
        <v>0</v>
      </c>
      <c r="S14" s="260"/>
      <c r="T14" s="260"/>
      <c r="U14" s="260"/>
      <c r="V14" s="260"/>
      <c r="W14" s="260"/>
      <c r="X14" s="260"/>
      <c r="Y14" s="565"/>
      <c r="Z14" s="565"/>
      <c r="AA14" s="566">
        <f t="shared" si="2"/>
        <v>0</v>
      </c>
      <c r="AB14" s="699"/>
    </row>
    <row r="15" spans="1:39" ht="15.75" customHeight="1" x14ac:dyDescent="0.3">
      <c r="A15" s="67" t="s">
        <v>247</v>
      </c>
      <c r="B15" s="68" t="s">
        <v>248</v>
      </c>
      <c r="C15" s="81">
        <v>43725</v>
      </c>
      <c r="D15" s="85">
        <v>43760</v>
      </c>
      <c r="E15" s="560"/>
      <c r="F15" s="86" t="s">
        <v>249</v>
      </c>
      <c r="G15" s="86" t="s">
        <v>158</v>
      </c>
      <c r="H15" s="79" t="s">
        <v>213</v>
      </c>
      <c r="I15" s="86" t="s">
        <v>642</v>
      </c>
      <c r="J15" s="73">
        <f t="shared" si="0"/>
        <v>1</v>
      </c>
      <c r="K15" s="74" t="s">
        <v>204</v>
      </c>
      <c r="L15" s="95" t="s">
        <v>1186</v>
      </c>
      <c r="M15" s="75">
        <v>1</v>
      </c>
      <c r="N15" s="76" t="s">
        <v>18</v>
      </c>
      <c r="R15" s="73">
        <f t="shared" si="8"/>
        <v>0</v>
      </c>
      <c r="S15" s="260"/>
      <c r="T15" s="260"/>
      <c r="U15" s="260"/>
      <c r="V15" s="260"/>
      <c r="W15" s="260"/>
      <c r="X15" s="260"/>
      <c r="Y15" s="565"/>
      <c r="Z15" s="565"/>
      <c r="AA15" s="566">
        <f t="shared" si="2"/>
        <v>0</v>
      </c>
      <c r="AB15" s="699"/>
    </row>
    <row r="16" spans="1:39" ht="15.75" customHeight="1" x14ac:dyDescent="0.3">
      <c r="A16" s="67" t="s">
        <v>250</v>
      </c>
      <c r="B16" s="68" t="s">
        <v>251</v>
      </c>
      <c r="C16" s="69">
        <v>43725</v>
      </c>
      <c r="D16" s="69">
        <v>43746</v>
      </c>
      <c r="E16" s="560"/>
      <c r="F16" s="71" t="s">
        <v>252</v>
      </c>
      <c r="G16" s="71"/>
      <c r="H16" s="72"/>
      <c r="I16" s="71" t="s">
        <v>722</v>
      </c>
      <c r="J16" s="73">
        <f t="shared" si="0"/>
        <v>1</v>
      </c>
      <c r="K16" s="74" t="s">
        <v>204</v>
      </c>
      <c r="L16" s="71" t="s">
        <v>253</v>
      </c>
      <c r="M16" s="79">
        <v>0</v>
      </c>
      <c r="N16" s="76" t="s">
        <v>18</v>
      </c>
      <c r="R16" s="73">
        <f t="shared" si="8"/>
        <v>0</v>
      </c>
      <c r="S16" s="260"/>
      <c r="T16" s="260"/>
      <c r="U16" s="260"/>
      <c r="V16" s="260"/>
      <c r="W16" s="260"/>
      <c r="X16" s="260"/>
      <c r="Y16" s="565"/>
      <c r="Z16" s="565"/>
      <c r="AA16" s="566">
        <f t="shared" si="2"/>
        <v>0</v>
      </c>
      <c r="AB16" s="699"/>
    </row>
    <row r="17" spans="1:28" ht="15.75" customHeight="1" x14ac:dyDescent="0.3">
      <c r="A17" s="67" t="s">
        <v>254</v>
      </c>
      <c r="B17" s="68" t="s">
        <v>255</v>
      </c>
      <c r="C17" s="69">
        <v>43725</v>
      </c>
      <c r="D17" s="80">
        <v>43746</v>
      </c>
      <c r="E17" s="560"/>
      <c r="F17" s="71" t="s">
        <v>256</v>
      </c>
      <c r="G17" s="71"/>
      <c r="H17" s="72"/>
      <c r="I17" s="71" t="s">
        <v>995</v>
      </c>
      <c r="J17" s="73">
        <f t="shared" si="0"/>
        <v>1</v>
      </c>
      <c r="K17" s="74" t="s">
        <v>204</v>
      </c>
      <c r="L17" s="95" t="s">
        <v>917</v>
      </c>
      <c r="M17" s="79">
        <v>0</v>
      </c>
      <c r="N17" s="76" t="s">
        <v>19</v>
      </c>
      <c r="R17" s="73">
        <f t="shared" si="8"/>
        <v>0</v>
      </c>
      <c r="S17" s="260"/>
      <c r="T17" s="260"/>
      <c r="U17" s="260"/>
      <c r="V17" s="260"/>
      <c r="W17" s="260"/>
      <c r="X17" s="260"/>
      <c r="Y17" s="565"/>
      <c r="Z17" s="565"/>
      <c r="AA17" s="566">
        <f t="shared" si="2"/>
        <v>0</v>
      </c>
      <c r="AB17" s="699"/>
    </row>
    <row r="18" spans="1:28" ht="15.75" customHeight="1" x14ac:dyDescent="0.3">
      <c r="A18" s="67" t="s">
        <v>257</v>
      </c>
      <c r="B18" s="68" t="s">
        <v>258</v>
      </c>
      <c r="C18" s="69">
        <v>43712</v>
      </c>
      <c r="D18" s="94">
        <v>43747</v>
      </c>
      <c r="E18" s="560"/>
      <c r="F18" s="71" t="s">
        <v>259</v>
      </c>
      <c r="G18" s="95" t="s">
        <v>158</v>
      </c>
      <c r="H18" s="72"/>
      <c r="I18" s="71"/>
      <c r="J18" s="73">
        <f t="shared" si="0"/>
        <v>1</v>
      </c>
      <c r="K18" s="74" t="s">
        <v>204</v>
      </c>
      <c r="L18" s="71" t="s">
        <v>260</v>
      </c>
      <c r="M18" s="75">
        <v>1</v>
      </c>
      <c r="N18" s="76" t="s">
        <v>17</v>
      </c>
      <c r="O18" s="111">
        <v>38995</v>
      </c>
      <c r="P18" s="111">
        <v>38995</v>
      </c>
      <c r="R18" s="73">
        <f t="shared" si="8"/>
        <v>0</v>
      </c>
      <c r="S18" s="260"/>
      <c r="T18" s="260"/>
      <c r="U18" s="260"/>
      <c r="V18" s="260"/>
      <c r="W18" s="260"/>
      <c r="X18" s="260"/>
      <c r="Y18" s="565"/>
      <c r="Z18" s="565"/>
      <c r="AA18" s="566">
        <f t="shared" si="2"/>
        <v>0</v>
      </c>
      <c r="AB18" s="699"/>
    </row>
    <row r="19" spans="1:28" ht="15.75" customHeight="1" x14ac:dyDescent="0.3">
      <c r="A19" s="67" t="s">
        <v>261</v>
      </c>
      <c r="B19" s="68" t="s">
        <v>262</v>
      </c>
      <c r="C19" s="69">
        <v>43712</v>
      </c>
      <c r="D19" s="69">
        <v>43747</v>
      </c>
      <c r="E19" s="560"/>
      <c r="F19" s="71" t="s">
        <v>263</v>
      </c>
      <c r="G19" s="71"/>
      <c r="H19" s="72"/>
      <c r="I19" s="71"/>
      <c r="J19" s="73">
        <f t="shared" si="0"/>
        <v>1</v>
      </c>
      <c r="K19" s="74" t="s">
        <v>204</v>
      </c>
      <c r="L19" s="71" t="s">
        <v>264</v>
      </c>
      <c r="M19" s="75">
        <v>1</v>
      </c>
      <c r="N19" s="76" t="s">
        <v>17</v>
      </c>
      <c r="O19" s="111">
        <v>73605</v>
      </c>
      <c r="P19" s="111">
        <v>73605</v>
      </c>
      <c r="R19" s="73">
        <f t="shared" si="8"/>
        <v>0</v>
      </c>
      <c r="S19" s="260"/>
      <c r="T19" s="260"/>
      <c r="U19" s="260"/>
      <c r="V19" s="260"/>
      <c r="W19" s="260"/>
      <c r="X19" s="260"/>
      <c r="Y19" s="565"/>
      <c r="Z19" s="565"/>
      <c r="AA19" s="566">
        <f t="shared" si="2"/>
        <v>0</v>
      </c>
      <c r="AB19" s="699"/>
    </row>
    <row r="20" spans="1:28" ht="15.75" customHeight="1" x14ac:dyDescent="0.3">
      <c r="A20" s="67" t="s">
        <v>265</v>
      </c>
      <c r="B20" s="68" t="s">
        <v>266</v>
      </c>
      <c r="C20" s="81">
        <v>43725</v>
      </c>
      <c r="D20" s="85">
        <v>43761</v>
      </c>
      <c r="E20" s="560"/>
      <c r="F20" s="86" t="s">
        <v>267</v>
      </c>
      <c r="G20" s="86" t="s">
        <v>158</v>
      </c>
      <c r="H20" s="79" t="s">
        <v>268</v>
      </c>
      <c r="I20" s="86" t="s">
        <v>642</v>
      </c>
      <c r="J20" s="73">
        <f t="shared" si="0"/>
        <v>1</v>
      </c>
      <c r="K20" s="74" t="s">
        <v>204</v>
      </c>
      <c r="L20" s="95" t="s">
        <v>1187</v>
      </c>
      <c r="M20" s="75">
        <v>1</v>
      </c>
      <c r="N20" s="76" t="s">
        <v>18</v>
      </c>
      <c r="R20" s="73">
        <f t="shared" si="8"/>
        <v>0</v>
      </c>
      <c r="S20" s="260"/>
      <c r="T20" s="260"/>
      <c r="U20" s="260"/>
      <c r="V20" s="260"/>
      <c r="W20" s="260"/>
      <c r="X20" s="260"/>
      <c r="Y20" s="565"/>
      <c r="Z20" s="565"/>
      <c r="AA20" s="566">
        <f t="shared" si="2"/>
        <v>0</v>
      </c>
      <c r="AB20" s="699"/>
    </row>
    <row r="21" spans="1:28" ht="15.75" customHeight="1" x14ac:dyDescent="0.3">
      <c r="A21" s="67" t="s">
        <v>269</v>
      </c>
      <c r="B21" s="68" t="s">
        <v>270</v>
      </c>
      <c r="C21" s="81">
        <v>43725</v>
      </c>
      <c r="D21" s="85">
        <v>43761</v>
      </c>
      <c r="E21" s="560"/>
      <c r="F21" s="86" t="s">
        <v>271</v>
      </c>
      <c r="G21" s="86" t="s">
        <v>170</v>
      </c>
      <c r="H21" s="79" t="s">
        <v>213</v>
      </c>
      <c r="I21" s="86" t="s">
        <v>641</v>
      </c>
      <c r="J21" s="73">
        <f t="shared" si="0"/>
        <v>1</v>
      </c>
      <c r="K21" s="74" t="s">
        <v>204</v>
      </c>
      <c r="L21" s="95" t="s">
        <v>1188</v>
      </c>
      <c r="M21" s="75">
        <v>1</v>
      </c>
      <c r="N21" s="76" t="s">
        <v>17</v>
      </c>
      <c r="O21" s="111">
        <v>54684</v>
      </c>
      <c r="R21" s="73">
        <f t="shared" si="8"/>
        <v>0</v>
      </c>
      <c r="S21" s="260"/>
      <c r="T21" s="260"/>
      <c r="U21" s="260"/>
      <c r="V21" s="260"/>
      <c r="W21" s="260"/>
      <c r="X21" s="260"/>
      <c r="Y21" s="565"/>
      <c r="Z21" s="565"/>
      <c r="AA21" s="566">
        <f t="shared" si="2"/>
        <v>0</v>
      </c>
      <c r="AB21" s="699"/>
    </row>
    <row r="22" spans="1:28" ht="15.75" customHeight="1" x14ac:dyDescent="0.3">
      <c r="A22" s="67" t="s">
        <v>272</v>
      </c>
      <c r="B22" s="68" t="s">
        <v>273</v>
      </c>
      <c r="C22" s="69">
        <v>43725</v>
      </c>
      <c r="D22" s="69">
        <v>43747</v>
      </c>
      <c r="E22" s="560"/>
      <c r="F22" s="71" t="s">
        <v>274</v>
      </c>
      <c r="G22" s="71"/>
      <c r="H22" s="72"/>
      <c r="I22" s="71"/>
      <c r="J22" s="73">
        <f t="shared" si="0"/>
        <v>1</v>
      </c>
      <c r="K22" s="74" t="s">
        <v>204</v>
      </c>
      <c r="L22" s="71" t="s">
        <v>275</v>
      </c>
      <c r="M22" s="79">
        <v>0</v>
      </c>
      <c r="N22" s="76" t="s">
        <v>17</v>
      </c>
      <c r="O22" s="111">
        <v>48286.79</v>
      </c>
      <c r="P22" s="111">
        <v>48286.79</v>
      </c>
      <c r="R22" s="73">
        <f t="shared" si="8"/>
        <v>0</v>
      </c>
      <c r="S22" s="260"/>
      <c r="T22" s="260"/>
      <c r="U22" s="260"/>
      <c r="V22" s="260"/>
      <c r="W22" s="260"/>
      <c r="X22" s="260"/>
      <c r="Y22" s="565"/>
      <c r="Z22" s="565"/>
      <c r="AA22" s="566">
        <f t="shared" si="2"/>
        <v>0</v>
      </c>
      <c r="AB22" s="699"/>
    </row>
    <row r="23" spans="1:28" ht="15.75" customHeight="1" x14ac:dyDescent="0.3">
      <c r="A23" s="67" t="s">
        <v>276</v>
      </c>
      <c r="B23" s="68" t="s">
        <v>277</v>
      </c>
      <c r="C23" s="69">
        <v>43712</v>
      </c>
      <c r="D23" s="94">
        <v>43748</v>
      </c>
      <c r="E23" s="560"/>
      <c r="F23" s="71" t="s">
        <v>278</v>
      </c>
      <c r="G23" s="71"/>
      <c r="H23" s="72"/>
      <c r="I23" s="71"/>
      <c r="J23" s="73">
        <f t="shared" si="0"/>
        <v>1</v>
      </c>
      <c r="K23" s="74" t="s">
        <v>204</v>
      </c>
      <c r="L23" s="71" t="s">
        <v>279</v>
      </c>
      <c r="M23" s="75">
        <v>1</v>
      </c>
      <c r="N23" s="76" t="s">
        <v>18</v>
      </c>
      <c r="R23" s="73">
        <f t="shared" si="8"/>
        <v>0</v>
      </c>
      <c r="S23" s="260"/>
      <c r="T23" s="260"/>
      <c r="U23" s="260"/>
      <c r="V23" s="260"/>
      <c r="W23" s="260"/>
      <c r="X23" s="260"/>
      <c r="Y23" s="565"/>
      <c r="Z23" s="565"/>
      <c r="AA23" s="566">
        <f t="shared" si="2"/>
        <v>0</v>
      </c>
      <c r="AB23" s="699"/>
    </row>
    <row r="24" spans="1:28" ht="15.75" customHeight="1" x14ac:dyDescent="0.3">
      <c r="A24" s="67" t="s">
        <v>280</v>
      </c>
      <c r="B24" s="68" t="s">
        <v>281</v>
      </c>
      <c r="C24" s="81">
        <v>43712</v>
      </c>
      <c r="D24" s="109">
        <v>43762</v>
      </c>
      <c r="E24" s="560"/>
      <c r="F24" s="86" t="s">
        <v>282</v>
      </c>
      <c r="G24" s="86" t="s">
        <v>177</v>
      </c>
      <c r="H24" s="79" t="s">
        <v>213</v>
      </c>
      <c r="I24" s="86" t="s">
        <v>642</v>
      </c>
      <c r="J24" s="73">
        <f t="shared" si="0"/>
        <v>1</v>
      </c>
      <c r="K24" s="74" t="s">
        <v>204</v>
      </c>
      <c r="L24" s="71" t="s">
        <v>685</v>
      </c>
      <c r="M24" s="75">
        <v>1</v>
      </c>
      <c r="N24" s="76" t="s">
        <v>18</v>
      </c>
      <c r="R24" s="73">
        <f t="shared" si="8"/>
        <v>0</v>
      </c>
      <c r="S24" s="260"/>
      <c r="T24" s="260"/>
      <c r="U24" s="260"/>
      <c r="V24" s="260"/>
      <c r="W24" s="260"/>
      <c r="X24" s="260"/>
      <c r="Y24" s="565"/>
      <c r="Z24" s="565"/>
      <c r="AA24" s="566">
        <f t="shared" si="2"/>
        <v>0</v>
      </c>
      <c r="AB24" s="699"/>
    </row>
    <row r="25" spans="1:28" ht="15.75" customHeight="1" x14ac:dyDescent="0.3">
      <c r="A25" s="67" t="s">
        <v>283</v>
      </c>
      <c r="B25" s="68" t="s">
        <v>284</v>
      </c>
      <c r="C25" s="69">
        <v>43712</v>
      </c>
      <c r="D25" s="69">
        <v>43748</v>
      </c>
      <c r="E25" s="560"/>
      <c r="F25" s="71" t="s">
        <v>285</v>
      </c>
      <c r="G25" s="71"/>
      <c r="H25" s="72"/>
      <c r="I25" s="71"/>
      <c r="J25" s="73">
        <f t="shared" si="0"/>
        <v>1</v>
      </c>
      <c r="K25" s="74" t="s">
        <v>204</v>
      </c>
      <c r="L25" s="71" t="s">
        <v>286</v>
      </c>
      <c r="M25" s="75">
        <v>1</v>
      </c>
      <c r="N25" s="76" t="s">
        <v>17</v>
      </c>
      <c r="O25" s="111">
        <v>9600</v>
      </c>
      <c r="P25" s="111">
        <v>9600</v>
      </c>
      <c r="R25" s="73">
        <f t="shared" si="8"/>
        <v>0</v>
      </c>
      <c r="S25" s="260"/>
      <c r="T25" s="260"/>
      <c r="U25" s="260"/>
      <c r="V25" s="260"/>
      <c r="W25" s="260"/>
      <c r="X25" s="260"/>
      <c r="Y25" s="565"/>
      <c r="Z25" s="565"/>
      <c r="AA25" s="566">
        <f t="shared" si="2"/>
        <v>0</v>
      </c>
      <c r="AB25" s="699"/>
    </row>
    <row r="26" spans="1:28" ht="15.75" customHeight="1" x14ac:dyDescent="0.3">
      <c r="A26" s="67" t="s">
        <v>287</v>
      </c>
      <c r="B26" s="68" t="s">
        <v>288</v>
      </c>
      <c r="C26" s="69">
        <v>43725</v>
      </c>
      <c r="D26" s="69">
        <v>43748</v>
      </c>
      <c r="E26" s="560"/>
      <c r="F26" s="71" t="s">
        <v>289</v>
      </c>
      <c r="G26" s="71"/>
      <c r="H26" s="72"/>
      <c r="I26" s="71"/>
      <c r="J26" s="73">
        <f t="shared" si="0"/>
        <v>1</v>
      </c>
      <c r="K26" s="74" t="s">
        <v>204</v>
      </c>
      <c r="L26" s="71" t="s">
        <v>290</v>
      </c>
      <c r="M26" s="79">
        <v>0</v>
      </c>
      <c r="N26" s="76" t="s">
        <v>17</v>
      </c>
      <c r="O26" s="111">
        <v>32550</v>
      </c>
      <c r="R26" s="73">
        <f t="shared" si="8"/>
        <v>0</v>
      </c>
      <c r="S26" s="260"/>
      <c r="T26" s="260"/>
      <c r="U26" s="260"/>
      <c r="V26" s="260"/>
      <c r="W26" s="260"/>
      <c r="X26" s="260"/>
      <c r="Y26" s="565"/>
      <c r="Z26" s="565"/>
      <c r="AA26" s="566">
        <f t="shared" si="2"/>
        <v>0</v>
      </c>
      <c r="AB26" s="699"/>
    </row>
    <row r="27" spans="1:28" ht="15.75" customHeight="1" x14ac:dyDescent="0.3">
      <c r="A27" s="67" t="s">
        <v>291</v>
      </c>
      <c r="B27" s="68" t="s">
        <v>292</v>
      </c>
      <c r="C27" s="81">
        <v>43726</v>
      </c>
      <c r="D27" s="109">
        <v>43777</v>
      </c>
      <c r="E27" s="560"/>
      <c r="F27" s="86" t="s">
        <v>293</v>
      </c>
      <c r="G27" s="86" t="s">
        <v>158</v>
      </c>
      <c r="H27" s="79" t="s">
        <v>213</v>
      </c>
      <c r="I27" s="97" t="s">
        <v>714</v>
      </c>
      <c r="J27" s="73">
        <f t="shared" si="0"/>
        <v>1</v>
      </c>
      <c r="K27" s="74" t="s">
        <v>204</v>
      </c>
      <c r="L27" s="95" t="s">
        <v>1206</v>
      </c>
      <c r="M27" s="75">
        <v>1</v>
      </c>
      <c r="N27" s="76" t="s">
        <v>17</v>
      </c>
      <c r="O27" s="111">
        <v>3990</v>
      </c>
      <c r="R27" s="73">
        <f t="shared" si="8"/>
        <v>0</v>
      </c>
      <c r="S27" s="260"/>
      <c r="T27" s="260"/>
      <c r="U27" s="260"/>
      <c r="V27" s="260"/>
      <c r="W27" s="260"/>
      <c r="X27" s="260"/>
      <c r="Y27" s="565"/>
      <c r="Z27" s="565"/>
      <c r="AA27" s="566">
        <f t="shared" si="2"/>
        <v>0</v>
      </c>
      <c r="AB27" s="699"/>
    </row>
    <row r="28" spans="1:28" ht="15.75" customHeight="1" x14ac:dyDescent="0.3">
      <c r="A28" s="67" t="s">
        <v>294</v>
      </c>
      <c r="B28" s="68" t="s">
        <v>295</v>
      </c>
      <c r="C28" s="81">
        <v>43726</v>
      </c>
      <c r="D28" s="109">
        <v>43762</v>
      </c>
      <c r="E28" s="560"/>
      <c r="F28" s="86" t="s">
        <v>296</v>
      </c>
      <c r="G28" s="86" t="s">
        <v>152</v>
      </c>
      <c r="H28" s="79" t="s">
        <v>213</v>
      </c>
      <c r="J28" s="73">
        <f t="shared" si="0"/>
        <v>1</v>
      </c>
      <c r="K28" s="74" t="s">
        <v>204</v>
      </c>
      <c r="L28" s="95" t="s">
        <v>1031</v>
      </c>
      <c r="M28" s="75">
        <v>1</v>
      </c>
      <c r="N28" s="76" t="s">
        <v>17</v>
      </c>
      <c r="O28" s="111">
        <v>6784</v>
      </c>
      <c r="R28" s="73">
        <f t="shared" si="8"/>
        <v>0</v>
      </c>
      <c r="S28" s="260"/>
      <c r="T28" s="260"/>
      <c r="U28" s="260"/>
      <c r="V28" s="260"/>
      <c r="W28" s="260"/>
      <c r="X28" s="260"/>
      <c r="Y28" s="565"/>
      <c r="Z28" s="565"/>
      <c r="AA28" s="566">
        <f t="shared" si="2"/>
        <v>0</v>
      </c>
      <c r="AB28" s="699"/>
    </row>
    <row r="29" spans="1:28" ht="15.75" customHeight="1" x14ac:dyDescent="0.3">
      <c r="A29" s="67" t="s">
        <v>297</v>
      </c>
      <c r="B29" s="68" t="s">
        <v>298</v>
      </c>
      <c r="C29" s="81">
        <v>43726</v>
      </c>
      <c r="D29" s="109">
        <v>43777</v>
      </c>
      <c r="E29" s="560"/>
      <c r="F29" s="86" t="s">
        <v>299</v>
      </c>
      <c r="G29" s="97" t="s">
        <v>175</v>
      </c>
      <c r="H29" s="79" t="s">
        <v>213</v>
      </c>
      <c r="I29" s="97" t="s">
        <v>714</v>
      </c>
      <c r="J29" s="73">
        <f t="shared" si="0"/>
        <v>1</v>
      </c>
      <c r="K29" s="74" t="s">
        <v>204</v>
      </c>
      <c r="L29" s="95" t="s">
        <v>1167</v>
      </c>
      <c r="M29" s="75">
        <v>1</v>
      </c>
      <c r="N29" s="76" t="s">
        <v>18</v>
      </c>
      <c r="R29" s="73">
        <f t="shared" si="8"/>
        <v>0</v>
      </c>
      <c r="S29" s="260"/>
      <c r="T29" s="260"/>
      <c r="U29" s="260"/>
      <c r="V29" s="260"/>
      <c r="W29" s="260"/>
      <c r="X29" s="260"/>
      <c r="Y29" s="565"/>
      <c r="Z29" s="565"/>
      <c r="AA29" s="566">
        <f t="shared" si="2"/>
        <v>0</v>
      </c>
      <c r="AB29" s="699"/>
    </row>
    <row r="30" spans="1:28" ht="15.75" customHeight="1" x14ac:dyDescent="0.3">
      <c r="A30" s="67" t="s">
        <v>300</v>
      </c>
      <c r="B30" s="68" t="s">
        <v>301</v>
      </c>
      <c r="C30" s="69">
        <v>43725</v>
      </c>
      <c r="D30" s="69">
        <v>43748</v>
      </c>
      <c r="E30" s="560"/>
      <c r="F30" s="71" t="s">
        <v>302</v>
      </c>
      <c r="G30" s="71"/>
      <c r="H30" s="72"/>
      <c r="I30" s="95" t="s">
        <v>1854</v>
      </c>
      <c r="J30" s="73">
        <f t="shared" si="0"/>
        <v>1</v>
      </c>
      <c r="K30" s="74" t="s">
        <v>204</v>
      </c>
      <c r="L30" s="71" t="s">
        <v>303</v>
      </c>
      <c r="M30" s="79">
        <v>0</v>
      </c>
      <c r="N30" s="76" t="s">
        <v>19</v>
      </c>
      <c r="R30" s="73">
        <f t="shared" si="8"/>
        <v>0</v>
      </c>
      <c r="S30" s="260"/>
      <c r="T30" s="260"/>
      <c r="U30" s="260"/>
      <c r="V30" s="260"/>
      <c r="W30" s="260"/>
      <c r="X30" s="260"/>
      <c r="Y30" s="565"/>
      <c r="Z30" s="565"/>
      <c r="AA30" s="566">
        <f t="shared" si="2"/>
        <v>0</v>
      </c>
      <c r="AB30" s="699"/>
    </row>
    <row r="31" spans="1:28" ht="15.75" customHeight="1" x14ac:dyDescent="0.3">
      <c r="A31" s="67" t="s">
        <v>304</v>
      </c>
      <c r="B31" s="68" t="s">
        <v>305</v>
      </c>
      <c r="C31" s="69">
        <v>43713</v>
      </c>
      <c r="D31" s="69">
        <v>43749</v>
      </c>
      <c r="E31" s="560"/>
      <c r="F31" s="71" t="s">
        <v>306</v>
      </c>
      <c r="G31" s="71"/>
      <c r="H31" s="72"/>
      <c r="I31" s="71" t="s">
        <v>722</v>
      </c>
      <c r="J31" s="73">
        <f t="shared" si="0"/>
        <v>1</v>
      </c>
      <c r="K31" s="74" t="s">
        <v>204</v>
      </c>
      <c r="L31" s="71" t="s">
        <v>307</v>
      </c>
      <c r="M31" s="75">
        <v>1</v>
      </c>
      <c r="N31" s="76" t="s">
        <v>18</v>
      </c>
      <c r="R31" s="73">
        <f t="shared" si="8"/>
        <v>0</v>
      </c>
      <c r="S31" s="260"/>
      <c r="T31" s="260"/>
      <c r="U31" s="260"/>
      <c r="V31" s="260"/>
      <c r="W31" s="260"/>
      <c r="X31" s="260"/>
      <c r="Y31" s="565"/>
      <c r="Z31" s="565"/>
      <c r="AA31" s="566">
        <f t="shared" si="2"/>
        <v>0</v>
      </c>
      <c r="AB31" s="699"/>
    </row>
    <row r="32" spans="1:28" ht="15.75" customHeight="1" x14ac:dyDescent="0.3">
      <c r="A32" s="67" t="s">
        <v>308</v>
      </c>
      <c r="B32" s="68" t="s">
        <v>309</v>
      </c>
      <c r="C32" s="69">
        <v>43699</v>
      </c>
      <c r="D32" s="69">
        <v>43749</v>
      </c>
      <c r="E32" s="560"/>
      <c r="F32" s="71" t="s">
        <v>310</v>
      </c>
      <c r="G32" s="71"/>
      <c r="H32" s="72"/>
      <c r="I32" s="71"/>
      <c r="J32" s="73">
        <f t="shared" si="0"/>
        <v>1</v>
      </c>
      <c r="K32" s="74" t="s">
        <v>204</v>
      </c>
      <c r="L32" s="71" t="s">
        <v>311</v>
      </c>
      <c r="M32" s="75">
        <v>1</v>
      </c>
      <c r="N32" s="76" t="s">
        <v>18</v>
      </c>
      <c r="R32" s="73">
        <f t="shared" si="8"/>
        <v>0</v>
      </c>
      <c r="S32" s="260"/>
      <c r="T32" s="260"/>
      <c r="U32" s="260"/>
      <c r="V32" s="260"/>
      <c r="W32" s="260"/>
      <c r="X32" s="260"/>
      <c r="Y32" s="565"/>
      <c r="Z32" s="565"/>
      <c r="AA32" s="566">
        <f t="shared" si="2"/>
        <v>0</v>
      </c>
      <c r="AB32" s="699"/>
    </row>
    <row r="33" spans="1:28" ht="15.75" customHeight="1" x14ac:dyDescent="0.3">
      <c r="A33" s="67" t="s">
        <v>312</v>
      </c>
      <c r="B33" s="68" t="s">
        <v>313</v>
      </c>
      <c r="C33" s="81">
        <v>43728</v>
      </c>
      <c r="D33" s="109">
        <v>43780</v>
      </c>
      <c r="E33" s="560"/>
      <c r="F33" s="86" t="s">
        <v>314</v>
      </c>
      <c r="G33" s="97" t="s">
        <v>152</v>
      </c>
      <c r="H33" s="79" t="s">
        <v>213</v>
      </c>
      <c r="J33" s="73">
        <f t="shared" si="0"/>
        <v>1</v>
      </c>
      <c r="K33" s="74" t="s">
        <v>204</v>
      </c>
      <c r="L33" s="95" t="s">
        <v>1253</v>
      </c>
      <c r="M33" s="75">
        <v>1</v>
      </c>
      <c r="N33" s="76" t="s">
        <v>17</v>
      </c>
      <c r="O33" s="111">
        <v>7200</v>
      </c>
      <c r="R33" s="73">
        <f t="shared" si="8"/>
        <v>0</v>
      </c>
      <c r="S33" s="260"/>
      <c r="T33" s="260"/>
      <c r="U33" s="260"/>
      <c r="V33" s="260"/>
      <c r="W33" s="260"/>
      <c r="X33" s="260"/>
      <c r="Y33" s="565"/>
      <c r="Z33" s="565"/>
      <c r="AA33" s="566">
        <f t="shared" si="2"/>
        <v>0</v>
      </c>
      <c r="AB33" s="699"/>
    </row>
    <row r="34" spans="1:28" ht="15.75" customHeight="1" x14ac:dyDescent="0.3">
      <c r="A34" s="67" t="s">
        <v>315</v>
      </c>
      <c r="B34" s="68" t="s">
        <v>316</v>
      </c>
      <c r="C34" s="81">
        <v>43728</v>
      </c>
      <c r="D34" s="85">
        <v>43763</v>
      </c>
      <c r="E34" s="560"/>
      <c r="F34" s="86" t="s">
        <v>317</v>
      </c>
      <c r="G34" s="86" t="s">
        <v>157</v>
      </c>
      <c r="H34" s="79" t="s">
        <v>213</v>
      </c>
      <c r="J34" s="73">
        <f t="shared" si="0"/>
        <v>1</v>
      </c>
      <c r="K34" s="74" t="s">
        <v>204</v>
      </c>
      <c r="L34" s="95" t="s">
        <v>1032</v>
      </c>
      <c r="M34" s="75">
        <v>1</v>
      </c>
      <c r="N34" s="76" t="s">
        <v>18</v>
      </c>
      <c r="R34" s="73">
        <f t="shared" si="8"/>
        <v>0</v>
      </c>
      <c r="S34" s="260"/>
      <c r="T34" s="260"/>
      <c r="U34" s="260"/>
      <c r="V34" s="260"/>
      <c r="W34" s="260"/>
      <c r="X34" s="260"/>
      <c r="Y34" s="565"/>
      <c r="Z34" s="565"/>
      <c r="AA34" s="566">
        <f t="shared" si="2"/>
        <v>0</v>
      </c>
      <c r="AB34" s="699"/>
    </row>
    <row r="35" spans="1:28" ht="15.75" customHeight="1" x14ac:dyDescent="0.3">
      <c r="A35" s="67" t="s">
        <v>318</v>
      </c>
      <c r="B35" s="68" t="s">
        <v>319</v>
      </c>
      <c r="C35" s="69">
        <v>43728</v>
      </c>
      <c r="D35" s="69">
        <v>43749</v>
      </c>
      <c r="E35" s="560"/>
      <c r="F35" s="71" t="s">
        <v>320</v>
      </c>
      <c r="G35" s="71"/>
      <c r="H35" s="72" t="s">
        <v>268</v>
      </c>
      <c r="I35" s="71"/>
      <c r="J35" s="73">
        <f t="shared" si="0"/>
        <v>1</v>
      </c>
      <c r="K35" s="74" t="s">
        <v>204</v>
      </c>
      <c r="L35" s="71" t="s">
        <v>321</v>
      </c>
      <c r="M35" s="79">
        <v>0</v>
      </c>
      <c r="N35" s="76" t="s">
        <v>18</v>
      </c>
      <c r="R35" s="73">
        <f t="shared" si="8"/>
        <v>0</v>
      </c>
      <c r="S35" s="260"/>
      <c r="T35" s="260"/>
      <c r="U35" s="260"/>
      <c r="V35" s="260"/>
      <c r="W35" s="260"/>
      <c r="X35" s="260"/>
      <c r="Y35" s="565"/>
      <c r="Z35" s="565"/>
      <c r="AA35" s="566">
        <f t="shared" si="2"/>
        <v>0</v>
      </c>
      <c r="AB35" s="699"/>
    </row>
    <row r="36" spans="1:28" ht="15.75" customHeight="1" x14ac:dyDescent="0.3">
      <c r="A36" s="67" t="s">
        <v>322</v>
      </c>
      <c r="B36" s="68" t="s">
        <v>323</v>
      </c>
      <c r="C36" s="69">
        <v>43728</v>
      </c>
      <c r="D36" s="94">
        <v>43749</v>
      </c>
      <c r="E36" s="560"/>
      <c r="F36" s="71" t="s">
        <v>324</v>
      </c>
      <c r="G36" s="95" t="s">
        <v>181</v>
      </c>
      <c r="H36" s="72"/>
      <c r="I36" s="95" t="s">
        <v>1284</v>
      </c>
      <c r="J36" s="73">
        <f t="shared" si="0"/>
        <v>1</v>
      </c>
      <c r="K36" s="74" t="s">
        <v>204</v>
      </c>
      <c r="L36" s="71" t="s">
        <v>325</v>
      </c>
      <c r="M36" s="79">
        <v>0</v>
      </c>
      <c r="N36" s="76" t="s">
        <v>19</v>
      </c>
      <c r="R36" s="73">
        <f t="shared" si="8"/>
        <v>0</v>
      </c>
      <c r="S36" s="260"/>
      <c r="T36" s="260"/>
      <c r="U36" s="260"/>
      <c r="V36" s="260"/>
      <c r="W36" s="260"/>
      <c r="X36" s="260"/>
      <c r="Y36" s="565"/>
      <c r="Z36" s="565"/>
      <c r="AA36" s="566">
        <f t="shared" si="2"/>
        <v>0</v>
      </c>
      <c r="AB36" s="699"/>
    </row>
    <row r="37" spans="1:28" ht="15.75" customHeight="1" x14ac:dyDescent="0.3">
      <c r="A37" s="67" t="s">
        <v>326</v>
      </c>
      <c r="B37" s="68" t="s">
        <v>327</v>
      </c>
      <c r="C37" s="81">
        <v>43728</v>
      </c>
      <c r="D37" s="246">
        <v>43780</v>
      </c>
      <c r="E37" s="560"/>
      <c r="F37" s="86" t="s">
        <v>328</v>
      </c>
      <c r="G37" s="97" t="s">
        <v>147</v>
      </c>
      <c r="H37" s="79" t="s">
        <v>213</v>
      </c>
      <c r="J37" s="73">
        <f t="shared" si="0"/>
        <v>1</v>
      </c>
      <c r="K37" s="74" t="s">
        <v>204</v>
      </c>
      <c r="L37" s="95" t="s">
        <v>1261</v>
      </c>
      <c r="M37" s="75">
        <v>1</v>
      </c>
      <c r="N37" s="76" t="s">
        <v>17</v>
      </c>
      <c r="O37" s="111">
        <v>149500</v>
      </c>
      <c r="P37" s="111">
        <v>149500</v>
      </c>
      <c r="R37" s="73">
        <f t="shared" si="8"/>
        <v>0</v>
      </c>
      <c r="S37" s="260"/>
      <c r="T37" s="260"/>
      <c r="U37" s="260"/>
      <c r="V37" s="260"/>
      <c r="W37" s="260"/>
      <c r="X37" s="260"/>
      <c r="Y37" s="565"/>
      <c r="Z37" s="565"/>
      <c r="AA37" s="566">
        <f t="shared" si="2"/>
        <v>0</v>
      </c>
      <c r="AB37" s="699"/>
    </row>
    <row r="38" spans="1:28" ht="15.75" customHeight="1" x14ac:dyDescent="0.3">
      <c r="A38" s="67" t="s">
        <v>329</v>
      </c>
      <c r="B38" s="68" t="s">
        <v>330</v>
      </c>
      <c r="C38" s="81">
        <v>43728</v>
      </c>
      <c r="D38" s="85">
        <v>43766</v>
      </c>
      <c r="E38" s="560"/>
      <c r="F38" s="86" t="s">
        <v>331</v>
      </c>
      <c r="G38" s="86" t="s">
        <v>158</v>
      </c>
      <c r="H38" s="79" t="s">
        <v>213</v>
      </c>
      <c r="I38" s="97" t="s">
        <v>854</v>
      </c>
      <c r="J38" s="73">
        <f t="shared" si="0"/>
        <v>1</v>
      </c>
      <c r="K38" s="74" t="s">
        <v>204</v>
      </c>
      <c r="L38" s="95" t="s">
        <v>756</v>
      </c>
      <c r="M38" s="75">
        <v>1</v>
      </c>
      <c r="N38" s="76" t="s">
        <v>18</v>
      </c>
      <c r="R38" s="73">
        <f t="shared" si="8"/>
        <v>0</v>
      </c>
      <c r="S38" s="260"/>
      <c r="T38" s="260"/>
      <c r="U38" s="260"/>
      <c r="V38" s="260"/>
      <c r="W38" s="260"/>
      <c r="X38" s="260"/>
      <c r="Y38" s="565"/>
      <c r="Z38" s="565"/>
      <c r="AA38" s="566">
        <f t="shared" si="2"/>
        <v>0</v>
      </c>
      <c r="AB38" s="699"/>
    </row>
    <row r="39" spans="1:28" ht="15.75" customHeight="1" x14ac:dyDescent="0.3">
      <c r="A39" s="67" t="s">
        <v>332</v>
      </c>
      <c r="B39" s="68" t="s">
        <v>333</v>
      </c>
      <c r="C39" s="69">
        <v>43728</v>
      </c>
      <c r="D39" s="69">
        <v>43752</v>
      </c>
      <c r="E39" s="560"/>
      <c r="F39" s="71" t="s">
        <v>334</v>
      </c>
      <c r="G39" s="71"/>
      <c r="H39" s="72"/>
      <c r="I39" s="95" t="s">
        <v>622</v>
      </c>
      <c r="J39" s="73">
        <f t="shared" si="0"/>
        <v>1</v>
      </c>
      <c r="K39" s="74" t="s">
        <v>204</v>
      </c>
      <c r="L39" s="71" t="s">
        <v>335</v>
      </c>
      <c r="M39" s="79">
        <v>0</v>
      </c>
      <c r="N39" s="76" t="s">
        <v>19</v>
      </c>
      <c r="R39" s="73">
        <f t="shared" si="8"/>
        <v>0</v>
      </c>
      <c r="S39" s="260"/>
      <c r="T39" s="260"/>
      <c r="U39" s="260"/>
      <c r="V39" s="260"/>
      <c r="W39" s="260"/>
      <c r="X39" s="260"/>
      <c r="Y39" s="565"/>
      <c r="Z39" s="565"/>
      <c r="AA39" s="566">
        <f t="shared" si="2"/>
        <v>0</v>
      </c>
      <c r="AB39" s="699"/>
    </row>
    <row r="40" spans="1:28" ht="15.75" customHeight="1" x14ac:dyDescent="0.3">
      <c r="A40" s="67" t="s">
        <v>336</v>
      </c>
      <c r="B40" s="68" t="s">
        <v>337</v>
      </c>
      <c r="C40" s="69">
        <v>43728</v>
      </c>
      <c r="D40" s="85">
        <v>43766</v>
      </c>
      <c r="E40" s="560"/>
      <c r="F40" s="86" t="s">
        <v>338</v>
      </c>
      <c r="G40" s="86" t="s">
        <v>189</v>
      </c>
      <c r="H40" s="79" t="s">
        <v>213</v>
      </c>
      <c r="I40" s="97" t="s">
        <v>714</v>
      </c>
      <c r="J40" s="73">
        <f t="shared" si="0"/>
        <v>1</v>
      </c>
      <c r="K40" s="74" t="s">
        <v>204</v>
      </c>
      <c r="L40" s="95" t="s">
        <v>856</v>
      </c>
      <c r="M40" s="75">
        <v>1</v>
      </c>
      <c r="N40" s="76" t="s">
        <v>18</v>
      </c>
      <c r="R40" s="73">
        <f t="shared" si="8"/>
        <v>0</v>
      </c>
      <c r="S40" s="260"/>
      <c r="T40" s="260"/>
      <c r="U40" s="260"/>
      <c r="V40" s="260"/>
      <c r="W40" s="260"/>
      <c r="X40" s="260"/>
      <c r="Y40" s="565"/>
      <c r="Z40" s="565"/>
      <c r="AA40" s="566">
        <f t="shared" si="2"/>
        <v>0</v>
      </c>
      <c r="AB40" s="699"/>
    </row>
    <row r="41" spans="1:28" ht="15.75" customHeight="1" x14ac:dyDescent="0.3">
      <c r="A41" s="67" t="s">
        <v>339</v>
      </c>
      <c r="B41" s="68" t="s">
        <v>340</v>
      </c>
      <c r="C41" s="69">
        <v>43717</v>
      </c>
      <c r="D41" s="69">
        <v>43752</v>
      </c>
      <c r="E41" s="560"/>
      <c r="F41" s="71" t="s">
        <v>341</v>
      </c>
      <c r="G41" s="71"/>
      <c r="H41" s="72"/>
      <c r="I41" s="71"/>
      <c r="J41" s="73">
        <f t="shared" si="0"/>
        <v>1</v>
      </c>
      <c r="K41" s="74" t="s">
        <v>204</v>
      </c>
      <c r="L41" s="71" t="s">
        <v>342</v>
      </c>
      <c r="M41" s="75">
        <v>1</v>
      </c>
      <c r="N41" s="76" t="s">
        <v>17</v>
      </c>
      <c r="O41" s="111">
        <v>375900</v>
      </c>
      <c r="P41" s="111">
        <v>375900</v>
      </c>
      <c r="R41" s="73">
        <f t="shared" si="8"/>
        <v>0</v>
      </c>
      <c r="S41" s="260"/>
      <c r="T41" s="260"/>
      <c r="U41" s="260"/>
      <c r="V41" s="260"/>
      <c r="W41" s="260"/>
      <c r="X41" s="260"/>
      <c r="Y41" s="565"/>
      <c r="Z41" s="565"/>
      <c r="AA41" s="566">
        <f t="shared" si="2"/>
        <v>0</v>
      </c>
      <c r="AB41" s="699"/>
    </row>
    <row r="42" spans="1:28" ht="15.75" customHeight="1" x14ac:dyDescent="0.3">
      <c r="A42" s="67" t="s">
        <v>343</v>
      </c>
      <c r="B42" s="68" t="s">
        <v>344</v>
      </c>
      <c r="C42" s="69">
        <v>43717</v>
      </c>
      <c r="D42" s="94">
        <v>43752</v>
      </c>
      <c r="E42" s="560"/>
      <c r="F42" s="71" t="s">
        <v>345</v>
      </c>
      <c r="G42" s="71"/>
      <c r="H42" s="72"/>
      <c r="I42" s="71"/>
      <c r="J42" s="73">
        <f t="shared" si="0"/>
        <v>1</v>
      </c>
      <c r="K42" s="74" t="s">
        <v>204</v>
      </c>
      <c r="L42" s="71" t="s">
        <v>346</v>
      </c>
      <c r="M42" s="75">
        <v>1</v>
      </c>
      <c r="N42" s="76" t="s">
        <v>17</v>
      </c>
      <c r="O42" s="111">
        <v>15246</v>
      </c>
      <c r="P42" s="111">
        <v>15246</v>
      </c>
      <c r="R42" s="73">
        <f t="shared" si="8"/>
        <v>0</v>
      </c>
      <c r="S42" s="260"/>
      <c r="T42" s="260"/>
      <c r="U42" s="260"/>
      <c r="V42" s="260"/>
      <c r="W42" s="260"/>
      <c r="X42" s="260"/>
      <c r="Y42" s="565"/>
      <c r="Z42" s="565"/>
      <c r="AA42" s="566">
        <f t="shared" si="2"/>
        <v>0</v>
      </c>
      <c r="AB42" s="699"/>
    </row>
    <row r="43" spans="1:28" ht="15.75" customHeight="1" x14ac:dyDescent="0.3">
      <c r="A43" s="67" t="s">
        <v>347</v>
      </c>
      <c r="B43" s="68" t="s">
        <v>348</v>
      </c>
      <c r="C43" s="69">
        <v>43717</v>
      </c>
      <c r="D43" s="69">
        <v>43752</v>
      </c>
      <c r="E43" s="560"/>
      <c r="F43" s="71" t="s">
        <v>349</v>
      </c>
      <c r="G43" s="71"/>
      <c r="H43" s="72"/>
      <c r="I43" s="71"/>
      <c r="J43" s="73">
        <f t="shared" si="0"/>
        <v>1</v>
      </c>
      <c r="K43" s="74" t="s">
        <v>204</v>
      </c>
      <c r="L43" s="95" t="s">
        <v>999</v>
      </c>
      <c r="M43" s="75">
        <v>1</v>
      </c>
      <c r="N43" s="76" t="s">
        <v>17</v>
      </c>
      <c r="O43" s="111">
        <v>10964.2</v>
      </c>
      <c r="P43" s="111">
        <v>10964.2</v>
      </c>
      <c r="R43" s="73">
        <f t="shared" si="8"/>
        <v>0</v>
      </c>
      <c r="S43" s="260"/>
      <c r="T43" s="260"/>
      <c r="U43" s="260"/>
      <c r="V43" s="260"/>
      <c r="W43" s="260"/>
      <c r="X43" s="260"/>
      <c r="Y43" s="565"/>
      <c r="Z43" s="565"/>
      <c r="AA43" s="566">
        <f t="shared" si="2"/>
        <v>0</v>
      </c>
      <c r="AB43" s="699"/>
    </row>
    <row r="44" spans="1:28" ht="15.75" customHeight="1" x14ac:dyDescent="0.3">
      <c r="A44" s="67" t="s">
        <v>350</v>
      </c>
      <c r="B44" s="68" t="s">
        <v>351</v>
      </c>
      <c r="C44" s="69">
        <v>43731</v>
      </c>
      <c r="D44" s="69">
        <v>43753</v>
      </c>
      <c r="E44" s="560"/>
      <c r="F44" s="71" t="s">
        <v>352</v>
      </c>
      <c r="G44" s="95" t="s">
        <v>152</v>
      </c>
      <c r="H44" s="72"/>
      <c r="I44" s="71"/>
      <c r="J44" s="73">
        <f t="shared" si="0"/>
        <v>1</v>
      </c>
      <c r="K44" s="74" t="s">
        <v>204</v>
      </c>
      <c r="L44" s="71" t="s">
        <v>353</v>
      </c>
      <c r="M44" s="79">
        <v>0</v>
      </c>
      <c r="N44" s="76" t="s">
        <v>17</v>
      </c>
      <c r="O44" s="111">
        <v>149784.07</v>
      </c>
      <c r="R44" s="73">
        <f t="shared" si="8"/>
        <v>0</v>
      </c>
      <c r="S44" s="260"/>
      <c r="T44" s="260"/>
      <c r="U44" s="260"/>
      <c r="V44" s="260"/>
      <c r="W44" s="260"/>
      <c r="X44" s="260"/>
      <c r="Y44" s="565"/>
      <c r="Z44" s="565"/>
      <c r="AA44" s="566">
        <f t="shared" si="2"/>
        <v>0</v>
      </c>
      <c r="AB44" s="699"/>
    </row>
    <row r="45" spans="1:28" ht="15.75" customHeight="1" x14ac:dyDescent="0.3">
      <c r="A45" s="67" t="s">
        <v>354</v>
      </c>
      <c r="B45" s="68" t="s">
        <v>355</v>
      </c>
      <c r="C45" s="69">
        <v>43731</v>
      </c>
      <c r="D45" s="80">
        <v>43753</v>
      </c>
      <c r="E45" s="560"/>
      <c r="F45" s="71" t="s">
        <v>356</v>
      </c>
      <c r="G45" s="71"/>
      <c r="H45" s="72"/>
      <c r="I45" s="71" t="s">
        <v>722</v>
      </c>
      <c r="J45" s="73">
        <f t="shared" si="0"/>
        <v>1</v>
      </c>
      <c r="K45" s="74" t="s">
        <v>204</v>
      </c>
      <c r="L45" s="71" t="s">
        <v>357</v>
      </c>
      <c r="M45" s="79">
        <v>0</v>
      </c>
      <c r="N45" s="76" t="s">
        <v>18</v>
      </c>
      <c r="R45" s="73">
        <f t="shared" si="8"/>
        <v>0</v>
      </c>
      <c r="S45" s="260"/>
      <c r="T45" s="260"/>
      <c r="U45" s="260"/>
      <c r="V45" s="260"/>
      <c r="W45" s="260"/>
      <c r="X45" s="260"/>
      <c r="Y45" s="565"/>
      <c r="Z45" s="565"/>
      <c r="AA45" s="566">
        <f t="shared" si="2"/>
        <v>0</v>
      </c>
      <c r="AB45" s="699"/>
    </row>
    <row r="46" spans="1:28" ht="15.75" customHeight="1" x14ac:dyDescent="0.3">
      <c r="A46" s="67" t="s">
        <v>358</v>
      </c>
      <c r="B46" s="68" t="s">
        <v>359</v>
      </c>
      <c r="C46" s="69">
        <v>43731</v>
      </c>
      <c r="D46" s="94">
        <v>43782</v>
      </c>
      <c r="E46" s="560"/>
      <c r="F46" s="71" t="s">
        <v>360</v>
      </c>
      <c r="G46" s="71" t="s">
        <v>191</v>
      </c>
      <c r="H46" s="72" t="s">
        <v>213</v>
      </c>
      <c r="I46" s="71"/>
      <c r="J46" s="73">
        <f t="shared" si="0"/>
        <v>1</v>
      </c>
      <c r="K46" s="74" t="s">
        <v>204</v>
      </c>
      <c r="L46" s="95" t="s">
        <v>1173</v>
      </c>
      <c r="M46" s="75">
        <v>1</v>
      </c>
      <c r="N46" s="76" t="s">
        <v>17</v>
      </c>
      <c r="O46" s="111">
        <v>7200</v>
      </c>
      <c r="P46" s="111">
        <v>7200</v>
      </c>
      <c r="R46" s="73">
        <f t="shared" si="8"/>
        <v>0</v>
      </c>
      <c r="S46" s="260"/>
      <c r="T46" s="260"/>
      <c r="U46" s="260"/>
      <c r="V46" s="260"/>
      <c r="W46" s="260"/>
      <c r="X46" s="260"/>
      <c r="Y46" s="565"/>
      <c r="Z46" s="565"/>
      <c r="AA46" s="566">
        <f t="shared" si="2"/>
        <v>0</v>
      </c>
      <c r="AB46" s="699"/>
    </row>
    <row r="47" spans="1:28" ht="15.75" customHeight="1" x14ac:dyDescent="0.3">
      <c r="A47" s="67" t="s">
        <v>361</v>
      </c>
      <c r="B47" s="68" t="s">
        <v>362</v>
      </c>
      <c r="C47" s="69">
        <v>43731</v>
      </c>
      <c r="D47" s="94">
        <v>43753</v>
      </c>
      <c r="E47" s="560"/>
      <c r="F47" s="95" t="s">
        <v>918</v>
      </c>
      <c r="G47" s="71"/>
      <c r="H47" s="72"/>
      <c r="I47" s="71"/>
      <c r="J47" s="73">
        <f t="shared" si="0"/>
        <v>1</v>
      </c>
      <c r="K47" s="74" t="s">
        <v>204</v>
      </c>
      <c r="L47" s="71" t="s">
        <v>363</v>
      </c>
      <c r="M47" s="79">
        <v>0</v>
      </c>
      <c r="N47" s="76" t="s">
        <v>17</v>
      </c>
      <c r="O47" s="111">
        <v>475000</v>
      </c>
      <c r="P47" s="111">
        <v>475000</v>
      </c>
      <c r="R47" s="73">
        <f t="shared" si="8"/>
        <v>0</v>
      </c>
      <c r="S47" s="260"/>
      <c r="T47" s="260"/>
      <c r="U47" s="260"/>
      <c r="V47" s="260"/>
      <c r="W47" s="260"/>
      <c r="X47" s="260"/>
      <c r="Y47" s="565"/>
      <c r="Z47" s="565"/>
      <c r="AA47" s="566">
        <f t="shared" si="2"/>
        <v>0</v>
      </c>
      <c r="AB47" s="699"/>
    </row>
    <row r="48" spans="1:28" ht="15.75" customHeight="1" x14ac:dyDescent="0.3">
      <c r="A48" s="67" t="s">
        <v>364</v>
      </c>
      <c r="B48" s="68" t="s">
        <v>365</v>
      </c>
      <c r="C48" s="69">
        <v>43731</v>
      </c>
      <c r="D48" s="94">
        <v>43767</v>
      </c>
      <c r="E48" s="560"/>
      <c r="F48" s="71" t="s">
        <v>366</v>
      </c>
      <c r="G48" s="71" t="s">
        <v>147</v>
      </c>
      <c r="H48" s="72" t="s">
        <v>213</v>
      </c>
      <c r="I48" s="95" t="s">
        <v>642</v>
      </c>
      <c r="J48" s="73">
        <f t="shared" si="0"/>
        <v>1</v>
      </c>
      <c r="K48" s="74" t="s">
        <v>204</v>
      </c>
      <c r="L48" s="95" t="s">
        <v>885</v>
      </c>
      <c r="M48" s="75">
        <v>1</v>
      </c>
      <c r="N48" s="76" t="s">
        <v>17</v>
      </c>
      <c r="O48" s="111">
        <v>122900</v>
      </c>
      <c r="P48" s="111">
        <v>122900</v>
      </c>
      <c r="R48" s="73">
        <f t="shared" si="8"/>
        <v>0</v>
      </c>
      <c r="S48" s="260"/>
      <c r="T48" s="260"/>
      <c r="U48" s="260"/>
      <c r="V48" s="260"/>
      <c r="W48" s="260"/>
      <c r="X48" s="260"/>
      <c r="Y48" s="565"/>
      <c r="Z48" s="565"/>
      <c r="AA48" s="566">
        <f t="shared" si="2"/>
        <v>0</v>
      </c>
      <c r="AB48" s="699"/>
    </row>
    <row r="49" spans="1:28" ht="15.75" customHeight="1" x14ac:dyDescent="0.3">
      <c r="A49" s="67" t="s">
        <v>367</v>
      </c>
      <c r="B49" s="68" t="s">
        <v>368</v>
      </c>
      <c r="C49" s="69">
        <v>43731</v>
      </c>
      <c r="D49" s="94">
        <v>43767</v>
      </c>
      <c r="E49" s="560"/>
      <c r="F49" s="71" t="s">
        <v>369</v>
      </c>
      <c r="G49" s="71" t="s">
        <v>158</v>
      </c>
      <c r="H49" s="72" t="s">
        <v>213</v>
      </c>
      <c r="I49" s="95" t="s">
        <v>641</v>
      </c>
      <c r="J49" s="73">
        <f t="shared" si="0"/>
        <v>1</v>
      </c>
      <c r="K49" s="74" t="s">
        <v>204</v>
      </c>
      <c r="L49" s="95" t="s">
        <v>754</v>
      </c>
      <c r="M49" s="75">
        <v>1</v>
      </c>
      <c r="N49" s="76" t="s">
        <v>17</v>
      </c>
      <c r="O49" s="111">
        <v>9971.61</v>
      </c>
      <c r="P49" s="111">
        <v>9971.61</v>
      </c>
      <c r="R49" s="73">
        <f t="shared" si="8"/>
        <v>0</v>
      </c>
      <c r="S49" s="260"/>
      <c r="T49" s="260"/>
      <c r="U49" s="260"/>
      <c r="V49" s="260"/>
      <c r="W49" s="260"/>
      <c r="X49" s="260"/>
      <c r="Y49" s="565"/>
      <c r="Z49" s="565"/>
      <c r="AA49" s="566">
        <f t="shared" si="2"/>
        <v>0</v>
      </c>
      <c r="AB49" s="699"/>
    </row>
    <row r="50" spans="1:28" ht="15.75" customHeight="1" x14ac:dyDescent="0.3">
      <c r="A50" s="120" t="s">
        <v>371</v>
      </c>
      <c r="B50" s="68" t="s">
        <v>372</v>
      </c>
      <c r="C50" s="69">
        <v>43731</v>
      </c>
      <c r="D50" s="94">
        <v>43767</v>
      </c>
      <c r="E50" s="560"/>
      <c r="F50" s="71" t="s">
        <v>373</v>
      </c>
      <c r="G50" s="71" t="s">
        <v>147</v>
      </c>
      <c r="H50" s="72" t="s">
        <v>213</v>
      </c>
      <c r="I50" s="95" t="s">
        <v>714</v>
      </c>
      <c r="J50" s="73">
        <f t="shared" si="0"/>
        <v>1</v>
      </c>
      <c r="K50" s="74" t="s">
        <v>204</v>
      </c>
      <c r="L50" s="95" t="s">
        <v>754</v>
      </c>
      <c r="M50" s="75">
        <v>1</v>
      </c>
      <c r="N50" s="76" t="s">
        <v>18</v>
      </c>
      <c r="R50" s="73">
        <f t="shared" si="8"/>
        <v>0</v>
      </c>
      <c r="S50" s="260"/>
      <c r="T50" s="260"/>
      <c r="U50" s="260"/>
      <c r="V50" s="260"/>
      <c r="W50" s="260"/>
      <c r="X50" s="260"/>
      <c r="Y50" s="565"/>
      <c r="Z50" s="565"/>
      <c r="AA50" s="566">
        <f t="shared" si="2"/>
        <v>0</v>
      </c>
      <c r="AB50" s="699"/>
    </row>
    <row r="51" spans="1:28" ht="15.75" customHeight="1" x14ac:dyDescent="0.3">
      <c r="A51" s="67" t="s">
        <v>374</v>
      </c>
      <c r="B51" s="68" t="s">
        <v>375</v>
      </c>
      <c r="C51" s="69">
        <v>43703</v>
      </c>
      <c r="D51" s="80">
        <v>43753</v>
      </c>
      <c r="E51" s="560"/>
      <c r="F51" s="71" t="s">
        <v>376</v>
      </c>
      <c r="G51" s="71"/>
      <c r="H51" s="72"/>
      <c r="I51" s="71"/>
      <c r="J51" s="73">
        <f t="shared" si="0"/>
        <v>1</v>
      </c>
      <c r="K51" s="74" t="s">
        <v>204</v>
      </c>
      <c r="L51" s="71" t="s">
        <v>377</v>
      </c>
      <c r="M51" s="75">
        <v>1</v>
      </c>
      <c r="N51" s="76" t="s">
        <v>18</v>
      </c>
      <c r="R51" s="73">
        <f t="shared" si="8"/>
        <v>0</v>
      </c>
      <c r="S51" s="260"/>
      <c r="T51" s="260"/>
      <c r="U51" s="260"/>
      <c r="V51" s="260"/>
      <c r="W51" s="260"/>
      <c r="X51" s="260"/>
      <c r="Y51" s="565"/>
      <c r="Z51" s="565"/>
      <c r="AA51" s="566">
        <f t="shared" si="2"/>
        <v>0</v>
      </c>
      <c r="AB51" s="699"/>
    </row>
    <row r="52" spans="1:28" ht="15.75" customHeight="1" x14ac:dyDescent="0.3">
      <c r="A52" s="67" t="s">
        <v>378</v>
      </c>
      <c r="B52" s="68" t="s">
        <v>379</v>
      </c>
      <c r="C52" s="69">
        <v>43732</v>
      </c>
      <c r="D52" s="94">
        <v>43754</v>
      </c>
      <c r="E52" s="560"/>
      <c r="F52" s="71" t="s">
        <v>380</v>
      </c>
      <c r="G52" s="71" t="s">
        <v>164</v>
      </c>
      <c r="H52" s="72" t="s">
        <v>213</v>
      </c>
      <c r="I52" s="71"/>
      <c r="J52" s="73">
        <f t="shared" si="0"/>
        <v>1</v>
      </c>
      <c r="K52" s="74" t="s">
        <v>204</v>
      </c>
      <c r="L52" s="71" t="s">
        <v>381</v>
      </c>
      <c r="M52" s="79">
        <v>0</v>
      </c>
      <c r="N52" s="76" t="s">
        <v>18</v>
      </c>
      <c r="R52" s="73">
        <f t="shared" si="8"/>
        <v>0</v>
      </c>
      <c r="S52" s="260"/>
      <c r="T52" s="260"/>
      <c r="U52" s="260"/>
      <c r="V52" s="260"/>
      <c r="W52" s="260"/>
      <c r="X52" s="260"/>
      <c r="Y52" s="565"/>
      <c r="Z52" s="565"/>
      <c r="AA52" s="566">
        <f t="shared" si="2"/>
        <v>0</v>
      </c>
      <c r="AB52" s="699"/>
    </row>
    <row r="53" spans="1:28" ht="15.75" customHeight="1" x14ac:dyDescent="0.3">
      <c r="A53" s="67" t="s">
        <v>382</v>
      </c>
      <c r="B53" s="68" t="s">
        <v>383</v>
      </c>
      <c r="C53" s="69">
        <v>43732</v>
      </c>
      <c r="D53" s="80">
        <v>43754</v>
      </c>
      <c r="E53" s="560"/>
      <c r="F53" s="71" t="s">
        <v>384</v>
      </c>
      <c r="G53" s="71" t="s">
        <v>157</v>
      </c>
      <c r="H53" s="72" t="s">
        <v>213</v>
      </c>
      <c r="I53" s="71"/>
      <c r="J53" s="73">
        <f t="shared" si="0"/>
        <v>1</v>
      </c>
      <c r="K53" s="74" t="s">
        <v>204</v>
      </c>
      <c r="L53" s="71" t="s">
        <v>385</v>
      </c>
      <c r="M53" s="79">
        <v>0</v>
      </c>
      <c r="N53" s="76" t="s">
        <v>17</v>
      </c>
      <c r="O53" s="111">
        <v>31696</v>
      </c>
      <c r="R53" s="73">
        <f t="shared" si="8"/>
        <v>0</v>
      </c>
      <c r="S53" s="260"/>
      <c r="T53" s="260"/>
      <c r="U53" s="260"/>
      <c r="V53" s="260"/>
      <c r="W53" s="260"/>
      <c r="X53" s="260"/>
      <c r="Y53" s="565"/>
      <c r="Z53" s="565"/>
      <c r="AA53" s="566">
        <f t="shared" si="2"/>
        <v>0</v>
      </c>
      <c r="AB53" s="699"/>
    </row>
    <row r="54" spans="1:28" ht="15.75" customHeight="1" x14ac:dyDescent="0.3">
      <c r="A54" s="67" t="s">
        <v>386</v>
      </c>
      <c r="B54" s="68" t="s">
        <v>387</v>
      </c>
      <c r="C54" s="69">
        <v>43732</v>
      </c>
      <c r="D54" s="80">
        <v>43754</v>
      </c>
      <c r="E54" s="560"/>
      <c r="F54" s="71" t="s">
        <v>388</v>
      </c>
      <c r="G54" s="71" t="s">
        <v>152</v>
      </c>
      <c r="H54" s="72" t="s">
        <v>213</v>
      </c>
      <c r="I54" s="95" t="s">
        <v>622</v>
      </c>
      <c r="J54" s="73">
        <f t="shared" si="0"/>
        <v>1</v>
      </c>
      <c r="K54" s="74" t="s">
        <v>204</v>
      </c>
      <c r="L54" s="71" t="s">
        <v>389</v>
      </c>
      <c r="M54" s="79">
        <v>0</v>
      </c>
      <c r="N54" s="76" t="s">
        <v>19</v>
      </c>
      <c r="R54" s="73">
        <f t="shared" si="8"/>
        <v>0</v>
      </c>
      <c r="S54" s="260"/>
      <c r="T54" s="260"/>
      <c r="U54" s="260"/>
      <c r="V54" s="260"/>
      <c r="W54" s="260"/>
      <c r="X54" s="260"/>
      <c r="Y54" s="565"/>
      <c r="Z54" s="565"/>
      <c r="AA54" s="566">
        <f t="shared" si="2"/>
        <v>0</v>
      </c>
      <c r="AB54" s="699"/>
    </row>
    <row r="55" spans="1:28" ht="15.75" customHeight="1" x14ac:dyDescent="0.3">
      <c r="A55" s="67" t="s">
        <v>390</v>
      </c>
      <c r="B55" s="68" t="s">
        <v>391</v>
      </c>
      <c r="C55" s="69">
        <v>43732</v>
      </c>
      <c r="D55" s="80">
        <v>43754</v>
      </c>
      <c r="E55" s="560"/>
      <c r="F55" s="71" t="s">
        <v>392</v>
      </c>
      <c r="G55" s="71"/>
      <c r="H55" s="72"/>
      <c r="I55" s="71"/>
      <c r="J55" s="73">
        <f t="shared" si="0"/>
        <v>1</v>
      </c>
      <c r="K55" s="74" t="s">
        <v>204</v>
      </c>
      <c r="L55" s="95" t="s">
        <v>1767</v>
      </c>
      <c r="M55" s="79">
        <v>0</v>
      </c>
      <c r="N55" s="76" t="s">
        <v>17</v>
      </c>
      <c r="O55" s="111">
        <v>400000</v>
      </c>
      <c r="R55" s="73">
        <f t="shared" si="8"/>
        <v>0</v>
      </c>
      <c r="S55" s="260"/>
      <c r="T55" s="260"/>
      <c r="U55" s="260"/>
      <c r="V55" s="260"/>
      <c r="W55" s="260"/>
      <c r="X55" s="260"/>
      <c r="Y55" s="565"/>
      <c r="Z55" s="565"/>
      <c r="AA55" s="566">
        <f t="shared" si="2"/>
        <v>0</v>
      </c>
      <c r="AB55" s="699"/>
    </row>
    <row r="56" spans="1:28" ht="15.75" customHeight="1" x14ac:dyDescent="0.3">
      <c r="A56" s="67" t="s">
        <v>394</v>
      </c>
      <c r="B56" s="68" t="s">
        <v>395</v>
      </c>
      <c r="C56" s="69">
        <v>43733</v>
      </c>
      <c r="D56" s="80">
        <v>43754</v>
      </c>
      <c r="E56" s="560"/>
      <c r="F56" s="71" t="s">
        <v>396</v>
      </c>
      <c r="G56" s="71"/>
      <c r="H56" s="72"/>
      <c r="I56" s="71"/>
      <c r="J56" s="73">
        <f t="shared" si="0"/>
        <v>1</v>
      </c>
      <c r="K56" s="74" t="s">
        <v>204</v>
      </c>
      <c r="L56" s="71" t="s">
        <v>393</v>
      </c>
      <c r="M56" s="79">
        <v>0</v>
      </c>
      <c r="N56" s="76" t="s">
        <v>17</v>
      </c>
      <c r="O56" s="111">
        <v>146578.97</v>
      </c>
      <c r="P56" s="111">
        <v>146578.97</v>
      </c>
      <c r="R56" s="73">
        <f t="shared" si="8"/>
        <v>0</v>
      </c>
      <c r="S56" s="260"/>
      <c r="T56" s="260"/>
      <c r="U56" s="260"/>
      <c r="V56" s="260"/>
      <c r="W56" s="260"/>
      <c r="X56" s="260"/>
      <c r="Y56" s="565"/>
      <c r="Z56" s="565"/>
      <c r="AA56" s="566">
        <f t="shared" si="2"/>
        <v>0</v>
      </c>
      <c r="AB56" s="699"/>
    </row>
    <row r="57" spans="1:28" ht="15.75" customHeight="1" x14ac:dyDescent="0.3">
      <c r="A57" s="122" t="s">
        <v>397</v>
      </c>
      <c r="B57" s="68" t="s">
        <v>398</v>
      </c>
      <c r="C57" s="69">
        <v>43719</v>
      </c>
      <c r="D57" s="94">
        <v>43768</v>
      </c>
      <c r="E57" s="560"/>
      <c r="F57" s="71" t="s">
        <v>399</v>
      </c>
      <c r="G57" s="71" t="s">
        <v>147</v>
      </c>
      <c r="H57" s="72" t="s">
        <v>213</v>
      </c>
      <c r="I57" s="95" t="s">
        <v>755</v>
      </c>
      <c r="J57" s="73">
        <f t="shared" si="0"/>
        <v>1</v>
      </c>
      <c r="K57" s="74" t="s">
        <v>204</v>
      </c>
      <c r="L57" s="95" t="s">
        <v>1033</v>
      </c>
      <c r="M57" s="75">
        <v>1</v>
      </c>
      <c r="N57" s="76" t="s">
        <v>18</v>
      </c>
      <c r="R57" s="73">
        <f t="shared" si="8"/>
        <v>0</v>
      </c>
      <c r="S57" s="260"/>
      <c r="T57" s="260"/>
      <c r="U57" s="260"/>
      <c r="V57" s="260"/>
      <c r="W57" s="260"/>
      <c r="X57" s="260"/>
      <c r="Y57" s="565"/>
      <c r="Z57" s="565"/>
      <c r="AA57" s="566">
        <f t="shared" si="2"/>
        <v>0</v>
      </c>
      <c r="AB57" s="699"/>
    </row>
    <row r="58" spans="1:28" ht="15.75" customHeight="1" x14ac:dyDescent="0.3">
      <c r="A58" s="67" t="s">
        <v>400</v>
      </c>
      <c r="B58" s="68" t="s">
        <v>401</v>
      </c>
      <c r="C58" s="69">
        <v>43705</v>
      </c>
      <c r="D58" s="80">
        <v>43754</v>
      </c>
      <c r="E58" s="560"/>
      <c r="F58" s="71" t="s">
        <v>402</v>
      </c>
      <c r="G58" s="71" t="s">
        <v>152</v>
      </c>
      <c r="H58" s="72" t="s">
        <v>213</v>
      </c>
      <c r="I58" s="95" t="s">
        <v>1282</v>
      </c>
      <c r="J58" s="73">
        <f t="shared" si="0"/>
        <v>1</v>
      </c>
      <c r="K58" s="74" t="s">
        <v>204</v>
      </c>
      <c r="L58" s="71" t="s">
        <v>403</v>
      </c>
      <c r="M58" s="79">
        <v>0</v>
      </c>
      <c r="N58" s="76" t="s">
        <v>19</v>
      </c>
      <c r="R58" s="73">
        <f t="shared" si="8"/>
        <v>0</v>
      </c>
      <c r="S58" s="260"/>
      <c r="T58" s="260"/>
      <c r="U58" s="260"/>
      <c r="V58" s="260"/>
      <c r="W58" s="260"/>
      <c r="X58" s="260"/>
      <c r="Y58" s="565"/>
      <c r="Z58" s="565"/>
      <c r="AA58" s="566">
        <f t="shared" si="2"/>
        <v>0</v>
      </c>
      <c r="AB58" s="699"/>
    </row>
    <row r="59" spans="1:28" ht="15.75" customHeight="1" x14ac:dyDescent="0.3">
      <c r="A59" s="67" t="s">
        <v>404</v>
      </c>
      <c r="B59" s="68" t="s">
        <v>405</v>
      </c>
      <c r="C59" s="69">
        <v>43705</v>
      </c>
      <c r="D59" s="80">
        <v>43754</v>
      </c>
      <c r="E59" s="560"/>
      <c r="F59" s="71" t="s">
        <v>406</v>
      </c>
      <c r="G59" s="71" t="s">
        <v>152</v>
      </c>
      <c r="H59" s="72" t="s">
        <v>213</v>
      </c>
      <c r="I59" s="95" t="s">
        <v>645</v>
      </c>
      <c r="J59" s="73">
        <f t="shared" si="0"/>
        <v>1</v>
      </c>
      <c r="K59" s="74" t="s">
        <v>204</v>
      </c>
      <c r="L59" s="95" t="s">
        <v>2025</v>
      </c>
      <c r="M59" s="75">
        <v>1</v>
      </c>
      <c r="N59" s="76" t="s">
        <v>17</v>
      </c>
      <c r="O59" s="111">
        <v>34222.31</v>
      </c>
      <c r="P59" s="111">
        <v>34222.31</v>
      </c>
      <c r="R59" s="73">
        <f t="shared" si="8"/>
        <v>0</v>
      </c>
      <c r="S59" s="260"/>
      <c r="T59" s="260"/>
      <c r="U59" s="260"/>
      <c r="V59" s="260"/>
      <c r="W59" s="260"/>
      <c r="X59" s="260"/>
      <c r="Y59" s="565"/>
      <c r="Z59" s="565"/>
      <c r="AA59" s="566">
        <f t="shared" si="2"/>
        <v>0</v>
      </c>
      <c r="AB59" s="699"/>
    </row>
    <row r="60" spans="1:28" ht="15.75" customHeight="1" x14ac:dyDescent="0.3">
      <c r="A60" s="67" t="s">
        <v>407</v>
      </c>
      <c r="B60" s="68" t="s">
        <v>408</v>
      </c>
      <c r="C60" s="69">
        <v>43733</v>
      </c>
      <c r="D60" s="94">
        <v>43769</v>
      </c>
      <c r="E60" s="560"/>
      <c r="F60" s="71" t="s">
        <v>409</v>
      </c>
      <c r="G60" s="71" t="s">
        <v>410</v>
      </c>
      <c r="H60" s="72" t="s">
        <v>213</v>
      </c>
      <c r="I60" s="95" t="s">
        <v>755</v>
      </c>
      <c r="J60" s="73">
        <f t="shared" si="0"/>
        <v>1</v>
      </c>
      <c r="K60" s="74" t="s">
        <v>204</v>
      </c>
      <c r="L60" s="71" t="s">
        <v>411</v>
      </c>
      <c r="M60" s="75">
        <v>1</v>
      </c>
      <c r="N60" s="76" t="s">
        <v>17</v>
      </c>
      <c r="O60" s="111">
        <v>1250</v>
      </c>
      <c r="R60" s="73">
        <f t="shared" si="8"/>
        <v>0</v>
      </c>
      <c r="S60" s="260"/>
      <c r="T60" s="260"/>
      <c r="U60" s="260"/>
      <c r="V60" s="260"/>
      <c r="W60" s="260"/>
      <c r="X60" s="260"/>
      <c r="Y60" s="565"/>
      <c r="Z60" s="565"/>
      <c r="AA60" s="566">
        <f t="shared" si="2"/>
        <v>0</v>
      </c>
      <c r="AB60" s="699"/>
    </row>
    <row r="61" spans="1:28" ht="15.75" customHeight="1" x14ac:dyDescent="0.3">
      <c r="A61" s="67" t="s">
        <v>412</v>
      </c>
      <c r="B61" s="68" t="s">
        <v>413</v>
      </c>
      <c r="C61" s="69">
        <v>43733</v>
      </c>
      <c r="D61" s="94">
        <v>43769</v>
      </c>
      <c r="E61" s="560"/>
      <c r="F61" s="71" t="s">
        <v>414</v>
      </c>
      <c r="G61" s="95" t="s">
        <v>410</v>
      </c>
      <c r="H61" s="72" t="s">
        <v>213</v>
      </c>
      <c r="I61" s="95" t="s">
        <v>642</v>
      </c>
      <c r="J61" s="73">
        <f t="shared" si="0"/>
        <v>1</v>
      </c>
      <c r="K61" s="74" t="s">
        <v>204</v>
      </c>
      <c r="L61" s="71" t="s">
        <v>415</v>
      </c>
      <c r="M61" s="75">
        <v>1</v>
      </c>
      <c r="N61" s="76" t="s">
        <v>18</v>
      </c>
      <c r="R61" s="73">
        <f t="shared" si="8"/>
        <v>0</v>
      </c>
      <c r="S61" s="260"/>
      <c r="T61" s="260"/>
      <c r="U61" s="260"/>
      <c r="V61" s="260"/>
      <c r="W61" s="260"/>
      <c r="X61" s="260"/>
      <c r="Y61" s="565"/>
      <c r="Z61" s="565"/>
      <c r="AA61" s="566">
        <f t="shared" si="2"/>
        <v>0</v>
      </c>
      <c r="AB61" s="699"/>
    </row>
    <row r="62" spans="1:28" ht="15.75" customHeight="1" x14ac:dyDescent="0.3">
      <c r="A62" s="67" t="s">
        <v>416</v>
      </c>
      <c r="B62" s="68" t="s">
        <v>417</v>
      </c>
      <c r="C62" s="69">
        <v>43734</v>
      </c>
      <c r="D62" s="94">
        <v>43784</v>
      </c>
      <c r="E62" s="560"/>
      <c r="F62" s="71" t="s">
        <v>418</v>
      </c>
      <c r="G62" s="71" t="s">
        <v>156</v>
      </c>
      <c r="H62" s="72" t="s">
        <v>213</v>
      </c>
      <c r="I62" s="71"/>
      <c r="J62" s="73">
        <f t="shared" si="0"/>
        <v>1</v>
      </c>
      <c r="K62" s="74" t="s">
        <v>204</v>
      </c>
      <c r="L62" s="95" t="s">
        <v>1346</v>
      </c>
      <c r="M62" s="75">
        <v>1</v>
      </c>
      <c r="N62" s="76" t="s">
        <v>17</v>
      </c>
      <c r="O62" s="111">
        <v>7100</v>
      </c>
      <c r="R62" s="73">
        <f t="shared" si="8"/>
        <v>0</v>
      </c>
      <c r="S62" s="260"/>
      <c r="T62" s="260"/>
      <c r="U62" s="260"/>
      <c r="V62" s="260"/>
      <c r="W62" s="260"/>
      <c r="X62" s="260"/>
      <c r="Y62" s="565"/>
      <c r="Z62" s="565"/>
      <c r="AA62" s="566">
        <f t="shared" si="2"/>
        <v>0</v>
      </c>
      <c r="AB62" s="699"/>
    </row>
    <row r="63" spans="1:28" ht="15.75" customHeight="1" x14ac:dyDescent="0.3">
      <c r="A63" s="67" t="s">
        <v>419</v>
      </c>
      <c r="B63" s="68" t="s">
        <v>420</v>
      </c>
      <c r="C63" s="69">
        <v>43733</v>
      </c>
      <c r="D63" s="80">
        <v>43755</v>
      </c>
      <c r="E63" s="560"/>
      <c r="F63" s="71" t="s">
        <v>421</v>
      </c>
      <c r="G63" s="71" t="s">
        <v>152</v>
      </c>
      <c r="H63" s="72" t="s">
        <v>213</v>
      </c>
      <c r="I63" s="71"/>
      <c r="J63" s="73">
        <f t="shared" si="0"/>
        <v>1</v>
      </c>
      <c r="K63" s="74" t="s">
        <v>204</v>
      </c>
      <c r="L63" s="71" t="s">
        <v>422</v>
      </c>
      <c r="M63" s="79">
        <v>0</v>
      </c>
      <c r="N63" s="76" t="s">
        <v>18</v>
      </c>
      <c r="R63" s="73">
        <f t="shared" si="8"/>
        <v>0</v>
      </c>
      <c r="S63" s="260"/>
      <c r="T63" s="260"/>
      <c r="U63" s="260"/>
      <c r="V63" s="260"/>
      <c r="W63" s="260"/>
      <c r="X63" s="260"/>
      <c r="Y63" s="565"/>
      <c r="Z63" s="565"/>
      <c r="AA63" s="566">
        <f t="shared" si="2"/>
        <v>0</v>
      </c>
      <c r="AB63" s="699"/>
    </row>
    <row r="64" spans="1:28" ht="15.75" customHeight="1" x14ac:dyDescent="0.3">
      <c r="A64" s="67" t="s">
        <v>423</v>
      </c>
      <c r="B64" s="68" t="s">
        <v>424</v>
      </c>
      <c r="C64" s="69">
        <v>43733</v>
      </c>
      <c r="D64" s="80">
        <v>43755</v>
      </c>
      <c r="E64" s="560"/>
      <c r="F64" s="71" t="s">
        <v>425</v>
      </c>
      <c r="G64" s="71" t="s">
        <v>147</v>
      </c>
      <c r="H64" s="72" t="s">
        <v>213</v>
      </c>
      <c r="I64" s="95" t="s">
        <v>1635</v>
      </c>
      <c r="J64" s="73">
        <f t="shared" si="0"/>
        <v>1</v>
      </c>
      <c r="K64" s="74" t="s">
        <v>204</v>
      </c>
      <c r="L64" s="71" t="s">
        <v>426</v>
      </c>
      <c r="M64" s="79">
        <v>0</v>
      </c>
      <c r="N64" s="76" t="s">
        <v>18</v>
      </c>
      <c r="R64" s="73">
        <f t="shared" si="8"/>
        <v>0</v>
      </c>
      <c r="S64" s="260"/>
      <c r="T64" s="260"/>
      <c r="U64" s="260"/>
      <c r="V64" s="260"/>
      <c r="W64" s="260"/>
      <c r="X64" s="260"/>
      <c r="Y64" s="565"/>
      <c r="Z64" s="565"/>
      <c r="AA64" s="566">
        <f t="shared" si="2"/>
        <v>0</v>
      </c>
      <c r="AB64" s="699"/>
    </row>
    <row r="65" spans="1:28" ht="15.75" customHeight="1" x14ac:dyDescent="0.3">
      <c r="A65" s="67" t="s">
        <v>427</v>
      </c>
      <c r="B65" s="68" t="s">
        <v>428</v>
      </c>
      <c r="C65" s="69">
        <v>43719</v>
      </c>
      <c r="D65" s="80">
        <v>43755</v>
      </c>
      <c r="E65" s="560"/>
      <c r="F65" s="71" t="s">
        <v>429</v>
      </c>
      <c r="G65" s="71" t="s">
        <v>150</v>
      </c>
      <c r="H65" s="72" t="s">
        <v>213</v>
      </c>
      <c r="I65" s="71"/>
      <c r="J65" s="73">
        <f t="shared" si="0"/>
        <v>1</v>
      </c>
      <c r="K65" s="74" t="s">
        <v>204</v>
      </c>
      <c r="L65" s="71" t="s">
        <v>430</v>
      </c>
      <c r="M65" s="75">
        <v>1</v>
      </c>
      <c r="N65" s="76" t="s">
        <v>17</v>
      </c>
      <c r="O65" s="111">
        <v>192570.47</v>
      </c>
      <c r="P65" s="111">
        <v>192570.47</v>
      </c>
      <c r="R65" s="73">
        <f t="shared" si="8"/>
        <v>0</v>
      </c>
      <c r="S65" s="260"/>
      <c r="T65" s="260"/>
      <c r="U65" s="260"/>
      <c r="V65" s="260"/>
      <c r="W65" s="260"/>
      <c r="X65" s="260"/>
      <c r="Y65" s="565"/>
      <c r="Z65" s="565"/>
      <c r="AA65" s="566">
        <f t="shared" si="2"/>
        <v>0</v>
      </c>
      <c r="AB65" s="699"/>
    </row>
    <row r="66" spans="1:28" ht="15.75" customHeight="1" x14ac:dyDescent="0.3">
      <c r="A66" s="67" t="s">
        <v>431</v>
      </c>
      <c r="B66" s="68" t="s">
        <v>432</v>
      </c>
      <c r="C66" s="69">
        <v>43720</v>
      </c>
      <c r="D66" s="94">
        <v>43769</v>
      </c>
      <c r="E66" s="560"/>
      <c r="F66" s="71" t="s">
        <v>433</v>
      </c>
      <c r="G66" s="95" t="s">
        <v>147</v>
      </c>
      <c r="H66" s="72" t="s">
        <v>213</v>
      </c>
      <c r="I66" s="95" t="s">
        <v>642</v>
      </c>
      <c r="J66" s="73">
        <f t="shared" si="0"/>
        <v>1</v>
      </c>
      <c r="K66" s="74" t="s">
        <v>204</v>
      </c>
      <c r="L66" s="71" t="s">
        <v>434</v>
      </c>
      <c r="M66" s="75">
        <v>1</v>
      </c>
      <c r="N66" s="76" t="s">
        <v>18</v>
      </c>
      <c r="R66" s="73">
        <f t="shared" si="8"/>
        <v>0</v>
      </c>
      <c r="S66" s="260"/>
      <c r="T66" s="260"/>
      <c r="U66" s="260"/>
      <c r="V66" s="260"/>
      <c r="W66" s="260"/>
      <c r="X66" s="260"/>
      <c r="Y66" s="565"/>
      <c r="Z66" s="565"/>
      <c r="AA66" s="566">
        <f t="shared" si="2"/>
        <v>0</v>
      </c>
      <c r="AB66" s="699"/>
    </row>
    <row r="67" spans="1:28" ht="15.75" customHeight="1" x14ac:dyDescent="0.3">
      <c r="A67" s="67" t="s">
        <v>435</v>
      </c>
      <c r="B67" s="68" t="s">
        <v>436</v>
      </c>
      <c r="C67" s="69">
        <v>43706</v>
      </c>
      <c r="D67" s="80">
        <v>43755</v>
      </c>
      <c r="E67" s="560"/>
      <c r="F67" s="71" t="s">
        <v>437</v>
      </c>
      <c r="G67" s="71" t="s">
        <v>147</v>
      </c>
      <c r="H67" s="72" t="s">
        <v>213</v>
      </c>
      <c r="I67" s="71"/>
      <c r="J67" s="73">
        <f t="shared" ref="J67:J130" si="9">IF(OR(K67="Документы готовы",K67="Запрос в ФО",K67="ЭЗ",K67="РЕШ",K67="РЕШ шаблон"),0.1,IF(OR(K67="ЭЗ согласование",K67="РЕШ согласование"),0.3,IF(OR(K67="ЭЗ согласовано",K67="РЕШ согласовано",K67="РЕШ подписано"),0.6,IF(OR(K67="ЭЗ ПР согласование",K67="РЕШ УВ согласование"),0.9,IF(OR(K67="ЭЗ ПР DONE",K67="РЕШ УВ DONE"),1,0)))))</f>
        <v>1</v>
      </c>
      <c r="K67" s="74" t="s">
        <v>204</v>
      </c>
      <c r="L67" s="71" t="s">
        <v>438</v>
      </c>
      <c r="M67" s="75">
        <v>1</v>
      </c>
      <c r="N67" s="76" t="s">
        <v>17</v>
      </c>
      <c r="O67" s="111">
        <v>19382.599999999999</v>
      </c>
      <c r="P67" s="111">
        <v>19382</v>
      </c>
      <c r="R67" s="73">
        <f t="shared" si="8"/>
        <v>0</v>
      </c>
      <c r="S67" s="260"/>
      <c r="T67" s="260"/>
      <c r="U67" s="260"/>
      <c r="V67" s="260"/>
      <c r="W67" s="260"/>
      <c r="X67" s="260"/>
      <c r="Y67" s="565"/>
      <c r="Z67" s="565"/>
      <c r="AA67" s="566">
        <f t="shared" ref="AA67:AA130" si="10">Z67-Y67</f>
        <v>0</v>
      </c>
      <c r="AB67" s="699"/>
    </row>
    <row r="68" spans="1:28" ht="15.75" customHeight="1" x14ac:dyDescent="0.3">
      <c r="A68" s="67" t="s">
        <v>439</v>
      </c>
      <c r="B68" s="68" t="s">
        <v>440</v>
      </c>
      <c r="C68" s="69">
        <v>43734</v>
      </c>
      <c r="D68" s="94">
        <v>43770</v>
      </c>
      <c r="E68" s="560"/>
      <c r="F68" s="71" t="s">
        <v>441</v>
      </c>
      <c r="G68" s="71" t="s">
        <v>150</v>
      </c>
      <c r="H68" s="72" t="s">
        <v>213</v>
      </c>
      <c r="I68" s="71"/>
      <c r="J68" s="73">
        <f t="shared" si="9"/>
        <v>1</v>
      </c>
      <c r="K68" s="74" t="s">
        <v>204</v>
      </c>
      <c r="L68" s="95" t="s">
        <v>1080</v>
      </c>
      <c r="M68" s="75">
        <v>1</v>
      </c>
      <c r="N68" s="76" t="s">
        <v>18</v>
      </c>
      <c r="R68" s="73">
        <f t="shared" si="8"/>
        <v>0</v>
      </c>
      <c r="S68" s="260"/>
      <c r="T68" s="260"/>
      <c r="U68" s="260"/>
      <c r="V68" s="260"/>
      <c r="W68" s="260"/>
      <c r="X68" s="260"/>
      <c r="Y68" s="565"/>
      <c r="Z68" s="565"/>
      <c r="AA68" s="566">
        <f t="shared" si="10"/>
        <v>0</v>
      </c>
      <c r="AB68" s="699"/>
    </row>
    <row r="69" spans="1:28" ht="15.75" customHeight="1" x14ac:dyDescent="0.3">
      <c r="A69" s="67" t="s">
        <v>442</v>
      </c>
      <c r="B69" s="68" t="s">
        <v>443</v>
      </c>
      <c r="C69" s="69">
        <v>43721</v>
      </c>
      <c r="D69" s="94">
        <v>43770</v>
      </c>
      <c r="E69" s="560"/>
      <c r="F69" s="71" t="s">
        <v>444</v>
      </c>
      <c r="G69" s="71" t="s">
        <v>150</v>
      </c>
      <c r="H69" s="72" t="s">
        <v>213</v>
      </c>
      <c r="I69" s="71"/>
      <c r="J69" s="73">
        <f t="shared" si="9"/>
        <v>1</v>
      </c>
      <c r="K69" s="74" t="s">
        <v>204</v>
      </c>
      <c r="L69" s="95" t="s">
        <v>1081</v>
      </c>
      <c r="M69" s="75">
        <v>1</v>
      </c>
      <c r="N69" s="76" t="s">
        <v>17</v>
      </c>
      <c r="O69" s="111">
        <v>23800</v>
      </c>
      <c r="P69" s="111">
        <v>23800</v>
      </c>
      <c r="R69" s="73">
        <f t="shared" si="8"/>
        <v>0</v>
      </c>
      <c r="S69" s="260"/>
      <c r="T69" s="260"/>
      <c r="U69" s="260"/>
      <c r="V69" s="260"/>
      <c r="W69" s="260"/>
      <c r="X69" s="260"/>
      <c r="Y69" s="565"/>
      <c r="Z69" s="565"/>
      <c r="AA69" s="566">
        <f t="shared" si="10"/>
        <v>0</v>
      </c>
      <c r="AB69" s="699"/>
    </row>
    <row r="70" spans="1:28" ht="15.75" customHeight="1" x14ac:dyDescent="0.3">
      <c r="A70" s="67" t="s">
        <v>445</v>
      </c>
      <c r="B70" s="68" t="s">
        <v>446</v>
      </c>
      <c r="C70" s="69">
        <v>43721</v>
      </c>
      <c r="D70" s="80">
        <v>43756</v>
      </c>
      <c r="E70" s="560"/>
      <c r="F70" s="71" t="s">
        <v>447</v>
      </c>
      <c r="G70" s="71" t="s">
        <v>152</v>
      </c>
      <c r="H70" s="72" t="s">
        <v>213</v>
      </c>
      <c r="I70" s="95" t="s">
        <v>714</v>
      </c>
      <c r="J70" s="73">
        <f t="shared" si="9"/>
        <v>1</v>
      </c>
      <c r="K70" s="74" t="s">
        <v>204</v>
      </c>
      <c r="L70" s="71" t="s">
        <v>448</v>
      </c>
      <c r="M70" s="75">
        <v>1</v>
      </c>
      <c r="N70" s="76" t="s">
        <v>18</v>
      </c>
      <c r="R70" s="73">
        <f t="shared" si="8"/>
        <v>0</v>
      </c>
      <c r="S70" s="260"/>
      <c r="T70" s="260"/>
      <c r="U70" s="260"/>
      <c r="V70" s="260"/>
      <c r="W70" s="260"/>
      <c r="X70" s="260"/>
      <c r="Y70" s="565"/>
      <c r="Z70" s="565"/>
      <c r="AA70" s="566">
        <f t="shared" si="10"/>
        <v>0</v>
      </c>
      <c r="AB70" s="699"/>
    </row>
    <row r="71" spans="1:28" ht="15.75" customHeight="1" x14ac:dyDescent="0.3">
      <c r="A71" s="67" t="s">
        <v>449</v>
      </c>
      <c r="B71" s="68" t="s">
        <v>450</v>
      </c>
      <c r="C71" s="69">
        <v>43734</v>
      </c>
      <c r="D71" s="94">
        <v>43756</v>
      </c>
      <c r="E71" s="560"/>
      <c r="F71" s="71" t="s">
        <v>451</v>
      </c>
      <c r="G71" s="71" t="s">
        <v>172</v>
      </c>
      <c r="H71" s="72" t="s">
        <v>213</v>
      </c>
      <c r="I71" s="95" t="s">
        <v>714</v>
      </c>
      <c r="J71" s="73">
        <f t="shared" si="9"/>
        <v>1</v>
      </c>
      <c r="K71" s="74" t="s">
        <v>204</v>
      </c>
      <c r="L71" s="71" t="s">
        <v>452</v>
      </c>
      <c r="M71" s="79">
        <v>0</v>
      </c>
      <c r="N71" s="76" t="s">
        <v>17</v>
      </c>
      <c r="O71" s="111">
        <v>25745</v>
      </c>
      <c r="P71" s="111">
        <v>25745</v>
      </c>
      <c r="R71" s="73">
        <f t="shared" si="8"/>
        <v>0</v>
      </c>
      <c r="S71" s="260"/>
      <c r="T71" s="260"/>
      <c r="U71" s="260"/>
      <c r="V71" s="260"/>
      <c r="W71" s="260"/>
      <c r="X71" s="260"/>
      <c r="Y71" s="565"/>
      <c r="Z71" s="565"/>
      <c r="AA71" s="566">
        <f t="shared" si="10"/>
        <v>0</v>
      </c>
      <c r="AB71" s="699"/>
    </row>
    <row r="72" spans="1:28" ht="15.75" customHeight="1" x14ac:dyDescent="0.3">
      <c r="A72" s="67" t="s">
        <v>453</v>
      </c>
      <c r="B72" s="68" t="s">
        <v>454</v>
      </c>
      <c r="C72" s="69">
        <v>43734</v>
      </c>
      <c r="D72" s="80">
        <v>43756</v>
      </c>
      <c r="E72" s="560"/>
      <c r="F72" s="71" t="s">
        <v>455</v>
      </c>
      <c r="G72" s="71" t="s">
        <v>147</v>
      </c>
      <c r="H72" s="72" t="s">
        <v>213</v>
      </c>
      <c r="I72" s="97" t="s">
        <v>649</v>
      </c>
      <c r="J72" s="73">
        <f t="shared" si="9"/>
        <v>1</v>
      </c>
      <c r="K72" s="74" t="s">
        <v>204</v>
      </c>
      <c r="L72" s="71" t="s">
        <v>456</v>
      </c>
      <c r="M72" s="79">
        <v>0</v>
      </c>
      <c r="N72" s="76" t="s">
        <v>17</v>
      </c>
      <c r="O72" s="111">
        <v>148384.06</v>
      </c>
      <c r="P72" s="111">
        <v>148384.06</v>
      </c>
      <c r="R72" s="73">
        <f t="shared" si="8"/>
        <v>0</v>
      </c>
      <c r="S72" s="260"/>
      <c r="T72" s="260"/>
      <c r="U72" s="260"/>
      <c r="V72" s="260"/>
      <c r="W72" s="260"/>
      <c r="X72" s="260"/>
      <c r="Y72" s="565"/>
      <c r="Z72" s="565"/>
      <c r="AA72" s="566">
        <f t="shared" si="10"/>
        <v>0</v>
      </c>
      <c r="AB72" s="699"/>
    </row>
    <row r="73" spans="1:28" ht="15.75" customHeight="1" x14ac:dyDescent="0.3">
      <c r="A73" s="67" t="s">
        <v>457</v>
      </c>
      <c r="B73" s="68" t="s">
        <v>458</v>
      </c>
      <c r="C73" s="69">
        <v>43734</v>
      </c>
      <c r="D73" s="94">
        <v>43770</v>
      </c>
      <c r="E73" s="560"/>
      <c r="F73" s="95" t="s">
        <v>459</v>
      </c>
      <c r="G73" s="71" t="s">
        <v>181</v>
      </c>
      <c r="H73" s="72" t="s">
        <v>213</v>
      </c>
      <c r="I73" s="95" t="s">
        <v>1104</v>
      </c>
      <c r="J73" s="73">
        <f t="shared" si="9"/>
        <v>1</v>
      </c>
      <c r="K73" s="74" t="s">
        <v>204</v>
      </c>
      <c r="L73" s="95" t="s">
        <v>1105</v>
      </c>
      <c r="M73" s="126">
        <v>1</v>
      </c>
      <c r="N73" s="76" t="s">
        <v>19</v>
      </c>
      <c r="R73" s="73">
        <f t="shared" ref="R73:R136" si="11">IF(S73="В работе",0.3,IF(S73="Отписано",0.6,IF(S73="На доработку",0.9,IF(S73="Согласовано",1,0))))</f>
        <v>0</v>
      </c>
      <c r="S73" s="260"/>
      <c r="T73" s="260"/>
      <c r="U73" s="260"/>
      <c r="V73" s="260"/>
      <c r="W73" s="260"/>
      <c r="X73" s="260"/>
      <c r="Y73" s="565"/>
      <c r="Z73" s="565"/>
      <c r="AA73" s="566">
        <f t="shared" si="10"/>
        <v>0</v>
      </c>
      <c r="AB73" s="699"/>
    </row>
    <row r="74" spans="1:28" ht="15.75" customHeight="1" x14ac:dyDescent="0.3">
      <c r="A74" s="67" t="s">
        <v>460</v>
      </c>
      <c r="B74" s="68" t="s">
        <v>461</v>
      </c>
      <c r="C74" s="69">
        <v>43734</v>
      </c>
      <c r="D74" s="94">
        <v>43770</v>
      </c>
      <c r="E74" s="560"/>
      <c r="F74" s="71" t="s">
        <v>462</v>
      </c>
      <c r="G74" s="95" t="s">
        <v>158</v>
      </c>
      <c r="H74" s="72" t="s">
        <v>213</v>
      </c>
      <c r="I74" s="95" t="s">
        <v>642</v>
      </c>
      <c r="J74" s="73">
        <f t="shared" si="9"/>
        <v>1</v>
      </c>
      <c r="K74" s="74" t="s">
        <v>204</v>
      </c>
      <c r="L74" s="95" t="s">
        <v>1082</v>
      </c>
      <c r="M74" s="75">
        <v>1</v>
      </c>
      <c r="N74" s="76" t="s">
        <v>18</v>
      </c>
      <c r="R74" s="73">
        <f t="shared" si="11"/>
        <v>0</v>
      </c>
      <c r="S74" s="260"/>
      <c r="T74" s="260"/>
      <c r="U74" s="260"/>
      <c r="V74" s="260"/>
      <c r="W74" s="260"/>
      <c r="X74" s="260"/>
      <c r="Y74" s="565"/>
      <c r="Z74" s="565"/>
      <c r="AA74" s="566">
        <f t="shared" si="10"/>
        <v>0</v>
      </c>
      <c r="AB74" s="699"/>
    </row>
    <row r="75" spans="1:28" ht="15.75" customHeight="1" x14ac:dyDescent="0.3">
      <c r="A75" s="67" t="s">
        <v>463</v>
      </c>
      <c r="B75" s="77" t="s">
        <v>464</v>
      </c>
      <c r="C75" s="69">
        <v>43734</v>
      </c>
      <c r="D75" s="80">
        <v>43756</v>
      </c>
      <c r="E75" s="560"/>
      <c r="F75" s="71" t="s">
        <v>465</v>
      </c>
      <c r="G75" s="71" t="s">
        <v>158</v>
      </c>
      <c r="H75" s="72" t="s">
        <v>213</v>
      </c>
      <c r="I75" s="71"/>
      <c r="J75" s="73">
        <f t="shared" si="9"/>
        <v>1</v>
      </c>
      <c r="K75" s="74" t="s">
        <v>204</v>
      </c>
      <c r="L75" s="71" t="s">
        <v>467</v>
      </c>
      <c r="M75" s="79">
        <v>0</v>
      </c>
      <c r="N75" s="76" t="s">
        <v>18</v>
      </c>
      <c r="R75" s="73">
        <f t="shared" si="11"/>
        <v>0</v>
      </c>
      <c r="S75" s="260"/>
      <c r="T75" s="260"/>
      <c r="U75" s="260"/>
      <c r="V75" s="260"/>
      <c r="W75" s="260"/>
      <c r="X75" s="260"/>
      <c r="Y75" s="565"/>
      <c r="Z75" s="565"/>
      <c r="AA75" s="566">
        <f t="shared" si="10"/>
        <v>0</v>
      </c>
      <c r="AB75" s="699"/>
    </row>
    <row r="76" spans="1:28" ht="15.75" customHeight="1" x14ac:dyDescent="0.3">
      <c r="A76" s="67" t="s">
        <v>468</v>
      </c>
      <c r="B76" s="77" t="s">
        <v>469</v>
      </c>
      <c r="C76" s="69">
        <v>43721</v>
      </c>
      <c r="D76" s="80">
        <v>43756</v>
      </c>
      <c r="E76" s="560"/>
      <c r="F76" s="71" t="s">
        <v>470</v>
      </c>
      <c r="G76" s="71" t="s">
        <v>150</v>
      </c>
      <c r="H76" s="72" t="s">
        <v>213</v>
      </c>
      <c r="I76" s="95" t="s">
        <v>641</v>
      </c>
      <c r="J76" s="73">
        <f t="shared" si="9"/>
        <v>1</v>
      </c>
      <c r="K76" s="74" t="s">
        <v>204</v>
      </c>
      <c r="L76" s="71" t="s">
        <v>471</v>
      </c>
      <c r="M76" s="75">
        <v>1</v>
      </c>
      <c r="N76" s="76" t="s">
        <v>18</v>
      </c>
      <c r="R76" s="73">
        <f t="shared" si="11"/>
        <v>0</v>
      </c>
      <c r="S76" s="260"/>
      <c r="T76" s="260"/>
      <c r="U76" s="260"/>
      <c r="V76" s="260"/>
      <c r="W76" s="260"/>
      <c r="X76" s="260"/>
      <c r="Y76" s="565"/>
      <c r="Z76" s="565"/>
      <c r="AA76" s="566">
        <f t="shared" si="10"/>
        <v>0</v>
      </c>
      <c r="AB76" s="699"/>
    </row>
    <row r="77" spans="1:28" ht="15.75" customHeight="1" x14ac:dyDescent="0.3">
      <c r="A77" s="67" t="s">
        <v>472</v>
      </c>
      <c r="B77" s="77" t="s">
        <v>473</v>
      </c>
      <c r="C77" s="69">
        <v>43734</v>
      </c>
      <c r="D77" s="80">
        <v>43756</v>
      </c>
      <c r="E77" s="560"/>
      <c r="F77" s="71" t="s">
        <v>474</v>
      </c>
      <c r="G77" s="71" t="s">
        <v>152</v>
      </c>
      <c r="H77" s="72" t="s">
        <v>213</v>
      </c>
      <c r="I77" s="95" t="s">
        <v>972</v>
      </c>
      <c r="J77" s="73">
        <f t="shared" si="9"/>
        <v>1</v>
      </c>
      <c r="K77" s="74" t="s">
        <v>204</v>
      </c>
      <c r="L77" s="71" t="s">
        <v>475</v>
      </c>
      <c r="M77" s="79">
        <v>0</v>
      </c>
      <c r="N77" s="76" t="s">
        <v>17</v>
      </c>
      <c r="O77" s="111">
        <v>316666.65999999997</v>
      </c>
      <c r="R77" s="73">
        <f t="shared" si="11"/>
        <v>0</v>
      </c>
      <c r="S77" s="260"/>
      <c r="T77" s="260"/>
      <c r="U77" s="260"/>
      <c r="V77" s="260"/>
      <c r="W77" s="260"/>
      <c r="X77" s="260"/>
      <c r="Y77" s="565"/>
      <c r="Z77" s="565"/>
      <c r="AA77" s="566">
        <f t="shared" si="10"/>
        <v>0</v>
      </c>
      <c r="AB77" s="699"/>
    </row>
    <row r="78" spans="1:28" ht="15.75" customHeight="1" x14ac:dyDescent="0.3">
      <c r="A78" s="87" t="s">
        <v>476</v>
      </c>
      <c r="B78" s="68" t="s">
        <v>477</v>
      </c>
      <c r="C78" s="69">
        <v>43738</v>
      </c>
      <c r="D78" s="80">
        <v>43759</v>
      </c>
      <c r="E78" s="560"/>
      <c r="F78" s="71" t="s">
        <v>478</v>
      </c>
      <c r="G78" s="71" t="s">
        <v>152</v>
      </c>
      <c r="H78" s="72" t="s">
        <v>213</v>
      </c>
      <c r="I78" s="71" t="s">
        <v>622</v>
      </c>
      <c r="J78" s="73">
        <f t="shared" si="9"/>
        <v>1</v>
      </c>
      <c r="K78" s="74" t="s">
        <v>204</v>
      </c>
      <c r="L78" s="71" t="s">
        <v>640</v>
      </c>
      <c r="M78" s="79">
        <v>0</v>
      </c>
      <c r="N78" s="76" t="s">
        <v>19</v>
      </c>
      <c r="R78" s="73">
        <f t="shared" si="11"/>
        <v>0</v>
      </c>
      <c r="S78" s="260"/>
      <c r="T78" s="260"/>
      <c r="U78" s="260"/>
      <c r="V78" s="260"/>
      <c r="W78" s="260"/>
      <c r="X78" s="260"/>
      <c r="Y78" s="565"/>
      <c r="Z78" s="565"/>
      <c r="AA78" s="566">
        <f t="shared" si="10"/>
        <v>0</v>
      </c>
      <c r="AB78" s="699"/>
    </row>
    <row r="79" spans="1:28" ht="15.75" customHeight="1" x14ac:dyDescent="0.3">
      <c r="A79" s="147" t="s">
        <v>20</v>
      </c>
      <c r="B79" s="68" t="s">
        <v>479</v>
      </c>
      <c r="C79" s="69">
        <v>43738</v>
      </c>
      <c r="D79" s="94">
        <v>43774</v>
      </c>
      <c r="E79" s="560"/>
      <c r="F79" s="71" t="s">
        <v>21</v>
      </c>
      <c r="G79" s="71" t="s">
        <v>150</v>
      </c>
      <c r="H79" s="72" t="s">
        <v>213</v>
      </c>
      <c r="I79" s="71" t="s">
        <v>641</v>
      </c>
      <c r="J79" s="73">
        <f t="shared" si="9"/>
        <v>1</v>
      </c>
      <c r="K79" s="74" t="s">
        <v>204</v>
      </c>
      <c r="L79" s="95" t="s">
        <v>1095</v>
      </c>
      <c r="M79" s="75">
        <v>1</v>
      </c>
      <c r="N79" s="76" t="s">
        <v>17</v>
      </c>
      <c r="O79" s="111">
        <v>69942</v>
      </c>
      <c r="R79" s="73">
        <f t="shared" si="11"/>
        <v>0</v>
      </c>
      <c r="S79" s="260"/>
      <c r="T79" s="260"/>
      <c r="U79" s="260"/>
      <c r="V79" s="260"/>
      <c r="W79" s="260"/>
      <c r="X79" s="260"/>
      <c r="Y79" s="565"/>
      <c r="Z79" s="565"/>
      <c r="AA79" s="566">
        <f t="shared" si="10"/>
        <v>0</v>
      </c>
      <c r="AB79" s="699"/>
    </row>
    <row r="80" spans="1:28" ht="15.75" customHeight="1" x14ac:dyDescent="0.3">
      <c r="A80" s="147" t="s">
        <v>481</v>
      </c>
      <c r="B80" s="68" t="s">
        <v>482</v>
      </c>
      <c r="C80" s="69">
        <v>43738</v>
      </c>
      <c r="D80" s="94">
        <v>43774</v>
      </c>
      <c r="E80" s="560"/>
      <c r="F80" s="71" t="s">
        <v>483</v>
      </c>
      <c r="G80" s="95" t="s">
        <v>147</v>
      </c>
      <c r="H80" s="72" t="s">
        <v>213</v>
      </c>
      <c r="I80" s="71" t="s">
        <v>642</v>
      </c>
      <c r="J80" s="73">
        <f t="shared" si="9"/>
        <v>1</v>
      </c>
      <c r="K80" s="74" t="s">
        <v>204</v>
      </c>
      <c r="L80" s="95" t="s">
        <v>1096</v>
      </c>
      <c r="M80" s="75">
        <v>1</v>
      </c>
      <c r="N80" s="76" t="s">
        <v>17</v>
      </c>
      <c r="O80" s="111">
        <v>221100</v>
      </c>
      <c r="P80" s="111">
        <v>221100</v>
      </c>
      <c r="R80" s="73">
        <f t="shared" si="11"/>
        <v>0</v>
      </c>
      <c r="S80" s="260"/>
      <c r="T80" s="260"/>
      <c r="U80" s="260"/>
      <c r="V80" s="260"/>
      <c r="W80" s="260"/>
      <c r="X80" s="260"/>
      <c r="Y80" s="565"/>
      <c r="Z80" s="565"/>
      <c r="AA80" s="566">
        <f t="shared" si="10"/>
        <v>0</v>
      </c>
      <c r="AB80" s="699"/>
    </row>
    <row r="81" spans="1:28" ht="15.75" customHeight="1" x14ac:dyDescent="0.3">
      <c r="A81" s="87" t="s">
        <v>484</v>
      </c>
      <c r="B81" s="68" t="s">
        <v>485</v>
      </c>
      <c r="C81" s="69">
        <v>43738</v>
      </c>
      <c r="D81" s="80">
        <v>43759</v>
      </c>
      <c r="E81" s="560"/>
      <c r="F81" s="71" t="s">
        <v>486</v>
      </c>
      <c r="G81" s="71" t="s">
        <v>154</v>
      </c>
      <c r="H81" s="72" t="s">
        <v>213</v>
      </c>
      <c r="I81" s="71" t="s">
        <v>643</v>
      </c>
      <c r="J81" s="73">
        <f t="shared" si="9"/>
        <v>1</v>
      </c>
      <c r="K81" s="74" t="s">
        <v>204</v>
      </c>
      <c r="L81" s="71" t="s">
        <v>644</v>
      </c>
      <c r="M81" s="79">
        <v>0</v>
      </c>
      <c r="N81" s="76" t="s">
        <v>18</v>
      </c>
      <c r="R81" s="73">
        <f t="shared" si="11"/>
        <v>0</v>
      </c>
      <c r="S81" s="260"/>
      <c r="T81" s="260"/>
      <c r="U81" s="260"/>
      <c r="V81" s="260"/>
      <c r="W81" s="260"/>
      <c r="X81" s="260"/>
      <c r="Y81" s="565"/>
      <c r="Z81" s="565"/>
      <c r="AA81" s="566">
        <f t="shared" si="10"/>
        <v>0</v>
      </c>
      <c r="AB81" s="699"/>
    </row>
    <row r="82" spans="1:28" ht="15.75" customHeight="1" x14ac:dyDescent="0.3">
      <c r="A82" s="122" t="s">
        <v>487</v>
      </c>
      <c r="B82" s="88" t="s">
        <v>488</v>
      </c>
      <c r="C82" s="81">
        <v>43739</v>
      </c>
      <c r="D82" s="109">
        <v>43775</v>
      </c>
      <c r="E82" s="560"/>
      <c r="F82" s="86" t="s">
        <v>489</v>
      </c>
      <c r="G82" s="97" t="s">
        <v>150</v>
      </c>
      <c r="H82" s="79" t="s">
        <v>213</v>
      </c>
      <c r="I82" s="97" t="s">
        <v>641</v>
      </c>
      <c r="J82" s="73">
        <f t="shared" si="9"/>
        <v>1</v>
      </c>
      <c r="K82" s="74" t="s">
        <v>204</v>
      </c>
      <c r="L82" s="95" t="s">
        <v>1158</v>
      </c>
      <c r="M82" s="75">
        <v>1</v>
      </c>
      <c r="N82" s="76" t="s">
        <v>18</v>
      </c>
      <c r="O82" s="154"/>
      <c r="R82" s="73">
        <f t="shared" si="11"/>
        <v>0</v>
      </c>
      <c r="S82" s="260"/>
      <c r="T82" s="260"/>
      <c r="U82" s="260"/>
      <c r="V82" s="260"/>
      <c r="W82" s="260"/>
      <c r="X82" s="260"/>
      <c r="Y82" s="565"/>
      <c r="Z82" s="565"/>
      <c r="AA82" s="566">
        <f t="shared" si="10"/>
        <v>0</v>
      </c>
      <c r="AB82" s="699"/>
    </row>
    <row r="83" spans="1:28" ht="15.75" customHeight="1" x14ac:dyDescent="0.3">
      <c r="A83" s="89" t="s">
        <v>490</v>
      </c>
      <c r="B83" s="88" t="s">
        <v>491</v>
      </c>
      <c r="C83" s="81">
        <v>43739</v>
      </c>
      <c r="D83" s="109">
        <v>43760</v>
      </c>
      <c r="E83" s="560"/>
      <c r="F83" s="86" t="s">
        <v>492</v>
      </c>
      <c r="G83" s="86" t="s">
        <v>154</v>
      </c>
      <c r="H83" s="79" t="s">
        <v>213</v>
      </c>
      <c r="I83" s="86" t="s">
        <v>658</v>
      </c>
      <c r="J83" s="73">
        <f t="shared" si="9"/>
        <v>1</v>
      </c>
      <c r="K83" s="74" t="s">
        <v>204</v>
      </c>
      <c r="L83" s="71" t="s">
        <v>648</v>
      </c>
      <c r="M83" s="79">
        <v>0</v>
      </c>
      <c r="N83" s="76" t="s">
        <v>18</v>
      </c>
      <c r="R83" s="73">
        <f t="shared" si="11"/>
        <v>0</v>
      </c>
      <c r="S83" s="260"/>
      <c r="T83" s="260"/>
      <c r="U83" s="260"/>
      <c r="V83" s="260"/>
      <c r="W83" s="260"/>
      <c r="X83" s="260"/>
      <c r="Y83" s="565"/>
      <c r="Z83" s="565"/>
      <c r="AA83" s="566">
        <f t="shared" si="10"/>
        <v>0</v>
      </c>
      <c r="AB83" s="699"/>
    </row>
    <row r="84" spans="1:28" ht="15.75" customHeight="1" x14ac:dyDescent="0.3">
      <c r="A84" s="89" t="s">
        <v>493</v>
      </c>
      <c r="B84" s="77" t="s">
        <v>494</v>
      </c>
      <c r="C84" s="81">
        <v>43739</v>
      </c>
      <c r="D84" s="85">
        <v>43760</v>
      </c>
      <c r="E84" s="560"/>
      <c r="F84" s="86" t="s">
        <v>495</v>
      </c>
      <c r="G84" s="86" t="s">
        <v>158</v>
      </c>
      <c r="H84" s="79" t="s">
        <v>213</v>
      </c>
      <c r="I84" s="97" t="s">
        <v>995</v>
      </c>
      <c r="J84" s="73">
        <f t="shared" si="9"/>
        <v>1</v>
      </c>
      <c r="K84" s="74" t="s">
        <v>204</v>
      </c>
      <c r="L84" s="86" t="s">
        <v>654</v>
      </c>
      <c r="M84" s="79">
        <v>0</v>
      </c>
      <c r="N84" s="76" t="s">
        <v>19</v>
      </c>
      <c r="R84" s="73">
        <f t="shared" si="11"/>
        <v>0</v>
      </c>
      <c r="S84" s="260"/>
      <c r="T84" s="260"/>
      <c r="U84" s="260"/>
      <c r="V84" s="260"/>
      <c r="W84" s="260"/>
      <c r="X84" s="260"/>
      <c r="Y84" s="565"/>
      <c r="Z84" s="565"/>
      <c r="AA84" s="566">
        <f t="shared" si="10"/>
        <v>0</v>
      </c>
      <c r="AB84" s="699"/>
    </row>
    <row r="85" spans="1:28" ht="15.75" customHeight="1" x14ac:dyDescent="0.3">
      <c r="A85" s="89" t="s">
        <v>496</v>
      </c>
      <c r="B85" s="88" t="s">
        <v>497</v>
      </c>
      <c r="C85" s="81">
        <v>43739</v>
      </c>
      <c r="D85" s="85">
        <v>43760</v>
      </c>
      <c r="E85" s="560"/>
      <c r="F85" s="86" t="s">
        <v>498</v>
      </c>
      <c r="G85" s="86" t="s">
        <v>158</v>
      </c>
      <c r="H85" s="79" t="s">
        <v>213</v>
      </c>
      <c r="I85" s="97" t="s">
        <v>1285</v>
      </c>
      <c r="J85" s="73">
        <f t="shared" si="9"/>
        <v>1</v>
      </c>
      <c r="K85" s="74" t="s">
        <v>204</v>
      </c>
      <c r="L85" s="86" t="s">
        <v>651</v>
      </c>
      <c r="M85" s="79">
        <v>0</v>
      </c>
      <c r="N85" s="76" t="s">
        <v>19</v>
      </c>
      <c r="R85" s="73">
        <f t="shared" si="11"/>
        <v>0</v>
      </c>
      <c r="S85" s="260"/>
      <c r="T85" s="260"/>
      <c r="U85" s="260"/>
      <c r="V85" s="260"/>
      <c r="W85" s="260"/>
      <c r="X85" s="260"/>
      <c r="Y85" s="565"/>
      <c r="Z85" s="565"/>
      <c r="AA85" s="566">
        <f t="shared" si="10"/>
        <v>0</v>
      </c>
      <c r="AB85" s="699"/>
    </row>
    <row r="86" spans="1:28" ht="15.75" customHeight="1" x14ac:dyDescent="0.3">
      <c r="A86" s="89" t="s">
        <v>499</v>
      </c>
      <c r="B86" s="88" t="s">
        <v>500</v>
      </c>
      <c r="C86" s="81">
        <v>43739</v>
      </c>
      <c r="D86" s="85">
        <v>43760</v>
      </c>
      <c r="E86" s="560"/>
      <c r="F86" s="86" t="s">
        <v>501</v>
      </c>
      <c r="G86" s="86" t="s">
        <v>147</v>
      </c>
      <c r="H86" s="79" t="s">
        <v>213</v>
      </c>
      <c r="I86" s="97" t="s">
        <v>1854</v>
      </c>
      <c r="J86" s="73">
        <f t="shared" si="9"/>
        <v>1</v>
      </c>
      <c r="K86" s="74" t="s">
        <v>204</v>
      </c>
      <c r="L86" s="86" t="s">
        <v>655</v>
      </c>
      <c r="M86" s="79">
        <v>0</v>
      </c>
      <c r="N86" s="76" t="s">
        <v>19</v>
      </c>
      <c r="R86" s="73">
        <f t="shared" si="11"/>
        <v>0</v>
      </c>
      <c r="S86" s="260"/>
      <c r="T86" s="260"/>
      <c r="U86" s="260"/>
      <c r="V86" s="260"/>
      <c r="W86" s="260"/>
      <c r="X86" s="260"/>
      <c r="Y86" s="565"/>
      <c r="Z86" s="565"/>
      <c r="AA86" s="566">
        <f t="shared" si="10"/>
        <v>0</v>
      </c>
      <c r="AB86" s="699"/>
    </row>
    <row r="87" spans="1:28" ht="15.75" customHeight="1" x14ac:dyDescent="0.3">
      <c r="A87" s="79" t="s">
        <v>502</v>
      </c>
      <c r="B87" s="88" t="s">
        <v>503</v>
      </c>
      <c r="C87" s="81">
        <v>43739</v>
      </c>
      <c r="D87" s="85">
        <v>43761</v>
      </c>
      <c r="E87" s="560"/>
      <c r="F87" s="86" t="s">
        <v>504</v>
      </c>
      <c r="G87" s="86" t="s">
        <v>170</v>
      </c>
      <c r="H87" s="79" t="s">
        <v>213</v>
      </c>
      <c r="I87" s="86" t="s">
        <v>683</v>
      </c>
      <c r="J87" s="73">
        <f t="shared" si="9"/>
        <v>1</v>
      </c>
      <c r="K87" s="74" t="s">
        <v>204</v>
      </c>
      <c r="L87" s="86" t="s">
        <v>681</v>
      </c>
      <c r="M87" s="79">
        <v>0</v>
      </c>
      <c r="N87" s="76" t="s">
        <v>19</v>
      </c>
      <c r="R87" s="73">
        <f t="shared" si="11"/>
        <v>0</v>
      </c>
      <c r="S87" s="260"/>
      <c r="T87" s="260"/>
      <c r="U87" s="260"/>
      <c r="V87" s="260"/>
      <c r="W87" s="260"/>
      <c r="X87" s="260"/>
      <c r="Y87" s="565"/>
      <c r="Z87" s="565"/>
      <c r="AA87" s="566">
        <f t="shared" si="10"/>
        <v>0</v>
      </c>
      <c r="AB87" s="699"/>
    </row>
    <row r="88" spans="1:28" ht="15.75" customHeight="1" x14ac:dyDescent="0.3">
      <c r="A88" s="79" t="s">
        <v>505</v>
      </c>
      <c r="B88" s="88" t="s">
        <v>506</v>
      </c>
      <c r="C88" s="81">
        <v>43739</v>
      </c>
      <c r="D88" s="109">
        <v>43761</v>
      </c>
      <c r="E88" s="560"/>
      <c r="F88" s="86" t="s">
        <v>507</v>
      </c>
      <c r="G88" s="86" t="s">
        <v>156</v>
      </c>
      <c r="H88" s="79" t="s">
        <v>213</v>
      </c>
      <c r="I88" s="86" t="s">
        <v>684</v>
      </c>
      <c r="J88" s="73">
        <f t="shared" si="9"/>
        <v>1</v>
      </c>
      <c r="K88" s="74" t="s">
        <v>204</v>
      </c>
      <c r="L88" s="86" t="s">
        <v>682</v>
      </c>
      <c r="M88" s="79">
        <v>0</v>
      </c>
      <c r="N88" s="76" t="s">
        <v>18</v>
      </c>
      <c r="R88" s="73">
        <f t="shared" si="11"/>
        <v>0</v>
      </c>
      <c r="S88" s="260"/>
      <c r="T88" s="260"/>
      <c r="U88" s="260"/>
      <c r="V88" s="260"/>
      <c r="W88" s="260"/>
      <c r="X88" s="260"/>
      <c r="Y88" s="565"/>
      <c r="Z88" s="565"/>
      <c r="AA88" s="566">
        <f t="shared" si="10"/>
        <v>0</v>
      </c>
      <c r="AB88" s="699"/>
    </row>
    <row r="89" spans="1:28" ht="15.75" customHeight="1" x14ac:dyDescent="0.3">
      <c r="A89" s="92" t="s">
        <v>508</v>
      </c>
      <c r="B89" s="88" t="s">
        <v>509</v>
      </c>
      <c r="C89" s="81">
        <v>43739</v>
      </c>
      <c r="D89" s="109">
        <v>43776</v>
      </c>
      <c r="E89" s="560"/>
      <c r="F89" s="86" t="s">
        <v>510</v>
      </c>
      <c r="G89" s="97" t="s">
        <v>150</v>
      </c>
      <c r="H89" s="79" t="s">
        <v>213</v>
      </c>
      <c r="I89" s="86" t="s">
        <v>642</v>
      </c>
      <c r="J89" s="73">
        <f t="shared" si="9"/>
        <v>1</v>
      </c>
      <c r="K89" s="74" t="s">
        <v>204</v>
      </c>
      <c r="L89" s="97" t="s">
        <v>1164</v>
      </c>
      <c r="M89" s="75">
        <v>1</v>
      </c>
      <c r="N89" s="76" t="s">
        <v>18</v>
      </c>
      <c r="R89" s="73">
        <f t="shared" si="11"/>
        <v>0</v>
      </c>
      <c r="S89" s="260"/>
      <c r="T89" s="260"/>
      <c r="U89" s="260"/>
      <c r="V89" s="260"/>
      <c r="W89" s="260"/>
      <c r="X89" s="260"/>
      <c r="Y89" s="565"/>
      <c r="Z89" s="565"/>
      <c r="AA89" s="566">
        <f t="shared" si="10"/>
        <v>0</v>
      </c>
      <c r="AB89" s="699"/>
    </row>
    <row r="90" spans="1:28" ht="15.75" customHeight="1" x14ac:dyDescent="0.3">
      <c r="A90" s="66" t="s">
        <v>708</v>
      </c>
      <c r="B90" s="22" t="s">
        <v>1030</v>
      </c>
      <c r="C90" s="81">
        <v>43725</v>
      </c>
      <c r="D90" s="81">
        <v>43761</v>
      </c>
      <c r="E90" s="560"/>
      <c r="F90" s="86" t="s">
        <v>709</v>
      </c>
      <c r="G90" s="86" t="s">
        <v>150</v>
      </c>
      <c r="H90" s="79" t="s">
        <v>213</v>
      </c>
      <c r="I90" s="86" t="s">
        <v>710</v>
      </c>
      <c r="J90" s="73">
        <f t="shared" si="9"/>
        <v>1</v>
      </c>
      <c r="K90" s="74" t="s">
        <v>204</v>
      </c>
      <c r="L90" s="86" t="s">
        <v>711</v>
      </c>
      <c r="M90" s="75">
        <v>1</v>
      </c>
      <c r="N90" s="76" t="s">
        <v>17</v>
      </c>
      <c r="O90" s="111">
        <v>65100</v>
      </c>
      <c r="R90" s="73">
        <f t="shared" si="11"/>
        <v>0</v>
      </c>
      <c r="S90" s="260"/>
      <c r="T90" s="260"/>
      <c r="U90" s="260"/>
      <c r="V90" s="260"/>
      <c r="W90" s="260"/>
      <c r="X90" s="260"/>
      <c r="Y90" s="565"/>
      <c r="Z90" s="565"/>
      <c r="AA90" s="566">
        <f t="shared" si="10"/>
        <v>0</v>
      </c>
      <c r="AB90" s="699"/>
    </row>
    <row r="91" spans="1:28" ht="15.75" customHeight="1" x14ac:dyDescent="0.3">
      <c r="A91" s="79" t="s">
        <v>511</v>
      </c>
      <c r="B91" s="88" t="s">
        <v>512</v>
      </c>
      <c r="C91" s="81">
        <v>43739</v>
      </c>
      <c r="D91" s="109">
        <v>43776</v>
      </c>
      <c r="E91" s="560"/>
      <c r="F91" s="86" t="s">
        <v>513</v>
      </c>
      <c r="G91" s="97" t="s">
        <v>152</v>
      </c>
      <c r="H91" s="79" t="s">
        <v>213</v>
      </c>
      <c r="J91" s="73">
        <f t="shared" si="9"/>
        <v>1</v>
      </c>
      <c r="K91" s="74" t="s">
        <v>204</v>
      </c>
      <c r="L91" s="97" t="s">
        <v>1166</v>
      </c>
      <c r="M91" s="75">
        <v>1</v>
      </c>
      <c r="N91" s="76" t="s">
        <v>17</v>
      </c>
      <c r="O91" s="111">
        <v>32620</v>
      </c>
      <c r="R91" s="73">
        <f t="shared" si="11"/>
        <v>0</v>
      </c>
      <c r="S91" s="260"/>
      <c r="T91" s="260"/>
      <c r="U91" s="260"/>
      <c r="V91" s="260"/>
      <c r="W91" s="260"/>
      <c r="X91" s="260"/>
      <c r="Y91" s="565"/>
      <c r="Z91" s="565"/>
      <c r="AA91" s="566">
        <f t="shared" si="10"/>
        <v>0</v>
      </c>
      <c r="AB91" s="699"/>
    </row>
    <row r="92" spans="1:28" ht="15.75" customHeight="1" x14ac:dyDescent="0.3">
      <c r="A92" s="79" t="s">
        <v>514</v>
      </c>
      <c r="B92" s="88" t="s">
        <v>515</v>
      </c>
      <c r="C92" s="81">
        <v>43739</v>
      </c>
      <c r="D92" s="109">
        <v>43776</v>
      </c>
      <c r="E92" s="560"/>
      <c r="F92" s="86" t="s">
        <v>516</v>
      </c>
      <c r="G92" s="97" t="s">
        <v>189</v>
      </c>
      <c r="H92" s="79" t="s">
        <v>213</v>
      </c>
      <c r="J92" s="73">
        <f t="shared" si="9"/>
        <v>1</v>
      </c>
      <c r="K92" s="74" t="s">
        <v>204</v>
      </c>
      <c r="L92" s="97" t="s">
        <v>1163</v>
      </c>
      <c r="M92" s="75">
        <v>1</v>
      </c>
      <c r="N92" s="76" t="s">
        <v>18</v>
      </c>
      <c r="R92" s="73">
        <f t="shared" si="11"/>
        <v>0</v>
      </c>
      <c r="S92" s="260"/>
      <c r="T92" s="260"/>
      <c r="U92" s="260"/>
      <c r="V92" s="260"/>
      <c r="W92" s="260"/>
      <c r="X92" s="260"/>
      <c r="Y92" s="565"/>
      <c r="Z92" s="565"/>
      <c r="AA92" s="566">
        <f t="shared" si="10"/>
        <v>0</v>
      </c>
      <c r="AB92" s="699"/>
    </row>
    <row r="93" spans="1:28" ht="15.75" customHeight="1" x14ac:dyDescent="0.3">
      <c r="A93" s="79" t="s">
        <v>517</v>
      </c>
      <c r="B93" s="88" t="s">
        <v>518</v>
      </c>
      <c r="C93" s="81">
        <v>43740</v>
      </c>
      <c r="D93" s="85">
        <v>43762</v>
      </c>
      <c r="E93" s="560"/>
      <c r="F93" s="86" t="s">
        <v>519</v>
      </c>
      <c r="G93" s="86" t="s">
        <v>158</v>
      </c>
      <c r="H93" s="79" t="s">
        <v>213</v>
      </c>
      <c r="I93" s="86" t="s">
        <v>691</v>
      </c>
      <c r="J93" s="73">
        <f t="shared" si="9"/>
        <v>1</v>
      </c>
      <c r="K93" s="74" t="s">
        <v>204</v>
      </c>
      <c r="L93" s="86" t="s">
        <v>686</v>
      </c>
      <c r="M93" s="79">
        <v>0</v>
      </c>
      <c r="N93" s="76" t="s">
        <v>19</v>
      </c>
      <c r="R93" s="73">
        <f t="shared" si="11"/>
        <v>0</v>
      </c>
      <c r="S93" s="260"/>
      <c r="T93" s="260"/>
      <c r="U93" s="260"/>
      <c r="V93" s="260"/>
      <c r="W93" s="260"/>
      <c r="X93" s="260"/>
      <c r="Y93" s="565"/>
      <c r="Z93" s="565"/>
      <c r="AA93" s="566">
        <f t="shared" si="10"/>
        <v>0</v>
      </c>
      <c r="AB93" s="699"/>
    </row>
    <row r="94" spans="1:28" ht="15.75" customHeight="1" x14ac:dyDescent="0.3">
      <c r="A94" s="90" t="s">
        <v>520</v>
      </c>
      <c r="B94" s="88" t="s">
        <v>521</v>
      </c>
      <c r="C94" s="81">
        <v>43740</v>
      </c>
      <c r="D94" s="85">
        <v>43762</v>
      </c>
      <c r="E94" s="560"/>
      <c r="F94" s="86" t="s">
        <v>522</v>
      </c>
      <c r="G94" s="86" t="s">
        <v>152</v>
      </c>
      <c r="H94" s="79" t="s">
        <v>213</v>
      </c>
      <c r="I94" s="97" t="s">
        <v>2850</v>
      </c>
      <c r="J94" s="73">
        <f t="shared" si="9"/>
        <v>1</v>
      </c>
      <c r="K94" s="74" t="s">
        <v>204</v>
      </c>
      <c r="L94" s="86" t="s">
        <v>687</v>
      </c>
      <c r="M94" s="79">
        <v>0</v>
      </c>
      <c r="N94" s="76" t="s">
        <v>17</v>
      </c>
      <c r="O94" s="111">
        <v>277813.59999999998</v>
      </c>
      <c r="R94" s="73">
        <f t="shared" si="11"/>
        <v>0</v>
      </c>
      <c r="S94" s="260"/>
      <c r="T94" s="260"/>
      <c r="U94" s="260"/>
      <c r="V94" s="260"/>
      <c r="W94" s="260"/>
      <c r="X94" s="260"/>
      <c r="Y94" s="565"/>
      <c r="Z94" s="565"/>
      <c r="AA94" s="566">
        <f t="shared" si="10"/>
        <v>0</v>
      </c>
      <c r="AB94" s="699"/>
    </row>
    <row r="95" spans="1:28" ht="15.75" customHeight="1" x14ac:dyDescent="0.3">
      <c r="A95" s="89" t="s">
        <v>523</v>
      </c>
      <c r="B95" s="88" t="s">
        <v>524</v>
      </c>
      <c r="C95" s="81">
        <v>43740</v>
      </c>
      <c r="D95" s="109">
        <v>43777</v>
      </c>
      <c r="E95" s="560"/>
      <c r="F95" s="86" t="s">
        <v>525</v>
      </c>
      <c r="G95" s="97" t="s">
        <v>158</v>
      </c>
      <c r="H95" s="79" t="s">
        <v>213</v>
      </c>
      <c r="I95" s="86" t="s">
        <v>688</v>
      </c>
      <c r="J95" s="73">
        <f t="shared" si="9"/>
        <v>1</v>
      </c>
      <c r="K95" s="74" t="s">
        <v>204</v>
      </c>
      <c r="L95" s="97" t="s">
        <v>1168</v>
      </c>
      <c r="M95" s="75">
        <v>1</v>
      </c>
      <c r="N95" s="76" t="s">
        <v>17</v>
      </c>
      <c r="O95" s="111">
        <v>21200</v>
      </c>
      <c r="P95" s="111">
        <v>21200</v>
      </c>
      <c r="R95" s="73">
        <f t="shared" si="11"/>
        <v>0</v>
      </c>
      <c r="S95" s="260"/>
      <c r="T95" s="260"/>
      <c r="U95" s="260"/>
      <c r="V95" s="260"/>
      <c r="W95" s="260"/>
      <c r="X95" s="260"/>
      <c r="Y95" s="565"/>
      <c r="Z95" s="565"/>
      <c r="AA95" s="566">
        <f t="shared" si="10"/>
        <v>0</v>
      </c>
      <c r="AB95" s="699"/>
    </row>
    <row r="96" spans="1:28" ht="15.75" customHeight="1" x14ac:dyDescent="0.3">
      <c r="A96" s="79" t="s">
        <v>526</v>
      </c>
      <c r="B96" s="88" t="s">
        <v>527</v>
      </c>
      <c r="C96" s="81">
        <v>43740</v>
      </c>
      <c r="D96" s="109">
        <v>43762</v>
      </c>
      <c r="E96" s="560"/>
      <c r="F96" s="86" t="s">
        <v>528</v>
      </c>
      <c r="G96" s="86" t="s">
        <v>152</v>
      </c>
      <c r="H96" s="79" t="s">
        <v>213</v>
      </c>
      <c r="I96" s="97" t="s">
        <v>649</v>
      </c>
      <c r="J96" s="73">
        <f t="shared" si="9"/>
        <v>1</v>
      </c>
      <c r="K96" s="74" t="s">
        <v>204</v>
      </c>
      <c r="M96" s="79">
        <v>0</v>
      </c>
      <c r="N96" s="76" t="s">
        <v>17</v>
      </c>
      <c r="O96" s="111">
        <v>228000</v>
      </c>
      <c r="R96" s="73">
        <f t="shared" si="11"/>
        <v>0</v>
      </c>
      <c r="S96" s="260"/>
      <c r="T96" s="260"/>
      <c r="U96" s="260"/>
      <c r="V96" s="260"/>
      <c r="W96" s="260"/>
      <c r="X96" s="260"/>
      <c r="Y96" s="565"/>
      <c r="Z96" s="565"/>
      <c r="AA96" s="566">
        <f t="shared" si="10"/>
        <v>0</v>
      </c>
      <c r="AB96" s="699"/>
    </row>
    <row r="97" spans="1:28" ht="15.75" customHeight="1" x14ac:dyDescent="0.3">
      <c r="A97" s="79" t="s">
        <v>529</v>
      </c>
      <c r="B97" s="88" t="s">
        <v>530</v>
      </c>
      <c r="C97" s="81">
        <v>43740</v>
      </c>
      <c r="D97" s="109">
        <v>43762</v>
      </c>
      <c r="E97" s="560"/>
      <c r="F97" s="86" t="s">
        <v>531</v>
      </c>
      <c r="G97" s="86" t="s">
        <v>152</v>
      </c>
      <c r="H97" s="79" t="s">
        <v>268</v>
      </c>
      <c r="I97" s="86" t="s">
        <v>689</v>
      </c>
      <c r="J97" s="73">
        <f t="shared" si="9"/>
        <v>1</v>
      </c>
      <c r="K97" s="74" t="s">
        <v>204</v>
      </c>
      <c r="L97" s="97" t="s">
        <v>690</v>
      </c>
      <c r="M97" s="79">
        <v>0</v>
      </c>
      <c r="N97" s="76" t="s">
        <v>18</v>
      </c>
      <c r="R97" s="73">
        <f t="shared" si="11"/>
        <v>0</v>
      </c>
      <c r="S97" s="260"/>
      <c r="T97" s="260"/>
      <c r="U97" s="260"/>
      <c r="V97" s="260"/>
      <c r="W97" s="260"/>
      <c r="X97" s="260"/>
      <c r="Y97" s="565"/>
      <c r="Z97" s="565"/>
      <c r="AA97" s="566">
        <f t="shared" si="10"/>
        <v>0</v>
      </c>
      <c r="AB97" s="699"/>
    </row>
    <row r="98" spans="1:28" ht="15.75" customHeight="1" x14ac:dyDescent="0.3">
      <c r="A98" s="79" t="s">
        <v>532</v>
      </c>
      <c r="B98" s="88" t="s">
        <v>533</v>
      </c>
      <c r="C98" s="81">
        <v>43741</v>
      </c>
      <c r="D98" s="85">
        <v>43763</v>
      </c>
      <c r="E98" s="560"/>
      <c r="F98" s="86" t="s">
        <v>534</v>
      </c>
      <c r="G98" s="86" t="s">
        <v>152</v>
      </c>
      <c r="H98" s="79" t="s">
        <v>213</v>
      </c>
      <c r="I98" s="97" t="s">
        <v>649</v>
      </c>
      <c r="J98" s="73">
        <f t="shared" si="9"/>
        <v>1</v>
      </c>
      <c r="K98" s="74" t="s">
        <v>204</v>
      </c>
      <c r="L98" s="86" t="s">
        <v>694</v>
      </c>
      <c r="M98" s="79">
        <v>0</v>
      </c>
      <c r="N98" s="76" t="s">
        <v>17</v>
      </c>
      <c r="O98" s="111">
        <v>19116.48</v>
      </c>
      <c r="R98" s="73">
        <f t="shared" si="11"/>
        <v>0</v>
      </c>
      <c r="S98" s="260"/>
      <c r="T98" s="260"/>
      <c r="U98" s="260"/>
      <c r="V98" s="260"/>
      <c r="W98" s="260"/>
      <c r="X98" s="260"/>
      <c r="Y98" s="565"/>
      <c r="Z98" s="565"/>
      <c r="AA98" s="566">
        <f t="shared" si="10"/>
        <v>0</v>
      </c>
      <c r="AB98" s="699"/>
    </row>
    <row r="99" spans="1:28" ht="15.75" customHeight="1" x14ac:dyDescent="0.3">
      <c r="A99" s="79" t="s">
        <v>535</v>
      </c>
      <c r="B99" s="88" t="s">
        <v>536</v>
      </c>
      <c r="C99" s="81">
        <v>43741</v>
      </c>
      <c r="D99" s="85">
        <v>43763</v>
      </c>
      <c r="E99" s="560"/>
      <c r="F99" s="86" t="s">
        <v>537</v>
      </c>
      <c r="G99" s="86" t="s">
        <v>538</v>
      </c>
      <c r="H99" s="79" t="s">
        <v>213</v>
      </c>
      <c r="I99" s="86" t="s">
        <v>995</v>
      </c>
      <c r="J99" s="73">
        <f t="shared" si="9"/>
        <v>1</v>
      </c>
      <c r="K99" s="74" t="s">
        <v>204</v>
      </c>
      <c r="L99" s="86" t="s">
        <v>695</v>
      </c>
      <c r="M99" s="79">
        <v>0</v>
      </c>
      <c r="N99" s="76" t="s">
        <v>19</v>
      </c>
      <c r="R99" s="73">
        <f t="shared" si="11"/>
        <v>0</v>
      </c>
      <c r="S99" s="260"/>
      <c r="T99" s="260"/>
      <c r="U99" s="260"/>
      <c r="V99" s="260"/>
      <c r="W99" s="260"/>
      <c r="X99" s="260"/>
      <c r="Y99" s="565"/>
      <c r="Z99" s="565"/>
      <c r="AA99" s="566">
        <f t="shared" si="10"/>
        <v>0</v>
      </c>
      <c r="AB99" s="699"/>
    </row>
    <row r="100" spans="1:28" ht="15.75" customHeight="1" x14ac:dyDescent="0.3">
      <c r="A100" s="122" t="s">
        <v>539</v>
      </c>
      <c r="B100" s="88" t="s">
        <v>540</v>
      </c>
      <c r="C100" s="81">
        <v>43741</v>
      </c>
      <c r="D100" s="246">
        <v>43780</v>
      </c>
      <c r="E100" s="560"/>
      <c r="F100" s="86" t="s">
        <v>541</v>
      </c>
      <c r="G100" s="86" t="s">
        <v>156</v>
      </c>
      <c r="H100" s="79" t="s">
        <v>213</v>
      </c>
      <c r="I100" s="86" t="s">
        <v>714</v>
      </c>
      <c r="J100" s="73">
        <f t="shared" si="9"/>
        <v>1</v>
      </c>
      <c r="K100" s="74" t="s">
        <v>204</v>
      </c>
      <c r="L100" s="97" t="s">
        <v>1171</v>
      </c>
      <c r="M100" s="75">
        <v>1</v>
      </c>
      <c r="N100" s="76" t="s">
        <v>18</v>
      </c>
      <c r="R100" s="73">
        <f t="shared" si="11"/>
        <v>0</v>
      </c>
      <c r="S100" s="260"/>
      <c r="T100" s="260"/>
      <c r="U100" s="260"/>
      <c r="V100" s="260"/>
      <c r="W100" s="260"/>
      <c r="X100" s="260"/>
      <c r="Y100" s="565"/>
      <c r="Z100" s="565"/>
      <c r="AA100" s="566">
        <f t="shared" si="10"/>
        <v>0</v>
      </c>
      <c r="AB100" s="699"/>
    </row>
    <row r="101" spans="1:28" ht="15.75" customHeight="1" x14ac:dyDescent="0.3">
      <c r="A101" s="122" t="s">
        <v>542</v>
      </c>
      <c r="B101" s="88" t="s">
        <v>543</v>
      </c>
      <c r="C101" s="81">
        <v>43741</v>
      </c>
      <c r="D101" s="109">
        <v>43780</v>
      </c>
      <c r="E101" s="560"/>
      <c r="F101" s="86" t="s">
        <v>544</v>
      </c>
      <c r="G101" s="97" t="s">
        <v>410</v>
      </c>
      <c r="H101" s="79" t="s">
        <v>213</v>
      </c>
      <c r="J101" s="73">
        <f t="shared" si="9"/>
        <v>1</v>
      </c>
      <c r="K101" s="74" t="s">
        <v>204</v>
      </c>
      <c r="L101" s="97" t="s">
        <v>1260</v>
      </c>
      <c r="M101" s="75">
        <v>1</v>
      </c>
      <c r="N101" s="76" t="s">
        <v>17</v>
      </c>
      <c r="O101" s="111">
        <v>27700</v>
      </c>
      <c r="R101" s="73">
        <f t="shared" si="11"/>
        <v>0</v>
      </c>
      <c r="S101" s="260"/>
      <c r="T101" s="260"/>
      <c r="U101" s="260"/>
      <c r="V101" s="260"/>
      <c r="W101" s="260"/>
      <c r="X101" s="260"/>
      <c r="Y101" s="565"/>
      <c r="Z101" s="565"/>
      <c r="AA101" s="566">
        <f t="shared" si="10"/>
        <v>0</v>
      </c>
      <c r="AB101" s="699"/>
    </row>
    <row r="102" spans="1:28" ht="15.75" customHeight="1" x14ac:dyDescent="0.3">
      <c r="A102" s="79" t="s">
        <v>545</v>
      </c>
      <c r="B102" s="88" t="s">
        <v>546</v>
      </c>
      <c r="C102" s="81">
        <v>43741</v>
      </c>
      <c r="D102" s="85">
        <v>43763</v>
      </c>
      <c r="E102" s="560"/>
      <c r="F102" s="86" t="s">
        <v>547</v>
      </c>
      <c r="G102" s="86" t="s">
        <v>147</v>
      </c>
      <c r="H102" s="79" t="s">
        <v>268</v>
      </c>
      <c r="I102" s="97" t="s">
        <v>2794</v>
      </c>
      <c r="J102" s="73">
        <f t="shared" si="9"/>
        <v>1</v>
      </c>
      <c r="K102" s="74" t="s">
        <v>204</v>
      </c>
      <c r="L102" s="86" t="s">
        <v>696</v>
      </c>
      <c r="M102" s="79">
        <v>0</v>
      </c>
      <c r="N102" s="76" t="s">
        <v>18</v>
      </c>
      <c r="R102" s="73">
        <f t="shared" si="11"/>
        <v>0</v>
      </c>
      <c r="S102" s="260"/>
      <c r="T102" s="260"/>
      <c r="U102" s="260"/>
      <c r="V102" s="260"/>
      <c r="W102" s="260"/>
      <c r="X102" s="260"/>
      <c r="Y102" s="565"/>
      <c r="Z102" s="565"/>
      <c r="AA102" s="566">
        <f t="shared" si="10"/>
        <v>0</v>
      </c>
      <c r="AB102" s="699"/>
    </row>
    <row r="103" spans="1:28" ht="15.75" customHeight="1" x14ac:dyDescent="0.3">
      <c r="A103" s="122" t="s">
        <v>548</v>
      </c>
      <c r="B103" s="88" t="s">
        <v>549</v>
      </c>
      <c r="C103" s="81">
        <v>43741</v>
      </c>
      <c r="D103" s="109">
        <v>43780</v>
      </c>
      <c r="E103" s="560"/>
      <c r="F103" s="86" t="s">
        <v>550</v>
      </c>
      <c r="G103" s="86" t="s">
        <v>152</v>
      </c>
      <c r="H103" s="79" t="s">
        <v>213</v>
      </c>
      <c r="I103" s="86" t="s">
        <v>642</v>
      </c>
      <c r="J103" s="73">
        <f t="shared" si="9"/>
        <v>1</v>
      </c>
      <c r="K103" s="74" t="s">
        <v>204</v>
      </c>
      <c r="L103" s="97" t="s">
        <v>1189</v>
      </c>
      <c r="M103" s="75">
        <v>1</v>
      </c>
      <c r="N103" s="76" t="s">
        <v>17</v>
      </c>
      <c r="O103" s="111">
        <v>163607</v>
      </c>
      <c r="R103" s="73">
        <f t="shared" si="11"/>
        <v>0</v>
      </c>
      <c r="S103" s="260"/>
      <c r="T103" s="260"/>
      <c r="U103" s="260"/>
      <c r="V103" s="260"/>
      <c r="W103" s="260"/>
      <c r="X103" s="260"/>
      <c r="Y103" s="565"/>
      <c r="Z103" s="565"/>
      <c r="AA103" s="566">
        <f t="shared" si="10"/>
        <v>0</v>
      </c>
      <c r="AB103" s="699"/>
    </row>
    <row r="104" spans="1:28" ht="15.75" customHeight="1" x14ac:dyDescent="0.3">
      <c r="A104" s="79" t="s">
        <v>721</v>
      </c>
      <c r="B104" s="88" t="s">
        <v>727</v>
      </c>
      <c r="C104" s="81">
        <v>43742</v>
      </c>
      <c r="D104" s="85">
        <v>43763</v>
      </c>
      <c r="E104" s="560"/>
      <c r="F104" s="86" t="s">
        <v>720</v>
      </c>
      <c r="G104" s="86" t="s">
        <v>410</v>
      </c>
      <c r="H104" s="79" t="s">
        <v>213</v>
      </c>
      <c r="I104" s="86" t="s">
        <v>722</v>
      </c>
      <c r="J104" s="73">
        <f t="shared" si="9"/>
        <v>1</v>
      </c>
      <c r="K104" s="74" t="s">
        <v>204</v>
      </c>
      <c r="L104" s="97" t="s">
        <v>723</v>
      </c>
      <c r="M104" s="79">
        <v>0</v>
      </c>
      <c r="N104" s="76" t="s">
        <v>18</v>
      </c>
      <c r="R104" s="73">
        <f t="shared" si="11"/>
        <v>0</v>
      </c>
      <c r="S104" s="260"/>
      <c r="T104" s="260"/>
      <c r="U104" s="260"/>
      <c r="V104" s="260"/>
      <c r="W104" s="260"/>
      <c r="X104" s="260"/>
      <c r="Y104" s="565"/>
      <c r="Z104" s="565"/>
      <c r="AA104" s="566">
        <f t="shared" si="10"/>
        <v>0</v>
      </c>
      <c r="AB104" s="699"/>
    </row>
    <row r="105" spans="1:28" ht="15.75" customHeight="1" x14ac:dyDescent="0.3">
      <c r="A105" s="121" t="s">
        <v>724</v>
      </c>
      <c r="B105" s="88" t="s">
        <v>725</v>
      </c>
      <c r="C105" s="81">
        <v>43728</v>
      </c>
      <c r="D105" s="85">
        <v>43763</v>
      </c>
      <c r="E105" s="560"/>
      <c r="F105" s="86" t="s">
        <v>726</v>
      </c>
      <c r="G105" s="86" t="s">
        <v>147</v>
      </c>
      <c r="H105" s="79" t="s">
        <v>213</v>
      </c>
      <c r="I105" s="97" t="s">
        <v>1283</v>
      </c>
      <c r="J105" s="73">
        <f t="shared" si="9"/>
        <v>1</v>
      </c>
      <c r="K105" s="74" t="s">
        <v>204</v>
      </c>
      <c r="L105" s="97" t="s">
        <v>884</v>
      </c>
      <c r="M105" s="75">
        <v>1</v>
      </c>
      <c r="N105" s="76" t="s">
        <v>19</v>
      </c>
      <c r="R105" s="73">
        <f t="shared" si="11"/>
        <v>0</v>
      </c>
      <c r="S105" s="260"/>
      <c r="T105" s="260"/>
      <c r="U105" s="260"/>
      <c r="V105" s="260"/>
      <c r="W105" s="260"/>
      <c r="X105" s="260"/>
      <c r="Y105" s="565"/>
      <c r="Z105" s="565"/>
      <c r="AA105" s="566">
        <f t="shared" si="10"/>
        <v>0</v>
      </c>
      <c r="AB105" s="699"/>
    </row>
    <row r="106" spans="1:28" ht="15.75" customHeight="1" x14ac:dyDescent="0.3">
      <c r="A106" s="121" t="s">
        <v>728</v>
      </c>
      <c r="B106" s="88" t="s">
        <v>735</v>
      </c>
      <c r="C106" s="81">
        <v>43742</v>
      </c>
      <c r="D106" s="109">
        <v>43781</v>
      </c>
      <c r="E106" s="560"/>
      <c r="F106" s="86" t="s">
        <v>731</v>
      </c>
      <c r="G106" s="86" t="s">
        <v>150</v>
      </c>
      <c r="H106" s="79" t="s">
        <v>213</v>
      </c>
      <c r="I106" s="97" t="s">
        <v>714</v>
      </c>
      <c r="J106" s="73">
        <f t="shared" si="9"/>
        <v>1</v>
      </c>
      <c r="K106" s="74" t="s">
        <v>204</v>
      </c>
      <c r="L106" s="97" t="s">
        <v>1190</v>
      </c>
      <c r="M106" s="75">
        <v>1</v>
      </c>
      <c r="N106" s="76" t="s">
        <v>17</v>
      </c>
      <c r="O106" s="111">
        <v>45700</v>
      </c>
      <c r="R106" s="73">
        <f t="shared" si="11"/>
        <v>0</v>
      </c>
      <c r="S106" s="260"/>
      <c r="T106" s="260"/>
      <c r="U106" s="260"/>
      <c r="V106" s="260"/>
      <c r="W106" s="260"/>
      <c r="X106" s="260"/>
      <c r="Y106" s="565"/>
      <c r="Z106" s="565"/>
      <c r="AA106" s="566">
        <f t="shared" si="10"/>
        <v>0</v>
      </c>
      <c r="AB106" s="699"/>
    </row>
    <row r="107" spans="1:28" ht="15.75" customHeight="1" x14ac:dyDescent="0.3">
      <c r="A107" s="121" t="s">
        <v>729</v>
      </c>
      <c r="B107" s="88" t="s">
        <v>736</v>
      </c>
      <c r="C107" s="81">
        <v>43742</v>
      </c>
      <c r="D107" s="109">
        <v>43781</v>
      </c>
      <c r="E107" s="560"/>
      <c r="F107" s="86" t="s">
        <v>732</v>
      </c>
      <c r="G107" s="86" t="s">
        <v>733</v>
      </c>
      <c r="H107" s="79" t="s">
        <v>213</v>
      </c>
      <c r="I107" s="97" t="s">
        <v>1282</v>
      </c>
      <c r="J107" s="73">
        <f t="shared" si="9"/>
        <v>1</v>
      </c>
      <c r="K107" s="74" t="s">
        <v>204</v>
      </c>
      <c r="L107" s="97" t="s">
        <v>1172</v>
      </c>
      <c r="M107" s="79">
        <v>0</v>
      </c>
      <c r="N107" s="76" t="s">
        <v>19</v>
      </c>
      <c r="R107" s="73">
        <f t="shared" si="11"/>
        <v>0</v>
      </c>
      <c r="S107" s="260"/>
      <c r="T107" s="260"/>
      <c r="U107" s="260"/>
      <c r="V107" s="260"/>
      <c r="W107" s="260"/>
      <c r="X107" s="260"/>
      <c r="Y107" s="565"/>
      <c r="Z107" s="565"/>
      <c r="AA107" s="566">
        <f t="shared" si="10"/>
        <v>0</v>
      </c>
      <c r="AB107" s="699"/>
    </row>
    <row r="108" spans="1:28" ht="15.75" customHeight="1" x14ac:dyDescent="0.3">
      <c r="A108" s="66" t="s">
        <v>730</v>
      </c>
      <c r="B108" s="248" t="s">
        <v>737</v>
      </c>
      <c r="C108" s="81">
        <v>43742</v>
      </c>
      <c r="D108" s="109">
        <v>43781</v>
      </c>
      <c r="E108" s="560"/>
      <c r="F108" s="86" t="s">
        <v>734</v>
      </c>
      <c r="G108" s="97" t="s">
        <v>158</v>
      </c>
      <c r="H108" s="79" t="s">
        <v>213</v>
      </c>
      <c r="I108" s="97" t="s">
        <v>714</v>
      </c>
      <c r="J108" s="73">
        <f t="shared" si="9"/>
        <v>1</v>
      </c>
      <c r="K108" s="74" t="s">
        <v>204</v>
      </c>
      <c r="L108" s="97" t="s">
        <v>1281</v>
      </c>
      <c r="M108" s="75">
        <v>1</v>
      </c>
      <c r="N108" s="76" t="s">
        <v>18</v>
      </c>
      <c r="R108" s="73">
        <f t="shared" si="11"/>
        <v>0</v>
      </c>
      <c r="S108" s="260"/>
      <c r="T108" s="260"/>
      <c r="U108" s="260"/>
      <c r="V108" s="260"/>
      <c r="W108" s="260"/>
      <c r="X108" s="260"/>
      <c r="Y108" s="565"/>
      <c r="Z108" s="565"/>
      <c r="AA108" s="566">
        <f t="shared" si="10"/>
        <v>0</v>
      </c>
      <c r="AB108" s="699"/>
    </row>
    <row r="109" spans="1:28" ht="15.75" customHeight="1" x14ac:dyDescent="0.3">
      <c r="A109" s="117" t="s">
        <v>738</v>
      </c>
      <c r="B109" s="22" t="s">
        <v>748</v>
      </c>
      <c r="C109" s="81">
        <v>43745</v>
      </c>
      <c r="D109" s="94">
        <v>43796</v>
      </c>
      <c r="E109" s="560"/>
      <c r="F109" s="97" t="s">
        <v>743</v>
      </c>
      <c r="G109" s="97" t="s">
        <v>152</v>
      </c>
      <c r="H109" s="79" t="s">
        <v>213</v>
      </c>
      <c r="I109" s="97" t="s">
        <v>657</v>
      </c>
      <c r="J109" s="73">
        <f t="shared" si="9"/>
        <v>1</v>
      </c>
      <c r="K109" s="74" t="s">
        <v>204</v>
      </c>
      <c r="L109" s="97" t="s">
        <v>8124</v>
      </c>
      <c r="M109" s="126">
        <v>1</v>
      </c>
      <c r="N109" s="76" t="s">
        <v>19</v>
      </c>
      <c r="Q109" s="301" t="s">
        <v>1977</v>
      </c>
      <c r="R109" s="73">
        <f t="shared" si="11"/>
        <v>1</v>
      </c>
      <c r="S109" s="260" t="s">
        <v>1976</v>
      </c>
      <c r="T109" s="260"/>
      <c r="U109" s="260"/>
      <c r="V109" s="260"/>
      <c r="W109" s="260"/>
      <c r="X109" s="260"/>
      <c r="Y109" s="565"/>
      <c r="Z109" s="565"/>
      <c r="AA109" s="566">
        <f t="shared" si="10"/>
        <v>0</v>
      </c>
      <c r="AB109" s="699"/>
    </row>
    <row r="110" spans="1:28" ht="15.75" customHeight="1" x14ac:dyDescent="0.3">
      <c r="A110" s="117" t="s">
        <v>739</v>
      </c>
      <c r="B110" s="22" t="s">
        <v>749</v>
      </c>
      <c r="C110" s="81">
        <v>43745</v>
      </c>
      <c r="D110" s="94">
        <v>43796</v>
      </c>
      <c r="E110" s="560"/>
      <c r="F110" s="86" t="s">
        <v>744</v>
      </c>
      <c r="G110" s="97" t="s">
        <v>157</v>
      </c>
      <c r="H110" s="79" t="s">
        <v>213</v>
      </c>
      <c r="I110" s="97" t="s">
        <v>642</v>
      </c>
      <c r="J110" s="73">
        <f t="shared" si="9"/>
        <v>1</v>
      </c>
      <c r="K110" s="74" t="s">
        <v>204</v>
      </c>
      <c r="L110" s="95" t="s">
        <v>1906</v>
      </c>
      <c r="M110" s="75">
        <v>1</v>
      </c>
      <c r="N110" s="76" t="s">
        <v>17</v>
      </c>
      <c r="O110" s="111">
        <v>52400</v>
      </c>
      <c r="Q110" s="301" t="s">
        <v>1970</v>
      </c>
      <c r="R110" s="73">
        <f t="shared" si="11"/>
        <v>1</v>
      </c>
      <c r="S110" s="260" t="s">
        <v>1976</v>
      </c>
      <c r="T110" s="260"/>
      <c r="U110" s="260"/>
      <c r="V110" s="260"/>
      <c r="W110" s="260"/>
      <c r="X110" s="260"/>
      <c r="Y110" s="565"/>
      <c r="Z110" s="565"/>
      <c r="AA110" s="566">
        <f t="shared" si="10"/>
        <v>0</v>
      </c>
      <c r="AB110" s="699"/>
    </row>
    <row r="111" spans="1:28" ht="15.75" customHeight="1" x14ac:dyDescent="0.3">
      <c r="A111" s="117" t="s">
        <v>740</v>
      </c>
      <c r="B111" s="22" t="s">
        <v>750</v>
      </c>
      <c r="C111" s="81">
        <v>43745</v>
      </c>
      <c r="D111" s="94">
        <v>43782</v>
      </c>
      <c r="E111" s="560"/>
      <c r="F111" s="86" t="s">
        <v>745</v>
      </c>
      <c r="G111" s="86" t="s">
        <v>150</v>
      </c>
      <c r="H111" s="79" t="s">
        <v>213</v>
      </c>
      <c r="I111" s="97" t="s">
        <v>1299</v>
      </c>
      <c r="J111" s="73">
        <f t="shared" si="9"/>
        <v>1</v>
      </c>
      <c r="K111" s="74" t="s">
        <v>204</v>
      </c>
      <c r="L111" s="97" t="s">
        <v>1289</v>
      </c>
      <c r="M111" s="75">
        <v>1</v>
      </c>
      <c r="N111" s="76" t="s">
        <v>17</v>
      </c>
      <c r="O111" s="111">
        <v>119725.72</v>
      </c>
      <c r="R111" s="73">
        <f t="shared" si="11"/>
        <v>0</v>
      </c>
      <c r="S111" s="260"/>
      <c r="T111" s="260"/>
      <c r="U111" s="260"/>
      <c r="V111" s="260"/>
      <c r="W111" s="260"/>
      <c r="X111" s="260"/>
      <c r="Y111" s="565"/>
      <c r="Z111" s="565"/>
      <c r="AA111" s="566">
        <f t="shared" si="10"/>
        <v>0</v>
      </c>
      <c r="AB111" s="699"/>
    </row>
    <row r="112" spans="1:28" ht="15.75" customHeight="1" x14ac:dyDescent="0.3">
      <c r="A112" s="117" t="s">
        <v>741</v>
      </c>
      <c r="B112" s="22" t="s">
        <v>751</v>
      </c>
      <c r="C112" s="81">
        <v>43745</v>
      </c>
      <c r="D112" s="94">
        <v>43782</v>
      </c>
      <c r="E112" s="560"/>
      <c r="F112" s="86" t="s">
        <v>746</v>
      </c>
      <c r="G112" s="97" t="s">
        <v>158</v>
      </c>
      <c r="H112" s="79" t="s">
        <v>213</v>
      </c>
      <c r="I112" s="97" t="s">
        <v>755</v>
      </c>
      <c r="J112" s="73">
        <f t="shared" si="9"/>
        <v>1</v>
      </c>
      <c r="K112" s="74" t="s">
        <v>204</v>
      </c>
      <c r="L112" s="98" t="s">
        <v>1174</v>
      </c>
      <c r="M112" s="75">
        <v>1</v>
      </c>
      <c r="N112" s="76" t="s">
        <v>18</v>
      </c>
      <c r="R112" s="73">
        <f t="shared" si="11"/>
        <v>0</v>
      </c>
      <c r="S112" s="260"/>
      <c r="T112" s="260"/>
      <c r="U112" s="260"/>
      <c r="V112" s="260"/>
      <c r="W112" s="260"/>
      <c r="X112" s="260"/>
      <c r="Y112" s="565"/>
      <c r="Z112" s="565"/>
      <c r="AA112" s="566">
        <f t="shared" si="10"/>
        <v>0</v>
      </c>
      <c r="AB112" s="699"/>
    </row>
    <row r="113" spans="1:28" ht="15.75" customHeight="1" x14ac:dyDescent="0.3">
      <c r="A113" s="117" t="s">
        <v>742</v>
      </c>
      <c r="B113" s="22" t="s">
        <v>752</v>
      </c>
      <c r="C113" s="81">
        <v>43745</v>
      </c>
      <c r="D113" s="94">
        <v>43782</v>
      </c>
      <c r="E113" s="560"/>
      <c r="F113" s="86" t="s">
        <v>747</v>
      </c>
      <c r="G113" s="86" t="s">
        <v>175</v>
      </c>
      <c r="H113" s="79" t="s">
        <v>213</v>
      </c>
      <c r="I113" s="97" t="s">
        <v>645</v>
      </c>
      <c r="J113" s="73">
        <f t="shared" si="9"/>
        <v>1</v>
      </c>
      <c r="K113" s="74" t="s">
        <v>204</v>
      </c>
      <c r="L113" s="97" t="s">
        <v>1660</v>
      </c>
      <c r="M113" s="75">
        <v>1</v>
      </c>
      <c r="N113" s="76" t="s">
        <v>18</v>
      </c>
      <c r="R113" s="73">
        <f t="shared" si="11"/>
        <v>0</v>
      </c>
      <c r="S113" s="260"/>
      <c r="T113" s="260"/>
      <c r="U113" s="260"/>
      <c r="V113" s="260"/>
      <c r="W113" s="260"/>
      <c r="X113" s="260"/>
      <c r="Y113" s="565"/>
      <c r="Z113" s="565"/>
      <c r="AA113" s="566">
        <f t="shared" si="10"/>
        <v>0</v>
      </c>
      <c r="AB113" s="699"/>
    </row>
    <row r="114" spans="1:28" ht="15.75" customHeight="1" x14ac:dyDescent="0.3">
      <c r="A114" s="121" t="s">
        <v>878</v>
      </c>
      <c r="B114" s="22" t="s">
        <v>880</v>
      </c>
      <c r="C114" s="81">
        <v>43731</v>
      </c>
      <c r="D114" s="109">
        <v>43767</v>
      </c>
      <c r="E114" s="560"/>
      <c r="F114" s="97" t="s">
        <v>879</v>
      </c>
      <c r="G114" s="86" t="s">
        <v>150</v>
      </c>
      <c r="H114" s="79" t="s">
        <v>213</v>
      </c>
      <c r="J114" s="73">
        <f t="shared" si="9"/>
        <v>1</v>
      </c>
      <c r="K114" s="74" t="s">
        <v>204</v>
      </c>
      <c r="M114" s="75">
        <v>1</v>
      </c>
      <c r="N114" s="76" t="s">
        <v>18</v>
      </c>
      <c r="R114" s="73">
        <f t="shared" si="11"/>
        <v>0</v>
      </c>
      <c r="S114" s="260"/>
      <c r="T114" s="260"/>
      <c r="U114" s="260"/>
      <c r="V114" s="260"/>
      <c r="W114" s="260"/>
      <c r="X114" s="260"/>
      <c r="Y114" s="565"/>
      <c r="Z114" s="565"/>
      <c r="AA114" s="566">
        <f t="shared" si="10"/>
        <v>0</v>
      </c>
      <c r="AB114" s="699"/>
    </row>
    <row r="115" spans="1:28" ht="15.75" customHeight="1" x14ac:dyDescent="0.3">
      <c r="A115" s="121" t="s">
        <v>881</v>
      </c>
      <c r="B115" s="22" t="s">
        <v>882</v>
      </c>
      <c r="C115" s="81">
        <v>43746</v>
      </c>
      <c r="D115" s="109">
        <v>43782</v>
      </c>
      <c r="E115" s="560"/>
      <c r="F115" s="97" t="s">
        <v>883</v>
      </c>
      <c r="G115" s="97" t="s">
        <v>168</v>
      </c>
      <c r="H115" s="79" t="s">
        <v>213</v>
      </c>
      <c r="J115" s="73">
        <f t="shared" si="9"/>
        <v>1</v>
      </c>
      <c r="K115" s="74" t="s">
        <v>204</v>
      </c>
      <c r="L115" s="97" t="s">
        <v>1175</v>
      </c>
      <c r="M115" s="75">
        <v>1</v>
      </c>
      <c r="N115" s="76" t="s">
        <v>17</v>
      </c>
      <c r="O115" s="111">
        <v>43859</v>
      </c>
      <c r="R115" s="73">
        <f t="shared" si="11"/>
        <v>0</v>
      </c>
      <c r="S115" s="260"/>
      <c r="T115" s="260"/>
      <c r="U115" s="260"/>
      <c r="V115" s="260"/>
      <c r="W115" s="260"/>
      <c r="X115" s="260"/>
      <c r="Y115" s="565"/>
      <c r="Z115" s="565"/>
      <c r="AA115" s="566">
        <f t="shared" si="10"/>
        <v>0</v>
      </c>
      <c r="AB115" s="699"/>
    </row>
    <row r="116" spans="1:28" ht="15.75" customHeight="1" x14ac:dyDescent="0.3">
      <c r="A116" s="117" t="s">
        <v>926</v>
      </c>
      <c r="B116" s="22" t="s">
        <v>966</v>
      </c>
      <c r="C116" s="115">
        <v>43746</v>
      </c>
      <c r="D116" s="109">
        <v>43768</v>
      </c>
      <c r="E116" s="560"/>
      <c r="F116" s="86" t="s">
        <v>932</v>
      </c>
      <c r="G116" s="86" t="s">
        <v>156</v>
      </c>
      <c r="H116" s="79" t="s">
        <v>213</v>
      </c>
      <c r="I116" s="97" t="s">
        <v>684</v>
      </c>
      <c r="J116" s="73">
        <f t="shared" si="9"/>
        <v>1</v>
      </c>
      <c r="K116" s="74" t="s">
        <v>204</v>
      </c>
      <c r="L116" s="97" t="s">
        <v>988</v>
      </c>
      <c r="M116" s="79">
        <v>0</v>
      </c>
      <c r="N116" s="76" t="s">
        <v>18</v>
      </c>
      <c r="R116" s="73">
        <f t="shared" si="11"/>
        <v>0</v>
      </c>
      <c r="S116" s="260"/>
      <c r="T116" s="260"/>
      <c r="U116" s="260"/>
      <c r="V116" s="260"/>
      <c r="W116" s="260"/>
      <c r="X116" s="260"/>
      <c r="Y116" s="565"/>
      <c r="Z116" s="565"/>
      <c r="AA116" s="566">
        <f t="shared" si="10"/>
        <v>0</v>
      </c>
      <c r="AB116" s="699"/>
    </row>
    <row r="117" spans="1:28" ht="15.75" customHeight="1" x14ac:dyDescent="0.3">
      <c r="A117" s="117" t="s">
        <v>927</v>
      </c>
      <c r="B117" s="22" t="s">
        <v>967</v>
      </c>
      <c r="C117" s="115">
        <v>43746</v>
      </c>
      <c r="D117" s="109">
        <v>43768</v>
      </c>
      <c r="E117" s="560"/>
      <c r="F117" s="86" t="s">
        <v>933</v>
      </c>
      <c r="G117" s="86" t="s">
        <v>172</v>
      </c>
      <c r="H117" s="79" t="s">
        <v>213</v>
      </c>
      <c r="I117" s="97" t="s">
        <v>658</v>
      </c>
      <c r="J117" s="73">
        <f t="shared" si="9"/>
        <v>1</v>
      </c>
      <c r="K117" s="74" t="s">
        <v>204</v>
      </c>
      <c r="L117" s="97" t="s">
        <v>992</v>
      </c>
      <c r="M117" s="79">
        <v>0</v>
      </c>
      <c r="N117" s="76" t="s">
        <v>18</v>
      </c>
      <c r="R117" s="73">
        <f t="shared" si="11"/>
        <v>0</v>
      </c>
      <c r="S117" s="260"/>
      <c r="T117" s="260"/>
      <c r="U117" s="260"/>
      <c r="V117" s="260"/>
      <c r="W117" s="260"/>
      <c r="X117" s="260"/>
      <c r="Y117" s="565"/>
      <c r="Z117" s="565"/>
      <c r="AA117" s="566">
        <f t="shared" si="10"/>
        <v>0</v>
      </c>
      <c r="AB117" s="699"/>
    </row>
    <row r="118" spans="1:28" ht="15.75" customHeight="1" x14ac:dyDescent="0.3">
      <c r="A118" s="117" t="s">
        <v>928</v>
      </c>
      <c r="B118" s="22" t="s">
        <v>968</v>
      </c>
      <c r="C118" s="115">
        <v>43746</v>
      </c>
      <c r="D118" s="109">
        <v>43783</v>
      </c>
      <c r="E118" s="560"/>
      <c r="F118" s="86" t="s">
        <v>934</v>
      </c>
      <c r="G118" s="86" t="s">
        <v>935</v>
      </c>
      <c r="H118" s="79" t="s">
        <v>213</v>
      </c>
      <c r="J118" s="73">
        <f t="shared" si="9"/>
        <v>1</v>
      </c>
      <c r="K118" s="74" t="s">
        <v>204</v>
      </c>
      <c r="L118" s="97" t="s">
        <v>1341</v>
      </c>
      <c r="M118" s="75">
        <v>1</v>
      </c>
      <c r="N118" s="76" t="s">
        <v>17</v>
      </c>
      <c r="O118" s="111">
        <v>1600</v>
      </c>
      <c r="P118" s="111">
        <v>1600</v>
      </c>
      <c r="R118" s="73">
        <f t="shared" si="11"/>
        <v>0</v>
      </c>
      <c r="S118" s="260"/>
      <c r="T118" s="260"/>
      <c r="U118" s="260"/>
      <c r="V118" s="260"/>
      <c r="W118" s="260"/>
      <c r="X118" s="260"/>
      <c r="Y118" s="565"/>
      <c r="Z118" s="565"/>
      <c r="AA118" s="566">
        <f t="shared" si="10"/>
        <v>0</v>
      </c>
      <c r="AB118" s="699"/>
    </row>
    <row r="119" spans="1:28" ht="15.75" customHeight="1" x14ac:dyDescent="0.3">
      <c r="A119" s="117" t="s">
        <v>929</v>
      </c>
      <c r="B119" s="22" t="s">
        <v>969</v>
      </c>
      <c r="C119" s="115">
        <v>43746</v>
      </c>
      <c r="D119" s="109">
        <v>43797</v>
      </c>
      <c r="E119" s="560"/>
      <c r="F119" s="86" t="s">
        <v>936</v>
      </c>
      <c r="G119" s="86" t="s">
        <v>156</v>
      </c>
      <c r="H119" s="79" t="s">
        <v>213</v>
      </c>
      <c r="I119" s="97" t="s">
        <v>642</v>
      </c>
      <c r="J119" s="73">
        <f t="shared" si="9"/>
        <v>1</v>
      </c>
      <c r="K119" s="74" t="s">
        <v>204</v>
      </c>
      <c r="L119" s="97" t="s">
        <v>1997</v>
      </c>
      <c r="M119" s="75">
        <v>1</v>
      </c>
      <c r="N119" s="76" t="s">
        <v>18</v>
      </c>
      <c r="Q119" s="301" t="s">
        <v>1971</v>
      </c>
      <c r="R119" s="73">
        <f t="shared" si="11"/>
        <v>1</v>
      </c>
      <c r="S119" s="260" t="s">
        <v>1976</v>
      </c>
      <c r="T119" s="260"/>
      <c r="U119" s="260"/>
      <c r="V119" s="260"/>
      <c r="W119" s="260"/>
      <c r="X119" s="260"/>
      <c r="Y119" s="565"/>
      <c r="Z119" s="565"/>
      <c r="AA119" s="566">
        <f t="shared" si="10"/>
        <v>0</v>
      </c>
      <c r="AB119" s="699"/>
    </row>
    <row r="120" spans="1:28" ht="15.75" customHeight="1" x14ac:dyDescent="0.3">
      <c r="A120" s="117" t="s">
        <v>930</v>
      </c>
      <c r="B120" s="22" t="s">
        <v>970</v>
      </c>
      <c r="C120" s="115">
        <v>43746</v>
      </c>
      <c r="D120" s="109">
        <v>43768</v>
      </c>
      <c r="E120" s="560"/>
      <c r="F120" s="86" t="s">
        <v>937</v>
      </c>
      <c r="G120" s="86" t="s">
        <v>156</v>
      </c>
      <c r="H120" s="79" t="s">
        <v>213</v>
      </c>
      <c r="I120" s="97" t="s">
        <v>995</v>
      </c>
      <c r="J120" s="73">
        <f t="shared" si="9"/>
        <v>1</v>
      </c>
      <c r="K120" s="74" t="s">
        <v>204</v>
      </c>
      <c r="L120" s="86" t="s">
        <v>994</v>
      </c>
      <c r="M120" s="79">
        <v>0</v>
      </c>
      <c r="N120" s="76" t="s">
        <v>19</v>
      </c>
      <c r="R120" s="73">
        <f t="shared" si="11"/>
        <v>0</v>
      </c>
      <c r="S120" s="260"/>
      <c r="T120" s="260"/>
      <c r="U120" s="260"/>
      <c r="V120" s="260"/>
      <c r="W120" s="260"/>
      <c r="X120" s="260"/>
      <c r="Y120" s="565"/>
      <c r="Z120" s="565"/>
      <c r="AA120" s="566">
        <f t="shared" si="10"/>
        <v>0</v>
      </c>
      <c r="AB120" s="699"/>
    </row>
    <row r="121" spans="1:28" ht="15.75" customHeight="1" x14ac:dyDescent="0.3">
      <c r="A121" s="117" t="s">
        <v>931</v>
      </c>
      <c r="B121" s="22" t="s">
        <v>971</v>
      </c>
      <c r="C121" s="115">
        <v>43746</v>
      </c>
      <c r="D121" s="109">
        <v>43783</v>
      </c>
      <c r="E121" s="560"/>
      <c r="F121" s="86" t="s">
        <v>938</v>
      </c>
      <c r="G121" s="97" t="s">
        <v>172</v>
      </c>
      <c r="H121" s="79" t="s">
        <v>213</v>
      </c>
      <c r="I121" s="97" t="s">
        <v>854</v>
      </c>
      <c r="J121" s="73">
        <f t="shared" si="9"/>
        <v>1</v>
      </c>
      <c r="K121" s="74" t="s">
        <v>204</v>
      </c>
      <c r="L121" s="97" t="s">
        <v>1342</v>
      </c>
      <c r="M121" s="75">
        <v>1</v>
      </c>
      <c r="N121" s="76" t="s">
        <v>17</v>
      </c>
      <c r="O121" s="111">
        <v>24200</v>
      </c>
      <c r="P121" s="111">
        <v>24200</v>
      </c>
      <c r="R121" s="73">
        <f t="shared" si="11"/>
        <v>0</v>
      </c>
      <c r="S121" s="260"/>
      <c r="T121" s="260"/>
      <c r="U121" s="260"/>
      <c r="V121" s="260"/>
      <c r="W121" s="260"/>
      <c r="X121" s="260"/>
      <c r="Y121" s="565"/>
      <c r="Z121" s="565"/>
      <c r="AA121" s="566">
        <f t="shared" si="10"/>
        <v>0</v>
      </c>
      <c r="AB121" s="699"/>
    </row>
    <row r="122" spans="1:28" ht="15.75" customHeight="1" x14ac:dyDescent="0.3">
      <c r="A122" s="117" t="s">
        <v>939</v>
      </c>
      <c r="B122" s="22" t="s">
        <v>1006</v>
      </c>
      <c r="C122" s="81">
        <v>43747</v>
      </c>
      <c r="D122" s="109">
        <v>43784</v>
      </c>
      <c r="E122" s="560"/>
      <c r="F122" s="97" t="s">
        <v>1005</v>
      </c>
      <c r="G122" s="97" t="s">
        <v>150</v>
      </c>
      <c r="H122" s="72" t="s">
        <v>213</v>
      </c>
      <c r="I122" s="97" t="s">
        <v>1371</v>
      </c>
      <c r="J122" s="73">
        <f t="shared" si="9"/>
        <v>1</v>
      </c>
      <c r="K122" s="74" t="s">
        <v>204</v>
      </c>
      <c r="L122" s="97" t="s">
        <v>1372</v>
      </c>
      <c r="M122" s="126">
        <v>1</v>
      </c>
      <c r="N122" s="76" t="s">
        <v>19</v>
      </c>
      <c r="R122" s="73">
        <f t="shared" si="11"/>
        <v>0</v>
      </c>
      <c r="S122" s="260"/>
      <c r="T122" s="260"/>
      <c r="U122" s="260"/>
      <c r="V122" s="260"/>
      <c r="W122" s="260"/>
      <c r="X122" s="260"/>
      <c r="Y122" s="565"/>
      <c r="Z122" s="565"/>
      <c r="AA122" s="566">
        <f t="shared" si="10"/>
        <v>0</v>
      </c>
      <c r="AB122" s="699"/>
    </row>
    <row r="123" spans="1:28" ht="15.75" customHeight="1" x14ac:dyDescent="0.3">
      <c r="A123" s="117" t="s">
        <v>940</v>
      </c>
      <c r="B123" s="22" t="s">
        <v>1010</v>
      </c>
      <c r="C123" s="81">
        <v>43748</v>
      </c>
      <c r="D123" s="109">
        <v>43784</v>
      </c>
      <c r="E123" s="560"/>
      <c r="F123" s="97" t="s">
        <v>1009</v>
      </c>
      <c r="G123" s="97" t="s">
        <v>158</v>
      </c>
      <c r="H123" s="72" t="s">
        <v>213</v>
      </c>
      <c r="I123" s="97" t="s">
        <v>642</v>
      </c>
      <c r="J123" s="73">
        <f t="shared" si="9"/>
        <v>1</v>
      </c>
      <c r="K123" s="74" t="s">
        <v>204</v>
      </c>
      <c r="L123" s="97" t="s">
        <v>1347</v>
      </c>
      <c r="M123" s="75">
        <v>1</v>
      </c>
      <c r="N123" s="76" t="s">
        <v>18</v>
      </c>
      <c r="R123" s="73">
        <f t="shared" si="11"/>
        <v>0</v>
      </c>
      <c r="S123" s="260"/>
      <c r="T123" s="260"/>
      <c r="U123" s="260"/>
      <c r="V123" s="260"/>
      <c r="W123" s="260"/>
      <c r="X123" s="260"/>
      <c r="Y123" s="565"/>
      <c r="Z123" s="565"/>
      <c r="AA123" s="566">
        <f t="shared" si="10"/>
        <v>0</v>
      </c>
      <c r="AB123" s="699"/>
    </row>
    <row r="124" spans="1:28" ht="15.75" customHeight="1" x14ac:dyDescent="0.3">
      <c r="A124" s="117" t="s">
        <v>941</v>
      </c>
      <c r="B124" s="22" t="s">
        <v>1012</v>
      </c>
      <c r="C124" s="81">
        <v>43748</v>
      </c>
      <c r="D124" s="109">
        <v>43784</v>
      </c>
      <c r="E124" s="560"/>
      <c r="F124" s="97" t="s">
        <v>1011</v>
      </c>
      <c r="G124" s="71" t="s">
        <v>147</v>
      </c>
      <c r="H124" s="72" t="s">
        <v>213</v>
      </c>
      <c r="J124" s="73">
        <f t="shared" si="9"/>
        <v>1</v>
      </c>
      <c r="K124" s="74" t="s">
        <v>204</v>
      </c>
      <c r="L124" s="97" t="s">
        <v>1370</v>
      </c>
      <c r="M124" s="75">
        <v>1</v>
      </c>
      <c r="N124" s="76" t="s">
        <v>18</v>
      </c>
      <c r="R124" s="73">
        <f t="shared" si="11"/>
        <v>0</v>
      </c>
      <c r="S124" s="260"/>
      <c r="T124" s="260"/>
      <c r="U124" s="260"/>
      <c r="V124" s="260"/>
      <c r="W124" s="260"/>
      <c r="X124" s="260"/>
      <c r="Y124" s="565"/>
      <c r="Z124" s="565"/>
      <c r="AA124" s="566">
        <f t="shared" si="10"/>
        <v>0</v>
      </c>
      <c r="AB124" s="699"/>
    </row>
    <row r="125" spans="1:28" ht="15.75" customHeight="1" x14ac:dyDescent="0.3">
      <c r="A125" s="117" t="s">
        <v>942</v>
      </c>
      <c r="B125" s="22" t="s">
        <v>1014</v>
      </c>
      <c r="C125" s="81">
        <v>43748</v>
      </c>
      <c r="D125" s="109">
        <v>43784</v>
      </c>
      <c r="E125" s="560"/>
      <c r="F125" s="97" t="s">
        <v>1013</v>
      </c>
      <c r="G125" s="97" t="s">
        <v>156</v>
      </c>
      <c r="H125" s="72" t="s">
        <v>213</v>
      </c>
      <c r="I125" s="97" t="s">
        <v>642</v>
      </c>
      <c r="J125" s="73">
        <f t="shared" si="9"/>
        <v>1</v>
      </c>
      <c r="K125" s="74" t="s">
        <v>204</v>
      </c>
      <c r="L125" s="97" t="s">
        <v>1347</v>
      </c>
      <c r="M125" s="75">
        <v>1</v>
      </c>
      <c r="N125" s="76" t="s">
        <v>17</v>
      </c>
      <c r="O125" s="111">
        <v>141600</v>
      </c>
      <c r="R125" s="73">
        <f t="shared" si="11"/>
        <v>0</v>
      </c>
      <c r="S125" s="260"/>
      <c r="T125" s="260"/>
      <c r="U125" s="260"/>
      <c r="V125" s="260"/>
      <c r="W125" s="260"/>
      <c r="X125" s="260"/>
      <c r="Y125" s="565"/>
      <c r="Z125" s="565"/>
      <c r="AA125" s="566">
        <f t="shared" si="10"/>
        <v>0</v>
      </c>
      <c r="AB125" s="699"/>
    </row>
    <row r="126" spans="1:28" ht="15.75" customHeight="1" x14ac:dyDescent="0.3">
      <c r="A126" s="117" t="s">
        <v>943</v>
      </c>
      <c r="B126" s="22" t="s">
        <v>1056</v>
      </c>
      <c r="C126" s="115">
        <v>43748</v>
      </c>
      <c r="D126" s="109">
        <v>43787</v>
      </c>
      <c r="E126" s="560"/>
      <c r="F126" s="86" t="s">
        <v>1034</v>
      </c>
      <c r="G126" s="86" t="s">
        <v>158</v>
      </c>
      <c r="H126" s="97" t="s">
        <v>1035</v>
      </c>
      <c r="J126" s="73">
        <f t="shared" si="9"/>
        <v>1</v>
      </c>
      <c r="K126" s="74" t="s">
        <v>204</v>
      </c>
      <c r="L126" s="124" t="s">
        <v>1411</v>
      </c>
      <c r="M126" s="75">
        <v>1</v>
      </c>
      <c r="N126" s="76" t="s">
        <v>17</v>
      </c>
      <c r="O126" s="111">
        <v>83714.179999999993</v>
      </c>
      <c r="R126" s="73">
        <f t="shared" si="11"/>
        <v>0</v>
      </c>
      <c r="S126" s="260"/>
      <c r="T126" s="260"/>
      <c r="U126" s="260"/>
      <c r="V126" s="260"/>
      <c r="W126" s="260"/>
      <c r="X126" s="260"/>
      <c r="Y126" s="565"/>
      <c r="Z126" s="565"/>
      <c r="AA126" s="566">
        <f t="shared" si="10"/>
        <v>0</v>
      </c>
      <c r="AB126" s="699"/>
    </row>
    <row r="127" spans="1:28" ht="15.75" customHeight="1" x14ac:dyDescent="0.3">
      <c r="A127" s="117" t="s">
        <v>944</v>
      </c>
      <c r="B127" s="22" t="s">
        <v>1057</v>
      </c>
      <c r="C127" s="115">
        <v>43748</v>
      </c>
      <c r="D127" s="109">
        <v>43770</v>
      </c>
      <c r="E127" s="560"/>
      <c r="F127" s="86" t="s">
        <v>1036</v>
      </c>
      <c r="G127" s="86" t="s">
        <v>156</v>
      </c>
      <c r="H127" s="79" t="s">
        <v>213</v>
      </c>
      <c r="I127" s="97" t="s">
        <v>684</v>
      </c>
      <c r="J127" s="73">
        <f t="shared" si="9"/>
        <v>1</v>
      </c>
      <c r="K127" s="74" t="s">
        <v>204</v>
      </c>
      <c r="L127" s="97" t="s">
        <v>1083</v>
      </c>
      <c r="M127" s="79">
        <v>0</v>
      </c>
      <c r="N127" s="76" t="s">
        <v>17</v>
      </c>
      <c r="O127" s="111">
        <v>248000</v>
      </c>
      <c r="R127" s="73">
        <f t="shared" si="11"/>
        <v>0</v>
      </c>
      <c r="S127" s="260"/>
      <c r="T127" s="260"/>
      <c r="U127" s="260"/>
      <c r="V127" s="260"/>
      <c r="W127" s="260"/>
      <c r="X127" s="260"/>
      <c r="Y127" s="565"/>
      <c r="Z127" s="565"/>
      <c r="AA127" s="566">
        <f t="shared" si="10"/>
        <v>0</v>
      </c>
      <c r="AB127" s="699"/>
    </row>
    <row r="128" spans="1:28" ht="15.75" customHeight="1" x14ac:dyDescent="0.3">
      <c r="A128" s="117" t="s">
        <v>945</v>
      </c>
      <c r="B128" s="22" t="s">
        <v>1058</v>
      </c>
      <c r="C128" s="115">
        <v>43748</v>
      </c>
      <c r="D128" s="109">
        <v>43787</v>
      </c>
      <c r="E128" s="560"/>
      <c r="F128" s="86" t="s">
        <v>1037</v>
      </c>
      <c r="G128" s="86" t="s">
        <v>150</v>
      </c>
      <c r="H128" s="79" t="s">
        <v>213</v>
      </c>
      <c r="I128" s="97" t="s">
        <v>714</v>
      </c>
      <c r="J128" s="73">
        <f t="shared" si="9"/>
        <v>1</v>
      </c>
      <c r="K128" s="74" t="s">
        <v>204</v>
      </c>
      <c r="L128" s="97" t="s">
        <v>1416</v>
      </c>
      <c r="M128" s="75">
        <v>1</v>
      </c>
      <c r="N128" s="76" t="s">
        <v>17</v>
      </c>
      <c r="O128" s="111">
        <v>28300</v>
      </c>
      <c r="R128" s="73">
        <f t="shared" si="11"/>
        <v>0</v>
      </c>
      <c r="S128" s="260"/>
      <c r="T128" s="260"/>
      <c r="U128" s="260"/>
      <c r="V128" s="260"/>
      <c r="W128" s="260"/>
      <c r="X128" s="260"/>
      <c r="Y128" s="565"/>
      <c r="Z128" s="565"/>
      <c r="AA128" s="566">
        <f t="shared" si="10"/>
        <v>0</v>
      </c>
      <c r="AB128" s="699"/>
    </row>
    <row r="129" spans="1:28" ht="15.75" customHeight="1" x14ac:dyDescent="0.3">
      <c r="A129" s="117" t="s">
        <v>946</v>
      </c>
      <c r="B129" s="123" t="s">
        <v>1059</v>
      </c>
      <c r="C129" s="115">
        <v>43748</v>
      </c>
      <c r="D129" s="109">
        <v>43787</v>
      </c>
      <c r="E129" s="560"/>
      <c r="F129" s="86" t="s">
        <v>1038</v>
      </c>
      <c r="G129" s="86" t="s">
        <v>150</v>
      </c>
      <c r="H129" s="79" t="s">
        <v>213</v>
      </c>
      <c r="I129" s="97" t="s">
        <v>642</v>
      </c>
      <c r="J129" s="73">
        <f t="shared" si="9"/>
        <v>1</v>
      </c>
      <c r="K129" s="74" t="s">
        <v>204</v>
      </c>
      <c r="L129" s="97" t="s">
        <v>1412</v>
      </c>
      <c r="M129" s="75">
        <v>1</v>
      </c>
      <c r="N129" s="76" t="s">
        <v>17</v>
      </c>
      <c r="O129" s="111">
        <v>159516</v>
      </c>
      <c r="R129" s="73">
        <f t="shared" si="11"/>
        <v>0</v>
      </c>
      <c r="S129" s="260"/>
      <c r="T129" s="260"/>
      <c r="U129" s="260"/>
      <c r="V129" s="260"/>
      <c r="W129" s="260"/>
      <c r="X129" s="260"/>
      <c r="Y129" s="565"/>
      <c r="Z129" s="565"/>
      <c r="AA129" s="566">
        <f t="shared" si="10"/>
        <v>0</v>
      </c>
      <c r="AB129" s="699"/>
    </row>
    <row r="130" spans="1:28" ht="15.75" customHeight="1" x14ac:dyDescent="0.3">
      <c r="A130" s="117" t="s">
        <v>947</v>
      </c>
      <c r="B130" s="123" t="s">
        <v>1060</v>
      </c>
      <c r="C130" s="115">
        <v>43748</v>
      </c>
      <c r="D130" s="109">
        <v>43787</v>
      </c>
      <c r="E130" s="560"/>
      <c r="F130" s="86" t="s">
        <v>1039</v>
      </c>
      <c r="G130" s="86" t="s">
        <v>154</v>
      </c>
      <c r="H130" s="79" t="s">
        <v>213</v>
      </c>
      <c r="I130" s="97" t="s">
        <v>714</v>
      </c>
      <c r="J130" s="73">
        <f t="shared" si="9"/>
        <v>1</v>
      </c>
      <c r="K130" s="74" t="s">
        <v>204</v>
      </c>
      <c r="L130" s="97" t="s">
        <v>754</v>
      </c>
      <c r="M130" s="75">
        <v>1</v>
      </c>
      <c r="N130" s="76" t="s">
        <v>17</v>
      </c>
      <c r="O130" s="111">
        <v>14800</v>
      </c>
      <c r="R130" s="73">
        <f t="shared" si="11"/>
        <v>0</v>
      </c>
      <c r="S130" s="260"/>
      <c r="T130" s="260"/>
      <c r="U130" s="260"/>
      <c r="V130" s="260"/>
      <c r="W130" s="260"/>
      <c r="X130" s="260"/>
      <c r="Y130" s="565"/>
      <c r="Z130" s="565"/>
      <c r="AA130" s="566">
        <f t="shared" si="10"/>
        <v>0</v>
      </c>
      <c r="AB130" s="699"/>
    </row>
    <row r="131" spans="1:28" ht="15.75" customHeight="1" x14ac:dyDescent="0.3">
      <c r="A131" s="117" t="s">
        <v>948</v>
      </c>
      <c r="B131" s="123" t="s">
        <v>1061</v>
      </c>
      <c r="C131" s="115">
        <v>43752</v>
      </c>
      <c r="D131" s="109">
        <v>43774</v>
      </c>
      <c r="E131" s="560"/>
      <c r="F131" s="86" t="s">
        <v>1040</v>
      </c>
      <c r="G131" s="86" t="s">
        <v>164</v>
      </c>
      <c r="H131" s="79" t="s">
        <v>213</v>
      </c>
      <c r="I131" s="97" t="s">
        <v>1104</v>
      </c>
      <c r="J131" s="73">
        <f t="shared" ref="J131:J179" si="12">IF(OR(K131="Документы готовы",K131="Запрос в ФО",K131="ЭЗ",K131="РЕШ",K131="РЕШ шаблон"),0.1,IF(OR(K131="ЭЗ согласование",K131="РЕШ согласование"),0.3,IF(OR(K131="ЭЗ согласовано",K131="РЕШ согласовано",K131="РЕШ подписано"),0.6,IF(OR(K131="ЭЗ ПР согласование",K131="РЕШ УВ согласование"),0.9,IF(OR(K131="ЭЗ ПР DONE",K131="РЕШ УВ DONE"),1,0)))))</f>
        <v>1</v>
      </c>
      <c r="K131" s="74" t="s">
        <v>204</v>
      </c>
      <c r="L131" s="97" t="s">
        <v>1103</v>
      </c>
      <c r="M131" s="79">
        <v>0</v>
      </c>
      <c r="N131" s="76" t="s">
        <v>19</v>
      </c>
      <c r="R131" s="73">
        <f t="shared" si="11"/>
        <v>0</v>
      </c>
      <c r="S131" s="260"/>
      <c r="T131" s="260"/>
      <c r="U131" s="260"/>
      <c r="V131" s="260"/>
      <c r="W131" s="260"/>
      <c r="X131" s="260"/>
      <c r="Y131" s="565"/>
      <c r="Z131" s="565"/>
      <c r="AA131" s="566">
        <f t="shared" ref="AA131:AA194" si="13">Z131-Y131</f>
        <v>0</v>
      </c>
      <c r="AB131" s="699"/>
    </row>
    <row r="132" spans="1:28" ht="15.75" customHeight="1" x14ac:dyDescent="0.3">
      <c r="A132" s="117" t="s">
        <v>949</v>
      </c>
      <c r="B132" s="123" t="s">
        <v>1062</v>
      </c>
      <c r="C132" s="115">
        <v>43752</v>
      </c>
      <c r="D132" s="109">
        <v>43774</v>
      </c>
      <c r="E132" s="560"/>
      <c r="F132" s="97" t="s">
        <v>1063</v>
      </c>
      <c r="G132" s="86" t="s">
        <v>152</v>
      </c>
      <c r="H132" s="79" t="s">
        <v>213</v>
      </c>
      <c r="I132" s="97" t="s">
        <v>1145</v>
      </c>
      <c r="J132" s="73">
        <f t="shared" si="12"/>
        <v>1</v>
      </c>
      <c r="K132" s="74" t="s">
        <v>204</v>
      </c>
      <c r="L132" s="97" t="s">
        <v>1135</v>
      </c>
      <c r="M132" s="79">
        <v>0</v>
      </c>
      <c r="N132" s="76" t="s">
        <v>18</v>
      </c>
      <c r="R132" s="73">
        <f t="shared" si="11"/>
        <v>0</v>
      </c>
      <c r="S132" s="260"/>
      <c r="T132" s="260"/>
      <c r="U132" s="260"/>
      <c r="V132" s="260"/>
      <c r="W132" s="260"/>
      <c r="X132" s="260"/>
      <c r="Y132" s="565"/>
      <c r="Z132" s="565"/>
      <c r="AA132" s="566">
        <f t="shared" si="13"/>
        <v>0</v>
      </c>
      <c r="AB132" s="699"/>
    </row>
    <row r="133" spans="1:28" ht="15.75" customHeight="1" x14ac:dyDescent="0.3">
      <c r="A133" s="117" t="s">
        <v>950</v>
      </c>
      <c r="B133" s="123" t="s">
        <v>1064</v>
      </c>
      <c r="C133" s="115">
        <v>43752</v>
      </c>
      <c r="D133" s="109">
        <v>43774</v>
      </c>
      <c r="E133" s="560"/>
      <c r="F133" s="86" t="s">
        <v>1041</v>
      </c>
      <c r="G133" s="97" t="s">
        <v>1042</v>
      </c>
      <c r="H133" s="79" t="s">
        <v>213</v>
      </c>
      <c r="I133" s="97" t="s">
        <v>684</v>
      </c>
      <c r="J133" s="73">
        <f t="shared" si="12"/>
        <v>1</v>
      </c>
      <c r="K133" s="74" t="s">
        <v>204</v>
      </c>
      <c r="L133" s="97" t="s">
        <v>1083</v>
      </c>
      <c r="M133" s="79">
        <v>0</v>
      </c>
      <c r="N133" s="76" t="s">
        <v>17</v>
      </c>
      <c r="O133" s="111">
        <v>394318</v>
      </c>
      <c r="R133" s="73">
        <f t="shared" si="11"/>
        <v>0</v>
      </c>
      <c r="S133" s="260"/>
      <c r="T133" s="260"/>
      <c r="U133" s="260"/>
      <c r="V133" s="260"/>
      <c r="W133" s="260"/>
      <c r="X133" s="260"/>
      <c r="Y133" s="565"/>
      <c r="Z133" s="565"/>
      <c r="AA133" s="566">
        <f t="shared" si="13"/>
        <v>0</v>
      </c>
      <c r="AB133" s="699"/>
    </row>
    <row r="134" spans="1:28" ht="15.75" customHeight="1" x14ac:dyDescent="0.3">
      <c r="A134" s="117" t="s">
        <v>951</v>
      </c>
      <c r="B134" s="123" t="s">
        <v>1065</v>
      </c>
      <c r="C134" s="115">
        <v>43752</v>
      </c>
      <c r="D134" s="109">
        <v>43774</v>
      </c>
      <c r="E134" s="560"/>
      <c r="F134" s="86" t="s">
        <v>1043</v>
      </c>
      <c r="G134" s="86" t="s">
        <v>158</v>
      </c>
      <c r="H134" s="79" t="s">
        <v>213</v>
      </c>
      <c r="I134" s="97" t="s">
        <v>649</v>
      </c>
      <c r="J134" s="73">
        <f t="shared" si="12"/>
        <v>1</v>
      </c>
      <c r="K134" s="74" t="s">
        <v>204</v>
      </c>
      <c r="L134" s="97" t="s">
        <v>1136</v>
      </c>
      <c r="M134" s="79">
        <v>0</v>
      </c>
      <c r="N134" s="76" t="s">
        <v>18</v>
      </c>
      <c r="R134" s="73">
        <f t="shared" si="11"/>
        <v>0</v>
      </c>
      <c r="S134" s="260"/>
      <c r="T134" s="260"/>
      <c r="U134" s="260"/>
      <c r="V134" s="260"/>
      <c r="W134" s="260"/>
      <c r="X134" s="260"/>
      <c r="Y134" s="565"/>
      <c r="Z134" s="565"/>
      <c r="AA134" s="566">
        <f t="shared" si="13"/>
        <v>0</v>
      </c>
      <c r="AB134" s="699"/>
    </row>
    <row r="135" spans="1:28" ht="15.75" customHeight="1" x14ac:dyDescent="0.3">
      <c r="A135" s="117" t="s">
        <v>952</v>
      </c>
      <c r="B135" s="123" t="s">
        <v>1066</v>
      </c>
      <c r="C135" s="115">
        <v>43752</v>
      </c>
      <c r="D135" s="109">
        <v>43788</v>
      </c>
      <c r="E135" s="560"/>
      <c r="F135" s="86" t="s">
        <v>1044</v>
      </c>
      <c r="G135" s="86" t="s">
        <v>156</v>
      </c>
      <c r="H135" s="79" t="s">
        <v>213</v>
      </c>
      <c r="I135" s="97" t="s">
        <v>714</v>
      </c>
      <c r="J135" s="73">
        <f t="shared" si="12"/>
        <v>1</v>
      </c>
      <c r="K135" s="74" t="s">
        <v>204</v>
      </c>
      <c r="L135" s="97" t="s">
        <v>1634</v>
      </c>
      <c r="M135" s="79">
        <v>0</v>
      </c>
      <c r="N135" s="76" t="s">
        <v>17</v>
      </c>
      <c r="R135" s="73">
        <f t="shared" si="11"/>
        <v>0</v>
      </c>
      <c r="S135" s="260"/>
      <c r="T135" s="260"/>
      <c r="U135" s="260"/>
      <c r="V135" s="260"/>
      <c r="W135" s="260"/>
      <c r="X135" s="260"/>
      <c r="Y135" s="565"/>
      <c r="Z135" s="565"/>
      <c r="AA135" s="566">
        <f t="shared" si="13"/>
        <v>0</v>
      </c>
      <c r="AB135" s="699"/>
    </row>
    <row r="136" spans="1:28" ht="15.75" customHeight="1" x14ac:dyDescent="0.3">
      <c r="A136" s="93" t="s">
        <v>953</v>
      </c>
      <c r="B136" s="123" t="s">
        <v>1067</v>
      </c>
      <c r="C136" s="115">
        <v>43752</v>
      </c>
      <c r="D136" s="109">
        <v>43775</v>
      </c>
      <c r="E136" s="560"/>
      <c r="F136" s="86" t="s">
        <v>1045</v>
      </c>
      <c r="G136" s="86" t="s">
        <v>147</v>
      </c>
      <c r="H136" s="79" t="s">
        <v>213</v>
      </c>
      <c r="I136" s="97" t="s">
        <v>649</v>
      </c>
      <c r="J136" s="73">
        <f t="shared" si="12"/>
        <v>1</v>
      </c>
      <c r="K136" s="74" t="s">
        <v>204</v>
      </c>
      <c r="L136" s="97" t="s">
        <v>1159</v>
      </c>
      <c r="M136" s="79">
        <v>0</v>
      </c>
      <c r="N136" s="76" t="s">
        <v>17</v>
      </c>
      <c r="O136" s="111">
        <v>17190.45</v>
      </c>
      <c r="P136" s="111">
        <v>17190.45</v>
      </c>
      <c r="R136" s="73">
        <f t="shared" si="11"/>
        <v>0</v>
      </c>
      <c r="S136" s="260"/>
      <c r="T136" s="260"/>
      <c r="U136" s="260"/>
      <c r="V136" s="260"/>
      <c r="W136" s="260"/>
      <c r="X136" s="260"/>
      <c r="Y136" s="565"/>
      <c r="Z136" s="565"/>
      <c r="AA136" s="566">
        <f t="shared" si="13"/>
        <v>0</v>
      </c>
      <c r="AB136" s="699"/>
    </row>
    <row r="137" spans="1:28" ht="15.75" customHeight="1" x14ac:dyDescent="0.3">
      <c r="A137" s="117" t="s">
        <v>954</v>
      </c>
      <c r="B137" s="123" t="s">
        <v>1068</v>
      </c>
      <c r="C137" s="115">
        <v>43752</v>
      </c>
      <c r="D137" s="109">
        <v>43803</v>
      </c>
      <c r="E137" s="560"/>
      <c r="F137" s="86" t="s">
        <v>1046</v>
      </c>
      <c r="G137" s="86" t="s">
        <v>152</v>
      </c>
      <c r="H137" s="79" t="s">
        <v>268</v>
      </c>
      <c r="I137" s="97" t="s">
        <v>2019</v>
      </c>
      <c r="J137" s="73">
        <f t="shared" si="12"/>
        <v>1</v>
      </c>
      <c r="K137" s="74" t="s">
        <v>204</v>
      </c>
      <c r="L137" s="97" t="s">
        <v>1986</v>
      </c>
      <c r="M137" s="75">
        <v>1</v>
      </c>
      <c r="N137" s="76" t="s">
        <v>17</v>
      </c>
      <c r="O137" s="111">
        <v>68963.179999999993</v>
      </c>
      <c r="Q137" s="301" t="s">
        <v>1970</v>
      </c>
      <c r="R137" s="73">
        <f t="shared" ref="R137:R169" si="14">IF(S137="В работе",0.3,IF(S137="Отписано",0.6,IF(S137="На доработку",0.9,IF(S137="Согласовано",1,0))))</f>
        <v>1</v>
      </c>
      <c r="S137" s="260" t="s">
        <v>1976</v>
      </c>
      <c r="T137" s="260"/>
      <c r="U137" s="260"/>
      <c r="V137" s="260"/>
      <c r="W137" s="260"/>
      <c r="X137" s="260"/>
      <c r="Y137" s="565"/>
      <c r="Z137" s="565"/>
      <c r="AA137" s="566">
        <f t="shared" si="13"/>
        <v>0</v>
      </c>
      <c r="AB137" s="699"/>
    </row>
    <row r="138" spans="1:28" ht="15.75" customHeight="1" x14ac:dyDescent="0.3">
      <c r="A138" s="117" t="s">
        <v>955</v>
      </c>
      <c r="B138" s="123" t="s">
        <v>1069</v>
      </c>
      <c r="C138" s="115">
        <v>43752</v>
      </c>
      <c r="D138" s="109">
        <v>43789</v>
      </c>
      <c r="E138" s="560"/>
      <c r="F138" s="97" t="s">
        <v>1097</v>
      </c>
      <c r="G138" s="86" t="s">
        <v>158</v>
      </c>
      <c r="H138" s="79" t="s">
        <v>213</v>
      </c>
      <c r="J138" s="73">
        <f t="shared" si="12"/>
        <v>1</v>
      </c>
      <c r="K138" s="74" t="s">
        <v>204</v>
      </c>
      <c r="L138" s="97" t="s">
        <v>1662</v>
      </c>
      <c r="M138" s="75">
        <v>1</v>
      </c>
      <c r="N138" s="76" t="s">
        <v>17</v>
      </c>
      <c r="O138" s="111">
        <v>22964</v>
      </c>
      <c r="P138" s="111">
        <v>22964</v>
      </c>
      <c r="R138" s="73">
        <f t="shared" si="14"/>
        <v>0</v>
      </c>
      <c r="S138" s="260"/>
      <c r="T138" s="260"/>
      <c r="U138" s="260"/>
      <c r="V138" s="260"/>
      <c r="W138" s="260"/>
      <c r="X138" s="260"/>
      <c r="Y138" s="565"/>
      <c r="Z138" s="565"/>
      <c r="AA138" s="566">
        <f t="shared" si="13"/>
        <v>0</v>
      </c>
      <c r="AB138" s="699"/>
    </row>
    <row r="139" spans="1:28" ht="15.75" customHeight="1" x14ac:dyDescent="0.3">
      <c r="A139" s="117" t="s">
        <v>956</v>
      </c>
      <c r="B139" s="123" t="s">
        <v>1070</v>
      </c>
      <c r="C139" s="115">
        <v>43752</v>
      </c>
      <c r="D139" s="109">
        <v>43789</v>
      </c>
      <c r="E139" s="560"/>
      <c r="F139" s="86" t="s">
        <v>1047</v>
      </c>
      <c r="G139" s="86" t="s">
        <v>152</v>
      </c>
      <c r="H139" s="79" t="s">
        <v>213</v>
      </c>
      <c r="J139" s="73">
        <f t="shared" si="12"/>
        <v>1</v>
      </c>
      <c r="K139" s="74" t="s">
        <v>204</v>
      </c>
      <c r="L139" s="97" t="s">
        <v>754</v>
      </c>
      <c r="M139" s="75">
        <v>1</v>
      </c>
      <c r="N139" s="76" t="s">
        <v>18</v>
      </c>
      <c r="R139" s="73">
        <f t="shared" si="14"/>
        <v>0</v>
      </c>
      <c r="S139" s="260"/>
      <c r="T139" s="260"/>
      <c r="U139" s="260"/>
      <c r="V139" s="260"/>
      <c r="W139" s="260"/>
      <c r="X139" s="260"/>
      <c r="Y139" s="565"/>
      <c r="Z139" s="565"/>
      <c r="AA139" s="566">
        <f t="shared" si="13"/>
        <v>0</v>
      </c>
      <c r="AB139" s="699"/>
    </row>
    <row r="140" spans="1:28" ht="15.75" customHeight="1" x14ac:dyDescent="0.3">
      <c r="A140" s="117" t="s">
        <v>957</v>
      </c>
      <c r="B140" s="123" t="s">
        <v>1071</v>
      </c>
      <c r="C140" s="115">
        <v>43752</v>
      </c>
      <c r="D140" s="109">
        <v>43789</v>
      </c>
      <c r="E140" s="560"/>
      <c r="F140" s="97" t="s">
        <v>1098</v>
      </c>
      <c r="G140" s="86" t="s">
        <v>147</v>
      </c>
      <c r="H140" s="79" t="s">
        <v>213</v>
      </c>
      <c r="J140" s="73">
        <f t="shared" si="12"/>
        <v>1</v>
      </c>
      <c r="K140" s="74" t="s">
        <v>204</v>
      </c>
      <c r="L140" s="97" t="s">
        <v>1653</v>
      </c>
      <c r="M140" s="75">
        <v>1</v>
      </c>
      <c r="N140" s="76" t="s">
        <v>17</v>
      </c>
      <c r="O140" s="111">
        <v>15000</v>
      </c>
      <c r="P140" s="111">
        <v>15000</v>
      </c>
      <c r="R140" s="73">
        <f t="shared" si="14"/>
        <v>0</v>
      </c>
      <c r="S140" s="260"/>
      <c r="T140" s="260"/>
      <c r="U140" s="260"/>
      <c r="V140" s="260"/>
      <c r="W140" s="260"/>
      <c r="X140" s="260"/>
      <c r="Y140" s="565"/>
      <c r="Z140" s="565"/>
      <c r="AA140" s="566">
        <f t="shared" si="13"/>
        <v>0</v>
      </c>
      <c r="AB140" s="699"/>
    </row>
    <row r="141" spans="1:28" ht="15.75" customHeight="1" x14ac:dyDescent="0.3">
      <c r="A141" s="93" t="s">
        <v>958</v>
      </c>
      <c r="B141" s="123" t="s">
        <v>1072</v>
      </c>
      <c r="C141" s="115">
        <v>43753</v>
      </c>
      <c r="D141" s="109">
        <v>43776</v>
      </c>
      <c r="E141" s="560"/>
      <c r="F141" s="86" t="s">
        <v>1048</v>
      </c>
      <c r="G141" s="86" t="s">
        <v>154</v>
      </c>
      <c r="H141" s="79" t="s">
        <v>268</v>
      </c>
      <c r="I141" s="97" t="s">
        <v>995</v>
      </c>
      <c r="J141" s="73">
        <f t="shared" si="12"/>
        <v>1</v>
      </c>
      <c r="K141" s="74" t="s">
        <v>204</v>
      </c>
      <c r="L141" s="97" t="s">
        <v>1161</v>
      </c>
      <c r="M141" s="79">
        <v>0</v>
      </c>
      <c r="N141" s="76" t="s">
        <v>19</v>
      </c>
      <c r="R141" s="73">
        <f t="shared" si="14"/>
        <v>0</v>
      </c>
      <c r="S141" s="260"/>
      <c r="T141" s="260"/>
      <c r="U141" s="260"/>
      <c r="V141" s="260"/>
      <c r="W141" s="260"/>
      <c r="X141" s="260"/>
      <c r="Y141" s="565"/>
      <c r="Z141" s="565"/>
      <c r="AA141" s="566">
        <f t="shared" si="13"/>
        <v>0</v>
      </c>
      <c r="AB141" s="699"/>
    </row>
    <row r="142" spans="1:28" ht="15.75" customHeight="1" x14ac:dyDescent="0.3">
      <c r="A142" s="93" t="s">
        <v>959</v>
      </c>
      <c r="B142" s="123" t="s">
        <v>1073</v>
      </c>
      <c r="C142" s="115">
        <v>43753</v>
      </c>
      <c r="D142" s="109">
        <v>43776</v>
      </c>
      <c r="E142" s="560"/>
      <c r="F142" s="86" t="s">
        <v>1049</v>
      </c>
      <c r="G142" s="86" t="s">
        <v>156</v>
      </c>
      <c r="H142" s="79" t="s">
        <v>213</v>
      </c>
      <c r="J142" s="73">
        <f t="shared" si="12"/>
        <v>1</v>
      </c>
      <c r="K142" s="74" t="s">
        <v>204</v>
      </c>
      <c r="L142" s="97" t="s">
        <v>1162</v>
      </c>
      <c r="M142" s="79">
        <v>0</v>
      </c>
      <c r="N142" s="76" t="s">
        <v>18</v>
      </c>
      <c r="R142" s="73">
        <f t="shared" si="14"/>
        <v>0</v>
      </c>
      <c r="S142" s="260"/>
      <c r="T142" s="260"/>
      <c r="U142" s="260"/>
      <c r="V142" s="260"/>
      <c r="W142" s="260"/>
      <c r="X142" s="260"/>
      <c r="Y142" s="565"/>
      <c r="Z142" s="565"/>
      <c r="AA142" s="566">
        <f t="shared" si="13"/>
        <v>0</v>
      </c>
      <c r="AB142" s="699"/>
    </row>
    <row r="143" spans="1:28" ht="15.75" customHeight="1" x14ac:dyDescent="0.3">
      <c r="A143" s="117" t="s">
        <v>960</v>
      </c>
      <c r="B143" s="123" t="s">
        <v>1074</v>
      </c>
      <c r="C143" s="115">
        <v>43753</v>
      </c>
      <c r="D143" s="109">
        <v>43790</v>
      </c>
      <c r="E143" s="560"/>
      <c r="F143" s="86" t="s">
        <v>1050</v>
      </c>
      <c r="G143" s="86" t="s">
        <v>410</v>
      </c>
      <c r="H143" s="79" t="s">
        <v>213</v>
      </c>
      <c r="J143" s="73">
        <f t="shared" si="12"/>
        <v>1</v>
      </c>
      <c r="K143" s="74" t="s">
        <v>204</v>
      </c>
      <c r="L143" s="97" t="s">
        <v>1685</v>
      </c>
      <c r="M143" s="75">
        <v>1</v>
      </c>
      <c r="N143" s="76" t="s">
        <v>18</v>
      </c>
      <c r="R143" s="73">
        <f t="shared" si="14"/>
        <v>0</v>
      </c>
      <c r="S143" s="260"/>
      <c r="T143" s="260"/>
      <c r="U143" s="260"/>
      <c r="V143" s="260"/>
      <c r="W143" s="260"/>
      <c r="X143" s="260"/>
      <c r="Y143" s="565"/>
      <c r="Z143" s="565"/>
      <c r="AA143" s="566">
        <f t="shared" si="13"/>
        <v>0</v>
      </c>
      <c r="AB143" s="699"/>
    </row>
    <row r="144" spans="1:28" ht="15.75" customHeight="1" x14ac:dyDescent="0.3">
      <c r="A144" s="117" t="s">
        <v>961</v>
      </c>
      <c r="B144" s="123" t="s">
        <v>1075</v>
      </c>
      <c r="C144" s="115">
        <v>43753</v>
      </c>
      <c r="D144" s="109">
        <v>43790</v>
      </c>
      <c r="E144" s="560"/>
      <c r="F144" s="86" t="s">
        <v>1051</v>
      </c>
      <c r="G144" s="86" t="s">
        <v>158</v>
      </c>
      <c r="H144" s="79" t="s">
        <v>213</v>
      </c>
      <c r="J144" s="73">
        <f t="shared" si="12"/>
        <v>1</v>
      </c>
      <c r="K144" s="74" t="s">
        <v>204</v>
      </c>
      <c r="L144" s="97" t="s">
        <v>1686</v>
      </c>
      <c r="M144" s="75">
        <v>1</v>
      </c>
      <c r="N144" s="76" t="s">
        <v>18</v>
      </c>
      <c r="R144" s="73">
        <f t="shared" si="14"/>
        <v>0</v>
      </c>
      <c r="S144" s="260"/>
      <c r="T144" s="260"/>
      <c r="U144" s="260"/>
      <c r="V144" s="260"/>
      <c r="W144" s="260"/>
      <c r="X144" s="260"/>
      <c r="Y144" s="565"/>
      <c r="Z144" s="565"/>
      <c r="AA144" s="566">
        <f t="shared" si="13"/>
        <v>0</v>
      </c>
      <c r="AB144" s="699"/>
    </row>
    <row r="145" spans="1:28" ht="15.75" customHeight="1" x14ac:dyDescent="0.3">
      <c r="A145" s="93" t="s">
        <v>962</v>
      </c>
      <c r="B145" s="123" t="s">
        <v>1076</v>
      </c>
      <c r="C145" s="115">
        <v>43753</v>
      </c>
      <c r="D145" s="109">
        <v>43776</v>
      </c>
      <c r="E145" s="560"/>
      <c r="F145" s="86" t="s">
        <v>1052</v>
      </c>
      <c r="G145" s="86" t="s">
        <v>154</v>
      </c>
      <c r="H145" s="79" t="s">
        <v>213</v>
      </c>
      <c r="I145" s="97" t="s">
        <v>649</v>
      </c>
      <c r="J145" s="73">
        <f t="shared" si="12"/>
        <v>1</v>
      </c>
      <c r="K145" s="74" t="s">
        <v>204</v>
      </c>
      <c r="L145" s="97" t="s">
        <v>1165</v>
      </c>
      <c r="M145" s="79">
        <v>0</v>
      </c>
      <c r="N145" s="76" t="s">
        <v>17</v>
      </c>
      <c r="O145" s="111">
        <v>280000</v>
      </c>
      <c r="R145" s="73">
        <f t="shared" si="14"/>
        <v>0</v>
      </c>
      <c r="S145" s="260"/>
      <c r="T145" s="260"/>
      <c r="U145" s="260"/>
      <c r="V145" s="260"/>
      <c r="W145" s="260"/>
      <c r="X145" s="260"/>
      <c r="Y145" s="565"/>
      <c r="Z145" s="565"/>
      <c r="AA145" s="566">
        <f t="shared" si="13"/>
        <v>0</v>
      </c>
      <c r="AB145" s="699"/>
    </row>
    <row r="146" spans="1:28" ht="15.75" customHeight="1" x14ac:dyDescent="0.3">
      <c r="A146" s="117" t="s">
        <v>963</v>
      </c>
      <c r="B146" s="123" t="s">
        <v>1077</v>
      </c>
      <c r="C146" s="115">
        <v>43755</v>
      </c>
      <c r="D146" s="109">
        <v>43791</v>
      </c>
      <c r="E146" s="560"/>
      <c r="F146" s="86" t="s">
        <v>1053</v>
      </c>
      <c r="G146" s="97" t="s">
        <v>150</v>
      </c>
      <c r="H146" s="79" t="s">
        <v>213</v>
      </c>
      <c r="I146" s="97" t="s">
        <v>854</v>
      </c>
      <c r="J146" s="73">
        <f t="shared" si="12"/>
        <v>1</v>
      </c>
      <c r="K146" s="74" t="s">
        <v>204</v>
      </c>
      <c r="L146" s="97" t="s">
        <v>1766</v>
      </c>
      <c r="M146" s="75">
        <v>1</v>
      </c>
      <c r="N146" s="76" t="s">
        <v>18</v>
      </c>
      <c r="R146" s="73">
        <f t="shared" si="14"/>
        <v>0</v>
      </c>
      <c r="S146" s="260"/>
      <c r="T146" s="260"/>
      <c r="U146" s="260"/>
      <c r="V146" s="260"/>
      <c r="W146" s="260"/>
      <c r="X146" s="260"/>
      <c r="Y146" s="565"/>
      <c r="Z146" s="565"/>
      <c r="AA146" s="566">
        <f t="shared" si="13"/>
        <v>0</v>
      </c>
      <c r="AB146" s="699"/>
    </row>
    <row r="147" spans="1:28" ht="15.75" customHeight="1" x14ac:dyDescent="0.3">
      <c r="A147" s="117" t="s">
        <v>964</v>
      </c>
      <c r="B147" s="123" t="s">
        <v>1078</v>
      </c>
      <c r="C147" s="115">
        <v>43755</v>
      </c>
      <c r="D147" s="109">
        <v>43791</v>
      </c>
      <c r="E147" s="560"/>
      <c r="F147" s="86" t="s">
        <v>1054</v>
      </c>
      <c r="G147" s="86" t="s">
        <v>156</v>
      </c>
      <c r="H147" s="79" t="s">
        <v>213</v>
      </c>
      <c r="I147" s="97" t="s">
        <v>642</v>
      </c>
      <c r="J147" s="73">
        <f t="shared" si="12"/>
        <v>1</v>
      </c>
      <c r="K147" s="74" t="s">
        <v>204</v>
      </c>
      <c r="L147" s="97" t="s">
        <v>1741</v>
      </c>
      <c r="M147" s="75">
        <v>1</v>
      </c>
      <c r="N147" s="76" t="s">
        <v>17</v>
      </c>
      <c r="O147" s="111">
        <v>167500</v>
      </c>
      <c r="R147" s="73">
        <f t="shared" si="14"/>
        <v>0</v>
      </c>
      <c r="S147" s="260"/>
      <c r="T147" s="260"/>
      <c r="U147" s="260"/>
      <c r="V147" s="260"/>
      <c r="W147" s="260"/>
      <c r="X147" s="260"/>
      <c r="Y147" s="565"/>
      <c r="Z147" s="565"/>
      <c r="AA147" s="566">
        <f t="shared" si="13"/>
        <v>0</v>
      </c>
      <c r="AB147" s="699"/>
    </row>
    <row r="148" spans="1:28" ht="15.75" customHeight="1" x14ac:dyDescent="0.3">
      <c r="A148" s="117" t="s">
        <v>965</v>
      </c>
      <c r="B148" s="123" t="s">
        <v>1079</v>
      </c>
      <c r="C148" s="115">
        <v>43755</v>
      </c>
      <c r="D148" s="109">
        <v>43791</v>
      </c>
      <c r="E148" s="560"/>
      <c r="F148" s="86" t="s">
        <v>1055</v>
      </c>
      <c r="G148" s="86" t="s">
        <v>147</v>
      </c>
      <c r="H148" s="79" t="s">
        <v>213</v>
      </c>
      <c r="I148" s="97" t="s">
        <v>714</v>
      </c>
      <c r="J148" s="73">
        <f t="shared" si="12"/>
        <v>1</v>
      </c>
      <c r="K148" s="74" t="s">
        <v>204</v>
      </c>
      <c r="L148" s="97" t="s">
        <v>754</v>
      </c>
      <c r="M148" s="75">
        <v>1</v>
      </c>
      <c r="N148" s="76" t="s">
        <v>17</v>
      </c>
      <c r="O148" s="111">
        <v>4800</v>
      </c>
      <c r="P148" s="111">
        <v>4800</v>
      </c>
      <c r="R148" s="73">
        <f t="shared" si="14"/>
        <v>0</v>
      </c>
      <c r="S148" s="260"/>
      <c r="T148" s="260"/>
      <c r="U148" s="260"/>
      <c r="V148" s="260"/>
      <c r="W148" s="260"/>
      <c r="X148" s="260"/>
      <c r="Y148" s="565"/>
      <c r="Z148" s="565"/>
      <c r="AA148" s="566">
        <f t="shared" si="13"/>
        <v>0</v>
      </c>
      <c r="AB148" s="699"/>
    </row>
    <row r="149" spans="1:28" ht="15.75" customHeight="1" x14ac:dyDescent="0.3">
      <c r="A149" s="117" t="s">
        <v>1191</v>
      </c>
      <c r="B149" s="22" t="s">
        <v>1202</v>
      </c>
      <c r="C149" s="81">
        <v>43755</v>
      </c>
      <c r="D149" s="109">
        <v>43777</v>
      </c>
      <c r="E149" s="560"/>
      <c r="F149" s="97" t="s">
        <v>1195</v>
      </c>
      <c r="G149" s="97" t="s">
        <v>156</v>
      </c>
      <c r="H149" s="79" t="s">
        <v>213</v>
      </c>
      <c r="I149" s="97" t="s">
        <v>1854</v>
      </c>
      <c r="J149" s="73">
        <f t="shared" si="12"/>
        <v>1</v>
      </c>
      <c r="K149" s="74" t="s">
        <v>204</v>
      </c>
      <c r="L149" s="97" t="s">
        <v>1203</v>
      </c>
      <c r="M149" s="79">
        <v>0</v>
      </c>
      <c r="N149" s="76" t="s">
        <v>19</v>
      </c>
      <c r="R149" s="73">
        <f t="shared" si="14"/>
        <v>0</v>
      </c>
      <c r="S149" s="260"/>
      <c r="T149" s="260"/>
      <c r="U149" s="260"/>
      <c r="V149" s="260"/>
      <c r="W149" s="260"/>
      <c r="X149" s="260"/>
      <c r="Y149" s="565"/>
      <c r="Z149" s="565"/>
      <c r="AA149" s="566">
        <f t="shared" si="13"/>
        <v>0</v>
      </c>
      <c r="AB149" s="699"/>
    </row>
    <row r="150" spans="1:28" ht="15.75" customHeight="1" x14ac:dyDescent="0.3">
      <c r="A150" s="117" t="s">
        <v>1192</v>
      </c>
      <c r="B150" s="22" t="s">
        <v>1196</v>
      </c>
      <c r="C150" s="81">
        <v>43755</v>
      </c>
      <c r="D150" s="109">
        <v>43791</v>
      </c>
      <c r="E150" s="560"/>
      <c r="F150" s="97" t="s">
        <v>1199</v>
      </c>
      <c r="G150" s="97" t="s">
        <v>158</v>
      </c>
      <c r="H150" s="79" t="s">
        <v>213</v>
      </c>
      <c r="J150" s="73">
        <f t="shared" si="12"/>
        <v>1</v>
      </c>
      <c r="K150" s="74" t="s">
        <v>204</v>
      </c>
      <c r="L150" s="97" t="s">
        <v>754</v>
      </c>
      <c r="M150" s="75">
        <v>1</v>
      </c>
      <c r="N150" s="76" t="s">
        <v>17</v>
      </c>
      <c r="O150" s="111">
        <v>15900</v>
      </c>
      <c r="R150" s="73">
        <f t="shared" si="14"/>
        <v>0</v>
      </c>
      <c r="S150" s="260"/>
      <c r="T150" s="260"/>
      <c r="U150" s="260"/>
      <c r="V150" s="260"/>
      <c r="W150" s="260"/>
      <c r="X150" s="260"/>
      <c r="Y150" s="565"/>
      <c r="Z150" s="565"/>
      <c r="AA150" s="566">
        <f t="shared" si="13"/>
        <v>0</v>
      </c>
      <c r="AB150" s="699"/>
    </row>
    <row r="151" spans="1:28" ht="15.75" customHeight="1" x14ac:dyDescent="0.3">
      <c r="A151" s="93" t="s">
        <v>1193</v>
      </c>
      <c r="B151" s="22" t="s">
        <v>1197</v>
      </c>
      <c r="C151" s="81">
        <v>43755</v>
      </c>
      <c r="D151" s="109">
        <v>43777</v>
      </c>
      <c r="E151" s="560"/>
      <c r="F151" s="97" t="s">
        <v>1200</v>
      </c>
      <c r="G151" s="97" t="s">
        <v>150</v>
      </c>
      <c r="H151" s="96" t="s">
        <v>213</v>
      </c>
      <c r="I151" s="97" t="s">
        <v>1204</v>
      </c>
      <c r="J151" s="73">
        <f t="shared" si="12"/>
        <v>1</v>
      </c>
      <c r="K151" s="74" t="s">
        <v>204</v>
      </c>
      <c r="L151" s="97" t="s">
        <v>1205</v>
      </c>
      <c r="M151" s="79">
        <v>0</v>
      </c>
      <c r="N151" s="76" t="s">
        <v>18</v>
      </c>
      <c r="R151" s="73">
        <f t="shared" si="14"/>
        <v>0</v>
      </c>
      <c r="S151" s="260"/>
      <c r="T151" s="260"/>
      <c r="U151" s="260"/>
      <c r="V151" s="260"/>
      <c r="W151" s="260"/>
      <c r="X151" s="260"/>
      <c r="Y151" s="565"/>
      <c r="Z151" s="565"/>
      <c r="AA151" s="566">
        <f t="shared" si="13"/>
        <v>0</v>
      </c>
      <c r="AB151" s="699"/>
    </row>
    <row r="152" spans="1:28" ht="15.75" customHeight="1" x14ac:dyDescent="0.3">
      <c r="A152" s="117" t="s">
        <v>1194</v>
      </c>
      <c r="B152" s="22" t="s">
        <v>1198</v>
      </c>
      <c r="C152" s="81">
        <v>43755</v>
      </c>
      <c r="D152" s="109">
        <v>43791</v>
      </c>
      <c r="E152" s="560"/>
      <c r="F152" s="97" t="s">
        <v>1201</v>
      </c>
      <c r="G152" s="86" t="s">
        <v>158</v>
      </c>
      <c r="H152" s="79" t="s">
        <v>213</v>
      </c>
      <c r="I152" s="97" t="s">
        <v>714</v>
      </c>
      <c r="J152" s="73">
        <f t="shared" si="12"/>
        <v>1</v>
      </c>
      <c r="K152" s="74" t="s">
        <v>204</v>
      </c>
      <c r="L152" s="97" t="s">
        <v>1742</v>
      </c>
      <c r="M152" s="75">
        <v>1</v>
      </c>
      <c r="N152" s="76" t="s">
        <v>18</v>
      </c>
      <c r="R152" s="73">
        <f t="shared" si="14"/>
        <v>0</v>
      </c>
      <c r="S152" s="260"/>
      <c r="T152" s="260"/>
      <c r="U152" s="260"/>
      <c r="V152" s="260"/>
      <c r="W152" s="260"/>
      <c r="X152" s="260"/>
      <c r="Y152" s="565"/>
      <c r="Z152" s="565"/>
      <c r="AA152" s="566">
        <f t="shared" si="13"/>
        <v>0</v>
      </c>
      <c r="AB152" s="699"/>
    </row>
    <row r="153" spans="1:28" ht="15.75" customHeight="1" x14ac:dyDescent="0.3">
      <c r="A153" s="66" t="s">
        <v>1207</v>
      </c>
      <c r="B153" s="22" t="s">
        <v>1224</v>
      </c>
      <c r="C153" s="81">
        <v>43756</v>
      </c>
      <c r="D153" s="109">
        <v>43780</v>
      </c>
      <c r="E153" s="560"/>
      <c r="F153" s="86" t="s">
        <v>1208</v>
      </c>
      <c r="G153" s="86" t="s">
        <v>156</v>
      </c>
      <c r="H153" s="79" t="s">
        <v>213</v>
      </c>
      <c r="I153" s="97" t="s">
        <v>1104</v>
      </c>
      <c r="J153" s="73">
        <f t="shared" si="12"/>
        <v>1</v>
      </c>
      <c r="K153" s="74" t="s">
        <v>204</v>
      </c>
      <c r="L153" s="97" t="s">
        <v>994</v>
      </c>
      <c r="M153" s="79">
        <v>0</v>
      </c>
      <c r="N153" s="76" t="s">
        <v>19</v>
      </c>
      <c r="R153" s="73">
        <f t="shared" si="14"/>
        <v>0</v>
      </c>
      <c r="S153" s="260"/>
      <c r="T153" s="260"/>
      <c r="U153" s="260"/>
      <c r="V153" s="260"/>
      <c r="W153" s="260"/>
      <c r="X153" s="260"/>
      <c r="Y153" s="565"/>
      <c r="Z153" s="565"/>
      <c r="AA153" s="566">
        <f t="shared" si="13"/>
        <v>0</v>
      </c>
      <c r="AB153" s="699"/>
    </row>
    <row r="154" spans="1:28" ht="15.75" customHeight="1" x14ac:dyDescent="0.3">
      <c r="A154" s="121" t="s">
        <v>1209</v>
      </c>
      <c r="B154" s="22" t="s">
        <v>1225</v>
      </c>
      <c r="C154" s="81">
        <v>43756</v>
      </c>
      <c r="D154" s="109">
        <v>43794</v>
      </c>
      <c r="E154" s="560"/>
      <c r="F154" s="86" t="s">
        <v>1210</v>
      </c>
      <c r="G154" s="86" t="s">
        <v>187</v>
      </c>
      <c r="H154" s="79" t="s">
        <v>213</v>
      </c>
      <c r="I154" s="97" t="s">
        <v>641</v>
      </c>
      <c r="J154" s="73">
        <f t="shared" si="12"/>
        <v>1</v>
      </c>
      <c r="K154" s="74" t="s">
        <v>204</v>
      </c>
      <c r="L154" s="97" t="s">
        <v>1827</v>
      </c>
      <c r="M154" s="75">
        <v>1</v>
      </c>
      <c r="N154" s="76" t="s">
        <v>18</v>
      </c>
      <c r="R154" s="73">
        <f t="shared" si="14"/>
        <v>0</v>
      </c>
      <c r="S154" s="260"/>
      <c r="T154" s="260"/>
      <c r="U154" s="260"/>
      <c r="V154" s="260"/>
      <c r="W154" s="260"/>
      <c r="X154" s="260"/>
      <c r="Y154" s="565"/>
      <c r="Z154" s="565"/>
      <c r="AA154" s="566">
        <f t="shared" si="13"/>
        <v>0</v>
      </c>
      <c r="AB154" s="699"/>
    </row>
    <row r="155" spans="1:28" ht="15.75" customHeight="1" x14ac:dyDescent="0.3">
      <c r="A155" s="121" t="s">
        <v>1211</v>
      </c>
      <c r="B155" s="22" t="s">
        <v>1226</v>
      </c>
      <c r="C155" s="81">
        <v>43756</v>
      </c>
      <c r="D155" s="109">
        <v>43780</v>
      </c>
      <c r="E155" s="560"/>
      <c r="F155" s="86" t="s">
        <v>1212</v>
      </c>
      <c r="G155" s="97" t="s">
        <v>152</v>
      </c>
      <c r="H155" s="79" t="s">
        <v>213</v>
      </c>
      <c r="I155" s="97" t="s">
        <v>1854</v>
      </c>
      <c r="J155" s="73">
        <f t="shared" si="12"/>
        <v>1</v>
      </c>
      <c r="K155" s="74" t="s">
        <v>204</v>
      </c>
      <c r="L155" s="97" t="s">
        <v>1258</v>
      </c>
      <c r="M155" s="79">
        <v>0</v>
      </c>
      <c r="N155" s="76" t="s">
        <v>19</v>
      </c>
      <c r="R155" s="73">
        <f t="shared" si="14"/>
        <v>0</v>
      </c>
      <c r="S155" s="260"/>
      <c r="T155" s="260"/>
      <c r="U155" s="260"/>
      <c r="V155" s="260"/>
      <c r="W155" s="260"/>
      <c r="X155" s="260"/>
      <c r="Y155" s="565"/>
      <c r="Z155" s="565"/>
      <c r="AA155" s="566">
        <f t="shared" si="13"/>
        <v>0</v>
      </c>
      <c r="AB155" s="699"/>
    </row>
    <row r="156" spans="1:28" ht="15.75" customHeight="1" x14ac:dyDescent="0.3">
      <c r="A156" s="121" t="s">
        <v>1213</v>
      </c>
      <c r="B156" s="22" t="s">
        <v>1227</v>
      </c>
      <c r="C156" s="81">
        <v>43756</v>
      </c>
      <c r="D156" s="109">
        <v>43794</v>
      </c>
      <c r="E156" s="560"/>
      <c r="F156" s="86" t="s">
        <v>1214</v>
      </c>
      <c r="G156" s="86" t="s">
        <v>147</v>
      </c>
      <c r="H156" s="79" t="s">
        <v>213</v>
      </c>
      <c r="I156" s="97" t="s">
        <v>714</v>
      </c>
      <c r="J156" s="73">
        <f t="shared" si="12"/>
        <v>1</v>
      </c>
      <c r="K156" s="74" t="s">
        <v>204</v>
      </c>
      <c r="L156" s="97" t="s">
        <v>754</v>
      </c>
      <c r="M156" s="75">
        <v>1</v>
      </c>
      <c r="N156" s="76" t="s">
        <v>18</v>
      </c>
      <c r="R156" s="73">
        <f t="shared" si="14"/>
        <v>0</v>
      </c>
      <c r="S156" s="260"/>
      <c r="T156" s="260"/>
      <c r="U156" s="260"/>
      <c r="V156" s="260"/>
      <c r="W156" s="260"/>
      <c r="X156" s="260"/>
      <c r="Y156" s="565"/>
      <c r="Z156" s="565"/>
      <c r="AA156" s="566">
        <f t="shared" si="13"/>
        <v>0</v>
      </c>
      <c r="AB156" s="699"/>
    </row>
    <row r="157" spans="1:28" ht="15.75" customHeight="1" x14ac:dyDescent="0.3">
      <c r="A157" s="121" t="s">
        <v>1215</v>
      </c>
      <c r="B157" s="22" t="s">
        <v>1228</v>
      </c>
      <c r="C157" s="81">
        <v>43756</v>
      </c>
      <c r="D157" s="109">
        <v>43794</v>
      </c>
      <c r="E157" s="560"/>
      <c r="F157" s="86" t="s">
        <v>1216</v>
      </c>
      <c r="G157" s="86" t="s">
        <v>158</v>
      </c>
      <c r="H157" s="79" t="s">
        <v>213</v>
      </c>
      <c r="I157" s="97" t="s">
        <v>642</v>
      </c>
      <c r="J157" s="73">
        <f t="shared" si="12"/>
        <v>1</v>
      </c>
      <c r="K157" s="74" t="s">
        <v>204</v>
      </c>
      <c r="L157" s="97" t="s">
        <v>1828</v>
      </c>
      <c r="M157" s="75">
        <v>1</v>
      </c>
      <c r="N157" s="76" t="s">
        <v>18</v>
      </c>
      <c r="R157" s="73">
        <f t="shared" si="14"/>
        <v>0</v>
      </c>
      <c r="S157" s="260"/>
      <c r="T157" s="260"/>
      <c r="U157" s="260"/>
      <c r="V157" s="260"/>
      <c r="W157" s="260"/>
      <c r="X157" s="260"/>
      <c r="Y157" s="565"/>
      <c r="Z157" s="565"/>
      <c r="AA157" s="566">
        <f t="shared" si="13"/>
        <v>0</v>
      </c>
      <c r="AB157" s="699"/>
    </row>
    <row r="158" spans="1:28" ht="15.75" customHeight="1" x14ac:dyDescent="0.3">
      <c r="A158" s="121" t="s">
        <v>1217</v>
      </c>
      <c r="B158" s="22" t="s">
        <v>1229</v>
      </c>
      <c r="C158" s="81">
        <v>43759</v>
      </c>
      <c r="D158" s="109">
        <v>43795</v>
      </c>
      <c r="E158" s="560"/>
      <c r="F158" s="86" t="s">
        <v>1218</v>
      </c>
      <c r="G158" s="86" t="s">
        <v>158</v>
      </c>
      <c r="H158" s="79" t="s">
        <v>213</v>
      </c>
      <c r="I158" s="97" t="s">
        <v>642</v>
      </c>
      <c r="J158" s="73">
        <f t="shared" si="12"/>
        <v>1</v>
      </c>
      <c r="K158" s="74" t="s">
        <v>204</v>
      </c>
      <c r="L158" s="97" t="s">
        <v>1861</v>
      </c>
      <c r="M158" s="75">
        <v>1</v>
      </c>
      <c r="N158" s="76" t="s">
        <v>18</v>
      </c>
      <c r="R158" s="73">
        <f t="shared" si="14"/>
        <v>0</v>
      </c>
      <c r="S158" s="260"/>
      <c r="T158" s="260"/>
      <c r="U158" s="260"/>
      <c r="V158" s="260"/>
      <c r="W158" s="260"/>
      <c r="X158" s="260"/>
      <c r="Y158" s="565"/>
      <c r="Z158" s="565"/>
      <c r="AA158" s="566">
        <f t="shared" si="13"/>
        <v>0</v>
      </c>
      <c r="AB158" s="699"/>
    </row>
    <row r="159" spans="1:28" ht="15.75" customHeight="1" x14ac:dyDescent="0.3">
      <c r="A159" s="121" t="s">
        <v>1219</v>
      </c>
      <c r="B159" s="22" t="s">
        <v>1230</v>
      </c>
      <c r="C159" s="81">
        <v>43759</v>
      </c>
      <c r="D159" s="109">
        <v>43795</v>
      </c>
      <c r="E159" s="560"/>
      <c r="F159" s="86" t="s">
        <v>1220</v>
      </c>
      <c r="G159" s="86" t="s">
        <v>1221</v>
      </c>
      <c r="H159" s="79" t="s">
        <v>213</v>
      </c>
      <c r="I159" s="97" t="s">
        <v>714</v>
      </c>
      <c r="J159" s="73">
        <f t="shared" si="12"/>
        <v>1</v>
      </c>
      <c r="K159" s="74" t="s">
        <v>204</v>
      </c>
      <c r="L159" s="97" t="s">
        <v>754</v>
      </c>
      <c r="M159" s="75">
        <v>1</v>
      </c>
      <c r="N159" s="76" t="s">
        <v>18</v>
      </c>
      <c r="R159" s="73">
        <f t="shared" si="14"/>
        <v>0</v>
      </c>
      <c r="S159" s="260"/>
      <c r="T159" s="260"/>
      <c r="U159" s="260"/>
      <c r="V159" s="260"/>
      <c r="W159" s="260"/>
      <c r="X159" s="260"/>
      <c r="Y159" s="565"/>
      <c r="Z159" s="565"/>
      <c r="AA159" s="566">
        <f t="shared" si="13"/>
        <v>0</v>
      </c>
      <c r="AB159" s="699"/>
    </row>
    <row r="160" spans="1:28" ht="15.75" customHeight="1" x14ac:dyDescent="0.3">
      <c r="A160" s="66" t="s">
        <v>1222</v>
      </c>
      <c r="B160" s="22" t="s">
        <v>1231</v>
      </c>
      <c r="C160" s="81">
        <v>43759</v>
      </c>
      <c r="D160" s="109">
        <v>43781</v>
      </c>
      <c r="E160" s="560"/>
      <c r="F160" s="86" t="s">
        <v>1223</v>
      </c>
      <c r="G160" s="86" t="s">
        <v>150</v>
      </c>
      <c r="H160" s="79" t="s">
        <v>213</v>
      </c>
      <c r="I160" s="97" t="s">
        <v>649</v>
      </c>
      <c r="J160" s="73">
        <f t="shared" si="12"/>
        <v>1</v>
      </c>
      <c r="K160" s="74" t="s">
        <v>204</v>
      </c>
      <c r="L160" s="97" t="s">
        <v>456</v>
      </c>
      <c r="M160" s="79">
        <v>0</v>
      </c>
      <c r="N160" s="76" t="s">
        <v>17</v>
      </c>
      <c r="O160" s="111">
        <v>400000</v>
      </c>
      <c r="R160" s="73">
        <f t="shared" si="14"/>
        <v>0</v>
      </c>
      <c r="S160" s="260"/>
      <c r="T160" s="260"/>
      <c r="U160" s="260"/>
      <c r="V160" s="260"/>
      <c r="W160" s="260"/>
      <c r="X160" s="260"/>
      <c r="Y160" s="565"/>
      <c r="Z160" s="565"/>
      <c r="AA160" s="566">
        <f t="shared" si="13"/>
        <v>0</v>
      </c>
      <c r="AB160" s="699"/>
    </row>
    <row r="161" spans="1:28" ht="15.75" customHeight="1" x14ac:dyDescent="0.3">
      <c r="A161" s="121" t="s">
        <v>1232</v>
      </c>
      <c r="B161" s="22" t="s">
        <v>1237</v>
      </c>
      <c r="C161" s="81">
        <v>43759</v>
      </c>
      <c r="D161" s="109">
        <v>43782</v>
      </c>
      <c r="E161" s="560"/>
      <c r="F161" s="86" t="s">
        <v>1233</v>
      </c>
      <c r="G161" s="97" t="s">
        <v>154</v>
      </c>
      <c r="H161" s="79" t="s">
        <v>213</v>
      </c>
      <c r="I161" s="97" t="s">
        <v>1284</v>
      </c>
      <c r="J161" s="73">
        <f t="shared" si="12"/>
        <v>1</v>
      </c>
      <c r="K161" s="74" t="s">
        <v>204</v>
      </c>
      <c r="L161" s="97" t="s">
        <v>1286</v>
      </c>
      <c r="M161" s="79">
        <v>0</v>
      </c>
      <c r="N161" s="76" t="s">
        <v>19</v>
      </c>
      <c r="R161" s="73">
        <f t="shared" si="14"/>
        <v>0</v>
      </c>
      <c r="S161" s="260"/>
      <c r="T161" s="260"/>
      <c r="U161" s="260"/>
      <c r="V161" s="260"/>
      <c r="W161" s="260"/>
      <c r="X161" s="260"/>
      <c r="Y161" s="565"/>
      <c r="Z161" s="565"/>
      <c r="AA161" s="566">
        <f t="shared" si="13"/>
        <v>0</v>
      </c>
      <c r="AB161" s="699"/>
    </row>
    <row r="162" spans="1:28" ht="15.75" customHeight="1" x14ac:dyDescent="0.3">
      <c r="A162" s="121" t="s">
        <v>1234</v>
      </c>
      <c r="B162" s="22" t="s">
        <v>1236</v>
      </c>
      <c r="C162" s="81">
        <v>43759</v>
      </c>
      <c r="D162" s="109">
        <v>43782</v>
      </c>
      <c r="E162" s="560"/>
      <c r="F162" s="86" t="s">
        <v>1235</v>
      </c>
      <c r="G162" s="86" t="s">
        <v>156</v>
      </c>
      <c r="H162" s="79" t="s">
        <v>213</v>
      </c>
      <c r="I162" s="97" t="s">
        <v>1104</v>
      </c>
      <c r="J162" s="73">
        <f t="shared" si="12"/>
        <v>1</v>
      </c>
      <c r="K162" s="74" t="s">
        <v>204</v>
      </c>
      <c r="L162" s="97" t="s">
        <v>994</v>
      </c>
      <c r="M162" s="79">
        <v>0</v>
      </c>
      <c r="N162" s="76" t="s">
        <v>19</v>
      </c>
      <c r="R162" s="73">
        <f t="shared" si="14"/>
        <v>0</v>
      </c>
      <c r="S162" s="260"/>
      <c r="T162" s="260"/>
      <c r="U162" s="260"/>
      <c r="V162" s="260"/>
      <c r="W162" s="260"/>
      <c r="X162" s="260"/>
      <c r="Y162" s="565"/>
      <c r="Z162" s="565"/>
      <c r="AA162" s="566">
        <f t="shared" si="13"/>
        <v>0</v>
      </c>
      <c r="AB162" s="699"/>
    </row>
    <row r="163" spans="1:28" ht="15.75" customHeight="1" x14ac:dyDescent="0.3">
      <c r="A163" s="121" t="s">
        <v>1300</v>
      </c>
      <c r="B163" s="22" t="s">
        <v>1334</v>
      </c>
      <c r="C163" s="81">
        <v>43732</v>
      </c>
      <c r="D163" s="109">
        <v>43783</v>
      </c>
      <c r="E163" s="560"/>
      <c r="F163" s="86" t="s">
        <v>1301</v>
      </c>
      <c r="G163" s="86" t="s">
        <v>152</v>
      </c>
      <c r="H163" s="79" t="s">
        <v>213</v>
      </c>
      <c r="I163" s="97" t="s">
        <v>641</v>
      </c>
      <c r="J163" s="73">
        <f t="shared" si="12"/>
        <v>1</v>
      </c>
      <c r="K163" s="74" t="s">
        <v>204</v>
      </c>
      <c r="L163" s="97" t="s">
        <v>1343</v>
      </c>
      <c r="M163" s="75">
        <v>1</v>
      </c>
      <c r="N163" s="76" t="s">
        <v>17</v>
      </c>
      <c r="O163" s="111">
        <v>40050</v>
      </c>
      <c r="R163" s="73">
        <f t="shared" si="14"/>
        <v>0</v>
      </c>
      <c r="S163" s="260"/>
      <c r="T163" s="260"/>
      <c r="U163" s="260"/>
      <c r="V163" s="260"/>
      <c r="W163" s="260"/>
      <c r="X163" s="260"/>
      <c r="Y163" s="565"/>
      <c r="Z163" s="565"/>
      <c r="AA163" s="566">
        <f t="shared" si="13"/>
        <v>0</v>
      </c>
      <c r="AB163" s="699"/>
    </row>
    <row r="164" spans="1:28" ht="15.75" customHeight="1" x14ac:dyDescent="0.3">
      <c r="A164" s="121" t="s">
        <v>1302</v>
      </c>
      <c r="B164" s="22" t="s">
        <v>1335</v>
      </c>
      <c r="C164" s="81">
        <v>43746</v>
      </c>
      <c r="D164" s="109">
        <v>43783</v>
      </c>
      <c r="E164" s="560"/>
      <c r="F164" s="86" t="s">
        <v>1303</v>
      </c>
      <c r="G164" s="86" t="s">
        <v>152</v>
      </c>
      <c r="H164" s="79" t="s">
        <v>213</v>
      </c>
      <c r="I164" s="97" t="s">
        <v>714</v>
      </c>
      <c r="J164" s="73">
        <f t="shared" si="12"/>
        <v>1</v>
      </c>
      <c r="K164" s="74" t="s">
        <v>204</v>
      </c>
      <c r="L164" s="97" t="s">
        <v>1373</v>
      </c>
      <c r="M164" s="75">
        <v>1</v>
      </c>
      <c r="N164" s="76" t="s">
        <v>17</v>
      </c>
      <c r="O164" s="111">
        <v>32280</v>
      </c>
      <c r="R164" s="73">
        <f t="shared" si="14"/>
        <v>0</v>
      </c>
      <c r="S164" s="260"/>
      <c r="T164" s="260"/>
      <c r="U164" s="260"/>
      <c r="V164" s="260"/>
      <c r="W164" s="260"/>
      <c r="X164" s="260"/>
      <c r="Y164" s="565"/>
      <c r="Z164" s="565"/>
      <c r="AA164" s="566">
        <f t="shared" si="13"/>
        <v>0</v>
      </c>
      <c r="AB164" s="699"/>
    </row>
    <row r="165" spans="1:28" ht="15.75" customHeight="1" x14ac:dyDescent="0.3">
      <c r="A165" s="121" t="s">
        <v>1304</v>
      </c>
      <c r="B165" s="22" t="s">
        <v>1518</v>
      </c>
      <c r="C165" s="81">
        <v>43752</v>
      </c>
      <c r="D165" s="109">
        <v>43788</v>
      </c>
      <c r="E165" s="560"/>
      <c r="F165" s="86" t="s">
        <v>1305</v>
      </c>
      <c r="G165" s="86" t="s">
        <v>166</v>
      </c>
      <c r="H165" s="79" t="s">
        <v>268</v>
      </c>
      <c r="J165" s="73">
        <f t="shared" si="12"/>
        <v>1</v>
      </c>
      <c r="K165" s="74" t="s">
        <v>204</v>
      </c>
      <c r="L165" s="97" t="s">
        <v>1613</v>
      </c>
      <c r="M165" s="75">
        <v>1</v>
      </c>
      <c r="N165" s="76" t="s">
        <v>17</v>
      </c>
      <c r="O165" s="111">
        <v>100424.57</v>
      </c>
      <c r="R165" s="73">
        <f t="shared" si="14"/>
        <v>0</v>
      </c>
      <c r="S165" s="260"/>
      <c r="T165" s="260"/>
      <c r="U165" s="260"/>
      <c r="V165" s="260"/>
      <c r="W165" s="260"/>
      <c r="X165" s="260"/>
      <c r="Y165" s="565"/>
      <c r="Z165" s="565"/>
      <c r="AA165" s="566">
        <f t="shared" si="13"/>
        <v>0</v>
      </c>
      <c r="AB165" s="699"/>
    </row>
    <row r="166" spans="1:28" ht="15.75" customHeight="1" x14ac:dyDescent="0.3">
      <c r="A166" s="121" t="s">
        <v>1306</v>
      </c>
      <c r="B166" s="22" t="s">
        <v>1336</v>
      </c>
      <c r="C166" s="81">
        <v>43760</v>
      </c>
      <c r="D166" s="109">
        <v>43783</v>
      </c>
      <c r="E166" s="560"/>
      <c r="F166" s="86" t="s">
        <v>1307</v>
      </c>
      <c r="G166" s="86" t="s">
        <v>147</v>
      </c>
      <c r="H166" s="79" t="s">
        <v>213</v>
      </c>
      <c r="I166" s="97" t="s">
        <v>649</v>
      </c>
      <c r="J166" s="73">
        <f t="shared" si="12"/>
        <v>1</v>
      </c>
      <c r="K166" s="74" t="s">
        <v>204</v>
      </c>
      <c r="L166" s="97" t="s">
        <v>1344</v>
      </c>
      <c r="M166" s="79">
        <v>0</v>
      </c>
      <c r="N166" s="76" t="s">
        <v>17</v>
      </c>
      <c r="O166" s="111">
        <v>370000</v>
      </c>
      <c r="P166" s="111">
        <v>370000</v>
      </c>
      <c r="R166" s="73">
        <f t="shared" si="14"/>
        <v>0</v>
      </c>
      <c r="S166" s="260"/>
      <c r="T166" s="260"/>
      <c r="U166" s="260"/>
      <c r="V166" s="260"/>
      <c r="W166" s="260"/>
      <c r="X166" s="260"/>
      <c r="Y166" s="565"/>
      <c r="Z166" s="565"/>
      <c r="AA166" s="566">
        <f t="shared" si="13"/>
        <v>0</v>
      </c>
      <c r="AB166" s="699"/>
    </row>
    <row r="167" spans="1:28" ht="15.75" customHeight="1" x14ac:dyDescent="0.3">
      <c r="A167" s="66" t="s">
        <v>1308</v>
      </c>
      <c r="B167" s="22" t="s">
        <v>1337</v>
      </c>
      <c r="C167" s="81">
        <v>43760</v>
      </c>
      <c r="D167" s="109">
        <v>43797</v>
      </c>
      <c r="E167" s="560"/>
      <c r="F167" s="86" t="s">
        <v>1309</v>
      </c>
      <c r="G167" s="97" t="s">
        <v>150</v>
      </c>
      <c r="H167" s="79" t="s">
        <v>213</v>
      </c>
      <c r="J167" s="73">
        <f t="shared" si="12"/>
        <v>1</v>
      </c>
      <c r="K167" s="74" t="s">
        <v>204</v>
      </c>
      <c r="L167" s="97" t="s">
        <v>1996</v>
      </c>
      <c r="M167" s="75">
        <v>1</v>
      </c>
      <c r="N167" s="76" t="s">
        <v>18</v>
      </c>
      <c r="Q167" s="301" t="s">
        <v>1881</v>
      </c>
      <c r="R167" s="73">
        <f t="shared" si="14"/>
        <v>1</v>
      </c>
      <c r="S167" s="260" t="s">
        <v>1976</v>
      </c>
      <c r="T167" s="260"/>
      <c r="U167" s="260"/>
      <c r="V167" s="260"/>
      <c r="W167" s="260"/>
      <c r="X167" s="260"/>
      <c r="Y167" s="565"/>
      <c r="Z167" s="565"/>
      <c r="AA167" s="566">
        <f t="shared" si="13"/>
        <v>0</v>
      </c>
      <c r="AB167" s="699"/>
    </row>
    <row r="168" spans="1:28" ht="15.75" customHeight="1" x14ac:dyDescent="0.3">
      <c r="A168" s="121" t="s">
        <v>1310</v>
      </c>
      <c r="B168" s="22" t="s">
        <v>1338</v>
      </c>
      <c r="C168" s="81">
        <v>43760</v>
      </c>
      <c r="D168" s="109">
        <v>43797</v>
      </c>
      <c r="E168" s="560"/>
      <c r="F168" s="97" t="s">
        <v>1311</v>
      </c>
      <c r="G168" s="97" t="s">
        <v>158</v>
      </c>
      <c r="H168" s="79" t="s">
        <v>213</v>
      </c>
      <c r="I168" s="97" t="s">
        <v>657</v>
      </c>
      <c r="J168" s="73">
        <f t="shared" si="12"/>
        <v>1</v>
      </c>
      <c r="K168" s="74" t="s">
        <v>204</v>
      </c>
      <c r="L168" s="97" t="s">
        <v>1998</v>
      </c>
      <c r="M168" s="75">
        <v>1</v>
      </c>
      <c r="N168" s="76" t="s">
        <v>17</v>
      </c>
      <c r="O168" s="111">
        <v>100549.84</v>
      </c>
      <c r="Q168" s="301" t="s">
        <v>1977</v>
      </c>
      <c r="R168" s="73">
        <f t="shared" si="14"/>
        <v>1</v>
      </c>
      <c r="S168" s="260" t="s">
        <v>1976</v>
      </c>
      <c r="T168" s="260"/>
      <c r="U168" s="260"/>
      <c r="V168" s="260"/>
      <c r="W168" s="260"/>
      <c r="X168" s="260"/>
      <c r="Y168" s="565"/>
      <c r="Z168" s="565"/>
      <c r="AA168" s="566">
        <f t="shared" si="13"/>
        <v>0</v>
      </c>
      <c r="AB168" s="699"/>
    </row>
    <row r="169" spans="1:28" ht="15.75" customHeight="1" x14ac:dyDescent="0.3">
      <c r="A169" s="121" t="s">
        <v>1312</v>
      </c>
      <c r="B169" s="22" t="s">
        <v>1348</v>
      </c>
      <c r="C169" s="81">
        <v>43761</v>
      </c>
      <c r="D169" s="109">
        <v>43784</v>
      </c>
      <c r="E169" s="560"/>
      <c r="F169" s="86" t="s">
        <v>1313</v>
      </c>
      <c r="G169" s="86" t="s">
        <v>154</v>
      </c>
      <c r="H169" s="79" t="s">
        <v>213</v>
      </c>
      <c r="I169" s="97" t="s">
        <v>995</v>
      </c>
      <c r="J169" s="73">
        <f t="shared" si="12"/>
        <v>1</v>
      </c>
      <c r="K169" s="74" t="s">
        <v>204</v>
      </c>
      <c r="L169" s="97" t="s">
        <v>1369</v>
      </c>
      <c r="M169" s="79">
        <v>0</v>
      </c>
      <c r="N169" s="76" t="s">
        <v>19</v>
      </c>
      <c r="R169" s="73">
        <f t="shared" si="14"/>
        <v>0</v>
      </c>
      <c r="S169" s="260"/>
      <c r="T169" s="260"/>
      <c r="U169" s="260"/>
      <c r="V169" s="260"/>
      <c r="W169" s="260"/>
      <c r="X169" s="260"/>
      <c r="Y169" s="565"/>
      <c r="Z169" s="565"/>
      <c r="AA169" s="566">
        <f t="shared" si="13"/>
        <v>0</v>
      </c>
      <c r="AB169" s="699"/>
    </row>
    <row r="170" spans="1:28" ht="15.75" customHeight="1" x14ac:dyDescent="0.3">
      <c r="A170" s="66" t="s">
        <v>1314</v>
      </c>
      <c r="B170" s="22" t="s">
        <v>1349</v>
      </c>
      <c r="C170" s="81">
        <v>43761</v>
      </c>
      <c r="D170" s="109">
        <v>43798</v>
      </c>
      <c r="E170" s="560"/>
      <c r="F170" s="86" t="s">
        <v>1315</v>
      </c>
      <c r="G170" s="86" t="s">
        <v>172</v>
      </c>
      <c r="H170" s="79" t="s">
        <v>213</v>
      </c>
      <c r="I170" s="97" t="s">
        <v>641</v>
      </c>
      <c r="J170" s="73">
        <f t="shared" si="12"/>
        <v>1</v>
      </c>
      <c r="K170" s="74" t="s">
        <v>204</v>
      </c>
      <c r="L170" s="97" t="s">
        <v>1979</v>
      </c>
      <c r="M170" s="75">
        <v>1</v>
      </c>
      <c r="Q170" s="301" t="s">
        <v>1970</v>
      </c>
      <c r="R170" s="73">
        <f>IF(S170="В работе",0.3,IF(S170="Отписано",0.6,IF(S170="На доработку",0.9,IF(S170="Согласовано",1,0))))</f>
        <v>1</v>
      </c>
      <c r="S170" s="260" t="s">
        <v>1976</v>
      </c>
      <c r="T170" s="260"/>
      <c r="U170" s="260"/>
      <c r="V170" s="260"/>
      <c r="W170" s="260"/>
      <c r="X170" s="260"/>
      <c r="Y170" s="565"/>
      <c r="Z170" s="565"/>
      <c r="AA170" s="566">
        <f t="shared" si="13"/>
        <v>0</v>
      </c>
      <c r="AB170" s="699"/>
    </row>
    <row r="171" spans="1:28" ht="15.75" customHeight="1" x14ac:dyDescent="0.3">
      <c r="A171" s="121" t="s">
        <v>1316</v>
      </c>
      <c r="B171" s="22" t="s">
        <v>1406</v>
      </c>
      <c r="C171" s="81">
        <v>43762</v>
      </c>
      <c r="D171" s="109">
        <v>43787</v>
      </c>
      <c r="E171" s="560"/>
      <c r="F171" s="86" t="s">
        <v>1317</v>
      </c>
      <c r="G171" s="86" t="s">
        <v>152</v>
      </c>
      <c r="H171" s="79" t="s">
        <v>213</v>
      </c>
      <c r="I171" s="97" t="s">
        <v>649</v>
      </c>
      <c r="J171" s="73">
        <f t="shared" si="12"/>
        <v>1</v>
      </c>
      <c r="K171" s="74" t="s">
        <v>204</v>
      </c>
      <c r="L171" s="97" t="s">
        <v>1413</v>
      </c>
      <c r="M171" s="79">
        <v>0</v>
      </c>
      <c r="N171" s="76" t="s">
        <v>17</v>
      </c>
      <c r="O171" s="111">
        <v>63895.46</v>
      </c>
      <c r="R171" s="73">
        <f t="shared" ref="R171:R218" si="15">IF(S171="В работе",0.3,IF(S171="Отписано",0.6,IF(S171="На доработку",0.9,IF(S171="Согласовано",1,0))))</f>
        <v>0</v>
      </c>
      <c r="S171" s="260"/>
      <c r="T171" s="260"/>
      <c r="U171" s="260"/>
      <c r="V171" s="260"/>
      <c r="W171" s="260"/>
      <c r="X171" s="260"/>
      <c r="Y171" s="565"/>
      <c r="Z171" s="565"/>
      <c r="AA171" s="566">
        <f t="shared" si="13"/>
        <v>0</v>
      </c>
      <c r="AB171" s="699"/>
    </row>
    <row r="172" spans="1:28" ht="15.75" customHeight="1" x14ac:dyDescent="0.3">
      <c r="A172" s="121" t="s">
        <v>1318</v>
      </c>
      <c r="B172" s="123" t="s">
        <v>1407</v>
      </c>
      <c r="C172" s="81">
        <v>43762</v>
      </c>
      <c r="D172" s="109">
        <v>43787</v>
      </c>
      <c r="E172" s="560"/>
      <c r="F172" s="86" t="s">
        <v>1319</v>
      </c>
      <c r="G172" s="86" t="s">
        <v>154</v>
      </c>
      <c r="H172" s="79" t="s">
        <v>213</v>
      </c>
      <c r="I172" s="97" t="s">
        <v>649</v>
      </c>
      <c r="J172" s="73">
        <f t="shared" si="12"/>
        <v>1</v>
      </c>
      <c r="K172" s="74" t="s">
        <v>204</v>
      </c>
      <c r="L172" s="97" t="s">
        <v>1413</v>
      </c>
      <c r="M172" s="79">
        <v>0</v>
      </c>
      <c r="N172" s="76" t="s">
        <v>17</v>
      </c>
      <c r="O172" s="111">
        <v>33852</v>
      </c>
      <c r="R172" s="73">
        <f t="shared" si="15"/>
        <v>0</v>
      </c>
      <c r="S172" s="260"/>
      <c r="T172" s="260"/>
      <c r="U172" s="260"/>
      <c r="V172" s="260"/>
      <c r="W172" s="260"/>
      <c r="X172" s="260"/>
      <c r="Y172" s="565"/>
      <c r="Z172" s="565"/>
      <c r="AA172" s="566">
        <f t="shared" si="13"/>
        <v>0</v>
      </c>
      <c r="AB172" s="699"/>
    </row>
    <row r="173" spans="1:28" ht="15.75" customHeight="1" x14ac:dyDescent="0.3">
      <c r="A173" s="121" t="s">
        <v>1320</v>
      </c>
      <c r="B173" s="123" t="s">
        <v>1408</v>
      </c>
      <c r="C173" s="81">
        <v>43762</v>
      </c>
      <c r="D173" s="109">
        <v>43787</v>
      </c>
      <c r="E173" s="560"/>
      <c r="F173" s="86" t="s">
        <v>1321</v>
      </c>
      <c r="G173" s="86" t="s">
        <v>152</v>
      </c>
      <c r="H173" s="79" t="s">
        <v>213</v>
      </c>
      <c r="I173" s="97" t="s">
        <v>688</v>
      </c>
      <c r="J173" s="73">
        <f t="shared" si="12"/>
        <v>1</v>
      </c>
      <c r="K173" s="74" t="s">
        <v>204</v>
      </c>
      <c r="L173" s="97" t="s">
        <v>1414</v>
      </c>
      <c r="M173" s="79">
        <v>0</v>
      </c>
      <c r="N173" s="76" t="s">
        <v>18</v>
      </c>
      <c r="R173" s="73">
        <f t="shared" si="15"/>
        <v>0</v>
      </c>
      <c r="S173" s="260"/>
      <c r="T173" s="260"/>
      <c r="U173" s="260"/>
      <c r="V173" s="260"/>
      <c r="W173" s="260"/>
      <c r="X173" s="260"/>
      <c r="Y173" s="565"/>
      <c r="Z173" s="565"/>
      <c r="AA173" s="566">
        <f t="shared" si="13"/>
        <v>0</v>
      </c>
      <c r="AB173" s="699"/>
    </row>
    <row r="174" spans="1:28" ht="15.75" customHeight="1" x14ac:dyDescent="0.3">
      <c r="A174" s="66" t="s">
        <v>1322</v>
      </c>
      <c r="B174" s="22" t="s">
        <v>1519</v>
      </c>
      <c r="C174" s="81">
        <v>43763</v>
      </c>
      <c r="D174" s="109">
        <v>43802</v>
      </c>
      <c r="E174" s="560"/>
      <c r="F174" s="86" t="s">
        <v>1323</v>
      </c>
      <c r="G174" s="86" t="s">
        <v>156</v>
      </c>
      <c r="H174" s="79" t="s">
        <v>213</v>
      </c>
      <c r="I174" s="97" t="s">
        <v>642</v>
      </c>
      <c r="J174" s="73">
        <f t="shared" si="12"/>
        <v>1</v>
      </c>
      <c r="K174" s="74" t="s">
        <v>204</v>
      </c>
      <c r="L174" s="97" t="s">
        <v>1981</v>
      </c>
      <c r="M174" s="75">
        <v>1</v>
      </c>
      <c r="N174" s="76" t="s">
        <v>18</v>
      </c>
      <c r="Q174" s="301" t="s">
        <v>1970</v>
      </c>
      <c r="R174" s="73">
        <f t="shared" si="15"/>
        <v>1</v>
      </c>
      <c r="S174" s="260" t="s">
        <v>1976</v>
      </c>
      <c r="T174" s="260"/>
      <c r="U174" s="260"/>
      <c r="V174" s="260"/>
      <c r="W174" s="260"/>
      <c r="X174" s="260"/>
      <c r="Y174" s="565"/>
      <c r="Z174" s="565"/>
      <c r="AA174" s="566">
        <f t="shared" si="13"/>
        <v>0</v>
      </c>
      <c r="AB174" s="699"/>
    </row>
    <row r="175" spans="1:28" ht="15.75" customHeight="1" x14ac:dyDescent="0.3">
      <c r="A175" s="121" t="s">
        <v>1324</v>
      </c>
      <c r="B175" s="22" t="s">
        <v>1520</v>
      </c>
      <c r="C175" s="81">
        <v>43763</v>
      </c>
      <c r="D175" s="109">
        <v>43788</v>
      </c>
      <c r="E175" s="560"/>
      <c r="F175" s="86" t="s">
        <v>1325</v>
      </c>
      <c r="G175" s="86" t="s">
        <v>150</v>
      </c>
      <c r="H175" s="79" t="s">
        <v>213</v>
      </c>
      <c r="I175" s="97" t="s">
        <v>649</v>
      </c>
      <c r="J175" s="73">
        <f t="shared" si="12"/>
        <v>1</v>
      </c>
      <c r="K175" s="74" t="s">
        <v>204</v>
      </c>
      <c r="L175" s="97" t="s">
        <v>1610</v>
      </c>
      <c r="M175" s="79">
        <v>0</v>
      </c>
      <c r="N175" s="76" t="s">
        <v>17</v>
      </c>
      <c r="O175" s="111">
        <v>2717.4</v>
      </c>
      <c r="R175" s="73">
        <f t="shared" si="15"/>
        <v>0</v>
      </c>
      <c r="S175" s="260"/>
      <c r="T175" s="260"/>
      <c r="U175" s="260"/>
      <c r="V175" s="260"/>
      <c r="W175" s="260"/>
      <c r="X175" s="260"/>
      <c r="Y175" s="565"/>
      <c r="Z175" s="565"/>
      <c r="AA175" s="566">
        <f t="shared" si="13"/>
        <v>0</v>
      </c>
      <c r="AB175" s="699"/>
    </row>
    <row r="176" spans="1:28" ht="15.75" customHeight="1" x14ac:dyDescent="0.3">
      <c r="A176" s="66" t="s">
        <v>1326</v>
      </c>
      <c r="B176" s="22" t="s">
        <v>1521</v>
      </c>
      <c r="C176" s="81">
        <v>43763</v>
      </c>
      <c r="D176" s="109">
        <v>43802</v>
      </c>
      <c r="E176" s="560"/>
      <c r="F176" s="86" t="s">
        <v>1327</v>
      </c>
      <c r="G176" s="97" t="s">
        <v>1328</v>
      </c>
      <c r="H176" s="79" t="s">
        <v>213</v>
      </c>
      <c r="I176" s="97" t="s">
        <v>642</v>
      </c>
      <c r="J176" s="73">
        <f t="shared" si="12"/>
        <v>1</v>
      </c>
      <c r="K176" s="74" t="s">
        <v>204</v>
      </c>
      <c r="L176" s="97" t="s">
        <v>1981</v>
      </c>
      <c r="M176" s="75">
        <v>1</v>
      </c>
      <c r="N176" s="76" t="s">
        <v>18</v>
      </c>
      <c r="Q176" s="301" t="s">
        <v>1971</v>
      </c>
      <c r="R176" s="73">
        <f t="shared" si="15"/>
        <v>1</v>
      </c>
      <c r="S176" s="260" t="s">
        <v>1976</v>
      </c>
      <c r="T176" s="260"/>
      <c r="U176" s="260"/>
      <c r="V176" s="260"/>
      <c r="W176" s="260"/>
      <c r="X176" s="260"/>
      <c r="Y176" s="565"/>
      <c r="Z176" s="565"/>
      <c r="AA176" s="566">
        <f t="shared" si="13"/>
        <v>0</v>
      </c>
      <c r="AB176" s="699"/>
    </row>
    <row r="177" spans="1:28" ht="15.75" customHeight="1" x14ac:dyDescent="0.3">
      <c r="A177" s="66" t="s">
        <v>1329</v>
      </c>
      <c r="B177" s="22" t="s">
        <v>1522</v>
      </c>
      <c r="C177" s="81">
        <v>43763</v>
      </c>
      <c r="D177" s="109">
        <v>43802</v>
      </c>
      <c r="E177" s="560"/>
      <c r="F177" s="86" t="s">
        <v>1330</v>
      </c>
      <c r="G177" s="86" t="s">
        <v>150</v>
      </c>
      <c r="H177" s="79" t="s">
        <v>213</v>
      </c>
      <c r="I177" s="97" t="s">
        <v>714</v>
      </c>
      <c r="J177" s="73">
        <f t="shared" si="12"/>
        <v>1</v>
      </c>
      <c r="K177" s="74" t="s">
        <v>204</v>
      </c>
      <c r="L177" s="97" t="s">
        <v>2007</v>
      </c>
      <c r="M177" s="75">
        <v>1</v>
      </c>
      <c r="N177" s="76" t="s">
        <v>18</v>
      </c>
      <c r="Q177" s="301" t="s">
        <v>1881</v>
      </c>
      <c r="R177" s="73">
        <f t="shared" si="15"/>
        <v>1</v>
      </c>
      <c r="S177" s="260" t="s">
        <v>1976</v>
      </c>
      <c r="T177" s="260"/>
      <c r="U177" s="260"/>
      <c r="V177" s="260"/>
      <c r="W177" s="260"/>
      <c r="X177" s="260"/>
      <c r="Y177" s="565"/>
      <c r="Z177" s="565"/>
      <c r="AA177" s="566">
        <f t="shared" si="13"/>
        <v>0</v>
      </c>
      <c r="AB177" s="699"/>
    </row>
    <row r="178" spans="1:28" ht="15.75" customHeight="1" x14ac:dyDescent="0.3">
      <c r="A178" s="66" t="s">
        <v>1331</v>
      </c>
      <c r="B178" s="22" t="s">
        <v>1523</v>
      </c>
      <c r="C178" s="81">
        <v>43763</v>
      </c>
      <c r="D178" s="109">
        <v>43802</v>
      </c>
      <c r="E178" s="560"/>
      <c r="F178" s="97" t="s">
        <v>1652</v>
      </c>
      <c r="G178" s="86" t="s">
        <v>154</v>
      </c>
      <c r="H178" s="79" t="s">
        <v>268</v>
      </c>
      <c r="I178" s="97" t="s">
        <v>2008</v>
      </c>
      <c r="J178" s="73">
        <f t="shared" si="12"/>
        <v>1</v>
      </c>
      <c r="K178" s="74" t="s">
        <v>204</v>
      </c>
      <c r="L178" s="97" t="s">
        <v>1985</v>
      </c>
      <c r="M178" s="75">
        <v>1</v>
      </c>
      <c r="N178" s="76" t="s">
        <v>17</v>
      </c>
      <c r="Q178" s="301" t="s">
        <v>1896</v>
      </c>
      <c r="R178" s="73">
        <f t="shared" si="15"/>
        <v>1</v>
      </c>
      <c r="S178" s="260" t="s">
        <v>1976</v>
      </c>
      <c r="T178" s="260"/>
      <c r="U178" s="260"/>
      <c r="V178" s="260"/>
      <c r="W178" s="260"/>
      <c r="X178" s="260"/>
      <c r="Y178" s="565"/>
      <c r="Z178" s="565"/>
      <c r="AA178" s="566">
        <f t="shared" si="13"/>
        <v>0</v>
      </c>
      <c r="AB178" s="699"/>
    </row>
    <row r="179" spans="1:28" ht="15.75" customHeight="1" x14ac:dyDescent="0.3">
      <c r="A179" s="121" t="s">
        <v>1332</v>
      </c>
      <c r="B179" s="22" t="s">
        <v>1524</v>
      </c>
      <c r="C179" s="81">
        <v>43766</v>
      </c>
      <c r="D179" s="109">
        <v>43788</v>
      </c>
      <c r="E179" s="560"/>
      <c r="F179" s="252" t="s">
        <v>1333</v>
      </c>
      <c r="G179" s="86" t="s">
        <v>150</v>
      </c>
      <c r="H179" s="79" t="s">
        <v>213</v>
      </c>
      <c r="J179" s="73">
        <f t="shared" si="12"/>
        <v>1</v>
      </c>
      <c r="K179" s="74" t="s">
        <v>204</v>
      </c>
      <c r="L179" s="97" t="s">
        <v>1612</v>
      </c>
      <c r="M179" s="79">
        <v>0</v>
      </c>
      <c r="N179" s="76" t="s">
        <v>18</v>
      </c>
      <c r="R179" s="73">
        <f t="shared" si="15"/>
        <v>0</v>
      </c>
      <c r="S179" s="260"/>
      <c r="T179" s="260"/>
      <c r="U179" s="260"/>
      <c r="V179" s="260"/>
      <c r="W179" s="260"/>
      <c r="X179" s="260"/>
      <c r="Y179" s="565"/>
      <c r="Z179" s="565"/>
      <c r="AA179" s="566">
        <f t="shared" si="13"/>
        <v>0</v>
      </c>
      <c r="AB179" s="699"/>
    </row>
    <row r="180" spans="1:28" ht="15.75" customHeight="1" x14ac:dyDescent="0.3">
      <c r="A180" s="121" t="s">
        <v>1374</v>
      </c>
      <c r="B180" s="22" t="s">
        <v>1525</v>
      </c>
      <c r="C180" s="81">
        <v>43766</v>
      </c>
      <c r="D180" s="109">
        <v>43788</v>
      </c>
      <c r="E180" s="560"/>
      <c r="F180" s="86" t="s">
        <v>1375</v>
      </c>
      <c r="G180" s="86" t="s">
        <v>147</v>
      </c>
      <c r="H180" s="79" t="s">
        <v>213</v>
      </c>
      <c r="I180" s="97" t="s">
        <v>649</v>
      </c>
      <c r="J180" s="73">
        <f t="shared" ref="J180:J194" si="16">IF(OR(K180="Документы готовы",K180="Запрос в ФО",K180="ЭЗ",K180="РЕШ",K180="РЕШ шаблон"),0.1,IF(OR(K180="ЭЗ согласование",K180="РЕШ согласование"),0.3,IF(OR(K180="ЭЗ согласовано",K180="РЕШ согласовано",K180="РЕШ подписано"),0.6,IF(OR(K180="ЭЗ ПР согласование",K180="РЕШ УВ согласование"),0.9,IF(OR(K180="ЭЗ ПР DONE",K180="РЕШ УВ DONE"),1,0)))))</f>
        <v>1</v>
      </c>
      <c r="K180" s="74" t="s">
        <v>204</v>
      </c>
      <c r="L180" s="97" t="s">
        <v>1631</v>
      </c>
      <c r="M180" s="79">
        <v>0</v>
      </c>
      <c r="N180" s="76" t="s">
        <v>17</v>
      </c>
      <c r="O180" s="111">
        <v>5564.52</v>
      </c>
      <c r="P180" s="111">
        <v>5564.52</v>
      </c>
      <c r="R180" s="73">
        <f t="shared" si="15"/>
        <v>0</v>
      </c>
      <c r="S180" s="260"/>
      <c r="T180" s="260"/>
      <c r="U180" s="260"/>
      <c r="V180" s="260"/>
      <c r="W180" s="260"/>
      <c r="X180" s="260"/>
      <c r="Y180" s="565"/>
      <c r="Z180" s="565"/>
      <c r="AA180" s="566">
        <f t="shared" si="13"/>
        <v>0</v>
      </c>
      <c r="AB180" s="699"/>
    </row>
    <row r="181" spans="1:28" ht="15.75" customHeight="1" x14ac:dyDescent="0.3">
      <c r="A181" s="121" t="s">
        <v>1376</v>
      </c>
      <c r="B181" s="22" t="s">
        <v>1526</v>
      </c>
      <c r="C181" s="81">
        <v>43766</v>
      </c>
      <c r="D181" s="109">
        <v>43788</v>
      </c>
      <c r="E181" s="560"/>
      <c r="F181" s="86" t="s">
        <v>1377</v>
      </c>
      <c r="G181" s="86" t="s">
        <v>152</v>
      </c>
      <c r="H181" s="79" t="s">
        <v>213</v>
      </c>
      <c r="I181" s="97" t="s">
        <v>645</v>
      </c>
      <c r="J181" s="73">
        <f t="shared" si="16"/>
        <v>1</v>
      </c>
      <c r="K181" s="74" t="s">
        <v>204</v>
      </c>
      <c r="L181" s="97" t="s">
        <v>1661</v>
      </c>
      <c r="M181" s="79">
        <v>0</v>
      </c>
      <c r="N181" s="76" t="s">
        <v>19</v>
      </c>
      <c r="R181" s="73">
        <f t="shared" si="15"/>
        <v>0</v>
      </c>
      <c r="S181" s="260"/>
      <c r="T181" s="260"/>
      <c r="U181" s="260"/>
      <c r="V181" s="260"/>
      <c r="W181" s="260"/>
      <c r="X181" s="260"/>
      <c r="Y181" s="565"/>
      <c r="Z181" s="565"/>
      <c r="AA181" s="566">
        <f t="shared" si="13"/>
        <v>0</v>
      </c>
      <c r="AB181" s="699"/>
    </row>
    <row r="182" spans="1:28" ht="15.75" customHeight="1" x14ac:dyDescent="0.3">
      <c r="A182" s="121" t="s">
        <v>1378</v>
      </c>
      <c r="B182" s="22" t="s">
        <v>1654</v>
      </c>
      <c r="C182" s="81">
        <v>43767</v>
      </c>
      <c r="D182" s="109">
        <v>43789</v>
      </c>
      <c r="E182" s="560"/>
      <c r="F182" s="97" t="s">
        <v>1669</v>
      </c>
      <c r="G182" s="86" t="s">
        <v>147</v>
      </c>
      <c r="H182" s="79" t="s">
        <v>213</v>
      </c>
      <c r="I182" s="97" t="s">
        <v>1852</v>
      </c>
      <c r="J182" s="73">
        <f t="shared" si="16"/>
        <v>1</v>
      </c>
      <c r="K182" s="74" t="s">
        <v>204</v>
      </c>
      <c r="L182" s="97" t="s">
        <v>1658</v>
      </c>
      <c r="M182" s="79">
        <v>0</v>
      </c>
      <c r="N182" s="76" t="s">
        <v>19</v>
      </c>
      <c r="R182" s="73">
        <f t="shared" si="15"/>
        <v>0</v>
      </c>
      <c r="S182" s="260"/>
      <c r="T182" s="260"/>
      <c r="U182" s="260"/>
      <c r="V182" s="260"/>
      <c r="W182" s="260"/>
      <c r="X182" s="260"/>
      <c r="Y182" s="565"/>
      <c r="Z182" s="565"/>
      <c r="AA182" s="566">
        <f t="shared" si="13"/>
        <v>0</v>
      </c>
      <c r="AB182" s="699"/>
    </row>
    <row r="183" spans="1:28" ht="15.75" customHeight="1" x14ac:dyDescent="0.3">
      <c r="A183" s="121" t="s">
        <v>1379</v>
      </c>
      <c r="B183" s="22" t="s">
        <v>1409</v>
      </c>
      <c r="C183" s="81">
        <v>43767</v>
      </c>
      <c r="D183" s="109">
        <v>43784</v>
      </c>
      <c r="E183" s="560"/>
      <c r="F183" s="86" t="s">
        <v>1380</v>
      </c>
      <c r="G183" s="86" t="s">
        <v>1381</v>
      </c>
      <c r="H183" s="79" t="s">
        <v>213</v>
      </c>
      <c r="I183" s="97" t="s">
        <v>1853</v>
      </c>
      <c r="J183" s="73">
        <f t="shared" si="16"/>
        <v>1</v>
      </c>
      <c r="K183" s="74" t="s">
        <v>204</v>
      </c>
      <c r="L183" s="97" t="s">
        <v>1410</v>
      </c>
      <c r="M183" s="79">
        <v>0</v>
      </c>
      <c r="N183" s="76" t="s">
        <v>19</v>
      </c>
      <c r="R183" s="73">
        <f t="shared" si="15"/>
        <v>0</v>
      </c>
      <c r="S183" s="260"/>
      <c r="T183" s="260"/>
      <c r="U183" s="260"/>
      <c r="V183" s="260"/>
      <c r="W183" s="260"/>
      <c r="X183" s="260"/>
      <c r="Y183" s="565"/>
      <c r="Z183" s="565"/>
      <c r="AA183" s="566">
        <f t="shared" si="13"/>
        <v>0</v>
      </c>
      <c r="AB183" s="699"/>
    </row>
    <row r="184" spans="1:28" ht="15.75" customHeight="1" x14ac:dyDescent="0.3">
      <c r="A184" s="121" t="s">
        <v>1382</v>
      </c>
      <c r="B184" s="22" t="s">
        <v>1655</v>
      </c>
      <c r="C184" s="81">
        <v>43767</v>
      </c>
      <c r="D184" s="109">
        <v>43789</v>
      </c>
      <c r="E184" s="560"/>
      <c r="F184" s="86" t="s">
        <v>1383</v>
      </c>
      <c r="G184" s="86" t="s">
        <v>1384</v>
      </c>
      <c r="H184" s="79" t="s">
        <v>213</v>
      </c>
      <c r="I184" s="97" t="s">
        <v>622</v>
      </c>
      <c r="J184" s="73">
        <f t="shared" si="16"/>
        <v>1</v>
      </c>
      <c r="K184" s="260" t="s">
        <v>204</v>
      </c>
      <c r="L184" s="97" t="s">
        <v>1344</v>
      </c>
      <c r="M184" s="79">
        <v>0</v>
      </c>
      <c r="N184" s="76" t="s">
        <v>19</v>
      </c>
      <c r="R184" s="73">
        <f t="shared" si="15"/>
        <v>0</v>
      </c>
      <c r="S184" s="260"/>
      <c r="T184" s="260"/>
      <c r="U184" s="260"/>
      <c r="V184" s="260"/>
      <c r="W184" s="260"/>
      <c r="X184" s="260"/>
      <c r="Y184" s="565"/>
      <c r="Z184" s="565"/>
      <c r="AA184" s="566">
        <f t="shared" si="13"/>
        <v>0</v>
      </c>
      <c r="AB184" s="699"/>
    </row>
    <row r="185" spans="1:28" ht="15.75" customHeight="1" x14ac:dyDescent="0.3">
      <c r="A185" s="121" t="s">
        <v>1385</v>
      </c>
      <c r="B185" s="22" t="s">
        <v>1656</v>
      </c>
      <c r="C185" s="81">
        <v>43767</v>
      </c>
      <c r="D185" s="109">
        <v>43789</v>
      </c>
      <c r="E185" s="560"/>
      <c r="F185" s="86" t="s">
        <v>1386</v>
      </c>
      <c r="G185" s="86" t="s">
        <v>154</v>
      </c>
      <c r="H185" s="79" t="s">
        <v>213</v>
      </c>
      <c r="I185" s="97" t="s">
        <v>684</v>
      </c>
      <c r="J185" s="73">
        <f t="shared" si="16"/>
        <v>1</v>
      </c>
      <c r="K185" s="74" t="s">
        <v>204</v>
      </c>
      <c r="L185" s="97" t="s">
        <v>1659</v>
      </c>
      <c r="M185" s="79">
        <v>0</v>
      </c>
      <c r="N185" s="76" t="s">
        <v>18</v>
      </c>
      <c r="R185" s="73">
        <f t="shared" si="15"/>
        <v>0</v>
      </c>
      <c r="S185" s="260"/>
      <c r="T185" s="260"/>
      <c r="U185" s="260"/>
      <c r="V185" s="260"/>
      <c r="W185" s="260"/>
      <c r="X185" s="260"/>
      <c r="Y185" s="565"/>
      <c r="Z185" s="565"/>
      <c r="AA185" s="566">
        <f t="shared" si="13"/>
        <v>0</v>
      </c>
      <c r="AB185" s="699"/>
    </row>
    <row r="186" spans="1:28" ht="15.75" customHeight="1" x14ac:dyDescent="0.3">
      <c r="A186" s="66" t="s">
        <v>1387</v>
      </c>
      <c r="B186" s="22" t="s">
        <v>1657</v>
      </c>
      <c r="C186" s="81">
        <v>43767</v>
      </c>
      <c r="D186" s="109">
        <v>43803</v>
      </c>
      <c r="E186" s="560"/>
      <c r="F186" s="86" t="s">
        <v>1388</v>
      </c>
      <c r="G186" s="86" t="s">
        <v>158</v>
      </c>
      <c r="H186" s="79" t="s">
        <v>213</v>
      </c>
      <c r="J186" s="73">
        <f t="shared" si="16"/>
        <v>1</v>
      </c>
      <c r="K186" s="74" t="s">
        <v>204</v>
      </c>
      <c r="L186" s="97" t="s">
        <v>2010</v>
      </c>
      <c r="M186" s="75">
        <v>1</v>
      </c>
      <c r="N186" s="76" t="s">
        <v>17</v>
      </c>
      <c r="O186" s="111">
        <v>89618</v>
      </c>
      <c r="Q186" s="301" t="s">
        <v>1970</v>
      </c>
      <c r="R186" s="73">
        <f t="shared" si="15"/>
        <v>1</v>
      </c>
      <c r="S186" s="260" t="s">
        <v>1976</v>
      </c>
      <c r="T186" s="260"/>
      <c r="U186" s="260"/>
      <c r="V186" s="260"/>
      <c r="W186" s="260"/>
      <c r="X186" s="260"/>
      <c r="Y186" s="565"/>
      <c r="Z186" s="565"/>
      <c r="AA186" s="566">
        <f t="shared" si="13"/>
        <v>0</v>
      </c>
      <c r="AB186" s="699"/>
    </row>
    <row r="187" spans="1:28" ht="15.75" customHeight="1" x14ac:dyDescent="0.3">
      <c r="A187" s="121" t="s">
        <v>1389</v>
      </c>
      <c r="B187" s="22" t="s">
        <v>1670</v>
      </c>
      <c r="C187" s="81">
        <v>43768</v>
      </c>
      <c r="D187" s="109">
        <v>43790</v>
      </c>
      <c r="E187" s="560"/>
      <c r="F187" s="86" t="s">
        <v>1390</v>
      </c>
      <c r="G187" s="86" t="s">
        <v>154</v>
      </c>
      <c r="H187" s="79" t="s">
        <v>1391</v>
      </c>
      <c r="I187" s="97" t="s">
        <v>689</v>
      </c>
      <c r="J187" s="73">
        <f t="shared" si="16"/>
        <v>1</v>
      </c>
      <c r="K187" s="74" t="s">
        <v>204</v>
      </c>
      <c r="L187" s="97" t="s">
        <v>10956</v>
      </c>
      <c r="M187" s="79">
        <v>0</v>
      </c>
      <c r="N187" s="76" t="s">
        <v>17</v>
      </c>
      <c r="O187" s="111">
        <v>37006.910000000003</v>
      </c>
      <c r="R187" s="73">
        <f t="shared" si="15"/>
        <v>0</v>
      </c>
      <c r="S187" s="260"/>
      <c r="T187" s="260"/>
      <c r="U187" s="260"/>
      <c r="V187" s="260"/>
      <c r="W187" s="260"/>
      <c r="X187" s="260"/>
      <c r="Y187" s="565"/>
      <c r="Z187" s="565"/>
      <c r="AA187" s="566">
        <f t="shared" si="13"/>
        <v>0</v>
      </c>
      <c r="AB187" s="699"/>
    </row>
    <row r="188" spans="1:28" ht="15.75" customHeight="1" x14ac:dyDescent="0.3">
      <c r="A188" s="66" t="s">
        <v>1392</v>
      </c>
      <c r="B188" s="22" t="s">
        <v>1671</v>
      </c>
      <c r="C188" s="81">
        <v>43768</v>
      </c>
      <c r="D188" s="109">
        <v>43804</v>
      </c>
      <c r="E188" s="560"/>
      <c r="F188" s="86" t="s">
        <v>1393</v>
      </c>
      <c r="G188" s="86" t="s">
        <v>156</v>
      </c>
      <c r="H188" s="79" t="s">
        <v>213</v>
      </c>
      <c r="I188" s="97" t="s">
        <v>2021</v>
      </c>
      <c r="J188" s="73">
        <f t="shared" si="16"/>
        <v>1</v>
      </c>
      <c r="K188" s="74" t="s">
        <v>204</v>
      </c>
      <c r="L188" s="97" t="s">
        <v>2011</v>
      </c>
      <c r="M188" s="75">
        <v>1</v>
      </c>
      <c r="N188" s="76" t="s">
        <v>17</v>
      </c>
      <c r="O188" s="111">
        <v>41700</v>
      </c>
      <c r="Q188" s="301" t="s">
        <v>1896</v>
      </c>
      <c r="R188" s="73">
        <f t="shared" si="15"/>
        <v>1</v>
      </c>
      <c r="S188" s="260" t="s">
        <v>1976</v>
      </c>
      <c r="T188" s="260"/>
      <c r="U188" s="260"/>
      <c r="V188" s="260"/>
      <c r="W188" s="260"/>
      <c r="X188" s="260"/>
      <c r="Y188" s="565"/>
      <c r="Z188" s="565"/>
      <c r="AA188" s="566">
        <f t="shared" si="13"/>
        <v>0</v>
      </c>
      <c r="AB188" s="699"/>
    </row>
    <row r="189" spans="1:28" ht="15.75" customHeight="1" x14ac:dyDescent="0.3">
      <c r="A189" s="66" t="s">
        <v>1394</v>
      </c>
      <c r="B189" s="22" t="s">
        <v>1687</v>
      </c>
      <c r="C189" s="81">
        <v>43768</v>
      </c>
      <c r="D189" s="109">
        <v>43804</v>
      </c>
      <c r="E189" s="560"/>
      <c r="F189" s="86" t="s">
        <v>1395</v>
      </c>
      <c r="G189" s="86" t="s">
        <v>147</v>
      </c>
      <c r="H189" s="79" t="s">
        <v>213</v>
      </c>
      <c r="J189" s="73">
        <f t="shared" si="16"/>
        <v>1</v>
      </c>
      <c r="K189" s="74" t="s">
        <v>204</v>
      </c>
      <c r="L189" s="97" t="s">
        <v>2012</v>
      </c>
      <c r="M189" s="75">
        <v>1</v>
      </c>
      <c r="N189" s="76" t="s">
        <v>17</v>
      </c>
      <c r="O189" s="111">
        <v>18000</v>
      </c>
      <c r="Q189" s="301" t="s">
        <v>1896</v>
      </c>
      <c r="R189" s="73">
        <f t="shared" si="15"/>
        <v>1</v>
      </c>
      <c r="S189" s="260" t="s">
        <v>1976</v>
      </c>
      <c r="T189" s="260"/>
      <c r="U189" s="260"/>
      <c r="V189" s="260"/>
      <c r="W189" s="260"/>
      <c r="X189" s="260"/>
      <c r="Y189" s="565"/>
      <c r="Z189" s="565"/>
      <c r="AA189" s="566">
        <f t="shared" si="13"/>
        <v>0</v>
      </c>
      <c r="AB189" s="699"/>
    </row>
    <row r="190" spans="1:28" ht="15.75" customHeight="1" x14ac:dyDescent="0.3">
      <c r="A190" s="121" t="s">
        <v>1396</v>
      </c>
      <c r="B190" s="22" t="s">
        <v>1706</v>
      </c>
      <c r="C190" s="81">
        <v>43768</v>
      </c>
      <c r="D190" s="109">
        <v>43791</v>
      </c>
      <c r="E190" s="560"/>
      <c r="F190" s="86" t="s">
        <v>1397</v>
      </c>
      <c r="G190" s="86" t="s">
        <v>154</v>
      </c>
      <c r="H190" s="79" t="s">
        <v>213</v>
      </c>
      <c r="I190" s="97" t="s">
        <v>972</v>
      </c>
      <c r="J190" s="73">
        <f t="shared" si="16"/>
        <v>1</v>
      </c>
      <c r="K190" s="74" t="s">
        <v>204</v>
      </c>
      <c r="L190" s="97" t="s">
        <v>1740</v>
      </c>
      <c r="M190" s="79">
        <v>0</v>
      </c>
      <c r="N190" s="76" t="s">
        <v>17</v>
      </c>
      <c r="O190" s="111">
        <v>475000</v>
      </c>
      <c r="R190" s="73">
        <f t="shared" si="15"/>
        <v>0</v>
      </c>
      <c r="S190" s="260"/>
      <c r="T190" s="260"/>
      <c r="U190" s="260"/>
      <c r="V190" s="260"/>
      <c r="W190" s="260"/>
      <c r="X190" s="260"/>
      <c r="Y190" s="565"/>
      <c r="Z190" s="565"/>
      <c r="AA190" s="566">
        <f t="shared" si="13"/>
        <v>0</v>
      </c>
      <c r="AB190" s="699"/>
    </row>
    <row r="191" spans="1:28" ht="15.75" customHeight="1" x14ac:dyDescent="0.3">
      <c r="A191" s="66" t="s">
        <v>1398</v>
      </c>
      <c r="B191" s="22" t="s">
        <v>1688</v>
      </c>
      <c r="C191" s="81">
        <v>43768</v>
      </c>
      <c r="D191" s="109">
        <v>43804</v>
      </c>
      <c r="E191" s="560"/>
      <c r="F191" s="86" t="s">
        <v>1399</v>
      </c>
      <c r="G191" s="86" t="s">
        <v>150</v>
      </c>
      <c r="H191" s="79" t="s">
        <v>213</v>
      </c>
      <c r="J191" s="73">
        <f t="shared" si="16"/>
        <v>1</v>
      </c>
      <c r="K191" s="74" t="s">
        <v>204</v>
      </c>
      <c r="L191" s="97" t="s">
        <v>2020</v>
      </c>
      <c r="M191" s="75">
        <v>1</v>
      </c>
      <c r="N191" s="76" t="s">
        <v>18</v>
      </c>
      <c r="Q191" s="301" t="s">
        <v>1881</v>
      </c>
      <c r="R191" s="73">
        <f t="shared" si="15"/>
        <v>1</v>
      </c>
      <c r="S191" s="260" t="s">
        <v>1976</v>
      </c>
      <c r="T191" s="260"/>
      <c r="U191" s="260"/>
      <c r="V191" s="260"/>
      <c r="W191" s="260"/>
      <c r="X191" s="260"/>
      <c r="Y191" s="565"/>
      <c r="Z191" s="565"/>
      <c r="AA191" s="566">
        <f t="shared" si="13"/>
        <v>0</v>
      </c>
      <c r="AB191" s="699"/>
    </row>
    <row r="192" spans="1:28" ht="15.75" customHeight="1" x14ac:dyDescent="0.3">
      <c r="A192" s="121" t="s">
        <v>1400</v>
      </c>
      <c r="B192" s="22" t="s">
        <v>1707</v>
      </c>
      <c r="C192" s="81">
        <v>43768</v>
      </c>
      <c r="D192" s="109">
        <v>43791</v>
      </c>
      <c r="E192" s="560"/>
      <c r="F192" s="86" t="s">
        <v>1401</v>
      </c>
      <c r="G192" s="86" t="s">
        <v>173</v>
      </c>
      <c r="H192" s="79" t="s">
        <v>213</v>
      </c>
      <c r="J192" s="73">
        <f t="shared" si="16"/>
        <v>1</v>
      </c>
      <c r="K192" s="74" t="s">
        <v>204</v>
      </c>
      <c r="L192" s="97" t="s">
        <v>1712</v>
      </c>
      <c r="M192" s="79">
        <v>0</v>
      </c>
      <c r="N192" s="76" t="s">
        <v>17</v>
      </c>
      <c r="O192" s="111">
        <v>80000</v>
      </c>
      <c r="R192" s="73">
        <f t="shared" si="15"/>
        <v>0</v>
      </c>
      <c r="S192" s="260"/>
      <c r="T192" s="260"/>
      <c r="U192" s="260"/>
      <c r="V192" s="260"/>
      <c r="W192" s="260"/>
      <c r="X192" s="260"/>
      <c r="Y192" s="565"/>
      <c r="Z192" s="565"/>
      <c r="AA192" s="566">
        <f t="shared" si="13"/>
        <v>0</v>
      </c>
      <c r="AB192" s="699"/>
    </row>
    <row r="193" spans="1:28" ht="15.75" customHeight="1" x14ac:dyDescent="0.3">
      <c r="A193" s="66" t="s">
        <v>1402</v>
      </c>
      <c r="B193" s="22" t="s">
        <v>1708</v>
      </c>
      <c r="C193" s="81">
        <v>43768</v>
      </c>
      <c r="D193" s="109">
        <v>43805</v>
      </c>
      <c r="E193" s="560"/>
      <c r="F193" s="86" t="s">
        <v>1403</v>
      </c>
      <c r="G193" s="86" t="s">
        <v>158</v>
      </c>
      <c r="H193" s="79" t="s">
        <v>213</v>
      </c>
      <c r="I193" s="97" t="s">
        <v>642</v>
      </c>
      <c r="J193" s="73">
        <f t="shared" si="16"/>
        <v>1</v>
      </c>
      <c r="K193" s="74" t="s">
        <v>204</v>
      </c>
      <c r="L193" s="97" t="s">
        <v>2014</v>
      </c>
      <c r="M193" s="75">
        <v>1</v>
      </c>
      <c r="N193" s="76" t="s">
        <v>18</v>
      </c>
      <c r="Q193" s="301" t="s">
        <v>1896</v>
      </c>
      <c r="R193" s="73">
        <f t="shared" si="15"/>
        <v>1</v>
      </c>
      <c r="S193" s="260" t="s">
        <v>1976</v>
      </c>
      <c r="T193" s="260"/>
      <c r="U193" s="260"/>
      <c r="V193" s="260"/>
      <c r="W193" s="260"/>
      <c r="X193" s="260"/>
      <c r="Y193" s="565"/>
      <c r="Z193" s="565"/>
      <c r="AA193" s="566">
        <f t="shared" si="13"/>
        <v>0</v>
      </c>
      <c r="AB193" s="699"/>
    </row>
    <row r="194" spans="1:28" ht="15.75" customHeight="1" x14ac:dyDescent="0.3">
      <c r="A194" s="121" t="s">
        <v>1404</v>
      </c>
      <c r="B194" s="22" t="s">
        <v>1709</v>
      </c>
      <c r="C194" s="81">
        <v>43768</v>
      </c>
      <c r="D194" s="109">
        <v>43791</v>
      </c>
      <c r="E194" s="560"/>
      <c r="F194" s="252" t="s">
        <v>1405</v>
      </c>
      <c r="G194" s="86" t="s">
        <v>158</v>
      </c>
      <c r="H194" s="79" t="s">
        <v>213</v>
      </c>
      <c r="I194" s="97" t="s">
        <v>684</v>
      </c>
      <c r="J194" s="73">
        <f t="shared" si="16"/>
        <v>1</v>
      </c>
      <c r="K194" s="74" t="s">
        <v>204</v>
      </c>
      <c r="L194" s="97" t="s">
        <v>1710</v>
      </c>
      <c r="M194" s="79">
        <v>0</v>
      </c>
      <c r="N194" s="76" t="s">
        <v>18</v>
      </c>
      <c r="R194" s="73">
        <f t="shared" si="15"/>
        <v>0</v>
      </c>
      <c r="S194" s="260"/>
      <c r="T194" s="260"/>
      <c r="U194" s="260"/>
      <c r="V194" s="260"/>
      <c r="W194" s="260"/>
      <c r="X194" s="260"/>
      <c r="Y194" s="565"/>
      <c r="Z194" s="565"/>
      <c r="AA194" s="566">
        <f t="shared" si="13"/>
        <v>0</v>
      </c>
      <c r="AB194" s="699"/>
    </row>
    <row r="195" spans="1:28" ht="15.75" customHeight="1" x14ac:dyDescent="0.3">
      <c r="A195" s="121" t="s">
        <v>1691</v>
      </c>
      <c r="B195" s="22" t="s">
        <v>1692</v>
      </c>
      <c r="C195" s="81">
        <v>43739</v>
      </c>
      <c r="D195" s="109">
        <v>43790</v>
      </c>
      <c r="E195" s="560"/>
      <c r="F195" s="97" t="s">
        <v>1693</v>
      </c>
      <c r="G195" s="97" t="s">
        <v>181</v>
      </c>
      <c r="H195" s="96" t="s">
        <v>213</v>
      </c>
      <c r="J195" s="73">
        <f t="shared" ref="J195:J196" si="17">IF(OR(K195="Документы готовы",K195="Запрос в ФО",K195="ЭЗ",K195="РЕШ",K195="РЕШ шаблон"),0.1,IF(OR(K195="ЭЗ согласование",K195="РЕШ согласование"),0.3,IF(OR(K195="ЭЗ согласовано",K195="РЕШ согласовано",K195="РЕШ подписано"),0.6,IF(OR(K195="ЭЗ ПР согласование",K195="РЕШ УВ согласование"),0.9,IF(OR(K195="ЭЗ ПР DONE",K195="РЕШ УВ DONE"),1,0)))))</f>
        <v>1</v>
      </c>
      <c r="K195" s="74" t="s">
        <v>204</v>
      </c>
      <c r="L195" s="97" t="s">
        <v>1701</v>
      </c>
      <c r="M195" s="75">
        <v>1</v>
      </c>
      <c r="N195" s="76" t="s">
        <v>18</v>
      </c>
      <c r="R195" s="73">
        <f t="shared" si="15"/>
        <v>0</v>
      </c>
      <c r="S195" s="260"/>
      <c r="T195" s="260"/>
      <c r="U195" s="260"/>
      <c r="V195" s="260"/>
      <c r="W195" s="260"/>
      <c r="X195" s="260"/>
      <c r="Y195" s="565"/>
      <c r="Z195" s="565"/>
      <c r="AA195" s="566">
        <f t="shared" ref="AA195:AA257" si="18">Z195-Y195</f>
        <v>0</v>
      </c>
      <c r="AB195" s="699"/>
    </row>
    <row r="196" spans="1:28" ht="15.75" customHeight="1" x14ac:dyDescent="0.3">
      <c r="A196" s="121" t="s">
        <v>1694</v>
      </c>
      <c r="B196" s="22" t="s">
        <v>1695</v>
      </c>
      <c r="C196" s="81">
        <v>43767</v>
      </c>
      <c r="D196" s="109">
        <v>43790</v>
      </c>
      <c r="E196" s="560"/>
      <c r="F196" s="124" t="s">
        <v>1696</v>
      </c>
      <c r="G196" s="97" t="s">
        <v>152</v>
      </c>
      <c r="H196" s="96" t="s">
        <v>213</v>
      </c>
      <c r="I196" s="97" t="s">
        <v>1285</v>
      </c>
      <c r="J196" s="73">
        <f t="shared" si="17"/>
        <v>1</v>
      </c>
      <c r="K196" s="74" t="s">
        <v>204</v>
      </c>
      <c r="L196" s="97" t="s">
        <v>1697</v>
      </c>
      <c r="M196" s="79">
        <v>0</v>
      </c>
      <c r="N196" s="76" t="s">
        <v>19</v>
      </c>
      <c r="R196" s="73">
        <f t="shared" si="15"/>
        <v>0</v>
      </c>
      <c r="S196" s="260"/>
      <c r="T196" s="260"/>
      <c r="U196" s="260"/>
      <c r="V196" s="260"/>
      <c r="W196" s="260"/>
      <c r="X196" s="260"/>
      <c r="Y196" s="565"/>
      <c r="Z196" s="565"/>
      <c r="AA196" s="566">
        <f t="shared" si="18"/>
        <v>0</v>
      </c>
      <c r="AB196" s="699"/>
    </row>
    <row r="197" spans="1:28" ht="15.75" customHeight="1" x14ac:dyDescent="0.3">
      <c r="A197" s="121" t="s">
        <v>1777</v>
      </c>
      <c r="B197" s="22" t="s">
        <v>1837</v>
      </c>
      <c r="C197" s="81">
        <v>43770</v>
      </c>
      <c r="D197" s="109">
        <v>43795</v>
      </c>
      <c r="E197" s="560"/>
      <c r="F197" s="86" t="s">
        <v>1778</v>
      </c>
      <c r="G197" s="86" t="s">
        <v>152</v>
      </c>
      <c r="H197" s="79" t="s">
        <v>213</v>
      </c>
      <c r="I197" s="97" t="s">
        <v>972</v>
      </c>
      <c r="J197" s="73">
        <f t="shared" ref="J197:J218" si="19">IF(OR(K197="Документы готовы",K197="Запрос в ФО",K197="ЭЗ",K197="РЕШ",K197="РЕШ шаблон"),0.1,IF(OR(K197="ЭЗ согласование",K197="РЕШ согласование"),0.3,IF(OR(K197="ЭЗ согласовано",K197="РЕШ согласовано",K197="РЕШ подписано"),0.6,IF(OR(K197="ЭЗ ПР согласование",K197="РЕШ УВ согласование"),0.9,IF(OR(K197="ЭЗ ПР DONE",K197="РЕШ УВ DONE"),1,0)))))</f>
        <v>1</v>
      </c>
      <c r="K197" s="74" t="s">
        <v>204</v>
      </c>
      <c r="L197" s="97" t="s">
        <v>1864</v>
      </c>
      <c r="M197" s="79">
        <v>0</v>
      </c>
      <c r="N197" s="76" t="s">
        <v>17</v>
      </c>
      <c r="O197" s="111">
        <v>22124.99</v>
      </c>
      <c r="R197" s="73">
        <f t="shared" si="15"/>
        <v>0</v>
      </c>
      <c r="S197" s="260"/>
      <c r="T197" s="260"/>
      <c r="U197" s="260"/>
      <c r="V197" s="260"/>
      <c r="W197" s="260"/>
      <c r="X197" s="260"/>
      <c r="Y197" s="565"/>
      <c r="Z197" s="565"/>
      <c r="AA197" s="566">
        <f t="shared" si="18"/>
        <v>0</v>
      </c>
      <c r="AB197" s="699"/>
    </row>
    <row r="198" spans="1:28" ht="15.75" customHeight="1" x14ac:dyDescent="0.3">
      <c r="A198" s="121" t="s">
        <v>1779</v>
      </c>
      <c r="B198" s="22" t="s">
        <v>1838</v>
      </c>
      <c r="C198" s="81">
        <v>43770</v>
      </c>
      <c r="D198" s="109">
        <v>43795</v>
      </c>
      <c r="E198" s="560"/>
      <c r="F198" s="86" t="s">
        <v>1780</v>
      </c>
      <c r="G198" s="86" t="s">
        <v>152</v>
      </c>
      <c r="H198" s="79" t="s">
        <v>213</v>
      </c>
      <c r="J198" s="73">
        <f t="shared" si="19"/>
        <v>1</v>
      </c>
      <c r="K198" s="74" t="s">
        <v>204</v>
      </c>
      <c r="L198" s="97" t="s">
        <v>1880</v>
      </c>
      <c r="M198" s="79">
        <v>0</v>
      </c>
      <c r="N198" s="76" t="s">
        <v>19</v>
      </c>
      <c r="R198" s="73">
        <f t="shared" si="15"/>
        <v>0</v>
      </c>
      <c r="S198" s="260"/>
      <c r="T198" s="260"/>
      <c r="U198" s="260"/>
      <c r="V198" s="260"/>
      <c r="W198" s="260"/>
      <c r="X198" s="260"/>
      <c r="Y198" s="565"/>
      <c r="Z198" s="565"/>
      <c r="AA198" s="566">
        <f t="shared" si="18"/>
        <v>0</v>
      </c>
      <c r="AB198" s="699"/>
    </row>
    <row r="199" spans="1:28" ht="15.75" customHeight="1" x14ac:dyDescent="0.3">
      <c r="A199" s="121" t="s">
        <v>1783</v>
      </c>
      <c r="B199" s="22" t="s">
        <v>1830</v>
      </c>
      <c r="C199" s="81">
        <v>43770</v>
      </c>
      <c r="D199" s="109">
        <v>43794</v>
      </c>
      <c r="E199" s="560"/>
      <c r="F199" s="86" t="s">
        <v>1784</v>
      </c>
      <c r="G199" s="86" t="s">
        <v>147</v>
      </c>
      <c r="H199" s="79" t="s">
        <v>213</v>
      </c>
      <c r="I199" s="97" t="s">
        <v>649</v>
      </c>
      <c r="J199" s="73">
        <f t="shared" si="19"/>
        <v>1</v>
      </c>
      <c r="K199" s="74" t="s">
        <v>204</v>
      </c>
      <c r="L199" s="97" t="s">
        <v>1849</v>
      </c>
      <c r="M199" s="79">
        <v>0</v>
      </c>
      <c r="N199" s="76" t="s">
        <v>17</v>
      </c>
      <c r="O199" s="111">
        <v>18000</v>
      </c>
      <c r="P199" s="111">
        <v>18000</v>
      </c>
      <c r="R199" s="73">
        <f t="shared" si="15"/>
        <v>0</v>
      </c>
      <c r="S199" s="260"/>
      <c r="T199" s="260"/>
      <c r="U199" s="260"/>
      <c r="V199" s="260"/>
      <c r="W199" s="260"/>
      <c r="X199" s="260"/>
      <c r="Y199" s="565"/>
      <c r="Z199" s="565"/>
      <c r="AA199" s="566">
        <f t="shared" si="18"/>
        <v>0</v>
      </c>
      <c r="AB199" s="699"/>
    </row>
    <row r="200" spans="1:28" ht="15.75" customHeight="1" x14ac:dyDescent="0.3">
      <c r="A200" s="121" t="s">
        <v>1787</v>
      </c>
      <c r="B200" s="22" t="s">
        <v>1832</v>
      </c>
      <c r="C200" s="81">
        <v>43770</v>
      </c>
      <c r="D200" s="109">
        <v>43794</v>
      </c>
      <c r="E200" s="560"/>
      <c r="F200" s="86" t="s">
        <v>1788</v>
      </c>
      <c r="G200" s="86" t="s">
        <v>538</v>
      </c>
      <c r="H200" s="79" t="s">
        <v>213</v>
      </c>
      <c r="I200" s="97" t="s">
        <v>995</v>
      </c>
      <c r="J200" s="73">
        <f t="shared" si="19"/>
        <v>1</v>
      </c>
      <c r="K200" s="74" t="s">
        <v>204</v>
      </c>
      <c r="L200" s="97" t="s">
        <v>1859</v>
      </c>
      <c r="M200" s="79">
        <v>0</v>
      </c>
      <c r="N200" s="76" t="s">
        <v>19</v>
      </c>
      <c r="R200" s="73">
        <f t="shared" si="15"/>
        <v>0</v>
      </c>
      <c r="S200" s="260"/>
      <c r="T200" s="260"/>
      <c r="U200" s="260"/>
      <c r="V200" s="260"/>
      <c r="W200" s="260"/>
      <c r="X200" s="260"/>
      <c r="Y200" s="565"/>
      <c r="Z200" s="565"/>
      <c r="AA200" s="566">
        <f t="shared" si="18"/>
        <v>0</v>
      </c>
      <c r="AB200" s="699"/>
    </row>
    <row r="201" spans="1:28" ht="15.75" customHeight="1" x14ac:dyDescent="0.3">
      <c r="A201" s="121" t="s">
        <v>1789</v>
      </c>
      <c r="B201" s="22" t="s">
        <v>1833</v>
      </c>
      <c r="C201" s="81">
        <v>43770</v>
      </c>
      <c r="D201" s="109">
        <v>43794</v>
      </c>
      <c r="E201" s="560"/>
      <c r="F201" s="86" t="s">
        <v>1790</v>
      </c>
      <c r="G201" s="86" t="s">
        <v>189</v>
      </c>
      <c r="H201" s="79" t="s">
        <v>213</v>
      </c>
      <c r="I201" s="97" t="s">
        <v>1854</v>
      </c>
      <c r="J201" s="73">
        <f t="shared" si="19"/>
        <v>1</v>
      </c>
      <c r="K201" s="74" t="s">
        <v>204</v>
      </c>
      <c r="L201" s="97" t="s">
        <v>1851</v>
      </c>
      <c r="M201" s="79">
        <v>0</v>
      </c>
      <c r="N201" s="76" t="s">
        <v>19</v>
      </c>
      <c r="R201" s="73">
        <f t="shared" si="15"/>
        <v>0</v>
      </c>
      <c r="S201" s="260"/>
      <c r="T201" s="260"/>
      <c r="U201" s="260"/>
      <c r="V201" s="260"/>
      <c r="W201" s="260"/>
      <c r="X201" s="260"/>
      <c r="Y201" s="565"/>
      <c r="Z201" s="565"/>
      <c r="AA201" s="566">
        <f t="shared" si="18"/>
        <v>0</v>
      </c>
      <c r="AB201" s="699"/>
    </row>
    <row r="202" spans="1:28" ht="15.75" customHeight="1" x14ac:dyDescent="0.3">
      <c r="A202" s="121" t="s">
        <v>1791</v>
      </c>
      <c r="B202" s="22" t="s">
        <v>1834</v>
      </c>
      <c r="C202" s="81">
        <v>43770</v>
      </c>
      <c r="D202" s="109">
        <v>43794</v>
      </c>
      <c r="E202" s="560"/>
      <c r="F202" s="86" t="s">
        <v>1792</v>
      </c>
      <c r="G202" s="86" t="s">
        <v>156</v>
      </c>
      <c r="H202" s="79" t="s">
        <v>213</v>
      </c>
      <c r="I202" s="97" t="s">
        <v>995</v>
      </c>
      <c r="J202" s="73">
        <f t="shared" si="19"/>
        <v>1</v>
      </c>
      <c r="K202" s="74" t="s">
        <v>204</v>
      </c>
      <c r="L202" s="97" t="s">
        <v>1860</v>
      </c>
      <c r="M202" s="79">
        <v>0</v>
      </c>
      <c r="N202" s="76" t="s">
        <v>19</v>
      </c>
      <c r="R202" s="73">
        <f t="shared" si="15"/>
        <v>0</v>
      </c>
      <c r="S202" s="260"/>
      <c r="T202" s="260"/>
      <c r="U202" s="260"/>
      <c r="V202" s="260"/>
      <c r="W202" s="260"/>
      <c r="X202" s="260"/>
      <c r="Y202" s="565"/>
      <c r="Z202" s="565"/>
      <c r="AA202" s="566">
        <f t="shared" si="18"/>
        <v>0</v>
      </c>
      <c r="AB202" s="699"/>
    </row>
    <row r="203" spans="1:28" ht="15.75" customHeight="1" x14ac:dyDescent="0.3">
      <c r="A203" s="66" t="s">
        <v>1795</v>
      </c>
      <c r="B203" s="22" t="s">
        <v>1840</v>
      </c>
      <c r="C203" s="81">
        <v>43775</v>
      </c>
      <c r="D203" s="109">
        <v>43796</v>
      </c>
      <c r="E203" s="560"/>
      <c r="F203" s="86" t="s">
        <v>1796</v>
      </c>
      <c r="G203" s="86" t="s">
        <v>156</v>
      </c>
      <c r="H203" s="79" t="s">
        <v>213</v>
      </c>
      <c r="I203" s="97" t="s">
        <v>1854</v>
      </c>
      <c r="J203" s="73">
        <f t="shared" si="19"/>
        <v>1</v>
      </c>
      <c r="K203" s="74" t="s">
        <v>204</v>
      </c>
      <c r="L203" s="97" t="s">
        <v>1905</v>
      </c>
      <c r="M203" s="79">
        <v>0</v>
      </c>
      <c r="N203" s="76" t="s">
        <v>19</v>
      </c>
      <c r="Q203" s="301" t="s">
        <v>1881</v>
      </c>
      <c r="R203" s="73">
        <f t="shared" si="15"/>
        <v>1</v>
      </c>
      <c r="S203" s="260" t="s">
        <v>1976</v>
      </c>
      <c r="T203" s="260"/>
      <c r="U203" s="260"/>
      <c r="V203" s="260"/>
      <c r="W203" s="260"/>
      <c r="X203" s="260"/>
      <c r="Y203" s="565"/>
      <c r="Z203" s="565"/>
      <c r="AA203" s="566">
        <f t="shared" si="18"/>
        <v>0</v>
      </c>
      <c r="AB203" s="699"/>
    </row>
    <row r="204" spans="1:28" ht="15.75" customHeight="1" x14ac:dyDescent="0.3">
      <c r="A204" s="66" t="s">
        <v>1799</v>
      </c>
      <c r="B204" s="22" t="s">
        <v>1842</v>
      </c>
      <c r="C204" s="81">
        <v>43775</v>
      </c>
      <c r="D204" s="109">
        <v>43796</v>
      </c>
      <c r="E204" s="560"/>
      <c r="F204" s="86" t="s">
        <v>1800</v>
      </c>
      <c r="G204" s="86" t="s">
        <v>158</v>
      </c>
      <c r="H204" s="79" t="s">
        <v>213</v>
      </c>
      <c r="I204" s="97" t="s">
        <v>649</v>
      </c>
      <c r="J204" s="73">
        <f t="shared" si="19"/>
        <v>1</v>
      </c>
      <c r="K204" s="74" t="s">
        <v>204</v>
      </c>
      <c r="L204" s="97" t="s">
        <v>1897</v>
      </c>
      <c r="M204" s="79">
        <v>0</v>
      </c>
      <c r="N204" s="76" t="s">
        <v>17</v>
      </c>
      <c r="O204" s="111">
        <v>400000</v>
      </c>
      <c r="Q204" s="301" t="s">
        <v>1970</v>
      </c>
      <c r="R204" s="73">
        <f t="shared" si="15"/>
        <v>1</v>
      </c>
      <c r="S204" s="260" t="s">
        <v>1976</v>
      </c>
      <c r="T204" s="260"/>
      <c r="U204" s="260"/>
      <c r="V204" s="260"/>
      <c r="W204" s="260"/>
      <c r="X204" s="260"/>
      <c r="Y204" s="565"/>
      <c r="Z204" s="565"/>
      <c r="AA204" s="566">
        <f t="shared" si="18"/>
        <v>0</v>
      </c>
      <c r="AB204" s="699"/>
    </row>
    <row r="205" spans="1:28" ht="15.75" customHeight="1" x14ac:dyDescent="0.3">
      <c r="A205" s="66" t="s">
        <v>1801</v>
      </c>
      <c r="B205" s="22" t="s">
        <v>1843</v>
      </c>
      <c r="C205" s="81">
        <v>43775</v>
      </c>
      <c r="D205" s="109">
        <v>43796</v>
      </c>
      <c r="E205" s="560"/>
      <c r="F205" s="86" t="s">
        <v>1802</v>
      </c>
      <c r="G205" s="86" t="s">
        <v>147</v>
      </c>
      <c r="H205" s="79" t="s">
        <v>213</v>
      </c>
      <c r="I205" s="97" t="s">
        <v>645</v>
      </c>
      <c r="J205" s="73">
        <f t="shared" si="19"/>
        <v>1</v>
      </c>
      <c r="K205" s="74" t="s">
        <v>204</v>
      </c>
      <c r="L205" s="97" t="s">
        <v>2026</v>
      </c>
      <c r="M205" s="79">
        <v>0</v>
      </c>
      <c r="N205" s="76" t="s">
        <v>19</v>
      </c>
      <c r="Q205" s="301" t="s">
        <v>1971</v>
      </c>
      <c r="R205" s="73">
        <f t="shared" si="15"/>
        <v>1</v>
      </c>
      <c r="S205" s="260" t="s">
        <v>1976</v>
      </c>
      <c r="T205" s="260"/>
      <c r="U205" s="260"/>
      <c r="V205" s="260"/>
      <c r="W205" s="260"/>
      <c r="X205" s="260"/>
      <c r="Y205" s="565"/>
      <c r="Z205" s="565"/>
      <c r="AA205" s="566">
        <f t="shared" si="18"/>
        <v>0</v>
      </c>
      <c r="AB205" s="699"/>
    </row>
    <row r="206" spans="1:28" ht="15.75" customHeight="1" x14ac:dyDescent="0.3">
      <c r="A206" s="66" t="s">
        <v>1807</v>
      </c>
      <c r="B206" s="22" t="s">
        <v>1886</v>
      </c>
      <c r="C206" s="81">
        <v>43775</v>
      </c>
      <c r="D206" s="109">
        <v>43797</v>
      </c>
      <c r="E206" s="560"/>
      <c r="F206" s="86" t="s">
        <v>1808</v>
      </c>
      <c r="G206" s="86" t="s">
        <v>152</v>
      </c>
      <c r="H206" s="79" t="s">
        <v>213</v>
      </c>
      <c r="I206" s="97" t="s">
        <v>684</v>
      </c>
      <c r="J206" s="73">
        <f t="shared" si="19"/>
        <v>1</v>
      </c>
      <c r="K206" s="74" t="s">
        <v>204</v>
      </c>
      <c r="L206" s="97" t="s">
        <v>1995</v>
      </c>
      <c r="M206" s="79">
        <v>0</v>
      </c>
      <c r="N206" s="76" t="s">
        <v>18</v>
      </c>
      <c r="Q206" s="301" t="s">
        <v>1881</v>
      </c>
      <c r="R206" s="73">
        <f t="shared" si="15"/>
        <v>1</v>
      </c>
      <c r="S206" s="260" t="s">
        <v>1976</v>
      </c>
      <c r="T206" s="260"/>
      <c r="U206" s="260"/>
      <c r="V206" s="260"/>
      <c r="W206" s="260"/>
      <c r="X206" s="260"/>
      <c r="Y206" s="565"/>
      <c r="Z206" s="565"/>
      <c r="AA206" s="566">
        <f t="shared" si="18"/>
        <v>0</v>
      </c>
      <c r="AB206" s="699"/>
    </row>
    <row r="207" spans="1:28" ht="15.75" customHeight="1" x14ac:dyDescent="0.3">
      <c r="A207" s="66" t="s">
        <v>1809</v>
      </c>
      <c r="B207" s="22" t="s">
        <v>1846</v>
      </c>
      <c r="C207" s="81">
        <v>43775</v>
      </c>
      <c r="D207" s="109">
        <v>43796</v>
      </c>
      <c r="E207" s="560"/>
      <c r="F207" s="86" t="s">
        <v>1810</v>
      </c>
      <c r="G207" s="86" t="s">
        <v>156</v>
      </c>
      <c r="H207" s="79" t="s">
        <v>213</v>
      </c>
      <c r="I207" s="97" t="s">
        <v>684</v>
      </c>
      <c r="J207" s="73">
        <f t="shared" si="19"/>
        <v>1</v>
      </c>
      <c r="K207" s="74" t="s">
        <v>204</v>
      </c>
      <c r="L207" s="97" t="s">
        <v>1907</v>
      </c>
      <c r="M207" s="79">
        <v>0</v>
      </c>
      <c r="N207" s="76" t="s">
        <v>18</v>
      </c>
      <c r="Q207" s="301" t="s">
        <v>1970</v>
      </c>
      <c r="R207" s="73">
        <f t="shared" si="15"/>
        <v>1</v>
      </c>
      <c r="S207" s="260" t="s">
        <v>1976</v>
      </c>
      <c r="T207" s="260"/>
      <c r="U207" s="260"/>
      <c r="V207" s="260"/>
      <c r="W207" s="260"/>
      <c r="X207" s="260"/>
      <c r="Y207" s="565"/>
      <c r="Z207" s="565"/>
      <c r="AA207" s="566">
        <f t="shared" si="18"/>
        <v>0</v>
      </c>
      <c r="AB207" s="699"/>
    </row>
    <row r="208" spans="1:28" ht="15.75" customHeight="1" x14ac:dyDescent="0.3">
      <c r="A208" s="66" t="s">
        <v>1811</v>
      </c>
      <c r="B208" s="22" t="s">
        <v>1887</v>
      </c>
      <c r="C208" s="81">
        <v>43775</v>
      </c>
      <c r="D208" s="109">
        <v>43797</v>
      </c>
      <c r="E208" s="560"/>
      <c r="F208" s="86" t="s">
        <v>1812</v>
      </c>
      <c r="G208" s="86" t="s">
        <v>156</v>
      </c>
      <c r="H208" s="79" t="s">
        <v>213</v>
      </c>
      <c r="I208" s="97" t="s">
        <v>1854</v>
      </c>
      <c r="J208" s="73">
        <f t="shared" si="19"/>
        <v>1</v>
      </c>
      <c r="K208" s="74" t="s">
        <v>204</v>
      </c>
      <c r="L208" s="97" t="s">
        <v>994</v>
      </c>
      <c r="M208" s="79">
        <v>0</v>
      </c>
      <c r="N208" s="76" t="s">
        <v>19</v>
      </c>
      <c r="Q208" s="301" t="s">
        <v>1971</v>
      </c>
      <c r="R208" s="73">
        <f t="shared" si="15"/>
        <v>1</v>
      </c>
      <c r="S208" s="260" t="s">
        <v>1976</v>
      </c>
      <c r="T208" s="260"/>
      <c r="U208" s="260"/>
      <c r="V208" s="260"/>
      <c r="W208" s="260"/>
      <c r="X208" s="260"/>
      <c r="Y208" s="565"/>
      <c r="Z208" s="565"/>
      <c r="AA208" s="566">
        <f t="shared" si="18"/>
        <v>0</v>
      </c>
      <c r="AB208" s="699"/>
    </row>
    <row r="209" spans="1:28" ht="15.75" customHeight="1" x14ac:dyDescent="0.3">
      <c r="A209" s="66" t="s">
        <v>1813</v>
      </c>
      <c r="B209" s="22" t="s">
        <v>1888</v>
      </c>
      <c r="C209" s="81">
        <v>43775</v>
      </c>
      <c r="D209" s="109">
        <v>43797</v>
      </c>
      <c r="E209" s="560"/>
      <c r="F209" s="86" t="s">
        <v>1814</v>
      </c>
      <c r="G209" s="86" t="s">
        <v>154</v>
      </c>
      <c r="H209" s="79" t="s">
        <v>213</v>
      </c>
      <c r="I209" s="97" t="s">
        <v>972</v>
      </c>
      <c r="J209" s="73">
        <f t="shared" si="19"/>
        <v>1</v>
      </c>
      <c r="K209" s="74" t="s">
        <v>204</v>
      </c>
      <c r="L209" s="97" t="s">
        <v>1999</v>
      </c>
      <c r="M209" s="79">
        <v>0</v>
      </c>
      <c r="N209" s="76" t="s">
        <v>17</v>
      </c>
      <c r="O209" s="111">
        <v>475000</v>
      </c>
      <c r="Q209" s="301" t="s">
        <v>1971</v>
      </c>
      <c r="R209" s="73">
        <f t="shared" si="15"/>
        <v>1</v>
      </c>
      <c r="S209" s="260" t="s">
        <v>1976</v>
      </c>
      <c r="T209" s="260"/>
      <c r="U209" s="260"/>
      <c r="V209" s="260"/>
      <c r="W209" s="260"/>
      <c r="X209" s="260"/>
      <c r="Y209" s="565"/>
      <c r="Z209" s="565"/>
      <c r="AA209" s="566">
        <f t="shared" si="18"/>
        <v>0</v>
      </c>
      <c r="AB209" s="699"/>
    </row>
    <row r="210" spans="1:28" ht="15.75" customHeight="1" x14ac:dyDescent="0.3">
      <c r="A210" s="66" t="s">
        <v>1815</v>
      </c>
      <c r="B210" s="22" t="s">
        <v>1889</v>
      </c>
      <c r="C210" s="81">
        <v>43775</v>
      </c>
      <c r="D210" s="109">
        <v>43797</v>
      </c>
      <c r="E210" s="560"/>
      <c r="F210" s="86" t="s">
        <v>1816</v>
      </c>
      <c r="G210" s="86" t="s">
        <v>150</v>
      </c>
      <c r="H210" s="79" t="s">
        <v>213</v>
      </c>
      <c r="I210" s="97" t="s">
        <v>649</v>
      </c>
      <c r="J210" s="73">
        <f t="shared" si="19"/>
        <v>1</v>
      </c>
      <c r="K210" s="74" t="s">
        <v>204</v>
      </c>
      <c r="L210" s="97" t="s">
        <v>2000</v>
      </c>
      <c r="M210" s="79">
        <v>0</v>
      </c>
      <c r="N210" s="76" t="s">
        <v>17</v>
      </c>
      <c r="O210" s="111">
        <v>31832</v>
      </c>
      <c r="Q210" s="301" t="s">
        <v>1881</v>
      </c>
      <c r="R210" s="73">
        <f t="shared" si="15"/>
        <v>1</v>
      </c>
      <c r="S210" s="260" t="s">
        <v>1976</v>
      </c>
      <c r="T210" s="260"/>
      <c r="U210" s="260"/>
      <c r="V210" s="260"/>
      <c r="W210" s="260"/>
      <c r="X210" s="260"/>
      <c r="Y210" s="565"/>
      <c r="Z210" s="565"/>
      <c r="AA210" s="566">
        <f t="shared" si="18"/>
        <v>0</v>
      </c>
      <c r="AB210" s="699"/>
    </row>
    <row r="211" spans="1:28" ht="15.75" customHeight="1" x14ac:dyDescent="0.3">
      <c r="A211" s="66" t="s">
        <v>1821</v>
      </c>
      <c r="B211" s="22" t="s">
        <v>1894</v>
      </c>
      <c r="C211" s="81">
        <v>43776</v>
      </c>
      <c r="D211" s="109">
        <v>43798</v>
      </c>
      <c r="E211" s="560"/>
      <c r="F211" s="86" t="s">
        <v>1822</v>
      </c>
      <c r="G211" s="86" t="s">
        <v>158</v>
      </c>
      <c r="H211" s="79" t="s">
        <v>213</v>
      </c>
      <c r="I211" s="97" t="s">
        <v>649</v>
      </c>
      <c r="J211" s="73">
        <f t="shared" si="19"/>
        <v>1</v>
      </c>
      <c r="K211" s="74" t="s">
        <v>204</v>
      </c>
      <c r="L211" s="97" t="s">
        <v>1980</v>
      </c>
      <c r="M211" s="79">
        <v>0</v>
      </c>
      <c r="N211" s="76" t="s">
        <v>17</v>
      </c>
      <c r="O211" s="111">
        <v>17595.689999999999</v>
      </c>
      <c r="Q211" s="301" t="s">
        <v>1896</v>
      </c>
      <c r="R211" s="73">
        <f t="shared" si="15"/>
        <v>1</v>
      </c>
      <c r="S211" s="260" t="s">
        <v>1976</v>
      </c>
      <c r="T211" s="260"/>
      <c r="U211" s="260"/>
      <c r="V211" s="260"/>
      <c r="W211" s="260"/>
      <c r="X211" s="260"/>
      <c r="Y211" s="565"/>
      <c r="Z211" s="565"/>
      <c r="AA211" s="566">
        <f t="shared" si="18"/>
        <v>0</v>
      </c>
      <c r="AB211" s="699"/>
    </row>
    <row r="212" spans="1:28" ht="15.75" customHeight="1" x14ac:dyDescent="0.3">
      <c r="A212" s="121" t="s">
        <v>1883</v>
      </c>
      <c r="B212" s="22" t="s">
        <v>1884</v>
      </c>
      <c r="C212" s="81">
        <v>43775</v>
      </c>
      <c r="D212" s="109">
        <v>43797</v>
      </c>
      <c r="E212" s="560"/>
      <c r="F212" s="97" t="s">
        <v>1885</v>
      </c>
      <c r="G212" s="97" t="s">
        <v>152</v>
      </c>
      <c r="H212" s="96" t="s">
        <v>213</v>
      </c>
      <c r="I212" s="97" t="s">
        <v>684</v>
      </c>
      <c r="J212" s="73">
        <f t="shared" si="19"/>
        <v>1</v>
      </c>
      <c r="K212" s="74" t="s">
        <v>204</v>
      </c>
      <c r="L212" s="97" t="s">
        <v>2001</v>
      </c>
      <c r="M212" s="79">
        <v>0</v>
      </c>
      <c r="N212" s="76" t="s">
        <v>18</v>
      </c>
      <c r="Q212" s="301" t="s">
        <v>1977</v>
      </c>
      <c r="R212" s="73">
        <f t="shared" si="15"/>
        <v>1</v>
      </c>
      <c r="S212" s="260" t="s">
        <v>1976</v>
      </c>
      <c r="T212" s="260"/>
      <c r="U212" s="260"/>
      <c r="V212" s="260"/>
      <c r="W212" s="260"/>
      <c r="X212" s="260"/>
      <c r="Y212" s="565"/>
      <c r="Z212" s="565"/>
      <c r="AA212" s="566">
        <f t="shared" si="18"/>
        <v>0</v>
      </c>
      <c r="AB212" s="699"/>
    </row>
    <row r="213" spans="1:28" ht="15.75" customHeight="1" x14ac:dyDescent="0.3">
      <c r="A213" s="66" t="s">
        <v>1898</v>
      </c>
      <c r="B213" s="22" t="s">
        <v>1901</v>
      </c>
      <c r="C213" s="81">
        <v>43757</v>
      </c>
      <c r="D213" s="109">
        <v>43796</v>
      </c>
      <c r="E213" s="560"/>
      <c r="F213" s="97" t="s">
        <v>1900</v>
      </c>
      <c r="G213" s="86" t="s">
        <v>152</v>
      </c>
      <c r="H213" s="96" t="s">
        <v>213</v>
      </c>
      <c r="I213" s="97" t="s">
        <v>714</v>
      </c>
      <c r="J213" s="73">
        <f t="shared" si="19"/>
        <v>1</v>
      </c>
      <c r="K213" s="74" t="s">
        <v>204</v>
      </c>
      <c r="L213" s="97" t="s">
        <v>1902</v>
      </c>
      <c r="M213" s="126">
        <v>1</v>
      </c>
      <c r="Q213" s="301" t="s">
        <v>1977</v>
      </c>
      <c r="R213" s="73">
        <f t="shared" si="15"/>
        <v>1</v>
      </c>
      <c r="S213" s="260" t="s">
        <v>1976</v>
      </c>
      <c r="T213" s="260"/>
      <c r="U213" s="260"/>
      <c r="V213" s="260"/>
      <c r="W213" s="260"/>
      <c r="X213" s="260"/>
      <c r="Y213" s="565"/>
      <c r="Z213" s="565"/>
      <c r="AA213" s="566">
        <f t="shared" si="18"/>
        <v>0</v>
      </c>
      <c r="AB213" s="699"/>
    </row>
    <row r="214" spans="1:28" ht="15.75" customHeight="1" x14ac:dyDescent="0.3">
      <c r="A214" s="66" t="s">
        <v>1899</v>
      </c>
      <c r="B214" s="22" t="s">
        <v>1903</v>
      </c>
      <c r="C214" s="81">
        <v>43774</v>
      </c>
      <c r="D214" s="109">
        <v>43796</v>
      </c>
      <c r="E214" s="560"/>
      <c r="F214" s="97" t="s">
        <v>1904</v>
      </c>
      <c r="G214" s="97" t="s">
        <v>147</v>
      </c>
      <c r="H214" s="96" t="s">
        <v>213</v>
      </c>
      <c r="I214" s="97" t="s">
        <v>649</v>
      </c>
      <c r="J214" s="73">
        <f t="shared" si="19"/>
        <v>1</v>
      </c>
      <c r="K214" s="74" t="s">
        <v>204</v>
      </c>
      <c r="L214" s="86" t="s">
        <v>1902</v>
      </c>
      <c r="M214" s="79">
        <v>0</v>
      </c>
      <c r="Q214" s="301" t="s">
        <v>1977</v>
      </c>
      <c r="R214" s="73">
        <f t="shared" si="15"/>
        <v>1</v>
      </c>
      <c r="S214" s="260" t="s">
        <v>1976</v>
      </c>
      <c r="T214" s="260"/>
      <c r="U214" s="260"/>
      <c r="V214" s="260"/>
      <c r="W214" s="260"/>
      <c r="X214" s="260"/>
      <c r="Y214" s="565"/>
      <c r="Z214" s="565"/>
      <c r="AA214" s="566">
        <f t="shared" si="18"/>
        <v>0</v>
      </c>
      <c r="AB214" s="699"/>
    </row>
    <row r="215" spans="1:28" ht="15.75" customHeight="1" x14ac:dyDescent="0.3">
      <c r="A215" s="66" t="s">
        <v>1917</v>
      </c>
      <c r="B215" s="22" t="s">
        <v>1919</v>
      </c>
      <c r="C215" s="81">
        <v>43775</v>
      </c>
      <c r="D215" s="109">
        <v>43797</v>
      </c>
      <c r="E215" s="560"/>
      <c r="F215" s="97" t="s">
        <v>1918</v>
      </c>
      <c r="G215" s="97" t="s">
        <v>152</v>
      </c>
      <c r="H215" s="96" t="s">
        <v>213</v>
      </c>
      <c r="I215" s="97" t="s">
        <v>649</v>
      </c>
      <c r="J215" s="73">
        <f t="shared" si="19"/>
        <v>1</v>
      </c>
      <c r="K215" s="74" t="s">
        <v>204</v>
      </c>
      <c r="L215" s="97" t="s">
        <v>1978</v>
      </c>
      <c r="M215" s="79">
        <v>0</v>
      </c>
      <c r="Q215" s="301" t="s">
        <v>1896</v>
      </c>
      <c r="R215" s="73">
        <f t="shared" si="15"/>
        <v>1</v>
      </c>
      <c r="S215" s="260" t="s">
        <v>1976</v>
      </c>
      <c r="T215" s="260"/>
      <c r="U215" s="260"/>
      <c r="V215" s="260"/>
      <c r="W215" s="260"/>
      <c r="X215" s="260"/>
      <c r="Y215" s="565"/>
      <c r="Z215" s="565"/>
      <c r="AA215" s="566">
        <f t="shared" si="18"/>
        <v>0</v>
      </c>
      <c r="AB215" s="699"/>
    </row>
    <row r="216" spans="1:28" ht="15.75" customHeight="1" x14ac:dyDescent="0.3">
      <c r="A216" s="66" t="s">
        <v>1920</v>
      </c>
      <c r="B216" s="22" t="s">
        <v>1922</v>
      </c>
      <c r="C216" s="81">
        <v>43775</v>
      </c>
      <c r="D216" s="109">
        <v>43797</v>
      </c>
      <c r="E216" s="560"/>
      <c r="F216" s="97" t="s">
        <v>1921</v>
      </c>
      <c r="G216" s="97" t="s">
        <v>158</v>
      </c>
      <c r="H216" s="96" t="s">
        <v>213</v>
      </c>
      <c r="I216" s="97" t="s">
        <v>649</v>
      </c>
      <c r="J216" s="73">
        <f t="shared" si="19"/>
        <v>1</v>
      </c>
      <c r="K216" s="74" t="s">
        <v>204</v>
      </c>
      <c r="L216" s="97" t="s">
        <v>1978</v>
      </c>
      <c r="M216" s="79">
        <v>0</v>
      </c>
      <c r="Q216" s="301" t="s">
        <v>1896</v>
      </c>
      <c r="R216" s="73">
        <f t="shared" si="15"/>
        <v>1</v>
      </c>
      <c r="S216" s="260" t="s">
        <v>1976</v>
      </c>
      <c r="T216" s="260"/>
      <c r="U216" s="260"/>
      <c r="V216" s="260"/>
      <c r="W216" s="260"/>
      <c r="X216" s="260"/>
      <c r="Y216" s="565"/>
      <c r="Z216" s="565"/>
      <c r="AA216" s="566">
        <f t="shared" si="18"/>
        <v>0</v>
      </c>
      <c r="AB216" s="699"/>
    </row>
    <row r="217" spans="1:28" ht="15.75" customHeight="1" x14ac:dyDescent="0.3">
      <c r="A217" s="66" t="s">
        <v>1923</v>
      </c>
      <c r="B217" s="22" t="s">
        <v>1924</v>
      </c>
      <c r="C217" s="81">
        <v>43775</v>
      </c>
      <c r="D217" s="109">
        <v>43797</v>
      </c>
      <c r="E217" s="560"/>
      <c r="F217" s="97" t="s">
        <v>1925</v>
      </c>
      <c r="G217" s="97" t="s">
        <v>158</v>
      </c>
      <c r="H217" s="96" t="s">
        <v>213</v>
      </c>
      <c r="I217" s="97" t="s">
        <v>649</v>
      </c>
      <c r="J217" s="73">
        <f t="shared" si="19"/>
        <v>1</v>
      </c>
      <c r="K217" s="74" t="s">
        <v>204</v>
      </c>
      <c r="L217" s="97" t="s">
        <v>1978</v>
      </c>
      <c r="M217" s="79">
        <v>0</v>
      </c>
      <c r="Q217" s="301" t="s">
        <v>1881</v>
      </c>
      <c r="R217" s="73">
        <f t="shared" si="15"/>
        <v>1</v>
      </c>
      <c r="S217" s="260" t="s">
        <v>1976</v>
      </c>
      <c r="T217" s="260"/>
      <c r="U217" s="260"/>
      <c r="V217" s="260"/>
      <c r="W217" s="260"/>
      <c r="X217" s="260"/>
      <c r="Y217" s="565"/>
      <c r="Z217" s="565"/>
      <c r="AA217" s="566">
        <f t="shared" si="18"/>
        <v>0</v>
      </c>
      <c r="AB217" s="699"/>
    </row>
    <row r="218" spans="1:28" ht="15.75" customHeight="1" x14ac:dyDescent="0.3">
      <c r="A218" s="66" t="s">
        <v>1930</v>
      </c>
      <c r="B218" s="22" t="s">
        <v>1932</v>
      </c>
      <c r="C218" s="81">
        <v>43776</v>
      </c>
      <c r="D218" s="109">
        <v>43798</v>
      </c>
      <c r="E218" s="560"/>
      <c r="F218" s="124" t="s">
        <v>1931</v>
      </c>
      <c r="G218" s="86" t="s">
        <v>158</v>
      </c>
      <c r="H218" s="96" t="s">
        <v>213</v>
      </c>
      <c r="I218" s="97" t="s">
        <v>649</v>
      </c>
      <c r="J218" s="73">
        <f t="shared" si="19"/>
        <v>1</v>
      </c>
      <c r="K218" s="74" t="s">
        <v>204</v>
      </c>
      <c r="L218" s="97" t="s">
        <v>1978</v>
      </c>
      <c r="M218" s="79">
        <v>0</v>
      </c>
      <c r="Q218" s="301" t="s">
        <v>1971</v>
      </c>
      <c r="R218" s="73">
        <f t="shared" si="15"/>
        <v>1</v>
      </c>
      <c r="S218" s="260" t="s">
        <v>1976</v>
      </c>
      <c r="T218" s="260"/>
      <c r="U218" s="260"/>
      <c r="V218" s="260"/>
      <c r="W218" s="260"/>
      <c r="X218" s="260"/>
      <c r="Y218" s="565"/>
      <c r="Z218" s="565"/>
      <c r="AA218" s="566">
        <f t="shared" si="18"/>
        <v>0</v>
      </c>
      <c r="AB218" s="699"/>
    </row>
    <row r="219" spans="1:28" ht="15.75" customHeight="1" x14ac:dyDescent="0.3">
      <c r="A219" s="66" t="s">
        <v>1937</v>
      </c>
      <c r="B219" s="22" t="s">
        <v>1967</v>
      </c>
      <c r="C219" s="81">
        <v>43777</v>
      </c>
      <c r="D219" s="109">
        <v>43801</v>
      </c>
      <c r="E219" s="560"/>
      <c r="F219" s="86" t="s">
        <v>1938</v>
      </c>
      <c r="G219" s="86" t="s">
        <v>152</v>
      </c>
      <c r="H219" s="79" t="s">
        <v>213</v>
      </c>
      <c r="I219" s="97" t="s">
        <v>1284</v>
      </c>
      <c r="J219" s="73">
        <f t="shared" ref="J219:J242" si="20">IF(OR(K219="Документы готовы",K219="Запрос в ФО",K219="ЭЗ",K219="РЕШ",K219="РЕШ шаблон"),0.1,IF(OR(K219="ЭЗ согласование",K219="РЕШ согласование"),0.3,IF(OR(K219="ЭЗ согласовано",K219="РЕШ согласовано",K219="РЕШ подписано"),0.6,IF(OR(K219="ЭЗ ПР согласование",K219="РЕШ УВ согласование"),0.9,IF(OR(K219="ЭЗ ПР DONE",K219="РЕШ УВ DONE"),1,0)))))</f>
        <v>1</v>
      </c>
      <c r="K219" s="74" t="s">
        <v>204</v>
      </c>
      <c r="L219" s="97" t="s">
        <v>1991</v>
      </c>
      <c r="M219" s="79">
        <v>0</v>
      </c>
      <c r="N219" s="76" t="s">
        <v>19</v>
      </c>
      <c r="Q219" s="301" t="s">
        <v>1881</v>
      </c>
      <c r="R219" s="73">
        <f t="shared" ref="R219:R242" si="21">IF(S219="В работе",0.3,IF(S219="Отписано",0.6,IF(S219="На доработку",0.9,IF(S219="Согласовано",1,0))))</f>
        <v>1</v>
      </c>
      <c r="S219" s="260" t="s">
        <v>1976</v>
      </c>
      <c r="T219" s="260"/>
      <c r="U219" s="260"/>
      <c r="V219" s="260"/>
      <c r="W219" s="260"/>
      <c r="X219" s="260"/>
      <c r="Y219" s="565"/>
      <c r="Z219" s="565"/>
      <c r="AA219" s="566">
        <f t="shared" si="18"/>
        <v>0</v>
      </c>
      <c r="AB219" s="699"/>
    </row>
    <row r="220" spans="1:28" ht="15.75" customHeight="1" x14ac:dyDescent="0.3">
      <c r="A220" s="66" t="s">
        <v>1939</v>
      </c>
      <c r="B220" s="22" t="s">
        <v>1968</v>
      </c>
      <c r="C220" s="81">
        <v>43777</v>
      </c>
      <c r="D220" s="109">
        <v>43801</v>
      </c>
      <c r="E220" s="560"/>
      <c r="F220" s="86" t="s">
        <v>1940</v>
      </c>
      <c r="G220" s="86" t="s">
        <v>1328</v>
      </c>
      <c r="H220" s="79" t="s">
        <v>213</v>
      </c>
      <c r="I220" s="97" t="s">
        <v>622</v>
      </c>
      <c r="J220" s="73">
        <f t="shared" si="20"/>
        <v>1</v>
      </c>
      <c r="K220" s="74" t="s">
        <v>204</v>
      </c>
      <c r="L220" s="97" t="s">
        <v>1992</v>
      </c>
      <c r="M220" s="79">
        <v>0</v>
      </c>
      <c r="N220" s="76" t="s">
        <v>19</v>
      </c>
      <c r="Q220" s="301" t="s">
        <v>1971</v>
      </c>
      <c r="R220" s="73">
        <f t="shared" si="21"/>
        <v>1</v>
      </c>
      <c r="S220" s="260" t="s">
        <v>1976</v>
      </c>
      <c r="T220" s="260"/>
      <c r="U220" s="260"/>
      <c r="V220" s="260"/>
      <c r="W220" s="260"/>
      <c r="X220" s="260"/>
      <c r="Y220" s="565"/>
      <c r="Z220" s="565"/>
      <c r="AA220" s="566">
        <f t="shared" si="18"/>
        <v>0</v>
      </c>
      <c r="AB220" s="699"/>
    </row>
    <row r="221" spans="1:28" ht="15.75" customHeight="1" x14ac:dyDescent="0.3">
      <c r="A221" s="66" t="s">
        <v>1941</v>
      </c>
      <c r="B221" s="22" t="s">
        <v>1982</v>
      </c>
      <c r="C221" s="81">
        <v>43780</v>
      </c>
      <c r="D221" s="109">
        <v>43802</v>
      </c>
      <c r="E221" s="560"/>
      <c r="F221" s="86" t="s">
        <v>1942</v>
      </c>
      <c r="G221" s="86" t="s">
        <v>147</v>
      </c>
      <c r="H221" s="79" t="s">
        <v>213</v>
      </c>
      <c r="I221" s="97" t="s">
        <v>1993</v>
      </c>
      <c r="J221" s="73">
        <f t="shared" si="20"/>
        <v>1</v>
      </c>
      <c r="K221" s="74" t="s">
        <v>204</v>
      </c>
      <c r="L221" s="97" t="s">
        <v>1994</v>
      </c>
      <c r="M221" s="79">
        <v>0</v>
      </c>
      <c r="N221" s="76" t="s">
        <v>18</v>
      </c>
      <c r="Q221" s="301" t="s">
        <v>1970</v>
      </c>
      <c r="R221" s="73">
        <f t="shared" si="21"/>
        <v>1</v>
      </c>
      <c r="S221" s="260" t="s">
        <v>1976</v>
      </c>
      <c r="T221" s="260"/>
      <c r="U221" s="260"/>
      <c r="V221" s="260"/>
      <c r="W221" s="260"/>
      <c r="X221" s="260"/>
      <c r="Y221" s="565"/>
      <c r="Z221" s="565"/>
      <c r="AA221" s="566">
        <f t="shared" si="18"/>
        <v>0</v>
      </c>
      <c r="AB221" s="699"/>
    </row>
    <row r="222" spans="1:28" ht="15.75" customHeight="1" x14ac:dyDescent="0.3">
      <c r="A222" s="66" t="s">
        <v>1943</v>
      </c>
      <c r="B222" s="22" t="s">
        <v>1983</v>
      </c>
      <c r="C222" s="81">
        <v>43780</v>
      </c>
      <c r="D222" s="109">
        <v>43802</v>
      </c>
      <c r="E222" s="560"/>
      <c r="F222" s="86" t="s">
        <v>1944</v>
      </c>
      <c r="G222" s="86" t="s">
        <v>156</v>
      </c>
      <c r="H222" s="79" t="s">
        <v>213</v>
      </c>
      <c r="I222" s="97" t="s">
        <v>1104</v>
      </c>
      <c r="J222" s="73">
        <f t="shared" si="20"/>
        <v>1</v>
      </c>
      <c r="K222" s="74" t="s">
        <v>204</v>
      </c>
      <c r="L222" s="97" t="s">
        <v>2002</v>
      </c>
      <c r="M222" s="79">
        <v>0</v>
      </c>
      <c r="N222" s="76" t="s">
        <v>19</v>
      </c>
      <c r="Q222" s="301" t="s">
        <v>1896</v>
      </c>
      <c r="R222" s="73">
        <f t="shared" si="21"/>
        <v>1</v>
      </c>
      <c r="S222" s="260" t="s">
        <v>1976</v>
      </c>
      <c r="T222" s="260"/>
      <c r="U222" s="260"/>
      <c r="V222" s="260"/>
      <c r="W222" s="260"/>
      <c r="X222" s="260"/>
      <c r="Y222" s="565"/>
      <c r="Z222" s="565"/>
      <c r="AA222" s="566">
        <f t="shared" si="18"/>
        <v>0</v>
      </c>
      <c r="AB222" s="699"/>
    </row>
    <row r="223" spans="1:28" ht="15.75" customHeight="1" x14ac:dyDescent="0.3">
      <c r="A223" s="66" t="s">
        <v>1945</v>
      </c>
      <c r="B223" s="22" t="s">
        <v>1984</v>
      </c>
      <c r="C223" s="81">
        <v>43780</v>
      </c>
      <c r="D223" s="109">
        <v>43802</v>
      </c>
      <c r="E223" s="560"/>
      <c r="F223" s="86" t="s">
        <v>1946</v>
      </c>
      <c r="G223" s="86" t="s">
        <v>152</v>
      </c>
      <c r="H223" s="79" t="s">
        <v>213</v>
      </c>
      <c r="I223" s="97" t="s">
        <v>657</v>
      </c>
      <c r="J223" s="73">
        <f t="shared" si="20"/>
        <v>1</v>
      </c>
      <c r="K223" s="74" t="s">
        <v>204</v>
      </c>
      <c r="L223" s="97" t="s">
        <v>8123</v>
      </c>
      <c r="M223" s="79">
        <v>0</v>
      </c>
      <c r="N223" s="76" t="s">
        <v>18</v>
      </c>
      <c r="Q223" s="301" t="s">
        <v>1881</v>
      </c>
      <c r="R223" s="73">
        <f t="shared" si="21"/>
        <v>1</v>
      </c>
      <c r="S223" s="260" t="s">
        <v>1976</v>
      </c>
      <c r="T223" s="260"/>
      <c r="U223" s="260"/>
      <c r="V223" s="260"/>
      <c r="W223" s="260"/>
      <c r="X223" s="260"/>
      <c r="Y223" s="565"/>
      <c r="Z223" s="565"/>
      <c r="AA223" s="566">
        <f t="shared" si="18"/>
        <v>0</v>
      </c>
      <c r="AB223" s="699"/>
    </row>
    <row r="224" spans="1:28" ht="15.75" customHeight="1" x14ac:dyDescent="0.3">
      <c r="A224" s="66" t="s">
        <v>1947</v>
      </c>
      <c r="B224" s="22" t="s">
        <v>1987</v>
      </c>
      <c r="C224" s="81">
        <v>43782</v>
      </c>
      <c r="D224" s="109">
        <v>43803</v>
      </c>
      <c r="E224" s="560"/>
      <c r="F224" s="86" t="s">
        <v>1948</v>
      </c>
      <c r="G224" s="86" t="s">
        <v>152</v>
      </c>
      <c r="H224" s="79" t="s">
        <v>213</v>
      </c>
      <c r="I224" s="97" t="s">
        <v>1104</v>
      </c>
      <c r="J224" s="73">
        <f t="shared" si="20"/>
        <v>1</v>
      </c>
      <c r="K224" s="74" t="s">
        <v>204</v>
      </c>
      <c r="L224" s="97" t="s">
        <v>2005</v>
      </c>
      <c r="M224" s="79">
        <v>0</v>
      </c>
      <c r="N224" s="76" t="s">
        <v>19</v>
      </c>
      <c r="Q224" s="301" t="s">
        <v>1971</v>
      </c>
      <c r="R224" s="73">
        <f t="shared" si="21"/>
        <v>1</v>
      </c>
      <c r="S224" s="260" t="s">
        <v>1976</v>
      </c>
      <c r="T224" s="260"/>
      <c r="U224" s="260"/>
      <c r="V224" s="260"/>
      <c r="W224" s="260"/>
      <c r="X224" s="260"/>
      <c r="Y224" s="565"/>
      <c r="Z224" s="565"/>
      <c r="AA224" s="566">
        <f t="shared" si="18"/>
        <v>0</v>
      </c>
      <c r="AB224" s="699"/>
    </row>
    <row r="225" spans="1:28" ht="15.75" customHeight="1" x14ac:dyDescent="0.3">
      <c r="A225" s="66" t="s">
        <v>1949</v>
      </c>
      <c r="B225" s="22" t="s">
        <v>1988</v>
      </c>
      <c r="C225" s="81">
        <v>43782</v>
      </c>
      <c r="D225" s="109">
        <v>43803</v>
      </c>
      <c r="E225" s="560"/>
      <c r="F225" s="86" t="s">
        <v>1950</v>
      </c>
      <c r="G225" s="86" t="s">
        <v>177</v>
      </c>
      <c r="H225" s="79" t="s">
        <v>213</v>
      </c>
      <c r="I225" s="97" t="s">
        <v>995</v>
      </c>
      <c r="J225" s="73">
        <f t="shared" si="20"/>
        <v>1</v>
      </c>
      <c r="K225" s="74" t="s">
        <v>204</v>
      </c>
      <c r="L225" s="97" t="s">
        <v>2006</v>
      </c>
      <c r="M225" s="79">
        <v>0</v>
      </c>
      <c r="N225" s="76" t="s">
        <v>19</v>
      </c>
      <c r="Q225" s="301" t="s">
        <v>1971</v>
      </c>
      <c r="R225" s="73">
        <f t="shared" si="21"/>
        <v>1</v>
      </c>
      <c r="S225" s="260" t="s">
        <v>1976</v>
      </c>
      <c r="T225" s="260"/>
      <c r="U225" s="260"/>
      <c r="V225" s="260"/>
      <c r="W225" s="260"/>
      <c r="X225" s="260"/>
      <c r="Y225" s="565"/>
      <c r="Z225" s="565"/>
      <c r="AA225" s="566">
        <f t="shared" si="18"/>
        <v>0</v>
      </c>
      <c r="AB225" s="699"/>
    </row>
    <row r="226" spans="1:28" ht="15.75" customHeight="1" x14ac:dyDescent="0.3">
      <c r="A226" s="66" t="s">
        <v>1951</v>
      </c>
      <c r="B226" s="22" t="s">
        <v>1989</v>
      </c>
      <c r="C226" s="81">
        <v>43782</v>
      </c>
      <c r="D226" s="109">
        <v>43803</v>
      </c>
      <c r="E226" s="560"/>
      <c r="F226" s="86" t="s">
        <v>1952</v>
      </c>
      <c r="G226" s="86" t="s">
        <v>158</v>
      </c>
      <c r="H226" s="79" t="s">
        <v>213</v>
      </c>
      <c r="I226" s="97" t="s">
        <v>995</v>
      </c>
      <c r="J226" s="73">
        <f t="shared" si="20"/>
        <v>1</v>
      </c>
      <c r="K226" s="74" t="s">
        <v>204</v>
      </c>
      <c r="L226" s="97" t="s">
        <v>2003</v>
      </c>
      <c r="M226" s="79">
        <v>0</v>
      </c>
      <c r="N226" s="76" t="s">
        <v>19</v>
      </c>
      <c r="Q226" s="301" t="s">
        <v>2004</v>
      </c>
      <c r="R226" s="73">
        <f t="shared" si="21"/>
        <v>1</v>
      </c>
      <c r="S226" s="260" t="s">
        <v>1976</v>
      </c>
      <c r="T226" s="260"/>
      <c r="U226" s="260"/>
      <c r="V226" s="260"/>
      <c r="W226" s="260"/>
      <c r="X226" s="260"/>
      <c r="Y226" s="565"/>
      <c r="Z226" s="565"/>
      <c r="AA226" s="566">
        <f t="shared" si="18"/>
        <v>0</v>
      </c>
      <c r="AB226" s="699"/>
    </row>
    <row r="227" spans="1:28" ht="15.75" customHeight="1" x14ac:dyDescent="0.3">
      <c r="A227" s="66" t="s">
        <v>1953</v>
      </c>
      <c r="B227" s="22" t="s">
        <v>1990</v>
      </c>
      <c r="C227" s="81">
        <v>43782</v>
      </c>
      <c r="D227" s="109">
        <v>43803</v>
      </c>
      <c r="E227" s="560"/>
      <c r="F227" s="86" t="s">
        <v>1954</v>
      </c>
      <c r="G227" s="86" t="s">
        <v>154</v>
      </c>
      <c r="H227" s="79" t="s">
        <v>213</v>
      </c>
      <c r="I227" s="97" t="s">
        <v>688</v>
      </c>
      <c r="J227" s="73">
        <f t="shared" si="20"/>
        <v>1</v>
      </c>
      <c r="K227" s="74" t="s">
        <v>204</v>
      </c>
      <c r="L227" s="97" t="s">
        <v>1414</v>
      </c>
      <c r="M227" s="79">
        <v>0</v>
      </c>
      <c r="N227" s="76" t="s">
        <v>18</v>
      </c>
      <c r="Q227" s="301" t="s">
        <v>1896</v>
      </c>
      <c r="R227" s="73">
        <f t="shared" si="21"/>
        <v>1</v>
      </c>
      <c r="S227" s="260" t="s">
        <v>1976</v>
      </c>
      <c r="T227" s="260"/>
      <c r="U227" s="260"/>
      <c r="V227" s="260"/>
      <c r="W227" s="260"/>
      <c r="X227" s="260"/>
      <c r="Y227" s="565"/>
      <c r="Z227" s="565"/>
      <c r="AA227" s="566">
        <f t="shared" si="18"/>
        <v>0</v>
      </c>
      <c r="AB227" s="699"/>
    </row>
    <row r="228" spans="1:28" ht="15.75" customHeight="1" x14ac:dyDescent="0.3">
      <c r="A228" s="66" t="s">
        <v>1955</v>
      </c>
      <c r="B228" s="22" t="s">
        <v>2013</v>
      </c>
      <c r="C228" s="81">
        <v>43783</v>
      </c>
      <c r="D228" s="109">
        <v>43804</v>
      </c>
      <c r="E228" s="560"/>
      <c r="F228" s="86" t="s">
        <v>1956</v>
      </c>
      <c r="G228" s="86" t="s">
        <v>177</v>
      </c>
      <c r="H228" s="79" t="s">
        <v>213</v>
      </c>
      <c r="I228" s="97" t="s">
        <v>649</v>
      </c>
      <c r="J228" s="73">
        <f t="shared" si="20"/>
        <v>1</v>
      </c>
      <c r="K228" s="74" t="s">
        <v>204</v>
      </c>
      <c r="L228" s="97" t="s">
        <v>1344</v>
      </c>
      <c r="M228" s="79">
        <v>0</v>
      </c>
      <c r="N228" s="76" t="s">
        <v>17</v>
      </c>
      <c r="O228" s="111">
        <v>233024.12</v>
      </c>
      <c r="Q228" s="301" t="s">
        <v>1970</v>
      </c>
      <c r="R228" s="73">
        <f t="shared" si="21"/>
        <v>1</v>
      </c>
      <c r="S228" s="260" t="s">
        <v>1976</v>
      </c>
      <c r="T228" s="260"/>
      <c r="U228" s="260"/>
      <c r="V228" s="260"/>
      <c r="W228" s="260"/>
      <c r="X228" s="260"/>
      <c r="Y228" s="565"/>
      <c r="Z228" s="565"/>
      <c r="AA228" s="566">
        <f t="shared" si="18"/>
        <v>0</v>
      </c>
      <c r="AB228" s="699"/>
    </row>
    <row r="229" spans="1:28" ht="15.75" customHeight="1" x14ac:dyDescent="0.3">
      <c r="A229" s="66" t="s">
        <v>1961</v>
      </c>
      <c r="B229" s="22" t="s">
        <v>2015</v>
      </c>
      <c r="C229" s="81">
        <v>43784</v>
      </c>
      <c r="D229" s="109">
        <v>43805</v>
      </c>
      <c r="E229" s="560"/>
      <c r="F229" s="86" t="s">
        <v>1962</v>
      </c>
      <c r="G229" s="86" t="s">
        <v>152</v>
      </c>
      <c r="H229" s="79" t="s">
        <v>213</v>
      </c>
      <c r="I229" s="97" t="s">
        <v>649</v>
      </c>
      <c r="J229" s="73">
        <f t="shared" si="20"/>
        <v>1</v>
      </c>
      <c r="K229" s="74" t="s">
        <v>204</v>
      </c>
      <c r="L229" s="97" t="s">
        <v>2022</v>
      </c>
      <c r="M229" s="79">
        <v>0</v>
      </c>
      <c r="N229" s="76" t="s">
        <v>17</v>
      </c>
      <c r="O229" s="111">
        <v>248000</v>
      </c>
      <c r="Q229" s="301" t="s">
        <v>1881</v>
      </c>
      <c r="R229" s="73">
        <f t="shared" si="21"/>
        <v>1</v>
      </c>
      <c r="S229" s="260" t="s">
        <v>1976</v>
      </c>
      <c r="T229" s="260"/>
      <c r="U229" s="260"/>
      <c r="V229" s="260"/>
      <c r="W229" s="260"/>
      <c r="X229" s="260"/>
      <c r="Y229" s="565"/>
      <c r="Z229" s="565"/>
      <c r="AA229" s="566">
        <f t="shared" si="18"/>
        <v>0</v>
      </c>
      <c r="AB229" s="699"/>
    </row>
    <row r="230" spans="1:28" ht="15.75" customHeight="1" x14ac:dyDescent="0.3">
      <c r="A230" s="66" t="s">
        <v>1963</v>
      </c>
      <c r="B230" s="22" t="s">
        <v>2016</v>
      </c>
      <c r="C230" s="81">
        <v>43784</v>
      </c>
      <c r="D230" s="109">
        <v>43805</v>
      </c>
      <c r="E230" s="560"/>
      <c r="F230" s="86" t="s">
        <v>1964</v>
      </c>
      <c r="G230" s="86" t="s">
        <v>147</v>
      </c>
      <c r="H230" s="79" t="s">
        <v>213</v>
      </c>
      <c r="I230" s="97" t="s">
        <v>642</v>
      </c>
      <c r="J230" s="73">
        <f t="shared" si="20"/>
        <v>1</v>
      </c>
      <c r="K230" s="74" t="s">
        <v>204</v>
      </c>
      <c r="L230" s="97" t="s">
        <v>2024</v>
      </c>
      <c r="M230" s="79">
        <v>0</v>
      </c>
      <c r="N230" s="76" t="s">
        <v>19</v>
      </c>
      <c r="Q230" s="301" t="s">
        <v>2004</v>
      </c>
      <c r="R230" s="73">
        <f t="shared" si="21"/>
        <v>1</v>
      </c>
      <c r="S230" s="260" t="s">
        <v>1976</v>
      </c>
      <c r="T230" s="260"/>
      <c r="U230" s="260"/>
      <c r="V230" s="260"/>
      <c r="W230" s="260"/>
      <c r="X230" s="260"/>
      <c r="Y230" s="565"/>
      <c r="Z230" s="565"/>
      <c r="AA230" s="566">
        <f t="shared" si="18"/>
        <v>0</v>
      </c>
      <c r="AB230" s="699"/>
    </row>
    <row r="231" spans="1:28" ht="15.75" customHeight="1" x14ac:dyDescent="0.3">
      <c r="A231" s="66" t="s">
        <v>1965</v>
      </c>
      <c r="B231" s="22" t="s">
        <v>2017</v>
      </c>
      <c r="C231" s="81">
        <v>43784</v>
      </c>
      <c r="D231" s="109">
        <v>43805</v>
      </c>
      <c r="E231" s="560"/>
      <c r="F231" s="252" t="s">
        <v>1966</v>
      </c>
      <c r="G231" s="86" t="s">
        <v>152</v>
      </c>
      <c r="H231" s="79" t="s">
        <v>213</v>
      </c>
      <c r="I231" s="97" t="s">
        <v>657</v>
      </c>
      <c r="J231" s="73">
        <f t="shared" si="20"/>
        <v>1</v>
      </c>
      <c r="K231" s="74" t="s">
        <v>204</v>
      </c>
      <c r="L231" s="97" t="s">
        <v>2023</v>
      </c>
      <c r="M231" s="79">
        <v>0</v>
      </c>
      <c r="N231" s="76" t="s">
        <v>19</v>
      </c>
      <c r="Q231" s="301" t="s">
        <v>1970</v>
      </c>
      <c r="R231" s="73">
        <f t="shared" si="21"/>
        <v>1</v>
      </c>
      <c r="S231" s="260" t="s">
        <v>1976</v>
      </c>
      <c r="T231" s="260"/>
      <c r="U231" s="260"/>
      <c r="V231" s="260"/>
      <c r="W231" s="260"/>
      <c r="X231" s="260"/>
      <c r="Y231" s="565"/>
      <c r="Z231" s="565"/>
      <c r="AA231" s="566">
        <f t="shared" si="18"/>
        <v>0</v>
      </c>
      <c r="AB231" s="699"/>
    </row>
    <row r="232" spans="1:28" ht="15.75" customHeight="1" x14ac:dyDescent="0.3">
      <c r="A232" s="66" t="s">
        <v>2028</v>
      </c>
      <c r="B232" s="22" t="s">
        <v>2032</v>
      </c>
      <c r="C232" s="81">
        <v>43787</v>
      </c>
      <c r="D232" s="109">
        <v>43809</v>
      </c>
      <c r="E232" s="560"/>
      <c r="F232" s="86" t="s">
        <v>2029</v>
      </c>
      <c r="G232" s="86" t="s">
        <v>172</v>
      </c>
      <c r="H232" s="79" t="s">
        <v>213</v>
      </c>
      <c r="I232" s="97" t="s">
        <v>1104</v>
      </c>
      <c r="J232" s="73">
        <f t="shared" si="20"/>
        <v>1</v>
      </c>
      <c r="K232" s="74" t="s">
        <v>204</v>
      </c>
      <c r="L232" s="97" t="s">
        <v>2034</v>
      </c>
      <c r="M232" s="79">
        <v>0</v>
      </c>
      <c r="N232" s="76" t="s">
        <v>19</v>
      </c>
      <c r="Q232" s="301" t="s">
        <v>1977</v>
      </c>
      <c r="R232" s="73">
        <f t="shared" si="21"/>
        <v>1</v>
      </c>
      <c r="S232" s="260" t="s">
        <v>1976</v>
      </c>
      <c r="T232" s="260"/>
      <c r="U232" s="260"/>
      <c r="V232" s="260"/>
      <c r="W232" s="260"/>
      <c r="X232" s="260"/>
      <c r="Y232" s="565"/>
      <c r="Z232" s="565"/>
      <c r="AA232" s="566">
        <f t="shared" si="18"/>
        <v>0</v>
      </c>
      <c r="AB232" s="699"/>
    </row>
    <row r="233" spans="1:28" ht="15.75" customHeight="1" x14ac:dyDescent="0.3">
      <c r="A233" s="66" t="s">
        <v>2030</v>
      </c>
      <c r="B233" s="22" t="s">
        <v>2033</v>
      </c>
      <c r="C233" s="81">
        <v>43787</v>
      </c>
      <c r="D233" s="109">
        <v>43809</v>
      </c>
      <c r="E233" s="560"/>
      <c r="F233" s="86" t="s">
        <v>2031</v>
      </c>
      <c r="G233" s="86" t="s">
        <v>150</v>
      </c>
      <c r="H233" s="79" t="s">
        <v>213</v>
      </c>
      <c r="I233" s="97" t="s">
        <v>645</v>
      </c>
      <c r="J233" s="73">
        <f t="shared" si="20"/>
        <v>1</v>
      </c>
      <c r="K233" s="74" t="s">
        <v>204</v>
      </c>
      <c r="L233" s="97" t="s">
        <v>2197</v>
      </c>
      <c r="M233" s="79">
        <v>0</v>
      </c>
      <c r="N233" s="76" t="s">
        <v>18</v>
      </c>
      <c r="Q233" s="301" t="s">
        <v>1977</v>
      </c>
      <c r="R233" s="73">
        <f t="shared" si="21"/>
        <v>1</v>
      </c>
      <c r="S233" s="260" t="s">
        <v>1976</v>
      </c>
      <c r="T233" s="260"/>
      <c r="U233" s="260"/>
      <c r="V233" s="260"/>
      <c r="W233" s="260"/>
      <c r="X233" s="260"/>
      <c r="Y233" s="565"/>
      <c r="Z233" s="565"/>
      <c r="AA233" s="566">
        <f t="shared" si="18"/>
        <v>0</v>
      </c>
      <c r="AB233" s="699"/>
    </row>
    <row r="234" spans="1:28" ht="15.75" customHeight="1" x14ac:dyDescent="0.3">
      <c r="A234" s="66" t="s">
        <v>2035</v>
      </c>
      <c r="C234" s="81">
        <v>43756</v>
      </c>
      <c r="D234" s="109">
        <v>43808</v>
      </c>
      <c r="E234" s="560"/>
      <c r="F234" s="86" t="s">
        <v>2036</v>
      </c>
      <c r="G234" s="86" t="s">
        <v>156</v>
      </c>
      <c r="H234" s="79" t="s">
        <v>213</v>
      </c>
      <c r="J234" s="73">
        <f t="shared" si="20"/>
        <v>1</v>
      </c>
      <c r="K234" s="74" t="s">
        <v>204</v>
      </c>
      <c r="Q234" s="76" t="s">
        <v>2037</v>
      </c>
      <c r="R234" s="73">
        <f t="shared" si="21"/>
        <v>1</v>
      </c>
      <c r="S234" s="260" t="s">
        <v>1976</v>
      </c>
      <c r="T234" s="260"/>
      <c r="U234" s="260"/>
      <c r="V234" s="260"/>
      <c r="W234" s="260"/>
      <c r="X234" s="260"/>
      <c r="Y234" s="565"/>
      <c r="Z234" s="565"/>
      <c r="AA234" s="566">
        <f t="shared" si="18"/>
        <v>0</v>
      </c>
      <c r="AB234" s="699"/>
    </row>
    <row r="235" spans="1:28" ht="15.75" customHeight="1" x14ac:dyDescent="0.3">
      <c r="A235" s="66" t="s">
        <v>2038</v>
      </c>
      <c r="C235" s="81">
        <v>43762</v>
      </c>
      <c r="D235" s="109">
        <v>43808</v>
      </c>
      <c r="E235" s="560"/>
      <c r="F235" s="86" t="s">
        <v>2039</v>
      </c>
      <c r="G235" s="86" t="s">
        <v>152</v>
      </c>
      <c r="H235" s="79" t="s">
        <v>213</v>
      </c>
      <c r="I235" s="97" t="s">
        <v>2184</v>
      </c>
      <c r="J235" s="73">
        <f t="shared" si="20"/>
        <v>1</v>
      </c>
      <c r="K235" s="74" t="s">
        <v>204</v>
      </c>
      <c r="L235" s="97" t="s">
        <v>2185</v>
      </c>
      <c r="M235" s="79">
        <v>0</v>
      </c>
      <c r="N235" s="76" t="s">
        <v>17</v>
      </c>
      <c r="O235" s="111">
        <v>23377</v>
      </c>
      <c r="Q235" s="76" t="s">
        <v>2037</v>
      </c>
      <c r="R235" s="73">
        <f t="shared" si="21"/>
        <v>1</v>
      </c>
      <c r="S235" s="260" t="s">
        <v>1976</v>
      </c>
      <c r="T235" s="260"/>
      <c r="U235" s="260"/>
      <c r="V235" s="260"/>
      <c r="W235" s="260"/>
      <c r="X235" s="260"/>
      <c r="Y235" s="565"/>
      <c r="Z235" s="565"/>
      <c r="AA235" s="566">
        <f t="shared" si="18"/>
        <v>0</v>
      </c>
      <c r="AB235" s="699"/>
    </row>
    <row r="236" spans="1:28" ht="15.75" customHeight="1" x14ac:dyDescent="0.3">
      <c r="A236" s="66" t="s">
        <v>2040</v>
      </c>
      <c r="C236" s="81">
        <v>43762</v>
      </c>
      <c r="D236" s="119">
        <v>43808</v>
      </c>
      <c r="E236" s="560"/>
      <c r="F236" s="86" t="s">
        <v>2041</v>
      </c>
      <c r="G236" s="86" t="s">
        <v>152</v>
      </c>
      <c r="H236" s="79" t="s">
        <v>213</v>
      </c>
      <c r="I236" s="97" t="s">
        <v>2183</v>
      </c>
      <c r="J236" s="73">
        <f t="shared" si="20"/>
        <v>1</v>
      </c>
      <c r="K236" s="74" t="s">
        <v>204</v>
      </c>
      <c r="L236" s="97" t="s">
        <v>2182</v>
      </c>
      <c r="M236" s="79">
        <v>0</v>
      </c>
      <c r="N236" s="76" t="s">
        <v>18</v>
      </c>
      <c r="Q236" s="301" t="s">
        <v>2037</v>
      </c>
      <c r="R236" s="73">
        <f t="shared" si="21"/>
        <v>1</v>
      </c>
      <c r="S236" s="260" t="s">
        <v>1976</v>
      </c>
      <c r="T236" s="260"/>
      <c r="U236" s="260"/>
      <c r="V236" s="260"/>
      <c r="W236" s="260"/>
      <c r="X236" s="260"/>
      <c r="Y236" s="565"/>
      <c r="Z236" s="565"/>
      <c r="AA236" s="566">
        <f t="shared" si="18"/>
        <v>0</v>
      </c>
      <c r="AB236" s="699"/>
    </row>
    <row r="237" spans="1:28" ht="15.75" customHeight="1" x14ac:dyDescent="0.3">
      <c r="A237" s="66" t="s">
        <v>2042</v>
      </c>
      <c r="C237" s="81">
        <v>43770</v>
      </c>
      <c r="D237" s="109">
        <v>43808</v>
      </c>
      <c r="E237" s="560"/>
      <c r="F237" s="86" t="s">
        <v>2043</v>
      </c>
      <c r="G237" s="86" t="s">
        <v>157</v>
      </c>
      <c r="H237" s="79" t="s">
        <v>213</v>
      </c>
      <c r="I237" s="97" t="s">
        <v>642</v>
      </c>
      <c r="J237" s="73">
        <f t="shared" si="20"/>
        <v>1</v>
      </c>
      <c r="K237" s="74" t="s">
        <v>204</v>
      </c>
      <c r="L237" s="97" t="s">
        <v>2186</v>
      </c>
      <c r="M237" s="79">
        <v>0</v>
      </c>
      <c r="N237" s="76" t="s">
        <v>18</v>
      </c>
      <c r="Q237" s="76" t="s">
        <v>2037</v>
      </c>
      <c r="R237" s="73">
        <f t="shared" si="21"/>
        <v>1</v>
      </c>
      <c r="S237" s="260" t="s">
        <v>1976</v>
      </c>
      <c r="T237" s="260"/>
      <c r="U237" s="260"/>
      <c r="V237" s="260"/>
      <c r="W237" s="260"/>
      <c r="X237" s="260"/>
      <c r="Y237" s="565"/>
      <c r="Z237" s="565"/>
      <c r="AA237" s="566">
        <f t="shared" si="18"/>
        <v>0</v>
      </c>
      <c r="AB237" s="699"/>
    </row>
    <row r="238" spans="1:28" ht="15.75" customHeight="1" x14ac:dyDescent="0.3">
      <c r="A238" s="66" t="s">
        <v>2044</v>
      </c>
      <c r="C238" s="81">
        <v>43774</v>
      </c>
      <c r="D238" s="109">
        <v>43809</v>
      </c>
      <c r="E238" s="560"/>
      <c r="F238" s="86" t="s">
        <v>2045</v>
      </c>
      <c r="G238" s="86" t="s">
        <v>158</v>
      </c>
      <c r="H238" s="79" t="s">
        <v>213</v>
      </c>
      <c r="I238" s="97" t="s">
        <v>714</v>
      </c>
      <c r="J238" s="73">
        <f t="shared" si="20"/>
        <v>1</v>
      </c>
      <c r="K238" s="74" t="s">
        <v>204</v>
      </c>
      <c r="L238" s="97" t="s">
        <v>2190</v>
      </c>
      <c r="M238" s="79">
        <v>1</v>
      </c>
      <c r="N238" s="76" t="s">
        <v>17</v>
      </c>
      <c r="O238" s="111">
        <v>6100</v>
      </c>
      <c r="Q238" s="76" t="s">
        <v>2037</v>
      </c>
      <c r="R238" s="73">
        <f t="shared" si="21"/>
        <v>1</v>
      </c>
      <c r="S238" s="260" t="s">
        <v>1976</v>
      </c>
      <c r="T238" s="260"/>
      <c r="U238" s="260"/>
      <c r="V238" s="260"/>
      <c r="W238" s="260"/>
      <c r="X238" s="260"/>
      <c r="Y238" s="565"/>
      <c r="Z238" s="565"/>
      <c r="AA238" s="566">
        <f t="shared" si="18"/>
        <v>0</v>
      </c>
      <c r="AB238" s="699"/>
    </row>
    <row r="239" spans="1:28" ht="15.75" customHeight="1" x14ac:dyDescent="0.3">
      <c r="A239" s="66" t="s">
        <v>2046</v>
      </c>
      <c r="C239" s="81">
        <v>43774</v>
      </c>
      <c r="D239" s="109">
        <v>43810</v>
      </c>
      <c r="E239" s="560"/>
      <c r="F239" s="86" t="s">
        <v>2047</v>
      </c>
      <c r="G239" s="86" t="s">
        <v>154</v>
      </c>
      <c r="H239" s="79" t="s">
        <v>213</v>
      </c>
      <c r="J239" s="73">
        <f t="shared" si="20"/>
        <v>1</v>
      </c>
      <c r="K239" s="74" t="s">
        <v>204</v>
      </c>
      <c r="Q239" s="76" t="s">
        <v>2037</v>
      </c>
      <c r="R239" s="73">
        <f t="shared" si="21"/>
        <v>1</v>
      </c>
      <c r="S239" s="260" t="s">
        <v>1976</v>
      </c>
      <c r="T239" s="260"/>
      <c r="U239" s="260"/>
      <c r="V239" s="260"/>
      <c r="W239" s="260"/>
      <c r="X239" s="260"/>
      <c r="Y239" s="565"/>
      <c r="Z239" s="565"/>
      <c r="AA239" s="566">
        <f t="shared" si="18"/>
        <v>0</v>
      </c>
      <c r="AB239" s="699"/>
    </row>
    <row r="240" spans="1:28" ht="15.75" customHeight="1" x14ac:dyDescent="0.3">
      <c r="A240" s="66" t="s">
        <v>2048</v>
      </c>
      <c r="C240" s="81">
        <v>43776</v>
      </c>
      <c r="D240" s="109">
        <v>43811</v>
      </c>
      <c r="E240" s="560"/>
      <c r="F240" s="86" t="s">
        <v>2049</v>
      </c>
      <c r="G240" s="86" t="s">
        <v>156</v>
      </c>
      <c r="H240" s="79" t="s">
        <v>213</v>
      </c>
      <c r="J240" s="73">
        <f t="shared" si="20"/>
        <v>1</v>
      </c>
      <c r="K240" s="74" t="s">
        <v>204</v>
      </c>
      <c r="Q240" s="76" t="s">
        <v>2037</v>
      </c>
      <c r="R240" s="73">
        <f t="shared" si="21"/>
        <v>1</v>
      </c>
      <c r="S240" s="260" t="s">
        <v>1976</v>
      </c>
      <c r="T240" s="260"/>
      <c r="U240" s="260"/>
      <c r="V240" s="260"/>
      <c r="W240" s="260"/>
      <c r="X240" s="260"/>
      <c r="Y240" s="565"/>
      <c r="Z240" s="565"/>
      <c r="AA240" s="566">
        <f t="shared" si="18"/>
        <v>0</v>
      </c>
      <c r="AB240" s="699"/>
    </row>
    <row r="241" spans="1:28" ht="15.75" customHeight="1" x14ac:dyDescent="0.3">
      <c r="A241" s="66" t="s">
        <v>2052</v>
      </c>
      <c r="C241" s="81">
        <v>43787</v>
      </c>
      <c r="D241" s="109">
        <v>43809</v>
      </c>
      <c r="E241" s="560"/>
      <c r="F241" s="86" t="s">
        <v>2053</v>
      </c>
      <c r="G241" s="86" t="s">
        <v>156</v>
      </c>
      <c r="H241" s="79" t="s">
        <v>213</v>
      </c>
      <c r="I241" s="97" t="s">
        <v>642</v>
      </c>
      <c r="J241" s="73">
        <f t="shared" si="20"/>
        <v>1</v>
      </c>
      <c r="K241" s="74" t="s">
        <v>204</v>
      </c>
      <c r="L241" s="97" t="s">
        <v>2191</v>
      </c>
      <c r="M241" s="79">
        <v>0</v>
      </c>
      <c r="N241" s="76" t="s">
        <v>19</v>
      </c>
      <c r="Q241" s="76" t="s">
        <v>2037</v>
      </c>
      <c r="R241" s="73">
        <f t="shared" si="21"/>
        <v>1</v>
      </c>
      <c r="S241" s="260" t="s">
        <v>1976</v>
      </c>
      <c r="T241" s="260"/>
      <c r="U241" s="260"/>
      <c r="V241" s="260"/>
      <c r="W241" s="260"/>
      <c r="X241" s="260"/>
      <c r="Y241" s="565"/>
      <c r="Z241" s="565"/>
      <c r="AA241" s="566">
        <f t="shared" si="18"/>
        <v>0</v>
      </c>
      <c r="AB241" s="699"/>
    </row>
    <row r="242" spans="1:28" ht="15.75" customHeight="1" x14ac:dyDescent="0.3">
      <c r="A242" s="66" t="s">
        <v>2056</v>
      </c>
      <c r="C242" s="81">
        <v>43788</v>
      </c>
      <c r="D242" s="109">
        <v>43810</v>
      </c>
      <c r="E242" s="560"/>
      <c r="F242" s="86" t="s">
        <v>2057</v>
      </c>
      <c r="G242" s="86" t="s">
        <v>152</v>
      </c>
      <c r="H242" s="79" t="s">
        <v>213</v>
      </c>
      <c r="J242" s="73">
        <f t="shared" si="20"/>
        <v>1</v>
      </c>
      <c r="K242" s="74" t="s">
        <v>204</v>
      </c>
      <c r="N242" s="76" t="s">
        <v>19</v>
      </c>
      <c r="Q242" s="76" t="s">
        <v>2037</v>
      </c>
      <c r="R242" s="73">
        <f t="shared" si="21"/>
        <v>1</v>
      </c>
      <c r="S242" s="260" t="s">
        <v>1976</v>
      </c>
      <c r="T242" s="260"/>
      <c r="U242" s="260"/>
      <c r="V242" s="260"/>
      <c r="W242" s="260"/>
      <c r="X242" s="260"/>
      <c r="Y242" s="565"/>
      <c r="Z242" s="565"/>
      <c r="AA242" s="566">
        <f t="shared" si="18"/>
        <v>0</v>
      </c>
      <c r="AB242" s="699"/>
    </row>
    <row r="243" spans="1:28" ht="15.75" customHeight="1" x14ac:dyDescent="0.3">
      <c r="A243" s="66" t="s">
        <v>2062</v>
      </c>
      <c r="C243" s="81">
        <v>43790</v>
      </c>
      <c r="D243" s="109">
        <v>43811</v>
      </c>
      <c r="E243" s="560"/>
      <c r="F243" s="86" t="s">
        <v>2063</v>
      </c>
      <c r="G243" s="86" t="s">
        <v>150</v>
      </c>
      <c r="H243" s="79" t="s">
        <v>213</v>
      </c>
      <c r="J243" s="73">
        <f t="shared" ref="J243:J283" si="22">IF(OR(K243="Документы готовы",K243="Запрос в ФО",K243="ЭЗ",K243="РЕШ",K243="РЕШ шаблон"),0.1,IF(OR(K243="ЭЗ согласование",K243="РЕШ согласование"),0.3,IF(OR(K243="ЭЗ согласовано",K243="РЕШ согласовано",K243="РЕШ подписано"),0.6,IF(OR(K243="ЭЗ ПР согласование",K243="РЕШ УВ согласование"),0.9,IF(OR(K243="ЭЗ ПР DONE",K243="РЕШ УВ DONE"),1,0)))))</f>
        <v>1</v>
      </c>
      <c r="K243" s="74" t="s">
        <v>204</v>
      </c>
      <c r="Q243" s="76" t="s">
        <v>2037</v>
      </c>
      <c r="R243" s="73">
        <f t="shared" ref="R243:R283" si="23">IF(S243="В работе",0.3,IF(S243="Отписано",0.6,IF(S243="На доработку",0.9,IF(S243="Согласовано",1,0))))</f>
        <v>1</v>
      </c>
      <c r="S243" s="260" t="s">
        <v>1976</v>
      </c>
      <c r="T243" s="260"/>
      <c r="U243" s="260"/>
      <c r="V243" s="260"/>
      <c r="W243" s="260"/>
      <c r="X243" s="260"/>
      <c r="Y243" s="565"/>
      <c r="Z243" s="565"/>
      <c r="AA243" s="566">
        <f t="shared" si="18"/>
        <v>0</v>
      </c>
      <c r="AB243" s="699"/>
    </row>
    <row r="244" spans="1:28" ht="15.75" customHeight="1" x14ac:dyDescent="0.3">
      <c r="A244" s="66" t="s">
        <v>2074</v>
      </c>
      <c r="C244" s="81">
        <v>43752</v>
      </c>
      <c r="D244" s="81">
        <v>43810</v>
      </c>
      <c r="E244" s="560"/>
      <c r="F244" s="86" t="s">
        <v>2075</v>
      </c>
      <c r="G244" s="86" t="s">
        <v>152</v>
      </c>
      <c r="H244" s="79" t="s">
        <v>213</v>
      </c>
      <c r="I244" s="97" t="s">
        <v>1635</v>
      </c>
      <c r="J244" s="73">
        <f t="shared" si="22"/>
        <v>1</v>
      </c>
      <c r="K244" s="74" t="s">
        <v>204</v>
      </c>
      <c r="L244" s="97" t="s">
        <v>2199</v>
      </c>
      <c r="M244" s="79">
        <v>0</v>
      </c>
      <c r="N244" s="76" t="s">
        <v>18</v>
      </c>
      <c r="Q244" s="76" t="s">
        <v>2076</v>
      </c>
      <c r="R244" s="73">
        <f t="shared" si="23"/>
        <v>1</v>
      </c>
      <c r="S244" s="260" t="s">
        <v>1976</v>
      </c>
      <c r="T244" s="260"/>
      <c r="U244" s="260"/>
      <c r="V244" s="260"/>
      <c r="W244" s="260"/>
      <c r="X244" s="260"/>
      <c r="Y244" s="565"/>
      <c r="Z244" s="565"/>
      <c r="AA244" s="566">
        <f t="shared" si="18"/>
        <v>0</v>
      </c>
      <c r="AB244" s="699"/>
    </row>
    <row r="245" spans="1:28" ht="15.75" customHeight="1" x14ac:dyDescent="0.3">
      <c r="A245" s="66" t="s">
        <v>2077</v>
      </c>
      <c r="C245" s="81">
        <v>43762</v>
      </c>
      <c r="D245" s="109">
        <v>43808</v>
      </c>
      <c r="E245" s="560"/>
      <c r="F245" s="86" t="s">
        <v>2041</v>
      </c>
      <c r="G245" s="86" t="s">
        <v>152</v>
      </c>
      <c r="H245" s="79" t="s">
        <v>213</v>
      </c>
      <c r="I245" s="97" t="s">
        <v>2178</v>
      </c>
      <c r="J245" s="73">
        <f t="shared" si="22"/>
        <v>1</v>
      </c>
      <c r="K245" s="74" t="s">
        <v>204</v>
      </c>
      <c r="L245" s="97" t="s">
        <v>2179</v>
      </c>
      <c r="M245" s="79">
        <v>0</v>
      </c>
      <c r="N245" s="76" t="s">
        <v>17</v>
      </c>
      <c r="O245" s="111">
        <v>365000</v>
      </c>
      <c r="Q245" s="76" t="s">
        <v>2076</v>
      </c>
      <c r="R245" s="73">
        <f t="shared" si="23"/>
        <v>1</v>
      </c>
      <c r="S245" s="260" t="s">
        <v>1976</v>
      </c>
      <c r="T245" s="260"/>
      <c r="U245" s="260"/>
      <c r="V245" s="260"/>
      <c r="W245" s="260"/>
      <c r="X245" s="260"/>
      <c r="Y245" s="565"/>
      <c r="Z245" s="565"/>
      <c r="AA245" s="566">
        <f t="shared" si="18"/>
        <v>0</v>
      </c>
      <c r="AB245" s="699"/>
    </row>
    <row r="246" spans="1:28" ht="15.75" customHeight="1" x14ac:dyDescent="0.3">
      <c r="A246" s="66" t="s">
        <v>1773</v>
      </c>
      <c r="B246" s="22" t="s">
        <v>1835</v>
      </c>
      <c r="C246" s="81">
        <v>43770</v>
      </c>
      <c r="D246" s="109">
        <v>43809</v>
      </c>
      <c r="E246" s="560"/>
      <c r="F246" s="86" t="s">
        <v>1774</v>
      </c>
      <c r="G246" s="86" t="s">
        <v>152</v>
      </c>
      <c r="H246" s="79" t="s">
        <v>213</v>
      </c>
      <c r="I246" s="97" t="s">
        <v>645</v>
      </c>
      <c r="J246" s="73">
        <f t="shared" si="22"/>
        <v>1</v>
      </c>
      <c r="K246" s="74" t="s">
        <v>204</v>
      </c>
      <c r="L246" s="97" t="s">
        <v>1856</v>
      </c>
      <c r="M246" s="79">
        <v>1</v>
      </c>
      <c r="N246" s="76" t="s">
        <v>17</v>
      </c>
      <c r="Q246" s="76" t="s">
        <v>2076</v>
      </c>
      <c r="R246" s="73">
        <f t="shared" si="23"/>
        <v>1</v>
      </c>
      <c r="S246" s="260" t="s">
        <v>1976</v>
      </c>
      <c r="T246" s="260"/>
      <c r="U246" s="260"/>
      <c r="V246" s="260"/>
      <c r="W246" s="260"/>
      <c r="X246" s="260"/>
      <c r="Y246" s="565"/>
      <c r="Z246" s="565"/>
      <c r="AA246" s="566">
        <f t="shared" si="18"/>
        <v>0</v>
      </c>
      <c r="AB246" s="699"/>
    </row>
    <row r="247" spans="1:28" ht="15.75" customHeight="1" x14ac:dyDescent="0.3">
      <c r="A247" s="66" t="s">
        <v>1775</v>
      </c>
      <c r="B247" s="22" t="s">
        <v>1836</v>
      </c>
      <c r="C247" s="81">
        <v>43770</v>
      </c>
      <c r="D247" s="109">
        <v>43809</v>
      </c>
      <c r="E247" s="560"/>
      <c r="F247" s="86" t="s">
        <v>1776</v>
      </c>
      <c r="G247" s="86" t="s">
        <v>156</v>
      </c>
      <c r="H247" s="79" t="s">
        <v>213</v>
      </c>
      <c r="I247" s="86" t="s">
        <v>1299</v>
      </c>
      <c r="J247" s="73">
        <f t="shared" si="22"/>
        <v>1</v>
      </c>
      <c r="K247" s="74" t="s">
        <v>204</v>
      </c>
      <c r="L247" s="86" t="s">
        <v>1857</v>
      </c>
      <c r="Q247" s="76" t="s">
        <v>2076</v>
      </c>
      <c r="R247" s="73">
        <f t="shared" si="23"/>
        <v>1</v>
      </c>
      <c r="S247" s="260" t="s">
        <v>1976</v>
      </c>
      <c r="T247" s="260"/>
      <c r="U247" s="260"/>
      <c r="V247" s="260"/>
      <c r="W247" s="260"/>
      <c r="X247" s="260"/>
      <c r="Y247" s="565"/>
      <c r="Z247" s="565"/>
      <c r="AA247" s="566">
        <f t="shared" si="18"/>
        <v>0</v>
      </c>
      <c r="AB247" s="699"/>
    </row>
    <row r="248" spans="1:28" ht="15.75" customHeight="1" x14ac:dyDescent="0.3">
      <c r="A248" s="66" t="s">
        <v>1785</v>
      </c>
      <c r="B248" s="22" t="s">
        <v>1831</v>
      </c>
      <c r="C248" s="81">
        <v>43770</v>
      </c>
      <c r="D248" s="109">
        <v>43808</v>
      </c>
      <c r="E248" s="560"/>
      <c r="F248" s="86" t="s">
        <v>1786</v>
      </c>
      <c r="G248" s="86" t="s">
        <v>154</v>
      </c>
      <c r="H248" s="79" t="s">
        <v>213</v>
      </c>
      <c r="I248" s="97" t="s">
        <v>645</v>
      </c>
      <c r="J248" s="73">
        <f t="shared" si="22"/>
        <v>1</v>
      </c>
      <c r="K248" s="74" t="s">
        <v>204</v>
      </c>
      <c r="L248" s="97" t="s">
        <v>1850</v>
      </c>
      <c r="M248" s="79">
        <v>1</v>
      </c>
      <c r="N248" s="76" t="s">
        <v>17</v>
      </c>
      <c r="Q248" s="76" t="s">
        <v>2076</v>
      </c>
      <c r="R248" s="73">
        <f t="shared" si="23"/>
        <v>1</v>
      </c>
      <c r="S248" s="260" t="s">
        <v>1976</v>
      </c>
      <c r="T248" s="260"/>
      <c r="U248" s="260"/>
      <c r="V248" s="260"/>
      <c r="W248" s="260"/>
      <c r="X248" s="260"/>
      <c r="Y248" s="565"/>
      <c r="Z248" s="565"/>
      <c r="AA248" s="566">
        <f t="shared" si="18"/>
        <v>0</v>
      </c>
      <c r="AB248" s="699"/>
    </row>
    <row r="249" spans="1:28" ht="15.75" customHeight="1" x14ac:dyDescent="0.3">
      <c r="A249" s="66" t="s">
        <v>1805</v>
      </c>
      <c r="B249" s="22" t="s">
        <v>1845</v>
      </c>
      <c r="C249" s="81">
        <v>43775</v>
      </c>
      <c r="D249" s="109">
        <v>43810</v>
      </c>
      <c r="E249" s="560"/>
      <c r="F249" s="86" t="s">
        <v>1806</v>
      </c>
      <c r="G249" s="86" t="s">
        <v>164</v>
      </c>
      <c r="H249" s="79" t="s">
        <v>213</v>
      </c>
      <c r="I249" s="86" t="s">
        <v>714</v>
      </c>
      <c r="J249" s="73">
        <f t="shared" si="22"/>
        <v>1</v>
      </c>
      <c r="K249" s="74" t="s">
        <v>204</v>
      </c>
      <c r="L249" s="86" t="s">
        <v>370</v>
      </c>
      <c r="Q249" s="76" t="s">
        <v>2076</v>
      </c>
      <c r="R249" s="73">
        <f t="shared" si="23"/>
        <v>1</v>
      </c>
      <c r="S249" s="260" t="s">
        <v>1976</v>
      </c>
      <c r="T249" s="260"/>
      <c r="U249" s="260"/>
      <c r="V249" s="260"/>
      <c r="W249" s="260"/>
      <c r="X249" s="260"/>
      <c r="Y249" s="565"/>
      <c r="Z249" s="565"/>
      <c r="AA249" s="566">
        <f t="shared" si="18"/>
        <v>0</v>
      </c>
      <c r="AB249" s="699"/>
    </row>
    <row r="250" spans="1:28" ht="15.75" customHeight="1" x14ac:dyDescent="0.3">
      <c r="A250" s="66" t="s">
        <v>2078</v>
      </c>
      <c r="C250" s="81">
        <v>43775</v>
      </c>
      <c r="D250" s="109">
        <v>43811</v>
      </c>
      <c r="E250" s="560"/>
      <c r="F250" s="86" t="s">
        <v>2079</v>
      </c>
      <c r="G250" s="86" t="s">
        <v>152</v>
      </c>
      <c r="H250" s="79" t="s">
        <v>213</v>
      </c>
      <c r="J250" s="73">
        <f t="shared" si="22"/>
        <v>1</v>
      </c>
      <c r="K250" s="74" t="s">
        <v>204</v>
      </c>
      <c r="Q250" s="76" t="s">
        <v>2076</v>
      </c>
      <c r="R250" s="73">
        <f t="shared" si="23"/>
        <v>1</v>
      </c>
      <c r="S250" s="260" t="s">
        <v>1976</v>
      </c>
      <c r="T250" s="260"/>
      <c r="U250" s="260"/>
      <c r="V250" s="260"/>
      <c r="W250" s="260"/>
      <c r="X250" s="260"/>
      <c r="Y250" s="565"/>
      <c r="Z250" s="565"/>
      <c r="AA250" s="566">
        <f t="shared" si="18"/>
        <v>0</v>
      </c>
      <c r="AB250" s="699"/>
    </row>
    <row r="251" spans="1:28" ht="15.75" customHeight="1" x14ac:dyDescent="0.3">
      <c r="A251" s="66" t="s">
        <v>2080</v>
      </c>
      <c r="C251" s="81">
        <v>43775</v>
      </c>
      <c r="D251" s="109">
        <v>43811</v>
      </c>
      <c r="E251" s="560"/>
      <c r="F251" s="86" t="s">
        <v>2081</v>
      </c>
      <c r="G251" s="86" t="s">
        <v>173</v>
      </c>
      <c r="H251" s="79" t="s">
        <v>213</v>
      </c>
      <c r="J251" s="73">
        <f t="shared" si="22"/>
        <v>1</v>
      </c>
      <c r="K251" s="74" t="s">
        <v>204</v>
      </c>
      <c r="Q251" s="76" t="s">
        <v>2076</v>
      </c>
      <c r="R251" s="73">
        <f t="shared" si="23"/>
        <v>1</v>
      </c>
      <c r="S251" s="260" t="s">
        <v>1976</v>
      </c>
      <c r="T251" s="260"/>
      <c r="U251" s="260"/>
      <c r="V251" s="260"/>
      <c r="W251" s="260"/>
      <c r="X251" s="260"/>
      <c r="Y251" s="565"/>
      <c r="Z251" s="565"/>
      <c r="AA251" s="566">
        <f t="shared" si="18"/>
        <v>0</v>
      </c>
      <c r="AB251" s="699"/>
    </row>
    <row r="252" spans="1:28" ht="15.75" customHeight="1" x14ac:dyDescent="0.3">
      <c r="A252" s="66" t="s">
        <v>2082</v>
      </c>
      <c r="C252" s="81">
        <v>43775</v>
      </c>
      <c r="D252" s="109">
        <v>43811</v>
      </c>
      <c r="E252" s="560"/>
      <c r="F252" s="86" t="s">
        <v>2083</v>
      </c>
      <c r="G252" s="86" t="s">
        <v>147</v>
      </c>
      <c r="H252" s="79" t="s">
        <v>213</v>
      </c>
      <c r="J252" s="73">
        <f t="shared" si="22"/>
        <v>1</v>
      </c>
      <c r="K252" s="74" t="s">
        <v>204</v>
      </c>
      <c r="Q252" s="76" t="s">
        <v>2076</v>
      </c>
      <c r="R252" s="73">
        <f t="shared" si="23"/>
        <v>1</v>
      </c>
      <c r="S252" s="260" t="s">
        <v>1976</v>
      </c>
      <c r="T252" s="260"/>
      <c r="U252" s="260"/>
      <c r="V252" s="260"/>
      <c r="W252" s="260"/>
      <c r="X252" s="260"/>
      <c r="Y252" s="565"/>
      <c r="Z252" s="565"/>
      <c r="AA252" s="566">
        <f t="shared" si="18"/>
        <v>0</v>
      </c>
      <c r="AB252" s="699"/>
    </row>
    <row r="253" spans="1:28" ht="15.75" customHeight="1" x14ac:dyDescent="0.3">
      <c r="A253" s="66" t="s">
        <v>1817</v>
      </c>
      <c r="B253" s="22" t="s">
        <v>1890</v>
      </c>
      <c r="C253" s="81">
        <v>43775</v>
      </c>
      <c r="D253" s="109">
        <v>43811</v>
      </c>
      <c r="E253" s="560"/>
      <c r="F253" s="86" t="s">
        <v>1818</v>
      </c>
      <c r="G253" s="86" t="s">
        <v>158</v>
      </c>
      <c r="H253" s="79" t="s">
        <v>213</v>
      </c>
      <c r="J253" s="73">
        <f t="shared" si="22"/>
        <v>1</v>
      </c>
      <c r="K253" s="74" t="s">
        <v>204</v>
      </c>
      <c r="L253" s="86" t="s">
        <v>370</v>
      </c>
      <c r="Q253" s="76" t="s">
        <v>2076</v>
      </c>
      <c r="R253" s="73">
        <f t="shared" si="23"/>
        <v>1</v>
      </c>
      <c r="S253" s="260" t="s">
        <v>1976</v>
      </c>
      <c r="T253" s="260"/>
      <c r="U253" s="260"/>
      <c r="V253" s="260"/>
      <c r="W253" s="260"/>
      <c r="X253" s="260"/>
      <c r="Y253" s="565"/>
      <c r="Z253" s="565"/>
      <c r="AA253" s="566">
        <f t="shared" si="18"/>
        <v>0</v>
      </c>
      <c r="AB253" s="699"/>
    </row>
    <row r="254" spans="1:28" ht="15.75" customHeight="1" x14ac:dyDescent="0.3">
      <c r="A254" s="66" t="s">
        <v>1825</v>
      </c>
      <c r="C254" s="81">
        <v>43776</v>
      </c>
      <c r="D254" s="109">
        <v>43812</v>
      </c>
      <c r="E254" s="560"/>
      <c r="F254" s="86" t="s">
        <v>1826</v>
      </c>
      <c r="G254" s="86" t="s">
        <v>156</v>
      </c>
      <c r="H254" s="79" t="s">
        <v>213</v>
      </c>
      <c r="J254" s="73">
        <f t="shared" si="22"/>
        <v>1</v>
      </c>
      <c r="K254" s="74" t="s">
        <v>204</v>
      </c>
      <c r="Q254" s="76" t="s">
        <v>2076</v>
      </c>
      <c r="R254" s="73">
        <f t="shared" si="23"/>
        <v>1</v>
      </c>
      <c r="S254" s="260" t="s">
        <v>1976</v>
      </c>
      <c r="T254" s="260"/>
      <c r="U254" s="260"/>
      <c r="V254" s="260"/>
      <c r="W254" s="260"/>
      <c r="X254" s="260"/>
      <c r="Y254" s="565"/>
      <c r="Z254" s="565"/>
      <c r="AA254" s="566">
        <f t="shared" si="18"/>
        <v>0</v>
      </c>
      <c r="AB254" s="699"/>
    </row>
    <row r="255" spans="1:28" ht="15.75" customHeight="1" x14ac:dyDescent="0.3">
      <c r="A255" s="66" t="s">
        <v>2086</v>
      </c>
      <c r="C255" s="81">
        <v>43784</v>
      </c>
      <c r="D255" s="109">
        <v>43808</v>
      </c>
      <c r="E255" s="560"/>
      <c r="F255" s="86" t="s">
        <v>2087</v>
      </c>
      <c r="G255" s="86" t="s">
        <v>410</v>
      </c>
      <c r="H255" s="79" t="s">
        <v>213</v>
      </c>
      <c r="I255" s="97" t="s">
        <v>995</v>
      </c>
      <c r="J255" s="73">
        <f t="shared" si="22"/>
        <v>1</v>
      </c>
      <c r="K255" s="74" t="s">
        <v>204</v>
      </c>
      <c r="L255" s="97" t="s">
        <v>2003</v>
      </c>
      <c r="M255" s="79">
        <v>0</v>
      </c>
      <c r="N255" s="76" t="s">
        <v>19</v>
      </c>
      <c r="Q255" s="76" t="s">
        <v>2076</v>
      </c>
      <c r="R255" s="73">
        <f t="shared" si="23"/>
        <v>1</v>
      </c>
      <c r="S255" s="260" t="s">
        <v>1976</v>
      </c>
      <c r="T255" s="260"/>
      <c r="U255" s="260"/>
      <c r="V255" s="260"/>
      <c r="W255" s="260"/>
      <c r="X255" s="260"/>
      <c r="Y255" s="565"/>
      <c r="Z255" s="565"/>
      <c r="AA255" s="566">
        <f t="shared" si="18"/>
        <v>0</v>
      </c>
      <c r="AB255" s="699"/>
    </row>
    <row r="256" spans="1:28" ht="15.75" customHeight="1" x14ac:dyDescent="0.3">
      <c r="A256" s="66" t="s">
        <v>2088</v>
      </c>
      <c r="C256" s="81">
        <v>43784</v>
      </c>
      <c r="D256" s="109">
        <v>43808</v>
      </c>
      <c r="E256" s="560"/>
      <c r="F256" s="86" t="s">
        <v>2089</v>
      </c>
      <c r="G256" s="86" t="s">
        <v>152</v>
      </c>
      <c r="H256" s="79" t="s">
        <v>213</v>
      </c>
      <c r="I256" s="97" t="s">
        <v>854</v>
      </c>
      <c r="J256" s="73">
        <f t="shared" si="22"/>
        <v>1</v>
      </c>
      <c r="K256" s="74" t="s">
        <v>204</v>
      </c>
      <c r="M256" s="79">
        <v>0</v>
      </c>
      <c r="N256" s="76" t="s">
        <v>18</v>
      </c>
      <c r="Q256" s="76" t="s">
        <v>2076</v>
      </c>
      <c r="R256" s="73">
        <f t="shared" si="23"/>
        <v>1</v>
      </c>
      <c r="S256" s="260" t="s">
        <v>1976</v>
      </c>
      <c r="T256" s="260"/>
      <c r="U256" s="260"/>
      <c r="V256" s="260"/>
      <c r="W256" s="260"/>
      <c r="X256" s="260"/>
      <c r="Y256" s="565"/>
      <c r="Z256" s="565"/>
      <c r="AA256" s="566">
        <f t="shared" si="18"/>
        <v>0</v>
      </c>
      <c r="AB256" s="699"/>
    </row>
    <row r="257" spans="1:28" ht="15.75" customHeight="1" x14ac:dyDescent="0.3">
      <c r="A257" s="66" t="s">
        <v>2098</v>
      </c>
      <c r="C257" s="81">
        <v>43790</v>
      </c>
      <c r="D257" s="109">
        <v>43812</v>
      </c>
      <c r="E257" s="560"/>
      <c r="F257" s="86" t="s">
        <v>2099</v>
      </c>
      <c r="G257" s="86" t="s">
        <v>1384</v>
      </c>
      <c r="H257" s="79" t="s">
        <v>213</v>
      </c>
      <c r="J257" s="73">
        <f t="shared" si="22"/>
        <v>1</v>
      </c>
      <c r="K257" s="74" t="s">
        <v>204</v>
      </c>
      <c r="Q257" s="76" t="s">
        <v>2076</v>
      </c>
      <c r="R257" s="73">
        <f t="shared" si="23"/>
        <v>1</v>
      </c>
      <c r="S257" s="260" t="s">
        <v>1976</v>
      </c>
      <c r="T257" s="260"/>
      <c r="U257" s="260"/>
      <c r="V257" s="260"/>
      <c r="W257" s="260"/>
      <c r="X257" s="260"/>
      <c r="Y257" s="565"/>
      <c r="Z257" s="565"/>
      <c r="AA257" s="566">
        <f t="shared" si="18"/>
        <v>0</v>
      </c>
      <c r="AB257" s="699"/>
    </row>
    <row r="258" spans="1:28" ht="15.75" customHeight="1" x14ac:dyDescent="0.3">
      <c r="A258" s="66" t="s">
        <v>2105</v>
      </c>
      <c r="C258" s="81">
        <v>43790</v>
      </c>
      <c r="D258" s="109">
        <v>43812</v>
      </c>
      <c r="E258" s="560"/>
      <c r="F258" s="86" t="s">
        <v>2106</v>
      </c>
      <c r="G258" s="86" t="s">
        <v>150</v>
      </c>
      <c r="H258" s="79" t="s">
        <v>213</v>
      </c>
      <c r="J258" s="73">
        <f t="shared" si="22"/>
        <v>1</v>
      </c>
      <c r="K258" s="74" t="s">
        <v>204</v>
      </c>
      <c r="Q258" s="76" t="s">
        <v>2076</v>
      </c>
      <c r="R258" s="73">
        <f t="shared" si="23"/>
        <v>1</v>
      </c>
      <c r="S258" s="260" t="s">
        <v>1976</v>
      </c>
      <c r="T258" s="260"/>
      <c r="U258" s="260"/>
      <c r="V258" s="260"/>
      <c r="W258" s="260"/>
      <c r="X258" s="260"/>
      <c r="Y258" s="565"/>
      <c r="Z258" s="565"/>
      <c r="AA258" s="566">
        <f t="shared" ref="AA258:AA321" si="24">Z258-Y258</f>
        <v>0</v>
      </c>
      <c r="AB258" s="699"/>
    </row>
    <row r="259" spans="1:28" ht="15.75" customHeight="1" x14ac:dyDescent="0.3">
      <c r="A259" s="66" t="s">
        <v>2107</v>
      </c>
      <c r="C259" s="81">
        <v>43767</v>
      </c>
      <c r="D259" s="109">
        <v>43811</v>
      </c>
      <c r="E259" s="560"/>
      <c r="F259" s="86" t="s">
        <v>2108</v>
      </c>
      <c r="G259" s="86" t="s">
        <v>152</v>
      </c>
      <c r="H259" s="79" t="s">
        <v>213</v>
      </c>
      <c r="I259" s="97" t="s">
        <v>2200</v>
      </c>
      <c r="J259" s="73">
        <f t="shared" si="22"/>
        <v>1</v>
      </c>
      <c r="K259" s="74" t="s">
        <v>204</v>
      </c>
      <c r="L259" s="97" t="s">
        <v>2201</v>
      </c>
      <c r="N259" s="76" t="s">
        <v>18</v>
      </c>
      <c r="Q259" s="76" t="s">
        <v>2109</v>
      </c>
      <c r="R259" s="73">
        <f t="shared" si="23"/>
        <v>1</v>
      </c>
      <c r="S259" s="260" t="s">
        <v>1976</v>
      </c>
      <c r="T259" s="260"/>
      <c r="U259" s="260"/>
      <c r="V259" s="260"/>
      <c r="W259" s="260"/>
      <c r="X259" s="260"/>
      <c r="Y259" s="565"/>
      <c r="Z259" s="565"/>
      <c r="AA259" s="566">
        <f t="shared" si="24"/>
        <v>0</v>
      </c>
      <c r="AB259" s="699"/>
    </row>
    <row r="260" spans="1:28" ht="15.75" customHeight="1" x14ac:dyDescent="0.3">
      <c r="A260" s="66" t="s">
        <v>1797</v>
      </c>
      <c r="B260" s="22" t="s">
        <v>1841</v>
      </c>
      <c r="C260" s="81">
        <v>43775</v>
      </c>
      <c r="D260" s="109">
        <v>43810</v>
      </c>
      <c r="E260" s="560"/>
      <c r="F260" s="86" t="s">
        <v>1798</v>
      </c>
      <c r="G260" s="86" t="s">
        <v>150</v>
      </c>
      <c r="H260" s="79" t="s">
        <v>213</v>
      </c>
      <c r="I260" s="86" t="s">
        <v>642</v>
      </c>
      <c r="J260" s="73">
        <f t="shared" si="22"/>
        <v>1</v>
      </c>
      <c r="K260" s="74" t="s">
        <v>204</v>
      </c>
      <c r="L260" s="86" t="s">
        <v>2177</v>
      </c>
      <c r="Q260" s="76" t="s">
        <v>2109</v>
      </c>
      <c r="R260" s="73">
        <f t="shared" si="23"/>
        <v>1</v>
      </c>
      <c r="S260" s="260" t="s">
        <v>1976</v>
      </c>
      <c r="T260" s="260"/>
      <c r="U260" s="260"/>
      <c r="V260" s="260"/>
      <c r="W260" s="260"/>
      <c r="X260" s="260"/>
      <c r="Y260" s="565"/>
      <c r="Z260" s="565"/>
      <c r="AA260" s="566">
        <f t="shared" si="24"/>
        <v>0</v>
      </c>
      <c r="AB260" s="699"/>
    </row>
    <row r="261" spans="1:28" ht="15.75" customHeight="1" x14ac:dyDescent="0.3">
      <c r="A261" s="66" t="s">
        <v>1803</v>
      </c>
      <c r="B261" s="22" t="s">
        <v>1844</v>
      </c>
      <c r="C261" s="81">
        <v>43775</v>
      </c>
      <c r="D261" s="109">
        <v>43810</v>
      </c>
      <c r="E261" s="560"/>
      <c r="F261" s="86" t="s">
        <v>1804</v>
      </c>
      <c r="G261" s="86" t="s">
        <v>156</v>
      </c>
      <c r="H261" s="79" t="s">
        <v>213</v>
      </c>
      <c r="I261" s="86" t="s">
        <v>714</v>
      </c>
      <c r="J261" s="73">
        <f t="shared" si="22"/>
        <v>1</v>
      </c>
      <c r="K261" s="74" t="s">
        <v>204</v>
      </c>
      <c r="L261" s="97" t="s">
        <v>2195</v>
      </c>
      <c r="M261" s="79">
        <v>1</v>
      </c>
      <c r="N261" s="76" t="s">
        <v>18</v>
      </c>
      <c r="Q261" s="76" t="s">
        <v>2109</v>
      </c>
      <c r="R261" s="73">
        <f t="shared" si="23"/>
        <v>1</v>
      </c>
      <c r="S261" s="260" t="s">
        <v>1976</v>
      </c>
      <c r="T261" s="260"/>
      <c r="U261" s="260"/>
      <c r="V261" s="260"/>
      <c r="W261" s="260"/>
      <c r="X261" s="260"/>
      <c r="Y261" s="565"/>
      <c r="Z261" s="565"/>
      <c r="AA261" s="566">
        <f t="shared" si="24"/>
        <v>0</v>
      </c>
      <c r="AB261" s="699"/>
    </row>
    <row r="262" spans="1:28" ht="15.75" customHeight="1" x14ac:dyDescent="0.3">
      <c r="A262" s="66" t="s">
        <v>2110</v>
      </c>
      <c r="C262" s="81">
        <v>43775</v>
      </c>
      <c r="D262" s="109">
        <v>43811</v>
      </c>
      <c r="E262" s="560"/>
      <c r="F262" s="86" t="s">
        <v>2111</v>
      </c>
      <c r="G262" s="86" t="s">
        <v>172</v>
      </c>
      <c r="H262" s="79" t="s">
        <v>213</v>
      </c>
      <c r="J262" s="73">
        <f t="shared" si="22"/>
        <v>1</v>
      </c>
      <c r="K262" s="74" t="s">
        <v>204</v>
      </c>
      <c r="N262" s="76" t="s">
        <v>19</v>
      </c>
      <c r="Q262" s="76" t="s">
        <v>2109</v>
      </c>
      <c r="R262" s="73">
        <f t="shared" si="23"/>
        <v>1</v>
      </c>
      <c r="S262" s="260" t="s">
        <v>1976</v>
      </c>
      <c r="T262" s="260"/>
      <c r="U262" s="260"/>
      <c r="V262" s="260"/>
      <c r="W262" s="260"/>
      <c r="X262" s="260"/>
      <c r="Y262" s="565"/>
      <c r="Z262" s="565"/>
      <c r="AA262" s="566">
        <f t="shared" si="24"/>
        <v>0</v>
      </c>
      <c r="AB262" s="699"/>
    </row>
    <row r="263" spans="1:28" ht="15.75" customHeight="1" x14ac:dyDescent="0.3">
      <c r="A263" s="66" t="s">
        <v>2112</v>
      </c>
      <c r="C263" s="81">
        <v>43775</v>
      </c>
      <c r="D263" s="109">
        <v>43811</v>
      </c>
      <c r="E263" s="560"/>
      <c r="F263" s="86" t="s">
        <v>2113</v>
      </c>
      <c r="G263" s="86" t="s">
        <v>164</v>
      </c>
      <c r="H263" s="79" t="s">
        <v>213</v>
      </c>
      <c r="J263" s="73">
        <f t="shared" si="22"/>
        <v>1</v>
      </c>
      <c r="K263" s="74" t="s">
        <v>204</v>
      </c>
      <c r="Q263" s="76" t="s">
        <v>2109</v>
      </c>
      <c r="R263" s="73">
        <f t="shared" si="23"/>
        <v>1</v>
      </c>
      <c r="S263" s="260" t="s">
        <v>1976</v>
      </c>
      <c r="T263" s="260"/>
      <c r="U263" s="260"/>
      <c r="V263" s="260"/>
      <c r="W263" s="260"/>
      <c r="X263" s="260"/>
      <c r="Y263" s="565"/>
      <c r="Z263" s="565"/>
      <c r="AA263" s="566">
        <f t="shared" si="24"/>
        <v>0</v>
      </c>
      <c r="AB263" s="699"/>
    </row>
    <row r="264" spans="1:28" ht="15.75" customHeight="1" x14ac:dyDescent="0.3">
      <c r="A264" s="66" t="s">
        <v>1819</v>
      </c>
      <c r="B264" s="22" t="s">
        <v>1893</v>
      </c>
      <c r="C264" s="81">
        <v>43776</v>
      </c>
      <c r="D264" s="109">
        <v>43812</v>
      </c>
      <c r="E264" s="560"/>
      <c r="F264" s="86" t="s">
        <v>1820</v>
      </c>
      <c r="G264" s="86" t="s">
        <v>152</v>
      </c>
      <c r="H264" s="79" t="s">
        <v>213</v>
      </c>
      <c r="I264" s="97" t="s">
        <v>645</v>
      </c>
      <c r="J264" s="73">
        <f t="shared" si="22"/>
        <v>1</v>
      </c>
      <c r="K264" s="74" t="s">
        <v>204</v>
      </c>
      <c r="L264" s="97" t="s">
        <v>2027</v>
      </c>
      <c r="Q264" s="76" t="s">
        <v>2109</v>
      </c>
      <c r="R264" s="73">
        <f t="shared" si="23"/>
        <v>1</v>
      </c>
      <c r="S264" s="260" t="s">
        <v>1976</v>
      </c>
      <c r="T264" s="260"/>
      <c r="U264" s="260"/>
      <c r="V264" s="260"/>
      <c r="W264" s="260"/>
      <c r="X264" s="260"/>
      <c r="Y264" s="565"/>
      <c r="Z264" s="565"/>
      <c r="AA264" s="566">
        <f t="shared" si="24"/>
        <v>0</v>
      </c>
      <c r="AB264" s="699"/>
    </row>
    <row r="265" spans="1:28" ht="15.75" customHeight="1" x14ac:dyDescent="0.3">
      <c r="A265" s="66" t="s">
        <v>1823</v>
      </c>
      <c r="B265" s="22" t="s">
        <v>1895</v>
      </c>
      <c r="C265" s="81">
        <v>43776</v>
      </c>
      <c r="D265" s="109">
        <v>43812</v>
      </c>
      <c r="E265" s="560"/>
      <c r="F265" s="86" t="s">
        <v>1824</v>
      </c>
      <c r="G265" s="86" t="s">
        <v>158</v>
      </c>
      <c r="H265" s="79" t="s">
        <v>213</v>
      </c>
      <c r="J265" s="73">
        <f t="shared" si="22"/>
        <v>1</v>
      </c>
      <c r="K265" s="74" t="s">
        <v>204</v>
      </c>
      <c r="L265" s="97" t="s">
        <v>370</v>
      </c>
      <c r="Q265" s="76" t="s">
        <v>2109</v>
      </c>
      <c r="R265" s="73">
        <f t="shared" si="23"/>
        <v>1</v>
      </c>
      <c r="S265" s="260" t="s">
        <v>1976</v>
      </c>
      <c r="T265" s="260"/>
      <c r="U265" s="260"/>
      <c r="V265" s="260"/>
      <c r="W265" s="260"/>
      <c r="X265" s="260"/>
      <c r="Y265" s="565"/>
      <c r="Z265" s="565"/>
      <c r="AA265" s="566">
        <f t="shared" si="24"/>
        <v>0</v>
      </c>
      <c r="AB265" s="699"/>
    </row>
    <row r="266" spans="1:28" ht="15.75" customHeight="1" x14ac:dyDescent="0.3">
      <c r="A266" s="66" t="s">
        <v>2120</v>
      </c>
      <c r="C266" s="81">
        <v>43787</v>
      </c>
      <c r="D266" s="109">
        <v>43809</v>
      </c>
      <c r="E266" s="560"/>
      <c r="F266" s="86" t="s">
        <v>2121</v>
      </c>
      <c r="G266" s="86" t="s">
        <v>152</v>
      </c>
      <c r="H266" s="79" t="s">
        <v>213</v>
      </c>
      <c r="J266" s="73">
        <f t="shared" si="22"/>
        <v>1</v>
      </c>
      <c r="K266" s="74" t="s">
        <v>204</v>
      </c>
      <c r="L266" s="97" t="s">
        <v>1743</v>
      </c>
      <c r="M266" s="79">
        <v>0</v>
      </c>
      <c r="N266" s="76" t="s">
        <v>19</v>
      </c>
      <c r="Q266" s="76" t="s">
        <v>2109</v>
      </c>
      <c r="R266" s="73">
        <f t="shared" si="23"/>
        <v>1</v>
      </c>
      <c r="S266" s="260" t="s">
        <v>1976</v>
      </c>
      <c r="T266" s="260"/>
      <c r="U266" s="260"/>
      <c r="V266" s="260"/>
      <c r="W266" s="260"/>
      <c r="X266" s="260"/>
      <c r="Y266" s="565"/>
      <c r="Z266" s="565"/>
      <c r="AA266" s="566">
        <f t="shared" si="24"/>
        <v>0</v>
      </c>
      <c r="AB266" s="699"/>
    </row>
    <row r="267" spans="1:28" ht="15.75" customHeight="1" x14ac:dyDescent="0.3">
      <c r="A267" s="66" t="s">
        <v>2122</v>
      </c>
      <c r="C267" s="81">
        <v>43787</v>
      </c>
      <c r="D267" s="109">
        <v>43808</v>
      </c>
      <c r="E267" s="560"/>
      <c r="F267" s="86" t="s">
        <v>2123</v>
      </c>
      <c r="G267" s="86" t="s">
        <v>158</v>
      </c>
      <c r="H267" s="79" t="s">
        <v>213</v>
      </c>
      <c r="I267" s="97" t="s">
        <v>995</v>
      </c>
      <c r="J267" s="73">
        <f t="shared" si="22"/>
        <v>1</v>
      </c>
      <c r="K267" s="74" t="s">
        <v>204</v>
      </c>
      <c r="L267" s="97" t="s">
        <v>1745</v>
      </c>
      <c r="M267" s="79">
        <v>0</v>
      </c>
      <c r="N267" s="76" t="s">
        <v>19</v>
      </c>
      <c r="Q267" s="76" t="s">
        <v>2109</v>
      </c>
      <c r="R267" s="73">
        <f t="shared" si="23"/>
        <v>1</v>
      </c>
      <c r="S267" s="260" t="s">
        <v>1976</v>
      </c>
      <c r="T267" s="260"/>
      <c r="U267" s="260"/>
      <c r="V267" s="260"/>
      <c r="W267" s="260"/>
      <c r="X267" s="260"/>
      <c r="Y267" s="565"/>
      <c r="Z267" s="565"/>
      <c r="AA267" s="566">
        <f t="shared" si="24"/>
        <v>0</v>
      </c>
      <c r="AB267" s="699"/>
    </row>
    <row r="268" spans="1:28" ht="15.75" customHeight="1" x14ac:dyDescent="0.3">
      <c r="A268" s="66" t="s">
        <v>2126</v>
      </c>
      <c r="C268" s="81">
        <v>43787</v>
      </c>
      <c r="D268" s="109">
        <v>43808</v>
      </c>
      <c r="E268" s="560"/>
      <c r="F268" s="86" t="s">
        <v>2127</v>
      </c>
      <c r="G268" s="86" t="s">
        <v>152</v>
      </c>
      <c r="H268" s="79" t="s">
        <v>213</v>
      </c>
      <c r="I268" s="97" t="s">
        <v>649</v>
      </c>
      <c r="J268" s="73">
        <f t="shared" si="22"/>
        <v>1</v>
      </c>
      <c r="K268" s="74" t="s">
        <v>204</v>
      </c>
      <c r="L268" s="97" t="s">
        <v>2180</v>
      </c>
      <c r="M268" s="79">
        <v>0</v>
      </c>
      <c r="N268" s="76" t="s">
        <v>17</v>
      </c>
      <c r="O268" s="111">
        <v>46346.19</v>
      </c>
      <c r="Q268" s="76" t="s">
        <v>2109</v>
      </c>
      <c r="R268" s="73">
        <f t="shared" si="23"/>
        <v>1</v>
      </c>
      <c r="S268" s="260" t="s">
        <v>1976</v>
      </c>
      <c r="T268" s="260"/>
      <c r="U268" s="260"/>
      <c r="V268" s="260"/>
      <c r="W268" s="260"/>
      <c r="X268" s="260"/>
      <c r="Y268" s="565"/>
      <c r="Z268" s="565"/>
      <c r="AA268" s="566">
        <f t="shared" si="24"/>
        <v>0</v>
      </c>
      <c r="AB268" s="699"/>
    </row>
    <row r="269" spans="1:28" ht="15.75" customHeight="1" x14ac:dyDescent="0.3">
      <c r="A269" s="66" t="s">
        <v>2128</v>
      </c>
      <c r="C269" s="81">
        <v>43787</v>
      </c>
      <c r="D269" s="109">
        <v>43808</v>
      </c>
      <c r="E269" s="560"/>
      <c r="F269" s="86" t="s">
        <v>2129</v>
      </c>
      <c r="G269" s="86" t="s">
        <v>186</v>
      </c>
      <c r="H269" s="79" t="s">
        <v>213</v>
      </c>
      <c r="I269" s="97" t="s">
        <v>1104</v>
      </c>
      <c r="J269" s="73">
        <f t="shared" si="22"/>
        <v>1</v>
      </c>
      <c r="K269" s="74" t="s">
        <v>204</v>
      </c>
      <c r="L269" s="97" t="s">
        <v>2189</v>
      </c>
      <c r="M269" s="79">
        <v>0</v>
      </c>
      <c r="N269" s="76" t="s">
        <v>19</v>
      </c>
      <c r="Q269" s="76" t="s">
        <v>2109</v>
      </c>
      <c r="R269" s="73">
        <f t="shared" si="23"/>
        <v>1</v>
      </c>
      <c r="S269" s="260" t="s">
        <v>1976</v>
      </c>
      <c r="T269" s="260"/>
      <c r="U269" s="260"/>
      <c r="V269" s="260"/>
      <c r="W269" s="260"/>
      <c r="X269" s="260"/>
      <c r="Y269" s="565"/>
      <c r="Z269" s="565"/>
      <c r="AA269" s="566">
        <f t="shared" si="24"/>
        <v>0</v>
      </c>
      <c r="AB269" s="699"/>
    </row>
    <row r="270" spans="1:28" ht="15.75" customHeight="1" x14ac:dyDescent="0.3">
      <c r="A270" s="66" t="s">
        <v>2130</v>
      </c>
      <c r="C270" s="81">
        <v>43789</v>
      </c>
      <c r="D270" s="109">
        <v>43810</v>
      </c>
      <c r="E270" s="560"/>
      <c r="F270" s="86" t="s">
        <v>2131</v>
      </c>
      <c r="G270" s="86" t="s">
        <v>158</v>
      </c>
      <c r="H270" s="79" t="s">
        <v>213</v>
      </c>
      <c r="I270" s="97" t="s">
        <v>1854</v>
      </c>
      <c r="J270" s="73">
        <f t="shared" si="22"/>
        <v>1</v>
      </c>
      <c r="K270" s="74" t="s">
        <v>204</v>
      </c>
      <c r="L270" s="97" t="s">
        <v>1344</v>
      </c>
      <c r="N270" s="76" t="s">
        <v>19</v>
      </c>
      <c r="Q270" s="76" t="s">
        <v>2109</v>
      </c>
      <c r="R270" s="73">
        <f t="shared" si="23"/>
        <v>1</v>
      </c>
      <c r="S270" s="260" t="s">
        <v>1976</v>
      </c>
      <c r="T270" s="260"/>
      <c r="U270" s="260"/>
      <c r="V270" s="260"/>
      <c r="W270" s="260"/>
      <c r="X270" s="260"/>
      <c r="Y270" s="565"/>
      <c r="Z270" s="565"/>
      <c r="AA270" s="566">
        <f t="shared" si="24"/>
        <v>0</v>
      </c>
      <c r="AB270" s="699"/>
    </row>
    <row r="271" spans="1:28" ht="15.75" customHeight="1" x14ac:dyDescent="0.3">
      <c r="A271" s="66" t="s">
        <v>2132</v>
      </c>
      <c r="C271" s="81">
        <v>43789</v>
      </c>
      <c r="D271" s="109">
        <v>43810</v>
      </c>
      <c r="E271" s="560"/>
      <c r="F271" s="86" t="s">
        <v>2133</v>
      </c>
      <c r="G271" s="86" t="s">
        <v>158</v>
      </c>
      <c r="H271" s="79" t="s">
        <v>213</v>
      </c>
      <c r="J271" s="73">
        <f t="shared" si="22"/>
        <v>1</v>
      </c>
      <c r="K271" s="74" t="s">
        <v>204</v>
      </c>
      <c r="L271" s="97" t="s">
        <v>2198</v>
      </c>
      <c r="M271" s="79">
        <v>0</v>
      </c>
      <c r="N271" s="76" t="s">
        <v>17</v>
      </c>
      <c r="Q271" s="76" t="s">
        <v>2109</v>
      </c>
      <c r="R271" s="73">
        <f t="shared" si="23"/>
        <v>1</v>
      </c>
      <c r="S271" s="260" t="s">
        <v>1976</v>
      </c>
      <c r="T271" s="260"/>
      <c r="U271" s="260"/>
      <c r="V271" s="260"/>
      <c r="W271" s="260"/>
      <c r="X271" s="260"/>
      <c r="Y271" s="565"/>
      <c r="Z271" s="565"/>
      <c r="AA271" s="566">
        <f t="shared" si="24"/>
        <v>0</v>
      </c>
      <c r="AB271" s="699"/>
    </row>
    <row r="272" spans="1:28" ht="15.75" customHeight="1" x14ac:dyDescent="0.3">
      <c r="A272" s="66" t="s">
        <v>2138</v>
      </c>
      <c r="C272" s="81">
        <v>43791</v>
      </c>
      <c r="D272" s="109">
        <v>43812</v>
      </c>
      <c r="E272" s="560"/>
      <c r="F272" s="86" t="s">
        <v>2139</v>
      </c>
      <c r="G272" s="86" t="s">
        <v>158</v>
      </c>
      <c r="H272" s="79" t="s">
        <v>213</v>
      </c>
      <c r="I272" s="97" t="s">
        <v>1285</v>
      </c>
      <c r="J272" s="73">
        <f t="shared" si="22"/>
        <v>1</v>
      </c>
      <c r="K272" s="74" t="s">
        <v>204</v>
      </c>
      <c r="N272" s="76" t="s">
        <v>19</v>
      </c>
      <c r="Q272" s="76" t="s">
        <v>2109</v>
      </c>
      <c r="R272" s="73">
        <f t="shared" si="23"/>
        <v>1</v>
      </c>
      <c r="S272" s="260" t="s">
        <v>1976</v>
      </c>
      <c r="T272" s="260"/>
      <c r="U272" s="260"/>
      <c r="V272" s="260"/>
      <c r="W272" s="260"/>
      <c r="X272" s="260"/>
      <c r="Y272" s="565"/>
      <c r="Z272" s="565"/>
      <c r="AA272" s="566">
        <f t="shared" si="24"/>
        <v>0</v>
      </c>
      <c r="AB272" s="699"/>
    </row>
    <row r="273" spans="1:28" ht="15.75" customHeight="1" x14ac:dyDescent="0.3">
      <c r="A273" s="66" t="s">
        <v>2140</v>
      </c>
      <c r="C273" s="81">
        <v>43761</v>
      </c>
      <c r="D273" s="109">
        <v>43812</v>
      </c>
      <c r="E273" s="560"/>
      <c r="F273" s="86" t="s">
        <v>2141</v>
      </c>
      <c r="G273" s="86" t="s">
        <v>156</v>
      </c>
      <c r="H273" s="79" t="s">
        <v>213</v>
      </c>
      <c r="J273" s="73">
        <f t="shared" si="22"/>
        <v>1</v>
      </c>
      <c r="K273" s="74" t="s">
        <v>204</v>
      </c>
      <c r="Q273" s="76" t="s">
        <v>2142</v>
      </c>
      <c r="R273" s="73">
        <f t="shared" si="23"/>
        <v>1</v>
      </c>
      <c r="S273" s="260" t="s">
        <v>1976</v>
      </c>
      <c r="T273" s="260"/>
      <c r="U273" s="260"/>
      <c r="V273" s="260"/>
      <c r="W273" s="260"/>
      <c r="X273" s="260"/>
      <c r="Y273" s="565"/>
      <c r="Z273" s="565"/>
      <c r="AA273" s="566">
        <f t="shared" si="24"/>
        <v>0</v>
      </c>
      <c r="AB273" s="699"/>
    </row>
    <row r="274" spans="1:28" ht="15.75" customHeight="1" x14ac:dyDescent="0.3">
      <c r="A274" s="66" t="s">
        <v>2143</v>
      </c>
      <c r="C274" s="81">
        <v>43762</v>
      </c>
      <c r="D274" s="109">
        <v>43808</v>
      </c>
      <c r="E274" s="560"/>
      <c r="F274" s="86" t="s">
        <v>2041</v>
      </c>
      <c r="G274" s="86" t="s">
        <v>152</v>
      </c>
      <c r="H274" s="79" t="s">
        <v>213</v>
      </c>
      <c r="I274" s="97" t="s">
        <v>649</v>
      </c>
      <c r="J274" s="73">
        <f t="shared" si="22"/>
        <v>1</v>
      </c>
      <c r="K274" s="74" t="s">
        <v>204</v>
      </c>
      <c r="L274" s="97" t="s">
        <v>2181</v>
      </c>
      <c r="M274" s="79">
        <v>0</v>
      </c>
      <c r="N274" s="76" t="s">
        <v>17</v>
      </c>
      <c r="O274" s="111">
        <v>207538.95</v>
      </c>
      <c r="Q274" s="76" t="s">
        <v>2142</v>
      </c>
      <c r="R274" s="73">
        <f t="shared" si="23"/>
        <v>1</v>
      </c>
      <c r="S274" s="260" t="s">
        <v>1976</v>
      </c>
      <c r="T274" s="260"/>
      <c r="U274" s="260"/>
      <c r="V274" s="260"/>
      <c r="W274" s="260"/>
      <c r="X274" s="260"/>
      <c r="Y274" s="565"/>
      <c r="Z274" s="565"/>
      <c r="AA274" s="566">
        <f t="shared" si="24"/>
        <v>0</v>
      </c>
      <c r="AB274" s="699"/>
    </row>
    <row r="275" spans="1:28" ht="15.75" customHeight="1" x14ac:dyDescent="0.3">
      <c r="A275" s="66" t="s">
        <v>2144</v>
      </c>
      <c r="C275" s="81">
        <v>43762</v>
      </c>
      <c r="D275" s="109">
        <v>43808</v>
      </c>
      <c r="E275" s="560"/>
      <c r="F275" s="86" t="s">
        <v>2041</v>
      </c>
      <c r="G275" s="86" t="s">
        <v>152</v>
      </c>
      <c r="H275" s="79" t="s">
        <v>213</v>
      </c>
      <c r="J275" s="73">
        <f t="shared" si="22"/>
        <v>1</v>
      </c>
      <c r="K275" s="74" t="s">
        <v>204</v>
      </c>
      <c r="M275" s="79">
        <v>0</v>
      </c>
      <c r="N275" s="76" t="s">
        <v>17</v>
      </c>
      <c r="Q275" s="76" t="s">
        <v>2142</v>
      </c>
      <c r="R275" s="73">
        <f t="shared" si="23"/>
        <v>1</v>
      </c>
      <c r="S275" s="260" t="s">
        <v>1976</v>
      </c>
      <c r="T275" s="260"/>
      <c r="U275" s="260"/>
      <c r="V275" s="260"/>
      <c r="W275" s="260"/>
      <c r="X275" s="260"/>
      <c r="Y275" s="565"/>
      <c r="Z275" s="565"/>
      <c r="AA275" s="566">
        <f t="shared" si="24"/>
        <v>0</v>
      </c>
      <c r="AB275" s="699"/>
    </row>
    <row r="276" spans="1:28" ht="15.75" customHeight="1" x14ac:dyDescent="0.3">
      <c r="A276" s="66" t="s">
        <v>2145</v>
      </c>
      <c r="C276" s="81">
        <v>43763</v>
      </c>
      <c r="D276" s="109">
        <v>43809</v>
      </c>
      <c r="E276" s="560"/>
      <c r="F276" s="86" t="s">
        <v>2146</v>
      </c>
      <c r="G276" s="86" t="s">
        <v>147</v>
      </c>
      <c r="H276" s="79" t="s">
        <v>213</v>
      </c>
      <c r="I276" s="97" t="s">
        <v>649</v>
      </c>
      <c r="J276" s="73">
        <f t="shared" si="22"/>
        <v>1</v>
      </c>
      <c r="K276" s="74" t="s">
        <v>204</v>
      </c>
      <c r="L276" s="97" t="s">
        <v>1344</v>
      </c>
      <c r="M276" s="79">
        <v>0</v>
      </c>
      <c r="N276" s="76" t="s">
        <v>17</v>
      </c>
      <c r="Q276" s="76" t="s">
        <v>2142</v>
      </c>
      <c r="R276" s="73">
        <f t="shared" si="23"/>
        <v>1</v>
      </c>
      <c r="S276" s="260" t="s">
        <v>1976</v>
      </c>
      <c r="T276" s="260"/>
      <c r="U276" s="260"/>
      <c r="V276" s="260"/>
      <c r="W276" s="260"/>
      <c r="X276" s="260"/>
      <c r="Y276" s="565"/>
      <c r="Z276" s="565"/>
      <c r="AA276" s="566">
        <f t="shared" si="24"/>
        <v>0</v>
      </c>
      <c r="AB276" s="699"/>
    </row>
    <row r="277" spans="1:28" ht="15.75" customHeight="1" x14ac:dyDescent="0.3">
      <c r="A277" s="66" t="s">
        <v>2147</v>
      </c>
      <c r="C277" s="81">
        <v>43763</v>
      </c>
      <c r="D277" s="109">
        <v>43809</v>
      </c>
      <c r="E277" s="560"/>
      <c r="F277" s="97" t="s">
        <v>2208</v>
      </c>
      <c r="G277" s="86" t="s">
        <v>152</v>
      </c>
      <c r="H277" s="79" t="s">
        <v>213</v>
      </c>
      <c r="I277" s="97" t="s">
        <v>645</v>
      </c>
      <c r="J277" s="73">
        <f t="shared" si="22"/>
        <v>1</v>
      </c>
      <c r="K277" s="74" t="s">
        <v>204</v>
      </c>
      <c r="L277" s="97" t="s">
        <v>2196</v>
      </c>
      <c r="M277" s="79">
        <v>0</v>
      </c>
      <c r="N277" s="76" t="s">
        <v>18</v>
      </c>
      <c r="Q277" s="76" t="s">
        <v>2142</v>
      </c>
      <c r="R277" s="73">
        <f t="shared" si="23"/>
        <v>1</v>
      </c>
      <c r="S277" s="260" t="s">
        <v>1976</v>
      </c>
      <c r="T277" s="260"/>
      <c r="U277" s="260"/>
      <c r="V277" s="260"/>
      <c r="W277" s="260"/>
      <c r="X277" s="260"/>
      <c r="Y277" s="565"/>
      <c r="Z277" s="565"/>
      <c r="AA277" s="566">
        <f t="shared" si="24"/>
        <v>0</v>
      </c>
      <c r="AB277" s="699"/>
    </row>
    <row r="278" spans="1:28" ht="15.75" customHeight="1" x14ac:dyDescent="0.3">
      <c r="A278" s="66" t="s">
        <v>2148</v>
      </c>
      <c r="C278" s="81">
        <v>43770</v>
      </c>
      <c r="D278" s="109">
        <v>43809</v>
      </c>
      <c r="E278" s="560"/>
      <c r="F278" s="86" t="s">
        <v>2149</v>
      </c>
      <c r="G278" s="86" t="s">
        <v>158</v>
      </c>
      <c r="H278" s="79" t="s">
        <v>213</v>
      </c>
      <c r="I278" s="97" t="s">
        <v>642</v>
      </c>
      <c r="J278" s="73">
        <f t="shared" si="22"/>
        <v>1</v>
      </c>
      <c r="K278" s="74" t="s">
        <v>204</v>
      </c>
      <c r="L278" s="97" t="s">
        <v>2192</v>
      </c>
      <c r="M278" s="79">
        <v>1</v>
      </c>
      <c r="N278" s="76" t="s">
        <v>17</v>
      </c>
      <c r="Q278" s="76" t="s">
        <v>2142</v>
      </c>
      <c r="R278" s="73">
        <f t="shared" si="23"/>
        <v>1</v>
      </c>
      <c r="S278" s="260" t="s">
        <v>1976</v>
      </c>
      <c r="T278" s="260"/>
      <c r="U278" s="260"/>
      <c r="V278" s="260"/>
      <c r="W278" s="260"/>
      <c r="X278" s="260"/>
      <c r="Y278" s="565"/>
      <c r="Z278" s="565"/>
      <c r="AA278" s="566">
        <f t="shared" si="24"/>
        <v>0</v>
      </c>
      <c r="AB278" s="699"/>
    </row>
    <row r="279" spans="1:28" ht="15.75" customHeight="1" x14ac:dyDescent="0.3">
      <c r="A279" s="66" t="s">
        <v>2150</v>
      </c>
      <c r="C279" s="81">
        <v>43770</v>
      </c>
      <c r="D279" s="109">
        <v>43808</v>
      </c>
      <c r="E279" s="560"/>
      <c r="F279" s="86" t="s">
        <v>2151</v>
      </c>
      <c r="G279" s="86" t="s">
        <v>147</v>
      </c>
      <c r="H279" s="79" t="s">
        <v>213</v>
      </c>
      <c r="I279" s="97" t="s">
        <v>642</v>
      </c>
      <c r="J279" s="73">
        <f t="shared" si="22"/>
        <v>1</v>
      </c>
      <c r="K279" s="74" t="s">
        <v>204</v>
      </c>
      <c r="L279" s="97" t="s">
        <v>2186</v>
      </c>
      <c r="M279" s="79">
        <v>1</v>
      </c>
      <c r="N279" s="76" t="s">
        <v>18</v>
      </c>
      <c r="Q279" s="76" t="s">
        <v>2142</v>
      </c>
      <c r="R279" s="73">
        <f t="shared" si="23"/>
        <v>1</v>
      </c>
      <c r="S279" s="260" t="s">
        <v>1976</v>
      </c>
      <c r="T279" s="260"/>
      <c r="U279" s="260"/>
      <c r="V279" s="260"/>
      <c r="W279" s="260"/>
      <c r="X279" s="260"/>
      <c r="Y279" s="565"/>
      <c r="Z279" s="565"/>
      <c r="AA279" s="566">
        <f t="shared" si="24"/>
        <v>0</v>
      </c>
      <c r="AB279" s="699"/>
    </row>
    <row r="280" spans="1:28" ht="15.75" customHeight="1" x14ac:dyDescent="0.3">
      <c r="A280" s="66" t="s">
        <v>1781</v>
      </c>
      <c r="B280" s="22" t="s">
        <v>1829</v>
      </c>
      <c r="C280" s="81">
        <v>43770</v>
      </c>
      <c r="D280" s="109">
        <v>43808</v>
      </c>
      <c r="E280" s="560"/>
      <c r="F280" s="86" t="s">
        <v>1782</v>
      </c>
      <c r="G280" s="86" t="s">
        <v>158</v>
      </c>
      <c r="H280" s="79" t="s">
        <v>213</v>
      </c>
      <c r="I280" s="97" t="s">
        <v>642</v>
      </c>
      <c r="J280" s="73">
        <f t="shared" si="22"/>
        <v>1</v>
      </c>
      <c r="K280" s="74" t="s">
        <v>204</v>
      </c>
      <c r="L280" s="97" t="s">
        <v>2187</v>
      </c>
      <c r="M280" s="79">
        <v>1</v>
      </c>
      <c r="N280" s="76" t="s">
        <v>18</v>
      </c>
      <c r="Q280" s="76" t="s">
        <v>2142</v>
      </c>
      <c r="R280" s="73">
        <f t="shared" si="23"/>
        <v>1</v>
      </c>
      <c r="S280" s="260" t="s">
        <v>1976</v>
      </c>
      <c r="T280" s="260"/>
      <c r="U280" s="260"/>
      <c r="V280" s="260"/>
      <c r="W280" s="260"/>
      <c r="X280" s="260"/>
      <c r="Y280" s="565"/>
      <c r="Z280" s="565"/>
      <c r="AA280" s="566">
        <f t="shared" si="24"/>
        <v>0</v>
      </c>
      <c r="AB280" s="699"/>
    </row>
    <row r="281" spans="1:28" ht="15.75" customHeight="1" x14ac:dyDescent="0.3">
      <c r="A281" s="66" t="s">
        <v>2152</v>
      </c>
      <c r="C281" s="81">
        <v>43774</v>
      </c>
      <c r="D281" s="81">
        <v>43810</v>
      </c>
      <c r="E281" s="560"/>
      <c r="F281" s="86" t="s">
        <v>2153</v>
      </c>
      <c r="G281" s="86" t="s">
        <v>191</v>
      </c>
      <c r="H281" s="79" t="s">
        <v>213</v>
      </c>
      <c r="J281" s="73">
        <f t="shared" si="22"/>
        <v>1</v>
      </c>
      <c r="K281" s="74" t="s">
        <v>204</v>
      </c>
      <c r="Q281" s="76" t="s">
        <v>2142</v>
      </c>
      <c r="R281" s="73">
        <f t="shared" si="23"/>
        <v>1</v>
      </c>
      <c r="S281" s="260" t="s">
        <v>1976</v>
      </c>
      <c r="T281" s="260"/>
      <c r="U281" s="260"/>
      <c r="V281" s="260"/>
      <c r="W281" s="260"/>
      <c r="X281" s="260"/>
      <c r="Y281" s="565"/>
      <c r="Z281" s="565"/>
      <c r="AA281" s="566">
        <f t="shared" si="24"/>
        <v>0</v>
      </c>
      <c r="AB281" s="699"/>
    </row>
    <row r="282" spans="1:28" ht="15.75" customHeight="1" x14ac:dyDescent="0.3">
      <c r="A282" s="66" t="s">
        <v>2154</v>
      </c>
      <c r="C282" s="81">
        <v>43774</v>
      </c>
      <c r="D282" s="109">
        <v>43810</v>
      </c>
      <c r="E282" s="560"/>
      <c r="F282" s="86" t="s">
        <v>2155</v>
      </c>
      <c r="G282" s="86" t="s">
        <v>410</v>
      </c>
      <c r="H282" s="79" t="s">
        <v>213</v>
      </c>
      <c r="J282" s="73">
        <f t="shared" si="22"/>
        <v>1</v>
      </c>
      <c r="K282" s="74" t="s">
        <v>204</v>
      </c>
      <c r="Q282" s="76" t="s">
        <v>2142</v>
      </c>
      <c r="R282" s="73">
        <f t="shared" si="23"/>
        <v>1</v>
      </c>
      <c r="S282" s="260" t="s">
        <v>1976</v>
      </c>
      <c r="T282" s="260"/>
      <c r="U282" s="260"/>
      <c r="V282" s="260"/>
      <c r="W282" s="260"/>
      <c r="X282" s="260"/>
      <c r="Y282" s="565"/>
      <c r="Z282" s="565"/>
      <c r="AA282" s="566">
        <f t="shared" si="24"/>
        <v>0</v>
      </c>
      <c r="AB282" s="699"/>
    </row>
    <row r="283" spans="1:28" ht="15.75" customHeight="1" x14ac:dyDescent="0.3">
      <c r="A283" s="66" t="s">
        <v>1793</v>
      </c>
      <c r="B283" s="22" t="s">
        <v>1839</v>
      </c>
      <c r="C283" s="81">
        <v>43775</v>
      </c>
      <c r="D283" s="109">
        <v>43810</v>
      </c>
      <c r="E283" s="560"/>
      <c r="F283" s="86" t="s">
        <v>1794</v>
      </c>
      <c r="G283" s="86" t="s">
        <v>147</v>
      </c>
      <c r="I283" s="86" t="s">
        <v>714</v>
      </c>
      <c r="J283" s="73">
        <f t="shared" si="22"/>
        <v>1</v>
      </c>
      <c r="K283" s="74" t="s">
        <v>204</v>
      </c>
      <c r="L283" s="97" t="s">
        <v>2176</v>
      </c>
      <c r="Q283" s="76" t="s">
        <v>2142</v>
      </c>
      <c r="R283" s="73">
        <f t="shared" si="23"/>
        <v>1</v>
      </c>
      <c r="S283" s="260" t="s">
        <v>1976</v>
      </c>
      <c r="T283" s="260"/>
      <c r="U283" s="260"/>
      <c r="V283" s="260"/>
      <c r="W283" s="260"/>
      <c r="X283" s="260"/>
      <c r="Y283" s="565"/>
      <c r="Z283" s="565"/>
      <c r="AA283" s="566">
        <f t="shared" si="24"/>
        <v>0</v>
      </c>
      <c r="AB283" s="699"/>
    </row>
    <row r="284" spans="1:28" ht="15.75" customHeight="1" x14ac:dyDescent="0.3">
      <c r="A284" s="66" t="s">
        <v>2156</v>
      </c>
      <c r="C284" s="81">
        <v>43775</v>
      </c>
      <c r="D284" s="109">
        <v>43811</v>
      </c>
      <c r="E284" s="560"/>
      <c r="F284" s="86" t="s">
        <v>2157</v>
      </c>
      <c r="G284" s="86" t="s">
        <v>152</v>
      </c>
      <c r="H284" s="79" t="s">
        <v>213</v>
      </c>
      <c r="J284" s="73">
        <f t="shared" ref="J284:J312" si="25">IF(OR(K284="Документы готовы",K284="Запрос в ФО",K284="ЭЗ",K284="РЕШ",K284="РЕШ шаблон"),0.1,IF(OR(K284="ЭЗ согласование",K284="РЕШ согласование"),0.3,IF(OR(K284="ЭЗ согласовано",K284="РЕШ согласовано",K284="РЕШ подписано"),0.6,IF(OR(K284="ЭЗ ПР согласование",K284="РЕШ УВ согласование"),0.9,IF(OR(K284="ЭЗ ПР DONE",K284="РЕШ УВ DONE"),1,0)))))</f>
        <v>1</v>
      </c>
      <c r="K284" s="74" t="s">
        <v>204</v>
      </c>
      <c r="Q284" s="76" t="s">
        <v>2142</v>
      </c>
      <c r="R284" s="73">
        <f t="shared" ref="R284:R312" si="26">IF(S284="В работе",0.3,IF(S284="Отписано",0.6,IF(S284="На доработку",0.9,IF(S284="Согласовано",1,0))))</f>
        <v>1</v>
      </c>
      <c r="S284" s="260" t="s">
        <v>1976</v>
      </c>
      <c r="T284" s="260"/>
      <c r="U284" s="260"/>
      <c r="V284" s="260"/>
      <c r="W284" s="260"/>
      <c r="X284" s="260"/>
      <c r="Y284" s="565"/>
      <c r="Z284" s="565"/>
      <c r="AA284" s="566">
        <f t="shared" si="24"/>
        <v>0</v>
      </c>
      <c r="AB284" s="699"/>
    </row>
    <row r="285" spans="1:28" ht="15.75" customHeight="1" x14ac:dyDescent="0.3">
      <c r="A285" s="66" t="s">
        <v>2158</v>
      </c>
      <c r="C285" s="81">
        <v>43775</v>
      </c>
      <c r="D285" s="109">
        <v>43811</v>
      </c>
      <c r="E285" s="560"/>
      <c r="F285" s="86" t="s">
        <v>2159</v>
      </c>
      <c r="G285" s="86" t="s">
        <v>158</v>
      </c>
      <c r="H285" s="79" t="s">
        <v>213</v>
      </c>
      <c r="J285" s="73">
        <f t="shared" si="25"/>
        <v>1</v>
      </c>
      <c r="K285" s="74" t="s">
        <v>204</v>
      </c>
      <c r="Q285" s="76" t="s">
        <v>2142</v>
      </c>
      <c r="R285" s="73">
        <f t="shared" si="26"/>
        <v>1</v>
      </c>
      <c r="S285" s="260" t="s">
        <v>1976</v>
      </c>
      <c r="T285" s="260"/>
      <c r="U285" s="260"/>
      <c r="V285" s="260"/>
      <c r="W285" s="260"/>
      <c r="X285" s="260"/>
      <c r="Y285" s="565"/>
      <c r="Z285" s="565"/>
      <c r="AA285" s="566">
        <f t="shared" si="24"/>
        <v>0</v>
      </c>
      <c r="AB285" s="699"/>
    </row>
    <row r="286" spans="1:28" ht="15.75" customHeight="1" x14ac:dyDescent="0.3">
      <c r="A286" s="66" t="s">
        <v>2160</v>
      </c>
      <c r="C286" s="81">
        <v>43776</v>
      </c>
      <c r="D286" s="109">
        <v>43812</v>
      </c>
      <c r="E286" s="560"/>
      <c r="F286" s="86" t="s">
        <v>2161</v>
      </c>
      <c r="G286" s="86" t="s">
        <v>152</v>
      </c>
      <c r="H286" s="79" t="s">
        <v>213</v>
      </c>
      <c r="J286" s="73">
        <f t="shared" si="25"/>
        <v>1</v>
      </c>
      <c r="K286" s="74" t="s">
        <v>204</v>
      </c>
      <c r="Q286" s="76" t="s">
        <v>2142</v>
      </c>
      <c r="R286" s="73">
        <f t="shared" si="26"/>
        <v>1</v>
      </c>
      <c r="S286" s="260" t="s">
        <v>1976</v>
      </c>
      <c r="T286" s="260"/>
      <c r="U286" s="260"/>
      <c r="V286" s="260"/>
      <c r="W286" s="260"/>
      <c r="X286" s="260"/>
      <c r="Y286" s="565"/>
      <c r="Z286" s="565"/>
      <c r="AA286" s="566">
        <f t="shared" si="24"/>
        <v>0</v>
      </c>
      <c r="AB286" s="699"/>
    </row>
    <row r="287" spans="1:28" ht="15.75" customHeight="1" x14ac:dyDescent="0.3">
      <c r="A287" s="66" t="s">
        <v>2162</v>
      </c>
      <c r="C287" s="81">
        <v>43788</v>
      </c>
      <c r="D287" s="109">
        <v>43809</v>
      </c>
      <c r="E287" s="560"/>
      <c r="F287" s="86" t="s">
        <v>2163</v>
      </c>
      <c r="G287" s="86" t="s">
        <v>154</v>
      </c>
      <c r="H287" s="79" t="s">
        <v>213</v>
      </c>
      <c r="I287" s="97" t="s">
        <v>2193</v>
      </c>
      <c r="J287" s="73">
        <f t="shared" si="25"/>
        <v>1</v>
      </c>
      <c r="K287" s="74" t="s">
        <v>204</v>
      </c>
      <c r="L287" s="97" t="s">
        <v>2194</v>
      </c>
      <c r="M287" s="79">
        <v>0</v>
      </c>
      <c r="N287" s="76" t="s">
        <v>18</v>
      </c>
      <c r="Q287" s="76" t="s">
        <v>2142</v>
      </c>
      <c r="R287" s="73">
        <f t="shared" si="26"/>
        <v>1</v>
      </c>
      <c r="S287" s="260" t="s">
        <v>1976</v>
      </c>
      <c r="T287" s="260"/>
      <c r="U287" s="260"/>
      <c r="V287" s="260"/>
      <c r="W287" s="260"/>
      <c r="X287" s="260"/>
      <c r="Y287" s="565"/>
      <c r="Z287" s="565"/>
      <c r="AA287" s="566">
        <f t="shared" si="24"/>
        <v>0</v>
      </c>
      <c r="AB287" s="699"/>
    </row>
    <row r="288" spans="1:28" ht="15.75" customHeight="1" x14ac:dyDescent="0.3">
      <c r="A288" s="66" t="s">
        <v>2166</v>
      </c>
      <c r="C288" s="81">
        <v>43790</v>
      </c>
      <c r="D288" s="109">
        <v>43811</v>
      </c>
      <c r="E288" s="560"/>
      <c r="F288" s="86" t="s">
        <v>2167</v>
      </c>
      <c r="G288" s="86" t="s">
        <v>158</v>
      </c>
      <c r="H288" s="79" t="s">
        <v>213</v>
      </c>
      <c r="J288" s="73">
        <f t="shared" si="25"/>
        <v>1</v>
      </c>
      <c r="K288" s="74" t="s">
        <v>204</v>
      </c>
      <c r="Q288" s="76" t="s">
        <v>2142</v>
      </c>
      <c r="R288" s="73">
        <f t="shared" si="26"/>
        <v>1</v>
      </c>
      <c r="S288" s="260" t="s">
        <v>1976</v>
      </c>
      <c r="T288" s="260"/>
      <c r="U288" s="260"/>
      <c r="V288" s="260"/>
      <c r="W288" s="260"/>
      <c r="X288" s="260"/>
      <c r="Y288" s="565"/>
      <c r="Z288" s="565"/>
      <c r="AA288" s="566">
        <f t="shared" si="24"/>
        <v>0</v>
      </c>
      <c r="AB288" s="699"/>
    </row>
    <row r="289" spans="1:32" ht="15.75" customHeight="1" x14ac:dyDescent="0.3">
      <c r="A289" s="66" t="s">
        <v>2168</v>
      </c>
      <c r="C289" s="81">
        <v>43790</v>
      </c>
      <c r="D289" s="109">
        <v>43811</v>
      </c>
      <c r="E289" s="560"/>
      <c r="F289" s="86" t="s">
        <v>2169</v>
      </c>
      <c r="G289" s="86" t="s">
        <v>150</v>
      </c>
      <c r="H289" s="79" t="s">
        <v>213</v>
      </c>
      <c r="J289" s="73">
        <f t="shared" si="25"/>
        <v>1</v>
      </c>
      <c r="K289" s="74" t="s">
        <v>204</v>
      </c>
      <c r="Q289" s="76" t="s">
        <v>2142</v>
      </c>
      <c r="R289" s="73">
        <f t="shared" si="26"/>
        <v>1</v>
      </c>
      <c r="S289" s="260" t="s">
        <v>1976</v>
      </c>
      <c r="T289" s="260"/>
      <c r="U289" s="260"/>
      <c r="V289" s="260"/>
      <c r="W289" s="260"/>
      <c r="X289" s="260"/>
      <c r="Y289" s="565"/>
      <c r="Z289" s="565"/>
      <c r="AA289" s="566">
        <f t="shared" si="24"/>
        <v>0</v>
      </c>
      <c r="AB289" s="699"/>
    </row>
    <row r="290" spans="1:32" ht="15.75" customHeight="1" x14ac:dyDescent="0.3">
      <c r="A290" s="66" t="s">
        <v>2170</v>
      </c>
      <c r="C290" s="81">
        <v>43790</v>
      </c>
      <c r="D290" s="109">
        <v>43811</v>
      </c>
      <c r="E290" s="560"/>
      <c r="F290" s="86" t="s">
        <v>2171</v>
      </c>
      <c r="G290" s="86" t="s">
        <v>172</v>
      </c>
      <c r="H290" s="79" t="s">
        <v>213</v>
      </c>
      <c r="J290" s="73">
        <f t="shared" si="25"/>
        <v>1</v>
      </c>
      <c r="K290" s="74" t="s">
        <v>204</v>
      </c>
      <c r="Q290" s="76" t="s">
        <v>2142</v>
      </c>
      <c r="R290" s="73">
        <f t="shared" si="26"/>
        <v>1</v>
      </c>
      <c r="S290" s="260" t="s">
        <v>1976</v>
      </c>
      <c r="T290" s="260"/>
      <c r="U290" s="260"/>
      <c r="V290" s="260"/>
      <c r="W290" s="260"/>
      <c r="X290" s="260"/>
      <c r="Y290" s="565"/>
      <c r="Z290" s="565"/>
      <c r="AA290" s="566">
        <f t="shared" si="24"/>
        <v>0</v>
      </c>
      <c r="AB290" s="699"/>
    </row>
    <row r="291" spans="1:32" ht="15.75" customHeight="1" x14ac:dyDescent="0.3">
      <c r="A291" s="66" t="s">
        <v>2172</v>
      </c>
      <c r="C291" s="81">
        <v>43791</v>
      </c>
      <c r="D291" s="109">
        <v>43812</v>
      </c>
      <c r="E291" s="560"/>
      <c r="F291" s="86" t="s">
        <v>2173</v>
      </c>
      <c r="G291" s="86" t="s">
        <v>166</v>
      </c>
      <c r="H291" s="79" t="s">
        <v>268</v>
      </c>
      <c r="J291" s="73">
        <f t="shared" si="25"/>
        <v>1</v>
      </c>
      <c r="K291" s="74" t="s">
        <v>204</v>
      </c>
      <c r="Q291" s="76" t="s">
        <v>2142</v>
      </c>
      <c r="R291" s="73">
        <f t="shared" si="26"/>
        <v>1</v>
      </c>
      <c r="S291" s="260" t="s">
        <v>1976</v>
      </c>
      <c r="T291" s="260"/>
      <c r="U291" s="260"/>
      <c r="V291" s="260"/>
      <c r="W291" s="260"/>
      <c r="X291" s="260"/>
      <c r="Y291" s="565"/>
      <c r="Z291" s="565"/>
      <c r="AA291" s="566">
        <f t="shared" si="24"/>
        <v>0</v>
      </c>
      <c r="AB291" s="699"/>
    </row>
    <row r="292" spans="1:32" ht="15.75" customHeight="1" x14ac:dyDescent="0.3">
      <c r="A292" s="93" t="s">
        <v>2202</v>
      </c>
      <c r="C292" s="115">
        <v>43769</v>
      </c>
      <c r="D292" s="312">
        <v>43815</v>
      </c>
      <c r="E292" s="560"/>
      <c r="F292" s="86" t="s">
        <v>2205</v>
      </c>
      <c r="G292" s="86" t="s">
        <v>156</v>
      </c>
      <c r="H292" s="79" t="s">
        <v>213</v>
      </c>
      <c r="J292" s="73">
        <f t="shared" si="25"/>
        <v>1</v>
      </c>
      <c r="K292" s="74" t="s">
        <v>204</v>
      </c>
      <c r="L292" s="97"/>
      <c r="Q292" s="301" t="s">
        <v>2076</v>
      </c>
      <c r="R292" s="73">
        <f t="shared" si="26"/>
        <v>1</v>
      </c>
      <c r="S292" s="260" t="s">
        <v>1976</v>
      </c>
      <c r="T292" s="260"/>
      <c r="U292" s="260"/>
      <c r="V292" s="260"/>
      <c r="W292" s="260"/>
      <c r="X292" s="260"/>
      <c r="Y292" s="565"/>
      <c r="Z292" s="565"/>
      <c r="AA292" s="566">
        <f t="shared" si="24"/>
        <v>0</v>
      </c>
      <c r="AB292" s="699"/>
    </row>
    <row r="293" spans="1:32" ht="15.75" customHeight="1" x14ac:dyDescent="0.3">
      <c r="A293" s="93" t="s">
        <v>2203</v>
      </c>
      <c r="C293" s="115">
        <v>43791</v>
      </c>
      <c r="D293" s="312">
        <v>43815</v>
      </c>
      <c r="E293" s="560"/>
      <c r="F293" s="86" t="s">
        <v>2206</v>
      </c>
      <c r="G293" s="86" t="s">
        <v>175</v>
      </c>
      <c r="H293" s="79" t="s">
        <v>213</v>
      </c>
      <c r="J293" s="73">
        <f t="shared" si="25"/>
        <v>1</v>
      </c>
      <c r="K293" s="74" t="s">
        <v>204</v>
      </c>
      <c r="Q293" s="301" t="s">
        <v>2037</v>
      </c>
      <c r="R293" s="73">
        <f t="shared" si="26"/>
        <v>1</v>
      </c>
      <c r="S293" s="260" t="s">
        <v>1976</v>
      </c>
      <c r="T293" s="260"/>
      <c r="U293" s="260"/>
      <c r="V293" s="260"/>
      <c r="W293" s="260"/>
      <c r="X293" s="260"/>
      <c r="Y293" s="565"/>
      <c r="Z293" s="565"/>
      <c r="AA293" s="566">
        <f t="shared" si="24"/>
        <v>0</v>
      </c>
      <c r="AB293" s="699"/>
    </row>
    <row r="294" spans="1:32" ht="15.75" customHeight="1" x14ac:dyDescent="0.3">
      <c r="A294" s="66" t="s">
        <v>2209</v>
      </c>
      <c r="C294" s="81">
        <v>43756</v>
      </c>
      <c r="D294" s="109">
        <v>43815</v>
      </c>
      <c r="E294" s="560"/>
      <c r="F294" s="86" t="s">
        <v>2210</v>
      </c>
      <c r="G294" s="86" t="s">
        <v>150</v>
      </c>
      <c r="H294" s="79" t="s">
        <v>213</v>
      </c>
      <c r="J294" s="73">
        <f>IF(OR(K294="Документы готовы",K294="Запрос в ФО",K294="ЭЗ",K294="РЕШ",K294="РЕШ шаблон"),0.1,IF(OR(K294="ЭЗ согласование",K294="РЕШ согласование"),0.3,IF(OR(K294="ЭЗ согласовано",K294="РЕШ согласовано",K294="РЕШ подписано"),0.6,IF(OR(K294="ЭЗ ПР согласование",K294="РЕШ УВ согласование"),0.9,IF(OR(K294="ЭЗ ПР DONE",K294="РЕШ УВ DONE"),1,0)))))</f>
        <v>1</v>
      </c>
      <c r="K294" s="74" t="s">
        <v>204</v>
      </c>
      <c r="L294" s="97" t="s">
        <v>2426</v>
      </c>
      <c r="Q294" s="301" t="s">
        <v>2037</v>
      </c>
      <c r="R294" s="73">
        <f t="shared" si="26"/>
        <v>1</v>
      </c>
      <c r="S294" s="260" t="s">
        <v>1976</v>
      </c>
      <c r="T294" s="260"/>
      <c r="U294" s="260"/>
      <c r="V294" s="260"/>
      <c r="W294" s="260"/>
      <c r="X294" s="260"/>
      <c r="Y294" s="565"/>
      <c r="Z294" s="565"/>
      <c r="AA294" s="566">
        <f t="shared" si="24"/>
        <v>0</v>
      </c>
      <c r="AB294" s="699"/>
      <c r="AF294" s="313"/>
    </row>
    <row r="295" spans="1:32" ht="15.75" customHeight="1" x14ac:dyDescent="0.3">
      <c r="A295" s="66" t="s">
        <v>2211</v>
      </c>
      <c r="C295" s="81">
        <v>43763</v>
      </c>
      <c r="D295" s="109">
        <v>43816</v>
      </c>
      <c r="E295" s="560"/>
      <c r="F295" s="86" t="s">
        <v>2212</v>
      </c>
      <c r="G295" s="86" t="s">
        <v>1384</v>
      </c>
      <c r="H295" s="79" t="s">
        <v>213</v>
      </c>
      <c r="J295" s="73">
        <f t="shared" si="25"/>
        <v>1</v>
      </c>
      <c r="K295" s="74" t="s">
        <v>204</v>
      </c>
      <c r="Q295" s="76" t="s">
        <v>2076</v>
      </c>
      <c r="R295" s="73">
        <f t="shared" si="26"/>
        <v>1</v>
      </c>
      <c r="S295" s="260" t="s">
        <v>1976</v>
      </c>
      <c r="T295" s="260"/>
      <c r="U295" s="260"/>
      <c r="V295" s="260"/>
      <c r="W295" s="260"/>
      <c r="X295" s="260"/>
      <c r="Y295" s="565"/>
      <c r="Z295" s="565"/>
      <c r="AA295" s="566">
        <f t="shared" si="24"/>
        <v>0</v>
      </c>
      <c r="AB295" s="699"/>
    </row>
    <row r="296" spans="1:32" ht="15.75" customHeight="1" x14ac:dyDescent="0.3">
      <c r="A296" s="66" t="s">
        <v>2213</v>
      </c>
      <c r="C296" s="81">
        <v>43777</v>
      </c>
      <c r="D296" s="109">
        <v>43815</v>
      </c>
      <c r="E296" s="560"/>
      <c r="F296" s="86" t="s">
        <v>2214</v>
      </c>
      <c r="G296" s="86" t="s">
        <v>156</v>
      </c>
      <c r="H296" s="79" t="s">
        <v>213</v>
      </c>
      <c r="J296" s="73">
        <f t="shared" si="25"/>
        <v>1</v>
      </c>
      <c r="K296" s="260" t="s">
        <v>204</v>
      </c>
      <c r="L296" s="97" t="s">
        <v>2420</v>
      </c>
      <c r="Q296" s="301" t="s">
        <v>2037</v>
      </c>
      <c r="R296" s="73">
        <f t="shared" si="26"/>
        <v>1</v>
      </c>
      <c r="S296" s="260" t="s">
        <v>1976</v>
      </c>
      <c r="T296" s="260"/>
      <c r="U296" s="260"/>
      <c r="V296" s="260"/>
      <c r="W296" s="260"/>
      <c r="X296" s="260"/>
      <c r="Y296" s="565"/>
      <c r="Z296" s="565"/>
      <c r="AA296" s="566">
        <f t="shared" si="24"/>
        <v>0</v>
      </c>
      <c r="AB296" s="699"/>
    </row>
    <row r="297" spans="1:32" ht="15.75" customHeight="1" x14ac:dyDescent="0.3">
      <c r="A297" s="66" t="s">
        <v>2215</v>
      </c>
      <c r="C297" s="81">
        <v>43777</v>
      </c>
      <c r="D297" s="109">
        <v>43815</v>
      </c>
      <c r="E297" s="560"/>
      <c r="F297" s="86" t="s">
        <v>2216</v>
      </c>
      <c r="G297" s="86" t="s">
        <v>150</v>
      </c>
      <c r="H297" s="79" t="s">
        <v>213</v>
      </c>
      <c r="J297" s="73">
        <f t="shared" si="25"/>
        <v>1</v>
      </c>
      <c r="K297" s="74" t="s">
        <v>204</v>
      </c>
      <c r="L297" s="97" t="s">
        <v>2427</v>
      </c>
      <c r="Q297" s="76" t="s">
        <v>2076</v>
      </c>
      <c r="R297" s="73">
        <f t="shared" si="26"/>
        <v>1</v>
      </c>
      <c r="S297" s="260" t="s">
        <v>1976</v>
      </c>
      <c r="T297" s="260"/>
      <c r="U297" s="260"/>
      <c r="V297" s="260"/>
      <c r="W297" s="260"/>
      <c r="X297" s="260"/>
      <c r="Y297" s="565"/>
      <c r="Z297" s="565"/>
      <c r="AA297" s="566">
        <f t="shared" si="24"/>
        <v>0</v>
      </c>
      <c r="AB297" s="699"/>
    </row>
    <row r="298" spans="1:32" ht="15.75" customHeight="1" x14ac:dyDescent="0.3">
      <c r="A298" s="66" t="s">
        <v>2217</v>
      </c>
      <c r="C298" s="81">
        <v>43781</v>
      </c>
      <c r="D298" s="109">
        <v>43817</v>
      </c>
      <c r="E298" s="560"/>
      <c r="F298" s="86" t="s">
        <v>2218</v>
      </c>
      <c r="G298" s="86" t="s">
        <v>181</v>
      </c>
      <c r="H298" s="79" t="s">
        <v>213</v>
      </c>
      <c r="J298" s="73">
        <f t="shared" si="25"/>
        <v>1</v>
      </c>
      <c r="K298" s="74" t="s">
        <v>204</v>
      </c>
      <c r="L298" s="97" t="s">
        <v>2446</v>
      </c>
      <c r="Q298" s="76" t="s">
        <v>2076</v>
      </c>
      <c r="R298" s="73">
        <f t="shared" si="26"/>
        <v>1</v>
      </c>
      <c r="S298" s="260" t="s">
        <v>1976</v>
      </c>
      <c r="T298" s="260"/>
      <c r="U298" s="260"/>
      <c r="V298" s="260"/>
      <c r="W298" s="260"/>
      <c r="X298" s="260"/>
      <c r="Y298" s="565"/>
      <c r="Z298" s="565"/>
      <c r="AA298" s="566">
        <f t="shared" si="24"/>
        <v>0</v>
      </c>
      <c r="AB298" s="699"/>
    </row>
    <row r="299" spans="1:32" ht="15.75" customHeight="1" x14ac:dyDescent="0.3">
      <c r="A299" s="66" t="s">
        <v>2219</v>
      </c>
      <c r="C299" s="81">
        <v>43781</v>
      </c>
      <c r="D299" s="109">
        <v>43817</v>
      </c>
      <c r="E299" s="560"/>
      <c r="F299" s="86" t="s">
        <v>2220</v>
      </c>
      <c r="G299" s="86" t="s">
        <v>410</v>
      </c>
      <c r="H299" s="79" t="s">
        <v>213</v>
      </c>
      <c r="J299" s="73">
        <f t="shared" si="25"/>
        <v>1</v>
      </c>
      <c r="K299" s="74" t="s">
        <v>204</v>
      </c>
      <c r="Q299" s="76" t="s">
        <v>2076</v>
      </c>
      <c r="R299" s="73">
        <f t="shared" si="26"/>
        <v>1</v>
      </c>
      <c r="S299" s="260" t="s">
        <v>1976</v>
      </c>
      <c r="T299" s="260"/>
      <c r="U299" s="260"/>
      <c r="V299" s="260"/>
      <c r="W299" s="260"/>
      <c r="X299" s="260"/>
      <c r="Y299" s="565"/>
      <c r="Z299" s="565"/>
      <c r="AA299" s="566">
        <f t="shared" si="24"/>
        <v>0</v>
      </c>
      <c r="AB299" s="699"/>
    </row>
    <row r="300" spans="1:32" ht="15.75" customHeight="1" x14ac:dyDescent="0.3">
      <c r="A300" s="66" t="s">
        <v>2221</v>
      </c>
      <c r="C300" s="81">
        <v>43781</v>
      </c>
      <c r="D300" s="109">
        <v>43816</v>
      </c>
      <c r="E300" s="560"/>
      <c r="F300" s="86" t="s">
        <v>2222</v>
      </c>
      <c r="G300" s="86" t="s">
        <v>189</v>
      </c>
      <c r="H300" s="79" t="s">
        <v>213</v>
      </c>
      <c r="J300" s="73">
        <f t="shared" si="25"/>
        <v>1</v>
      </c>
      <c r="K300" s="74" t="s">
        <v>204</v>
      </c>
      <c r="Q300" s="76" t="s">
        <v>2076</v>
      </c>
      <c r="R300" s="73">
        <f t="shared" si="26"/>
        <v>1</v>
      </c>
      <c r="S300" s="260" t="s">
        <v>1976</v>
      </c>
      <c r="T300" s="260"/>
      <c r="U300" s="260"/>
      <c r="V300" s="260"/>
      <c r="W300" s="260"/>
      <c r="X300" s="260"/>
      <c r="Y300" s="565"/>
      <c r="Z300" s="565"/>
      <c r="AA300" s="566">
        <f t="shared" si="24"/>
        <v>0</v>
      </c>
      <c r="AB300" s="699"/>
    </row>
    <row r="301" spans="1:32" ht="15.75" customHeight="1" x14ac:dyDescent="0.3">
      <c r="A301" s="66" t="s">
        <v>2223</v>
      </c>
      <c r="C301" s="81">
        <v>43781</v>
      </c>
      <c r="D301" s="109">
        <v>43816</v>
      </c>
      <c r="E301" s="560"/>
      <c r="F301" s="86" t="s">
        <v>2224</v>
      </c>
      <c r="G301" s="86" t="s">
        <v>147</v>
      </c>
      <c r="H301" s="79" t="s">
        <v>213</v>
      </c>
      <c r="J301" s="73">
        <f t="shared" si="25"/>
        <v>1</v>
      </c>
      <c r="K301" s="74" t="s">
        <v>204</v>
      </c>
      <c r="Q301" s="76" t="s">
        <v>2076</v>
      </c>
      <c r="R301" s="73">
        <f t="shared" si="26"/>
        <v>1</v>
      </c>
      <c r="S301" s="260" t="s">
        <v>1976</v>
      </c>
      <c r="T301" s="260"/>
      <c r="U301" s="260"/>
      <c r="V301" s="260"/>
      <c r="W301" s="260"/>
      <c r="X301" s="260"/>
      <c r="Y301" s="565"/>
      <c r="Z301" s="565"/>
      <c r="AA301" s="566">
        <f t="shared" si="24"/>
        <v>0</v>
      </c>
      <c r="AB301" s="699"/>
    </row>
    <row r="302" spans="1:32" ht="15.75" customHeight="1" x14ac:dyDescent="0.3">
      <c r="A302" s="66" t="s">
        <v>2225</v>
      </c>
      <c r="C302" s="81">
        <v>43782</v>
      </c>
      <c r="D302" s="109">
        <v>43817</v>
      </c>
      <c r="E302" s="560"/>
      <c r="F302" s="86" t="s">
        <v>2226</v>
      </c>
      <c r="G302" s="86" t="s">
        <v>150</v>
      </c>
      <c r="H302" s="79" t="s">
        <v>213</v>
      </c>
      <c r="J302" s="73">
        <f t="shared" si="25"/>
        <v>1</v>
      </c>
      <c r="K302" s="74" t="s">
        <v>204</v>
      </c>
      <c r="Q302" s="76" t="s">
        <v>2076</v>
      </c>
      <c r="R302" s="73">
        <f t="shared" si="26"/>
        <v>1</v>
      </c>
      <c r="S302" s="260" t="s">
        <v>1976</v>
      </c>
      <c r="T302" s="260"/>
      <c r="U302" s="260"/>
      <c r="V302" s="260"/>
      <c r="W302" s="260"/>
      <c r="X302" s="260"/>
      <c r="Y302" s="565"/>
      <c r="Z302" s="565"/>
      <c r="AA302" s="566">
        <f t="shared" si="24"/>
        <v>0</v>
      </c>
      <c r="AB302" s="699"/>
    </row>
    <row r="303" spans="1:32" ht="15.75" customHeight="1" x14ac:dyDescent="0.3">
      <c r="A303" s="66" t="s">
        <v>2227</v>
      </c>
      <c r="C303" s="81">
        <v>43783</v>
      </c>
      <c r="D303" s="109">
        <v>43818</v>
      </c>
      <c r="E303" s="560"/>
      <c r="F303" s="86" t="s">
        <v>2228</v>
      </c>
      <c r="G303" s="86" t="s">
        <v>150</v>
      </c>
      <c r="H303" s="79" t="s">
        <v>213</v>
      </c>
      <c r="J303" s="73">
        <f t="shared" si="25"/>
        <v>1</v>
      </c>
      <c r="K303" s="74" t="s">
        <v>204</v>
      </c>
      <c r="L303" s="97" t="s">
        <v>2480</v>
      </c>
      <c r="Q303" s="76" t="s">
        <v>2076</v>
      </c>
      <c r="R303" s="73">
        <f t="shared" si="26"/>
        <v>1</v>
      </c>
      <c r="S303" s="260" t="s">
        <v>1976</v>
      </c>
      <c r="T303" s="260"/>
      <c r="U303" s="260"/>
      <c r="V303" s="260"/>
      <c r="W303" s="260"/>
      <c r="X303" s="260"/>
      <c r="Y303" s="565"/>
      <c r="Z303" s="565"/>
      <c r="AA303" s="566">
        <f t="shared" si="24"/>
        <v>0</v>
      </c>
      <c r="AB303" s="699"/>
    </row>
    <row r="304" spans="1:32" ht="15.75" customHeight="1" x14ac:dyDescent="0.3">
      <c r="A304" s="66" t="s">
        <v>2229</v>
      </c>
      <c r="C304" s="81">
        <v>43784</v>
      </c>
      <c r="D304" s="109">
        <v>43819</v>
      </c>
      <c r="E304" s="560"/>
      <c r="F304" s="86" t="s">
        <v>2230</v>
      </c>
      <c r="G304" s="86" t="s">
        <v>147</v>
      </c>
      <c r="H304" s="79" t="s">
        <v>213</v>
      </c>
      <c r="J304" s="73">
        <f t="shared" si="25"/>
        <v>1</v>
      </c>
      <c r="K304" s="74" t="s">
        <v>204</v>
      </c>
      <c r="Q304" s="76" t="s">
        <v>2076</v>
      </c>
      <c r="R304" s="73">
        <f t="shared" si="26"/>
        <v>1</v>
      </c>
      <c r="S304" s="260" t="s">
        <v>1976</v>
      </c>
      <c r="T304" s="260"/>
      <c r="U304" s="260"/>
      <c r="V304" s="260"/>
      <c r="W304" s="260"/>
      <c r="X304" s="260"/>
      <c r="Y304" s="565"/>
      <c r="Z304" s="565"/>
      <c r="AA304" s="566">
        <f t="shared" si="24"/>
        <v>0</v>
      </c>
      <c r="AB304" s="699"/>
    </row>
    <row r="305" spans="1:28" ht="15.75" customHeight="1" x14ac:dyDescent="0.3">
      <c r="A305" s="66" t="s">
        <v>2231</v>
      </c>
      <c r="C305" s="81">
        <v>43784</v>
      </c>
      <c r="D305" s="109">
        <v>43819</v>
      </c>
      <c r="E305" s="560"/>
      <c r="F305" s="86" t="s">
        <v>2232</v>
      </c>
      <c r="G305" s="86" t="s">
        <v>152</v>
      </c>
      <c r="H305" s="79" t="s">
        <v>213</v>
      </c>
      <c r="J305" s="73">
        <f t="shared" si="25"/>
        <v>1</v>
      </c>
      <c r="K305" s="74" t="s">
        <v>204</v>
      </c>
      <c r="Q305" s="301" t="s">
        <v>2076</v>
      </c>
      <c r="R305" s="73">
        <f t="shared" si="26"/>
        <v>1</v>
      </c>
      <c r="S305" s="260" t="s">
        <v>1976</v>
      </c>
      <c r="T305" s="260"/>
      <c r="U305" s="260"/>
      <c r="V305" s="260"/>
      <c r="W305" s="260"/>
      <c r="X305" s="260"/>
      <c r="Y305" s="565"/>
      <c r="Z305" s="565"/>
      <c r="AA305" s="566">
        <f t="shared" si="24"/>
        <v>0</v>
      </c>
      <c r="AB305" s="699"/>
    </row>
    <row r="306" spans="1:28" ht="15.75" customHeight="1" x14ac:dyDescent="0.3">
      <c r="A306" s="66" t="s">
        <v>2235</v>
      </c>
      <c r="C306" s="81">
        <v>43794</v>
      </c>
      <c r="D306" s="109">
        <v>43816</v>
      </c>
      <c r="E306" s="560"/>
      <c r="F306" s="86" t="s">
        <v>2236</v>
      </c>
      <c r="G306" s="86" t="s">
        <v>1682</v>
      </c>
      <c r="H306" s="79" t="s">
        <v>213</v>
      </c>
      <c r="J306" s="73">
        <f t="shared" si="25"/>
        <v>1</v>
      </c>
      <c r="K306" s="74" t="s">
        <v>204</v>
      </c>
      <c r="Q306" s="76" t="s">
        <v>2076</v>
      </c>
      <c r="R306" s="73">
        <f t="shared" si="26"/>
        <v>1</v>
      </c>
      <c r="S306" s="260" t="s">
        <v>1976</v>
      </c>
      <c r="T306" s="260"/>
      <c r="U306" s="260"/>
      <c r="V306" s="260"/>
      <c r="W306" s="260"/>
      <c r="X306" s="260"/>
      <c r="Y306" s="565"/>
      <c r="Z306" s="565"/>
      <c r="AA306" s="566">
        <f t="shared" si="24"/>
        <v>0</v>
      </c>
      <c r="AB306" s="699"/>
    </row>
    <row r="307" spans="1:28" ht="15.75" customHeight="1" x14ac:dyDescent="0.3">
      <c r="A307" s="66" t="s">
        <v>2239</v>
      </c>
      <c r="C307" s="81">
        <v>43794</v>
      </c>
      <c r="D307" s="109">
        <v>43816</v>
      </c>
      <c r="E307" s="560"/>
      <c r="F307" s="86" t="s">
        <v>2240</v>
      </c>
      <c r="G307" s="86" t="s">
        <v>150</v>
      </c>
      <c r="H307" s="79" t="s">
        <v>213</v>
      </c>
      <c r="I307" s="97" t="s">
        <v>972</v>
      </c>
      <c r="J307" s="73">
        <f t="shared" si="25"/>
        <v>1</v>
      </c>
      <c r="K307" s="74" t="s">
        <v>204</v>
      </c>
      <c r="L307" s="97" t="s">
        <v>8115</v>
      </c>
      <c r="Q307" s="76" t="s">
        <v>2076</v>
      </c>
      <c r="R307" s="73">
        <f t="shared" si="26"/>
        <v>1</v>
      </c>
      <c r="S307" s="260" t="s">
        <v>1976</v>
      </c>
      <c r="T307" s="260"/>
      <c r="U307" s="260"/>
      <c r="V307" s="260"/>
      <c r="W307" s="260"/>
      <c r="X307" s="260"/>
      <c r="Y307" s="565"/>
      <c r="Z307" s="565"/>
      <c r="AA307" s="566">
        <f t="shared" si="24"/>
        <v>0</v>
      </c>
      <c r="AB307" s="699"/>
    </row>
    <row r="308" spans="1:28" ht="15.75" customHeight="1" x14ac:dyDescent="0.3">
      <c r="A308" s="66" t="s">
        <v>2243</v>
      </c>
      <c r="C308" s="81">
        <v>43794</v>
      </c>
      <c r="D308" s="109">
        <v>43815</v>
      </c>
      <c r="E308" s="560"/>
      <c r="F308" s="86" t="s">
        <v>2244</v>
      </c>
      <c r="G308" s="86" t="s">
        <v>158</v>
      </c>
      <c r="H308" s="79" t="s">
        <v>213</v>
      </c>
      <c r="J308" s="73">
        <f t="shared" si="25"/>
        <v>1</v>
      </c>
      <c r="K308" s="74" t="s">
        <v>204</v>
      </c>
      <c r="Q308" s="76" t="s">
        <v>2076</v>
      </c>
      <c r="R308" s="73">
        <f t="shared" si="26"/>
        <v>1</v>
      </c>
      <c r="S308" s="260" t="s">
        <v>1976</v>
      </c>
      <c r="T308" s="260"/>
      <c r="U308" s="260"/>
      <c r="V308" s="260"/>
      <c r="W308" s="260"/>
      <c r="X308" s="260"/>
      <c r="Y308" s="565"/>
      <c r="Z308" s="565"/>
      <c r="AA308" s="566">
        <f t="shared" si="24"/>
        <v>0</v>
      </c>
      <c r="AB308" s="699"/>
    </row>
    <row r="309" spans="1:28" ht="15.75" customHeight="1" x14ac:dyDescent="0.3">
      <c r="A309" s="66" t="s">
        <v>2245</v>
      </c>
      <c r="C309" s="81">
        <v>43794</v>
      </c>
      <c r="D309" s="109">
        <v>43815</v>
      </c>
      <c r="E309" s="560"/>
      <c r="F309" s="86" t="s">
        <v>2246</v>
      </c>
      <c r="G309" s="86" t="s">
        <v>152</v>
      </c>
      <c r="H309" s="79" t="s">
        <v>213</v>
      </c>
      <c r="I309" s="97" t="s">
        <v>649</v>
      </c>
      <c r="J309" s="73">
        <f t="shared" si="25"/>
        <v>1</v>
      </c>
      <c r="K309" s="74" t="s">
        <v>204</v>
      </c>
      <c r="Q309" s="301" t="s">
        <v>2037</v>
      </c>
      <c r="R309" s="73">
        <f t="shared" si="26"/>
        <v>1</v>
      </c>
      <c r="S309" s="260" t="s">
        <v>1976</v>
      </c>
      <c r="T309" s="260"/>
      <c r="U309" s="260"/>
      <c r="V309" s="260"/>
      <c r="W309" s="260"/>
      <c r="X309" s="260"/>
      <c r="Y309" s="565"/>
      <c r="Z309" s="565"/>
      <c r="AA309" s="566">
        <f t="shared" si="24"/>
        <v>0</v>
      </c>
      <c r="AB309" s="699"/>
    </row>
    <row r="310" spans="1:28" ht="15.75" customHeight="1" x14ac:dyDescent="0.3">
      <c r="A310" s="66" t="s">
        <v>2253</v>
      </c>
      <c r="C310" s="81">
        <v>43796</v>
      </c>
      <c r="D310" s="109">
        <v>43818</v>
      </c>
      <c r="E310" s="560"/>
      <c r="F310" s="86" t="s">
        <v>2254</v>
      </c>
      <c r="G310" s="86" t="s">
        <v>152</v>
      </c>
      <c r="H310" s="79" t="s">
        <v>213</v>
      </c>
      <c r="J310" s="73">
        <f t="shared" si="25"/>
        <v>1</v>
      </c>
      <c r="K310" s="74" t="s">
        <v>204</v>
      </c>
      <c r="L310" s="97" t="s">
        <v>2483</v>
      </c>
      <c r="Q310" s="76" t="s">
        <v>2076</v>
      </c>
      <c r="R310" s="73">
        <f t="shared" si="26"/>
        <v>1</v>
      </c>
      <c r="S310" s="260" t="s">
        <v>1976</v>
      </c>
      <c r="T310" s="260"/>
      <c r="U310" s="260"/>
      <c r="V310" s="260"/>
      <c r="W310" s="260"/>
      <c r="X310" s="260"/>
      <c r="Y310" s="565"/>
      <c r="Z310" s="565"/>
      <c r="AA310" s="566">
        <f t="shared" si="24"/>
        <v>0</v>
      </c>
      <c r="AB310" s="699"/>
    </row>
    <row r="311" spans="1:28" ht="15.75" customHeight="1" x14ac:dyDescent="0.3">
      <c r="A311" s="66" t="s">
        <v>2255</v>
      </c>
      <c r="C311" s="81">
        <v>43796</v>
      </c>
      <c r="D311" s="109">
        <v>43817</v>
      </c>
      <c r="E311" s="560"/>
      <c r="F311" s="86" t="s">
        <v>2256</v>
      </c>
      <c r="G311" s="86" t="s">
        <v>147</v>
      </c>
      <c r="H311" s="79" t="s">
        <v>213</v>
      </c>
      <c r="I311" s="97" t="s">
        <v>972</v>
      </c>
      <c r="J311" s="73">
        <f t="shared" si="25"/>
        <v>1</v>
      </c>
      <c r="K311" s="74" t="s">
        <v>204</v>
      </c>
      <c r="L311" s="97" t="s">
        <v>8116</v>
      </c>
      <c r="N311" s="76" t="s">
        <v>18</v>
      </c>
      <c r="Q311" s="76" t="s">
        <v>2076</v>
      </c>
      <c r="R311" s="73">
        <f t="shared" si="26"/>
        <v>1</v>
      </c>
      <c r="S311" s="260" t="s">
        <v>1976</v>
      </c>
      <c r="T311" s="260"/>
      <c r="U311" s="260"/>
      <c r="V311" s="260"/>
      <c r="W311" s="260"/>
      <c r="X311" s="260"/>
      <c r="Y311" s="565"/>
      <c r="Z311" s="565"/>
      <c r="AA311" s="566">
        <f t="shared" si="24"/>
        <v>0</v>
      </c>
      <c r="AB311" s="699"/>
    </row>
    <row r="312" spans="1:28" ht="15.75" customHeight="1" x14ac:dyDescent="0.3">
      <c r="A312" s="66" t="s">
        <v>2257</v>
      </c>
      <c r="C312" s="81">
        <v>43796</v>
      </c>
      <c r="D312" s="109">
        <v>43818</v>
      </c>
      <c r="E312" s="560"/>
      <c r="F312" s="86" t="s">
        <v>2258</v>
      </c>
      <c r="G312" s="86" t="s">
        <v>158</v>
      </c>
      <c r="H312" s="79" t="s">
        <v>213</v>
      </c>
      <c r="J312" s="73">
        <f t="shared" si="25"/>
        <v>1</v>
      </c>
      <c r="K312" s="74" t="s">
        <v>204</v>
      </c>
      <c r="Q312" s="76" t="s">
        <v>2076</v>
      </c>
      <c r="R312" s="73">
        <f t="shared" si="26"/>
        <v>1</v>
      </c>
      <c r="S312" s="260" t="s">
        <v>1976</v>
      </c>
      <c r="T312" s="260"/>
      <c r="U312" s="260"/>
      <c r="V312" s="260"/>
      <c r="W312" s="260"/>
      <c r="X312" s="260"/>
      <c r="Y312" s="565"/>
      <c r="Z312" s="565"/>
      <c r="AA312" s="566">
        <f t="shared" si="24"/>
        <v>0</v>
      </c>
      <c r="AB312" s="699"/>
    </row>
    <row r="313" spans="1:28" ht="15.75" customHeight="1" x14ac:dyDescent="0.3">
      <c r="A313" s="66" t="s">
        <v>2267</v>
      </c>
      <c r="C313" s="81">
        <v>43798</v>
      </c>
      <c r="D313" s="109">
        <v>43819</v>
      </c>
      <c r="E313" s="560"/>
      <c r="F313" s="86" t="s">
        <v>2268</v>
      </c>
      <c r="G313" s="86" t="s">
        <v>2104</v>
      </c>
      <c r="H313" s="79" t="s">
        <v>213</v>
      </c>
      <c r="J313" s="73">
        <f t="shared" ref="J313:J340" si="27">IF(OR(K313="Документы готовы",K313="Запрос в ФО",K313="ЭЗ",K313="РЕШ",K313="РЕШ шаблон"),0.1,IF(OR(K313="ЭЗ согласование",K313="РЕШ согласование"),0.3,IF(OR(K313="ЭЗ согласовано",K313="РЕШ согласовано",K313="РЕШ подписано"),0.6,IF(OR(K313="ЭЗ ПР согласование",K313="РЕШ УВ согласование"),0.9,IF(OR(K313="ЭЗ ПР DONE",K313="РЕШ УВ DONE"),1,0)))))</f>
        <v>1</v>
      </c>
      <c r="K313" s="74" t="s">
        <v>204</v>
      </c>
      <c r="Q313" s="76" t="s">
        <v>2076</v>
      </c>
      <c r="R313" s="73">
        <f t="shared" ref="R313:R340" si="28">IF(S313="В работе",0.3,IF(S313="Отписано",0.6,IF(S313="На доработку",0.9,IF(S313="Согласовано",1,0))))</f>
        <v>1</v>
      </c>
      <c r="S313" s="260" t="s">
        <v>1976</v>
      </c>
      <c r="T313" s="260"/>
      <c r="U313" s="260"/>
      <c r="V313" s="260"/>
      <c r="W313" s="260"/>
      <c r="X313" s="260"/>
      <c r="Y313" s="565"/>
      <c r="Z313" s="565"/>
      <c r="AA313" s="566">
        <f t="shared" si="24"/>
        <v>0</v>
      </c>
      <c r="AB313" s="699"/>
    </row>
    <row r="314" spans="1:28" ht="15.75" customHeight="1" x14ac:dyDescent="0.3">
      <c r="A314" s="66" t="s">
        <v>2269</v>
      </c>
      <c r="C314" s="81">
        <v>43777</v>
      </c>
      <c r="D314" s="109">
        <v>43815</v>
      </c>
      <c r="E314" s="560"/>
      <c r="F314" s="86" t="s">
        <v>2270</v>
      </c>
      <c r="G314" s="86" t="s">
        <v>156</v>
      </c>
      <c r="H314" s="79" t="s">
        <v>213</v>
      </c>
      <c r="J314" s="73">
        <f t="shared" si="27"/>
        <v>1</v>
      </c>
      <c r="K314" s="74" t="s">
        <v>204</v>
      </c>
      <c r="L314" s="97"/>
      <c r="Q314" s="301" t="s">
        <v>2109</v>
      </c>
      <c r="R314" s="73">
        <f t="shared" si="28"/>
        <v>1</v>
      </c>
      <c r="S314" s="260" t="s">
        <v>1976</v>
      </c>
      <c r="T314" s="260"/>
      <c r="U314" s="260"/>
      <c r="V314" s="260"/>
      <c r="W314" s="260"/>
      <c r="X314" s="260"/>
      <c r="Y314" s="565"/>
      <c r="Z314" s="565"/>
      <c r="AA314" s="566">
        <f t="shared" si="24"/>
        <v>0</v>
      </c>
      <c r="AB314" s="699"/>
    </row>
    <row r="315" spans="1:28" ht="15.75" customHeight="1" x14ac:dyDescent="0.3">
      <c r="A315" s="66" t="s">
        <v>2271</v>
      </c>
      <c r="C315" s="81">
        <v>43777</v>
      </c>
      <c r="D315" s="109">
        <v>43815</v>
      </c>
      <c r="E315" s="560"/>
      <c r="F315" s="86" t="s">
        <v>2272</v>
      </c>
      <c r="G315" s="86" t="s">
        <v>181</v>
      </c>
      <c r="H315" s="79" t="s">
        <v>213</v>
      </c>
      <c r="J315" s="73">
        <f t="shared" si="27"/>
        <v>1</v>
      </c>
      <c r="K315" s="74" t="s">
        <v>204</v>
      </c>
      <c r="L315" s="97" t="s">
        <v>2422</v>
      </c>
      <c r="N315" s="76" t="s">
        <v>19</v>
      </c>
      <c r="Q315" s="301" t="s">
        <v>2037</v>
      </c>
      <c r="R315" s="73">
        <f t="shared" si="28"/>
        <v>1</v>
      </c>
      <c r="S315" s="260" t="s">
        <v>1976</v>
      </c>
      <c r="T315" s="260"/>
      <c r="U315" s="260"/>
      <c r="V315" s="260"/>
      <c r="W315" s="260"/>
      <c r="X315" s="260"/>
      <c r="Y315" s="565"/>
      <c r="Z315" s="565"/>
      <c r="AA315" s="566">
        <f t="shared" si="24"/>
        <v>0</v>
      </c>
      <c r="AB315" s="699"/>
    </row>
    <row r="316" spans="1:28" ht="15.75" customHeight="1" x14ac:dyDescent="0.3">
      <c r="A316" s="66" t="s">
        <v>2273</v>
      </c>
      <c r="C316" s="81">
        <v>43780</v>
      </c>
      <c r="D316" s="109">
        <v>43816</v>
      </c>
      <c r="E316" s="560"/>
      <c r="F316" s="86" t="s">
        <v>2274</v>
      </c>
      <c r="G316" s="86" t="s">
        <v>150</v>
      </c>
      <c r="H316" s="79" t="s">
        <v>213</v>
      </c>
      <c r="J316" s="73">
        <f t="shared" si="27"/>
        <v>1</v>
      </c>
      <c r="K316" s="74" t="s">
        <v>204</v>
      </c>
      <c r="Q316" s="76" t="s">
        <v>2109</v>
      </c>
      <c r="R316" s="73">
        <f t="shared" si="28"/>
        <v>1</v>
      </c>
      <c r="S316" s="260" t="s">
        <v>1976</v>
      </c>
      <c r="T316" s="260"/>
      <c r="U316" s="260"/>
      <c r="V316" s="260"/>
      <c r="W316" s="260"/>
      <c r="X316" s="260"/>
      <c r="Y316" s="565"/>
      <c r="Z316" s="565"/>
      <c r="AA316" s="566">
        <f t="shared" si="24"/>
        <v>0</v>
      </c>
      <c r="AB316" s="699"/>
    </row>
    <row r="317" spans="1:28" ht="15.75" customHeight="1" x14ac:dyDescent="0.3">
      <c r="A317" s="66" t="s">
        <v>2275</v>
      </c>
      <c r="C317" s="81">
        <v>43780</v>
      </c>
      <c r="D317" s="109">
        <v>43816</v>
      </c>
      <c r="E317" s="560"/>
      <c r="F317" s="86" t="s">
        <v>2276</v>
      </c>
      <c r="G317" s="86" t="s">
        <v>1384</v>
      </c>
      <c r="H317" s="79" t="s">
        <v>213</v>
      </c>
      <c r="J317" s="73">
        <f t="shared" si="27"/>
        <v>1</v>
      </c>
      <c r="K317" s="74" t="s">
        <v>204</v>
      </c>
      <c r="Q317" s="76" t="s">
        <v>2109</v>
      </c>
      <c r="R317" s="73">
        <f t="shared" si="28"/>
        <v>1</v>
      </c>
      <c r="S317" s="260" t="s">
        <v>1976</v>
      </c>
      <c r="T317" s="260"/>
      <c r="U317" s="260"/>
      <c r="V317" s="260"/>
      <c r="W317" s="260"/>
      <c r="X317" s="260"/>
      <c r="Y317" s="565"/>
      <c r="Z317" s="565"/>
      <c r="AA317" s="566">
        <f t="shared" si="24"/>
        <v>0</v>
      </c>
      <c r="AB317" s="699"/>
    </row>
    <row r="318" spans="1:28" ht="15.75" customHeight="1" x14ac:dyDescent="0.3">
      <c r="A318" s="66" t="s">
        <v>2277</v>
      </c>
      <c r="C318" s="81">
        <v>43780</v>
      </c>
      <c r="D318" s="109">
        <v>43816</v>
      </c>
      <c r="E318" s="560"/>
      <c r="F318" s="86" t="s">
        <v>2278</v>
      </c>
      <c r="G318" s="86" t="s">
        <v>154</v>
      </c>
      <c r="H318" s="79" t="s">
        <v>213</v>
      </c>
      <c r="I318" s="97" t="s">
        <v>604</v>
      </c>
      <c r="J318" s="73">
        <f t="shared" si="27"/>
        <v>1</v>
      </c>
      <c r="K318" s="74" t="s">
        <v>204</v>
      </c>
      <c r="L318" s="97" t="s">
        <v>2444</v>
      </c>
      <c r="N318" s="76" t="s">
        <v>19</v>
      </c>
      <c r="Q318" s="76" t="s">
        <v>2109</v>
      </c>
      <c r="R318" s="73">
        <f t="shared" si="28"/>
        <v>1</v>
      </c>
      <c r="S318" s="260" t="s">
        <v>1976</v>
      </c>
      <c r="T318" s="260"/>
      <c r="U318" s="260"/>
      <c r="V318" s="260"/>
      <c r="W318" s="260"/>
      <c r="X318" s="260"/>
      <c r="Y318" s="565"/>
      <c r="Z318" s="565"/>
      <c r="AA318" s="566">
        <f t="shared" si="24"/>
        <v>0</v>
      </c>
      <c r="AB318" s="699"/>
    </row>
    <row r="319" spans="1:28" ht="15.75" customHeight="1" x14ac:dyDescent="0.3">
      <c r="A319" s="66" t="s">
        <v>2279</v>
      </c>
      <c r="C319" s="81">
        <v>43781</v>
      </c>
      <c r="D319" s="109">
        <v>43817</v>
      </c>
      <c r="E319" s="560"/>
      <c r="F319" s="86" t="s">
        <v>2280</v>
      </c>
      <c r="G319" s="86" t="s">
        <v>147</v>
      </c>
      <c r="H319" s="79" t="s">
        <v>213</v>
      </c>
      <c r="J319" s="73">
        <f t="shared" si="27"/>
        <v>1</v>
      </c>
      <c r="K319" s="74" t="s">
        <v>204</v>
      </c>
      <c r="Q319" s="76" t="s">
        <v>2109</v>
      </c>
      <c r="R319" s="73">
        <f t="shared" si="28"/>
        <v>1</v>
      </c>
      <c r="S319" s="260" t="s">
        <v>1976</v>
      </c>
      <c r="T319" s="260"/>
      <c r="U319" s="260"/>
      <c r="V319" s="260"/>
      <c r="W319" s="260"/>
      <c r="X319" s="260"/>
      <c r="Y319" s="565"/>
      <c r="Z319" s="565"/>
      <c r="AA319" s="566">
        <f t="shared" si="24"/>
        <v>0</v>
      </c>
      <c r="AB319" s="699"/>
    </row>
    <row r="320" spans="1:28" ht="15.75" customHeight="1" x14ac:dyDescent="0.3">
      <c r="A320" s="66" t="s">
        <v>2281</v>
      </c>
      <c r="C320" s="81">
        <v>43782</v>
      </c>
      <c r="D320" s="109">
        <v>43817</v>
      </c>
      <c r="E320" s="560"/>
      <c r="F320" s="86" t="s">
        <v>2282</v>
      </c>
      <c r="G320" s="86" t="s">
        <v>152</v>
      </c>
      <c r="H320" s="79" t="s">
        <v>213</v>
      </c>
      <c r="J320" s="73">
        <f t="shared" si="27"/>
        <v>1</v>
      </c>
      <c r="K320" s="74" t="s">
        <v>204</v>
      </c>
      <c r="Q320" s="76" t="s">
        <v>2109</v>
      </c>
      <c r="R320" s="73">
        <f t="shared" si="28"/>
        <v>1</v>
      </c>
      <c r="S320" s="260" t="s">
        <v>1976</v>
      </c>
      <c r="T320" s="260"/>
      <c r="U320" s="260"/>
      <c r="V320" s="260"/>
      <c r="W320" s="260"/>
      <c r="X320" s="260"/>
      <c r="Y320" s="565"/>
      <c r="Z320" s="565"/>
      <c r="AA320" s="566">
        <f t="shared" si="24"/>
        <v>0</v>
      </c>
      <c r="AB320" s="699"/>
    </row>
    <row r="321" spans="1:28" ht="15.75" customHeight="1" x14ac:dyDescent="0.3">
      <c r="A321" s="66" t="s">
        <v>2283</v>
      </c>
      <c r="C321" s="81">
        <v>43783</v>
      </c>
      <c r="D321" s="109">
        <v>43818</v>
      </c>
      <c r="E321" s="560"/>
      <c r="F321" s="86" t="s">
        <v>2284</v>
      </c>
      <c r="G321" s="86" t="s">
        <v>147</v>
      </c>
      <c r="H321" s="79" t="s">
        <v>213</v>
      </c>
      <c r="J321" s="73">
        <f t="shared" si="27"/>
        <v>1</v>
      </c>
      <c r="K321" s="74" t="s">
        <v>204</v>
      </c>
      <c r="Q321" s="76" t="s">
        <v>2109</v>
      </c>
      <c r="R321" s="73">
        <f t="shared" si="28"/>
        <v>1</v>
      </c>
      <c r="S321" s="260" t="s">
        <v>1976</v>
      </c>
      <c r="T321" s="260"/>
      <c r="U321" s="260"/>
      <c r="V321" s="260"/>
      <c r="W321" s="260"/>
      <c r="X321" s="260"/>
      <c r="Y321" s="565"/>
      <c r="Z321" s="565"/>
      <c r="AA321" s="566">
        <f t="shared" si="24"/>
        <v>0</v>
      </c>
      <c r="AB321" s="699"/>
    </row>
    <row r="322" spans="1:28" ht="15.75" customHeight="1" x14ac:dyDescent="0.3">
      <c r="A322" s="66" t="s">
        <v>2285</v>
      </c>
      <c r="C322" s="81">
        <v>43783</v>
      </c>
      <c r="D322" s="109">
        <v>43818</v>
      </c>
      <c r="E322" s="560"/>
      <c r="F322" s="86" t="s">
        <v>2286</v>
      </c>
      <c r="G322" s="86" t="s">
        <v>147</v>
      </c>
      <c r="H322" s="79" t="s">
        <v>213</v>
      </c>
      <c r="J322" s="73">
        <f t="shared" si="27"/>
        <v>1</v>
      </c>
      <c r="K322" s="74" t="s">
        <v>204</v>
      </c>
      <c r="Q322" s="76" t="s">
        <v>2109</v>
      </c>
      <c r="R322" s="73">
        <f t="shared" si="28"/>
        <v>1</v>
      </c>
      <c r="S322" s="260" t="s">
        <v>1976</v>
      </c>
      <c r="T322" s="260"/>
      <c r="U322" s="260"/>
      <c r="V322" s="260"/>
      <c r="W322" s="260"/>
      <c r="X322" s="260"/>
      <c r="Y322" s="565"/>
      <c r="Z322" s="565"/>
      <c r="AA322" s="566">
        <f t="shared" ref="AA322:AA379" si="29">Z322-Y322</f>
        <v>0</v>
      </c>
      <c r="AB322" s="699"/>
    </row>
    <row r="323" spans="1:28" ht="15.75" customHeight="1" x14ac:dyDescent="0.3">
      <c r="A323" s="66" t="s">
        <v>2287</v>
      </c>
      <c r="C323" s="81">
        <v>43784</v>
      </c>
      <c r="D323" s="109">
        <v>43819</v>
      </c>
      <c r="E323" s="560"/>
      <c r="F323" s="86" t="s">
        <v>2288</v>
      </c>
      <c r="G323" s="86" t="s">
        <v>158</v>
      </c>
      <c r="H323" s="79" t="s">
        <v>268</v>
      </c>
      <c r="I323" s="97" t="s">
        <v>657</v>
      </c>
      <c r="J323" s="73">
        <f t="shared" si="27"/>
        <v>1</v>
      </c>
      <c r="K323" s="74" t="s">
        <v>204</v>
      </c>
      <c r="L323" s="97" t="s">
        <v>2484</v>
      </c>
      <c r="Q323" s="76" t="s">
        <v>2109</v>
      </c>
      <c r="R323" s="73">
        <f t="shared" si="28"/>
        <v>1</v>
      </c>
      <c r="S323" s="260" t="s">
        <v>1976</v>
      </c>
      <c r="T323" s="260"/>
      <c r="U323" s="260"/>
      <c r="V323" s="260"/>
      <c r="W323" s="260"/>
      <c r="X323" s="260"/>
      <c r="Y323" s="565"/>
      <c r="Z323" s="565"/>
      <c r="AA323" s="566">
        <f t="shared" si="29"/>
        <v>0</v>
      </c>
      <c r="AB323" s="699"/>
    </row>
    <row r="324" spans="1:28" ht="15.75" customHeight="1" x14ac:dyDescent="0.3">
      <c r="A324" s="66" t="s">
        <v>2289</v>
      </c>
      <c r="C324" s="81">
        <v>43791</v>
      </c>
      <c r="D324" s="109">
        <v>43815</v>
      </c>
      <c r="E324" s="560"/>
      <c r="F324" s="86" t="s">
        <v>2290</v>
      </c>
      <c r="G324" s="86" t="s">
        <v>156</v>
      </c>
      <c r="H324" s="79" t="s">
        <v>213</v>
      </c>
      <c r="J324" s="73">
        <f t="shared" si="27"/>
        <v>1</v>
      </c>
      <c r="K324" s="74" t="s">
        <v>204</v>
      </c>
      <c r="Q324" s="76" t="s">
        <v>2109</v>
      </c>
      <c r="R324" s="73">
        <f t="shared" si="28"/>
        <v>1</v>
      </c>
      <c r="S324" s="260" t="s">
        <v>1976</v>
      </c>
      <c r="T324" s="260"/>
      <c r="U324" s="260"/>
      <c r="V324" s="260"/>
      <c r="W324" s="260"/>
      <c r="X324" s="260"/>
      <c r="Y324" s="565"/>
      <c r="Z324" s="565"/>
      <c r="AA324" s="566">
        <f t="shared" si="29"/>
        <v>0</v>
      </c>
      <c r="AB324" s="699"/>
    </row>
    <row r="325" spans="1:28" ht="15.75" customHeight="1" x14ac:dyDescent="0.3">
      <c r="A325" s="66" t="s">
        <v>2291</v>
      </c>
      <c r="C325" s="81">
        <v>43791</v>
      </c>
      <c r="D325" s="109">
        <v>43815</v>
      </c>
      <c r="E325" s="560"/>
      <c r="F325" s="86" t="s">
        <v>2292</v>
      </c>
      <c r="G325" s="86" t="s">
        <v>189</v>
      </c>
      <c r="H325" s="79" t="s">
        <v>268</v>
      </c>
      <c r="J325" s="73">
        <f t="shared" si="27"/>
        <v>1</v>
      </c>
      <c r="K325" s="74" t="s">
        <v>204</v>
      </c>
      <c r="Q325" s="76" t="s">
        <v>2109</v>
      </c>
      <c r="R325" s="73">
        <f t="shared" si="28"/>
        <v>1</v>
      </c>
      <c r="S325" s="260" t="s">
        <v>1976</v>
      </c>
      <c r="T325" s="260"/>
      <c r="U325" s="260"/>
      <c r="V325" s="260"/>
      <c r="W325" s="260"/>
      <c r="X325" s="260"/>
      <c r="Y325" s="565"/>
      <c r="Z325" s="565"/>
      <c r="AA325" s="566">
        <f t="shared" si="29"/>
        <v>0</v>
      </c>
      <c r="AB325" s="699"/>
    </row>
    <row r="326" spans="1:28" ht="15.75" customHeight="1" x14ac:dyDescent="0.3">
      <c r="A326" s="66" t="s">
        <v>2299</v>
      </c>
      <c r="C326" s="81">
        <v>43795</v>
      </c>
      <c r="D326" s="109">
        <v>43816</v>
      </c>
      <c r="E326" s="560"/>
      <c r="F326" s="86" t="s">
        <v>2300</v>
      </c>
      <c r="G326" s="86" t="s">
        <v>158</v>
      </c>
      <c r="H326" s="79" t="s">
        <v>213</v>
      </c>
      <c r="J326" s="73">
        <f t="shared" si="27"/>
        <v>1</v>
      </c>
      <c r="K326" s="74" t="s">
        <v>204</v>
      </c>
      <c r="L326" s="97" t="s">
        <v>2437</v>
      </c>
      <c r="Q326" s="76" t="s">
        <v>2109</v>
      </c>
      <c r="R326" s="73">
        <f t="shared" si="28"/>
        <v>1</v>
      </c>
      <c r="S326" s="260" t="s">
        <v>1976</v>
      </c>
      <c r="T326" s="260"/>
      <c r="U326" s="260"/>
      <c r="V326" s="260"/>
      <c r="W326" s="260"/>
      <c r="X326" s="260"/>
      <c r="Y326" s="565"/>
      <c r="Z326" s="565"/>
      <c r="AA326" s="566">
        <f t="shared" si="29"/>
        <v>0</v>
      </c>
      <c r="AB326" s="699"/>
    </row>
    <row r="327" spans="1:28" ht="15.75" customHeight="1" x14ac:dyDescent="0.3">
      <c r="A327" s="66" t="s">
        <v>2301</v>
      </c>
      <c r="C327" s="81">
        <v>43795</v>
      </c>
      <c r="D327" s="109">
        <v>43817</v>
      </c>
      <c r="E327" s="560"/>
      <c r="F327" s="86" t="s">
        <v>2302</v>
      </c>
      <c r="G327" s="86" t="s">
        <v>152</v>
      </c>
      <c r="H327" s="79" t="s">
        <v>213</v>
      </c>
      <c r="J327" s="73">
        <f t="shared" si="27"/>
        <v>1</v>
      </c>
      <c r="K327" s="74" t="s">
        <v>204</v>
      </c>
      <c r="Q327" s="76" t="s">
        <v>2109</v>
      </c>
      <c r="R327" s="73">
        <f t="shared" si="28"/>
        <v>1</v>
      </c>
      <c r="S327" s="260" t="s">
        <v>1976</v>
      </c>
      <c r="T327" s="260"/>
      <c r="U327" s="260"/>
      <c r="V327" s="260"/>
      <c r="W327" s="260"/>
      <c r="X327" s="260"/>
      <c r="Y327" s="565"/>
      <c r="Z327" s="565"/>
      <c r="AA327" s="566">
        <f t="shared" si="29"/>
        <v>0</v>
      </c>
      <c r="AB327" s="699"/>
    </row>
    <row r="328" spans="1:28" ht="15.75" customHeight="1" x14ac:dyDescent="0.3">
      <c r="A328" s="66" t="s">
        <v>2305</v>
      </c>
      <c r="C328" s="81">
        <v>43796</v>
      </c>
      <c r="D328" s="109">
        <v>43817</v>
      </c>
      <c r="E328" s="560"/>
      <c r="F328" s="86" t="s">
        <v>2306</v>
      </c>
      <c r="G328" s="86" t="s">
        <v>152</v>
      </c>
      <c r="H328" s="79" t="s">
        <v>213</v>
      </c>
      <c r="J328" s="73">
        <f t="shared" si="27"/>
        <v>1</v>
      </c>
      <c r="K328" s="74" t="s">
        <v>204</v>
      </c>
      <c r="Q328" s="76" t="s">
        <v>2109</v>
      </c>
      <c r="R328" s="73">
        <f t="shared" si="28"/>
        <v>1</v>
      </c>
      <c r="S328" s="260" t="s">
        <v>1976</v>
      </c>
      <c r="T328" s="260"/>
      <c r="U328" s="260"/>
      <c r="V328" s="260"/>
      <c r="W328" s="260"/>
      <c r="X328" s="260"/>
      <c r="Y328" s="565"/>
      <c r="Z328" s="565"/>
      <c r="AA328" s="566">
        <f t="shared" si="29"/>
        <v>0</v>
      </c>
      <c r="AB328" s="699"/>
    </row>
    <row r="329" spans="1:28" ht="15.75" customHeight="1" x14ac:dyDescent="0.3">
      <c r="A329" s="66" t="s">
        <v>2309</v>
      </c>
      <c r="C329" s="81">
        <v>43796</v>
      </c>
      <c r="D329" s="109">
        <v>43818</v>
      </c>
      <c r="E329" s="560"/>
      <c r="F329" s="86" t="s">
        <v>2310</v>
      </c>
      <c r="G329" s="86" t="s">
        <v>152</v>
      </c>
      <c r="H329" s="79" t="s">
        <v>213</v>
      </c>
      <c r="I329" s="97" t="s">
        <v>649</v>
      </c>
      <c r="J329" s="73">
        <f t="shared" si="27"/>
        <v>1</v>
      </c>
      <c r="K329" s="74" t="s">
        <v>204</v>
      </c>
      <c r="L329" s="97" t="s">
        <v>2475</v>
      </c>
      <c r="Q329" s="76" t="s">
        <v>2109</v>
      </c>
      <c r="R329" s="73">
        <f t="shared" si="28"/>
        <v>1</v>
      </c>
      <c r="S329" s="260" t="s">
        <v>1976</v>
      </c>
      <c r="T329" s="260"/>
      <c r="U329" s="260"/>
      <c r="V329" s="260"/>
      <c r="W329" s="260"/>
      <c r="X329" s="260"/>
      <c r="Y329" s="565"/>
      <c r="Z329" s="565"/>
      <c r="AA329" s="566">
        <f t="shared" si="29"/>
        <v>0</v>
      </c>
      <c r="AB329" s="699"/>
    </row>
    <row r="330" spans="1:28" ht="15.75" customHeight="1" x14ac:dyDescent="0.3">
      <c r="A330" s="66" t="s">
        <v>2319</v>
      </c>
      <c r="C330" s="81">
        <v>43798</v>
      </c>
      <c r="D330" s="109">
        <v>43819</v>
      </c>
      <c r="E330" s="560"/>
      <c r="F330" s="86" t="s">
        <v>2320</v>
      </c>
      <c r="G330" s="86" t="s">
        <v>158</v>
      </c>
      <c r="H330" s="79" t="s">
        <v>213</v>
      </c>
      <c r="J330" s="73">
        <f t="shared" si="27"/>
        <v>1</v>
      </c>
      <c r="K330" s="74" t="s">
        <v>204</v>
      </c>
      <c r="Q330" s="301" t="s">
        <v>2109</v>
      </c>
      <c r="R330" s="73">
        <f t="shared" si="28"/>
        <v>1</v>
      </c>
      <c r="S330" s="260" t="s">
        <v>1976</v>
      </c>
      <c r="T330" s="260"/>
      <c r="U330" s="260"/>
      <c r="V330" s="260"/>
      <c r="W330" s="260"/>
      <c r="X330" s="260"/>
      <c r="Y330" s="565"/>
      <c r="Z330" s="565"/>
      <c r="AA330" s="566">
        <f t="shared" si="29"/>
        <v>0</v>
      </c>
      <c r="AB330" s="699"/>
    </row>
    <row r="331" spans="1:28" ht="15.75" customHeight="1" x14ac:dyDescent="0.3">
      <c r="A331" s="66" t="s">
        <v>2323</v>
      </c>
      <c r="C331" s="81">
        <v>43763</v>
      </c>
      <c r="D331" s="109">
        <v>43815</v>
      </c>
      <c r="E331" s="560"/>
      <c r="F331" s="86" t="s">
        <v>2324</v>
      </c>
      <c r="G331" s="86" t="s">
        <v>156</v>
      </c>
      <c r="H331" s="79" t="s">
        <v>213</v>
      </c>
      <c r="J331" s="73">
        <f t="shared" si="27"/>
        <v>1</v>
      </c>
      <c r="K331" s="74" t="s">
        <v>204</v>
      </c>
      <c r="Q331" s="76" t="s">
        <v>2142</v>
      </c>
      <c r="R331" s="73">
        <f t="shared" si="28"/>
        <v>1</v>
      </c>
      <c r="S331" s="260" t="s">
        <v>1976</v>
      </c>
      <c r="T331" s="260"/>
      <c r="U331" s="260"/>
      <c r="V331" s="260"/>
      <c r="W331" s="260"/>
      <c r="X331" s="260"/>
      <c r="Y331" s="565"/>
      <c r="Z331" s="565"/>
      <c r="AA331" s="566">
        <f t="shared" si="29"/>
        <v>0</v>
      </c>
      <c r="AB331" s="699"/>
    </row>
    <row r="332" spans="1:28" ht="15.75" customHeight="1" x14ac:dyDescent="0.3">
      <c r="A332" s="66" t="s">
        <v>2325</v>
      </c>
      <c r="C332" s="81">
        <v>43777</v>
      </c>
      <c r="D332" s="109">
        <v>43815</v>
      </c>
      <c r="E332" s="560"/>
      <c r="F332" s="86" t="s">
        <v>2326</v>
      </c>
      <c r="G332" s="86" t="s">
        <v>152</v>
      </c>
      <c r="H332" s="79" t="s">
        <v>213</v>
      </c>
      <c r="J332" s="73">
        <f t="shared" si="27"/>
        <v>1</v>
      </c>
      <c r="K332" s="74" t="s">
        <v>204</v>
      </c>
      <c r="Q332" s="76" t="s">
        <v>2142</v>
      </c>
      <c r="R332" s="73">
        <f t="shared" si="28"/>
        <v>1</v>
      </c>
      <c r="S332" s="260" t="s">
        <v>1976</v>
      </c>
      <c r="T332" s="260"/>
      <c r="U332" s="260"/>
      <c r="V332" s="260"/>
      <c r="W332" s="260"/>
      <c r="X332" s="260"/>
      <c r="Y332" s="565"/>
      <c r="Z332" s="565"/>
      <c r="AA332" s="566">
        <f t="shared" si="29"/>
        <v>0</v>
      </c>
      <c r="AB332" s="699"/>
    </row>
    <row r="333" spans="1:28" ht="15.75" customHeight="1" x14ac:dyDescent="0.3">
      <c r="A333" s="66" t="s">
        <v>2327</v>
      </c>
      <c r="C333" s="81">
        <v>43780</v>
      </c>
      <c r="D333" s="109">
        <v>43816</v>
      </c>
      <c r="E333" s="560"/>
      <c r="F333" s="86" t="s">
        <v>2328</v>
      </c>
      <c r="G333" s="86" t="s">
        <v>150</v>
      </c>
      <c r="H333" s="79" t="s">
        <v>213</v>
      </c>
      <c r="J333" s="73">
        <f t="shared" si="27"/>
        <v>1</v>
      </c>
      <c r="K333" s="74" t="s">
        <v>204</v>
      </c>
      <c r="Q333" s="76" t="s">
        <v>2142</v>
      </c>
      <c r="R333" s="73">
        <f t="shared" si="28"/>
        <v>1</v>
      </c>
      <c r="S333" s="260" t="s">
        <v>1976</v>
      </c>
      <c r="T333" s="260"/>
      <c r="U333" s="260"/>
      <c r="V333" s="260"/>
      <c r="W333" s="260"/>
      <c r="X333" s="260"/>
      <c r="Y333" s="565"/>
      <c r="Z333" s="565"/>
      <c r="AA333" s="566">
        <f t="shared" si="29"/>
        <v>0</v>
      </c>
      <c r="AB333" s="699"/>
    </row>
    <row r="334" spans="1:28" ht="15.75" customHeight="1" x14ac:dyDescent="0.3">
      <c r="A334" s="66" t="s">
        <v>2329</v>
      </c>
      <c r="C334" s="81">
        <v>43780</v>
      </c>
      <c r="D334" s="109">
        <v>43816</v>
      </c>
      <c r="E334" s="560"/>
      <c r="F334" s="86" t="s">
        <v>2330</v>
      </c>
      <c r="G334" s="86" t="s">
        <v>152</v>
      </c>
      <c r="H334" s="79" t="s">
        <v>213</v>
      </c>
      <c r="J334" s="73">
        <f t="shared" si="27"/>
        <v>1</v>
      </c>
      <c r="K334" s="74" t="s">
        <v>204</v>
      </c>
      <c r="Q334" s="76" t="s">
        <v>2142</v>
      </c>
      <c r="R334" s="73">
        <f t="shared" si="28"/>
        <v>1</v>
      </c>
      <c r="S334" s="260" t="s">
        <v>1976</v>
      </c>
      <c r="T334" s="260"/>
      <c r="U334" s="260"/>
      <c r="V334" s="260"/>
      <c r="W334" s="260"/>
      <c r="X334" s="260"/>
      <c r="Y334" s="565"/>
      <c r="Z334" s="565"/>
      <c r="AA334" s="566">
        <f t="shared" si="29"/>
        <v>0</v>
      </c>
      <c r="AB334" s="699"/>
    </row>
    <row r="335" spans="1:28" ht="15.75" customHeight="1" x14ac:dyDescent="0.3">
      <c r="A335" s="66" t="s">
        <v>2331</v>
      </c>
      <c r="C335" s="81">
        <v>43780</v>
      </c>
      <c r="D335" s="109">
        <v>43816</v>
      </c>
      <c r="E335" s="560"/>
      <c r="F335" s="86" t="s">
        <v>2332</v>
      </c>
      <c r="G335" s="86" t="s">
        <v>147</v>
      </c>
      <c r="H335" s="79" t="s">
        <v>213</v>
      </c>
      <c r="J335" s="73">
        <f t="shared" si="27"/>
        <v>1</v>
      </c>
      <c r="K335" s="74" t="s">
        <v>204</v>
      </c>
      <c r="Q335" s="76" t="s">
        <v>2142</v>
      </c>
      <c r="R335" s="73">
        <f t="shared" si="28"/>
        <v>1</v>
      </c>
      <c r="S335" s="260" t="s">
        <v>1976</v>
      </c>
      <c r="T335" s="260"/>
      <c r="U335" s="260"/>
      <c r="V335" s="260"/>
      <c r="W335" s="260"/>
      <c r="X335" s="260"/>
      <c r="Y335" s="565"/>
      <c r="Z335" s="565"/>
      <c r="AA335" s="566">
        <f t="shared" si="29"/>
        <v>0</v>
      </c>
      <c r="AB335" s="699"/>
    </row>
    <row r="336" spans="1:28" ht="15.75" customHeight="1" x14ac:dyDescent="0.3">
      <c r="A336" s="66" t="s">
        <v>2333</v>
      </c>
      <c r="C336" s="81">
        <v>43781</v>
      </c>
      <c r="D336" s="109">
        <v>43817</v>
      </c>
      <c r="E336" s="560"/>
      <c r="F336" s="86" t="s">
        <v>2334</v>
      </c>
      <c r="G336" s="86" t="s">
        <v>158</v>
      </c>
      <c r="H336" s="79" t="s">
        <v>213</v>
      </c>
      <c r="J336" s="73">
        <f t="shared" si="27"/>
        <v>1</v>
      </c>
      <c r="K336" s="74" t="s">
        <v>204</v>
      </c>
      <c r="L336" s="97" t="s">
        <v>2445</v>
      </c>
      <c r="Q336" s="76" t="s">
        <v>2142</v>
      </c>
      <c r="R336" s="73">
        <f t="shared" si="28"/>
        <v>1</v>
      </c>
      <c r="S336" s="260" t="s">
        <v>1976</v>
      </c>
      <c r="T336" s="260"/>
      <c r="U336" s="260"/>
      <c r="V336" s="260"/>
      <c r="W336" s="260"/>
      <c r="X336" s="260"/>
      <c r="Y336" s="565"/>
      <c r="Z336" s="565"/>
      <c r="AA336" s="566">
        <f t="shared" si="29"/>
        <v>0</v>
      </c>
      <c r="AB336" s="699"/>
    </row>
    <row r="337" spans="1:28" ht="15.75" customHeight="1" x14ac:dyDescent="0.3">
      <c r="A337" s="66" t="s">
        <v>2335</v>
      </c>
      <c r="C337" s="81">
        <v>43781</v>
      </c>
      <c r="D337" s="109">
        <v>43817</v>
      </c>
      <c r="E337" s="560"/>
      <c r="F337" s="86" t="s">
        <v>2336</v>
      </c>
      <c r="G337" s="86" t="s">
        <v>189</v>
      </c>
      <c r="H337" s="79" t="s">
        <v>213</v>
      </c>
      <c r="J337" s="73">
        <f t="shared" si="27"/>
        <v>1</v>
      </c>
      <c r="K337" s="74" t="s">
        <v>204</v>
      </c>
      <c r="Q337" s="76" t="s">
        <v>2142</v>
      </c>
      <c r="R337" s="73">
        <f t="shared" si="28"/>
        <v>1</v>
      </c>
      <c r="S337" s="260" t="s">
        <v>1976</v>
      </c>
      <c r="T337" s="260"/>
      <c r="U337" s="260"/>
      <c r="V337" s="260"/>
      <c r="W337" s="260"/>
      <c r="X337" s="260"/>
      <c r="Y337" s="565"/>
      <c r="Z337" s="565"/>
      <c r="AA337" s="566">
        <f t="shared" si="29"/>
        <v>0</v>
      </c>
      <c r="AB337" s="699"/>
    </row>
    <row r="338" spans="1:28" ht="15.75" customHeight="1" x14ac:dyDescent="0.3">
      <c r="A338" s="66" t="s">
        <v>1957</v>
      </c>
      <c r="C338" s="81">
        <v>43783</v>
      </c>
      <c r="D338" s="109">
        <v>43818</v>
      </c>
      <c r="E338" s="560"/>
      <c r="F338" s="86" t="s">
        <v>1958</v>
      </c>
      <c r="G338" s="86" t="s">
        <v>150</v>
      </c>
      <c r="H338" s="79" t="s">
        <v>213</v>
      </c>
      <c r="I338" s="97" t="s">
        <v>642</v>
      </c>
      <c r="J338" s="73">
        <f t="shared" si="27"/>
        <v>1</v>
      </c>
      <c r="K338" s="74" t="s">
        <v>204</v>
      </c>
      <c r="Q338" s="76" t="s">
        <v>2142</v>
      </c>
      <c r="R338" s="73">
        <f t="shared" si="28"/>
        <v>1</v>
      </c>
      <c r="S338" s="260" t="s">
        <v>1976</v>
      </c>
      <c r="T338" s="260"/>
      <c r="U338" s="260"/>
      <c r="V338" s="260"/>
      <c r="W338" s="260"/>
      <c r="X338" s="260"/>
      <c r="Y338" s="565"/>
      <c r="Z338" s="565"/>
      <c r="AA338" s="566">
        <f t="shared" si="29"/>
        <v>0</v>
      </c>
      <c r="AB338" s="699"/>
    </row>
    <row r="339" spans="1:28" ht="15.75" customHeight="1" x14ac:dyDescent="0.3">
      <c r="A339" s="66" t="s">
        <v>1959</v>
      </c>
      <c r="C339" s="81">
        <v>43783</v>
      </c>
      <c r="D339" s="109">
        <v>43818</v>
      </c>
      <c r="E339" s="560"/>
      <c r="F339" s="86" t="s">
        <v>1960</v>
      </c>
      <c r="G339" s="86" t="s">
        <v>157</v>
      </c>
      <c r="H339" s="79" t="s">
        <v>213</v>
      </c>
      <c r="J339" s="73">
        <f t="shared" si="27"/>
        <v>1</v>
      </c>
      <c r="K339" s="74" t="s">
        <v>204</v>
      </c>
      <c r="Q339" s="76" t="s">
        <v>2142</v>
      </c>
      <c r="R339" s="73">
        <f t="shared" si="28"/>
        <v>1</v>
      </c>
      <c r="S339" s="260" t="s">
        <v>1976</v>
      </c>
      <c r="T339" s="260"/>
      <c r="U339" s="260"/>
      <c r="V339" s="260"/>
      <c r="W339" s="260"/>
      <c r="X339" s="260"/>
      <c r="Y339" s="565"/>
      <c r="Z339" s="565"/>
      <c r="AA339" s="566">
        <f t="shared" si="29"/>
        <v>0</v>
      </c>
      <c r="AB339" s="699"/>
    </row>
    <row r="340" spans="1:28" ht="15.75" customHeight="1" x14ac:dyDescent="0.3">
      <c r="A340" s="66" t="s">
        <v>2343</v>
      </c>
      <c r="C340" s="81">
        <v>43794</v>
      </c>
      <c r="D340" s="109">
        <v>43815</v>
      </c>
      <c r="E340" s="560"/>
      <c r="F340" s="86" t="s">
        <v>2344</v>
      </c>
      <c r="G340" s="86" t="s">
        <v>156</v>
      </c>
      <c r="H340" s="79" t="s">
        <v>213</v>
      </c>
      <c r="J340" s="73">
        <f t="shared" si="27"/>
        <v>1</v>
      </c>
      <c r="K340" s="74" t="s">
        <v>204</v>
      </c>
      <c r="Q340" s="76" t="s">
        <v>2142</v>
      </c>
      <c r="R340" s="73">
        <f t="shared" si="28"/>
        <v>1</v>
      </c>
      <c r="S340" s="260" t="s">
        <v>1976</v>
      </c>
      <c r="T340" s="260"/>
      <c r="U340" s="260"/>
      <c r="V340" s="260"/>
      <c r="W340" s="260"/>
      <c r="X340" s="260"/>
      <c r="Y340" s="565"/>
      <c r="Z340" s="565"/>
      <c r="AA340" s="566">
        <f t="shared" si="29"/>
        <v>0</v>
      </c>
      <c r="AB340" s="699"/>
    </row>
    <row r="341" spans="1:28" ht="15.75" customHeight="1" x14ac:dyDescent="0.3">
      <c r="A341" s="66" t="s">
        <v>2347</v>
      </c>
      <c r="C341" s="81">
        <v>43794</v>
      </c>
      <c r="D341" s="109">
        <v>43815</v>
      </c>
      <c r="E341" s="560"/>
      <c r="F341" s="86" t="s">
        <v>2348</v>
      </c>
      <c r="G341" s="86" t="s">
        <v>410</v>
      </c>
      <c r="H341" s="79" t="s">
        <v>213</v>
      </c>
      <c r="J341" s="73">
        <f t="shared" ref="J341:J383" si="30">IF(OR(K341="Документы готовы",K341="Запрос в ФО",K341="ЭЗ",K341="РЕШ",K341="РЕШ шаблон"),0.1,IF(OR(K341="ЭЗ согласование",K341="РЕШ согласование"),0.3,IF(OR(K341="ЭЗ согласовано",K341="РЕШ согласовано",K341="РЕШ подписано"),0.6,IF(OR(K341="ЭЗ ПР согласование",K341="РЕШ УВ согласование"),0.9,IF(OR(K341="ЭЗ ПР DONE",K341="РЕШ УВ DONE"),1,0)))))</f>
        <v>1</v>
      </c>
      <c r="K341" s="74" t="s">
        <v>204</v>
      </c>
      <c r="L341" s="97" t="s">
        <v>2423</v>
      </c>
      <c r="N341" s="76" t="s">
        <v>18</v>
      </c>
      <c r="Q341" s="76" t="s">
        <v>2142</v>
      </c>
      <c r="R341" s="73">
        <f t="shared" ref="R341:R383" si="31">IF(S341="В работе",0.3,IF(S341="Отписано",0.6,IF(S341="На доработку",0.9,IF(S341="Согласовано",1,0))))</f>
        <v>1</v>
      </c>
      <c r="S341" s="260" t="s">
        <v>1976</v>
      </c>
      <c r="T341" s="260"/>
      <c r="U341" s="260"/>
      <c r="V341" s="260"/>
      <c r="W341" s="260"/>
      <c r="X341" s="260"/>
      <c r="Y341" s="565"/>
      <c r="Z341" s="565"/>
      <c r="AA341" s="566">
        <f t="shared" si="29"/>
        <v>0</v>
      </c>
      <c r="AB341" s="699"/>
    </row>
    <row r="342" spans="1:28" ht="15.75" customHeight="1" x14ac:dyDescent="0.3">
      <c r="A342" s="66" t="s">
        <v>2351</v>
      </c>
      <c r="C342" s="81">
        <v>43794</v>
      </c>
      <c r="D342" s="109">
        <v>43816</v>
      </c>
      <c r="E342" s="560"/>
      <c r="F342" s="86" t="s">
        <v>2352</v>
      </c>
      <c r="G342" s="86" t="s">
        <v>158</v>
      </c>
      <c r="H342" s="79" t="s">
        <v>213</v>
      </c>
      <c r="J342" s="73">
        <f t="shared" si="30"/>
        <v>1</v>
      </c>
      <c r="K342" s="74" t="s">
        <v>204</v>
      </c>
      <c r="Q342" s="76" t="s">
        <v>2142</v>
      </c>
      <c r="R342" s="73">
        <f t="shared" si="31"/>
        <v>1</v>
      </c>
      <c r="S342" s="260" t="s">
        <v>1976</v>
      </c>
      <c r="T342" s="260"/>
      <c r="U342" s="260"/>
      <c r="V342" s="260"/>
      <c r="W342" s="260"/>
      <c r="X342" s="260"/>
      <c r="Y342" s="565"/>
      <c r="Z342" s="565"/>
      <c r="AA342" s="566">
        <f t="shared" si="29"/>
        <v>0</v>
      </c>
      <c r="AB342" s="699"/>
    </row>
    <row r="343" spans="1:28" ht="15.75" customHeight="1" x14ac:dyDescent="0.3">
      <c r="A343" s="66" t="s">
        <v>2357</v>
      </c>
      <c r="C343" s="81">
        <v>43794</v>
      </c>
      <c r="D343" s="109">
        <v>43816</v>
      </c>
      <c r="E343" s="560"/>
      <c r="F343" s="86" t="s">
        <v>2358</v>
      </c>
      <c r="G343" s="86" t="s">
        <v>154</v>
      </c>
      <c r="H343" s="79" t="s">
        <v>213</v>
      </c>
      <c r="J343" s="73">
        <f t="shared" si="30"/>
        <v>1</v>
      </c>
      <c r="K343" s="74" t="s">
        <v>204</v>
      </c>
      <c r="Q343" s="76" t="s">
        <v>2142</v>
      </c>
      <c r="R343" s="73">
        <f t="shared" si="31"/>
        <v>1</v>
      </c>
      <c r="S343" s="260" t="s">
        <v>1976</v>
      </c>
      <c r="T343" s="260"/>
      <c r="U343" s="260"/>
      <c r="V343" s="260"/>
      <c r="W343" s="260"/>
      <c r="X343" s="260"/>
      <c r="Y343" s="565"/>
      <c r="Z343" s="565"/>
      <c r="AA343" s="566">
        <f t="shared" si="29"/>
        <v>0</v>
      </c>
      <c r="AB343" s="699"/>
    </row>
    <row r="344" spans="1:28" ht="15.75" customHeight="1" x14ac:dyDescent="0.3">
      <c r="A344" s="66" t="s">
        <v>2361</v>
      </c>
      <c r="C344" s="81">
        <v>43796</v>
      </c>
      <c r="D344" s="109">
        <v>43818</v>
      </c>
      <c r="E344" s="560"/>
      <c r="F344" s="86" t="s">
        <v>2362</v>
      </c>
      <c r="G344" s="86" t="s">
        <v>177</v>
      </c>
      <c r="H344" s="79" t="s">
        <v>213</v>
      </c>
      <c r="J344" s="73">
        <f t="shared" si="30"/>
        <v>1</v>
      </c>
      <c r="K344" s="74" t="s">
        <v>204</v>
      </c>
      <c r="Q344" s="76" t="s">
        <v>2142</v>
      </c>
      <c r="R344" s="73">
        <f t="shared" si="31"/>
        <v>1</v>
      </c>
      <c r="S344" s="260" t="s">
        <v>1976</v>
      </c>
      <c r="T344" s="260"/>
      <c r="U344" s="260"/>
      <c r="V344" s="260"/>
      <c r="W344" s="260"/>
      <c r="X344" s="260"/>
      <c r="Y344" s="565"/>
      <c r="Z344" s="565"/>
      <c r="AA344" s="566">
        <f t="shared" si="29"/>
        <v>0</v>
      </c>
      <c r="AB344" s="699"/>
    </row>
    <row r="345" spans="1:28" ht="15.75" customHeight="1" x14ac:dyDescent="0.3">
      <c r="A345" s="321" t="s">
        <v>2365</v>
      </c>
      <c r="C345" s="81">
        <v>43796</v>
      </c>
      <c r="D345" s="109">
        <v>43818</v>
      </c>
      <c r="E345" s="560"/>
      <c r="F345" s="86" t="s">
        <v>2366</v>
      </c>
      <c r="G345" s="86" t="s">
        <v>147</v>
      </c>
      <c r="H345" s="79" t="s">
        <v>213</v>
      </c>
      <c r="J345" s="73">
        <f t="shared" si="30"/>
        <v>1</v>
      </c>
      <c r="K345" s="74" t="s">
        <v>204</v>
      </c>
      <c r="L345" s="97" t="s">
        <v>2481</v>
      </c>
      <c r="Q345" s="76" t="s">
        <v>2142</v>
      </c>
      <c r="R345" s="73">
        <f t="shared" si="31"/>
        <v>1</v>
      </c>
      <c r="S345" s="260" t="s">
        <v>1976</v>
      </c>
      <c r="T345" s="260"/>
      <c r="U345" s="260"/>
      <c r="V345" s="260"/>
      <c r="W345" s="260"/>
      <c r="X345" s="260"/>
      <c r="Y345" s="565"/>
      <c r="Z345" s="565"/>
      <c r="AA345" s="566">
        <f t="shared" si="29"/>
        <v>0</v>
      </c>
      <c r="AB345" s="699"/>
    </row>
    <row r="346" spans="1:28" ht="15.75" customHeight="1" x14ac:dyDescent="0.3">
      <c r="A346" s="66" t="s">
        <v>2367</v>
      </c>
      <c r="C346" s="81">
        <v>43796</v>
      </c>
      <c r="D346" s="109">
        <v>43818</v>
      </c>
      <c r="E346" s="560"/>
      <c r="F346" s="86" t="s">
        <v>2368</v>
      </c>
      <c r="G346" s="86" t="s">
        <v>157</v>
      </c>
      <c r="H346" s="79" t="s">
        <v>213</v>
      </c>
      <c r="J346" s="73">
        <f t="shared" si="30"/>
        <v>1</v>
      </c>
      <c r="K346" s="74" t="s">
        <v>204</v>
      </c>
      <c r="Q346" s="76" t="s">
        <v>2142</v>
      </c>
      <c r="R346" s="73">
        <f t="shared" si="31"/>
        <v>1</v>
      </c>
      <c r="S346" s="260" t="s">
        <v>1976</v>
      </c>
      <c r="T346" s="260"/>
      <c r="U346" s="260"/>
      <c r="V346" s="260"/>
      <c r="W346" s="260"/>
      <c r="X346" s="260"/>
      <c r="Y346" s="565"/>
      <c r="Z346" s="565"/>
      <c r="AA346" s="566">
        <f t="shared" si="29"/>
        <v>0</v>
      </c>
      <c r="AB346" s="699"/>
    </row>
    <row r="347" spans="1:28" ht="15.75" customHeight="1" x14ac:dyDescent="0.3">
      <c r="A347" s="66" t="s">
        <v>2371</v>
      </c>
      <c r="C347" s="81">
        <v>43796</v>
      </c>
      <c r="D347" s="109">
        <v>43818</v>
      </c>
      <c r="E347" s="560"/>
      <c r="F347" s="86" t="s">
        <v>2372</v>
      </c>
      <c r="G347" s="86" t="s">
        <v>158</v>
      </c>
      <c r="H347" s="79" t="s">
        <v>213</v>
      </c>
      <c r="J347" s="73">
        <f t="shared" si="30"/>
        <v>1</v>
      </c>
      <c r="K347" s="74" t="s">
        <v>204</v>
      </c>
      <c r="L347" s="97" t="s">
        <v>2482</v>
      </c>
      <c r="Q347" s="76" t="s">
        <v>2142</v>
      </c>
      <c r="R347" s="73">
        <f t="shared" si="31"/>
        <v>1</v>
      </c>
      <c r="S347" s="260" t="s">
        <v>1976</v>
      </c>
      <c r="T347" s="260"/>
      <c r="U347" s="260"/>
      <c r="V347" s="260"/>
      <c r="W347" s="260"/>
      <c r="X347" s="260"/>
      <c r="Y347" s="565"/>
      <c r="Z347" s="565"/>
      <c r="AA347" s="566">
        <f t="shared" si="29"/>
        <v>0</v>
      </c>
      <c r="AB347" s="699"/>
    </row>
    <row r="348" spans="1:28" ht="15.75" customHeight="1" x14ac:dyDescent="0.3">
      <c r="A348" s="66" t="s">
        <v>2373</v>
      </c>
      <c r="C348" s="81">
        <v>43796</v>
      </c>
      <c r="D348" s="109">
        <v>43817</v>
      </c>
      <c r="E348" s="560"/>
      <c r="F348" s="86" t="s">
        <v>2374</v>
      </c>
      <c r="G348" s="86" t="s">
        <v>156</v>
      </c>
      <c r="H348" s="79" t="s">
        <v>213</v>
      </c>
      <c r="J348" s="73">
        <f t="shared" si="30"/>
        <v>1</v>
      </c>
      <c r="K348" s="74" t="s">
        <v>204</v>
      </c>
      <c r="Q348" s="76" t="s">
        <v>2142</v>
      </c>
      <c r="R348" s="73">
        <f t="shared" si="31"/>
        <v>1</v>
      </c>
      <c r="S348" s="260" t="s">
        <v>1976</v>
      </c>
      <c r="T348" s="260"/>
      <c r="U348" s="260"/>
      <c r="V348" s="260"/>
      <c r="W348" s="260"/>
      <c r="X348" s="260"/>
      <c r="Y348" s="565"/>
      <c r="Z348" s="565"/>
      <c r="AA348" s="566">
        <f t="shared" si="29"/>
        <v>0</v>
      </c>
      <c r="AB348" s="699"/>
    </row>
    <row r="349" spans="1:28" ht="15.75" customHeight="1" x14ac:dyDescent="0.3">
      <c r="A349" s="66" t="s">
        <v>2381</v>
      </c>
      <c r="C349" s="81">
        <v>43767</v>
      </c>
      <c r="D349" s="109">
        <v>43818</v>
      </c>
      <c r="E349" s="560"/>
      <c r="F349" s="86" t="s">
        <v>2382</v>
      </c>
      <c r="G349" s="86" t="s">
        <v>156</v>
      </c>
      <c r="H349" s="79" t="s">
        <v>213</v>
      </c>
      <c r="J349" s="73">
        <f t="shared" si="30"/>
        <v>1</v>
      </c>
      <c r="K349" s="74" t="s">
        <v>204</v>
      </c>
      <c r="Q349" s="76" t="s">
        <v>2383</v>
      </c>
      <c r="R349" s="73">
        <f t="shared" si="31"/>
        <v>1</v>
      </c>
      <c r="S349" s="260" t="s">
        <v>1976</v>
      </c>
      <c r="T349" s="260"/>
      <c r="U349" s="260"/>
      <c r="V349" s="260"/>
      <c r="W349" s="260"/>
      <c r="X349" s="260"/>
      <c r="Y349" s="565"/>
      <c r="Z349" s="565"/>
      <c r="AA349" s="566">
        <f t="shared" si="29"/>
        <v>0</v>
      </c>
      <c r="AB349" s="699"/>
    </row>
    <row r="350" spans="1:28" ht="15.75" customHeight="1" x14ac:dyDescent="0.3">
      <c r="A350" s="66" t="s">
        <v>2384</v>
      </c>
      <c r="C350" s="81">
        <v>43769</v>
      </c>
      <c r="D350" s="109">
        <v>43815</v>
      </c>
      <c r="E350" s="560"/>
      <c r="F350" s="86" t="s">
        <v>2385</v>
      </c>
      <c r="G350" s="86" t="s">
        <v>156</v>
      </c>
      <c r="H350" s="79" t="s">
        <v>213</v>
      </c>
      <c r="J350" s="73">
        <f t="shared" si="30"/>
        <v>1</v>
      </c>
      <c r="K350" s="74" t="s">
        <v>204</v>
      </c>
      <c r="Q350" s="76" t="s">
        <v>2383</v>
      </c>
      <c r="R350" s="73">
        <f t="shared" si="31"/>
        <v>1</v>
      </c>
      <c r="S350" s="260" t="s">
        <v>1976</v>
      </c>
      <c r="T350" s="260"/>
      <c r="U350" s="260"/>
      <c r="V350" s="260"/>
      <c r="W350" s="260"/>
      <c r="X350" s="260"/>
      <c r="Y350" s="565"/>
      <c r="Z350" s="565"/>
      <c r="AA350" s="566">
        <f t="shared" si="29"/>
        <v>0</v>
      </c>
      <c r="AB350" s="699"/>
    </row>
    <row r="351" spans="1:28" ht="15.75" customHeight="1" x14ac:dyDescent="0.3">
      <c r="A351" s="66" t="s">
        <v>2386</v>
      </c>
      <c r="C351" s="81">
        <v>43777</v>
      </c>
      <c r="D351" s="109">
        <v>43815</v>
      </c>
      <c r="E351" s="560"/>
      <c r="F351" s="86" t="s">
        <v>2387</v>
      </c>
      <c r="G351" s="86" t="s">
        <v>158</v>
      </c>
      <c r="H351" s="79" t="s">
        <v>213</v>
      </c>
      <c r="J351" s="73">
        <f t="shared" si="30"/>
        <v>1</v>
      </c>
      <c r="K351" s="74" t="s">
        <v>204</v>
      </c>
      <c r="Q351" s="301" t="s">
        <v>2383</v>
      </c>
      <c r="R351" s="73">
        <f t="shared" si="31"/>
        <v>1</v>
      </c>
      <c r="S351" s="260" t="s">
        <v>1976</v>
      </c>
      <c r="T351" s="260"/>
      <c r="U351" s="260"/>
      <c r="V351" s="260"/>
      <c r="W351" s="260"/>
      <c r="X351" s="260"/>
      <c r="Y351" s="565"/>
      <c r="Z351" s="565"/>
      <c r="AA351" s="566">
        <f t="shared" si="29"/>
        <v>0</v>
      </c>
      <c r="AB351" s="699"/>
    </row>
    <row r="352" spans="1:28" ht="15.75" customHeight="1" x14ac:dyDescent="0.3">
      <c r="A352" s="66" t="s">
        <v>2388</v>
      </c>
      <c r="C352" s="81">
        <v>43780</v>
      </c>
      <c r="D352" s="109">
        <v>43816</v>
      </c>
      <c r="E352" s="560"/>
      <c r="F352" s="86" t="s">
        <v>2389</v>
      </c>
      <c r="G352" s="86" t="s">
        <v>150</v>
      </c>
      <c r="H352" s="79" t="s">
        <v>213</v>
      </c>
      <c r="J352" s="73">
        <f t="shared" si="30"/>
        <v>1</v>
      </c>
      <c r="K352" s="74" t="s">
        <v>204</v>
      </c>
      <c r="Q352" s="76" t="s">
        <v>2383</v>
      </c>
      <c r="R352" s="73">
        <f t="shared" si="31"/>
        <v>1</v>
      </c>
      <c r="S352" s="260" t="s">
        <v>1976</v>
      </c>
      <c r="T352" s="260"/>
      <c r="U352" s="260"/>
      <c r="V352" s="260"/>
      <c r="W352" s="260"/>
      <c r="X352" s="260"/>
      <c r="Y352" s="565"/>
      <c r="Z352" s="565"/>
      <c r="AA352" s="566">
        <f t="shared" si="29"/>
        <v>0</v>
      </c>
      <c r="AB352" s="699"/>
    </row>
    <row r="353" spans="1:28" ht="15.75" customHeight="1" x14ac:dyDescent="0.3">
      <c r="A353" s="66" t="s">
        <v>2390</v>
      </c>
      <c r="C353" s="81">
        <v>43780</v>
      </c>
      <c r="D353" s="109">
        <v>43816</v>
      </c>
      <c r="E353" s="560"/>
      <c r="F353" s="86" t="s">
        <v>2391</v>
      </c>
      <c r="G353" s="86" t="s">
        <v>158</v>
      </c>
      <c r="H353" s="79" t="s">
        <v>213</v>
      </c>
      <c r="J353" s="73">
        <f t="shared" si="30"/>
        <v>1</v>
      </c>
      <c r="K353" s="74" t="s">
        <v>204</v>
      </c>
      <c r="Q353" s="76" t="s">
        <v>2383</v>
      </c>
      <c r="R353" s="73">
        <f t="shared" si="31"/>
        <v>1</v>
      </c>
      <c r="S353" s="260" t="s">
        <v>1976</v>
      </c>
      <c r="T353" s="260"/>
      <c r="U353" s="260"/>
      <c r="V353" s="260"/>
      <c r="W353" s="260"/>
      <c r="X353" s="260"/>
      <c r="Y353" s="565"/>
      <c r="Z353" s="565"/>
      <c r="AA353" s="566">
        <f t="shared" si="29"/>
        <v>0</v>
      </c>
      <c r="AB353" s="699"/>
    </row>
    <row r="354" spans="1:28" ht="15.75" customHeight="1" x14ac:dyDescent="0.3">
      <c r="A354" s="66" t="s">
        <v>2392</v>
      </c>
      <c r="C354" s="81">
        <v>43782</v>
      </c>
      <c r="D354" s="109">
        <v>43817</v>
      </c>
      <c r="E354" s="560"/>
      <c r="F354" s="86" t="s">
        <v>2393</v>
      </c>
      <c r="G354" s="86" t="s">
        <v>158</v>
      </c>
      <c r="H354" s="79" t="s">
        <v>213</v>
      </c>
      <c r="J354" s="73">
        <f t="shared" si="30"/>
        <v>1</v>
      </c>
      <c r="K354" s="74" t="s">
        <v>204</v>
      </c>
      <c r="Q354" s="76" t="s">
        <v>2383</v>
      </c>
      <c r="R354" s="73">
        <f t="shared" si="31"/>
        <v>1</v>
      </c>
      <c r="S354" s="260" t="s">
        <v>1976</v>
      </c>
      <c r="T354" s="260"/>
      <c r="U354" s="260"/>
      <c r="V354" s="260"/>
      <c r="W354" s="260"/>
      <c r="X354" s="260"/>
      <c r="Y354" s="565"/>
      <c r="Z354" s="565"/>
      <c r="AA354" s="566">
        <f t="shared" si="29"/>
        <v>0</v>
      </c>
      <c r="AB354" s="699"/>
    </row>
    <row r="355" spans="1:28" ht="15.75" customHeight="1" x14ac:dyDescent="0.3">
      <c r="A355" s="66" t="s">
        <v>2394</v>
      </c>
      <c r="C355" s="81">
        <v>43782</v>
      </c>
      <c r="D355" s="109">
        <v>43818</v>
      </c>
      <c r="E355" s="560"/>
      <c r="F355" s="86" t="s">
        <v>2395</v>
      </c>
      <c r="G355" s="86" t="s">
        <v>147</v>
      </c>
      <c r="H355" s="79" t="s">
        <v>213</v>
      </c>
      <c r="I355" s="97" t="s">
        <v>645</v>
      </c>
      <c r="J355" s="73">
        <f t="shared" si="30"/>
        <v>1</v>
      </c>
      <c r="K355" s="74" t="s">
        <v>204</v>
      </c>
      <c r="L355" s="97" t="s">
        <v>2476</v>
      </c>
      <c r="N355" s="76" t="s">
        <v>18</v>
      </c>
      <c r="Q355" s="76" t="s">
        <v>2383</v>
      </c>
      <c r="R355" s="73">
        <f t="shared" si="31"/>
        <v>1</v>
      </c>
      <c r="S355" s="260" t="s">
        <v>1976</v>
      </c>
      <c r="T355" s="260"/>
      <c r="U355" s="260"/>
      <c r="V355" s="260"/>
      <c r="W355" s="260"/>
      <c r="X355" s="260"/>
      <c r="Y355" s="565"/>
      <c r="Z355" s="565"/>
      <c r="AA355" s="566">
        <f t="shared" si="29"/>
        <v>0</v>
      </c>
      <c r="AB355" s="699"/>
    </row>
    <row r="356" spans="1:28" ht="15.75" customHeight="1" x14ac:dyDescent="0.3">
      <c r="A356" s="66" t="s">
        <v>2396</v>
      </c>
      <c r="C356" s="81">
        <v>43784</v>
      </c>
      <c r="D356" s="109">
        <v>43819</v>
      </c>
      <c r="E356" s="560"/>
      <c r="F356" s="86" t="s">
        <v>2397</v>
      </c>
      <c r="G356" s="97" t="s">
        <v>152</v>
      </c>
      <c r="H356" s="79" t="s">
        <v>213</v>
      </c>
      <c r="J356" s="73">
        <f t="shared" si="30"/>
        <v>1</v>
      </c>
      <c r="K356" s="74" t="s">
        <v>204</v>
      </c>
      <c r="Q356" s="76" t="s">
        <v>2383</v>
      </c>
      <c r="R356" s="73">
        <f t="shared" si="31"/>
        <v>1</v>
      </c>
      <c r="S356" s="260" t="s">
        <v>1976</v>
      </c>
      <c r="T356" s="260"/>
      <c r="U356" s="260"/>
      <c r="V356" s="260"/>
      <c r="W356" s="260"/>
      <c r="X356" s="260"/>
      <c r="Y356" s="565"/>
      <c r="Z356" s="565"/>
      <c r="AA356" s="566">
        <f t="shared" si="29"/>
        <v>0</v>
      </c>
      <c r="AB356" s="699"/>
    </row>
    <row r="357" spans="1:28" ht="15.75" customHeight="1" x14ac:dyDescent="0.3">
      <c r="A357" s="66" t="s">
        <v>2400</v>
      </c>
      <c r="C357" s="81">
        <v>43794</v>
      </c>
      <c r="D357" s="109">
        <v>43816</v>
      </c>
      <c r="E357" s="560"/>
      <c r="F357" s="86" t="s">
        <v>2401</v>
      </c>
      <c r="G357" s="86" t="s">
        <v>166</v>
      </c>
      <c r="H357" s="79" t="s">
        <v>213</v>
      </c>
      <c r="J357" s="73">
        <f t="shared" si="30"/>
        <v>1</v>
      </c>
      <c r="K357" s="74" t="s">
        <v>204</v>
      </c>
      <c r="Q357" s="76" t="s">
        <v>2383</v>
      </c>
      <c r="R357" s="73">
        <f t="shared" si="31"/>
        <v>1</v>
      </c>
      <c r="S357" s="260" t="s">
        <v>1976</v>
      </c>
      <c r="T357" s="260"/>
      <c r="U357" s="260"/>
      <c r="V357" s="260"/>
      <c r="W357" s="260"/>
      <c r="X357" s="260"/>
      <c r="Y357" s="565"/>
      <c r="Z357" s="565"/>
      <c r="AA357" s="566">
        <f t="shared" si="29"/>
        <v>0</v>
      </c>
      <c r="AB357" s="699"/>
    </row>
    <row r="358" spans="1:28" ht="15.75" customHeight="1" x14ac:dyDescent="0.3">
      <c r="A358" s="66" t="s">
        <v>2402</v>
      </c>
      <c r="C358" s="81">
        <v>43795</v>
      </c>
      <c r="D358" s="109">
        <v>43817</v>
      </c>
      <c r="E358" s="560"/>
      <c r="F358" s="86" t="s">
        <v>2403</v>
      </c>
      <c r="G358" s="97" t="s">
        <v>156</v>
      </c>
      <c r="H358" s="79" t="s">
        <v>213</v>
      </c>
      <c r="J358" s="73">
        <f t="shared" si="30"/>
        <v>1</v>
      </c>
      <c r="K358" s="74" t="s">
        <v>204</v>
      </c>
      <c r="Q358" s="76" t="s">
        <v>2383</v>
      </c>
      <c r="R358" s="73">
        <f t="shared" si="31"/>
        <v>1</v>
      </c>
      <c r="S358" s="260" t="s">
        <v>1976</v>
      </c>
      <c r="T358" s="260"/>
      <c r="U358" s="260"/>
      <c r="V358" s="260"/>
      <c r="W358" s="260"/>
      <c r="X358" s="260"/>
      <c r="Y358" s="565"/>
      <c r="Z358" s="565"/>
      <c r="AA358" s="566">
        <f t="shared" si="29"/>
        <v>0</v>
      </c>
      <c r="AB358" s="699"/>
    </row>
    <row r="359" spans="1:28" ht="15.75" customHeight="1" x14ac:dyDescent="0.3">
      <c r="A359" s="66" t="s">
        <v>2406</v>
      </c>
      <c r="C359" s="81">
        <v>43796</v>
      </c>
      <c r="D359" s="109">
        <v>43818</v>
      </c>
      <c r="E359" s="560"/>
      <c r="F359" s="86" t="s">
        <v>2407</v>
      </c>
      <c r="G359" s="86" t="s">
        <v>147</v>
      </c>
      <c r="H359" s="79" t="s">
        <v>213</v>
      </c>
      <c r="I359" s="97" t="s">
        <v>854</v>
      </c>
      <c r="J359" s="73">
        <f t="shared" si="30"/>
        <v>1</v>
      </c>
      <c r="K359" s="74" t="s">
        <v>204</v>
      </c>
      <c r="Q359" s="76" t="s">
        <v>2383</v>
      </c>
      <c r="R359" s="73">
        <f t="shared" si="31"/>
        <v>1</v>
      </c>
      <c r="S359" s="260" t="s">
        <v>1976</v>
      </c>
      <c r="T359" s="260"/>
      <c r="U359" s="260"/>
      <c r="V359" s="260"/>
      <c r="W359" s="260"/>
      <c r="X359" s="260"/>
      <c r="Y359" s="565"/>
      <c r="Z359" s="565"/>
      <c r="AA359" s="566">
        <f t="shared" si="29"/>
        <v>0</v>
      </c>
      <c r="AB359" s="699"/>
    </row>
    <row r="360" spans="1:28" ht="15.75" customHeight="1" x14ac:dyDescent="0.3">
      <c r="A360" s="66" t="s">
        <v>2410</v>
      </c>
      <c r="C360" s="81">
        <v>43797</v>
      </c>
      <c r="D360" s="109">
        <v>43819</v>
      </c>
      <c r="E360" s="560"/>
      <c r="F360" s="86" t="s">
        <v>2411</v>
      </c>
      <c r="G360" s="86" t="s">
        <v>172</v>
      </c>
      <c r="H360" s="79" t="s">
        <v>213</v>
      </c>
      <c r="J360" s="73">
        <f t="shared" si="30"/>
        <v>1</v>
      </c>
      <c r="K360" s="74" t="s">
        <v>204</v>
      </c>
      <c r="Q360" s="76" t="s">
        <v>2383</v>
      </c>
      <c r="R360" s="73">
        <f t="shared" si="31"/>
        <v>1</v>
      </c>
      <c r="S360" s="260" t="s">
        <v>1976</v>
      </c>
      <c r="T360" s="260"/>
      <c r="U360" s="260"/>
      <c r="V360" s="260"/>
      <c r="W360" s="260"/>
      <c r="X360" s="260"/>
      <c r="Y360" s="565"/>
      <c r="Z360" s="565"/>
      <c r="AA360" s="566">
        <f t="shared" si="29"/>
        <v>0</v>
      </c>
      <c r="AB360" s="699"/>
    </row>
    <row r="361" spans="1:28" ht="15.75" customHeight="1" x14ac:dyDescent="0.3">
      <c r="A361" s="66" t="s">
        <v>2415</v>
      </c>
      <c r="C361" s="81">
        <v>43794</v>
      </c>
      <c r="D361" s="109">
        <v>43816</v>
      </c>
      <c r="E361" s="560"/>
      <c r="F361" s="97" t="s">
        <v>2419</v>
      </c>
      <c r="G361" s="86" t="s">
        <v>152</v>
      </c>
      <c r="H361" s="96" t="s">
        <v>213</v>
      </c>
      <c r="J361" s="73">
        <f t="shared" si="30"/>
        <v>1</v>
      </c>
      <c r="K361" s="74" t="s">
        <v>204</v>
      </c>
      <c r="Q361" s="301" t="s">
        <v>2417</v>
      </c>
      <c r="R361" s="73">
        <f t="shared" si="31"/>
        <v>1</v>
      </c>
      <c r="S361" s="260" t="s">
        <v>1976</v>
      </c>
      <c r="T361" s="260"/>
      <c r="U361" s="260"/>
      <c r="V361" s="260"/>
      <c r="W361" s="260"/>
      <c r="X361" s="260"/>
      <c r="Y361" s="565"/>
      <c r="Z361" s="565"/>
      <c r="AA361" s="566">
        <f t="shared" si="29"/>
        <v>0</v>
      </c>
      <c r="AB361" s="699"/>
    </row>
    <row r="362" spans="1:28" ht="15.75" customHeight="1" x14ac:dyDescent="0.3">
      <c r="A362" s="66" t="s">
        <v>2416</v>
      </c>
      <c r="C362" s="81">
        <v>43777</v>
      </c>
      <c r="D362" s="109">
        <v>43815</v>
      </c>
      <c r="E362" s="560"/>
      <c r="F362" s="97" t="s">
        <v>2418</v>
      </c>
      <c r="G362" s="97" t="s">
        <v>152</v>
      </c>
      <c r="H362" s="96" t="s">
        <v>213</v>
      </c>
      <c r="J362" s="73">
        <f t="shared" si="30"/>
        <v>1</v>
      </c>
      <c r="K362" s="74" t="s">
        <v>204</v>
      </c>
      <c r="Q362" s="301" t="s">
        <v>2417</v>
      </c>
      <c r="R362" s="73">
        <f t="shared" si="31"/>
        <v>1</v>
      </c>
      <c r="S362" s="260" t="s">
        <v>1976</v>
      </c>
      <c r="T362" s="260"/>
      <c r="U362" s="260"/>
      <c r="V362" s="260"/>
      <c r="W362" s="260"/>
      <c r="X362" s="260"/>
      <c r="Y362" s="565"/>
      <c r="Z362" s="565"/>
      <c r="AA362" s="566">
        <f t="shared" si="29"/>
        <v>0</v>
      </c>
      <c r="AB362" s="699"/>
    </row>
    <row r="363" spans="1:28" ht="15.75" customHeight="1" x14ac:dyDescent="0.3">
      <c r="A363" s="66" t="s">
        <v>2424</v>
      </c>
      <c r="C363" s="81">
        <v>43790</v>
      </c>
      <c r="D363" s="109">
        <v>43815</v>
      </c>
      <c r="E363" s="560"/>
      <c r="F363" s="97" t="s">
        <v>2425</v>
      </c>
      <c r="G363" s="86" t="s">
        <v>156</v>
      </c>
      <c r="H363" s="96" t="s">
        <v>213</v>
      </c>
      <c r="J363" s="73">
        <f t="shared" si="30"/>
        <v>1</v>
      </c>
      <c r="K363" s="74" t="s">
        <v>204</v>
      </c>
      <c r="Q363" s="301" t="s">
        <v>2417</v>
      </c>
      <c r="R363" s="73">
        <f t="shared" si="31"/>
        <v>1</v>
      </c>
      <c r="S363" s="260" t="s">
        <v>1976</v>
      </c>
      <c r="T363" s="260"/>
      <c r="U363" s="260"/>
      <c r="V363" s="260"/>
      <c r="W363" s="260"/>
      <c r="X363" s="260"/>
      <c r="Y363" s="565"/>
      <c r="Z363" s="565"/>
      <c r="AA363" s="566">
        <f t="shared" si="29"/>
        <v>0</v>
      </c>
      <c r="AB363" s="699"/>
    </row>
    <row r="364" spans="1:28" ht="15.75" customHeight="1" x14ac:dyDescent="0.3">
      <c r="A364" s="66" t="s">
        <v>2431</v>
      </c>
      <c r="C364" s="81">
        <v>43780</v>
      </c>
      <c r="D364" s="109">
        <v>43816</v>
      </c>
      <c r="E364" s="560"/>
      <c r="F364" s="97" t="s">
        <v>2432</v>
      </c>
      <c r="G364" s="97" t="s">
        <v>152</v>
      </c>
      <c r="H364" s="96" t="s">
        <v>213</v>
      </c>
      <c r="J364" s="73">
        <f t="shared" si="30"/>
        <v>1</v>
      </c>
      <c r="K364" s="74" t="s">
        <v>204</v>
      </c>
      <c r="L364" s="97" t="s">
        <v>2436</v>
      </c>
      <c r="Q364" s="301" t="s">
        <v>2417</v>
      </c>
      <c r="R364" s="73">
        <f t="shared" si="31"/>
        <v>1</v>
      </c>
      <c r="S364" s="260" t="s">
        <v>1976</v>
      </c>
      <c r="T364" s="260"/>
      <c r="U364" s="260"/>
      <c r="V364" s="260"/>
      <c r="W364" s="260"/>
      <c r="X364" s="260"/>
      <c r="Y364" s="565"/>
      <c r="Z364" s="565"/>
      <c r="AA364" s="566">
        <f t="shared" si="29"/>
        <v>0</v>
      </c>
      <c r="AB364" s="699"/>
    </row>
    <row r="365" spans="1:28" ht="15.75" customHeight="1" x14ac:dyDescent="0.3">
      <c r="A365" s="66" t="s">
        <v>2433</v>
      </c>
      <c r="C365" s="81">
        <v>43780</v>
      </c>
      <c r="D365" s="109">
        <v>43816</v>
      </c>
      <c r="E365" s="560"/>
      <c r="F365" s="97" t="s">
        <v>2434</v>
      </c>
      <c r="G365" s="97" t="s">
        <v>150</v>
      </c>
      <c r="H365" s="96" t="s">
        <v>213</v>
      </c>
      <c r="J365" s="73">
        <f t="shared" si="30"/>
        <v>1</v>
      </c>
      <c r="K365" s="74" t="s">
        <v>204</v>
      </c>
      <c r="Q365" s="301" t="s">
        <v>2417</v>
      </c>
      <c r="R365" s="73">
        <f t="shared" si="31"/>
        <v>1</v>
      </c>
      <c r="S365" s="260" t="s">
        <v>1976</v>
      </c>
      <c r="T365" s="260"/>
      <c r="U365" s="260"/>
      <c r="V365" s="260"/>
      <c r="W365" s="260"/>
      <c r="X365" s="260"/>
      <c r="Y365" s="565"/>
      <c r="Z365" s="565"/>
      <c r="AA365" s="566">
        <f t="shared" si="29"/>
        <v>0</v>
      </c>
      <c r="AB365" s="699"/>
    </row>
    <row r="366" spans="1:28" ht="15.75" customHeight="1" x14ac:dyDescent="0.3">
      <c r="A366" s="66" t="s">
        <v>2438</v>
      </c>
      <c r="C366" s="81">
        <v>43795</v>
      </c>
      <c r="D366" s="109">
        <v>43817</v>
      </c>
      <c r="E366" s="560"/>
      <c r="F366" s="97" t="s">
        <v>2439</v>
      </c>
      <c r="G366" s="97" t="s">
        <v>152</v>
      </c>
      <c r="H366" s="96" t="s">
        <v>213</v>
      </c>
      <c r="J366" s="73">
        <f t="shared" si="30"/>
        <v>1</v>
      </c>
      <c r="K366" s="74" t="s">
        <v>204</v>
      </c>
      <c r="L366" s="97" t="s">
        <v>2471</v>
      </c>
      <c r="N366" s="76" t="s">
        <v>19</v>
      </c>
      <c r="Q366" s="301" t="s">
        <v>2417</v>
      </c>
      <c r="R366" s="73">
        <f t="shared" si="31"/>
        <v>1</v>
      </c>
      <c r="S366" s="260" t="s">
        <v>1976</v>
      </c>
      <c r="T366" s="260"/>
      <c r="U366" s="260"/>
      <c r="V366" s="260"/>
      <c r="W366" s="260"/>
      <c r="X366" s="260"/>
      <c r="Y366" s="565"/>
      <c r="Z366" s="565"/>
      <c r="AA366" s="566">
        <f t="shared" si="29"/>
        <v>0</v>
      </c>
      <c r="AB366" s="699"/>
    </row>
    <row r="367" spans="1:28" ht="15.75" customHeight="1" x14ac:dyDescent="0.3">
      <c r="A367" s="66" t="s">
        <v>2440</v>
      </c>
      <c r="C367" s="81">
        <v>43795</v>
      </c>
      <c r="D367" s="109">
        <v>43817</v>
      </c>
      <c r="E367" s="560"/>
      <c r="F367" s="97" t="s">
        <v>2441</v>
      </c>
      <c r="G367" s="97" t="s">
        <v>152</v>
      </c>
      <c r="H367" s="96" t="s">
        <v>213</v>
      </c>
      <c r="J367" s="73">
        <f t="shared" si="30"/>
        <v>1</v>
      </c>
      <c r="K367" s="74" t="s">
        <v>204</v>
      </c>
      <c r="L367" s="97" t="s">
        <v>2448</v>
      </c>
      <c r="Q367" s="76" t="s">
        <v>2417</v>
      </c>
      <c r="R367" s="73">
        <f t="shared" si="31"/>
        <v>1</v>
      </c>
      <c r="S367" s="260" t="s">
        <v>1976</v>
      </c>
      <c r="T367" s="260"/>
      <c r="U367" s="260"/>
      <c r="V367" s="260"/>
      <c r="W367" s="260"/>
      <c r="X367" s="260"/>
      <c r="Y367" s="565"/>
      <c r="Z367" s="565"/>
      <c r="AA367" s="566">
        <f t="shared" si="29"/>
        <v>0</v>
      </c>
      <c r="AB367" s="699"/>
    </row>
    <row r="368" spans="1:28" ht="15.75" customHeight="1" x14ac:dyDescent="0.3">
      <c r="A368" s="66" t="s">
        <v>2442</v>
      </c>
      <c r="C368" s="81">
        <v>43795</v>
      </c>
      <c r="D368" s="109">
        <v>43817</v>
      </c>
      <c r="E368" s="560"/>
      <c r="F368" s="97" t="s">
        <v>2443</v>
      </c>
      <c r="G368" s="97" t="s">
        <v>166</v>
      </c>
      <c r="H368" s="96" t="s">
        <v>213</v>
      </c>
      <c r="J368" s="73">
        <f t="shared" si="30"/>
        <v>1</v>
      </c>
      <c r="K368" s="74" t="s">
        <v>204</v>
      </c>
      <c r="L368" s="97" t="s">
        <v>2447</v>
      </c>
      <c r="Q368" s="301" t="s">
        <v>2417</v>
      </c>
      <c r="R368" s="73">
        <f t="shared" si="31"/>
        <v>1</v>
      </c>
      <c r="S368" s="260" t="s">
        <v>1976</v>
      </c>
      <c r="T368" s="260"/>
      <c r="U368" s="260"/>
      <c r="V368" s="260"/>
      <c r="W368" s="260"/>
      <c r="X368" s="260"/>
      <c r="Y368" s="565"/>
      <c r="Z368" s="565"/>
      <c r="AA368" s="566">
        <f t="shared" si="29"/>
        <v>0</v>
      </c>
      <c r="AB368" s="699"/>
    </row>
    <row r="369" spans="1:28" ht="15.75" customHeight="1" x14ac:dyDescent="0.3">
      <c r="A369" s="93" t="s">
        <v>2449</v>
      </c>
      <c r="C369" s="115">
        <v>43782</v>
      </c>
      <c r="D369" s="109">
        <v>43817</v>
      </c>
      <c r="E369" s="560"/>
      <c r="F369" s="86" t="s">
        <v>2451</v>
      </c>
      <c r="G369" s="86" t="s">
        <v>152</v>
      </c>
      <c r="H369" s="79" t="s">
        <v>213</v>
      </c>
      <c r="J369" s="73">
        <f t="shared" si="30"/>
        <v>1</v>
      </c>
      <c r="K369" s="74" t="s">
        <v>204</v>
      </c>
      <c r="Q369" s="76" t="s">
        <v>2417</v>
      </c>
      <c r="R369" s="73">
        <f t="shared" si="31"/>
        <v>1</v>
      </c>
      <c r="S369" s="260" t="s">
        <v>1976</v>
      </c>
      <c r="T369" s="260"/>
      <c r="U369" s="260"/>
      <c r="V369" s="260"/>
      <c r="W369" s="260"/>
      <c r="X369" s="260"/>
      <c r="Y369" s="565"/>
      <c r="Z369" s="565"/>
      <c r="AA369" s="566">
        <f t="shared" si="29"/>
        <v>0</v>
      </c>
      <c r="AB369" s="699"/>
    </row>
    <row r="370" spans="1:28" ht="15.75" customHeight="1" x14ac:dyDescent="0.3">
      <c r="A370" s="93" t="s">
        <v>2450</v>
      </c>
      <c r="C370" s="115">
        <v>43795</v>
      </c>
      <c r="D370" s="109">
        <v>43817</v>
      </c>
      <c r="E370" s="560"/>
      <c r="F370" s="86" t="s">
        <v>2452</v>
      </c>
      <c r="G370" s="86" t="s">
        <v>156</v>
      </c>
      <c r="H370" s="79" t="s">
        <v>213</v>
      </c>
      <c r="I370" s="97" t="s">
        <v>649</v>
      </c>
      <c r="J370" s="73">
        <f t="shared" si="30"/>
        <v>1</v>
      </c>
      <c r="K370" s="74" t="s">
        <v>204</v>
      </c>
      <c r="L370" s="97" t="s">
        <v>2472</v>
      </c>
      <c r="N370" s="76" t="s">
        <v>19</v>
      </c>
      <c r="Q370" s="76" t="s">
        <v>2417</v>
      </c>
      <c r="R370" s="73">
        <f t="shared" si="31"/>
        <v>1</v>
      </c>
      <c r="S370" s="260" t="s">
        <v>1976</v>
      </c>
      <c r="T370" s="260"/>
      <c r="U370" s="260"/>
      <c r="V370" s="260"/>
      <c r="W370" s="260"/>
      <c r="X370" s="260"/>
      <c r="Y370" s="565"/>
      <c r="Z370" s="565"/>
      <c r="AA370" s="566">
        <f t="shared" si="29"/>
        <v>0</v>
      </c>
      <c r="AB370" s="699"/>
    </row>
    <row r="371" spans="1:28" ht="15.75" customHeight="1" x14ac:dyDescent="0.3">
      <c r="A371" s="93" t="s">
        <v>2453</v>
      </c>
      <c r="C371" s="115">
        <v>43783</v>
      </c>
      <c r="D371" s="312">
        <v>43818</v>
      </c>
      <c r="E371" s="560"/>
      <c r="F371" s="86" t="s">
        <v>2462</v>
      </c>
      <c r="G371" s="86" t="s">
        <v>168</v>
      </c>
      <c r="H371" s="79" t="s">
        <v>213</v>
      </c>
      <c r="J371" s="73">
        <f t="shared" si="30"/>
        <v>1</v>
      </c>
      <c r="K371" s="74" t="s">
        <v>204</v>
      </c>
      <c r="L371" s="97" t="s">
        <v>2474</v>
      </c>
      <c r="Q371" s="76" t="s">
        <v>2417</v>
      </c>
      <c r="R371" s="73">
        <f t="shared" si="31"/>
        <v>1</v>
      </c>
      <c r="S371" s="260" t="s">
        <v>1976</v>
      </c>
      <c r="T371" s="260"/>
      <c r="U371" s="260"/>
      <c r="V371" s="260"/>
      <c r="W371" s="260"/>
      <c r="X371" s="260"/>
      <c r="Y371" s="565"/>
      <c r="Z371" s="565"/>
      <c r="AA371" s="566">
        <f t="shared" si="29"/>
        <v>0</v>
      </c>
      <c r="AB371" s="699"/>
    </row>
    <row r="372" spans="1:28" ht="15.75" customHeight="1" x14ac:dyDescent="0.3">
      <c r="A372" s="93" t="s">
        <v>2454</v>
      </c>
      <c r="C372" s="115">
        <v>43783</v>
      </c>
      <c r="D372" s="312">
        <v>43818</v>
      </c>
      <c r="E372" s="560"/>
      <c r="F372" s="86" t="s">
        <v>2463</v>
      </c>
      <c r="G372" s="86" t="s">
        <v>157</v>
      </c>
      <c r="H372" s="79" t="s">
        <v>213</v>
      </c>
      <c r="I372" s="97" t="s">
        <v>645</v>
      </c>
      <c r="J372" s="73">
        <f t="shared" si="30"/>
        <v>1</v>
      </c>
      <c r="K372" s="74" t="s">
        <v>204</v>
      </c>
      <c r="Q372" s="76" t="s">
        <v>2417</v>
      </c>
      <c r="R372" s="73">
        <f t="shared" si="31"/>
        <v>1</v>
      </c>
      <c r="S372" s="260" t="s">
        <v>1976</v>
      </c>
      <c r="T372" s="260"/>
      <c r="U372" s="260"/>
      <c r="V372" s="260"/>
      <c r="W372" s="260"/>
      <c r="X372" s="260"/>
      <c r="Y372" s="565"/>
      <c r="Z372" s="565"/>
      <c r="AA372" s="566">
        <f t="shared" si="29"/>
        <v>0</v>
      </c>
      <c r="AB372" s="699"/>
    </row>
    <row r="373" spans="1:28" ht="15.75" customHeight="1" x14ac:dyDescent="0.3">
      <c r="A373" s="93" t="s">
        <v>2455</v>
      </c>
      <c r="C373" s="115">
        <v>43784</v>
      </c>
      <c r="D373" s="312">
        <v>43819</v>
      </c>
      <c r="E373" s="560"/>
      <c r="F373" s="86" t="s">
        <v>2464</v>
      </c>
      <c r="G373" s="86" t="s">
        <v>158</v>
      </c>
      <c r="H373" s="79" t="s">
        <v>213</v>
      </c>
      <c r="J373" s="73">
        <f t="shared" si="30"/>
        <v>1</v>
      </c>
      <c r="K373" s="74" t="s">
        <v>204</v>
      </c>
      <c r="Q373" s="301" t="s">
        <v>2417</v>
      </c>
      <c r="R373" s="73">
        <f t="shared" si="31"/>
        <v>1</v>
      </c>
      <c r="S373" s="260" t="s">
        <v>1976</v>
      </c>
      <c r="T373" s="260"/>
      <c r="U373" s="260"/>
      <c r="V373" s="260"/>
      <c r="W373" s="260"/>
      <c r="X373" s="260"/>
      <c r="Y373" s="565"/>
      <c r="Z373" s="565"/>
      <c r="AA373" s="566">
        <f t="shared" si="29"/>
        <v>0</v>
      </c>
      <c r="AB373" s="699"/>
    </row>
    <row r="374" spans="1:28" ht="15.75" customHeight="1" x14ac:dyDescent="0.3">
      <c r="A374" s="93" t="s">
        <v>2456</v>
      </c>
      <c r="C374" s="115">
        <v>43784</v>
      </c>
      <c r="D374" s="312">
        <v>43843</v>
      </c>
      <c r="E374" s="560"/>
      <c r="F374" s="86" t="s">
        <v>2465</v>
      </c>
      <c r="G374" s="86" t="s">
        <v>152</v>
      </c>
      <c r="H374" s="79" t="s">
        <v>213</v>
      </c>
      <c r="I374" s="97" t="s">
        <v>3187</v>
      </c>
      <c r="J374" s="73">
        <f t="shared" si="30"/>
        <v>1</v>
      </c>
      <c r="K374" s="74" t="s">
        <v>204</v>
      </c>
      <c r="L374" s="97"/>
      <c r="N374" s="76" t="s">
        <v>19</v>
      </c>
      <c r="Q374" s="76" t="s">
        <v>2417</v>
      </c>
      <c r="R374" s="73">
        <f t="shared" si="31"/>
        <v>1</v>
      </c>
      <c r="S374" s="260" t="s">
        <v>1976</v>
      </c>
      <c r="T374" s="260"/>
      <c r="U374" s="260"/>
      <c r="V374" s="260"/>
      <c r="W374" s="260"/>
      <c r="X374" s="260"/>
      <c r="Y374" s="565"/>
      <c r="Z374" s="565"/>
      <c r="AA374" s="566">
        <f t="shared" si="29"/>
        <v>0</v>
      </c>
      <c r="AB374" s="699"/>
    </row>
    <row r="375" spans="1:28" ht="15.75" customHeight="1" x14ac:dyDescent="0.3">
      <c r="A375" s="93" t="s">
        <v>2457</v>
      </c>
      <c r="C375" s="115">
        <v>43796</v>
      </c>
      <c r="D375" s="312">
        <v>43818</v>
      </c>
      <c r="E375" s="560"/>
      <c r="F375" s="86" t="s">
        <v>2466</v>
      </c>
      <c r="G375" s="86" t="s">
        <v>189</v>
      </c>
      <c r="H375" s="79" t="s">
        <v>213</v>
      </c>
      <c r="I375" s="97" t="s">
        <v>2478</v>
      </c>
      <c r="J375" s="73">
        <f t="shared" si="30"/>
        <v>1</v>
      </c>
      <c r="K375" s="74" t="s">
        <v>204</v>
      </c>
      <c r="L375" s="97" t="s">
        <v>2477</v>
      </c>
      <c r="N375" s="76" t="s">
        <v>19</v>
      </c>
      <c r="Q375" s="76" t="s">
        <v>2417</v>
      </c>
      <c r="R375" s="73">
        <f t="shared" si="31"/>
        <v>1</v>
      </c>
      <c r="S375" s="260" t="s">
        <v>1976</v>
      </c>
      <c r="T375" s="260"/>
      <c r="U375" s="260"/>
      <c r="V375" s="260"/>
      <c r="W375" s="260"/>
      <c r="X375" s="260"/>
      <c r="Y375" s="565"/>
      <c r="Z375" s="565"/>
      <c r="AA375" s="566">
        <f t="shared" si="29"/>
        <v>0</v>
      </c>
      <c r="AB375" s="699"/>
    </row>
    <row r="376" spans="1:28" ht="15.75" customHeight="1" x14ac:dyDescent="0.3">
      <c r="A376" s="93" t="s">
        <v>2458</v>
      </c>
      <c r="C376" s="115">
        <v>43796</v>
      </c>
      <c r="D376" s="312">
        <v>43818</v>
      </c>
      <c r="E376" s="560"/>
      <c r="F376" s="86" t="s">
        <v>2467</v>
      </c>
      <c r="G376" s="86" t="s">
        <v>156</v>
      </c>
      <c r="H376" s="79" t="s">
        <v>213</v>
      </c>
      <c r="J376" s="73">
        <f t="shared" si="30"/>
        <v>1</v>
      </c>
      <c r="K376" s="74" t="s">
        <v>204</v>
      </c>
      <c r="L376" s="97" t="s">
        <v>2473</v>
      </c>
      <c r="N376" s="76" t="s">
        <v>18</v>
      </c>
      <c r="Q376" s="76" t="s">
        <v>2417</v>
      </c>
      <c r="R376" s="73">
        <f t="shared" si="31"/>
        <v>1</v>
      </c>
      <c r="S376" s="260" t="s">
        <v>1976</v>
      </c>
      <c r="T376" s="260"/>
      <c r="U376" s="260"/>
      <c r="V376" s="260"/>
      <c r="W376" s="260"/>
      <c r="X376" s="260"/>
      <c r="Y376" s="565"/>
      <c r="Z376" s="565"/>
      <c r="AA376" s="566">
        <f t="shared" si="29"/>
        <v>0</v>
      </c>
      <c r="AB376" s="699"/>
    </row>
    <row r="377" spans="1:28" ht="15.75" customHeight="1" x14ac:dyDescent="0.3">
      <c r="A377" s="93" t="s">
        <v>2459</v>
      </c>
      <c r="C377" s="115">
        <v>43796</v>
      </c>
      <c r="D377" s="312">
        <v>43818</v>
      </c>
      <c r="E377" s="560"/>
      <c r="F377" s="86" t="s">
        <v>2468</v>
      </c>
      <c r="G377" s="86" t="s">
        <v>538</v>
      </c>
      <c r="H377" s="79" t="s">
        <v>213</v>
      </c>
      <c r="I377" s="97" t="s">
        <v>2479</v>
      </c>
      <c r="J377" s="73">
        <f t="shared" si="30"/>
        <v>1</v>
      </c>
      <c r="K377" s="74" t="s">
        <v>204</v>
      </c>
      <c r="N377" s="76" t="s">
        <v>18</v>
      </c>
      <c r="Q377" s="76" t="s">
        <v>2417</v>
      </c>
      <c r="R377" s="73">
        <f t="shared" si="31"/>
        <v>1</v>
      </c>
      <c r="S377" s="260" t="s">
        <v>1976</v>
      </c>
      <c r="T377" s="260"/>
      <c r="U377" s="260"/>
      <c r="V377" s="260"/>
      <c r="W377" s="260"/>
      <c r="X377" s="260"/>
      <c r="Y377" s="565"/>
      <c r="Z377" s="565"/>
      <c r="AA377" s="566">
        <f t="shared" si="29"/>
        <v>0</v>
      </c>
      <c r="AB377" s="699"/>
    </row>
    <row r="378" spans="1:28" ht="15.75" customHeight="1" x14ac:dyDescent="0.3">
      <c r="A378" s="93" t="s">
        <v>2460</v>
      </c>
      <c r="C378" s="115">
        <v>43797</v>
      </c>
      <c r="D378" s="312">
        <v>43819</v>
      </c>
      <c r="E378" s="560"/>
      <c r="F378" s="86" t="s">
        <v>2469</v>
      </c>
      <c r="G378" s="86" t="s">
        <v>156</v>
      </c>
      <c r="H378" s="79" t="s">
        <v>213</v>
      </c>
      <c r="I378" s="97" t="s">
        <v>995</v>
      </c>
      <c r="J378" s="73">
        <f t="shared" si="30"/>
        <v>1</v>
      </c>
      <c r="K378" s="74" t="s">
        <v>204</v>
      </c>
      <c r="N378" s="76" t="s">
        <v>19</v>
      </c>
      <c r="Q378" s="76" t="s">
        <v>2417</v>
      </c>
      <c r="R378" s="73">
        <f t="shared" si="31"/>
        <v>1</v>
      </c>
      <c r="S378" s="260" t="s">
        <v>1976</v>
      </c>
      <c r="T378" s="260"/>
      <c r="U378" s="260"/>
      <c r="V378" s="260"/>
      <c r="W378" s="260"/>
      <c r="X378" s="260"/>
      <c r="Y378" s="565"/>
      <c r="Z378" s="565"/>
      <c r="AA378" s="566">
        <f t="shared" si="29"/>
        <v>0</v>
      </c>
      <c r="AB378" s="699"/>
    </row>
    <row r="379" spans="1:28" ht="15.75" customHeight="1" x14ac:dyDescent="0.3">
      <c r="A379" s="93" t="s">
        <v>2461</v>
      </c>
      <c r="C379" s="115">
        <v>43797</v>
      </c>
      <c r="D379" s="312">
        <v>43819</v>
      </c>
      <c r="E379" s="560"/>
      <c r="F379" s="252" t="s">
        <v>2470</v>
      </c>
      <c r="G379" s="86" t="s">
        <v>410</v>
      </c>
      <c r="H379" s="79" t="s">
        <v>213</v>
      </c>
      <c r="J379" s="73">
        <f t="shared" si="30"/>
        <v>1</v>
      </c>
      <c r="K379" s="74" t="s">
        <v>204</v>
      </c>
      <c r="Q379" s="76" t="s">
        <v>2417</v>
      </c>
      <c r="R379" s="73">
        <f t="shared" si="31"/>
        <v>1</v>
      </c>
      <c r="S379" s="260" t="s">
        <v>1976</v>
      </c>
      <c r="T379" s="260"/>
      <c r="U379" s="260"/>
      <c r="V379" s="260"/>
      <c r="W379" s="260"/>
      <c r="X379" s="260"/>
      <c r="Y379" s="565"/>
      <c r="Z379" s="565"/>
      <c r="AA379" s="566">
        <f t="shared" si="29"/>
        <v>0</v>
      </c>
      <c r="AB379" s="699"/>
    </row>
    <row r="380" spans="1:28" ht="15.75" customHeight="1" x14ac:dyDescent="0.3">
      <c r="A380" s="66" t="s">
        <v>1891</v>
      </c>
      <c r="C380" s="81">
        <v>43776</v>
      </c>
      <c r="D380" s="109">
        <v>43826</v>
      </c>
      <c r="E380" s="560"/>
      <c r="F380" s="86" t="s">
        <v>1892</v>
      </c>
      <c r="G380" s="86" t="s">
        <v>156</v>
      </c>
      <c r="H380" s="79" t="s">
        <v>213</v>
      </c>
      <c r="J380" s="73">
        <f t="shared" si="30"/>
        <v>1</v>
      </c>
      <c r="K380" s="74" t="s">
        <v>204</v>
      </c>
      <c r="Q380" s="76" t="s">
        <v>2076</v>
      </c>
      <c r="R380" s="73">
        <f t="shared" si="31"/>
        <v>1</v>
      </c>
      <c r="S380" s="260" t="s">
        <v>1976</v>
      </c>
      <c r="T380" s="260"/>
      <c r="U380" s="260"/>
      <c r="V380" s="260"/>
      <c r="W380" s="260"/>
      <c r="X380" s="260"/>
      <c r="Y380" s="565"/>
      <c r="Z380" s="565"/>
      <c r="AA380" s="566">
        <f t="shared" ref="AA380:AA439" si="32">Z380-Y380</f>
        <v>0</v>
      </c>
      <c r="AB380" s="699"/>
    </row>
    <row r="381" spans="1:28" ht="15.75" customHeight="1" x14ac:dyDescent="0.3">
      <c r="A381" s="66" t="s">
        <v>2486</v>
      </c>
      <c r="C381" s="81">
        <v>43784</v>
      </c>
      <c r="D381" s="109">
        <v>43822</v>
      </c>
      <c r="E381" s="560"/>
      <c r="F381" s="86" t="s">
        <v>2487</v>
      </c>
      <c r="G381" s="86" t="s">
        <v>156</v>
      </c>
      <c r="H381" s="79" t="s">
        <v>213</v>
      </c>
      <c r="J381" s="73">
        <f t="shared" si="30"/>
        <v>1</v>
      </c>
      <c r="K381" s="74" t="s">
        <v>204</v>
      </c>
      <c r="Q381" s="76" t="s">
        <v>2076</v>
      </c>
      <c r="R381" s="73">
        <f t="shared" si="31"/>
        <v>1</v>
      </c>
      <c r="S381" s="260" t="s">
        <v>1976</v>
      </c>
      <c r="T381" s="260"/>
      <c r="U381" s="260"/>
      <c r="V381" s="260"/>
      <c r="W381" s="260"/>
      <c r="X381" s="260"/>
      <c r="Y381" s="565"/>
      <c r="Z381" s="565"/>
      <c r="AA381" s="566">
        <f t="shared" si="32"/>
        <v>0</v>
      </c>
      <c r="AB381" s="699"/>
    </row>
    <row r="382" spans="1:28" ht="15.75" customHeight="1" x14ac:dyDescent="0.3">
      <c r="A382" s="66" t="s">
        <v>2488</v>
      </c>
      <c r="C382" s="81">
        <v>43784</v>
      </c>
      <c r="D382" s="109">
        <v>43822</v>
      </c>
      <c r="E382" s="560"/>
      <c r="F382" s="86" t="s">
        <v>2489</v>
      </c>
      <c r="G382" s="86" t="s">
        <v>150</v>
      </c>
      <c r="H382" s="79" t="s">
        <v>213</v>
      </c>
      <c r="J382" s="73">
        <f t="shared" si="30"/>
        <v>1</v>
      </c>
      <c r="K382" s="74" t="s">
        <v>204</v>
      </c>
      <c r="Q382" s="76" t="s">
        <v>2076</v>
      </c>
      <c r="R382" s="73">
        <f t="shared" si="31"/>
        <v>1</v>
      </c>
      <c r="S382" s="260" t="s">
        <v>1976</v>
      </c>
      <c r="T382" s="260"/>
      <c r="U382" s="260"/>
      <c r="V382" s="260"/>
      <c r="W382" s="260"/>
      <c r="X382" s="260"/>
      <c r="Y382" s="565"/>
      <c r="Z382" s="565"/>
      <c r="AA382" s="566">
        <f t="shared" si="32"/>
        <v>0</v>
      </c>
      <c r="AB382" s="699"/>
    </row>
    <row r="383" spans="1:28" ht="15.75" customHeight="1" x14ac:dyDescent="0.3">
      <c r="A383" s="66" t="s">
        <v>2084</v>
      </c>
      <c r="C383" s="81">
        <v>43787</v>
      </c>
      <c r="D383" s="109">
        <v>43823</v>
      </c>
      <c r="E383" s="560"/>
      <c r="F383" s="86" t="s">
        <v>2085</v>
      </c>
      <c r="G383" s="86" t="s">
        <v>152</v>
      </c>
      <c r="H383" s="79" t="s">
        <v>213</v>
      </c>
      <c r="J383" s="73">
        <f t="shared" si="30"/>
        <v>1</v>
      </c>
      <c r="K383" s="74" t="s">
        <v>204</v>
      </c>
      <c r="Q383" s="76" t="s">
        <v>2076</v>
      </c>
      <c r="R383" s="73">
        <f t="shared" si="31"/>
        <v>1</v>
      </c>
      <c r="S383" s="260" t="s">
        <v>1976</v>
      </c>
      <c r="T383" s="260"/>
      <c r="U383" s="260"/>
      <c r="V383" s="260"/>
      <c r="W383" s="260"/>
      <c r="X383" s="260"/>
      <c r="Y383" s="565"/>
      <c r="Z383" s="565"/>
      <c r="AA383" s="566">
        <f t="shared" si="32"/>
        <v>0</v>
      </c>
      <c r="AB383" s="699"/>
    </row>
    <row r="384" spans="1:28" ht="15.75" customHeight="1" x14ac:dyDescent="0.3">
      <c r="A384" s="66" t="s">
        <v>2090</v>
      </c>
      <c r="C384" s="81">
        <v>43787</v>
      </c>
      <c r="D384" s="109">
        <v>43823</v>
      </c>
      <c r="E384" s="560"/>
      <c r="F384" s="86" t="s">
        <v>2091</v>
      </c>
      <c r="G384" s="86" t="s">
        <v>158</v>
      </c>
      <c r="H384" s="79" t="s">
        <v>213</v>
      </c>
      <c r="J384" s="73">
        <f t="shared" ref="J384:J419" si="33">IF(OR(K384="Документы готовы",K384="Запрос в ФО",K384="ЭЗ",K384="РЕШ",K384="РЕШ шаблон"),0.1,IF(OR(K384="ЭЗ согласование",K384="РЕШ согласование"),0.3,IF(OR(K384="ЭЗ согласовано",K384="РЕШ согласовано",K384="РЕШ подписано"),0.6,IF(OR(K384="ЭЗ ПР согласование",K384="РЕШ УВ согласование"),0.9,IF(OR(K384="ЭЗ ПР DONE",K384="РЕШ УВ DONE"),1,0)))))</f>
        <v>1</v>
      </c>
      <c r="K384" s="260" t="s">
        <v>204</v>
      </c>
      <c r="Q384" s="76" t="s">
        <v>2076</v>
      </c>
      <c r="R384" s="73">
        <f t="shared" ref="R384:R419" si="34">IF(S384="В работе",0.3,IF(S384="Отписано",0.6,IF(S384="На доработку",0.9,IF(S384="Согласовано",1,0))))</f>
        <v>1</v>
      </c>
      <c r="S384" s="260" t="s">
        <v>1976</v>
      </c>
      <c r="T384" s="260"/>
      <c r="U384" s="260"/>
      <c r="V384" s="260"/>
      <c r="W384" s="260"/>
      <c r="X384" s="260"/>
      <c r="Y384" s="565"/>
      <c r="Z384" s="565"/>
      <c r="AA384" s="566">
        <f t="shared" si="32"/>
        <v>0</v>
      </c>
      <c r="AB384" s="699"/>
    </row>
    <row r="385" spans="1:28" ht="15.75" customHeight="1" x14ac:dyDescent="0.3">
      <c r="A385" s="66" t="s">
        <v>2092</v>
      </c>
      <c r="C385" s="81">
        <v>43788</v>
      </c>
      <c r="D385" s="109">
        <v>43824</v>
      </c>
      <c r="E385" s="560"/>
      <c r="F385" s="86" t="s">
        <v>2093</v>
      </c>
      <c r="G385" s="86" t="s">
        <v>152</v>
      </c>
      <c r="H385" s="79" t="s">
        <v>213</v>
      </c>
      <c r="J385" s="73">
        <f t="shared" si="33"/>
        <v>1</v>
      </c>
      <c r="K385" s="74" t="s">
        <v>204</v>
      </c>
      <c r="L385" s="97" t="s">
        <v>2807</v>
      </c>
      <c r="Q385" s="76" t="s">
        <v>2076</v>
      </c>
      <c r="R385" s="73">
        <f t="shared" si="34"/>
        <v>1</v>
      </c>
      <c r="S385" s="260" t="s">
        <v>1976</v>
      </c>
      <c r="T385" s="260"/>
      <c r="U385" s="260"/>
      <c r="V385" s="260"/>
      <c r="W385" s="260"/>
      <c r="X385" s="260"/>
      <c r="Y385" s="565"/>
      <c r="Z385" s="565"/>
      <c r="AA385" s="566">
        <f t="shared" si="32"/>
        <v>0</v>
      </c>
      <c r="AB385" s="699"/>
    </row>
    <row r="386" spans="1:28" ht="15.75" customHeight="1" x14ac:dyDescent="0.3">
      <c r="A386" s="66" t="s">
        <v>2094</v>
      </c>
      <c r="C386" s="81">
        <v>43788</v>
      </c>
      <c r="D386" s="109">
        <v>43824</v>
      </c>
      <c r="E386" s="560"/>
      <c r="F386" s="86" t="s">
        <v>2095</v>
      </c>
      <c r="G386" s="86" t="s">
        <v>154</v>
      </c>
      <c r="H386" s="79" t="s">
        <v>213</v>
      </c>
      <c r="J386" s="73">
        <f t="shared" si="33"/>
        <v>1</v>
      </c>
      <c r="K386" s="74" t="s">
        <v>204</v>
      </c>
      <c r="Q386" s="301" t="s">
        <v>2076</v>
      </c>
      <c r="R386" s="73">
        <f t="shared" si="34"/>
        <v>1</v>
      </c>
      <c r="S386" s="260" t="s">
        <v>1976</v>
      </c>
      <c r="T386" s="260"/>
      <c r="U386" s="260"/>
      <c r="V386" s="260"/>
      <c r="W386" s="260"/>
      <c r="X386" s="260"/>
      <c r="Y386" s="565"/>
      <c r="Z386" s="565"/>
      <c r="AA386" s="566">
        <f t="shared" si="32"/>
        <v>0</v>
      </c>
      <c r="AB386" s="699"/>
    </row>
    <row r="387" spans="1:28" ht="15.75" customHeight="1" x14ac:dyDescent="0.3">
      <c r="A387" s="66" t="s">
        <v>2490</v>
      </c>
      <c r="C387" s="81">
        <v>43788</v>
      </c>
      <c r="D387" s="109">
        <v>43823</v>
      </c>
      <c r="E387" s="560"/>
      <c r="F387" s="86" t="s">
        <v>2491</v>
      </c>
      <c r="G387" s="86" t="s">
        <v>150</v>
      </c>
      <c r="H387" s="79" t="s">
        <v>213</v>
      </c>
      <c r="J387" s="73">
        <f t="shared" si="33"/>
        <v>1</v>
      </c>
      <c r="K387" s="74" t="s">
        <v>204</v>
      </c>
      <c r="Q387" s="76" t="s">
        <v>2076</v>
      </c>
      <c r="R387" s="73">
        <f t="shared" si="34"/>
        <v>1</v>
      </c>
      <c r="S387" s="260" t="s">
        <v>1976</v>
      </c>
      <c r="T387" s="260"/>
      <c r="U387" s="260"/>
      <c r="V387" s="260"/>
      <c r="W387" s="260"/>
      <c r="X387" s="260"/>
      <c r="Y387" s="565"/>
      <c r="Z387" s="565"/>
      <c r="AA387" s="566">
        <f t="shared" si="32"/>
        <v>0</v>
      </c>
      <c r="AB387" s="699"/>
    </row>
    <row r="388" spans="1:28" ht="15.75" customHeight="1" x14ac:dyDescent="0.3">
      <c r="A388" s="66" t="s">
        <v>2096</v>
      </c>
      <c r="C388" s="81">
        <v>43789</v>
      </c>
      <c r="D388" s="109">
        <v>43824</v>
      </c>
      <c r="E388" s="560"/>
      <c r="F388" s="86" t="s">
        <v>2097</v>
      </c>
      <c r="G388" s="86" t="s">
        <v>147</v>
      </c>
      <c r="H388" s="79" t="s">
        <v>213</v>
      </c>
      <c r="J388" s="73">
        <f t="shared" si="33"/>
        <v>1</v>
      </c>
      <c r="K388" s="74" t="s">
        <v>204</v>
      </c>
      <c r="Q388" s="76" t="s">
        <v>2076</v>
      </c>
      <c r="R388" s="73">
        <f t="shared" si="34"/>
        <v>1</v>
      </c>
      <c r="S388" s="260" t="s">
        <v>1976</v>
      </c>
      <c r="T388" s="260"/>
      <c r="U388" s="260"/>
      <c r="V388" s="260"/>
      <c r="W388" s="260"/>
      <c r="X388" s="260"/>
      <c r="Y388" s="565"/>
      <c r="Z388" s="565"/>
      <c r="AA388" s="566">
        <f t="shared" si="32"/>
        <v>0</v>
      </c>
      <c r="AB388" s="699"/>
    </row>
    <row r="389" spans="1:28" ht="15.75" customHeight="1" x14ac:dyDescent="0.3">
      <c r="A389" s="66" t="s">
        <v>2100</v>
      </c>
      <c r="C389" s="81">
        <v>43790</v>
      </c>
      <c r="D389" s="109">
        <v>43825</v>
      </c>
      <c r="E389" s="560"/>
      <c r="F389" s="86" t="s">
        <v>2101</v>
      </c>
      <c r="G389" s="86" t="s">
        <v>156</v>
      </c>
      <c r="H389" s="79" t="s">
        <v>213</v>
      </c>
      <c r="J389" s="73">
        <f t="shared" si="33"/>
        <v>1</v>
      </c>
      <c r="K389" s="74" t="s">
        <v>204</v>
      </c>
      <c r="Q389" s="76" t="s">
        <v>2076</v>
      </c>
      <c r="R389" s="73">
        <f t="shared" si="34"/>
        <v>1</v>
      </c>
      <c r="S389" s="260" t="s">
        <v>1976</v>
      </c>
      <c r="T389" s="260"/>
      <c r="U389" s="260"/>
      <c r="V389" s="260"/>
      <c r="W389" s="260"/>
      <c r="X389" s="260"/>
      <c r="Y389" s="565"/>
      <c r="Z389" s="565"/>
      <c r="AA389" s="566">
        <f t="shared" si="32"/>
        <v>0</v>
      </c>
      <c r="AB389" s="699"/>
    </row>
    <row r="390" spans="1:28" ht="15.75" customHeight="1" x14ac:dyDescent="0.3">
      <c r="A390" s="66" t="s">
        <v>2102</v>
      </c>
      <c r="C390" s="81">
        <v>43790</v>
      </c>
      <c r="D390" s="109">
        <v>43825</v>
      </c>
      <c r="E390" s="560"/>
      <c r="F390" s="86" t="s">
        <v>2103</v>
      </c>
      <c r="G390" s="86" t="s">
        <v>2104</v>
      </c>
      <c r="H390" s="79" t="s">
        <v>213</v>
      </c>
      <c r="J390" s="73">
        <f t="shared" si="33"/>
        <v>1</v>
      </c>
      <c r="K390" s="74" t="s">
        <v>204</v>
      </c>
      <c r="Q390" s="76" t="s">
        <v>2076</v>
      </c>
      <c r="R390" s="73">
        <f t="shared" si="34"/>
        <v>1</v>
      </c>
      <c r="S390" s="260" t="s">
        <v>1976</v>
      </c>
      <c r="T390" s="260"/>
      <c r="U390" s="260"/>
      <c r="V390" s="260"/>
      <c r="W390" s="260"/>
      <c r="X390" s="260"/>
      <c r="Y390" s="565"/>
      <c r="Z390" s="565"/>
      <c r="AA390" s="566">
        <f t="shared" si="32"/>
        <v>0</v>
      </c>
      <c r="AB390" s="699"/>
    </row>
    <row r="391" spans="1:28" ht="15.75" customHeight="1" x14ac:dyDescent="0.3">
      <c r="A391" s="66" t="s">
        <v>2492</v>
      </c>
      <c r="C391" s="81">
        <v>43790</v>
      </c>
      <c r="D391" s="109">
        <v>43826</v>
      </c>
      <c r="E391" s="560"/>
      <c r="F391" s="86" t="s">
        <v>2493</v>
      </c>
      <c r="G391" s="86" t="s">
        <v>156</v>
      </c>
      <c r="H391" s="79" t="s">
        <v>213</v>
      </c>
      <c r="J391" s="73">
        <f t="shared" si="33"/>
        <v>1</v>
      </c>
      <c r="K391" s="74" t="s">
        <v>204</v>
      </c>
      <c r="Q391" s="76" t="s">
        <v>2076</v>
      </c>
      <c r="R391" s="73">
        <f t="shared" si="34"/>
        <v>1</v>
      </c>
      <c r="S391" s="260" t="s">
        <v>1976</v>
      </c>
      <c r="T391" s="260"/>
      <c r="U391" s="260"/>
      <c r="V391" s="260"/>
      <c r="W391" s="260"/>
      <c r="X391" s="260"/>
      <c r="Y391" s="565"/>
      <c r="Z391" s="565"/>
      <c r="AA391" s="566">
        <f t="shared" si="32"/>
        <v>0</v>
      </c>
      <c r="AB391" s="699"/>
    </row>
    <row r="392" spans="1:28" ht="15.75" customHeight="1" x14ac:dyDescent="0.3">
      <c r="A392" s="66" t="s">
        <v>2233</v>
      </c>
      <c r="C392" s="81">
        <v>43794</v>
      </c>
      <c r="D392" s="109">
        <v>43830</v>
      </c>
      <c r="E392" s="560"/>
      <c r="F392" s="86" t="s">
        <v>2234</v>
      </c>
      <c r="G392" s="86" t="s">
        <v>410</v>
      </c>
      <c r="H392" s="79" t="s">
        <v>213</v>
      </c>
      <c r="J392" s="73">
        <f t="shared" si="33"/>
        <v>1</v>
      </c>
      <c r="K392" s="74" t="s">
        <v>204</v>
      </c>
      <c r="Q392" s="76" t="s">
        <v>2076</v>
      </c>
      <c r="R392" s="73">
        <f t="shared" si="34"/>
        <v>1</v>
      </c>
      <c r="S392" s="260" t="s">
        <v>1976</v>
      </c>
      <c r="T392" s="260"/>
      <c r="U392" s="260"/>
      <c r="V392" s="260"/>
      <c r="W392" s="260"/>
      <c r="X392" s="260"/>
      <c r="Y392" s="565"/>
      <c r="Z392" s="565"/>
      <c r="AA392" s="566">
        <f t="shared" si="32"/>
        <v>0</v>
      </c>
      <c r="AB392" s="699"/>
    </row>
    <row r="393" spans="1:28" ht="15.75" customHeight="1" x14ac:dyDescent="0.3">
      <c r="A393" s="66" t="s">
        <v>2241</v>
      </c>
      <c r="C393" s="81">
        <v>43794</v>
      </c>
      <c r="D393" s="109">
        <v>43829</v>
      </c>
      <c r="E393" s="560"/>
      <c r="F393" s="86" t="s">
        <v>2242</v>
      </c>
      <c r="G393" s="86" t="s">
        <v>150</v>
      </c>
      <c r="H393" s="79" t="s">
        <v>213</v>
      </c>
      <c r="J393" s="73">
        <f t="shared" si="33"/>
        <v>1</v>
      </c>
      <c r="K393" s="74" t="s">
        <v>204</v>
      </c>
      <c r="Q393" s="76" t="s">
        <v>2076</v>
      </c>
      <c r="R393" s="73">
        <f t="shared" si="34"/>
        <v>1</v>
      </c>
      <c r="S393" s="260" t="s">
        <v>1976</v>
      </c>
      <c r="T393" s="260"/>
      <c r="U393" s="260"/>
      <c r="V393" s="260"/>
      <c r="W393" s="260"/>
      <c r="X393" s="260"/>
      <c r="Y393" s="565"/>
      <c r="Z393" s="565"/>
      <c r="AA393" s="566">
        <f t="shared" si="32"/>
        <v>0</v>
      </c>
      <c r="AB393" s="699"/>
    </row>
    <row r="394" spans="1:28" ht="15.75" customHeight="1" x14ac:dyDescent="0.3">
      <c r="A394" s="66" t="s">
        <v>2496</v>
      </c>
      <c r="C394" s="81">
        <v>43798</v>
      </c>
      <c r="D394" s="109">
        <v>43822</v>
      </c>
      <c r="E394" s="560"/>
      <c r="F394" s="86" t="s">
        <v>2497</v>
      </c>
      <c r="G394" s="86" t="s">
        <v>152</v>
      </c>
      <c r="H394" s="79" t="s">
        <v>213</v>
      </c>
      <c r="J394" s="73">
        <f t="shared" si="33"/>
        <v>1</v>
      </c>
      <c r="K394" s="74" t="s">
        <v>204</v>
      </c>
      <c r="Q394" s="76" t="s">
        <v>2076</v>
      </c>
      <c r="R394" s="73">
        <f t="shared" si="34"/>
        <v>1</v>
      </c>
      <c r="S394" s="260" t="s">
        <v>1976</v>
      </c>
      <c r="T394" s="260"/>
      <c r="U394" s="260"/>
      <c r="V394" s="260"/>
      <c r="W394" s="260"/>
      <c r="X394" s="260"/>
      <c r="Y394" s="565"/>
      <c r="Z394" s="565"/>
      <c r="AA394" s="566">
        <f t="shared" si="32"/>
        <v>0</v>
      </c>
      <c r="AB394" s="699"/>
    </row>
    <row r="395" spans="1:28" ht="15.75" customHeight="1" x14ac:dyDescent="0.3">
      <c r="A395" s="66" t="s">
        <v>2500</v>
      </c>
      <c r="C395" s="81">
        <v>43801</v>
      </c>
      <c r="D395" s="109">
        <v>43823</v>
      </c>
      <c r="E395" s="560"/>
      <c r="F395" s="86" t="s">
        <v>2501</v>
      </c>
      <c r="G395" s="86" t="s">
        <v>154</v>
      </c>
      <c r="H395" s="79" t="s">
        <v>213</v>
      </c>
      <c r="J395" s="73">
        <f t="shared" si="33"/>
        <v>1</v>
      </c>
      <c r="K395" s="74" t="s">
        <v>204</v>
      </c>
      <c r="Q395" s="76" t="s">
        <v>2076</v>
      </c>
      <c r="R395" s="73">
        <f t="shared" si="34"/>
        <v>1</v>
      </c>
      <c r="S395" s="260" t="s">
        <v>1976</v>
      </c>
      <c r="T395" s="260"/>
      <c r="U395" s="260"/>
      <c r="V395" s="260"/>
      <c r="W395" s="260"/>
      <c r="X395" s="260"/>
      <c r="Y395" s="565"/>
      <c r="Z395" s="565"/>
      <c r="AA395" s="566">
        <f t="shared" si="32"/>
        <v>0</v>
      </c>
      <c r="AB395" s="699"/>
    </row>
    <row r="396" spans="1:28" ht="15.75" customHeight="1" x14ac:dyDescent="0.3">
      <c r="A396" s="66" t="s">
        <v>2502</v>
      </c>
      <c r="C396" s="81">
        <v>43801</v>
      </c>
      <c r="D396" s="109">
        <v>43823</v>
      </c>
      <c r="E396" s="560"/>
      <c r="F396" s="86" t="s">
        <v>2503</v>
      </c>
      <c r="G396" s="86" t="s">
        <v>152</v>
      </c>
      <c r="H396" s="79" t="s">
        <v>268</v>
      </c>
      <c r="J396" s="73">
        <f t="shared" si="33"/>
        <v>1</v>
      </c>
      <c r="K396" s="74" t="s">
        <v>204</v>
      </c>
      <c r="Q396" s="76" t="s">
        <v>2076</v>
      </c>
      <c r="R396" s="73">
        <f t="shared" si="34"/>
        <v>1</v>
      </c>
      <c r="S396" s="260" t="s">
        <v>1976</v>
      </c>
      <c r="T396" s="260"/>
      <c r="U396" s="260"/>
      <c r="V396" s="260"/>
      <c r="W396" s="260"/>
      <c r="X396" s="260"/>
      <c r="Y396" s="565"/>
      <c r="Z396" s="565"/>
      <c r="AA396" s="566">
        <f t="shared" si="32"/>
        <v>0</v>
      </c>
      <c r="AB396" s="699"/>
    </row>
    <row r="397" spans="1:28" ht="15.75" customHeight="1" x14ac:dyDescent="0.3">
      <c r="A397" s="66" t="s">
        <v>2504</v>
      </c>
      <c r="C397" s="81">
        <v>43801</v>
      </c>
      <c r="D397" s="109">
        <v>43823</v>
      </c>
      <c r="E397" s="560"/>
      <c r="F397" s="86" t="s">
        <v>2505</v>
      </c>
      <c r="G397" s="86" t="s">
        <v>156</v>
      </c>
      <c r="H397" s="79" t="s">
        <v>213</v>
      </c>
      <c r="J397" s="73">
        <f t="shared" si="33"/>
        <v>1</v>
      </c>
      <c r="K397" s="74" t="s">
        <v>204</v>
      </c>
      <c r="Q397" s="76" t="s">
        <v>2076</v>
      </c>
      <c r="R397" s="73">
        <f t="shared" si="34"/>
        <v>1</v>
      </c>
      <c r="S397" s="260" t="s">
        <v>1976</v>
      </c>
      <c r="T397" s="260"/>
      <c r="U397" s="260"/>
      <c r="V397" s="260"/>
      <c r="W397" s="260"/>
      <c r="X397" s="260"/>
      <c r="Y397" s="565"/>
      <c r="Z397" s="565"/>
      <c r="AA397" s="566">
        <f t="shared" si="32"/>
        <v>0</v>
      </c>
      <c r="AB397" s="699"/>
    </row>
    <row r="398" spans="1:28" ht="15.75" customHeight="1" x14ac:dyDescent="0.3">
      <c r="A398" s="66" t="s">
        <v>2506</v>
      </c>
      <c r="C398" s="81">
        <v>43801</v>
      </c>
      <c r="D398" s="109">
        <v>43823</v>
      </c>
      <c r="E398" s="560"/>
      <c r="F398" s="86" t="s">
        <v>2507</v>
      </c>
      <c r="G398" s="86" t="s">
        <v>179</v>
      </c>
      <c r="H398" s="79" t="s">
        <v>213</v>
      </c>
      <c r="J398" s="73">
        <f t="shared" si="33"/>
        <v>1</v>
      </c>
      <c r="K398" s="74" t="s">
        <v>204</v>
      </c>
      <c r="Q398" s="76" t="s">
        <v>2076</v>
      </c>
      <c r="R398" s="73">
        <f t="shared" si="34"/>
        <v>1</v>
      </c>
      <c r="S398" s="260" t="s">
        <v>1976</v>
      </c>
      <c r="T398" s="260"/>
      <c r="U398" s="260"/>
      <c r="V398" s="260"/>
      <c r="W398" s="260"/>
      <c r="X398" s="260"/>
      <c r="Y398" s="565"/>
      <c r="Z398" s="565"/>
      <c r="AA398" s="566">
        <f t="shared" si="32"/>
        <v>0</v>
      </c>
      <c r="AB398" s="699"/>
    </row>
    <row r="399" spans="1:28" ht="15.75" customHeight="1" x14ac:dyDescent="0.3">
      <c r="A399" s="66" t="s">
        <v>2514</v>
      </c>
      <c r="C399" s="81">
        <v>43802</v>
      </c>
      <c r="D399" s="109">
        <v>43824</v>
      </c>
      <c r="E399" s="560"/>
      <c r="F399" s="86" t="s">
        <v>2515</v>
      </c>
      <c r="G399" s="86" t="s">
        <v>152</v>
      </c>
      <c r="H399" s="79" t="s">
        <v>213</v>
      </c>
      <c r="J399" s="73">
        <f t="shared" si="33"/>
        <v>1</v>
      </c>
      <c r="K399" s="74" t="s">
        <v>204</v>
      </c>
      <c r="Q399" s="76" t="s">
        <v>2076</v>
      </c>
      <c r="R399" s="73">
        <f t="shared" si="34"/>
        <v>1</v>
      </c>
      <c r="S399" s="260" t="s">
        <v>1976</v>
      </c>
      <c r="T399" s="260"/>
      <c r="U399" s="260"/>
      <c r="V399" s="260"/>
      <c r="W399" s="260"/>
      <c r="X399" s="260"/>
      <c r="Y399" s="565"/>
      <c r="Z399" s="565"/>
      <c r="AA399" s="566">
        <f t="shared" si="32"/>
        <v>0</v>
      </c>
      <c r="AB399" s="699"/>
    </row>
    <row r="400" spans="1:28" ht="15.75" customHeight="1" x14ac:dyDescent="0.3">
      <c r="A400" s="66" t="s">
        <v>2522</v>
      </c>
      <c r="C400" s="81">
        <v>43803</v>
      </c>
      <c r="D400" s="109">
        <v>43825</v>
      </c>
      <c r="E400" s="560"/>
      <c r="F400" s="86" t="s">
        <v>2523</v>
      </c>
      <c r="G400" s="86" t="s">
        <v>1384</v>
      </c>
      <c r="H400" s="79" t="s">
        <v>213</v>
      </c>
      <c r="J400" s="73">
        <f t="shared" si="33"/>
        <v>1</v>
      </c>
      <c r="K400" s="74" t="s">
        <v>204</v>
      </c>
      <c r="Q400" s="76" t="s">
        <v>2076</v>
      </c>
      <c r="R400" s="73">
        <f t="shared" si="34"/>
        <v>1</v>
      </c>
      <c r="S400" s="260" t="s">
        <v>1976</v>
      </c>
      <c r="T400" s="260"/>
      <c r="U400" s="260"/>
      <c r="V400" s="260"/>
      <c r="W400" s="260"/>
      <c r="X400" s="260"/>
      <c r="Y400" s="565"/>
      <c r="Z400" s="565"/>
      <c r="AA400" s="566">
        <f t="shared" si="32"/>
        <v>0</v>
      </c>
      <c r="AB400" s="699"/>
    </row>
    <row r="401" spans="1:28" ht="15.75" customHeight="1" x14ac:dyDescent="0.3">
      <c r="A401" s="66" t="s">
        <v>2526</v>
      </c>
      <c r="C401" s="81">
        <v>43804</v>
      </c>
      <c r="D401" s="109">
        <v>43826</v>
      </c>
      <c r="E401" s="560"/>
      <c r="F401" s="86" t="s">
        <v>2527</v>
      </c>
      <c r="G401" s="86" t="s">
        <v>152</v>
      </c>
      <c r="H401" s="79" t="s">
        <v>213</v>
      </c>
      <c r="J401" s="73">
        <f t="shared" si="33"/>
        <v>1</v>
      </c>
      <c r="K401" s="74" t="s">
        <v>204</v>
      </c>
      <c r="Q401" s="76" t="s">
        <v>2076</v>
      </c>
      <c r="R401" s="73">
        <f t="shared" si="34"/>
        <v>1</v>
      </c>
      <c r="S401" s="260" t="s">
        <v>1976</v>
      </c>
      <c r="T401" s="260"/>
      <c r="U401" s="260"/>
      <c r="V401" s="260"/>
      <c r="W401" s="260"/>
      <c r="X401" s="260"/>
      <c r="Y401" s="565"/>
      <c r="Z401" s="565"/>
      <c r="AA401" s="566">
        <f t="shared" si="32"/>
        <v>0</v>
      </c>
      <c r="AB401" s="699"/>
    </row>
    <row r="402" spans="1:28" ht="15.75" customHeight="1" x14ac:dyDescent="0.3">
      <c r="A402" s="66" t="s">
        <v>2530</v>
      </c>
      <c r="C402" s="81">
        <v>43804</v>
      </c>
      <c r="D402" s="109">
        <v>43826</v>
      </c>
      <c r="E402" s="560"/>
      <c r="F402" s="86" t="s">
        <v>2531</v>
      </c>
      <c r="G402" s="86" t="s">
        <v>152</v>
      </c>
      <c r="H402" s="79" t="s">
        <v>213</v>
      </c>
      <c r="J402" s="73">
        <f t="shared" si="33"/>
        <v>1</v>
      </c>
      <c r="K402" s="74" t="s">
        <v>204</v>
      </c>
      <c r="Q402" s="76" t="s">
        <v>2076</v>
      </c>
      <c r="R402" s="73">
        <f t="shared" si="34"/>
        <v>1</v>
      </c>
      <c r="S402" s="260" t="s">
        <v>1976</v>
      </c>
      <c r="T402" s="260"/>
      <c r="U402" s="260"/>
      <c r="V402" s="260"/>
      <c r="W402" s="260"/>
      <c r="X402" s="260"/>
      <c r="Y402" s="565"/>
      <c r="Z402" s="565"/>
      <c r="AA402" s="566">
        <f t="shared" si="32"/>
        <v>0</v>
      </c>
      <c r="AB402" s="699"/>
    </row>
    <row r="403" spans="1:28" ht="15.75" customHeight="1" x14ac:dyDescent="0.3">
      <c r="A403" s="66" t="s">
        <v>2532</v>
      </c>
      <c r="C403" s="81">
        <v>43805</v>
      </c>
      <c r="D403" s="109">
        <v>43829</v>
      </c>
      <c r="E403" s="560"/>
      <c r="F403" s="86" t="s">
        <v>2533</v>
      </c>
      <c r="G403" s="86" t="s">
        <v>147</v>
      </c>
      <c r="H403" s="79" t="s">
        <v>213</v>
      </c>
      <c r="I403" s="97" t="s">
        <v>645</v>
      </c>
      <c r="J403" s="73">
        <f t="shared" si="33"/>
        <v>1</v>
      </c>
      <c r="K403" s="74" t="s">
        <v>204</v>
      </c>
      <c r="L403" s="97" t="s">
        <v>2844</v>
      </c>
      <c r="N403" s="76" t="s">
        <v>19</v>
      </c>
      <c r="Q403" s="76" t="s">
        <v>2076</v>
      </c>
      <c r="R403" s="73">
        <f t="shared" si="34"/>
        <v>1</v>
      </c>
      <c r="S403" s="260" t="s">
        <v>1976</v>
      </c>
      <c r="T403" s="260"/>
      <c r="U403" s="260"/>
      <c r="V403" s="260"/>
      <c r="W403" s="260"/>
      <c r="X403" s="260"/>
      <c r="Y403" s="565"/>
      <c r="Z403" s="565"/>
      <c r="AA403" s="566">
        <f t="shared" si="32"/>
        <v>0</v>
      </c>
      <c r="AB403" s="699"/>
    </row>
    <row r="404" spans="1:28" ht="15.75" customHeight="1" x14ac:dyDescent="0.3">
      <c r="A404" s="66" t="s">
        <v>2534</v>
      </c>
      <c r="C404" s="81">
        <v>43805</v>
      </c>
      <c r="D404" s="109">
        <v>43829</v>
      </c>
      <c r="E404" s="560"/>
      <c r="F404" s="86" t="s">
        <v>2535</v>
      </c>
      <c r="G404" s="86" t="s">
        <v>157</v>
      </c>
      <c r="H404" s="79" t="s">
        <v>213</v>
      </c>
      <c r="I404" s="97" t="s">
        <v>2846</v>
      </c>
      <c r="J404" s="73">
        <f t="shared" si="33"/>
        <v>1</v>
      </c>
      <c r="K404" s="74" t="s">
        <v>204</v>
      </c>
      <c r="L404" s="97" t="s">
        <v>2845</v>
      </c>
      <c r="Q404" s="76" t="s">
        <v>2076</v>
      </c>
      <c r="R404" s="73">
        <f t="shared" si="34"/>
        <v>1</v>
      </c>
      <c r="S404" s="260" t="s">
        <v>1976</v>
      </c>
      <c r="T404" s="260"/>
      <c r="U404" s="260"/>
      <c r="V404" s="260"/>
      <c r="W404" s="260"/>
      <c r="X404" s="260"/>
      <c r="Y404" s="565"/>
      <c r="Z404" s="565"/>
      <c r="AA404" s="566">
        <f t="shared" si="32"/>
        <v>0</v>
      </c>
      <c r="AB404" s="699"/>
    </row>
    <row r="405" spans="1:28" ht="15.75" customHeight="1" x14ac:dyDescent="0.3">
      <c r="A405" s="66" t="s">
        <v>2536</v>
      </c>
      <c r="C405" s="81">
        <v>43805</v>
      </c>
      <c r="D405" s="109">
        <v>43829</v>
      </c>
      <c r="E405" s="560"/>
      <c r="F405" s="86" t="s">
        <v>2537</v>
      </c>
      <c r="G405" s="86" t="s">
        <v>150</v>
      </c>
      <c r="H405" s="79" t="s">
        <v>213</v>
      </c>
      <c r="I405" s="97" t="s">
        <v>657</v>
      </c>
      <c r="J405" s="73">
        <f t="shared" si="33"/>
        <v>1</v>
      </c>
      <c r="K405" s="74" t="s">
        <v>204</v>
      </c>
      <c r="L405" s="97" t="s">
        <v>8122</v>
      </c>
      <c r="Q405" s="76" t="s">
        <v>2076</v>
      </c>
      <c r="R405" s="73">
        <f t="shared" si="34"/>
        <v>1</v>
      </c>
      <c r="S405" s="260" t="s">
        <v>1976</v>
      </c>
      <c r="T405" s="260"/>
      <c r="U405" s="260"/>
      <c r="V405" s="260"/>
      <c r="W405" s="260"/>
      <c r="X405" s="260"/>
      <c r="Y405" s="565"/>
      <c r="Z405" s="565"/>
      <c r="AA405" s="566">
        <f t="shared" si="32"/>
        <v>0</v>
      </c>
      <c r="AB405" s="699"/>
    </row>
    <row r="406" spans="1:28" ht="15.75" customHeight="1" x14ac:dyDescent="0.3">
      <c r="A406" s="66" t="s">
        <v>2542</v>
      </c>
      <c r="C406" s="81">
        <v>43808</v>
      </c>
      <c r="D406" s="109">
        <v>43830</v>
      </c>
      <c r="E406" s="560"/>
      <c r="F406" s="86" t="s">
        <v>2543</v>
      </c>
      <c r="G406" s="86" t="s">
        <v>150</v>
      </c>
      <c r="H406" s="79" t="s">
        <v>213</v>
      </c>
      <c r="J406" s="73">
        <f t="shared" si="33"/>
        <v>1</v>
      </c>
      <c r="K406" s="74" t="s">
        <v>204</v>
      </c>
      <c r="L406" s="97" t="s">
        <v>2853</v>
      </c>
      <c r="Q406" s="76" t="s">
        <v>2076</v>
      </c>
      <c r="R406" s="73">
        <f t="shared" si="34"/>
        <v>1</v>
      </c>
      <c r="S406" s="260" t="s">
        <v>1976</v>
      </c>
      <c r="T406" s="260"/>
      <c r="U406" s="260"/>
      <c r="V406" s="260"/>
      <c r="W406" s="260"/>
      <c r="X406" s="260"/>
      <c r="Y406" s="565"/>
      <c r="Z406" s="565"/>
      <c r="AA406" s="566">
        <f t="shared" si="32"/>
        <v>0</v>
      </c>
      <c r="AB406" s="699"/>
    </row>
    <row r="407" spans="1:28" ht="15.75" customHeight="1" x14ac:dyDescent="0.3">
      <c r="A407" s="66" t="s">
        <v>2544</v>
      </c>
      <c r="C407" s="81">
        <v>43808</v>
      </c>
      <c r="D407" s="109">
        <v>43830</v>
      </c>
      <c r="E407" s="560"/>
      <c r="F407" s="86" t="s">
        <v>2545</v>
      </c>
      <c r="G407" s="86" t="s">
        <v>179</v>
      </c>
      <c r="H407" s="79" t="s">
        <v>213</v>
      </c>
      <c r="I407" s="97" t="s">
        <v>645</v>
      </c>
      <c r="J407" s="73">
        <f t="shared" si="33"/>
        <v>1</v>
      </c>
      <c r="K407" s="74" t="s">
        <v>204</v>
      </c>
      <c r="L407" s="97" t="s">
        <v>456</v>
      </c>
      <c r="Q407" s="76" t="s">
        <v>2076</v>
      </c>
      <c r="R407" s="73">
        <f t="shared" si="34"/>
        <v>1</v>
      </c>
      <c r="S407" s="260" t="s">
        <v>1976</v>
      </c>
      <c r="T407" s="260"/>
      <c r="U407" s="260"/>
      <c r="V407" s="260"/>
      <c r="W407" s="260"/>
      <c r="X407" s="260"/>
      <c r="Y407" s="565"/>
      <c r="Z407" s="565"/>
      <c r="AA407" s="566">
        <f t="shared" si="32"/>
        <v>0</v>
      </c>
      <c r="AB407" s="699"/>
    </row>
    <row r="408" spans="1:28" ht="15.75" customHeight="1" x14ac:dyDescent="0.3">
      <c r="A408" s="66" t="s">
        <v>2548</v>
      </c>
      <c r="C408" s="81">
        <v>43767</v>
      </c>
      <c r="D408" s="109">
        <v>43825</v>
      </c>
      <c r="E408" s="560"/>
      <c r="F408" s="86" t="s">
        <v>2549</v>
      </c>
      <c r="G408" s="86" t="s">
        <v>156</v>
      </c>
      <c r="H408" s="79" t="s">
        <v>213</v>
      </c>
      <c r="J408" s="73">
        <f t="shared" si="33"/>
        <v>1</v>
      </c>
      <c r="K408" s="74" t="s">
        <v>204</v>
      </c>
      <c r="Q408" s="76" t="s">
        <v>2142</v>
      </c>
      <c r="R408" s="73">
        <f t="shared" si="34"/>
        <v>1</v>
      </c>
      <c r="S408" s="260" t="s">
        <v>1976</v>
      </c>
      <c r="T408" s="260"/>
      <c r="U408" s="260"/>
      <c r="V408" s="260"/>
      <c r="W408" s="260"/>
      <c r="X408" s="260"/>
      <c r="Y408" s="565"/>
      <c r="Z408" s="565"/>
      <c r="AA408" s="566">
        <f t="shared" si="32"/>
        <v>0</v>
      </c>
      <c r="AB408" s="699"/>
    </row>
    <row r="409" spans="1:28" ht="15.75" customHeight="1" x14ac:dyDescent="0.3">
      <c r="A409" s="66" t="s">
        <v>2550</v>
      </c>
      <c r="C409" s="81">
        <v>43774</v>
      </c>
      <c r="D409" s="109">
        <v>43824</v>
      </c>
      <c r="E409" s="560"/>
      <c r="F409" s="86" t="s">
        <v>2551</v>
      </c>
      <c r="G409" s="86" t="s">
        <v>156</v>
      </c>
      <c r="H409" s="79" t="s">
        <v>213</v>
      </c>
      <c r="J409" s="73">
        <f t="shared" si="33"/>
        <v>1</v>
      </c>
      <c r="K409" s="74" t="s">
        <v>204</v>
      </c>
      <c r="Q409" s="76" t="s">
        <v>2142</v>
      </c>
      <c r="R409" s="73">
        <f t="shared" si="34"/>
        <v>1</v>
      </c>
      <c r="S409" s="260" t="s">
        <v>1976</v>
      </c>
      <c r="T409" s="260"/>
      <c r="U409" s="260"/>
      <c r="V409" s="260"/>
      <c r="W409" s="260"/>
      <c r="X409" s="260"/>
      <c r="Y409" s="565"/>
      <c r="Z409" s="565"/>
      <c r="AA409" s="566">
        <f t="shared" si="32"/>
        <v>0</v>
      </c>
      <c r="AB409" s="699"/>
    </row>
    <row r="410" spans="1:28" ht="15.75" customHeight="1" x14ac:dyDescent="0.3">
      <c r="A410" s="66" t="s">
        <v>2552</v>
      </c>
      <c r="C410" s="81">
        <v>43774</v>
      </c>
      <c r="D410" s="109">
        <v>43823</v>
      </c>
      <c r="E410" s="560"/>
      <c r="F410" s="86" t="s">
        <v>2553</v>
      </c>
      <c r="G410" s="86" t="s">
        <v>156</v>
      </c>
      <c r="H410" s="79" t="s">
        <v>213</v>
      </c>
      <c r="J410" s="73">
        <f t="shared" si="33"/>
        <v>1</v>
      </c>
      <c r="K410" s="74" t="s">
        <v>204</v>
      </c>
      <c r="Q410" s="76" t="s">
        <v>2142</v>
      </c>
      <c r="R410" s="73">
        <f t="shared" si="34"/>
        <v>1</v>
      </c>
      <c r="S410" s="260" t="s">
        <v>1976</v>
      </c>
      <c r="T410" s="260"/>
      <c r="U410" s="260"/>
      <c r="V410" s="260"/>
      <c r="W410" s="260"/>
      <c r="X410" s="260"/>
      <c r="Y410" s="565"/>
      <c r="Z410" s="565"/>
      <c r="AA410" s="566">
        <f t="shared" si="32"/>
        <v>0</v>
      </c>
      <c r="AB410" s="699"/>
    </row>
    <row r="411" spans="1:28" ht="15.75" customHeight="1" x14ac:dyDescent="0.3">
      <c r="A411" s="66" t="s">
        <v>2337</v>
      </c>
      <c r="C411" s="81">
        <v>43784</v>
      </c>
      <c r="D411" s="81">
        <v>43819</v>
      </c>
      <c r="E411" s="560"/>
      <c r="F411" s="86" t="s">
        <v>2338</v>
      </c>
      <c r="G411" s="86" t="s">
        <v>158</v>
      </c>
      <c r="H411" s="79" t="s">
        <v>213</v>
      </c>
      <c r="J411" s="73">
        <f t="shared" si="33"/>
        <v>1</v>
      </c>
      <c r="K411" s="74" t="s">
        <v>204</v>
      </c>
      <c r="Q411" s="76" t="s">
        <v>2142</v>
      </c>
      <c r="R411" s="73">
        <f t="shared" si="34"/>
        <v>0</v>
      </c>
      <c r="S411" s="260"/>
      <c r="T411" s="260"/>
      <c r="U411" s="260"/>
      <c r="V411" s="260"/>
      <c r="W411" s="260"/>
      <c r="X411" s="260"/>
      <c r="Y411" s="565"/>
      <c r="Z411" s="565"/>
      <c r="AA411" s="566">
        <f t="shared" si="32"/>
        <v>0</v>
      </c>
      <c r="AB411" s="699"/>
    </row>
    <row r="412" spans="1:28" ht="15.75" customHeight="1" x14ac:dyDescent="0.3">
      <c r="A412" s="66" t="s">
        <v>2554</v>
      </c>
      <c r="C412" s="81">
        <v>43784</v>
      </c>
      <c r="D412" s="109">
        <v>43822</v>
      </c>
      <c r="E412" s="560"/>
      <c r="F412" s="86" t="s">
        <v>2555</v>
      </c>
      <c r="G412" s="86" t="s">
        <v>147</v>
      </c>
      <c r="H412" s="79" t="s">
        <v>213</v>
      </c>
      <c r="J412" s="73">
        <f t="shared" si="33"/>
        <v>1</v>
      </c>
      <c r="K412" s="74" t="s">
        <v>204</v>
      </c>
      <c r="L412" s="97" t="s">
        <v>2739</v>
      </c>
      <c r="Q412" s="76" t="s">
        <v>2142</v>
      </c>
      <c r="R412" s="73">
        <f t="shared" si="34"/>
        <v>1</v>
      </c>
      <c r="S412" s="260" t="s">
        <v>1976</v>
      </c>
      <c r="T412" s="260"/>
      <c r="U412" s="260"/>
      <c r="V412" s="260"/>
      <c r="W412" s="260"/>
      <c r="X412" s="260"/>
      <c r="Y412" s="565"/>
      <c r="Z412" s="565"/>
      <c r="AA412" s="566">
        <f t="shared" si="32"/>
        <v>0</v>
      </c>
      <c r="AB412" s="699"/>
    </row>
    <row r="413" spans="1:28" ht="15.75" customHeight="1" x14ac:dyDescent="0.3">
      <c r="A413" s="66" t="s">
        <v>2556</v>
      </c>
      <c r="C413" s="81">
        <v>43784</v>
      </c>
      <c r="D413" s="109">
        <v>43822</v>
      </c>
      <c r="E413" s="560"/>
      <c r="F413" s="86" t="s">
        <v>2557</v>
      </c>
      <c r="G413" s="86" t="s">
        <v>152</v>
      </c>
      <c r="H413" s="79" t="s">
        <v>213</v>
      </c>
      <c r="J413" s="73">
        <f t="shared" si="33"/>
        <v>1</v>
      </c>
      <c r="K413" s="74" t="s">
        <v>204</v>
      </c>
      <c r="L413" s="97" t="s">
        <v>2667</v>
      </c>
      <c r="Q413" s="76" t="s">
        <v>2142</v>
      </c>
      <c r="R413" s="73">
        <f t="shared" si="34"/>
        <v>1</v>
      </c>
      <c r="S413" s="260" t="s">
        <v>1976</v>
      </c>
      <c r="T413" s="260"/>
      <c r="U413" s="260"/>
      <c r="V413" s="260"/>
      <c r="W413" s="260"/>
      <c r="X413" s="260"/>
      <c r="Y413" s="565"/>
      <c r="Z413" s="565"/>
      <c r="AA413" s="566">
        <f t="shared" si="32"/>
        <v>0</v>
      </c>
      <c r="AB413" s="699"/>
    </row>
    <row r="414" spans="1:28" ht="15.75" customHeight="1" x14ac:dyDescent="0.3">
      <c r="A414" s="66" t="s">
        <v>2558</v>
      </c>
      <c r="C414" s="81">
        <v>43788</v>
      </c>
      <c r="D414" s="109">
        <v>43823</v>
      </c>
      <c r="E414" s="560"/>
      <c r="F414" s="86" t="s">
        <v>2559</v>
      </c>
      <c r="G414" s="86" t="s">
        <v>154</v>
      </c>
      <c r="H414" s="79" t="s">
        <v>213</v>
      </c>
      <c r="J414" s="73">
        <f t="shared" si="33"/>
        <v>1</v>
      </c>
      <c r="K414" s="74" t="s">
        <v>204</v>
      </c>
      <c r="Q414" s="76" t="s">
        <v>2142</v>
      </c>
      <c r="R414" s="73">
        <f t="shared" si="34"/>
        <v>1</v>
      </c>
      <c r="S414" s="260" t="s">
        <v>1976</v>
      </c>
      <c r="T414" s="260"/>
      <c r="U414" s="260"/>
      <c r="V414" s="260"/>
      <c r="W414" s="260"/>
      <c r="X414" s="260"/>
      <c r="Y414" s="565"/>
      <c r="Z414" s="565"/>
      <c r="AA414" s="566">
        <f t="shared" si="32"/>
        <v>0</v>
      </c>
      <c r="AB414" s="699"/>
    </row>
    <row r="415" spans="1:28" ht="15.75" customHeight="1" x14ac:dyDescent="0.3">
      <c r="A415" s="66" t="s">
        <v>2560</v>
      </c>
      <c r="C415" s="81">
        <v>43788</v>
      </c>
      <c r="D415" s="109">
        <v>43823</v>
      </c>
      <c r="E415" s="560"/>
      <c r="F415" s="86" t="s">
        <v>2561</v>
      </c>
      <c r="G415" s="86" t="s">
        <v>147</v>
      </c>
      <c r="H415" s="79" t="s">
        <v>213</v>
      </c>
      <c r="J415" s="73">
        <f t="shared" si="33"/>
        <v>1</v>
      </c>
      <c r="K415" s="74" t="s">
        <v>204</v>
      </c>
      <c r="L415" s="97" t="s">
        <v>2798</v>
      </c>
      <c r="Q415" s="76" t="s">
        <v>2142</v>
      </c>
      <c r="R415" s="73">
        <f t="shared" si="34"/>
        <v>1</v>
      </c>
      <c r="S415" s="260" t="s">
        <v>1976</v>
      </c>
      <c r="T415" s="260"/>
      <c r="U415" s="260"/>
      <c r="V415" s="260"/>
      <c r="W415" s="260"/>
      <c r="X415" s="260"/>
      <c r="Y415" s="565"/>
      <c r="Z415" s="565"/>
      <c r="AA415" s="566">
        <f t="shared" si="32"/>
        <v>0</v>
      </c>
      <c r="AB415" s="699"/>
    </row>
    <row r="416" spans="1:28" ht="15.75" customHeight="1" x14ac:dyDescent="0.3">
      <c r="A416" s="66" t="s">
        <v>2562</v>
      </c>
      <c r="C416" s="81">
        <v>43789</v>
      </c>
      <c r="D416" s="109">
        <v>43824</v>
      </c>
      <c r="E416" s="560"/>
      <c r="F416" s="86" t="s">
        <v>2563</v>
      </c>
      <c r="G416" s="86" t="s">
        <v>152</v>
      </c>
      <c r="H416" s="79" t="s">
        <v>213</v>
      </c>
      <c r="J416" s="73">
        <f t="shared" si="33"/>
        <v>1</v>
      </c>
      <c r="K416" s="74" t="s">
        <v>204</v>
      </c>
      <c r="Q416" s="76" t="s">
        <v>2142</v>
      </c>
      <c r="R416" s="73">
        <f t="shared" si="34"/>
        <v>1</v>
      </c>
      <c r="S416" s="260" t="s">
        <v>1976</v>
      </c>
      <c r="T416" s="260"/>
      <c r="U416" s="260"/>
      <c r="V416" s="260"/>
      <c r="W416" s="260"/>
      <c r="X416" s="260"/>
      <c r="Y416" s="565"/>
      <c r="Z416" s="565"/>
      <c r="AA416" s="566">
        <f t="shared" si="32"/>
        <v>0</v>
      </c>
      <c r="AB416" s="699"/>
    </row>
    <row r="417" spans="1:28" ht="15.75" customHeight="1" x14ac:dyDescent="0.3">
      <c r="A417" s="66" t="s">
        <v>2164</v>
      </c>
      <c r="C417" s="81">
        <v>43789</v>
      </c>
      <c r="D417" s="109">
        <v>43824</v>
      </c>
      <c r="E417" s="560"/>
      <c r="F417" s="86" t="s">
        <v>2165</v>
      </c>
      <c r="G417" s="86" t="s">
        <v>152</v>
      </c>
      <c r="H417" s="79" t="s">
        <v>213</v>
      </c>
      <c r="J417" s="73">
        <f>IF(OR(K417="Документы готовы",K417="Запрос в ФО",K417="ЭЗ",K417="РЕШ",K417="РЕШ шаблон"),0.1,IF(OR(K417="ЭЗ согласование",K417="РЕШ согласование"),0.3,IF(OR(K417="ЭЗ согласовано",K417="РЕШ согласовано",K417="РЕШ подписано"),0.6,IF(OR(K417="ЭЗ ПР согласование",K417="РЕШ УВ согласование"),0.9,IF(OR(K417="ЭЗ ПР DONE",K417="РЕШ УВ DONE"),1,0)))))</f>
        <v>1</v>
      </c>
      <c r="K417" s="74" t="s">
        <v>204</v>
      </c>
      <c r="L417" s="97" t="s">
        <v>2806</v>
      </c>
      <c r="Q417" s="76" t="s">
        <v>2142</v>
      </c>
      <c r="R417" s="73">
        <f t="shared" si="34"/>
        <v>1</v>
      </c>
      <c r="S417" s="260" t="s">
        <v>1976</v>
      </c>
      <c r="T417" s="260"/>
      <c r="U417" s="260"/>
      <c r="V417" s="260"/>
      <c r="W417" s="260"/>
      <c r="X417" s="260"/>
      <c r="Y417" s="565"/>
      <c r="Z417" s="565"/>
      <c r="AA417" s="566">
        <f t="shared" si="32"/>
        <v>0</v>
      </c>
      <c r="AB417" s="699"/>
    </row>
    <row r="418" spans="1:28" ht="15.75" customHeight="1" x14ac:dyDescent="0.3">
      <c r="A418" s="66" t="s">
        <v>2564</v>
      </c>
      <c r="C418" s="81">
        <v>43790</v>
      </c>
      <c r="D418" s="109">
        <v>43825</v>
      </c>
      <c r="E418" s="560"/>
      <c r="F418" s="86" t="s">
        <v>2565</v>
      </c>
      <c r="G418" s="86" t="s">
        <v>172</v>
      </c>
      <c r="H418" s="79" t="s">
        <v>213</v>
      </c>
      <c r="J418" s="73">
        <f t="shared" si="33"/>
        <v>1</v>
      </c>
      <c r="K418" s="74" t="s">
        <v>204</v>
      </c>
      <c r="Q418" s="76" t="s">
        <v>2142</v>
      </c>
      <c r="R418" s="73">
        <f t="shared" si="34"/>
        <v>1</v>
      </c>
      <c r="S418" s="260" t="s">
        <v>1976</v>
      </c>
      <c r="T418" s="260"/>
      <c r="U418" s="260"/>
      <c r="V418" s="260"/>
      <c r="W418" s="260"/>
      <c r="X418" s="260"/>
      <c r="Y418" s="565"/>
      <c r="Z418" s="565"/>
      <c r="AA418" s="566">
        <f t="shared" si="32"/>
        <v>0</v>
      </c>
      <c r="AB418" s="699"/>
    </row>
    <row r="419" spans="1:28" ht="15.75" customHeight="1" x14ac:dyDescent="0.3">
      <c r="A419" s="66" t="s">
        <v>2566</v>
      </c>
      <c r="C419" s="81">
        <v>43790</v>
      </c>
      <c r="D419" s="109">
        <v>43825</v>
      </c>
      <c r="E419" s="560"/>
      <c r="F419" s="86" t="s">
        <v>2567</v>
      </c>
      <c r="G419" s="86" t="s">
        <v>156</v>
      </c>
      <c r="H419" s="79" t="s">
        <v>213</v>
      </c>
      <c r="J419" s="73">
        <f t="shared" si="33"/>
        <v>1</v>
      </c>
      <c r="K419" s="74" t="s">
        <v>204</v>
      </c>
      <c r="Q419" s="76" t="s">
        <v>2142</v>
      </c>
      <c r="R419" s="73">
        <f t="shared" si="34"/>
        <v>1</v>
      </c>
      <c r="S419" s="260" t="s">
        <v>1976</v>
      </c>
      <c r="T419" s="260"/>
      <c r="U419" s="260"/>
      <c r="V419" s="260"/>
      <c r="W419" s="260"/>
      <c r="X419" s="260"/>
      <c r="Y419" s="565"/>
      <c r="Z419" s="565"/>
      <c r="AA419" s="566">
        <f t="shared" si="32"/>
        <v>0</v>
      </c>
      <c r="AB419" s="699"/>
    </row>
    <row r="420" spans="1:28" ht="15.75" customHeight="1" x14ac:dyDescent="0.3">
      <c r="A420" s="66" t="s">
        <v>2174</v>
      </c>
      <c r="C420" s="81">
        <v>43791</v>
      </c>
      <c r="D420" s="81">
        <v>43826</v>
      </c>
      <c r="E420" s="560"/>
      <c r="F420" s="86" t="s">
        <v>2175</v>
      </c>
      <c r="G420" s="86" t="s">
        <v>189</v>
      </c>
      <c r="H420" s="79" t="s">
        <v>213</v>
      </c>
      <c r="J420" s="73">
        <f t="shared" ref="J420:J458" si="35">IF(OR(K420="Документы готовы",K420="Запрос в ФО",K420="ЭЗ",K420="РЕШ",K420="РЕШ шаблон"),0.1,IF(OR(K420="ЭЗ согласование",K420="РЕШ согласование"),0.3,IF(OR(K420="ЭЗ согласовано",K420="РЕШ согласовано",K420="РЕШ подписано"),0.6,IF(OR(K420="ЭЗ ПР согласование",K420="РЕШ УВ согласование"),0.9,IF(OR(K420="ЭЗ ПР DONE",K420="РЕШ УВ DONE"),1,0)))))</f>
        <v>1</v>
      </c>
      <c r="K420" s="74" t="s">
        <v>204</v>
      </c>
      <c r="Q420" s="76" t="s">
        <v>2142</v>
      </c>
      <c r="R420" s="73">
        <f t="shared" ref="R420:R458" si="36">IF(S420="В работе",0.3,IF(S420="Отписано",0.6,IF(S420="На доработку",0.9,IF(S420="Согласовано",1,0))))</f>
        <v>1</v>
      </c>
      <c r="S420" s="260" t="s">
        <v>1976</v>
      </c>
      <c r="T420" s="260"/>
      <c r="U420" s="260"/>
      <c r="V420" s="260"/>
      <c r="W420" s="260"/>
      <c r="X420" s="260"/>
      <c r="Y420" s="565"/>
      <c r="Z420" s="565"/>
      <c r="AA420" s="566">
        <f t="shared" si="32"/>
        <v>0</v>
      </c>
      <c r="AB420" s="699"/>
    </row>
    <row r="421" spans="1:28" ht="15.75" customHeight="1" x14ac:dyDescent="0.3">
      <c r="A421" s="66" t="s">
        <v>2341</v>
      </c>
      <c r="C421" s="81">
        <v>43791</v>
      </c>
      <c r="D421" s="109">
        <v>43829</v>
      </c>
      <c r="E421" s="560"/>
      <c r="F421" s="86" t="s">
        <v>2342</v>
      </c>
      <c r="G421" s="86" t="s">
        <v>150</v>
      </c>
      <c r="H421" s="79" t="s">
        <v>213</v>
      </c>
      <c r="J421" s="73">
        <f t="shared" si="35"/>
        <v>1</v>
      </c>
      <c r="K421" s="74" t="s">
        <v>204</v>
      </c>
      <c r="Q421" s="76" t="s">
        <v>2142</v>
      </c>
      <c r="R421" s="73">
        <f t="shared" si="36"/>
        <v>1</v>
      </c>
      <c r="S421" s="260" t="s">
        <v>1976</v>
      </c>
      <c r="T421" s="260"/>
      <c r="U421" s="260"/>
      <c r="V421" s="260"/>
      <c r="W421" s="260"/>
      <c r="X421" s="260"/>
      <c r="Y421" s="565"/>
      <c r="Z421" s="565"/>
      <c r="AA421" s="566">
        <f t="shared" si="32"/>
        <v>0</v>
      </c>
      <c r="AB421" s="699"/>
    </row>
    <row r="422" spans="1:28" ht="15.75" customHeight="1" x14ac:dyDescent="0.3">
      <c r="A422" s="66" t="s">
        <v>2345</v>
      </c>
      <c r="C422" s="81">
        <v>43794</v>
      </c>
      <c r="D422" s="109">
        <v>43829</v>
      </c>
      <c r="E422" s="560"/>
      <c r="F422" s="86" t="s">
        <v>2346</v>
      </c>
      <c r="G422" s="86" t="s">
        <v>187</v>
      </c>
      <c r="H422" s="79" t="s">
        <v>213</v>
      </c>
      <c r="J422" s="73">
        <f t="shared" si="35"/>
        <v>1</v>
      </c>
      <c r="K422" s="74" t="s">
        <v>204</v>
      </c>
      <c r="Q422" s="76" t="s">
        <v>2142</v>
      </c>
      <c r="R422" s="73">
        <f t="shared" si="36"/>
        <v>1</v>
      </c>
      <c r="S422" s="260" t="s">
        <v>1976</v>
      </c>
      <c r="T422" s="260"/>
      <c r="U422" s="260"/>
      <c r="V422" s="260"/>
      <c r="W422" s="260"/>
      <c r="X422" s="260"/>
      <c r="Y422" s="565"/>
      <c r="Z422" s="565"/>
      <c r="AA422" s="566">
        <f t="shared" si="32"/>
        <v>0</v>
      </c>
      <c r="AB422" s="699"/>
    </row>
    <row r="423" spans="1:28" ht="15.75" customHeight="1" x14ac:dyDescent="0.3">
      <c r="A423" s="66" t="s">
        <v>2349</v>
      </c>
      <c r="C423" s="81">
        <v>43794</v>
      </c>
      <c r="D423" s="109">
        <v>43829</v>
      </c>
      <c r="E423" s="560"/>
      <c r="F423" s="86" t="s">
        <v>2350</v>
      </c>
      <c r="G423" s="86" t="s">
        <v>189</v>
      </c>
      <c r="H423" s="79" t="s">
        <v>213</v>
      </c>
      <c r="J423" s="73">
        <f t="shared" si="35"/>
        <v>1</v>
      </c>
      <c r="K423" s="74" t="s">
        <v>204</v>
      </c>
      <c r="L423" s="97" t="s">
        <v>2837</v>
      </c>
      <c r="Q423" s="76" t="s">
        <v>2142</v>
      </c>
      <c r="R423" s="73">
        <f t="shared" si="36"/>
        <v>1</v>
      </c>
      <c r="S423" s="260" t="s">
        <v>1976</v>
      </c>
      <c r="T423" s="260"/>
      <c r="U423" s="260"/>
      <c r="V423" s="260"/>
      <c r="W423" s="260"/>
      <c r="X423" s="260"/>
      <c r="Y423" s="565"/>
      <c r="Z423" s="565"/>
      <c r="AA423" s="566">
        <f t="shared" si="32"/>
        <v>0</v>
      </c>
      <c r="AB423" s="699"/>
    </row>
    <row r="424" spans="1:28" ht="15.75" customHeight="1" x14ac:dyDescent="0.3">
      <c r="A424" s="66" t="s">
        <v>2353</v>
      </c>
      <c r="C424" s="81">
        <v>43794</v>
      </c>
      <c r="D424" s="109">
        <v>43830</v>
      </c>
      <c r="E424" s="560"/>
      <c r="F424" s="86" t="s">
        <v>2354</v>
      </c>
      <c r="G424" s="86" t="s">
        <v>152</v>
      </c>
      <c r="H424" s="79" t="s">
        <v>213</v>
      </c>
      <c r="I424" s="97" t="s">
        <v>657</v>
      </c>
      <c r="J424" s="73">
        <f t="shared" si="35"/>
        <v>1</v>
      </c>
      <c r="K424" s="74" t="s">
        <v>204</v>
      </c>
      <c r="L424" s="97" t="s">
        <v>9882</v>
      </c>
      <c r="N424" s="76" t="s">
        <v>17</v>
      </c>
      <c r="Q424" s="76" t="s">
        <v>2142</v>
      </c>
      <c r="R424" s="73">
        <f t="shared" si="36"/>
        <v>1</v>
      </c>
      <c r="S424" s="260" t="s">
        <v>1976</v>
      </c>
      <c r="T424" s="260"/>
      <c r="U424" s="260"/>
      <c r="V424" s="260"/>
      <c r="W424" s="260"/>
      <c r="X424" s="260"/>
      <c r="Y424" s="565"/>
      <c r="Z424" s="565"/>
      <c r="AA424" s="566">
        <f t="shared" si="32"/>
        <v>0</v>
      </c>
      <c r="AB424" s="699"/>
    </row>
    <row r="425" spans="1:28" ht="15.75" customHeight="1" x14ac:dyDescent="0.3">
      <c r="A425" s="66" t="s">
        <v>2355</v>
      </c>
      <c r="C425" s="81">
        <v>43794</v>
      </c>
      <c r="D425" s="109">
        <v>43830</v>
      </c>
      <c r="E425" s="560"/>
      <c r="F425" s="86" t="s">
        <v>2356</v>
      </c>
      <c r="G425" s="86" t="s">
        <v>410</v>
      </c>
      <c r="H425" s="79" t="s">
        <v>213</v>
      </c>
      <c r="J425" s="73">
        <f t="shared" si="35"/>
        <v>1</v>
      </c>
      <c r="K425" s="74" t="s">
        <v>204</v>
      </c>
      <c r="Q425" s="76" t="s">
        <v>2142</v>
      </c>
      <c r="R425" s="73">
        <f t="shared" si="36"/>
        <v>1</v>
      </c>
      <c r="S425" s="260" t="s">
        <v>1976</v>
      </c>
      <c r="T425" s="260"/>
      <c r="U425" s="260"/>
      <c r="V425" s="260"/>
      <c r="W425" s="260"/>
      <c r="X425" s="260"/>
      <c r="Y425" s="565"/>
      <c r="Z425" s="565"/>
      <c r="AA425" s="566">
        <f t="shared" si="32"/>
        <v>0</v>
      </c>
      <c r="AB425" s="699"/>
    </row>
    <row r="426" spans="1:28" ht="15.75" customHeight="1" x14ac:dyDescent="0.3">
      <c r="A426" s="66" t="s">
        <v>2379</v>
      </c>
      <c r="C426" s="81">
        <v>43797</v>
      </c>
      <c r="D426" s="81">
        <v>43819</v>
      </c>
      <c r="E426" s="560"/>
      <c r="F426" s="86" t="s">
        <v>2380</v>
      </c>
      <c r="G426" s="86" t="s">
        <v>152</v>
      </c>
      <c r="H426" s="79" t="s">
        <v>213</v>
      </c>
      <c r="J426" s="73">
        <f t="shared" si="35"/>
        <v>1</v>
      </c>
      <c r="K426" s="74" t="s">
        <v>204</v>
      </c>
      <c r="Q426" s="76" t="s">
        <v>2142</v>
      </c>
      <c r="R426" s="73">
        <f t="shared" si="36"/>
        <v>0</v>
      </c>
      <c r="S426" s="260"/>
      <c r="T426" s="260"/>
      <c r="U426" s="260"/>
      <c r="V426" s="260"/>
      <c r="W426" s="260"/>
      <c r="X426" s="260"/>
      <c r="Y426" s="565"/>
      <c r="Z426" s="565"/>
      <c r="AA426" s="566">
        <f t="shared" si="32"/>
        <v>0</v>
      </c>
      <c r="AB426" s="699"/>
    </row>
    <row r="427" spans="1:28" ht="15.75" customHeight="1" x14ac:dyDescent="0.3">
      <c r="A427" s="66" t="s">
        <v>2570</v>
      </c>
      <c r="C427" s="81">
        <v>43798</v>
      </c>
      <c r="D427" s="109">
        <v>43822</v>
      </c>
      <c r="E427" s="560"/>
      <c r="F427" s="86" t="s">
        <v>2571</v>
      </c>
      <c r="G427" s="86" t="s">
        <v>154</v>
      </c>
      <c r="H427" s="79" t="s">
        <v>213</v>
      </c>
      <c r="I427" s="97" t="s">
        <v>2729</v>
      </c>
      <c r="J427" s="73">
        <f t="shared" si="35"/>
        <v>1</v>
      </c>
      <c r="K427" s="74" t="s">
        <v>204</v>
      </c>
      <c r="N427" s="76" t="s">
        <v>19</v>
      </c>
      <c r="Q427" s="76" t="s">
        <v>2142</v>
      </c>
      <c r="R427" s="73">
        <f t="shared" si="36"/>
        <v>1</v>
      </c>
      <c r="S427" s="260" t="s">
        <v>1976</v>
      </c>
      <c r="T427" s="260"/>
      <c r="U427" s="260"/>
      <c r="V427" s="260"/>
      <c r="W427" s="260"/>
      <c r="X427" s="260"/>
      <c r="Y427" s="565"/>
      <c r="Z427" s="565"/>
      <c r="AA427" s="566">
        <f t="shared" si="32"/>
        <v>0</v>
      </c>
      <c r="AB427" s="699"/>
    </row>
    <row r="428" spans="1:28" ht="15.75" customHeight="1" x14ac:dyDescent="0.3">
      <c r="A428" s="66" t="s">
        <v>2572</v>
      </c>
      <c r="C428" s="81">
        <v>43801</v>
      </c>
      <c r="D428" s="109">
        <v>43823</v>
      </c>
      <c r="E428" s="560"/>
      <c r="F428" s="86" t="s">
        <v>2573</v>
      </c>
      <c r="G428" s="86" t="s">
        <v>152</v>
      </c>
      <c r="H428" s="79" t="s">
        <v>213</v>
      </c>
      <c r="J428" s="73">
        <f t="shared" si="35"/>
        <v>1</v>
      </c>
      <c r="K428" s="74" t="s">
        <v>204</v>
      </c>
      <c r="Q428" s="76" t="s">
        <v>2142</v>
      </c>
      <c r="R428" s="73">
        <f t="shared" si="36"/>
        <v>1</v>
      </c>
      <c r="S428" s="260" t="s">
        <v>1976</v>
      </c>
      <c r="T428" s="260"/>
      <c r="U428" s="260"/>
      <c r="V428" s="260"/>
      <c r="W428" s="260"/>
      <c r="X428" s="260"/>
      <c r="Y428" s="565"/>
      <c r="Z428" s="565"/>
      <c r="AA428" s="566">
        <f t="shared" si="32"/>
        <v>0</v>
      </c>
      <c r="AB428" s="699"/>
    </row>
    <row r="429" spans="1:28" ht="15.75" customHeight="1" x14ac:dyDescent="0.3">
      <c r="A429" s="66" t="s">
        <v>2580</v>
      </c>
      <c r="C429" s="81">
        <v>43802</v>
      </c>
      <c r="D429" s="109">
        <v>43824</v>
      </c>
      <c r="E429" s="560"/>
      <c r="F429" s="86" t="s">
        <v>2581</v>
      </c>
      <c r="G429" s="86" t="s">
        <v>1384</v>
      </c>
      <c r="H429" s="79" t="s">
        <v>213</v>
      </c>
      <c r="I429" s="97" t="s">
        <v>2478</v>
      </c>
      <c r="J429" s="73">
        <f t="shared" si="35"/>
        <v>1</v>
      </c>
      <c r="K429" s="74" t="s">
        <v>204</v>
      </c>
      <c r="L429" s="97" t="s">
        <v>2477</v>
      </c>
      <c r="N429" s="76" t="s">
        <v>19</v>
      </c>
      <c r="Q429" s="76" t="s">
        <v>2142</v>
      </c>
      <c r="R429" s="73">
        <f t="shared" si="36"/>
        <v>1</v>
      </c>
      <c r="S429" s="260" t="s">
        <v>1976</v>
      </c>
      <c r="T429" s="260"/>
      <c r="U429" s="260"/>
      <c r="V429" s="260"/>
      <c r="W429" s="260"/>
      <c r="X429" s="260"/>
      <c r="Y429" s="565"/>
      <c r="Z429" s="565"/>
      <c r="AA429" s="566">
        <f t="shared" si="32"/>
        <v>0</v>
      </c>
      <c r="AB429" s="699"/>
    </row>
    <row r="430" spans="1:28" ht="15.75" customHeight="1" x14ac:dyDescent="0.3">
      <c r="A430" s="66" t="s">
        <v>2586</v>
      </c>
      <c r="C430" s="81">
        <v>43803</v>
      </c>
      <c r="D430" s="109">
        <v>43825</v>
      </c>
      <c r="E430" s="560"/>
      <c r="F430" s="86" t="s">
        <v>2587</v>
      </c>
      <c r="G430" s="86" t="s">
        <v>172</v>
      </c>
      <c r="H430" s="79" t="s">
        <v>213</v>
      </c>
      <c r="J430" s="73">
        <f t="shared" si="35"/>
        <v>1</v>
      </c>
      <c r="K430" s="74" t="s">
        <v>204</v>
      </c>
      <c r="Q430" s="76" t="s">
        <v>2142</v>
      </c>
      <c r="R430" s="73">
        <f t="shared" si="36"/>
        <v>1</v>
      </c>
      <c r="S430" s="260" t="s">
        <v>1976</v>
      </c>
      <c r="T430" s="260"/>
      <c r="U430" s="260"/>
      <c r="V430" s="260"/>
      <c r="W430" s="260"/>
      <c r="X430" s="260"/>
      <c r="Y430" s="565"/>
      <c r="Z430" s="565"/>
      <c r="AA430" s="566">
        <f t="shared" si="32"/>
        <v>0</v>
      </c>
      <c r="AB430" s="699"/>
    </row>
    <row r="431" spans="1:28" ht="15.75" customHeight="1" x14ac:dyDescent="0.3">
      <c r="A431" s="66" t="s">
        <v>2590</v>
      </c>
      <c r="C431" s="81">
        <v>43803</v>
      </c>
      <c r="D431" s="109">
        <v>43825</v>
      </c>
      <c r="E431" s="560"/>
      <c r="F431" s="86" t="s">
        <v>2591</v>
      </c>
      <c r="G431" s="86" t="s">
        <v>152</v>
      </c>
      <c r="H431" s="79" t="s">
        <v>213</v>
      </c>
      <c r="J431" s="73">
        <f t="shared" si="35"/>
        <v>1</v>
      </c>
      <c r="K431" s="74" t="s">
        <v>204</v>
      </c>
      <c r="Q431" s="76" t="s">
        <v>2142</v>
      </c>
      <c r="R431" s="73">
        <f t="shared" si="36"/>
        <v>1</v>
      </c>
      <c r="S431" s="260" t="s">
        <v>1976</v>
      </c>
      <c r="T431" s="260"/>
      <c r="U431" s="260"/>
      <c r="V431" s="260"/>
      <c r="W431" s="260"/>
      <c r="X431" s="260"/>
      <c r="Y431" s="565"/>
      <c r="Z431" s="565"/>
      <c r="AA431" s="566">
        <f t="shared" si="32"/>
        <v>0</v>
      </c>
      <c r="AB431" s="699"/>
    </row>
    <row r="432" spans="1:28" ht="15.75" customHeight="1" x14ac:dyDescent="0.3">
      <c r="A432" s="66" t="s">
        <v>2592</v>
      </c>
      <c r="C432" s="81">
        <v>43803</v>
      </c>
      <c r="D432" s="109">
        <v>43825</v>
      </c>
      <c r="E432" s="560"/>
      <c r="F432" s="86" t="s">
        <v>2593</v>
      </c>
      <c r="G432" s="86" t="s">
        <v>158</v>
      </c>
      <c r="H432" s="79" t="s">
        <v>213</v>
      </c>
      <c r="J432" s="73">
        <f t="shared" si="35"/>
        <v>1</v>
      </c>
      <c r="K432" s="74" t="s">
        <v>204</v>
      </c>
      <c r="Q432" s="76" t="s">
        <v>2142</v>
      </c>
      <c r="R432" s="73">
        <f t="shared" si="36"/>
        <v>1</v>
      </c>
      <c r="S432" s="260" t="s">
        <v>1976</v>
      </c>
      <c r="T432" s="260"/>
      <c r="U432" s="260"/>
      <c r="V432" s="260"/>
      <c r="W432" s="260"/>
      <c r="X432" s="260"/>
      <c r="Y432" s="565"/>
      <c r="Z432" s="565"/>
      <c r="AA432" s="566">
        <f t="shared" si="32"/>
        <v>0</v>
      </c>
      <c r="AB432" s="699"/>
    </row>
    <row r="433" spans="1:28" ht="15.75" customHeight="1" x14ac:dyDescent="0.3">
      <c r="A433" s="66" t="s">
        <v>2596</v>
      </c>
      <c r="C433" s="81">
        <v>43804</v>
      </c>
      <c r="D433" s="109">
        <v>43826</v>
      </c>
      <c r="E433" s="560"/>
      <c r="F433" s="86" t="s">
        <v>2597</v>
      </c>
      <c r="G433" s="86" t="s">
        <v>158</v>
      </c>
      <c r="H433" s="79" t="s">
        <v>213</v>
      </c>
      <c r="I433" s="86" t="s">
        <v>691</v>
      </c>
      <c r="J433" s="73">
        <f t="shared" si="35"/>
        <v>1</v>
      </c>
      <c r="K433" s="74" t="s">
        <v>204</v>
      </c>
      <c r="L433" s="86" t="s">
        <v>2834</v>
      </c>
      <c r="N433" s="76" t="s">
        <v>19</v>
      </c>
      <c r="Q433" s="76" t="s">
        <v>2142</v>
      </c>
      <c r="R433" s="73">
        <f t="shared" si="36"/>
        <v>1</v>
      </c>
      <c r="S433" s="260" t="s">
        <v>1976</v>
      </c>
      <c r="T433" s="260"/>
      <c r="U433" s="260"/>
      <c r="V433" s="260"/>
      <c r="W433" s="260"/>
      <c r="X433" s="260"/>
      <c r="Y433" s="565"/>
      <c r="Z433" s="565"/>
      <c r="AA433" s="566">
        <f t="shared" si="32"/>
        <v>0</v>
      </c>
      <c r="AB433" s="699"/>
    </row>
    <row r="434" spans="1:28" ht="15.75" customHeight="1" x14ac:dyDescent="0.3">
      <c r="A434" s="66" t="s">
        <v>2600</v>
      </c>
      <c r="C434" s="81">
        <v>43804</v>
      </c>
      <c r="D434" s="109">
        <v>43826</v>
      </c>
      <c r="E434" s="560"/>
      <c r="F434" s="86" t="s">
        <v>2601</v>
      </c>
      <c r="G434" s="86" t="s">
        <v>177</v>
      </c>
      <c r="H434" s="79" t="s">
        <v>213</v>
      </c>
      <c r="J434" s="73">
        <f t="shared" si="35"/>
        <v>1</v>
      </c>
      <c r="K434" s="74" t="s">
        <v>204</v>
      </c>
      <c r="Q434" s="301" t="s">
        <v>2142</v>
      </c>
      <c r="R434" s="73">
        <f t="shared" si="36"/>
        <v>1</v>
      </c>
      <c r="S434" s="260" t="s">
        <v>1976</v>
      </c>
      <c r="T434" s="260"/>
      <c r="U434" s="260"/>
      <c r="V434" s="260"/>
      <c r="W434" s="260"/>
      <c r="X434" s="260"/>
      <c r="Y434" s="565"/>
      <c r="Z434" s="565"/>
      <c r="AA434" s="566">
        <f t="shared" si="32"/>
        <v>0</v>
      </c>
      <c r="AB434" s="699"/>
    </row>
    <row r="435" spans="1:28" ht="15.75" customHeight="1" x14ac:dyDescent="0.3">
      <c r="A435" s="66" t="s">
        <v>2602</v>
      </c>
      <c r="C435" s="81">
        <v>43805</v>
      </c>
      <c r="D435" s="109">
        <v>43829</v>
      </c>
      <c r="E435" s="560"/>
      <c r="F435" s="86" t="s">
        <v>2603</v>
      </c>
      <c r="G435" s="86" t="s">
        <v>152</v>
      </c>
      <c r="H435" s="79" t="s">
        <v>213</v>
      </c>
      <c r="J435" s="73">
        <f t="shared" si="35"/>
        <v>1</v>
      </c>
      <c r="K435" s="74" t="s">
        <v>204</v>
      </c>
      <c r="L435" s="97"/>
      <c r="M435" s="79">
        <v>1</v>
      </c>
      <c r="N435" s="76" t="s">
        <v>18</v>
      </c>
      <c r="Q435" s="76" t="s">
        <v>2142</v>
      </c>
      <c r="R435" s="73">
        <f t="shared" si="36"/>
        <v>1</v>
      </c>
      <c r="S435" s="260" t="s">
        <v>1976</v>
      </c>
      <c r="T435" s="260"/>
      <c r="U435" s="260"/>
      <c r="V435" s="260"/>
      <c r="W435" s="260"/>
      <c r="X435" s="260"/>
      <c r="Y435" s="565"/>
      <c r="Z435" s="565"/>
      <c r="AA435" s="566">
        <f t="shared" si="32"/>
        <v>0</v>
      </c>
      <c r="AB435" s="699"/>
    </row>
    <row r="436" spans="1:28" ht="15.75" customHeight="1" x14ac:dyDescent="0.3">
      <c r="A436" s="66" t="s">
        <v>2604</v>
      </c>
      <c r="C436" s="81">
        <v>43805</v>
      </c>
      <c r="D436" s="109">
        <v>43829</v>
      </c>
      <c r="E436" s="560"/>
      <c r="F436" s="86" t="s">
        <v>2605</v>
      </c>
      <c r="G436" s="86" t="s">
        <v>154</v>
      </c>
      <c r="H436" s="79" t="s">
        <v>213</v>
      </c>
      <c r="I436" s="97" t="s">
        <v>689</v>
      </c>
      <c r="J436" s="73">
        <f t="shared" si="35"/>
        <v>1</v>
      </c>
      <c r="K436" s="74" t="s">
        <v>204</v>
      </c>
      <c r="L436" s="97" t="s">
        <v>2838</v>
      </c>
      <c r="M436" s="79">
        <v>0</v>
      </c>
      <c r="N436" s="76" t="s">
        <v>17</v>
      </c>
      <c r="Q436" s="76" t="s">
        <v>2142</v>
      </c>
      <c r="R436" s="73">
        <f t="shared" si="36"/>
        <v>1</v>
      </c>
      <c r="S436" s="260" t="s">
        <v>1976</v>
      </c>
      <c r="T436" s="260"/>
      <c r="U436" s="260"/>
      <c r="V436" s="260"/>
      <c r="W436" s="260"/>
      <c r="X436" s="260"/>
      <c r="Y436" s="565"/>
      <c r="Z436" s="565"/>
      <c r="AA436" s="566">
        <f t="shared" si="32"/>
        <v>0</v>
      </c>
      <c r="AB436" s="699"/>
    </row>
    <row r="437" spans="1:28" ht="15.75" customHeight="1" x14ac:dyDescent="0.3">
      <c r="A437" s="66" t="s">
        <v>2606</v>
      </c>
      <c r="C437" s="81">
        <v>43805</v>
      </c>
      <c r="D437" s="109">
        <v>43829</v>
      </c>
      <c r="E437" s="560"/>
      <c r="F437" s="86" t="s">
        <v>2607</v>
      </c>
      <c r="G437" s="86" t="s">
        <v>152</v>
      </c>
      <c r="H437" s="79" t="s">
        <v>213</v>
      </c>
      <c r="J437" s="73">
        <f t="shared" si="35"/>
        <v>1</v>
      </c>
      <c r="K437" s="74" t="s">
        <v>204</v>
      </c>
      <c r="L437" s="97" t="s">
        <v>2839</v>
      </c>
      <c r="Q437" s="76" t="s">
        <v>2142</v>
      </c>
      <c r="R437" s="73">
        <f t="shared" si="36"/>
        <v>1</v>
      </c>
      <c r="S437" s="260" t="s">
        <v>1976</v>
      </c>
      <c r="T437" s="260"/>
      <c r="U437" s="260"/>
      <c r="V437" s="260"/>
      <c r="W437" s="260"/>
      <c r="X437" s="260"/>
      <c r="Y437" s="565"/>
      <c r="Z437" s="565"/>
      <c r="AA437" s="566">
        <f t="shared" si="32"/>
        <v>0</v>
      </c>
      <c r="AB437" s="699"/>
    </row>
    <row r="438" spans="1:28" ht="15.75" customHeight="1" x14ac:dyDescent="0.3">
      <c r="A438" s="66" t="s">
        <v>2608</v>
      </c>
      <c r="C438" s="81">
        <v>43808</v>
      </c>
      <c r="D438" s="109">
        <v>43830</v>
      </c>
      <c r="E438" s="560"/>
      <c r="F438" s="86" t="s">
        <v>2609</v>
      </c>
      <c r="G438" s="86" t="s">
        <v>164</v>
      </c>
      <c r="H438" s="79" t="s">
        <v>213</v>
      </c>
      <c r="J438" s="73">
        <f t="shared" si="35"/>
        <v>1</v>
      </c>
      <c r="K438" s="74" t="s">
        <v>204</v>
      </c>
      <c r="Q438" s="76" t="s">
        <v>2142</v>
      </c>
      <c r="R438" s="73">
        <f t="shared" si="36"/>
        <v>1</v>
      </c>
      <c r="S438" s="260" t="s">
        <v>1976</v>
      </c>
      <c r="T438" s="260"/>
      <c r="U438" s="260"/>
      <c r="V438" s="260"/>
      <c r="W438" s="260"/>
      <c r="X438" s="260"/>
      <c r="Y438" s="565"/>
      <c r="Z438" s="565"/>
      <c r="AA438" s="566">
        <f t="shared" si="32"/>
        <v>0</v>
      </c>
      <c r="AB438" s="699"/>
    </row>
    <row r="439" spans="1:28" ht="15.75" customHeight="1" x14ac:dyDescent="0.3">
      <c r="A439" s="66" t="s">
        <v>2610</v>
      </c>
      <c r="C439" s="81">
        <v>43808</v>
      </c>
      <c r="D439" s="109">
        <v>43830</v>
      </c>
      <c r="E439" s="560"/>
      <c r="F439" s="86" t="s">
        <v>2611</v>
      </c>
      <c r="G439" s="86" t="s">
        <v>152</v>
      </c>
      <c r="H439" s="79" t="s">
        <v>213</v>
      </c>
      <c r="J439" s="73">
        <f t="shared" si="35"/>
        <v>1</v>
      </c>
      <c r="K439" s="74" t="s">
        <v>204</v>
      </c>
      <c r="Q439" s="76" t="s">
        <v>2142</v>
      </c>
      <c r="R439" s="73">
        <f t="shared" si="36"/>
        <v>1</v>
      </c>
      <c r="S439" s="260" t="s">
        <v>1976</v>
      </c>
      <c r="T439" s="260"/>
      <c r="U439" s="260"/>
      <c r="V439" s="260"/>
      <c r="W439" s="260"/>
      <c r="X439" s="260"/>
      <c r="Y439" s="565"/>
      <c r="Z439" s="565"/>
      <c r="AA439" s="566">
        <f t="shared" si="32"/>
        <v>0</v>
      </c>
      <c r="AB439" s="699"/>
    </row>
    <row r="440" spans="1:28" ht="15.75" customHeight="1" x14ac:dyDescent="0.3">
      <c r="A440" s="66" t="s">
        <v>2612</v>
      </c>
      <c r="C440" s="81">
        <v>43808</v>
      </c>
      <c r="D440" s="109">
        <v>43830</v>
      </c>
      <c r="E440" s="560"/>
      <c r="F440" s="86" t="s">
        <v>2613</v>
      </c>
      <c r="G440" s="86" t="s">
        <v>154</v>
      </c>
      <c r="H440" s="79" t="s">
        <v>213</v>
      </c>
      <c r="J440" s="73">
        <f t="shared" si="35"/>
        <v>1</v>
      </c>
      <c r="K440" s="74" t="s">
        <v>204</v>
      </c>
      <c r="Q440" s="76" t="s">
        <v>2142</v>
      </c>
      <c r="R440" s="73">
        <f t="shared" si="36"/>
        <v>1</v>
      </c>
      <c r="S440" s="260" t="s">
        <v>1976</v>
      </c>
      <c r="T440" s="260"/>
      <c r="U440" s="260"/>
      <c r="V440" s="260"/>
      <c r="W440" s="260"/>
      <c r="X440" s="260"/>
      <c r="Y440" s="565"/>
      <c r="Z440" s="565"/>
      <c r="AA440" s="566">
        <f t="shared" ref="AA440:AA502" si="37">Z440-Y440</f>
        <v>0</v>
      </c>
      <c r="AB440" s="699"/>
    </row>
    <row r="441" spans="1:28" ht="15.75" customHeight="1" x14ac:dyDescent="0.3">
      <c r="A441" s="66" t="s">
        <v>2614</v>
      </c>
      <c r="C441" s="81">
        <v>43808</v>
      </c>
      <c r="D441" s="109">
        <v>43830</v>
      </c>
      <c r="E441" s="560"/>
      <c r="F441" s="86" t="s">
        <v>2615</v>
      </c>
      <c r="G441" s="86" t="s">
        <v>1042</v>
      </c>
      <c r="H441" s="79" t="s">
        <v>213</v>
      </c>
      <c r="J441" s="73">
        <f t="shared" si="35"/>
        <v>1</v>
      </c>
      <c r="K441" s="74" t="s">
        <v>204</v>
      </c>
      <c r="Q441" s="76" t="s">
        <v>2142</v>
      </c>
      <c r="R441" s="73">
        <f t="shared" si="36"/>
        <v>1</v>
      </c>
      <c r="S441" s="260" t="s">
        <v>1976</v>
      </c>
      <c r="T441" s="260"/>
      <c r="U441" s="260"/>
      <c r="V441" s="260"/>
      <c r="W441" s="260"/>
      <c r="X441" s="260"/>
      <c r="Y441" s="565"/>
      <c r="Z441" s="565"/>
      <c r="AA441" s="566">
        <f t="shared" si="37"/>
        <v>0</v>
      </c>
      <c r="AB441" s="699"/>
    </row>
    <row r="442" spans="1:28" ht="15.75" customHeight="1" x14ac:dyDescent="0.3">
      <c r="A442" s="66" t="s">
        <v>2616</v>
      </c>
      <c r="C442" s="81">
        <v>43808</v>
      </c>
      <c r="D442" s="109">
        <v>43830</v>
      </c>
      <c r="E442" s="560"/>
      <c r="F442" s="86" t="s">
        <v>2617</v>
      </c>
      <c r="G442" s="86" t="s">
        <v>152</v>
      </c>
      <c r="H442" s="79" t="s">
        <v>213</v>
      </c>
      <c r="J442" s="73">
        <f t="shared" si="35"/>
        <v>1</v>
      </c>
      <c r="K442" s="74" t="s">
        <v>204</v>
      </c>
      <c r="Q442" s="76" t="s">
        <v>2142</v>
      </c>
      <c r="R442" s="73">
        <f t="shared" si="36"/>
        <v>1</v>
      </c>
      <c r="S442" s="260" t="s">
        <v>1976</v>
      </c>
      <c r="T442" s="260"/>
      <c r="U442" s="260"/>
      <c r="V442" s="260"/>
      <c r="W442" s="260"/>
      <c r="X442" s="260"/>
      <c r="Y442" s="565"/>
      <c r="Z442" s="565"/>
      <c r="AA442" s="566">
        <f t="shared" si="37"/>
        <v>0</v>
      </c>
      <c r="AB442" s="699"/>
    </row>
    <row r="443" spans="1:28" ht="15.75" customHeight="1" x14ac:dyDescent="0.3">
      <c r="A443" s="66" t="s">
        <v>2618</v>
      </c>
      <c r="C443" s="81">
        <v>43774</v>
      </c>
      <c r="D443" s="109">
        <v>43824</v>
      </c>
      <c r="E443" s="560"/>
      <c r="F443" s="86" t="s">
        <v>2619</v>
      </c>
      <c r="G443" s="86" t="s">
        <v>189</v>
      </c>
      <c r="H443" s="79" t="s">
        <v>213</v>
      </c>
      <c r="J443" s="73">
        <f t="shared" si="35"/>
        <v>1</v>
      </c>
      <c r="K443" s="74" t="s">
        <v>204</v>
      </c>
      <c r="Q443" s="76" t="s">
        <v>2383</v>
      </c>
      <c r="R443" s="73">
        <f t="shared" si="36"/>
        <v>1</v>
      </c>
      <c r="S443" s="260" t="s">
        <v>1976</v>
      </c>
      <c r="T443" s="260"/>
      <c r="U443" s="260"/>
      <c r="V443" s="260"/>
      <c r="W443" s="260"/>
      <c r="X443" s="260"/>
      <c r="Y443" s="565"/>
      <c r="Z443" s="565"/>
      <c r="AA443" s="566">
        <f t="shared" si="37"/>
        <v>0</v>
      </c>
      <c r="AB443" s="699"/>
    </row>
    <row r="444" spans="1:28" ht="15.75" customHeight="1" x14ac:dyDescent="0.3">
      <c r="A444" s="66" t="s">
        <v>2620</v>
      </c>
      <c r="C444" s="81">
        <v>43787</v>
      </c>
      <c r="D444" s="109">
        <v>43822</v>
      </c>
      <c r="E444" s="560"/>
      <c r="F444" s="86" t="s">
        <v>2621</v>
      </c>
      <c r="G444" s="86" t="s">
        <v>150</v>
      </c>
      <c r="H444" s="79" t="s">
        <v>213</v>
      </c>
      <c r="I444" s="97" t="s">
        <v>645</v>
      </c>
      <c r="J444" s="73">
        <f t="shared" si="35"/>
        <v>1</v>
      </c>
      <c r="K444" s="74" t="s">
        <v>204</v>
      </c>
      <c r="N444" s="76" t="s">
        <v>18</v>
      </c>
      <c r="Q444" s="301" t="s">
        <v>2383</v>
      </c>
      <c r="R444" s="73">
        <f t="shared" si="36"/>
        <v>1</v>
      </c>
      <c r="S444" s="260" t="s">
        <v>1976</v>
      </c>
      <c r="T444" s="260"/>
      <c r="U444" s="260"/>
      <c r="V444" s="260"/>
      <c r="W444" s="260"/>
      <c r="X444" s="260"/>
      <c r="Y444" s="565"/>
      <c r="Z444" s="565"/>
      <c r="AA444" s="566">
        <f t="shared" si="37"/>
        <v>0</v>
      </c>
      <c r="AB444" s="699"/>
    </row>
    <row r="445" spans="1:28" ht="15.75" customHeight="1" x14ac:dyDescent="0.3">
      <c r="A445" s="66" t="s">
        <v>2622</v>
      </c>
      <c r="C445" s="81">
        <v>43787</v>
      </c>
      <c r="D445" s="109">
        <v>43822</v>
      </c>
      <c r="E445" s="560"/>
      <c r="F445" s="86" t="s">
        <v>2623</v>
      </c>
      <c r="G445" s="86" t="s">
        <v>147</v>
      </c>
      <c r="H445" s="79" t="s">
        <v>213</v>
      </c>
      <c r="J445" s="73">
        <f t="shared" si="35"/>
        <v>1</v>
      </c>
      <c r="K445" s="74" t="s">
        <v>204</v>
      </c>
      <c r="Q445" s="76" t="s">
        <v>2383</v>
      </c>
      <c r="R445" s="73">
        <f t="shared" si="36"/>
        <v>1</v>
      </c>
      <c r="S445" s="260" t="s">
        <v>1976</v>
      </c>
      <c r="T445" s="260"/>
      <c r="U445" s="260"/>
      <c r="V445" s="260"/>
      <c r="W445" s="260"/>
      <c r="X445" s="260"/>
      <c r="Y445" s="565"/>
      <c r="Z445" s="565"/>
      <c r="AA445" s="566">
        <f t="shared" si="37"/>
        <v>0</v>
      </c>
      <c r="AB445" s="699"/>
    </row>
    <row r="446" spans="1:28" ht="15.75" customHeight="1" x14ac:dyDescent="0.3">
      <c r="A446" s="66" t="s">
        <v>2624</v>
      </c>
      <c r="C446" s="81">
        <v>43788</v>
      </c>
      <c r="D446" s="109">
        <v>43823</v>
      </c>
      <c r="E446" s="560"/>
      <c r="F446" s="86" t="s">
        <v>2625</v>
      </c>
      <c r="G446" s="86" t="s">
        <v>152</v>
      </c>
      <c r="H446" s="79" t="s">
        <v>213</v>
      </c>
      <c r="J446" s="73">
        <f t="shared" si="35"/>
        <v>1</v>
      </c>
      <c r="K446" s="74" t="s">
        <v>204</v>
      </c>
      <c r="Q446" s="76" t="s">
        <v>2383</v>
      </c>
      <c r="R446" s="73">
        <f t="shared" si="36"/>
        <v>1</v>
      </c>
      <c r="S446" s="260" t="s">
        <v>1976</v>
      </c>
      <c r="T446" s="260"/>
      <c r="U446" s="260"/>
      <c r="V446" s="260"/>
      <c r="W446" s="260"/>
      <c r="X446" s="260"/>
      <c r="Y446" s="565"/>
      <c r="Z446" s="565"/>
      <c r="AA446" s="566">
        <f t="shared" si="37"/>
        <v>0</v>
      </c>
      <c r="AB446" s="699"/>
    </row>
    <row r="447" spans="1:28" ht="15.75" customHeight="1" x14ac:dyDescent="0.3">
      <c r="A447" s="66" t="s">
        <v>2626</v>
      </c>
      <c r="C447" s="81">
        <v>43788</v>
      </c>
      <c r="D447" s="109">
        <v>43824</v>
      </c>
      <c r="E447" s="560"/>
      <c r="F447" s="86" t="s">
        <v>2627</v>
      </c>
      <c r="G447" s="86" t="s">
        <v>150</v>
      </c>
      <c r="H447" s="79" t="s">
        <v>213</v>
      </c>
      <c r="J447" s="73">
        <f t="shared" si="35"/>
        <v>1</v>
      </c>
      <c r="K447" s="74" t="s">
        <v>204</v>
      </c>
      <c r="Q447" s="76" t="s">
        <v>2383</v>
      </c>
      <c r="R447" s="73">
        <f t="shared" si="36"/>
        <v>1</v>
      </c>
      <c r="S447" s="260" t="s">
        <v>1976</v>
      </c>
      <c r="T447" s="260"/>
      <c r="U447" s="260"/>
      <c r="V447" s="260"/>
      <c r="W447" s="260"/>
      <c r="X447" s="260"/>
      <c r="Y447" s="565"/>
      <c r="Z447" s="565"/>
      <c r="AA447" s="566">
        <f t="shared" si="37"/>
        <v>0</v>
      </c>
      <c r="AB447" s="699"/>
    </row>
    <row r="448" spans="1:28" ht="15.75" customHeight="1" x14ac:dyDescent="0.3">
      <c r="A448" s="66" t="s">
        <v>2628</v>
      </c>
      <c r="C448" s="81">
        <v>43790</v>
      </c>
      <c r="D448" s="109">
        <v>43825</v>
      </c>
      <c r="E448" s="560"/>
      <c r="F448" s="86" t="s">
        <v>2629</v>
      </c>
      <c r="G448" s="86" t="s">
        <v>152</v>
      </c>
      <c r="H448" s="79" t="s">
        <v>213</v>
      </c>
      <c r="J448" s="73">
        <f t="shared" si="35"/>
        <v>1</v>
      </c>
      <c r="K448" s="74" t="s">
        <v>204</v>
      </c>
      <c r="Q448" s="76" t="s">
        <v>2383</v>
      </c>
      <c r="R448" s="73">
        <f t="shared" si="36"/>
        <v>1</v>
      </c>
      <c r="S448" s="260" t="s">
        <v>1976</v>
      </c>
      <c r="T448" s="260"/>
      <c r="U448" s="260"/>
      <c r="V448" s="260"/>
      <c r="W448" s="260"/>
      <c r="X448" s="260"/>
      <c r="Y448" s="565"/>
      <c r="Z448" s="565"/>
      <c r="AA448" s="566">
        <f t="shared" si="37"/>
        <v>0</v>
      </c>
      <c r="AB448" s="699"/>
    </row>
    <row r="449" spans="1:28" ht="15.75" customHeight="1" x14ac:dyDescent="0.3">
      <c r="A449" s="66" t="s">
        <v>2398</v>
      </c>
      <c r="C449" s="81">
        <v>43791</v>
      </c>
      <c r="D449" s="109">
        <v>43829</v>
      </c>
      <c r="E449" s="560"/>
      <c r="F449" s="86" t="s">
        <v>2399</v>
      </c>
      <c r="G449" s="86" t="s">
        <v>150</v>
      </c>
      <c r="H449" s="79" t="s">
        <v>213</v>
      </c>
      <c r="J449" s="73">
        <f t="shared" si="35"/>
        <v>1</v>
      </c>
      <c r="K449" s="74" t="s">
        <v>204</v>
      </c>
      <c r="Q449" s="76" t="s">
        <v>2383</v>
      </c>
      <c r="R449" s="73">
        <f t="shared" si="36"/>
        <v>1</v>
      </c>
      <c r="S449" s="260" t="s">
        <v>1976</v>
      </c>
      <c r="T449" s="260"/>
      <c r="U449" s="260"/>
      <c r="V449" s="260"/>
      <c r="W449" s="260"/>
      <c r="X449" s="260"/>
      <c r="Y449" s="565"/>
      <c r="Z449" s="565"/>
      <c r="AA449" s="566">
        <f t="shared" si="37"/>
        <v>0</v>
      </c>
      <c r="AB449" s="699"/>
    </row>
    <row r="450" spans="1:28" ht="15.75" customHeight="1" x14ac:dyDescent="0.3">
      <c r="A450" s="66" t="s">
        <v>2630</v>
      </c>
      <c r="C450" s="81">
        <v>43791</v>
      </c>
      <c r="D450" s="109">
        <v>43826</v>
      </c>
      <c r="E450" s="560"/>
      <c r="F450" s="86" t="s">
        <v>2631</v>
      </c>
      <c r="G450" s="86" t="s">
        <v>150</v>
      </c>
      <c r="H450" s="79" t="s">
        <v>213</v>
      </c>
      <c r="J450" s="73">
        <f t="shared" si="35"/>
        <v>1</v>
      </c>
      <c r="K450" s="74" t="s">
        <v>204</v>
      </c>
      <c r="Q450" s="76" t="s">
        <v>2383</v>
      </c>
      <c r="R450" s="73">
        <f t="shared" si="36"/>
        <v>1</v>
      </c>
      <c r="S450" s="260" t="s">
        <v>1976</v>
      </c>
      <c r="T450" s="260"/>
      <c r="U450" s="260"/>
      <c r="V450" s="260"/>
      <c r="W450" s="260"/>
      <c r="X450" s="260"/>
      <c r="Y450" s="565"/>
      <c r="Z450" s="565"/>
      <c r="AA450" s="566">
        <f t="shared" si="37"/>
        <v>0</v>
      </c>
      <c r="AB450" s="699"/>
    </row>
    <row r="451" spans="1:28" ht="15.75" customHeight="1" x14ac:dyDescent="0.3">
      <c r="A451" s="66" t="s">
        <v>2632</v>
      </c>
      <c r="C451" s="81">
        <v>43794</v>
      </c>
      <c r="D451" s="109">
        <v>43829</v>
      </c>
      <c r="E451" s="560"/>
      <c r="F451" s="86" t="s">
        <v>2633</v>
      </c>
      <c r="G451" s="86" t="s">
        <v>156</v>
      </c>
      <c r="H451" s="79" t="s">
        <v>213</v>
      </c>
      <c r="I451" s="97" t="s">
        <v>645</v>
      </c>
      <c r="J451" s="73">
        <f t="shared" si="35"/>
        <v>1</v>
      </c>
      <c r="K451" s="74" t="s">
        <v>204</v>
      </c>
      <c r="L451" s="97" t="s">
        <v>8112</v>
      </c>
      <c r="N451" s="76" t="s">
        <v>19</v>
      </c>
      <c r="Q451" s="76" t="s">
        <v>2383</v>
      </c>
      <c r="R451" s="73">
        <f t="shared" si="36"/>
        <v>1</v>
      </c>
      <c r="S451" s="260" t="s">
        <v>1976</v>
      </c>
      <c r="T451" s="260"/>
      <c r="U451" s="260"/>
      <c r="V451" s="260"/>
      <c r="W451" s="260"/>
      <c r="X451" s="260"/>
      <c r="Y451" s="565"/>
      <c r="Z451" s="565"/>
      <c r="AA451" s="566">
        <f t="shared" si="37"/>
        <v>0</v>
      </c>
      <c r="AB451" s="699"/>
    </row>
    <row r="452" spans="1:28" ht="15.75" customHeight="1" x14ac:dyDescent="0.3">
      <c r="A452" s="66" t="s">
        <v>2634</v>
      </c>
      <c r="C452" s="81">
        <v>43795</v>
      </c>
      <c r="D452" s="109">
        <v>43830</v>
      </c>
      <c r="E452" s="560"/>
      <c r="F452" s="86" t="s">
        <v>2635</v>
      </c>
      <c r="G452" s="86" t="s">
        <v>147</v>
      </c>
      <c r="H452" s="79" t="s">
        <v>213</v>
      </c>
      <c r="J452" s="73">
        <f t="shared" si="35"/>
        <v>1</v>
      </c>
      <c r="K452" s="74" t="s">
        <v>204</v>
      </c>
      <c r="Q452" s="76" t="s">
        <v>2383</v>
      </c>
      <c r="R452" s="73">
        <f t="shared" si="36"/>
        <v>1</v>
      </c>
      <c r="S452" s="260" t="s">
        <v>1976</v>
      </c>
      <c r="T452" s="260"/>
      <c r="U452" s="260"/>
      <c r="V452" s="260"/>
      <c r="W452" s="260"/>
      <c r="X452" s="260"/>
      <c r="Y452" s="565"/>
      <c r="Z452" s="565"/>
      <c r="AA452" s="566">
        <f t="shared" si="37"/>
        <v>0</v>
      </c>
      <c r="AB452" s="699"/>
    </row>
    <row r="453" spans="1:28" ht="15.75" customHeight="1" x14ac:dyDescent="0.3">
      <c r="A453" s="66" t="s">
        <v>2408</v>
      </c>
      <c r="C453" s="81">
        <v>43797</v>
      </c>
      <c r="D453" s="81">
        <v>43819</v>
      </c>
      <c r="E453" s="560"/>
      <c r="F453" s="86" t="s">
        <v>2409</v>
      </c>
      <c r="G453" s="86" t="s">
        <v>152</v>
      </c>
      <c r="H453" s="79" t="s">
        <v>213</v>
      </c>
      <c r="J453" s="73">
        <f t="shared" si="35"/>
        <v>1</v>
      </c>
      <c r="K453" s="74" t="s">
        <v>204</v>
      </c>
      <c r="Q453" s="76" t="s">
        <v>2383</v>
      </c>
      <c r="R453" s="73">
        <f t="shared" si="36"/>
        <v>0</v>
      </c>
      <c r="S453" s="260"/>
      <c r="T453" s="260"/>
      <c r="U453" s="260"/>
      <c r="V453" s="260"/>
      <c r="W453" s="260"/>
      <c r="X453" s="260"/>
      <c r="Y453" s="565"/>
      <c r="Z453" s="565"/>
      <c r="AA453" s="566">
        <f t="shared" si="37"/>
        <v>0</v>
      </c>
      <c r="AB453" s="699"/>
    </row>
    <row r="454" spans="1:28" ht="15.75" customHeight="1" x14ac:dyDescent="0.3">
      <c r="A454" s="66" t="s">
        <v>2636</v>
      </c>
      <c r="C454" s="81">
        <v>43798</v>
      </c>
      <c r="D454" s="109">
        <v>43822</v>
      </c>
      <c r="E454" s="560"/>
      <c r="F454" s="86" t="s">
        <v>2637</v>
      </c>
      <c r="G454" s="86" t="s">
        <v>1328</v>
      </c>
      <c r="H454" s="79" t="s">
        <v>213</v>
      </c>
      <c r="J454" s="73">
        <f t="shared" si="35"/>
        <v>1</v>
      </c>
      <c r="K454" s="74" t="s">
        <v>204</v>
      </c>
      <c r="L454" s="97" t="s">
        <v>2730</v>
      </c>
      <c r="Q454" s="76" t="s">
        <v>2383</v>
      </c>
      <c r="R454" s="73">
        <f t="shared" si="36"/>
        <v>1</v>
      </c>
      <c r="S454" s="260" t="s">
        <v>1976</v>
      </c>
      <c r="T454" s="260"/>
      <c r="U454" s="260"/>
      <c r="V454" s="260"/>
      <c r="W454" s="260"/>
      <c r="X454" s="260"/>
      <c r="Y454" s="565"/>
      <c r="Z454" s="565"/>
      <c r="AA454" s="566">
        <f t="shared" si="37"/>
        <v>0</v>
      </c>
      <c r="AB454" s="699"/>
    </row>
    <row r="455" spans="1:28" ht="15.75" customHeight="1" x14ac:dyDescent="0.3">
      <c r="A455" s="66" t="s">
        <v>2638</v>
      </c>
      <c r="C455" s="81">
        <v>43801</v>
      </c>
      <c r="D455" s="109">
        <v>43823</v>
      </c>
      <c r="E455" s="560"/>
      <c r="F455" s="86" t="s">
        <v>2639</v>
      </c>
      <c r="G455" s="86" t="s">
        <v>410</v>
      </c>
      <c r="H455" s="79" t="s">
        <v>213</v>
      </c>
      <c r="J455" s="73">
        <f t="shared" si="35"/>
        <v>1</v>
      </c>
      <c r="K455" s="74" t="s">
        <v>204</v>
      </c>
      <c r="Q455" s="76" t="s">
        <v>2383</v>
      </c>
      <c r="R455" s="73">
        <f t="shared" si="36"/>
        <v>1</v>
      </c>
      <c r="S455" s="260" t="s">
        <v>1976</v>
      </c>
      <c r="T455" s="260"/>
      <c r="U455" s="260"/>
      <c r="V455" s="260"/>
      <c r="W455" s="260"/>
      <c r="X455" s="260"/>
      <c r="Y455" s="565"/>
      <c r="Z455" s="565"/>
      <c r="AA455" s="566">
        <f t="shared" si="37"/>
        <v>0</v>
      </c>
      <c r="AB455" s="699"/>
    </row>
    <row r="456" spans="1:28" ht="15.75" customHeight="1" x14ac:dyDescent="0.3">
      <c r="A456" s="66" t="s">
        <v>2640</v>
      </c>
      <c r="C456" s="81">
        <v>43801</v>
      </c>
      <c r="D456" s="109">
        <v>43823</v>
      </c>
      <c r="E456" s="560"/>
      <c r="F456" s="86" t="s">
        <v>2641</v>
      </c>
      <c r="G456" s="86" t="s">
        <v>152</v>
      </c>
      <c r="H456" s="79" t="s">
        <v>213</v>
      </c>
      <c r="J456" s="73">
        <f t="shared" si="35"/>
        <v>1</v>
      </c>
      <c r="K456" s="74" t="s">
        <v>204</v>
      </c>
      <c r="N456" s="76" t="s">
        <v>19</v>
      </c>
      <c r="Q456" s="76" t="s">
        <v>2383</v>
      </c>
      <c r="R456" s="73">
        <f t="shared" si="36"/>
        <v>1</v>
      </c>
      <c r="S456" s="260" t="s">
        <v>1976</v>
      </c>
      <c r="T456" s="260"/>
      <c r="U456" s="260"/>
      <c r="V456" s="260"/>
      <c r="W456" s="260"/>
      <c r="X456" s="260"/>
      <c r="Y456" s="565"/>
      <c r="Z456" s="565"/>
      <c r="AA456" s="566">
        <f t="shared" si="37"/>
        <v>0</v>
      </c>
      <c r="AB456" s="699"/>
    </row>
    <row r="457" spans="1:28" ht="15.75" customHeight="1" x14ac:dyDescent="0.3">
      <c r="A457" s="66" t="s">
        <v>2642</v>
      </c>
      <c r="C457" s="81">
        <v>43802</v>
      </c>
      <c r="D457" s="109">
        <v>43824</v>
      </c>
      <c r="E457" s="560"/>
      <c r="F457" s="86" t="s">
        <v>2643</v>
      </c>
      <c r="G457" s="86" t="s">
        <v>156</v>
      </c>
      <c r="H457" s="79" t="s">
        <v>213</v>
      </c>
      <c r="J457" s="73">
        <f t="shared" si="35"/>
        <v>1</v>
      </c>
      <c r="K457" s="74" t="s">
        <v>204</v>
      </c>
      <c r="Q457" s="76" t="s">
        <v>2383</v>
      </c>
      <c r="R457" s="73">
        <f t="shared" si="36"/>
        <v>1</v>
      </c>
      <c r="S457" s="260" t="s">
        <v>1976</v>
      </c>
      <c r="T457" s="260"/>
      <c r="U457" s="260"/>
      <c r="V457" s="260"/>
      <c r="W457" s="260"/>
      <c r="X457" s="260"/>
      <c r="Y457" s="565"/>
      <c r="Z457" s="565"/>
      <c r="AA457" s="566">
        <f t="shared" si="37"/>
        <v>0</v>
      </c>
      <c r="AB457" s="699"/>
    </row>
    <row r="458" spans="1:28" ht="15.75" customHeight="1" x14ac:dyDescent="0.3">
      <c r="A458" s="66" t="s">
        <v>2644</v>
      </c>
      <c r="C458" s="81">
        <v>43802</v>
      </c>
      <c r="D458" s="109">
        <v>43824</v>
      </c>
      <c r="E458" s="560"/>
      <c r="F458" s="86" t="s">
        <v>2645</v>
      </c>
      <c r="G458" s="86" t="s">
        <v>152</v>
      </c>
      <c r="H458" s="79" t="s">
        <v>213</v>
      </c>
      <c r="J458" s="73">
        <f t="shared" si="35"/>
        <v>1</v>
      </c>
      <c r="K458" s="74" t="s">
        <v>204</v>
      </c>
      <c r="Q458" s="76" t="s">
        <v>2383</v>
      </c>
      <c r="R458" s="73">
        <f t="shared" si="36"/>
        <v>1</v>
      </c>
      <c r="S458" s="260" t="s">
        <v>1976</v>
      </c>
      <c r="T458" s="260"/>
      <c r="U458" s="260"/>
      <c r="V458" s="260"/>
      <c r="W458" s="260"/>
      <c r="X458" s="260"/>
      <c r="Y458" s="565"/>
      <c r="Z458" s="565"/>
      <c r="AA458" s="566">
        <f t="shared" si="37"/>
        <v>0</v>
      </c>
      <c r="AB458" s="699"/>
    </row>
    <row r="459" spans="1:28" ht="15.75" customHeight="1" x14ac:dyDescent="0.3">
      <c r="A459" s="66" t="s">
        <v>2646</v>
      </c>
      <c r="C459" s="81">
        <v>43803</v>
      </c>
      <c r="D459" s="109">
        <v>43825</v>
      </c>
      <c r="E459" s="560"/>
      <c r="F459" s="86" t="s">
        <v>2647</v>
      </c>
      <c r="G459" s="86" t="s">
        <v>152</v>
      </c>
      <c r="H459" s="79" t="s">
        <v>213</v>
      </c>
      <c r="J459" s="73">
        <f t="shared" ref="J459:J481" si="38">IF(OR(K459="Документы готовы",K459="Запрос в ФО",K459="ЭЗ",K459="РЕШ",K459="РЕШ шаблон"),0.1,IF(OR(K459="ЭЗ согласование",K459="РЕШ согласование"),0.3,IF(OR(K459="ЭЗ согласовано",K459="РЕШ согласовано",K459="РЕШ подписано"),0.6,IF(OR(K459="ЭЗ ПР согласование",K459="РЕШ УВ согласование"),0.9,IF(OR(K459="ЭЗ ПР DONE",K459="РЕШ УВ DONE"),1,0)))))</f>
        <v>1</v>
      </c>
      <c r="K459" s="74" t="s">
        <v>204</v>
      </c>
      <c r="Q459" s="76" t="s">
        <v>2383</v>
      </c>
      <c r="R459" s="73">
        <f t="shared" ref="R459:R481" si="39">IF(S459="В работе",0.3,IF(S459="Отписано",0.6,IF(S459="На доработку",0.9,IF(S459="Согласовано",1,0))))</f>
        <v>1</v>
      </c>
      <c r="S459" s="260" t="s">
        <v>1976</v>
      </c>
      <c r="T459" s="260"/>
      <c r="U459" s="260"/>
      <c r="V459" s="260"/>
      <c r="W459" s="260"/>
      <c r="X459" s="260"/>
      <c r="Y459" s="565"/>
      <c r="Z459" s="565"/>
      <c r="AA459" s="566">
        <f t="shared" si="37"/>
        <v>0</v>
      </c>
      <c r="AB459" s="699"/>
    </row>
    <row r="460" spans="1:28" ht="15.75" customHeight="1" x14ac:dyDescent="0.3">
      <c r="A460" s="66" t="s">
        <v>2648</v>
      </c>
      <c r="C460" s="81">
        <v>43803</v>
      </c>
      <c r="D460" s="109">
        <v>43825</v>
      </c>
      <c r="E460" s="560"/>
      <c r="F460" s="86" t="s">
        <v>2649</v>
      </c>
      <c r="G460" s="86" t="s">
        <v>158</v>
      </c>
      <c r="H460" s="79" t="s">
        <v>213</v>
      </c>
      <c r="J460" s="73">
        <f t="shared" si="38"/>
        <v>1</v>
      </c>
      <c r="K460" s="74" t="s">
        <v>204</v>
      </c>
      <c r="Q460" s="76" t="s">
        <v>2383</v>
      </c>
      <c r="R460" s="73">
        <f t="shared" si="39"/>
        <v>1</v>
      </c>
      <c r="S460" s="260" t="s">
        <v>1976</v>
      </c>
      <c r="T460" s="260"/>
      <c r="U460" s="260"/>
      <c r="V460" s="260"/>
      <c r="W460" s="260"/>
      <c r="X460" s="260"/>
      <c r="Y460" s="565"/>
      <c r="Z460" s="565"/>
      <c r="AA460" s="566">
        <f t="shared" si="37"/>
        <v>0</v>
      </c>
      <c r="AB460" s="699"/>
    </row>
    <row r="461" spans="1:28" ht="15.75" customHeight="1" x14ac:dyDescent="0.3">
      <c r="A461" s="66" t="s">
        <v>2650</v>
      </c>
      <c r="C461" s="81">
        <v>43803</v>
      </c>
      <c r="D461" s="109">
        <v>43825</v>
      </c>
      <c r="E461" s="560"/>
      <c r="F461" s="86" t="s">
        <v>2651</v>
      </c>
      <c r="G461" s="86" t="s">
        <v>2652</v>
      </c>
      <c r="H461" s="79" t="s">
        <v>213</v>
      </c>
      <c r="J461" s="73">
        <f t="shared" si="38"/>
        <v>1</v>
      </c>
      <c r="K461" s="74" t="s">
        <v>204</v>
      </c>
      <c r="Q461" s="76" t="s">
        <v>2383</v>
      </c>
      <c r="R461" s="73">
        <f t="shared" si="39"/>
        <v>1</v>
      </c>
      <c r="S461" s="260" t="s">
        <v>1976</v>
      </c>
      <c r="T461" s="260"/>
      <c r="U461" s="260"/>
      <c r="V461" s="260"/>
      <c r="W461" s="260"/>
      <c r="X461" s="260"/>
      <c r="Y461" s="565"/>
      <c r="Z461" s="565"/>
      <c r="AA461" s="566">
        <f t="shared" si="37"/>
        <v>0</v>
      </c>
      <c r="AB461" s="699"/>
    </row>
    <row r="462" spans="1:28" ht="15.75" customHeight="1" x14ac:dyDescent="0.3">
      <c r="A462" s="66" t="s">
        <v>2653</v>
      </c>
      <c r="C462" s="81">
        <v>43804</v>
      </c>
      <c r="D462" s="109">
        <v>43826</v>
      </c>
      <c r="E462" s="560"/>
      <c r="F462" s="86" t="s">
        <v>2654</v>
      </c>
      <c r="G462" s="86" t="s">
        <v>186</v>
      </c>
      <c r="H462" s="79" t="s">
        <v>213</v>
      </c>
      <c r="I462" s="97"/>
      <c r="J462" s="73">
        <f t="shared" si="38"/>
        <v>1</v>
      </c>
      <c r="K462" s="74" t="s">
        <v>204</v>
      </c>
      <c r="L462" s="97"/>
      <c r="Q462" s="76" t="s">
        <v>2383</v>
      </c>
      <c r="R462" s="73">
        <f t="shared" si="39"/>
        <v>1</v>
      </c>
      <c r="S462" s="260" t="s">
        <v>1976</v>
      </c>
      <c r="T462" s="260"/>
      <c r="U462" s="260"/>
      <c r="V462" s="260"/>
      <c r="W462" s="260"/>
      <c r="X462" s="260"/>
      <c r="Y462" s="565"/>
      <c r="Z462" s="565"/>
      <c r="AA462" s="566">
        <f t="shared" si="37"/>
        <v>0</v>
      </c>
      <c r="AB462" s="699"/>
    </row>
    <row r="463" spans="1:28" ht="15.75" customHeight="1" x14ac:dyDescent="0.3">
      <c r="A463" s="66" t="s">
        <v>2655</v>
      </c>
      <c r="C463" s="81">
        <v>43804</v>
      </c>
      <c r="D463" s="109">
        <v>43826</v>
      </c>
      <c r="E463" s="560"/>
      <c r="F463" s="86" t="s">
        <v>2656</v>
      </c>
      <c r="G463" s="86" t="s">
        <v>150</v>
      </c>
      <c r="H463" s="79" t="s">
        <v>213</v>
      </c>
      <c r="J463" s="73">
        <f t="shared" si="38"/>
        <v>1</v>
      </c>
      <c r="K463" s="74" t="s">
        <v>204</v>
      </c>
      <c r="Q463" s="76" t="s">
        <v>2383</v>
      </c>
      <c r="R463" s="73">
        <f t="shared" si="39"/>
        <v>1</v>
      </c>
      <c r="S463" s="260" t="s">
        <v>1976</v>
      </c>
      <c r="T463" s="260"/>
      <c r="U463" s="260"/>
      <c r="V463" s="260"/>
      <c r="W463" s="260"/>
      <c r="X463" s="260"/>
      <c r="Y463" s="565"/>
      <c r="Z463" s="565"/>
      <c r="AA463" s="566">
        <f t="shared" si="37"/>
        <v>0</v>
      </c>
      <c r="AB463" s="699"/>
    </row>
    <row r="464" spans="1:28" ht="15.75" customHeight="1" x14ac:dyDescent="0.3">
      <c r="A464" s="66" t="s">
        <v>2657</v>
      </c>
      <c r="C464" s="81">
        <v>43804</v>
      </c>
      <c r="D464" s="109">
        <v>43826</v>
      </c>
      <c r="E464" s="560"/>
      <c r="F464" s="86" t="s">
        <v>2658</v>
      </c>
      <c r="G464" s="86" t="s">
        <v>175</v>
      </c>
      <c r="H464" s="79" t="s">
        <v>213</v>
      </c>
      <c r="J464" s="73">
        <f t="shared" si="38"/>
        <v>1</v>
      </c>
      <c r="K464" s="74" t="s">
        <v>204</v>
      </c>
      <c r="Q464" s="76" t="s">
        <v>2383</v>
      </c>
      <c r="R464" s="73">
        <f t="shared" si="39"/>
        <v>1</v>
      </c>
      <c r="S464" s="260" t="s">
        <v>1976</v>
      </c>
      <c r="T464" s="260"/>
      <c r="U464" s="260"/>
      <c r="V464" s="260"/>
      <c r="W464" s="260"/>
      <c r="X464" s="260"/>
      <c r="Y464" s="565"/>
      <c r="Z464" s="565"/>
      <c r="AA464" s="566">
        <f t="shared" si="37"/>
        <v>0</v>
      </c>
      <c r="AB464" s="699"/>
    </row>
    <row r="465" spans="1:28" ht="15.75" customHeight="1" x14ac:dyDescent="0.3">
      <c r="A465" s="66" t="s">
        <v>2659</v>
      </c>
      <c r="C465" s="81">
        <v>43808</v>
      </c>
      <c r="D465" s="109">
        <v>43830</v>
      </c>
      <c r="E465" s="560"/>
      <c r="F465" s="86" t="s">
        <v>2660</v>
      </c>
      <c r="G465" s="86" t="s">
        <v>158</v>
      </c>
      <c r="H465" s="79" t="s">
        <v>213</v>
      </c>
      <c r="J465" s="73">
        <f t="shared" si="38"/>
        <v>1</v>
      </c>
      <c r="K465" s="74" t="s">
        <v>204</v>
      </c>
      <c r="Q465" s="76" t="s">
        <v>2383</v>
      </c>
      <c r="R465" s="73">
        <f t="shared" si="39"/>
        <v>1</v>
      </c>
      <c r="S465" s="260" t="s">
        <v>1976</v>
      </c>
      <c r="T465" s="260"/>
      <c r="U465" s="260"/>
      <c r="V465" s="260"/>
      <c r="W465" s="260"/>
      <c r="X465" s="260"/>
      <c r="Y465" s="565"/>
      <c r="Z465" s="565"/>
      <c r="AA465" s="566">
        <f t="shared" si="37"/>
        <v>0</v>
      </c>
      <c r="AB465" s="699"/>
    </row>
    <row r="466" spans="1:28" ht="15.75" customHeight="1" x14ac:dyDescent="0.3">
      <c r="A466" s="66" t="s">
        <v>2661</v>
      </c>
      <c r="C466" s="81">
        <v>43808</v>
      </c>
      <c r="D466" s="109">
        <v>43830</v>
      </c>
      <c r="E466" s="560"/>
      <c r="F466" s="86" t="s">
        <v>2662</v>
      </c>
      <c r="G466" s="86" t="s">
        <v>147</v>
      </c>
      <c r="H466" s="79" t="s">
        <v>213</v>
      </c>
      <c r="J466" s="73">
        <f t="shared" si="38"/>
        <v>1</v>
      </c>
      <c r="K466" s="74" t="s">
        <v>204</v>
      </c>
      <c r="Q466" s="76" t="s">
        <v>2383</v>
      </c>
      <c r="R466" s="73">
        <f t="shared" si="39"/>
        <v>1</v>
      </c>
      <c r="S466" s="260" t="s">
        <v>1976</v>
      </c>
      <c r="T466" s="260"/>
      <c r="U466" s="260"/>
      <c r="V466" s="260"/>
      <c r="W466" s="260"/>
      <c r="X466" s="260"/>
      <c r="Y466" s="565"/>
      <c r="Z466" s="565"/>
      <c r="AA466" s="566">
        <f t="shared" si="37"/>
        <v>0</v>
      </c>
      <c r="AB466" s="699"/>
    </row>
    <row r="467" spans="1:28" ht="15.75" customHeight="1" x14ac:dyDescent="0.3">
      <c r="A467" s="66" t="s">
        <v>2663</v>
      </c>
      <c r="C467" s="81">
        <v>43808</v>
      </c>
      <c r="D467" s="109">
        <v>43830</v>
      </c>
      <c r="E467" s="560"/>
      <c r="F467" s="86" t="s">
        <v>2664</v>
      </c>
      <c r="G467" s="86" t="s">
        <v>152</v>
      </c>
      <c r="H467" s="79" t="s">
        <v>213</v>
      </c>
      <c r="J467" s="73">
        <f t="shared" si="38"/>
        <v>1</v>
      </c>
      <c r="K467" s="74" t="s">
        <v>204</v>
      </c>
      <c r="Q467" s="76" t="s">
        <v>2383</v>
      </c>
      <c r="R467" s="73">
        <f t="shared" si="39"/>
        <v>1</v>
      </c>
      <c r="S467" s="260" t="s">
        <v>1976</v>
      </c>
      <c r="T467" s="260"/>
      <c r="U467" s="260"/>
      <c r="V467" s="260"/>
      <c r="W467" s="260"/>
      <c r="X467" s="260"/>
      <c r="Y467" s="565"/>
      <c r="Z467" s="565"/>
      <c r="AA467" s="566">
        <f t="shared" si="37"/>
        <v>0</v>
      </c>
      <c r="AB467" s="699"/>
    </row>
    <row r="468" spans="1:28" ht="15.75" customHeight="1" x14ac:dyDescent="0.3">
      <c r="A468" s="66" t="s">
        <v>2665</v>
      </c>
      <c r="C468" s="81">
        <v>43808</v>
      </c>
      <c r="D468" s="109">
        <v>43830</v>
      </c>
      <c r="E468" s="560"/>
      <c r="F468" s="86" t="s">
        <v>2666</v>
      </c>
      <c r="G468" s="86" t="s">
        <v>158</v>
      </c>
      <c r="H468" s="79" t="s">
        <v>213</v>
      </c>
      <c r="J468" s="73">
        <f t="shared" si="38"/>
        <v>1</v>
      </c>
      <c r="K468" s="74" t="s">
        <v>204</v>
      </c>
      <c r="Q468" s="76" t="s">
        <v>2383</v>
      </c>
      <c r="R468" s="73">
        <f t="shared" si="39"/>
        <v>1</v>
      </c>
      <c r="S468" s="260" t="s">
        <v>1976</v>
      </c>
      <c r="T468" s="260"/>
      <c r="U468" s="260"/>
      <c r="V468" s="260"/>
      <c r="W468" s="260"/>
      <c r="X468" s="260"/>
      <c r="Y468" s="565"/>
      <c r="Z468" s="565"/>
      <c r="AA468" s="566">
        <f t="shared" si="37"/>
        <v>0</v>
      </c>
      <c r="AB468" s="699"/>
    </row>
    <row r="469" spans="1:28" ht="15.75" customHeight="1" x14ac:dyDescent="0.3">
      <c r="A469" s="66" t="s">
        <v>2668</v>
      </c>
      <c r="C469" s="81">
        <v>43774</v>
      </c>
      <c r="D469" s="109">
        <v>43824</v>
      </c>
      <c r="E469" s="560"/>
      <c r="F469" s="86" t="s">
        <v>2669</v>
      </c>
      <c r="G469" s="86" t="s">
        <v>156</v>
      </c>
      <c r="H469" s="79" t="s">
        <v>213</v>
      </c>
      <c r="J469" s="73">
        <f t="shared" si="38"/>
        <v>1</v>
      </c>
      <c r="K469" s="74" t="s">
        <v>204</v>
      </c>
      <c r="Q469" s="76" t="s">
        <v>2109</v>
      </c>
      <c r="R469" s="73">
        <f t="shared" si="39"/>
        <v>1</v>
      </c>
      <c r="S469" s="260" t="s">
        <v>1976</v>
      </c>
      <c r="T469" s="260"/>
      <c r="U469" s="260"/>
      <c r="V469" s="260"/>
      <c r="W469" s="260"/>
      <c r="X469" s="260"/>
      <c r="Y469" s="565"/>
      <c r="Z469" s="565"/>
      <c r="AA469" s="566">
        <f t="shared" si="37"/>
        <v>0</v>
      </c>
      <c r="AB469" s="699"/>
    </row>
    <row r="470" spans="1:28" ht="15.75" customHeight="1" x14ac:dyDescent="0.3">
      <c r="A470" s="66" t="s">
        <v>2670</v>
      </c>
      <c r="C470" s="81">
        <v>43784</v>
      </c>
      <c r="D470" s="109">
        <v>43822</v>
      </c>
      <c r="E470" s="560"/>
      <c r="F470" s="86" t="s">
        <v>2671</v>
      </c>
      <c r="G470" s="86" t="s">
        <v>158</v>
      </c>
      <c r="H470" s="79" t="s">
        <v>213</v>
      </c>
      <c r="J470" s="73">
        <f t="shared" si="38"/>
        <v>1</v>
      </c>
      <c r="K470" s="74" t="s">
        <v>204</v>
      </c>
      <c r="Q470" s="76" t="s">
        <v>2109</v>
      </c>
      <c r="R470" s="73">
        <f t="shared" si="39"/>
        <v>1</v>
      </c>
      <c r="S470" s="260" t="s">
        <v>1976</v>
      </c>
      <c r="T470" s="260"/>
      <c r="U470" s="260"/>
      <c r="V470" s="260"/>
      <c r="W470" s="260"/>
      <c r="X470" s="260"/>
      <c r="Y470" s="565"/>
      <c r="Z470" s="565"/>
      <c r="AA470" s="566">
        <f t="shared" si="37"/>
        <v>0</v>
      </c>
      <c r="AB470" s="699"/>
    </row>
    <row r="471" spans="1:28" ht="15.75" customHeight="1" x14ac:dyDescent="0.3">
      <c r="A471" s="66" t="s">
        <v>2114</v>
      </c>
      <c r="C471" s="81">
        <v>43787</v>
      </c>
      <c r="D471" s="109">
        <v>43823</v>
      </c>
      <c r="E471" s="560"/>
      <c r="F471" s="86" t="s">
        <v>2115</v>
      </c>
      <c r="G471" s="86" t="s">
        <v>156</v>
      </c>
      <c r="H471" s="79" t="s">
        <v>213</v>
      </c>
      <c r="J471" s="73">
        <f t="shared" si="38"/>
        <v>1</v>
      </c>
      <c r="K471" s="74" t="s">
        <v>204</v>
      </c>
      <c r="Q471" s="76" t="s">
        <v>2109</v>
      </c>
      <c r="R471" s="73">
        <f t="shared" si="39"/>
        <v>1</v>
      </c>
      <c r="S471" s="260" t="s">
        <v>1976</v>
      </c>
      <c r="T471" s="260"/>
      <c r="U471" s="260"/>
      <c r="V471" s="260"/>
      <c r="W471" s="260"/>
      <c r="X471" s="260"/>
      <c r="Y471" s="565"/>
      <c r="Z471" s="565"/>
      <c r="AA471" s="566">
        <f t="shared" si="37"/>
        <v>0</v>
      </c>
      <c r="AB471" s="699"/>
    </row>
    <row r="472" spans="1:28" ht="15.75" customHeight="1" x14ac:dyDescent="0.3">
      <c r="A472" s="66" t="s">
        <v>2116</v>
      </c>
      <c r="C472" s="81">
        <v>43787</v>
      </c>
      <c r="D472" s="109">
        <v>43823</v>
      </c>
      <c r="E472" s="560"/>
      <c r="F472" s="86" t="s">
        <v>2117</v>
      </c>
      <c r="G472" s="86" t="s">
        <v>538</v>
      </c>
      <c r="H472" s="79" t="s">
        <v>213</v>
      </c>
      <c r="J472" s="73">
        <f t="shared" si="38"/>
        <v>1</v>
      </c>
      <c r="K472" s="74" t="s">
        <v>204</v>
      </c>
      <c r="Q472" s="76" t="s">
        <v>2109</v>
      </c>
      <c r="R472" s="73">
        <f t="shared" si="39"/>
        <v>1</v>
      </c>
      <c r="S472" s="260" t="s">
        <v>1976</v>
      </c>
      <c r="T472" s="260"/>
      <c r="U472" s="260"/>
      <c r="V472" s="260"/>
      <c r="W472" s="260"/>
      <c r="X472" s="260"/>
      <c r="Y472" s="565"/>
      <c r="Z472" s="565"/>
      <c r="AA472" s="566">
        <f t="shared" si="37"/>
        <v>0</v>
      </c>
      <c r="AB472" s="699"/>
    </row>
    <row r="473" spans="1:28" ht="15.75" customHeight="1" x14ac:dyDescent="0.3">
      <c r="A473" s="66" t="s">
        <v>2118</v>
      </c>
      <c r="C473" s="81">
        <v>43787</v>
      </c>
      <c r="D473" s="109">
        <v>43823</v>
      </c>
      <c r="E473" s="560"/>
      <c r="F473" s="86" t="s">
        <v>2119</v>
      </c>
      <c r="G473" s="86" t="s">
        <v>150</v>
      </c>
      <c r="H473" s="79" t="s">
        <v>213</v>
      </c>
      <c r="J473" s="73">
        <f t="shared" si="38"/>
        <v>1</v>
      </c>
      <c r="K473" s="74" t="s">
        <v>204</v>
      </c>
      <c r="Q473" s="76" t="s">
        <v>2109</v>
      </c>
      <c r="R473" s="73">
        <f t="shared" si="39"/>
        <v>1</v>
      </c>
      <c r="S473" s="260" t="s">
        <v>1976</v>
      </c>
      <c r="T473" s="260"/>
      <c r="U473" s="260"/>
      <c r="V473" s="260"/>
      <c r="W473" s="260"/>
      <c r="X473" s="260"/>
      <c r="Y473" s="565"/>
      <c r="Z473" s="565"/>
      <c r="AA473" s="566">
        <f t="shared" si="37"/>
        <v>0</v>
      </c>
      <c r="AB473" s="699"/>
    </row>
    <row r="474" spans="1:28" ht="15.75" customHeight="1" x14ac:dyDescent="0.3">
      <c r="A474" s="66" t="s">
        <v>2124</v>
      </c>
      <c r="C474" s="81">
        <v>43787</v>
      </c>
      <c r="D474" s="109">
        <v>43822</v>
      </c>
      <c r="E474" s="560"/>
      <c r="F474" s="86" t="s">
        <v>2125</v>
      </c>
      <c r="G474" s="86" t="s">
        <v>157</v>
      </c>
      <c r="H474" s="79" t="s">
        <v>213</v>
      </c>
      <c r="J474" s="73">
        <f t="shared" si="38"/>
        <v>1</v>
      </c>
      <c r="K474" s="74" t="s">
        <v>204</v>
      </c>
      <c r="Q474" s="76" t="s">
        <v>2109</v>
      </c>
      <c r="R474" s="73">
        <f t="shared" si="39"/>
        <v>1</v>
      </c>
      <c r="S474" s="260" t="s">
        <v>1976</v>
      </c>
      <c r="T474" s="260"/>
      <c r="U474" s="260"/>
      <c r="V474" s="260"/>
      <c r="W474" s="260"/>
      <c r="X474" s="260"/>
      <c r="Y474" s="565"/>
      <c r="Z474" s="565"/>
      <c r="AA474" s="566">
        <f t="shared" si="37"/>
        <v>0</v>
      </c>
      <c r="AB474" s="699"/>
    </row>
    <row r="475" spans="1:28" ht="15.75" customHeight="1" x14ac:dyDescent="0.3">
      <c r="A475" s="66" t="s">
        <v>2672</v>
      </c>
      <c r="C475" s="81">
        <v>43789</v>
      </c>
      <c r="D475" s="109">
        <v>43824</v>
      </c>
      <c r="E475" s="560"/>
      <c r="F475" s="86" t="s">
        <v>2673</v>
      </c>
      <c r="G475" s="86" t="s">
        <v>175</v>
      </c>
      <c r="H475" s="79" t="s">
        <v>213</v>
      </c>
      <c r="J475" s="73">
        <f t="shared" si="38"/>
        <v>1</v>
      </c>
      <c r="K475" s="74" t="s">
        <v>204</v>
      </c>
      <c r="Q475" s="76" t="s">
        <v>2109</v>
      </c>
      <c r="R475" s="73">
        <f t="shared" si="39"/>
        <v>1</v>
      </c>
      <c r="S475" s="260" t="s">
        <v>1976</v>
      </c>
      <c r="T475" s="260"/>
      <c r="U475" s="260"/>
      <c r="V475" s="260"/>
      <c r="W475" s="260"/>
      <c r="X475" s="260"/>
      <c r="Y475" s="565"/>
      <c r="Z475" s="565"/>
      <c r="AA475" s="566">
        <f t="shared" si="37"/>
        <v>0</v>
      </c>
      <c r="AB475" s="699"/>
    </row>
    <row r="476" spans="1:28" ht="15.75" customHeight="1" x14ac:dyDescent="0.3">
      <c r="A476" s="66" t="s">
        <v>2134</v>
      </c>
      <c r="C476" s="81">
        <v>43789</v>
      </c>
      <c r="D476" s="109">
        <v>43825</v>
      </c>
      <c r="E476" s="560"/>
      <c r="F476" s="86" t="s">
        <v>2135</v>
      </c>
      <c r="G476" s="86" t="s">
        <v>156</v>
      </c>
      <c r="H476" s="79" t="s">
        <v>213</v>
      </c>
      <c r="J476" s="73">
        <f t="shared" si="38"/>
        <v>1</v>
      </c>
      <c r="K476" s="74" t="s">
        <v>204</v>
      </c>
      <c r="Q476" s="76" t="s">
        <v>2109</v>
      </c>
      <c r="R476" s="73">
        <f t="shared" si="39"/>
        <v>1</v>
      </c>
      <c r="S476" s="260" t="s">
        <v>1976</v>
      </c>
      <c r="T476" s="260"/>
      <c r="U476" s="260"/>
      <c r="V476" s="260"/>
      <c r="W476" s="260"/>
      <c r="X476" s="260"/>
      <c r="Y476" s="565"/>
      <c r="Z476" s="565"/>
      <c r="AA476" s="566">
        <f t="shared" si="37"/>
        <v>0</v>
      </c>
      <c r="AB476" s="699"/>
    </row>
    <row r="477" spans="1:28" ht="15.75" customHeight="1" x14ac:dyDescent="0.3">
      <c r="A477" s="66" t="s">
        <v>2674</v>
      </c>
      <c r="C477" s="81">
        <v>43790</v>
      </c>
      <c r="D477" s="109">
        <v>43825</v>
      </c>
      <c r="E477" s="560"/>
      <c r="F477" s="86" t="s">
        <v>2675</v>
      </c>
      <c r="G477" s="86" t="s">
        <v>410</v>
      </c>
      <c r="H477" s="79" t="s">
        <v>213</v>
      </c>
      <c r="J477" s="73">
        <f t="shared" si="38"/>
        <v>1</v>
      </c>
      <c r="K477" s="74" t="s">
        <v>204</v>
      </c>
      <c r="Q477" s="76" t="s">
        <v>2109</v>
      </c>
      <c r="R477" s="73">
        <f t="shared" si="39"/>
        <v>1</v>
      </c>
      <c r="S477" s="260" t="s">
        <v>1976</v>
      </c>
      <c r="T477" s="260"/>
      <c r="U477" s="260"/>
      <c r="V477" s="260"/>
      <c r="W477" s="260"/>
      <c r="X477" s="260"/>
      <c r="Y477" s="565"/>
      <c r="Z477" s="565"/>
      <c r="AA477" s="566">
        <f t="shared" si="37"/>
        <v>0</v>
      </c>
      <c r="AB477" s="699"/>
    </row>
    <row r="478" spans="1:28" ht="15.75" customHeight="1" x14ac:dyDescent="0.3">
      <c r="A478" s="66" t="s">
        <v>2136</v>
      </c>
      <c r="C478" s="81">
        <v>43790</v>
      </c>
      <c r="D478" s="109">
        <v>43825</v>
      </c>
      <c r="E478" s="560"/>
      <c r="F478" s="86" t="s">
        <v>2137</v>
      </c>
      <c r="G478" s="86" t="s">
        <v>152</v>
      </c>
      <c r="H478" s="79" t="s">
        <v>213</v>
      </c>
      <c r="J478" s="73">
        <f t="shared" si="38"/>
        <v>1</v>
      </c>
      <c r="K478" s="74" t="s">
        <v>204</v>
      </c>
      <c r="Q478" s="76" t="s">
        <v>2109</v>
      </c>
      <c r="R478" s="73">
        <f t="shared" si="39"/>
        <v>1</v>
      </c>
      <c r="S478" s="260" t="s">
        <v>1976</v>
      </c>
      <c r="T478" s="260"/>
      <c r="U478" s="260"/>
      <c r="V478" s="260"/>
      <c r="W478" s="260"/>
      <c r="X478" s="260"/>
      <c r="Y478" s="565"/>
      <c r="Z478" s="565"/>
      <c r="AA478" s="566">
        <f t="shared" si="37"/>
        <v>0</v>
      </c>
      <c r="AB478" s="699"/>
    </row>
    <row r="479" spans="1:28" ht="15.75" customHeight="1" x14ac:dyDescent="0.3">
      <c r="A479" s="66" t="s">
        <v>2293</v>
      </c>
      <c r="C479" s="81">
        <v>43791</v>
      </c>
      <c r="D479" s="109">
        <v>43829</v>
      </c>
      <c r="E479" s="560"/>
      <c r="F479" s="86" t="s">
        <v>2294</v>
      </c>
      <c r="G479" s="86" t="s">
        <v>181</v>
      </c>
      <c r="H479" s="79" t="s">
        <v>213</v>
      </c>
      <c r="J479" s="73">
        <f t="shared" si="38"/>
        <v>1</v>
      </c>
      <c r="K479" s="74" t="s">
        <v>204</v>
      </c>
      <c r="Q479" s="76" t="s">
        <v>2109</v>
      </c>
      <c r="R479" s="73">
        <f t="shared" si="39"/>
        <v>1</v>
      </c>
      <c r="S479" s="260" t="s">
        <v>1976</v>
      </c>
      <c r="T479" s="260"/>
      <c r="U479" s="260"/>
      <c r="V479" s="260"/>
      <c r="W479" s="260"/>
      <c r="X479" s="260"/>
      <c r="Y479" s="565"/>
      <c r="Z479" s="565"/>
      <c r="AA479" s="566">
        <f t="shared" si="37"/>
        <v>0</v>
      </c>
      <c r="AB479" s="699"/>
    </row>
    <row r="480" spans="1:28" ht="15.75" customHeight="1" x14ac:dyDescent="0.3">
      <c r="A480" s="66" t="s">
        <v>2295</v>
      </c>
      <c r="C480" s="81">
        <v>43794</v>
      </c>
      <c r="D480" s="109">
        <v>43830</v>
      </c>
      <c r="E480" s="560"/>
      <c r="F480" s="86" t="s">
        <v>2296</v>
      </c>
      <c r="G480" s="86" t="s">
        <v>156</v>
      </c>
      <c r="H480" s="79" t="s">
        <v>213</v>
      </c>
      <c r="J480" s="73">
        <f t="shared" si="38"/>
        <v>1</v>
      </c>
      <c r="K480" s="74" t="s">
        <v>204</v>
      </c>
      <c r="Q480" s="76" t="s">
        <v>2109</v>
      </c>
      <c r="R480" s="73">
        <f t="shared" si="39"/>
        <v>1</v>
      </c>
      <c r="S480" s="260" t="s">
        <v>1976</v>
      </c>
      <c r="T480" s="260"/>
      <c r="U480" s="260"/>
      <c r="V480" s="260"/>
      <c r="W480" s="260"/>
      <c r="X480" s="260"/>
      <c r="Y480" s="565"/>
      <c r="Z480" s="565"/>
      <c r="AA480" s="566">
        <f t="shared" si="37"/>
        <v>0</v>
      </c>
      <c r="AB480" s="699"/>
    </row>
    <row r="481" spans="1:28" ht="15.75" customHeight="1" x14ac:dyDescent="0.3">
      <c r="A481" s="66" t="s">
        <v>2297</v>
      </c>
      <c r="C481" s="81">
        <v>43794</v>
      </c>
      <c r="D481" s="109">
        <v>43830</v>
      </c>
      <c r="E481" s="560"/>
      <c r="F481" s="86" t="s">
        <v>2298</v>
      </c>
      <c r="G481" s="86" t="s">
        <v>147</v>
      </c>
      <c r="H481" s="79" t="s">
        <v>213</v>
      </c>
      <c r="J481" s="73">
        <f t="shared" si="38"/>
        <v>1</v>
      </c>
      <c r="K481" s="74" t="s">
        <v>204</v>
      </c>
      <c r="Q481" s="76" t="s">
        <v>2109</v>
      </c>
      <c r="R481" s="73">
        <f t="shared" si="39"/>
        <v>1</v>
      </c>
      <c r="S481" s="260" t="s">
        <v>1976</v>
      </c>
      <c r="T481" s="260"/>
      <c r="U481" s="260"/>
      <c r="V481" s="260"/>
      <c r="W481" s="260"/>
      <c r="X481" s="260"/>
      <c r="Y481" s="565"/>
      <c r="Z481" s="565"/>
      <c r="AA481" s="566">
        <f t="shared" si="37"/>
        <v>0</v>
      </c>
      <c r="AB481" s="699"/>
    </row>
    <row r="482" spans="1:28" ht="15.75" customHeight="1" x14ac:dyDescent="0.3">
      <c r="A482" s="96" t="s">
        <v>2303</v>
      </c>
      <c r="C482" s="81">
        <v>43795</v>
      </c>
      <c r="D482" s="109">
        <v>43830</v>
      </c>
      <c r="E482" s="560"/>
      <c r="F482" s="86" t="s">
        <v>2304</v>
      </c>
      <c r="G482" s="86" t="s">
        <v>150</v>
      </c>
      <c r="H482" s="79" t="s">
        <v>213</v>
      </c>
      <c r="J482" s="73">
        <f t="shared" ref="J482:J521" si="40">IF(OR(K482="Документы готовы",K482="Запрос в ФО",K482="ЭЗ",K482="РЕШ",K482="РЕШ шаблон"),0.1,IF(OR(K482="ЭЗ согласование",K482="РЕШ согласование"),0.3,IF(OR(K482="ЭЗ согласовано",K482="РЕШ согласовано",K482="РЕШ подписано"),0.6,IF(OR(K482="ЭЗ ПР согласование",K482="РЕШ УВ согласование"),0.9,IF(OR(K482="ЭЗ ПР DONE",K482="РЕШ УВ DONE"),1,0)))))</f>
        <v>1</v>
      </c>
      <c r="K482" s="74" t="s">
        <v>204</v>
      </c>
      <c r="Q482" s="76" t="s">
        <v>2109</v>
      </c>
      <c r="R482" s="73">
        <f t="shared" ref="R482:R521" si="41">IF(S482="В работе",0.3,IF(S482="Отписано",0.6,IF(S482="На доработку",0.9,IF(S482="Согласовано",1,0))))</f>
        <v>1</v>
      </c>
      <c r="S482" s="260" t="s">
        <v>1976</v>
      </c>
      <c r="T482" s="260"/>
      <c r="U482" s="260"/>
      <c r="V482" s="260"/>
      <c r="W482" s="260"/>
      <c r="X482" s="260"/>
      <c r="Y482" s="565"/>
      <c r="Z482" s="565"/>
      <c r="AA482" s="566">
        <f t="shared" si="37"/>
        <v>0</v>
      </c>
      <c r="AB482" s="699"/>
    </row>
    <row r="483" spans="1:28" ht="15.75" customHeight="1" x14ac:dyDescent="0.3">
      <c r="A483" s="79" t="s">
        <v>2311</v>
      </c>
      <c r="C483" s="81">
        <v>43796</v>
      </c>
      <c r="D483" s="109">
        <v>43840</v>
      </c>
      <c r="E483" s="560"/>
      <c r="F483" s="86" t="s">
        <v>2312</v>
      </c>
      <c r="G483" s="86" t="s">
        <v>158</v>
      </c>
      <c r="H483" s="79" t="s">
        <v>213</v>
      </c>
      <c r="J483" s="73">
        <f t="shared" si="40"/>
        <v>1</v>
      </c>
      <c r="K483" s="74" t="s">
        <v>204</v>
      </c>
      <c r="Q483" s="301" t="s">
        <v>2417</v>
      </c>
      <c r="R483" s="73">
        <f t="shared" si="41"/>
        <v>1</v>
      </c>
      <c r="S483" s="260" t="s">
        <v>1976</v>
      </c>
      <c r="T483" s="260"/>
      <c r="U483" s="260"/>
      <c r="V483" s="260"/>
      <c r="W483" s="260"/>
      <c r="X483" s="260"/>
      <c r="Y483" s="565"/>
      <c r="Z483" s="565"/>
      <c r="AA483" s="566">
        <f t="shared" si="37"/>
        <v>0</v>
      </c>
      <c r="AB483" s="699"/>
    </row>
    <row r="484" spans="1:28" ht="15.75" customHeight="1" x14ac:dyDescent="0.3">
      <c r="A484" s="79" t="s">
        <v>2676</v>
      </c>
      <c r="C484" s="81">
        <v>43798</v>
      </c>
      <c r="D484" s="109">
        <v>43822</v>
      </c>
      <c r="E484" s="560"/>
      <c r="F484" s="86" t="s">
        <v>2677</v>
      </c>
      <c r="G484" s="86" t="s">
        <v>152</v>
      </c>
      <c r="H484" s="79" t="s">
        <v>213</v>
      </c>
      <c r="J484" s="73">
        <f t="shared" si="40"/>
        <v>1</v>
      </c>
      <c r="K484" s="74" t="s">
        <v>204</v>
      </c>
      <c r="Q484" s="76" t="s">
        <v>2109</v>
      </c>
      <c r="R484" s="73">
        <f t="shared" si="41"/>
        <v>1</v>
      </c>
      <c r="S484" s="260" t="s">
        <v>1976</v>
      </c>
      <c r="T484" s="260"/>
      <c r="U484" s="260"/>
      <c r="V484" s="260"/>
      <c r="W484" s="260"/>
      <c r="X484" s="260"/>
      <c r="Y484" s="565"/>
      <c r="Z484" s="565"/>
      <c r="AA484" s="566">
        <f t="shared" si="37"/>
        <v>0</v>
      </c>
      <c r="AB484" s="699"/>
    </row>
    <row r="485" spans="1:28" ht="15.75" customHeight="1" x14ac:dyDescent="0.3">
      <c r="A485" s="79" t="s">
        <v>2682</v>
      </c>
      <c r="C485" s="81">
        <v>43801</v>
      </c>
      <c r="D485" s="109">
        <v>43823</v>
      </c>
      <c r="E485" s="560"/>
      <c r="F485" s="86" t="s">
        <v>2683</v>
      </c>
      <c r="G485" s="86" t="s">
        <v>156</v>
      </c>
      <c r="H485" s="79" t="s">
        <v>213</v>
      </c>
      <c r="J485" s="73">
        <f t="shared" si="40"/>
        <v>1</v>
      </c>
      <c r="K485" s="74" t="s">
        <v>204</v>
      </c>
      <c r="Q485" s="76" t="s">
        <v>2109</v>
      </c>
      <c r="R485" s="73">
        <f t="shared" si="41"/>
        <v>1</v>
      </c>
      <c r="S485" s="260" t="s">
        <v>1976</v>
      </c>
      <c r="T485" s="260"/>
      <c r="U485" s="260"/>
      <c r="V485" s="260"/>
      <c r="W485" s="260"/>
      <c r="X485" s="260"/>
      <c r="Y485" s="565"/>
      <c r="Z485" s="565"/>
      <c r="AA485" s="566">
        <f t="shared" si="37"/>
        <v>0</v>
      </c>
      <c r="AB485" s="699"/>
    </row>
    <row r="486" spans="1:28" ht="15.75" customHeight="1" x14ac:dyDescent="0.3">
      <c r="A486" s="79" t="s">
        <v>2684</v>
      </c>
      <c r="C486" s="81">
        <v>43801</v>
      </c>
      <c r="D486" s="109">
        <v>43823</v>
      </c>
      <c r="E486" s="560"/>
      <c r="F486" s="86" t="s">
        <v>2685</v>
      </c>
      <c r="G486" s="86" t="s">
        <v>150</v>
      </c>
      <c r="H486" s="79" t="s">
        <v>213</v>
      </c>
      <c r="J486" s="73">
        <f t="shared" si="40"/>
        <v>1</v>
      </c>
      <c r="K486" s="74" t="s">
        <v>204</v>
      </c>
      <c r="Q486" s="76" t="s">
        <v>2109</v>
      </c>
      <c r="R486" s="73">
        <f t="shared" si="41"/>
        <v>1</v>
      </c>
      <c r="S486" s="260" t="s">
        <v>1976</v>
      </c>
      <c r="T486" s="260"/>
      <c r="U486" s="260"/>
      <c r="V486" s="260"/>
      <c r="W486" s="260"/>
      <c r="X486" s="260"/>
      <c r="Y486" s="565"/>
      <c r="Z486" s="565"/>
      <c r="AA486" s="566">
        <f t="shared" si="37"/>
        <v>0</v>
      </c>
      <c r="AB486" s="699"/>
    </row>
    <row r="487" spans="1:28" ht="15.75" customHeight="1" x14ac:dyDescent="0.3">
      <c r="A487" s="79" t="s">
        <v>2686</v>
      </c>
      <c r="C487" s="81">
        <v>43801</v>
      </c>
      <c r="D487" s="109">
        <v>43823</v>
      </c>
      <c r="E487" s="560"/>
      <c r="F487" s="86" t="s">
        <v>2687</v>
      </c>
      <c r="G487" s="86" t="s">
        <v>152</v>
      </c>
      <c r="H487" s="79" t="s">
        <v>213</v>
      </c>
      <c r="J487" s="73">
        <f t="shared" si="40"/>
        <v>1</v>
      </c>
      <c r="K487" s="74" t="s">
        <v>204</v>
      </c>
      <c r="Q487" s="76" t="s">
        <v>2109</v>
      </c>
      <c r="R487" s="73">
        <f t="shared" si="41"/>
        <v>1</v>
      </c>
      <c r="S487" s="260" t="s">
        <v>1976</v>
      </c>
      <c r="T487" s="260"/>
      <c r="U487" s="260"/>
      <c r="V487" s="260"/>
      <c r="W487" s="260"/>
      <c r="X487" s="260"/>
      <c r="Y487" s="565"/>
      <c r="Z487" s="565"/>
      <c r="AA487" s="566">
        <f t="shared" si="37"/>
        <v>0</v>
      </c>
      <c r="AB487" s="699"/>
    </row>
    <row r="488" spans="1:28" ht="15.75" customHeight="1" x14ac:dyDescent="0.3">
      <c r="A488" s="79" t="s">
        <v>2688</v>
      </c>
      <c r="C488" s="81">
        <v>43801</v>
      </c>
      <c r="D488" s="109">
        <v>43823</v>
      </c>
      <c r="E488" s="560"/>
      <c r="F488" s="86" t="s">
        <v>2689</v>
      </c>
      <c r="G488" s="86" t="s">
        <v>168</v>
      </c>
      <c r="H488" s="79" t="s">
        <v>213</v>
      </c>
      <c r="J488" s="73">
        <f t="shared" si="40"/>
        <v>1</v>
      </c>
      <c r="K488" s="74" t="s">
        <v>204</v>
      </c>
      <c r="Q488" s="76" t="s">
        <v>2109</v>
      </c>
      <c r="R488" s="73">
        <f t="shared" si="41"/>
        <v>1</v>
      </c>
      <c r="S488" s="260" t="s">
        <v>1976</v>
      </c>
      <c r="T488" s="260"/>
      <c r="U488" s="260"/>
      <c r="V488" s="260"/>
      <c r="W488" s="260"/>
      <c r="X488" s="260"/>
      <c r="Y488" s="565"/>
      <c r="Z488" s="565"/>
      <c r="AA488" s="566">
        <f t="shared" si="37"/>
        <v>0</v>
      </c>
      <c r="AB488" s="699"/>
    </row>
    <row r="489" spans="1:28" ht="15.75" customHeight="1" x14ac:dyDescent="0.3">
      <c r="A489" s="79" t="s">
        <v>2692</v>
      </c>
      <c r="C489" s="81">
        <v>43802</v>
      </c>
      <c r="D489" s="109">
        <v>43824</v>
      </c>
      <c r="E489" s="560"/>
      <c r="F489" s="86" t="s">
        <v>2693</v>
      </c>
      <c r="G489" s="86" t="s">
        <v>157</v>
      </c>
      <c r="H489" s="79" t="s">
        <v>268</v>
      </c>
      <c r="J489" s="73">
        <f t="shared" si="40"/>
        <v>1</v>
      </c>
      <c r="K489" s="74" t="s">
        <v>204</v>
      </c>
      <c r="Q489" s="76" t="s">
        <v>2109</v>
      </c>
      <c r="R489" s="73">
        <f t="shared" si="41"/>
        <v>1</v>
      </c>
      <c r="S489" s="260" t="s">
        <v>1976</v>
      </c>
      <c r="T489" s="260"/>
      <c r="U489" s="260"/>
      <c r="V489" s="260"/>
      <c r="W489" s="260"/>
      <c r="X489" s="260"/>
      <c r="Y489" s="565"/>
      <c r="Z489" s="565"/>
      <c r="AA489" s="566">
        <f t="shared" si="37"/>
        <v>0</v>
      </c>
      <c r="AB489" s="699"/>
    </row>
    <row r="490" spans="1:28" ht="15.75" customHeight="1" x14ac:dyDescent="0.3">
      <c r="A490" s="79" t="s">
        <v>2702</v>
      </c>
      <c r="C490" s="81">
        <v>43803</v>
      </c>
      <c r="D490" s="109">
        <v>43825</v>
      </c>
      <c r="E490" s="560"/>
      <c r="F490" s="86" t="s">
        <v>2703</v>
      </c>
      <c r="G490" s="86" t="s">
        <v>168</v>
      </c>
      <c r="H490" s="79" t="s">
        <v>213</v>
      </c>
      <c r="J490" s="73">
        <f t="shared" si="40"/>
        <v>1</v>
      </c>
      <c r="K490" s="74" t="s">
        <v>204</v>
      </c>
      <c r="Q490" s="76" t="s">
        <v>2109</v>
      </c>
      <c r="R490" s="73">
        <f t="shared" si="41"/>
        <v>1</v>
      </c>
      <c r="S490" s="260" t="s">
        <v>1976</v>
      </c>
      <c r="T490" s="260"/>
      <c r="U490" s="260"/>
      <c r="V490" s="260"/>
      <c r="W490" s="260"/>
      <c r="X490" s="260"/>
      <c r="Y490" s="565"/>
      <c r="Z490" s="565"/>
      <c r="AA490" s="566">
        <f t="shared" si="37"/>
        <v>0</v>
      </c>
      <c r="AB490" s="699"/>
    </row>
    <row r="491" spans="1:28" ht="15.75" customHeight="1" x14ac:dyDescent="0.3">
      <c r="A491" s="79" t="s">
        <v>2704</v>
      </c>
      <c r="C491" s="81">
        <v>43803</v>
      </c>
      <c r="D491" s="109">
        <v>43825</v>
      </c>
      <c r="E491" s="560"/>
      <c r="F491" s="86" t="s">
        <v>2705</v>
      </c>
      <c r="G491" s="86" t="s">
        <v>152</v>
      </c>
      <c r="H491" s="79" t="s">
        <v>213</v>
      </c>
      <c r="J491" s="73">
        <f t="shared" si="40"/>
        <v>1</v>
      </c>
      <c r="K491" s="74" t="s">
        <v>204</v>
      </c>
      <c r="Q491" s="76" t="s">
        <v>2109</v>
      </c>
      <c r="R491" s="73">
        <f t="shared" si="41"/>
        <v>1</v>
      </c>
      <c r="S491" s="260" t="s">
        <v>1976</v>
      </c>
      <c r="T491" s="260"/>
      <c r="U491" s="260"/>
      <c r="V491" s="260"/>
      <c r="W491" s="260"/>
      <c r="X491" s="260"/>
      <c r="Y491" s="565"/>
      <c r="Z491" s="565"/>
      <c r="AA491" s="566">
        <f t="shared" si="37"/>
        <v>0</v>
      </c>
      <c r="AB491" s="699"/>
    </row>
    <row r="492" spans="1:28" ht="15.75" customHeight="1" x14ac:dyDescent="0.3">
      <c r="A492" s="79" t="s">
        <v>2706</v>
      </c>
      <c r="C492" s="81">
        <v>43805</v>
      </c>
      <c r="D492" s="109">
        <v>43826</v>
      </c>
      <c r="E492" s="560"/>
      <c r="F492" s="86" t="s">
        <v>2707</v>
      </c>
      <c r="G492" s="86" t="s">
        <v>186</v>
      </c>
      <c r="H492" s="79" t="s">
        <v>213</v>
      </c>
      <c r="I492" s="97" t="s">
        <v>755</v>
      </c>
      <c r="J492" s="73">
        <f t="shared" si="40"/>
        <v>1</v>
      </c>
      <c r="K492" s="74" t="s">
        <v>204</v>
      </c>
      <c r="L492" s="86" t="s">
        <v>2827</v>
      </c>
      <c r="M492" s="79">
        <v>0</v>
      </c>
      <c r="N492" s="76" t="s">
        <v>18</v>
      </c>
      <c r="Q492" s="76" t="s">
        <v>2109</v>
      </c>
      <c r="R492" s="73">
        <f t="shared" si="41"/>
        <v>1</v>
      </c>
      <c r="S492" s="260" t="s">
        <v>1976</v>
      </c>
      <c r="T492" s="260"/>
      <c r="U492" s="260"/>
      <c r="V492" s="260"/>
      <c r="W492" s="260"/>
      <c r="X492" s="260"/>
      <c r="Y492" s="565"/>
      <c r="Z492" s="565"/>
      <c r="AA492" s="566">
        <f t="shared" si="37"/>
        <v>0</v>
      </c>
      <c r="AB492" s="699"/>
    </row>
    <row r="493" spans="1:28" ht="15.75" customHeight="1" x14ac:dyDescent="0.3">
      <c r="A493" s="79" t="s">
        <v>2716</v>
      </c>
      <c r="C493" s="81">
        <v>43805</v>
      </c>
      <c r="D493" s="109">
        <v>43829</v>
      </c>
      <c r="E493" s="560"/>
      <c r="F493" s="86" t="s">
        <v>2717</v>
      </c>
      <c r="G493" s="86" t="s">
        <v>2718</v>
      </c>
      <c r="H493" s="79" t="s">
        <v>213</v>
      </c>
      <c r="J493" s="73">
        <f t="shared" si="40"/>
        <v>1</v>
      </c>
      <c r="K493" s="74" t="s">
        <v>204</v>
      </c>
      <c r="Q493" s="76" t="s">
        <v>2109</v>
      </c>
      <c r="R493" s="73">
        <f t="shared" si="41"/>
        <v>1</v>
      </c>
      <c r="S493" s="260" t="s">
        <v>1976</v>
      </c>
      <c r="T493" s="260"/>
      <c r="U493" s="260"/>
      <c r="V493" s="260"/>
      <c r="W493" s="260"/>
      <c r="X493" s="260"/>
      <c r="Y493" s="565"/>
      <c r="Z493" s="565"/>
      <c r="AA493" s="566">
        <f t="shared" si="37"/>
        <v>0</v>
      </c>
      <c r="AB493" s="699"/>
    </row>
    <row r="494" spans="1:28" ht="15.75" customHeight="1" x14ac:dyDescent="0.3">
      <c r="A494" s="79" t="s">
        <v>2721</v>
      </c>
      <c r="C494" s="81">
        <v>43808</v>
      </c>
      <c r="D494" s="109">
        <v>43830</v>
      </c>
      <c r="E494" s="560"/>
      <c r="F494" s="86" t="s">
        <v>2722</v>
      </c>
      <c r="G494" s="86" t="s">
        <v>150</v>
      </c>
      <c r="H494" s="79" t="s">
        <v>213</v>
      </c>
      <c r="J494" s="73">
        <f t="shared" si="40"/>
        <v>1</v>
      </c>
      <c r="K494" s="74" t="s">
        <v>204</v>
      </c>
      <c r="Q494" s="76" t="s">
        <v>2109</v>
      </c>
      <c r="R494" s="73">
        <f t="shared" si="41"/>
        <v>1</v>
      </c>
      <c r="S494" s="260" t="s">
        <v>1976</v>
      </c>
      <c r="T494" s="260"/>
      <c r="U494" s="260"/>
      <c r="V494" s="260"/>
      <c r="W494" s="260"/>
      <c r="X494" s="260"/>
      <c r="Y494" s="565"/>
      <c r="Z494" s="565"/>
      <c r="AA494" s="566">
        <f t="shared" si="37"/>
        <v>0</v>
      </c>
      <c r="AB494" s="699"/>
    </row>
    <row r="495" spans="1:28" ht="15.75" customHeight="1" x14ac:dyDescent="0.3">
      <c r="A495" s="79" t="s">
        <v>2725</v>
      </c>
      <c r="C495" s="81">
        <v>43808</v>
      </c>
      <c r="D495" s="109">
        <v>43830</v>
      </c>
      <c r="E495" s="560"/>
      <c r="F495" s="86" t="s">
        <v>2726</v>
      </c>
      <c r="G495" s="86" t="s">
        <v>156</v>
      </c>
      <c r="H495" s="79" t="s">
        <v>213</v>
      </c>
      <c r="J495" s="73">
        <f t="shared" si="40"/>
        <v>1</v>
      </c>
      <c r="K495" s="74" t="s">
        <v>204</v>
      </c>
      <c r="Q495" s="76" t="s">
        <v>2109</v>
      </c>
      <c r="R495" s="73">
        <f t="shared" si="41"/>
        <v>1</v>
      </c>
      <c r="S495" s="260" t="s">
        <v>1976</v>
      </c>
      <c r="T495" s="260"/>
      <c r="U495" s="260"/>
      <c r="V495" s="260"/>
      <c r="W495" s="260"/>
      <c r="X495" s="260"/>
      <c r="Y495" s="565"/>
      <c r="Z495" s="565"/>
      <c r="AA495" s="566">
        <f t="shared" si="37"/>
        <v>0</v>
      </c>
      <c r="AB495" s="699"/>
    </row>
    <row r="496" spans="1:28" ht="15.75" customHeight="1" x14ac:dyDescent="0.3">
      <c r="A496" s="79" t="s">
        <v>2727</v>
      </c>
      <c r="C496" s="81">
        <v>43808</v>
      </c>
      <c r="D496" s="109">
        <v>43830</v>
      </c>
      <c r="E496" s="560"/>
      <c r="F496" s="86" t="s">
        <v>2728</v>
      </c>
      <c r="G496" s="86" t="s">
        <v>154</v>
      </c>
      <c r="H496" s="79" t="s">
        <v>213</v>
      </c>
      <c r="J496" s="73">
        <f t="shared" si="40"/>
        <v>1</v>
      </c>
      <c r="K496" s="74" t="s">
        <v>204</v>
      </c>
      <c r="Q496" s="76" t="s">
        <v>2109</v>
      </c>
      <c r="R496" s="73">
        <f t="shared" si="41"/>
        <v>1</v>
      </c>
      <c r="S496" s="260" t="s">
        <v>1976</v>
      </c>
      <c r="T496" s="260"/>
      <c r="U496" s="260"/>
      <c r="V496" s="260"/>
      <c r="W496" s="260"/>
      <c r="X496" s="260"/>
      <c r="Y496" s="565"/>
      <c r="Z496" s="565"/>
      <c r="AA496" s="566">
        <f t="shared" si="37"/>
        <v>0</v>
      </c>
      <c r="AB496" s="699"/>
    </row>
    <row r="497" spans="1:28" ht="15.75" customHeight="1" x14ac:dyDescent="0.3">
      <c r="A497" s="96" t="s">
        <v>2731</v>
      </c>
      <c r="C497" s="81">
        <v>43770</v>
      </c>
      <c r="D497" s="109">
        <v>43822</v>
      </c>
      <c r="E497" s="560"/>
      <c r="F497" s="97" t="s">
        <v>2732</v>
      </c>
      <c r="G497" s="97" t="s">
        <v>156</v>
      </c>
      <c r="H497" s="96" t="s">
        <v>213</v>
      </c>
      <c r="J497" s="73">
        <f t="shared" si="40"/>
        <v>1</v>
      </c>
      <c r="K497" s="74" t="s">
        <v>204</v>
      </c>
      <c r="Q497" s="301" t="s">
        <v>2417</v>
      </c>
      <c r="R497" s="73">
        <f t="shared" si="41"/>
        <v>1</v>
      </c>
      <c r="S497" s="260" t="s">
        <v>1976</v>
      </c>
      <c r="T497" s="260"/>
      <c r="U497" s="260"/>
      <c r="V497" s="260"/>
      <c r="W497" s="260"/>
      <c r="X497" s="260"/>
      <c r="Y497" s="565"/>
      <c r="Z497" s="565"/>
      <c r="AA497" s="566">
        <f t="shared" si="37"/>
        <v>0</v>
      </c>
      <c r="AB497" s="699"/>
    </row>
    <row r="498" spans="1:28" ht="15.75" customHeight="1" x14ac:dyDescent="0.3">
      <c r="A498" s="96" t="s">
        <v>2733</v>
      </c>
      <c r="C498" s="81">
        <v>43802</v>
      </c>
      <c r="D498" s="109">
        <v>43823</v>
      </c>
      <c r="E498" s="560"/>
      <c r="F498" s="97" t="s">
        <v>2734</v>
      </c>
      <c r="G498" s="97" t="s">
        <v>147</v>
      </c>
      <c r="H498" s="96" t="s">
        <v>268</v>
      </c>
      <c r="I498" s="97" t="s">
        <v>2794</v>
      </c>
      <c r="J498" s="73">
        <f t="shared" si="40"/>
        <v>1</v>
      </c>
      <c r="K498" s="74" t="s">
        <v>204</v>
      </c>
      <c r="L498" s="97" t="s">
        <v>2793</v>
      </c>
      <c r="Q498" s="301" t="s">
        <v>2417</v>
      </c>
      <c r="R498" s="73">
        <f t="shared" si="41"/>
        <v>1</v>
      </c>
      <c r="S498" s="260" t="s">
        <v>1976</v>
      </c>
      <c r="T498" s="260"/>
      <c r="U498" s="260"/>
      <c r="V498" s="260"/>
      <c r="W498" s="260"/>
      <c r="X498" s="260"/>
      <c r="Y498" s="565"/>
      <c r="Z498" s="565"/>
      <c r="AA498" s="566">
        <f t="shared" si="37"/>
        <v>0</v>
      </c>
      <c r="AB498" s="699"/>
    </row>
    <row r="499" spans="1:28" ht="15.75" customHeight="1" x14ac:dyDescent="0.3">
      <c r="A499" s="96" t="s">
        <v>2735</v>
      </c>
      <c r="C499" s="81">
        <v>43787</v>
      </c>
      <c r="D499" s="109">
        <v>43823</v>
      </c>
      <c r="E499" s="560"/>
      <c r="F499" s="97" t="s">
        <v>2736</v>
      </c>
      <c r="G499" s="97" t="s">
        <v>181</v>
      </c>
      <c r="H499" s="96" t="s">
        <v>213</v>
      </c>
      <c r="J499" s="73">
        <f t="shared" si="40"/>
        <v>1</v>
      </c>
      <c r="K499" s="74" t="s">
        <v>204</v>
      </c>
      <c r="Q499" s="301" t="s">
        <v>2417</v>
      </c>
      <c r="R499" s="73">
        <f t="shared" si="41"/>
        <v>1</v>
      </c>
      <c r="S499" s="260" t="s">
        <v>1976</v>
      </c>
      <c r="T499" s="260"/>
      <c r="U499" s="260"/>
      <c r="V499" s="260"/>
      <c r="W499" s="260"/>
      <c r="X499" s="260"/>
      <c r="Y499" s="565"/>
      <c r="Z499" s="565"/>
      <c r="AA499" s="566">
        <f t="shared" si="37"/>
        <v>0</v>
      </c>
      <c r="AB499" s="699"/>
    </row>
    <row r="500" spans="1:28" ht="15.75" customHeight="1" x14ac:dyDescent="0.3">
      <c r="A500" s="96" t="s">
        <v>2737</v>
      </c>
      <c r="C500" s="81">
        <v>43787</v>
      </c>
      <c r="D500" s="109">
        <v>43823</v>
      </c>
      <c r="E500" s="560"/>
      <c r="F500" s="97" t="s">
        <v>2738</v>
      </c>
      <c r="G500" s="97" t="s">
        <v>158</v>
      </c>
      <c r="H500" s="96" t="s">
        <v>213</v>
      </c>
      <c r="I500" s="97" t="s">
        <v>645</v>
      </c>
      <c r="J500" s="73">
        <f t="shared" si="40"/>
        <v>1</v>
      </c>
      <c r="K500" s="74" t="s">
        <v>204</v>
      </c>
      <c r="Q500" s="76" t="s">
        <v>2417</v>
      </c>
      <c r="R500" s="73">
        <f t="shared" si="41"/>
        <v>1</v>
      </c>
      <c r="S500" s="260" t="s">
        <v>1976</v>
      </c>
      <c r="T500" s="260"/>
      <c r="U500" s="260"/>
      <c r="V500" s="260"/>
      <c r="W500" s="260"/>
      <c r="X500" s="260"/>
      <c r="Y500" s="565"/>
      <c r="Z500" s="565"/>
      <c r="AA500" s="566">
        <f t="shared" si="37"/>
        <v>0</v>
      </c>
      <c r="AB500" s="699"/>
    </row>
    <row r="501" spans="1:28" ht="15.75" customHeight="1" x14ac:dyDescent="0.3">
      <c r="A501" s="79" t="s">
        <v>2050</v>
      </c>
      <c r="C501" s="81">
        <v>43787</v>
      </c>
      <c r="D501" s="109">
        <v>43823</v>
      </c>
      <c r="E501" s="560"/>
      <c r="F501" s="86" t="s">
        <v>2051</v>
      </c>
      <c r="G501" s="86" t="s">
        <v>156</v>
      </c>
      <c r="H501" s="79" t="s">
        <v>213</v>
      </c>
      <c r="J501" s="73">
        <f t="shared" si="40"/>
        <v>1</v>
      </c>
      <c r="K501" s="74" t="s">
        <v>204</v>
      </c>
      <c r="Q501" s="76" t="s">
        <v>2037</v>
      </c>
      <c r="R501" s="73">
        <f t="shared" si="41"/>
        <v>1</v>
      </c>
      <c r="S501" s="260" t="s">
        <v>1976</v>
      </c>
      <c r="T501" s="260"/>
      <c r="U501" s="260"/>
      <c r="V501" s="260"/>
      <c r="W501" s="260"/>
      <c r="X501" s="260"/>
      <c r="Y501" s="565"/>
      <c r="Z501" s="565"/>
      <c r="AA501" s="566">
        <f t="shared" si="37"/>
        <v>0</v>
      </c>
      <c r="AB501" s="699"/>
    </row>
    <row r="502" spans="1:28" ht="15.75" customHeight="1" x14ac:dyDescent="0.3">
      <c r="A502" s="79" t="s">
        <v>2054</v>
      </c>
      <c r="C502" s="81">
        <v>43787</v>
      </c>
      <c r="D502" s="109">
        <v>43823</v>
      </c>
      <c r="E502" s="560"/>
      <c r="F502" s="86" t="s">
        <v>2055</v>
      </c>
      <c r="G502" s="86" t="s">
        <v>150</v>
      </c>
      <c r="H502" s="79" t="s">
        <v>213</v>
      </c>
      <c r="J502" s="73">
        <f t="shared" si="40"/>
        <v>1</v>
      </c>
      <c r="K502" s="74" t="s">
        <v>204</v>
      </c>
      <c r="Q502" s="76" t="s">
        <v>2037</v>
      </c>
      <c r="R502" s="73">
        <f t="shared" si="41"/>
        <v>1</v>
      </c>
      <c r="S502" s="260" t="s">
        <v>1976</v>
      </c>
      <c r="T502" s="260"/>
      <c r="U502" s="260"/>
      <c r="V502" s="260"/>
      <c r="W502" s="260"/>
      <c r="X502" s="260"/>
      <c r="Y502" s="565"/>
      <c r="Z502" s="565"/>
      <c r="AA502" s="566">
        <f t="shared" si="37"/>
        <v>0</v>
      </c>
      <c r="AB502" s="699"/>
    </row>
    <row r="503" spans="1:28" ht="15.75" customHeight="1" x14ac:dyDescent="0.3">
      <c r="A503" s="79" t="s">
        <v>2740</v>
      </c>
      <c r="C503" s="81">
        <v>43788</v>
      </c>
      <c r="D503" s="109">
        <v>43823</v>
      </c>
      <c r="E503" s="560"/>
      <c r="F503" s="86" t="s">
        <v>2765</v>
      </c>
      <c r="G503" s="86" t="s">
        <v>156</v>
      </c>
      <c r="H503" s="79" t="s">
        <v>213</v>
      </c>
      <c r="J503" s="73">
        <f t="shared" si="40"/>
        <v>1</v>
      </c>
      <c r="K503" s="74" t="s">
        <v>204</v>
      </c>
      <c r="Q503" s="76" t="s">
        <v>2037</v>
      </c>
      <c r="R503" s="73">
        <f t="shared" si="41"/>
        <v>1</v>
      </c>
      <c r="S503" s="260" t="s">
        <v>1976</v>
      </c>
      <c r="T503" s="260"/>
      <c r="U503" s="260"/>
      <c r="V503" s="260"/>
      <c r="W503" s="260"/>
      <c r="X503" s="260"/>
      <c r="Y503" s="565"/>
      <c r="Z503" s="565"/>
      <c r="AA503" s="566">
        <f t="shared" ref="AA503:AA563" si="42">Z503-Y503</f>
        <v>0</v>
      </c>
      <c r="AB503" s="699"/>
    </row>
    <row r="504" spans="1:28" ht="15.75" customHeight="1" x14ac:dyDescent="0.3">
      <c r="A504" s="79" t="s">
        <v>2058</v>
      </c>
      <c r="C504" s="81">
        <v>43788</v>
      </c>
      <c r="D504" s="109">
        <v>43824</v>
      </c>
      <c r="E504" s="560"/>
      <c r="F504" s="86" t="s">
        <v>2059</v>
      </c>
      <c r="G504" s="86" t="s">
        <v>172</v>
      </c>
      <c r="H504" s="79" t="s">
        <v>213</v>
      </c>
      <c r="J504" s="73">
        <f t="shared" si="40"/>
        <v>1</v>
      </c>
      <c r="K504" s="74" t="s">
        <v>204</v>
      </c>
      <c r="Q504" s="76" t="s">
        <v>2037</v>
      </c>
      <c r="R504" s="73">
        <f t="shared" si="41"/>
        <v>1</v>
      </c>
      <c r="S504" s="260" t="s">
        <v>1976</v>
      </c>
      <c r="T504" s="260"/>
      <c r="U504" s="260"/>
      <c r="V504" s="260"/>
      <c r="W504" s="260"/>
      <c r="X504" s="260"/>
      <c r="Y504" s="565"/>
      <c r="Z504" s="565"/>
      <c r="AA504" s="566">
        <f t="shared" si="42"/>
        <v>0</v>
      </c>
      <c r="AB504" s="699"/>
    </row>
    <row r="505" spans="1:28" ht="15.75" customHeight="1" x14ac:dyDescent="0.3">
      <c r="A505" s="79" t="s">
        <v>2060</v>
      </c>
      <c r="C505" s="81">
        <v>43789</v>
      </c>
      <c r="D505" s="109">
        <v>43824</v>
      </c>
      <c r="E505" s="560"/>
      <c r="F505" s="86" t="s">
        <v>2061</v>
      </c>
      <c r="G505" s="86" t="s">
        <v>147</v>
      </c>
      <c r="H505" s="79" t="s">
        <v>213</v>
      </c>
      <c r="J505" s="73">
        <f t="shared" si="40"/>
        <v>1</v>
      </c>
      <c r="K505" s="74" t="s">
        <v>204</v>
      </c>
      <c r="Q505" s="76" t="s">
        <v>2037</v>
      </c>
      <c r="R505" s="73">
        <f t="shared" si="41"/>
        <v>1</v>
      </c>
      <c r="S505" s="260" t="s">
        <v>1976</v>
      </c>
      <c r="T505" s="260"/>
      <c r="U505" s="260"/>
      <c r="V505" s="260"/>
      <c r="W505" s="260"/>
      <c r="X505" s="260"/>
      <c r="Y505" s="565"/>
      <c r="Z505" s="565"/>
      <c r="AA505" s="566">
        <f t="shared" si="42"/>
        <v>0</v>
      </c>
      <c r="AB505" s="699"/>
    </row>
    <row r="506" spans="1:28" ht="15.75" customHeight="1" x14ac:dyDescent="0.3">
      <c r="A506" s="79" t="s">
        <v>2741</v>
      </c>
      <c r="C506" s="81">
        <v>43789</v>
      </c>
      <c r="D506" s="109">
        <v>43824</v>
      </c>
      <c r="E506" s="560"/>
      <c r="F506" s="86" t="s">
        <v>2766</v>
      </c>
      <c r="G506" s="86" t="s">
        <v>410</v>
      </c>
      <c r="H506" s="79" t="s">
        <v>213</v>
      </c>
      <c r="I506" s="97" t="s">
        <v>854</v>
      </c>
      <c r="J506" s="73">
        <f t="shared" si="40"/>
        <v>1</v>
      </c>
      <c r="K506" s="74" t="s">
        <v>204</v>
      </c>
      <c r="L506" s="97" t="s">
        <v>2808</v>
      </c>
      <c r="N506" s="76" t="s">
        <v>19</v>
      </c>
      <c r="Q506" s="76" t="s">
        <v>2037</v>
      </c>
      <c r="R506" s="73">
        <f t="shared" si="41"/>
        <v>1</v>
      </c>
      <c r="S506" s="260" t="s">
        <v>1976</v>
      </c>
      <c r="T506" s="260"/>
      <c r="U506" s="260"/>
      <c r="V506" s="260"/>
      <c r="W506" s="260"/>
      <c r="X506" s="260"/>
      <c r="Y506" s="565"/>
      <c r="Z506" s="565"/>
      <c r="AA506" s="566">
        <f t="shared" si="42"/>
        <v>0</v>
      </c>
      <c r="AB506" s="699"/>
    </row>
    <row r="507" spans="1:28" ht="15.75" customHeight="1" x14ac:dyDescent="0.3">
      <c r="A507" s="79" t="s">
        <v>2064</v>
      </c>
      <c r="C507" s="81">
        <v>43790</v>
      </c>
      <c r="D507" s="109">
        <v>43825</v>
      </c>
      <c r="E507" s="560"/>
      <c r="F507" s="86" t="s">
        <v>2065</v>
      </c>
      <c r="G507" s="86" t="s">
        <v>189</v>
      </c>
      <c r="H507" s="79" t="s">
        <v>268</v>
      </c>
      <c r="J507" s="73">
        <f t="shared" si="40"/>
        <v>1</v>
      </c>
      <c r="K507" s="74" t="s">
        <v>204</v>
      </c>
      <c r="L507" s="97" t="s">
        <v>2811</v>
      </c>
      <c r="Q507" s="76" t="s">
        <v>2037</v>
      </c>
      <c r="R507" s="73">
        <f t="shared" si="41"/>
        <v>1</v>
      </c>
      <c r="S507" s="260" t="s">
        <v>1976</v>
      </c>
      <c r="T507" s="260"/>
      <c r="U507" s="260"/>
      <c r="V507" s="260"/>
      <c r="W507" s="260"/>
      <c r="X507" s="260"/>
      <c r="Y507" s="565"/>
      <c r="Z507" s="565"/>
      <c r="AA507" s="566">
        <f t="shared" si="42"/>
        <v>0</v>
      </c>
      <c r="AB507" s="699"/>
    </row>
    <row r="508" spans="1:28" ht="15.75" customHeight="1" x14ac:dyDescent="0.3">
      <c r="A508" s="79" t="s">
        <v>2066</v>
      </c>
      <c r="C508" s="81">
        <v>43790</v>
      </c>
      <c r="D508" s="109">
        <v>43825</v>
      </c>
      <c r="E508" s="560"/>
      <c r="F508" s="86" t="s">
        <v>2067</v>
      </c>
      <c r="G508" s="86" t="s">
        <v>152</v>
      </c>
      <c r="H508" s="79" t="s">
        <v>213</v>
      </c>
      <c r="J508" s="73">
        <f t="shared" si="40"/>
        <v>1</v>
      </c>
      <c r="K508" s="74" t="s">
        <v>204</v>
      </c>
      <c r="L508" s="97" t="s">
        <v>2812</v>
      </c>
      <c r="Q508" s="76" t="s">
        <v>2037</v>
      </c>
      <c r="R508" s="73">
        <f t="shared" si="41"/>
        <v>1</v>
      </c>
      <c r="S508" s="260" t="s">
        <v>1976</v>
      </c>
      <c r="T508" s="260"/>
      <c r="U508" s="260"/>
      <c r="V508" s="260"/>
      <c r="W508" s="260"/>
      <c r="X508" s="260"/>
      <c r="Y508" s="565"/>
      <c r="Z508" s="565"/>
      <c r="AA508" s="566">
        <f t="shared" si="42"/>
        <v>0</v>
      </c>
      <c r="AB508" s="699"/>
    </row>
    <row r="509" spans="1:28" ht="15.75" customHeight="1" x14ac:dyDescent="0.3">
      <c r="A509" s="79" t="s">
        <v>2068</v>
      </c>
      <c r="C509" s="81">
        <v>43790</v>
      </c>
      <c r="D509" s="109">
        <v>43825</v>
      </c>
      <c r="E509" s="560"/>
      <c r="F509" s="86" t="s">
        <v>2069</v>
      </c>
      <c r="G509" s="86" t="s">
        <v>156</v>
      </c>
      <c r="H509" s="79" t="s">
        <v>213</v>
      </c>
      <c r="J509" s="73">
        <f t="shared" si="40"/>
        <v>1</v>
      </c>
      <c r="K509" s="74" t="s">
        <v>204</v>
      </c>
      <c r="L509" s="97" t="s">
        <v>2810</v>
      </c>
      <c r="Q509" s="76" t="s">
        <v>2037</v>
      </c>
      <c r="R509" s="73">
        <f t="shared" si="41"/>
        <v>1</v>
      </c>
      <c r="S509" s="260" t="s">
        <v>1976</v>
      </c>
      <c r="T509" s="260"/>
      <c r="U509" s="260"/>
      <c r="V509" s="260"/>
      <c r="W509" s="260"/>
      <c r="X509" s="260"/>
      <c r="Y509" s="565"/>
      <c r="Z509" s="565"/>
      <c r="AA509" s="566">
        <f t="shared" si="42"/>
        <v>0</v>
      </c>
      <c r="AB509" s="699"/>
    </row>
    <row r="510" spans="1:28" ht="15.75" customHeight="1" x14ac:dyDescent="0.3">
      <c r="A510" s="79" t="s">
        <v>2070</v>
      </c>
      <c r="C510" s="81">
        <v>43791</v>
      </c>
      <c r="D510" s="109">
        <v>43826</v>
      </c>
      <c r="E510" s="560"/>
      <c r="F510" s="86" t="s">
        <v>2071</v>
      </c>
      <c r="G510" s="86" t="s">
        <v>147</v>
      </c>
      <c r="H510" s="79" t="s">
        <v>213</v>
      </c>
      <c r="J510" s="73">
        <f t="shared" si="40"/>
        <v>1</v>
      </c>
      <c r="K510" s="74" t="s">
        <v>204</v>
      </c>
      <c r="L510" s="97" t="s">
        <v>2792</v>
      </c>
      <c r="Q510" s="76" t="s">
        <v>2037</v>
      </c>
      <c r="R510" s="73">
        <f t="shared" si="41"/>
        <v>1</v>
      </c>
      <c r="S510" s="260" t="s">
        <v>1976</v>
      </c>
      <c r="T510" s="260"/>
      <c r="U510" s="260"/>
      <c r="V510" s="260"/>
      <c r="W510" s="260"/>
      <c r="X510" s="260"/>
      <c r="Y510" s="565"/>
      <c r="Z510" s="565"/>
      <c r="AA510" s="566">
        <f t="shared" si="42"/>
        <v>0</v>
      </c>
      <c r="AB510" s="699"/>
    </row>
    <row r="511" spans="1:28" ht="15.75" customHeight="1" x14ac:dyDescent="0.3">
      <c r="A511" s="79" t="s">
        <v>2072</v>
      </c>
      <c r="C511" s="81">
        <v>43791</v>
      </c>
      <c r="D511" s="109">
        <v>43826</v>
      </c>
      <c r="E511" s="560"/>
      <c r="F511" s="86" t="s">
        <v>2073</v>
      </c>
      <c r="G511" s="86" t="s">
        <v>177</v>
      </c>
      <c r="H511" s="79" t="s">
        <v>213</v>
      </c>
      <c r="J511" s="73">
        <f t="shared" si="40"/>
        <v>1</v>
      </c>
      <c r="K511" s="74" t="s">
        <v>204</v>
      </c>
      <c r="L511" s="97" t="s">
        <v>2809</v>
      </c>
      <c r="Q511" s="76" t="s">
        <v>2037</v>
      </c>
      <c r="R511" s="73">
        <f t="shared" si="41"/>
        <v>1</v>
      </c>
      <c r="S511" s="260" t="s">
        <v>1976</v>
      </c>
      <c r="T511" s="260"/>
      <c r="U511" s="260"/>
      <c r="V511" s="260"/>
      <c r="W511" s="260"/>
      <c r="X511" s="260"/>
      <c r="Y511" s="565"/>
      <c r="Z511" s="565"/>
      <c r="AA511" s="566">
        <f t="shared" si="42"/>
        <v>0</v>
      </c>
      <c r="AB511" s="699"/>
    </row>
    <row r="512" spans="1:28" ht="15.75" customHeight="1" x14ac:dyDescent="0.3">
      <c r="A512" s="79" t="s">
        <v>2204</v>
      </c>
      <c r="C512" s="81">
        <v>43791</v>
      </c>
      <c r="D512" s="109">
        <v>43829</v>
      </c>
      <c r="E512" s="560"/>
      <c r="F512" s="86" t="s">
        <v>2207</v>
      </c>
      <c r="G512" s="86" t="s">
        <v>158</v>
      </c>
      <c r="H512" s="79" t="s">
        <v>213</v>
      </c>
      <c r="J512" s="73">
        <f t="shared" si="40"/>
        <v>1</v>
      </c>
      <c r="K512" s="74" t="s">
        <v>204</v>
      </c>
      <c r="Q512" s="76" t="s">
        <v>2037</v>
      </c>
      <c r="R512" s="73">
        <f t="shared" si="41"/>
        <v>1</v>
      </c>
      <c r="S512" s="260" t="s">
        <v>1976</v>
      </c>
      <c r="T512" s="260"/>
      <c r="U512" s="260"/>
      <c r="V512" s="260"/>
      <c r="W512" s="260"/>
      <c r="X512" s="260"/>
      <c r="Y512" s="565"/>
      <c r="Z512" s="565"/>
      <c r="AA512" s="566">
        <f t="shared" si="42"/>
        <v>0</v>
      </c>
      <c r="AB512" s="699"/>
    </row>
    <row r="513" spans="1:28" ht="15.75" customHeight="1" x14ac:dyDescent="0.3">
      <c r="A513" s="79" t="s">
        <v>2742</v>
      </c>
      <c r="C513" s="81">
        <v>43791</v>
      </c>
      <c r="D513" s="109">
        <v>43829</v>
      </c>
      <c r="E513" s="560"/>
      <c r="F513" s="86" t="s">
        <v>2767</v>
      </c>
      <c r="G513" s="86" t="s">
        <v>172</v>
      </c>
      <c r="H513" s="79" t="s">
        <v>213</v>
      </c>
      <c r="J513" s="73">
        <f t="shared" si="40"/>
        <v>1</v>
      </c>
      <c r="K513" s="74" t="s">
        <v>204</v>
      </c>
      <c r="Q513" s="76" t="s">
        <v>2037</v>
      </c>
      <c r="R513" s="73">
        <f t="shared" si="41"/>
        <v>1</v>
      </c>
      <c r="S513" s="260" t="s">
        <v>1976</v>
      </c>
      <c r="T513" s="260"/>
      <c r="U513" s="260"/>
      <c r="V513" s="260"/>
      <c r="W513" s="260"/>
      <c r="X513" s="260"/>
      <c r="Y513" s="565"/>
      <c r="Z513" s="565"/>
      <c r="AA513" s="566">
        <f t="shared" si="42"/>
        <v>0</v>
      </c>
      <c r="AB513" s="699"/>
    </row>
    <row r="514" spans="1:28" ht="15.75" customHeight="1" x14ac:dyDescent="0.3">
      <c r="A514" s="79" t="s">
        <v>2743</v>
      </c>
      <c r="C514" s="81">
        <v>43794</v>
      </c>
      <c r="D514" s="109">
        <v>43830</v>
      </c>
      <c r="E514" s="560"/>
      <c r="F514" s="86" t="s">
        <v>2768</v>
      </c>
      <c r="G514" s="86" t="s">
        <v>150</v>
      </c>
      <c r="H514" s="79" t="s">
        <v>213</v>
      </c>
      <c r="I514" s="97" t="s">
        <v>645</v>
      </c>
      <c r="J514" s="73">
        <f t="shared" si="40"/>
        <v>1</v>
      </c>
      <c r="K514" s="74" t="s">
        <v>204</v>
      </c>
      <c r="Q514" s="76" t="s">
        <v>2037</v>
      </c>
      <c r="R514" s="73">
        <f t="shared" si="41"/>
        <v>1</v>
      </c>
      <c r="S514" s="260" t="s">
        <v>1976</v>
      </c>
      <c r="T514" s="260"/>
      <c r="U514" s="260"/>
      <c r="V514" s="260"/>
      <c r="W514" s="260"/>
      <c r="X514" s="260"/>
      <c r="Y514" s="565"/>
      <c r="Z514" s="565"/>
      <c r="AA514" s="566">
        <f t="shared" si="42"/>
        <v>0</v>
      </c>
      <c r="AB514" s="699"/>
    </row>
    <row r="515" spans="1:28" ht="15.75" customHeight="1" x14ac:dyDescent="0.3">
      <c r="A515" s="79" t="s">
        <v>2744</v>
      </c>
      <c r="C515" s="81">
        <v>43794</v>
      </c>
      <c r="D515" s="109">
        <v>43829</v>
      </c>
      <c r="E515" s="560"/>
      <c r="F515" s="86" t="s">
        <v>2769</v>
      </c>
      <c r="G515" s="86" t="s">
        <v>158</v>
      </c>
      <c r="H515" s="79" t="s">
        <v>213</v>
      </c>
      <c r="J515" s="73">
        <f t="shared" si="40"/>
        <v>1</v>
      </c>
      <c r="K515" s="74" t="s">
        <v>204</v>
      </c>
      <c r="Q515" s="76" t="s">
        <v>2037</v>
      </c>
      <c r="R515" s="73">
        <f t="shared" si="41"/>
        <v>1</v>
      </c>
      <c r="S515" s="260" t="s">
        <v>1976</v>
      </c>
      <c r="T515" s="260"/>
      <c r="U515" s="260"/>
      <c r="V515" s="260"/>
      <c r="W515" s="260"/>
      <c r="X515" s="260"/>
      <c r="Y515" s="565"/>
      <c r="Z515" s="565"/>
      <c r="AA515" s="566">
        <f t="shared" si="42"/>
        <v>0</v>
      </c>
      <c r="AB515" s="699"/>
    </row>
    <row r="516" spans="1:28" ht="15.75" customHeight="1" x14ac:dyDescent="0.3">
      <c r="A516" s="79" t="s">
        <v>2745</v>
      </c>
      <c r="C516" s="81">
        <v>43795</v>
      </c>
      <c r="D516" s="109">
        <v>43830</v>
      </c>
      <c r="E516" s="560"/>
      <c r="F516" s="86" t="s">
        <v>2770</v>
      </c>
      <c r="G516" s="86" t="s">
        <v>156</v>
      </c>
      <c r="H516" s="79" t="s">
        <v>213</v>
      </c>
      <c r="J516" s="73">
        <f t="shared" si="40"/>
        <v>1</v>
      </c>
      <c r="K516" s="74" t="s">
        <v>204</v>
      </c>
      <c r="L516" s="86" t="s">
        <v>2791</v>
      </c>
      <c r="Q516" s="76" t="s">
        <v>2037</v>
      </c>
      <c r="R516" s="73">
        <f t="shared" si="41"/>
        <v>1</v>
      </c>
      <c r="S516" s="260" t="s">
        <v>1976</v>
      </c>
      <c r="T516" s="260"/>
      <c r="U516" s="260"/>
      <c r="V516" s="260"/>
      <c r="W516" s="260"/>
      <c r="X516" s="260"/>
      <c r="Y516" s="565"/>
      <c r="Z516" s="565"/>
      <c r="AA516" s="566">
        <f t="shared" si="42"/>
        <v>0</v>
      </c>
      <c r="AB516" s="699"/>
    </row>
    <row r="517" spans="1:28" ht="15.75" customHeight="1" x14ac:dyDescent="0.3">
      <c r="A517" s="79" t="s">
        <v>2746</v>
      </c>
      <c r="C517" s="81">
        <v>43795</v>
      </c>
      <c r="D517" s="109">
        <v>43830</v>
      </c>
      <c r="E517" s="560"/>
      <c r="F517" s="86" t="s">
        <v>2771</v>
      </c>
      <c r="G517" s="86" t="s">
        <v>150</v>
      </c>
      <c r="H517" s="79" t="s">
        <v>213</v>
      </c>
      <c r="J517" s="73">
        <f t="shared" si="40"/>
        <v>1</v>
      </c>
      <c r="K517" s="74" t="s">
        <v>204</v>
      </c>
      <c r="Q517" s="76" t="s">
        <v>2037</v>
      </c>
      <c r="R517" s="73">
        <f t="shared" si="41"/>
        <v>1</v>
      </c>
      <c r="S517" s="260" t="s">
        <v>1976</v>
      </c>
      <c r="T517" s="260"/>
      <c r="U517" s="260"/>
      <c r="V517" s="260"/>
      <c r="W517" s="260"/>
      <c r="X517" s="260"/>
      <c r="Y517" s="565"/>
      <c r="Z517" s="565"/>
      <c r="AA517" s="566">
        <f t="shared" si="42"/>
        <v>0</v>
      </c>
      <c r="AB517" s="699"/>
    </row>
    <row r="518" spans="1:28" ht="15.75" customHeight="1" x14ac:dyDescent="0.3">
      <c r="A518" s="79" t="s">
        <v>2747</v>
      </c>
      <c r="C518" s="81">
        <v>43802</v>
      </c>
      <c r="D518" s="109">
        <v>43823</v>
      </c>
      <c r="E518" s="560"/>
      <c r="F518" s="86" t="s">
        <v>2772</v>
      </c>
      <c r="G518" s="86" t="s">
        <v>158</v>
      </c>
      <c r="H518" s="79" t="s">
        <v>213</v>
      </c>
      <c r="I518" s="97" t="s">
        <v>649</v>
      </c>
      <c r="J518" s="73">
        <f t="shared" si="40"/>
        <v>1</v>
      </c>
      <c r="K518" s="74" t="s">
        <v>204</v>
      </c>
      <c r="L518" s="97" t="s">
        <v>2799</v>
      </c>
      <c r="N518" s="76" t="s">
        <v>19</v>
      </c>
      <c r="Q518" s="76" t="s">
        <v>2037</v>
      </c>
      <c r="R518" s="73">
        <f t="shared" si="41"/>
        <v>1</v>
      </c>
      <c r="S518" s="260" t="s">
        <v>1976</v>
      </c>
      <c r="T518" s="260"/>
      <c r="U518" s="260"/>
      <c r="V518" s="260"/>
      <c r="W518" s="260"/>
      <c r="X518" s="260"/>
      <c r="Y518" s="565"/>
      <c r="Z518" s="565"/>
      <c r="AA518" s="566">
        <f t="shared" si="42"/>
        <v>0</v>
      </c>
      <c r="AB518" s="699"/>
    </row>
    <row r="519" spans="1:28" ht="15.75" customHeight="1" x14ac:dyDescent="0.3">
      <c r="A519" s="79" t="s">
        <v>2748</v>
      </c>
      <c r="C519" s="81">
        <v>43802</v>
      </c>
      <c r="D519" s="109">
        <v>43823</v>
      </c>
      <c r="E519" s="560"/>
      <c r="F519" s="86" t="s">
        <v>2773</v>
      </c>
      <c r="G519" s="86" t="s">
        <v>410</v>
      </c>
      <c r="H519" s="79" t="s">
        <v>213</v>
      </c>
      <c r="I519" s="97" t="s">
        <v>649</v>
      </c>
      <c r="J519" s="73">
        <f t="shared" si="40"/>
        <v>1</v>
      </c>
      <c r="K519" s="74" t="s">
        <v>204</v>
      </c>
      <c r="L519" s="97" t="s">
        <v>2790</v>
      </c>
      <c r="Q519" s="301" t="s">
        <v>2037</v>
      </c>
      <c r="R519" s="73">
        <f t="shared" si="41"/>
        <v>1</v>
      </c>
      <c r="S519" s="260" t="s">
        <v>1976</v>
      </c>
      <c r="T519" s="260"/>
      <c r="U519" s="260"/>
      <c r="V519" s="260"/>
      <c r="W519" s="260"/>
      <c r="X519" s="260"/>
      <c r="Y519" s="565"/>
      <c r="Z519" s="565"/>
      <c r="AA519" s="566">
        <f t="shared" si="42"/>
        <v>0</v>
      </c>
      <c r="AB519" s="699"/>
    </row>
    <row r="520" spans="1:28" ht="15.75" customHeight="1" x14ac:dyDescent="0.3">
      <c r="A520" s="96" t="s">
        <v>2752</v>
      </c>
      <c r="C520" s="81">
        <v>43803</v>
      </c>
      <c r="D520" s="109">
        <v>43846</v>
      </c>
      <c r="E520" s="560"/>
      <c r="F520" s="86" t="s">
        <v>2777</v>
      </c>
      <c r="G520" s="86" t="s">
        <v>172</v>
      </c>
      <c r="H520" s="79" t="s">
        <v>213</v>
      </c>
      <c r="I520" s="97" t="s">
        <v>3227</v>
      </c>
      <c r="J520" s="73">
        <f t="shared" si="40"/>
        <v>1</v>
      </c>
      <c r="K520" s="74" t="s">
        <v>204</v>
      </c>
      <c r="N520" s="76" t="s">
        <v>17</v>
      </c>
      <c r="Q520" s="301" t="s">
        <v>2417</v>
      </c>
      <c r="R520" s="73">
        <f t="shared" si="41"/>
        <v>1</v>
      </c>
      <c r="S520" s="260" t="s">
        <v>1976</v>
      </c>
      <c r="T520" s="260"/>
      <c r="U520" s="260"/>
      <c r="V520" s="260"/>
      <c r="W520" s="260"/>
      <c r="X520" s="260"/>
      <c r="Y520" s="565"/>
      <c r="Z520" s="565"/>
      <c r="AA520" s="566">
        <f t="shared" si="42"/>
        <v>0</v>
      </c>
      <c r="AB520" s="699"/>
    </row>
    <row r="521" spans="1:28" ht="15.75" customHeight="1" x14ac:dyDescent="0.3">
      <c r="A521" s="79" t="s">
        <v>2754</v>
      </c>
      <c r="C521" s="81">
        <v>43803</v>
      </c>
      <c r="D521" s="109">
        <v>43824</v>
      </c>
      <c r="E521" s="560"/>
      <c r="F521" s="86" t="s">
        <v>2779</v>
      </c>
      <c r="G521" s="86" t="s">
        <v>147</v>
      </c>
      <c r="H521" s="79" t="s">
        <v>213</v>
      </c>
      <c r="J521" s="73">
        <f t="shared" si="40"/>
        <v>1</v>
      </c>
      <c r="K521" s="74" t="s">
        <v>204</v>
      </c>
      <c r="Q521" s="76" t="s">
        <v>2037</v>
      </c>
      <c r="R521" s="73">
        <f t="shared" si="41"/>
        <v>1</v>
      </c>
      <c r="S521" s="260" t="s">
        <v>1976</v>
      </c>
      <c r="T521" s="260"/>
      <c r="U521" s="260"/>
      <c r="V521" s="260"/>
      <c r="W521" s="260"/>
      <c r="X521" s="260"/>
      <c r="Y521" s="565"/>
      <c r="Z521" s="565"/>
      <c r="AA521" s="566">
        <f t="shared" si="42"/>
        <v>0</v>
      </c>
      <c r="AB521" s="699"/>
    </row>
    <row r="522" spans="1:28" ht="15.75" customHeight="1" x14ac:dyDescent="0.3">
      <c r="A522" s="79" t="s">
        <v>2757</v>
      </c>
      <c r="C522" s="81">
        <v>43804</v>
      </c>
      <c r="D522" s="109">
        <v>43826</v>
      </c>
      <c r="E522" s="560"/>
      <c r="F522" s="86" t="s">
        <v>2782</v>
      </c>
      <c r="G522" s="86" t="s">
        <v>154</v>
      </c>
      <c r="H522" s="79" t="s">
        <v>213</v>
      </c>
      <c r="J522" s="73">
        <f t="shared" ref="J522:J565" si="43">IF(OR(K522="Документы готовы",K522="Запрос в ФО",K522="ЭЗ",K522="РЕШ",K522="РЕШ шаблон"),0.1,IF(OR(K522="ЭЗ согласование",K522="РЕШ согласование"),0.3,IF(OR(K522="ЭЗ согласовано",K522="РЕШ согласовано",K522="РЕШ подписано"),0.6,IF(OR(K522="ЭЗ ПР согласование",K522="РЕШ УВ согласование"),0.9,IF(OR(K522="ЭЗ ПР DONE",K522="РЕШ УВ DONE"),1,0)))))</f>
        <v>1</v>
      </c>
      <c r="K522" s="74" t="s">
        <v>204</v>
      </c>
      <c r="L522" s="97" t="s">
        <v>2812</v>
      </c>
      <c r="Q522" s="76" t="s">
        <v>2037</v>
      </c>
      <c r="R522" s="73">
        <f t="shared" ref="R522:R565" si="44">IF(S522="В работе",0.3,IF(S522="Отписано",0.6,IF(S522="На доработку",0.9,IF(S522="Согласовано",1,0))))</f>
        <v>1</v>
      </c>
      <c r="S522" s="260" t="s">
        <v>1976</v>
      </c>
      <c r="T522" s="260"/>
      <c r="U522" s="260"/>
      <c r="V522" s="260"/>
      <c r="W522" s="260"/>
      <c r="X522" s="260"/>
      <c r="Y522" s="565"/>
      <c r="Z522" s="565"/>
      <c r="AA522" s="566">
        <f t="shared" si="42"/>
        <v>0</v>
      </c>
      <c r="AB522" s="699"/>
    </row>
    <row r="523" spans="1:28" ht="15.75" customHeight="1" x14ac:dyDescent="0.3">
      <c r="A523" s="96" t="s">
        <v>2759</v>
      </c>
      <c r="C523" s="81">
        <v>43804</v>
      </c>
      <c r="D523" s="109">
        <v>43847</v>
      </c>
      <c r="E523" s="560"/>
      <c r="F523" s="86" t="s">
        <v>2784</v>
      </c>
      <c r="G523" s="86" t="s">
        <v>147</v>
      </c>
      <c r="H523" s="79" t="s">
        <v>268</v>
      </c>
      <c r="I523" s="97" t="s">
        <v>714</v>
      </c>
      <c r="J523" s="73">
        <f t="shared" si="43"/>
        <v>1</v>
      </c>
      <c r="K523" s="74" t="s">
        <v>204</v>
      </c>
      <c r="L523" s="97" t="s">
        <v>3392</v>
      </c>
      <c r="N523" s="76" t="s">
        <v>17</v>
      </c>
      <c r="Q523" s="301" t="s">
        <v>2142</v>
      </c>
      <c r="R523" s="73">
        <f t="shared" si="44"/>
        <v>1</v>
      </c>
      <c r="S523" s="260" t="s">
        <v>1976</v>
      </c>
      <c r="T523" s="260"/>
      <c r="U523" s="260"/>
      <c r="V523" s="260"/>
      <c r="W523" s="260"/>
      <c r="X523" s="260"/>
      <c r="Y523" s="565"/>
      <c r="Z523" s="565"/>
      <c r="AA523" s="566">
        <f t="shared" si="42"/>
        <v>0</v>
      </c>
      <c r="AB523" s="699"/>
    </row>
    <row r="524" spans="1:28" ht="15.75" customHeight="1" x14ac:dyDescent="0.3">
      <c r="A524" s="79" t="s">
        <v>2760</v>
      </c>
      <c r="C524" s="81">
        <v>43804</v>
      </c>
      <c r="D524" s="109">
        <v>43825</v>
      </c>
      <c r="E524" s="560"/>
      <c r="F524" s="86" t="s">
        <v>2785</v>
      </c>
      <c r="G524" s="86" t="s">
        <v>172</v>
      </c>
      <c r="H524" s="79" t="s">
        <v>213</v>
      </c>
      <c r="J524" s="73">
        <f t="shared" si="43"/>
        <v>1</v>
      </c>
      <c r="K524" s="74" t="s">
        <v>204</v>
      </c>
      <c r="L524" s="97" t="s">
        <v>2792</v>
      </c>
      <c r="Q524" s="76" t="s">
        <v>2037</v>
      </c>
      <c r="R524" s="73">
        <f t="shared" si="44"/>
        <v>1</v>
      </c>
      <c r="S524" s="260" t="s">
        <v>1976</v>
      </c>
      <c r="T524" s="260"/>
      <c r="U524" s="260"/>
      <c r="V524" s="260"/>
      <c r="W524" s="260"/>
      <c r="X524" s="260"/>
      <c r="Y524" s="565"/>
      <c r="Z524" s="565"/>
      <c r="AA524" s="566">
        <f t="shared" si="42"/>
        <v>0</v>
      </c>
      <c r="AB524" s="699"/>
    </row>
    <row r="525" spans="1:28" ht="15.75" customHeight="1" x14ac:dyDescent="0.3">
      <c r="A525" s="79" t="s">
        <v>2763</v>
      </c>
      <c r="C525" s="81">
        <v>43808</v>
      </c>
      <c r="D525" s="109">
        <v>43829</v>
      </c>
      <c r="E525" s="560"/>
      <c r="F525" s="86" t="s">
        <v>2788</v>
      </c>
      <c r="G525" s="86" t="s">
        <v>152</v>
      </c>
      <c r="H525" s="79" t="s">
        <v>213</v>
      </c>
      <c r="J525" s="73">
        <f t="shared" si="43"/>
        <v>1</v>
      </c>
      <c r="K525" s="74" t="s">
        <v>204</v>
      </c>
      <c r="Q525" s="76" t="s">
        <v>2037</v>
      </c>
      <c r="R525" s="73">
        <f t="shared" si="44"/>
        <v>1</v>
      </c>
      <c r="S525" s="260" t="s">
        <v>1976</v>
      </c>
      <c r="T525" s="260"/>
      <c r="U525" s="260"/>
      <c r="V525" s="260"/>
      <c r="W525" s="260"/>
      <c r="X525" s="260"/>
      <c r="Y525" s="565"/>
      <c r="Z525" s="565"/>
      <c r="AA525" s="566">
        <f t="shared" si="42"/>
        <v>0</v>
      </c>
      <c r="AB525" s="699"/>
    </row>
    <row r="526" spans="1:28" ht="15.75" customHeight="1" x14ac:dyDescent="0.3">
      <c r="A526" s="79" t="s">
        <v>2764</v>
      </c>
      <c r="C526" s="81">
        <v>43808</v>
      </c>
      <c r="D526" s="109">
        <v>43829</v>
      </c>
      <c r="E526" s="560"/>
      <c r="F526" s="86" t="s">
        <v>2789</v>
      </c>
      <c r="G526" s="86" t="s">
        <v>152</v>
      </c>
      <c r="H526" s="79" t="s">
        <v>213</v>
      </c>
      <c r="J526" s="73">
        <f t="shared" si="43"/>
        <v>1</v>
      </c>
      <c r="K526" s="74" t="s">
        <v>204</v>
      </c>
      <c r="Q526" s="76" t="s">
        <v>2037</v>
      </c>
      <c r="R526" s="73">
        <f t="shared" si="44"/>
        <v>1</v>
      </c>
      <c r="S526" s="260" t="s">
        <v>1976</v>
      </c>
      <c r="T526" s="260"/>
      <c r="U526" s="260"/>
      <c r="V526" s="260"/>
      <c r="W526" s="260"/>
      <c r="X526" s="260"/>
      <c r="Y526" s="565"/>
      <c r="Z526" s="565"/>
      <c r="AA526" s="566">
        <f t="shared" si="42"/>
        <v>0</v>
      </c>
      <c r="AB526" s="699"/>
    </row>
    <row r="527" spans="1:28" ht="15.75" customHeight="1" x14ac:dyDescent="0.3">
      <c r="A527" s="96" t="s">
        <v>2795</v>
      </c>
      <c r="C527" s="81">
        <v>43787</v>
      </c>
      <c r="D527" s="109">
        <v>43823</v>
      </c>
      <c r="E527" s="560"/>
      <c r="F527" s="97" t="s">
        <v>2796</v>
      </c>
      <c r="G527" s="97" t="s">
        <v>147</v>
      </c>
      <c r="H527" s="96" t="s">
        <v>213</v>
      </c>
      <c r="J527" s="73">
        <f t="shared" si="43"/>
        <v>1</v>
      </c>
      <c r="K527" s="74" t="s">
        <v>204</v>
      </c>
      <c r="L527" s="97" t="s">
        <v>2797</v>
      </c>
      <c r="Q527" s="301" t="s">
        <v>2417</v>
      </c>
      <c r="R527" s="73">
        <f t="shared" si="44"/>
        <v>1</v>
      </c>
      <c r="S527" s="260" t="s">
        <v>1976</v>
      </c>
      <c r="T527" s="260"/>
      <c r="U527" s="260"/>
      <c r="V527" s="260"/>
      <c r="W527" s="260"/>
      <c r="X527" s="260"/>
      <c r="Y527" s="565"/>
      <c r="Z527" s="565"/>
      <c r="AA527" s="566">
        <f t="shared" si="42"/>
        <v>0</v>
      </c>
      <c r="AB527" s="699"/>
    </row>
    <row r="528" spans="1:28" ht="15.75" customHeight="1" x14ac:dyDescent="0.3">
      <c r="A528" s="96" t="s">
        <v>2800</v>
      </c>
      <c r="C528" s="81">
        <v>43789</v>
      </c>
      <c r="D528" s="109">
        <v>43824</v>
      </c>
      <c r="E528" s="560"/>
      <c r="F528" s="97" t="s">
        <v>2801</v>
      </c>
      <c r="G528" s="97" t="s">
        <v>181</v>
      </c>
      <c r="H528" s="96" t="s">
        <v>213</v>
      </c>
      <c r="J528" s="73">
        <f t="shared" si="43"/>
        <v>1</v>
      </c>
      <c r="K528" s="74" t="s">
        <v>204</v>
      </c>
      <c r="Q528" s="76" t="s">
        <v>2417</v>
      </c>
      <c r="R528" s="73">
        <f t="shared" si="44"/>
        <v>1</v>
      </c>
      <c r="S528" s="260" t="s">
        <v>1976</v>
      </c>
      <c r="T528" s="260"/>
      <c r="U528" s="260"/>
      <c r="V528" s="260"/>
      <c r="W528" s="260"/>
      <c r="X528" s="260"/>
      <c r="Y528" s="565"/>
      <c r="Z528" s="565"/>
      <c r="AA528" s="566">
        <f t="shared" si="42"/>
        <v>0</v>
      </c>
      <c r="AB528" s="699"/>
    </row>
    <row r="529" spans="1:28" ht="15.75" customHeight="1" x14ac:dyDescent="0.3">
      <c r="A529" s="96" t="s">
        <v>2802</v>
      </c>
      <c r="C529" s="81">
        <v>43802</v>
      </c>
      <c r="D529" s="109">
        <v>43824</v>
      </c>
      <c r="E529" s="560"/>
      <c r="F529" s="97" t="s">
        <v>2803</v>
      </c>
      <c r="G529" s="97" t="s">
        <v>152</v>
      </c>
      <c r="H529" s="96" t="s">
        <v>213</v>
      </c>
      <c r="J529" s="73">
        <f t="shared" si="43"/>
        <v>1</v>
      </c>
      <c r="K529" s="74" t="s">
        <v>204</v>
      </c>
      <c r="Q529" s="76" t="s">
        <v>2417</v>
      </c>
      <c r="R529" s="73">
        <f t="shared" si="44"/>
        <v>1</v>
      </c>
      <c r="S529" s="260" t="s">
        <v>1976</v>
      </c>
      <c r="T529" s="260"/>
      <c r="U529" s="260"/>
      <c r="V529" s="260"/>
      <c r="W529" s="260"/>
      <c r="X529" s="260"/>
      <c r="Y529" s="565"/>
      <c r="Z529" s="565"/>
      <c r="AA529" s="566">
        <f t="shared" si="42"/>
        <v>0</v>
      </c>
      <c r="AB529" s="699"/>
    </row>
    <row r="530" spans="1:28" ht="15.75" customHeight="1" x14ac:dyDescent="0.3">
      <c r="A530" s="96" t="s">
        <v>2804</v>
      </c>
      <c r="C530" s="81">
        <v>43803</v>
      </c>
      <c r="D530" s="109">
        <v>43824</v>
      </c>
      <c r="E530" s="560"/>
      <c r="F530" s="97" t="s">
        <v>2805</v>
      </c>
      <c r="G530" s="97" t="s">
        <v>158</v>
      </c>
      <c r="H530" s="96" t="s">
        <v>213</v>
      </c>
      <c r="J530" s="73">
        <f t="shared" si="43"/>
        <v>1</v>
      </c>
      <c r="K530" s="74" t="s">
        <v>204</v>
      </c>
      <c r="Q530" s="301" t="s">
        <v>2417</v>
      </c>
      <c r="R530" s="73">
        <f t="shared" si="44"/>
        <v>1</v>
      </c>
      <c r="S530" s="260" t="s">
        <v>1976</v>
      </c>
      <c r="T530" s="260"/>
      <c r="U530" s="260"/>
      <c r="V530" s="260"/>
      <c r="W530" s="260"/>
      <c r="X530" s="260"/>
      <c r="Y530" s="565"/>
      <c r="Z530" s="565"/>
      <c r="AA530" s="566">
        <f t="shared" si="42"/>
        <v>0</v>
      </c>
      <c r="AB530" s="699"/>
    </row>
    <row r="531" spans="1:28" ht="15.75" customHeight="1" x14ac:dyDescent="0.3">
      <c r="A531" s="96" t="s">
        <v>2815</v>
      </c>
      <c r="C531" s="81">
        <v>43804</v>
      </c>
      <c r="D531" s="109">
        <v>43825</v>
      </c>
      <c r="E531" s="560"/>
      <c r="F531" s="97" t="s">
        <v>2818</v>
      </c>
      <c r="G531" s="97" t="s">
        <v>154</v>
      </c>
      <c r="H531" s="96" t="s">
        <v>213</v>
      </c>
      <c r="I531" s="97" t="s">
        <v>2821</v>
      </c>
      <c r="J531" s="73">
        <f t="shared" si="43"/>
        <v>1</v>
      </c>
      <c r="K531" s="74" t="s">
        <v>204</v>
      </c>
      <c r="L531" s="97" t="s">
        <v>2822</v>
      </c>
      <c r="N531" s="76" t="s">
        <v>18</v>
      </c>
      <c r="Q531" s="76" t="s">
        <v>2417</v>
      </c>
      <c r="R531" s="73">
        <f t="shared" si="44"/>
        <v>1</v>
      </c>
      <c r="S531" s="260" t="s">
        <v>1976</v>
      </c>
      <c r="T531" s="260"/>
      <c r="U531" s="260"/>
      <c r="V531" s="260"/>
      <c r="W531" s="260"/>
      <c r="X531" s="260"/>
      <c r="Y531" s="565"/>
      <c r="Z531" s="565"/>
      <c r="AA531" s="566">
        <f t="shared" si="42"/>
        <v>0</v>
      </c>
      <c r="AB531" s="699"/>
    </row>
    <row r="532" spans="1:28" ht="15.75" customHeight="1" x14ac:dyDescent="0.3">
      <c r="A532" s="96" t="s">
        <v>2816</v>
      </c>
      <c r="C532" s="81">
        <v>43789</v>
      </c>
      <c r="D532" s="109">
        <v>43825</v>
      </c>
      <c r="E532" s="560"/>
      <c r="F532" s="97" t="s">
        <v>2819</v>
      </c>
      <c r="G532" s="97" t="s">
        <v>150</v>
      </c>
      <c r="H532" s="96" t="s">
        <v>213</v>
      </c>
      <c r="J532" s="73">
        <f t="shared" si="43"/>
        <v>1</v>
      </c>
      <c r="K532" s="74" t="s">
        <v>204</v>
      </c>
      <c r="Q532" s="301" t="s">
        <v>2417</v>
      </c>
      <c r="R532" s="73">
        <f t="shared" si="44"/>
        <v>1</v>
      </c>
      <c r="S532" s="260" t="s">
        <v>1976</v>
      </c>
      <c r="T532" s="260"/>
      <c r="U532" s="260"/>
      <c r="V532" s="260"/>
      <c r="W532" s="260"/>
      <c r="X532" s="260"/>
      <c r="Y532" s="565"/>
      <c r="Z532" s="565"/>
      <c r="AA532" s="566">
        <f t="shared" si="42"/>
        <v>0</v>
      </c>
      <c r="AB532" s="699"/>
    </row>
    <row r="533" spans="1:28" ht="15.75" customHeight="1" x14ac:dyDescent="0.3">
      <c r="A533" s="96" t="s">
        <v>2817</v>
      </c>
      <c r="C533" s="81">
        <v>43767</v>
      </c>
      <c r="D533" s="109">
        <v>43825</v>
      </c>
      <c r="E533" s="560"/>
      <c r="F533" s="97" t="s">
        <v>2820</v>
      </c>
      <c r="G533" s="97" t="s">
        <v>152</v>
      </c>
      <c r="H533" s="96" t="s">
        <v>213</v>
      </c>
      <c r="J533" s="73">
        <f t="shared" si="43"/>
        <v>1</v>
      </c>
      <c r="K533" s="74" t="s">
        <v>204</v>
      </c>
      <c r="Q533" s="76" t="s">
        <v>2417</v>
      </c>
      <c r="R533" s="73">
        <f t="shared" si="44"/>
        <v>1</v>
      </c>
      <c r="S533" s="260" t="s">
        <v>1976</v>
      </c>
      <c r="T533" s="260"/>
      <c r="U533" s="260"/>
      <c r="V533" s="260"/>
      <c r="W533" s="260"/>
      <c r="X533" s="260"/>
      <c r="Y533" s="565"/>
      <c r="Z533" s="565"/>
      <c r="AA533" s="566">
        <f t="shared" si="42"/>
        <v>0</v>
      </c>
      <c r="AB533" s="699"/>
    </row>
    <row r="534" spans="1:28" ht="15.75" customHeight="1" x14ac:dyDescent="0.3">
      <c r="A534" s="96" t="s">
        <v>2823</v>
      </c>
      <c r="C534" s="81">
        <v>43804</v>
      </c>
      <c r="D534" s="109">
        <v>43825</v>
      </c>
      <c r="E534" s="560"/>
      <c r="F534" s="97" t="s">
        <v>2824</v>
      </c>
      <c r="G534" s="97" t="s">
        <v>158</v>
      </c>
      <c r="H534" s="96" t="s">
        <v>213</v>
      </c>
      <c r="J534" s="73">
        <f t="shared" si="43"/>
        <v>1</v>
      </c>
      <c r="K534" s="74" t="s">
        <v>204</v>
      </c>
      <c r="Q534" s="301" t="s">
        <v>2417</v>
      </c>
      <c r="R534" s="73">
        <f t="shared" si="44"/>
        <v>1</v>
      </c>
      <c r="S534" s="260" t="s">
        <v>1976</v>
      </c>
      <c r="T534" s="260"/>
      <c r="U534" s="260"/>
      <c r="V534" s="260"/>
      <c r="W534" s="260"/>
      <c r="X534" s="260"/>
      <c r="Y534" s="565"/>
      <c r="Z534" s="565"/>
      <c r="AA534" s="566">
        <f t="shared" si="42"/>
        <v>0</v>
      </c>
      <c r="AB534" s="699"/>
    </row>
    <row r="535" spans="1:28" ht="15.75" customHeight="1" x14ac:dyDescent="0.3">
      <c r="A535" s="96" t="s">
        <v>2825</v>
      </c>
      <c r="C535" s="81">
        <v>43791</v>
      </c>
      <c r="D535" s="109">
        <v>43826</v>
      </c>
      <c r="E535" s="560"/>
      <c r="F535" s="97" t="s">
        <v>2826</v>
      </c>
      <c r="G535" s="97" t="s">
        <v>158</v>
      </c>
      <c r="H535" s="96" t="s">
        <v>213</v>
      </c>
      <c r="J535" s="73">
        <f t="shared" si="43"/>
        <v>1</v>
      </c>
      <c r="K535" s="74" t="s">
        <v>204</v>
      </c>
      <c r="Q535" s="301" t="s">
        <v>2417</v>
      </c>
      <c r="R535" s="73">
        <f t="shared" si="44"/>
        <v>1</v>
      </c>
      <c r="S535" s="260" t="s">
        <v>1976</v>
      </c>
      <c r="T535" s="260"/>
      <c r="U535" s="260"/>
      <c r="V535" s="260"/>
      <c r="W535" s="260"/>
      <c r="X535" s="260"/>
      <c r="Y535" s="565"/>
      <c r="Z535" s="565"/>
      <c r="AA535" s="566">
        <f t="shared" si="42"/>
        <v>0</v>
      </c>
      <c r="AB535" s="699"/>
    </row>
    <row r="536" spans="1:28" ht="15.75" customHeight="1" x14ac:dyDescent="0.3">
      <c r="A536" s="96" t="s">
        <v>2828</v>
      </c>
      <c r="C536" s="81">
        <v>43805</v>
      </c>
      <c r="D536" s="109">
        <v>43826</v>
      </c>
      <c r="E536" s="560"/>
      <c r="F536" s="97" t="s">
        <v>2829</v>
      </c>
      <c r="G536" s="97" t="s">
        <v>172</v>
      </c>
      <c r="H536" s="96" t="s">
        <v>213</v>
      </c>
      <c r="J536" s="73">
        <f t="shared" si="43"/>
        <v>1</v>
      </c>
      <c r="K536" s="74" t="s">
        <v>204</v>
      </c>
      <c r="Q536" s="76" t="s">
        <v>2417</v>
      </c>
      <c r="R536" s="73">
        <f t="shared" si="44"/>
        <v>1</v>
      </c>
      <c r="S536" s="260" t="s">
        <v>1976</v>
      </c>
      <c r="T536" s="260"/>
      <c r="U536" s="260"/>
      <c r="V536" s="260"/>
      <c r="W536" s="260"/>
      <c r="X536" s="260"/>
      <c r="Y536" s="565"/>
      <c r="Z536" s="565"/>
      <c r="AA536" s="566">
        <f t="shared" si="42"/>
        <v>0</v>
      </c>
      <c r="AB536" s="699"/>
    </row>
    <row r="537" spans="1:28" ht="15.75" customHeight="1" x14ac:dyDescent="0.3">
      <c r="A537" s="96" t="s">
        <v>2835</v>
      </c>
      <c r="C537" s="81">
        <v>43791</v>
      </c>
      <c r="D537" s="109">
        <v>43829</v>
      </c>
      <c r="E537" s="560"/>
      <c r="F537" s="97" t="s">
        <v>2836</v>
      </c>
      <c r="G537" s="97" t="s">
        <v>150</v>
      </c>
      <c r="H537" s="96" t="s">
        <v>213</v>
      </c>
      <c r="J537" s="73">
        <f t="shared" si="43"/>
        <v>1</v>
      </c>
      <c r="K537" s="74" t="s">
        <v>204</v>
      </c>
      <c r="Q537" s="301" t="s">
        <v>2417</v>
      </c>
      <c r="R537" s="73">
        <f t="shared" si="44"/>
        <v>1</v>
      </c>
      <c r="S537" s="260" t="s">
        <v>1976</v>
      </c>
      <c r="T537" s="260"/>
      <c r="U537" s="260"/>
      <c r="V537" s="260"/>
      <c r="W537" s="260"/>
      <c r="X537" s="260"/>
      <c r="Y537" s="565"/>
      <c r="Z537" s="565"/>
      <c r="AA537" s="566">
        <f t="shared" si="42"/>
        <v>0</v>
      </c>
      <c r="AB537" s="699"/>
    </row>
    <row r="538" spans="1:28" ht="15.75" customHeight="1" x14ac:dyDescent="0.3">
      <c r="A538" s="96" t="s">
        <v>2840</v>
      </c>
      <c r="C538" s="81">
        <v>43808</v>
      </c>
      <c r="D538" s="109">
        <v>43830</v>
      </c>
      <c r="E538" s="560"/>
      <c r="F538" s="97" t="s">
        <v>2841</v>
      </c>
      <c r="G538" s="97" t="s">
        <v>156</v>
      </c>
      <c r="H538" s="96" t="s">
        <v>213</v>
      </c>
      <c r="J538" s="73">
        <f t="shared" si="43"/>
        <v>1</v>
      </c>
      <c r="K538" s="74" t="s">
        <v>204</v>
      </c>
      <c r="Q538" s="76" t="s">
        <v>2417</v>
      </c>
      <c r="R538" s="73">
        <f t="shared" si="44"/>
        <v>1</v>
      </c>
      <c r="S538" s="260" t="s">
        <v>1976</v>
      </c>
      <c r="T538" s="260"/>
      <c r="U538" s="260"/>
      <c r="V538" s="260"/>
      <c r="W538" s="260"/>
      <c r="X538" s="260"/>
      <c r="Y538" s="565"/>
      <c r="Z538" s="565"/>
      <c r="AA538" s="566">
        <f t="shared" si="42"/>
        <v>0</v>
      </c>
      <c r="AB538" s="699"/>
    </row>
    <row r="539" spans="1:28" ht="15.75" customHeight="1" x14ac:dyDescent="0.3">
      <c r="A539" s="96" t="s">
        <v>2842</v>
      </c>
      <c r="C539" s="81">
        <v>43808</v>
      </c>
      <c r="D539" s="109">
        <v>43830</v>
      </c>
      <c r="E539" s="560"/>
      <c r="F539" s="97" t="s">
        <v>2843</v>
      </c>
      <c r="G539" s="97" t="s">
        <v>152</v>
      </c>
      <c r="H539" s="96" t="s">
        <v>213</v>
      </c>
      <c r="J539" s="73">
        <f t="shared" si="43"/>
        <v>1</v>
      </c>
      <c r="K539" s="74" t="s">
        <v>204</v>
      </c>
      <c r="Q539" s="301" t="s">
        <v>2417</v>
      </c>
      <c r="R539" s="73">
        <f t="shared" si="44"/>
        <v>1</v>
      </c>
      <c r="S539" s="260" t="s">
        <v>1976</v>
      </c>
      <c r="T539" s="260"/>
      <c r="U539" s="260"/>
      <c r="V539" s="260"/>
      <c r="W539" s="260"/>
      <c r="X539" s="260"/>
      <c r="Y539" s="565"/>
      <c r="Z539" s="565"/>
      <c r="AA539" s="566">
        <f t="shared" si="42"/>
        <v>0</v>
      </c>
      <c r="AB539" s="699"/>
    </row>
    <row r="540" spans="1:28" ht="15.75" customHeight="1" x14ac:dyDescent="0.3">
      <c r="A540" s="96" t="s">
        <v>2847</v>
      </c>
      <c r="C540" s="81">
        <v>43791</v>
      </c>
      <c r="D540" s="109">
        <v>43829</v>
      </c>
      <c r="E540" s="560"/>
      <c r="F540" s="97" t="s">
        <v>2848</v>
      </c>
      <c r="G540" s="97" t="s">
        <v>175</v>
      </c>
      <c r="H540" s="96" t="s">
        <v>213</v>
      </c>
      <c r="I540" s="97" t="s">
        <v>1284</v>
      </c>
      <c r="J540" s="73">
        <f t="shared" si="43"/>
        <v>1</v>
      </c>
      <c r="K540" s="74" t="s">
        <v>204</v>
      </c>
      <c r="L540" s="97" t="s">
        <v>2849</v>
      </c>
      <c r="N540" s="76" t="s">
        <v>19</v>
      </c>
      <c r="Q540" s="76" t="s">
        <v>2417</v>
      </c>
      <c r="R540" s="73">
        <f t="shared" si="44"/>
        <v>1</v>
      </c>
      <c r="S540" s="260" t="s">
        <v>1976</v>
      </c>
      <c r="T540" s="260"/>
      <c r="U540" s="260"/>
      <c r="V540" s="260"/>
      <c r="W540" s="260"/>
      <c r="X540" s="260"/>
      <c r="Y540" s="565"/>
      <c r="Z540" s="565"/>
      <c r="AA540" s="566">
        <f t="shared" si="42"/>
        <v>0</v>
      </c>
      <c r="AB540" s="699"/>
    </row>
    <row r="541" spans="1:28" ht="15.75" customHeight="1" x14ac:dyDescent="0.3">
      <c r="A541" s="96" t="s">
        <v>2851</v>
      </c>
      <c r="C541" s="81">
        <v>43808</v>
      </c>
      <c r="D541" s="109">
        <v>43830</v>
      </c>
      <c r="E541" s="560"/>
      <c r="F541" s="97" t="s">
        <v>2852</v>
      </c>
      <c r="G541" s="97" t="s">
        <v>156</v>
      </c>
      <c r="H541" s="96" t="s">
        <v>213</v>
      </c>
      <c r="J541" s="73">
        <f t="shared" si="43"/>
        <v>1</v>
      </c>
      <c r="K541" s="74" t="s">
        <v>204</v>
      </c>
      <c r="Q541" s="76" t="s">
        <v>2417</v>
      </c>
      <c r="R541" s="73">
        <f t="shared" si="44"/>
        <v>1</v>
      </c>
      <c r="S541" s="260" t="s">
        <v>1976</v>
      </c>
      <c r="T541" s="260"/>
      <c r="U541" s="260"/>
      <c r="V541" s="260"/>
      <c r="W541" s="260"/>
      <c r="X541" s="260"/>
      <c r="Y541" s="565"/>
      <c r="Z541" s="565"/>
      <c r="AA541" s="566">
        <f t="shared" si="42"/>
        <v>0</v>
      </c>
      <c r="AB541" s="699"/>
    </row>
    <row r="542" spans="1:28" ht="15.75" customHeight="1" x14ac:dyDescent="0.3">
      <c r="A542" s="96" t="s">
        <v>2854</v>
      </c>
      <c r="C542" s="81">
        <v>43809</v>
      </c>
      <c r="D542" s="109">
        <v>43830</v>
      </c>
      <c r="E542" s="560"/>
      <c r="F542" s="97" t="s">
        <v>2855</v>
      </c>
      <c r="G542" s="97" t="s">
        <v>147</v>
      </c>
      <c r="H542" s="96" t="s">
        <v>213</v>
      </c>
      <c r="J542" s="73">
        <f t="shared" si="43"/>
        <v>1</v>
      </c>
      <c r="K542" s="74" t="s">
        <v>204</v>
      </c>
      <c r="Q542" s="301" t="s">
        <v>2037</v>
      </c>
      <c r="R542" s="73">
        <f t="shared" si="44"/>
        <v>1</v>
      </c>
      <c r="S542" s="260" t="s">
        <v>1976</v>
      </c>
      <c r="T542" s="260"/>
      <c r="U542" s="260"/>
      <c r="V542" s="260"/>
      <c r="W542" s="260"/>
      <c r="X542" s="260"/>
      <c r="Y542" s="565"/>
      <c r="Z542" s="565"/>
      <c r="AA542" s="566">
        <f t="shared" si="42"/>
        <v>0</v>
      </c>
      <c r="AB542" s="699"/>
    </row>
    <row r="543" spans="1:28" ht="15.75" customHeight="1" x14ac:dyDescent="0.3">
      <c r="A543" s="96" t="s">
        <v>2856</v>
      </c>
      <c r="C543" s="81">
        <v>43809</v>
      </c>
      <c r="D543" s="109">
        <v>43839</v>
      </c>
      <c r="E543" s="560"/>
      <c r="F543" s="97" t="s">
        <v>2857</v>
      </c>
      <c r="G543" s="97" t="s">
        <v>150</v>
      </c>
      <c r="H543" s="96" t="s">
        <v>213</v>
      </c>
      <c r="J543" s="73">
        <f t="shared" si="43"/>
        <v>1</v>
      </c>
      <c r="K543" s="74" t="s">
        <v>204</v>
      </c>
      <c r="Q543" s="76" t="s">
        <v>2109</v>
      </c>
      <c r="R543" s="73">
        <f t="shared" si="44"/>
        <v>1</v>
      </c>
      <c r="S543" s="260" t="s">
        <v>1976</v>
      </c>
      <c r="T543" s="260"/>
      <c r="U543" s="260"/>
      <c r="V543" s="260"/>
      <c r="W543" s="260"/>
      <c r="X543" s="260"/>
      <c r="Y543" s="565"/>
      <c r="Z543" s="565"/>
      <c r="AA543" s="566">
        <f t="shared" si="42"/>
        <v>0</v>
      </c>
      <c r="AB543" s="699"/>
    </row>
    <row r="544" spans="1:28" ht="15.75" customHeight="1" x14ac:dyDescent="0.3">
      <c r="A544" s="96" t="s">
        <v>2858</v>
      </c>
      <c r="C544" s="81">
        <v>43809</v>
      </c>
      <c r="D544" s="109">
        <v>43839</v>
      </c>
      <c r="E544" s="560"/>
      <c r="F544" s="97" t="s">
        <v>3060</v>
      </c>
      <c r="G544" s="97" t="s">
        <v>150</v>
      </c>
      <c r="H544" s="96" t="s">
        <v>213</v>
      </c>
      <c r="J544" s="73">
        <f t="shared" si="43"/>
        <v>1</v>
      </c>
      <c r="K544" s="74" t="s">
        <v>204</v>
      </c>
      <c r="Q544" s="76" t="s">
        <v>2109</v>
      </c>
      <c r="R544" s="73">
        <f t="shared" si="44"/>
        <v>1</v>
      </c>
      <c r="S544" s="260" t="s">
        <v>1976</v>
      </c>
      <c r="T544" s="260"/>
      <c r="U544" s="260"/>
      <c r="V544" s="260"/>
      <c r="W544" s="260"/>
      <c r="X544" s="260"/>
      <c r="Y544" s="565"/>
      <c r="Z544" s="565"/>
      <c r="AA544" s="566">
        <f t="shared" si="42"/>
        <v>0</v>
      </c>
      <c r="AB544" s="699"/>
    </row>
    <row r="545" spans="1:28" ht="15.75" customHeight="1" x14ac:dyDescent="0.3">
      <c r="A545" s="96" t="s">
        <v>2866</v>
      </c>
      <c r="C545" s="81">
        <v>43809</v>
      </c>
      <c r="D545" s="109">
        <v>43830</v>
      </c>
      <c r="E545" s="560"/>
      <c r="F545" s="86" t="s">
        <v>2865</v>
      </c>
      <c r="G545" s="86" t="s">
        <v>152</v>
      </c>
      <c r="H545" s="79" t="s">
        <v>213</v>
      </c>
      <c r="J545" s="73">
        <f t="shared" si="43"/>
        <v>1</v>
      </c>
      <c r="K545" s="74" t="s">
        <v>204</v>
      </c>
      <c r="Q545" s="301" t="s">
        <v>2037</v>
      </c>
      <c r="R545" s="73">
        <f t="shared" si="44"/>
        <v>1</v>
      </c>
      <c r="S545" s="260" t="s">
        <v>1976</v>
      </c>
      <c r="T545" s="260"/>
      <c r="U545" s="260"/>
      <c r="V545" s="260"/>
      <c r="W545" s="260"/>
      <c r="X545" s="260"/>
      <c r="Y545" s="565"/>
      <c r="Z545" s="565"/>
      <c r="AA545" s="566">
        <f t="shared" si="42"/>
        <v>0</v>
      </c>
      <c r="AB545" s="699"/>
    </row>
    <row r="546" spans="1:28" ht="15.75" customHeight="1" x14ac:dyDescent="0.3">
      <c r="A546" s="96" t="s">
        <v>2867</v>
      </c>
      <c r="C546" s="81">
        <v>43809</v>
      </c>
      <c r="D546" s="109">
        <v>43830</v>
      </c>
      <c r="E546" s="560"/>
      <c r="F546" s="97" t="s">
        <v>2868</v>
      </c>
      <c r="G546" s="97" t="s">
        <v>166</v>
      </c>
      <c r="H546" s="96" t="s">
        <v>213</v>
      </c>
      <c r="J546" s="73">
        <f t="shared" si="43"/>
        <v>1</v>
      </c>
      <c r="K546" s="74" t="s">
        <v>204</v>
      </c>
      <c r="Q546" s="301" t="s">
        <v>2037</v>
      </c>
      <c r="R546" s="73">
        <f t="shared" si="44"/>
        <v>1</v>
      </c>
      <c r="S546" s="260" t="s">
        <v>1976</v>
      </c>
      <c r="T546" s="260"/>
      <c r="U546" s="260"/>
      <c r="V546" s="260"/>
      <c r="W546" s="260"/>
      <c r="X546" s="260"/>
      <c r="Y546" s="565"/>
      <c r="Z546" s="565"/>
      <c r="AA546" s="566">
        <f t="shared" si="42"/>
        <v>0</v>
      </c>
      <c r="AB546" s="699"/>
    </row>
    <row r="547" spans="1:28" ht="15.75" customHeight="1" x14ac:dyDescent="0.3">
      <c r="A547" s="96" t="s">
        <v>2869</v>
      </c>
      <c r="C547" s="81">
        <v>43809</v>
      </c>
      <c r="D547" s="109">
        <v>43830</v>
      </c>
      <c r="E547" s="560"/>
      <c r="F547" s="124" t="s">
        <v>2870</v>
      </c>
      <c r="G547" s="97" t="s">
        <v>156</v>
      </c>
      <c r="H547" s="96" t="s">
        <v>213</v>
      </c>
      <c r="J547" s="73">
        <f t="shared" si="43"/>
        <v>1</v>
      </c>
      <c r="K547" s="74" t="s">
        <v>204</v>
      </c>
      <c r="Q547" s="76" t="s">
        <v>2037</v>
      </c>
      <c r="R547" s="73">
        <f t="shared" si="44"/>
        <v>1</v>
      </c>
      <c r="S547" s="260" t="s">
        <v>1976</v>
      </c>
      <c r="T547" s="260"/>
      <c r="U547" s="260"/>
      <c r="V547" s="260"/>
      <c r="W547" s="260"/>
      <c r="X547" s="260"/>
      <c r="Y547" s="565"/>
      <c r="Z547" s="565"/>
      <c r="AA547" s="566">
        <f t="shared" si="42"/>
        <v>0</v>
      </c>
      <c r="AB547" s="699"/>
    </row>
    <row r="548" spans="1:28" ht="15.75" customHeight="1" x14ac:dyDescent="0.3">
      <c r="A548" s="96" t="s">
        <v>2339</v>
      </c>
      <c r="C548" s="81">
        <v>43784</v>
      </c>
      <c r="D548" s="109">
        <v>43843</v>
      </c>
      <c r="E548" s="560"/>
      <c r="F548" s="86" t="s">
        <v>2340</v>
      </c>
      <c r="G548" s="86" t="s">
        <v>410</v>
      </c>
      <c r="H548" s="79" t="s">
        <v>213</v>
      </c>
      <c r="J548" s="73">
        <f t="shared" si="43"/>
        <v>1</v>
      </c>
      <c r="K548" s="74" t="s">
        <v>204</v>
      </c>
      <c r="Q548" s="76" t="s">
        <v>2142</v>
      </c>
      <c r="R548" s="73">
        <f t="shared" si="44"/>
        <v>1</v>
      </c>
      <c r="S548" s="260" t="s">
        <v>1976</v>
      </c>
      <c r="T548" s="260"/>
      <c r="U548" s="260"/>
      <c r="V548" s="260"/>
      <c r="W548" s="260"/>
      <c r="X548" s="260"/>
      <c r="Y548" s="565"/>
      <c r="Z548" s="565"/>
      <c r="AA548" s="566">
        <f t="shared" si="42"/>
        <v>0</v>
      </c>
      <c r="AB548" s="699"/>
    </row>
    <row r="549" spans="1:28" ht="15.75" customHeight="1" x14ac:dyDescent="0.3">
      <c r="A549" s="79" t="s">
        <v>2359</v>
      </c>
      <c r="C549" s="81">
        <v>43796</v>
      </c>
      <c r="D549" s="109">
        <v>43839</v>
      </c>
      <c r="E549" s="560"/>
      <c r="F549" s="86" t="s">
        <v>2360</v>
      </c>
      <c r="G549" s="86" t="s">
        <v>172</v>
      </c>
      <c r="H549" s="79" t="s">
        <v>213</v>
      </c>
      <c r="J549" s="73">
        <f t="shared" si="43"/>
        <v>1</v>
      </c>
      <c r="K549" s="74" t="s">
        <v>204</v>
      </c>
      <c r="Q549" s="76" t="s">
        <v>2142</v>
      </c>
      <c r="R549" s="73">
        <f t="shared" si="44"/>
        <v>1</v>
      </c>
      <c r="S549" s="260" t="s">
        <v>1976</v>
      </c>
      <c r="T549" s="260"/>
      <c r="U549" s="260"/>
      <c r="V549" s="260"/>
      <c r="W549" s="260"/>
      <c r="X549" s="260"/>
      <c r="Y549" s="565"/>
      <c r="Z549" s="565"/>
      <c r="AA549" s="566">
        <f t="shared" si="42"/>
        <v>0</v>
      </c>
      <c r="AB549" s="699"/>
    </row>
    <row r="550" spans="1:28" ht="15.75" customHeight="1" x14ac:dyDescent="0.3">
      <c r="A550" s="79" t="s">
        <v>2363</v>
      </c>
      <c r="C550" s="81">
        <v>43796</v>
      </c>
      <c r="D550" s="109">
        <v>43839</v>
      </c>
      <c r="E550" s="560"/>
      <c r="F550" s="86" t="s">
        <v>2364</v>
      </c>
      <c r="G550" s="86" t="s">
        <v>158</v>
      </c>
      <c r="H550" s="79" t="s">
        <v>213</v>
      </c>
      <c r="J550" s="73">
        <f t="shared" si="43"/>
        <v>1</v>
      </c>
      <c r="K550" s="74" t="s">
        <v>204</v>
      </c>
      <c r="Q550" s="76" t="s">
        <v>2142</v>
      </c>
      <c r="R550" s="73">
        <f t="shared" si="44"/>
        <v>1</v>
      </c>
      <c r="S550" s="260" t="s">
        <v>1976</v>
      </c>
      <c r="T550" s="260"/>
      <c r="U550" s="260"/>
      <c r="V550" s="260"/>
      <c r="W550" s="260"/>
      <c r="X550" s="260"/>
      <c r="Y550" s="565"/>
      <c r="Z550" s="565"/>
      <c r="AA550" s="566">
        <f t="shared" si="42"/>
        <v>0</v>
      </c>
      <c r="AB550" s="699"/>
    </row>
    <row r="551" spans="1:28" ht="15.75" customHeight="1" x14ac:dyDescent="0.3">
      <c r="A551" s="79" t="s">
        <v>2369</v>
      </c>
      <c r="C551" s="81">
        <v>43796</v>
      </c>
      <c r="D551" s="109">
        <v>43840</v>
      </c>
      <c r="E551" s="560"/>
      <c r="F551" s="86" t="s">
        <v>2370</v>
      </c>
      <c r="G551" s="86" t="s">
        <v>156</v>
      </c>
      <c r="H551" s="79" t="s">
        <v>213</v>
      </c>
      <c r="J551" s="73">
        <f t="shared" si="43"/>
        <v>1</v>
      </c>
      <c r="K551" s="74" t="s">
        <v>204</v>
      </c>
      <c r="Q551" s="76" t="s">
        <v>2142</v>
      </c>
      <c r="R551" s="73">
        <f t="shared" si="44"/>
        <v>1</v>
      </c>
      <c r="S551" s="260" t="s">
        <v>1976</v>
      </c>
      <c r="T551" s="260"/>
      <c r="U551" s="260"/>
      <c r="V551" s="260"/>
      <c r="W551" s="260"/>
      <c r="X551" s="260"/>
      <c r="Y551" s="565"/>
      <c r="Z551" s="565"/>
      <c r="AA551" s="566">
        <f t="shared" si="42"/>
        <v>0</v>
      </c>
      <c r="AB551" s="699"/>
    </row>
    <row r="552" spans="1:28" ht="15.75" customHeight="1" x14ac:dyDescent="0.3">
      <c r="A552" s="79" t="s">
        <v>2375</v>
      </c>
      <c r="C552" s="81">
        <v>43796</v>
      </c>
      <c r="D552" s="109">
        <v>43839</v>
      </c>
      <c r="E552" s="560"/>
      <c r="F552" s="86" t="s">
        <v>2376</v>
      </c>
      <c r="G552" s="86" t="s">
        <v>158</v>
      </c>
      <c r="H552" s="79" t="s">
        <v>213</v>
      </c>
      <c r="J552" s="73">
        <f t="shared" si="43"/>
        <v>1</v>
      </c>
      <c r="K552" s="74" t="s">
        <v>204</v>
      </c>
      <c r="Q552" s="76" t="s">
        <v>2142</v>
      </c>
      <c r="R552" s="73">
        <f t="shared" si="44"/>
        <v>1</v>
      </c>
      <c r="S552" s="260" t="s">
        <v>1976</v>
      </c>
      <c r="T552" s="260"/>
      <c r="U552" s="260"/>
      <c r="V552" s="260"/>
      <c r="W552" s="260"/>
      <c r="X552" s="260"/>
      <c r="Y552" s="565"/>
      <c r="Z552" s="565"/>
      <c r="AA552" s="566">
        <f t="shared" si="42"/>
        <v>0</v>
      </c>
      <c r="AB552" s="699"/>
    </row>
    <row r="553" spans="1:28" ht="15.75" customHeight="1" x14ac:dyDescent="0.3">
      <c r="A553" s="79" t="s">
        <v>2377</v>
      </c>
      <c r="C553" s="81">
        <v>43798</v>
      </c>
      <c r="D553" s="109">
        <v>43843</v>
      </c>
      <c r="E553" s="560"/>
      <c r="F553" s="86" t="s">
        <v>2378</v>
      </c>
      <c r="G553" s="86" t="s">
        <v>410</v>
      </c>
      <c r="H553" s="79" t="s">
        <v>213</v>
      </c>
      <c r="J553" s="73">
        <f t="shared" si="43"/>
        <v>1</v>
      </c>
      <c r="K553" s="74" t="s">
        <v>204</v>
      </c>
      <c r="Q553" s="76" t="s">
        <v>2142</v>
      </c>
      <c r="R553" s="73">
        <f t="shared" si="44"/>
        <v>1</v>
      </c>
      <c r="S553" s="260" t="s">
        <v>1976</v>
      </c>
      <c r="T553" s="260"/>
      <c r="U553" s="260"/>
      <c r="V553" s="260"/>
      <c r="W553" s="260"/>
      <c r="X553" s="260"/>
      <c r="Y553" s="565"/>
      <c r="Z553" s="565"/>
      <c r="AA553" s="566">
        <f t="shared" si="42"/>
        <v>0</v>
      </c>
      <c r="AB553" s="699"/>
    </row>
    <row r="554" spans="1:28" ht="15.75" customHeight="1" x14ac:dyDescent="0.3">
      <c r="A554" s="79" t="s">
        <v>2568</v>
      </c>
      <c r="C554" s="81">
        <v>43798</v>
      </c>
      <c r="D554" s="109">
        <v>43844</v>
      </c>
      <c r="E554" s="560"/>
      <c r="F554" s="86" t="s">
        <v>2569</v>
      </c>
      <c r="G554" s="86" t="s">
        <v>147</v>
      </c>
      <c r="H554" s="79" t="s">
        <v>213</v>
      </c>
      <c r="J554" s="73">
        <f t="shared" si="43"/>
        <v>1</v>
      </c>
      <c r="K554" s="74" t="s">
        <v>204</v>
      </c>
      <c r="Q554" s="76" t="s">
        <v>2142</v>
      </c>
      <c r="R554" s="73">
        <f t="shared" si="44"/>
        <v>1</v>
      </c>
      <c r="S554" s="260" t="s">
        <v>1976</v>
      </c>
      <c r="T554" s="260"/>
      <c r="U554" s="260"/>
      <c r="V554" s="260"/>
      <c r="W554" s="260"/>
      <c r="X554" s="260"/>
      <c r="Y554" s="565"/>
      <c r="Z554" s="565"/>
      <c r="AA554" s="566">
        <f t="shared" si="42"/>
        <v>0</v>
      </c>
      <c r="AB554" s="699"/>
    </row>
    <row r="555" spans="1:28" ht="15.75" customHeight="1" x14ac:dyDescent="0.3">
      <c r="A555" s="79" t="s">
        <v>2574</v>
      </c>
      <c r="C555" s="81">
        <v>43801</v>
      </c>
      <c r="D555" s="109">
        <v>43845</v>
      </c>
      <c r="E555" s="560"/>
      <c r="F555" s="86" t="s">
        <v>2575</v>
      </c>
      <c r="G555" s="86" t="s">
        <v>150</v>
      </c>
      <c r="H555" s="79" t="s">
        <v>213</v>
      </c>
      <c r="J555" s="73">
        <f t="shared" si="43"/>
        <v>1</v>
      </c>
      <c r="K555" s="74" t="s">
        <v>204</v>
      </c>
      <c r="Q555" s="76" t="s">
        <v>2142</v>
      </c>
      <c r="R555" s="73">
        <f t="shared" si="44"/>
        <v>1</v>
      </c>
      <c r="S555" s="260" t="s">
        <v>1976</v>
      </c>
      <c r="T555" s="260"/>
      <c r="U555" s="260"/>
      <c r="V555" s="260"/>
      <c r="W555" s="260"/>
      <c r="X555" s="260"/>
      <c r="Y555" s="565"/>
      <c r="Z555" s="565"/>
      <c r="AA555" s="566">
        <f t="shared" si="42"/>
        <v>0</v>
      </c>
      <c r="AB555" s="699"/>
    </row>
    <row r="556" spans="1:28" ht="15.75" customHeight="1" x14ac:dyDescent="0.3">
      <c r="A556" s="79" t="s">
        <v>2576</v>
      </c>
      <c r="C556" s="81">
        <v>43801</v>
      </c>
      <c r="D556" s="109">
        <v>43845</v>
      </c>
      <c r="E556" s="560"/>
      <c r="F556" s="86" t="s">
        <v>2577</v>
      </c>
      <c r="G556" s="86" t="s">
        <v>147</v>
      </c>
      <c r="H556" s="79" t="s">
        <v>213</v>
      </c>
      <c r="J556" s="73">
        <f t="shared" si="43"/>
        <v>1</v>
      </c>
      <c r="K556" s="74" t="s">
        <v>204</v>
      </c>
      <c r="Q556" s="76" t="s">
        <v>2142</v>
      </c>
      <c r="R556" s="73">
        <f t="shared" si="44"/>
        <v>1</v>
      </c>
      <c r="S556" s="260" t="s">
        <v>1976</v>
      </c>
      <c r="T556" s="260"/>
      <c r="U556" s="260"/>
      <c r="V556" s="260"/>
      <c r="W556" s="260"/>
      <c r="X556" s="260"/>
      <c r="Y556" s="565"/>
      <c r="Z556" s="565"/>
      <c r="AA556" s="566">
        <f t="shared" si="42"/>
        <v>0</v>
      </c>
      <c r="AB556" s="699"/>
    </row>
    <row r="557" spans="1:28" ht="15.75" customHeight="1" x14ac:dyDescent="0.3">
      <c r="A557" s="79" t="s">
        <v>2578</v>
      </c>
      <c r="C557" s="81">
        <v>43801</v>
      </c>
      <c r="D557" s="109">
        <v>43845</v>
      </c>
      <c r="E557" s="560"/>
      <c r="F557" s="86" t="s">
        <v>2579</v>
      </c>
      <c r="G557" s="86" t="s">
        <v>179</v>
      </c>
      <c r="H557" s="79" t="s">
        <v>213</v>
      </c>
      <c r="J557" s="73">
        <f t="shared" si="43"/>
        <v>1</v>
      </c>
      <c r="K557" s="74" t="s">
        <v>204</v>
      </c>
      <c r="Q557" s="76" t="s">
        <v>2142</v>
      </c>
      <c r="R557" s="73">
        <f t="shared" si="44"/>
        <v>1</v>
      </c>
      <c r="S557" s="260" t="s">
        <v>1976</v>
      </c>
      <c r="T557" s="260"/>
      <c r="U557" s="260"/>
      <c r="V557" s="260"/>
      <c r="W557" s="260"/>
      <c r="X557" s="260"/>
      <c r="Y557" s="565"/>
      <c r="Z557" s="565"/>
      <c r="AA557" s="566">
        <f t="shared" si="42"/>
        <v>0</v>
      </c>
      <c r="AB557" s="699"/>
    </row>
    <row r="558" spans="1:28" ht="15.75" customHeight="1" x14ac:dyDescent="0.3">
      <c r="A558" s="96" t="s">
        <v>2582</v>
      </c>
      <c r="C558" s="81">
        <v>43802</v>
      </c>
      <c r="D558" s="109">
        <v>43846</v>
      </c>
      <c r="E558" s="560"/>
      <c r="F558" s="86" t="s">
        <v>2583</v>
      </c>
      <c r="G558" s="86" t="s">
        <v>152</v>
      </c>
      <c r="H558" s="79" t="s">
        <v>213</v>
      </c>
      <c r="I558" s="97" t="s">
        <v>645</v>
      </c>
      <c r="J558" s="73">
        <f t="shared" si="43"/>
        <v>1</v>
      </c>
      <c r="K558" s="74" t="s">
        <v>204</v>
      </c>
      <c r="L558" s="97" t="s">
        <v>3220</v>
      </c>
      <c r="N558" s="76" t="s">
        <v>17</v>
      </c>
      <c r="Q558" s="76" t="s">
        <v>2142</v>
      </c>
      <c r="R558" s="73">
        <f t="shared" si="44"/>
        <v>1</v>
      </c>
      <c r="S558" s="260" t="s">
        <v>1976</v>
      </c>
      <c r="T558" s="260"/>
      <c r="U558" s="260"/>
      <c r="V558" s="260"/>
      <c r="W558" s="260"/>
      <c r="X558" s="260"/>
      <c r="Y558" s="565"/>
      <c r="Z558" s="565"/>
      <c r="AA558" s="566">
        <f t="shared" si="42"/>
        <v>0</v>
      </c>
      <c r="AB558" s="699"/>
    </row>
    <row r="559" spans="1:28" ht="15.75" customHeight="1" x14ac:dyDescent="0.3">
      <c r="A559" s="96" t="s">
        <v>2584</v>
      </c>
      <c r="C559" s="81">
        <v>43802</v>
      </c>
      <c r="D559" s="109">
        <v>43846</v>
      </c>
      <c r="E559" s="560"/>
      <c r="F559" s="86" t="s">
        <v>2585</v>
      </c>
      <c r="G559" s="86" t="s">
        <v>189</v>
      </c>
      <c r="H559" s="79" t="s">
        <v>213</v>
      </c>
      <c r="I559" s="97" t="s">
        <v>642</v>
      </c>
      <c r="J559" s="73">
        <f t="shared" si="43"/>
        <v>1</v>
      </c>
      <c r="K559" s="74" t="s">
        <v>204</v>
      </c>
      <c r="N559" s="76" t="s">
        <v>18</v>
      </c>
      <c r="Q559" s="76" t="s">
        <v>2142</v>
      </c>
      <c r="R559" s="73">
        <f t="shared" si="44"/>
        <v>1</v>
      </c>
      <c r="S559" s="260" t="s">
        <v>1976</v>
      </c>
      <c r="T559" s="260"/>
      <c r="U559" s="260"/>
      <c r="V559" s="260"/>
      <c r="W559" s="260"/>
      <c r="X559" s="260"/>
      <c r="Y559" s="565"/>
      <c r="Z559" s="565"/>
      <c r="AA559" s="566">
        <f t="shared" si="42"/>
        <v>0</v>
      </c>
      <c r="AB559" s="699"/>
    </row>
    <row r="560" spans="1:28" ht="15.75" customHeight="1" x14ac:dyDescent="0.3">
      <c r="A560" s="96" t="s">
        <v>2588</v>
      </c>
      <c r="C560" s="81">
        <v>43803</v>
      </c>
      <c r="D560" s="109">
        <v>43847</v>
      </c>
      <c r="E560" s="560"/>
      <c r="F560" s="86" t="s">
        <v>2589</v>
      </c>
      <c r="G560" s="86" t="s">
        <v>154</v>
      </c>
      <c r="H560" s="79" t="s">
        <v>213</v>
      </c>
      <c r="I560" s="97" t="s">
        <v>3389</v>
      </c>
      <c r="J560" s="73">
        <f t="shared" si="43"/>
        <v>1</v>
      </c>
      <c r="K560" s="74" t="s">
        <v>204</v>
      </c>
      <c r="L560" s="97" t="s">
        <v>3390</v>
      </c>
      <c r="N560" s="76" t="s">
        <v>17</v>
      </c>
      <c r="Q560" s="76" t="s">
        <v>2142</v>
      </c>
      <c r="R560" s="73">
        <f t="shared" si="44"/>
        <v>1</v>
      </c>
      <c r="S560" s="260" t="s">
        <v>1976</v>
      </c>
      <c r="T560" s="260"/>
      <c r="U560" s="260"/>
      <c r="V560" s="260"/>
      <c r="W560" s="260"/>
      <c r="X560" s="260"/>
      <c r="Y560" s="565"/>
      <c r="Z560" s="565"/>
      <c r="AA560" s="566">
        <f t="shared" si="42"/>
        <v>0</v>
      </c>
      <c r="AB560" s="699"/>
    </row>
    <row r="561" spans="1:28" ht="15.75" customHeight="1" x14ac:dyDescent="0.3">
      <c r="A561" s="79" t="s">
        <v>2871</v>
      </c>
      <c r="C561" s="81">
        <v>43809</v>
      </c>
      <c r="D561" s="109">
        <v>43839</v>
      </c>
      <c r="E561" s="560"/>
      <c r="F561" s="86" t="s">
        <v>2872</v>
      </c>
      <c r="G561" s="86" t="s">
        <v>158</v>
      </c>
      <c r="H561" s="79" t="s">
        <v>213</v>
      </c>
      <c r="J561" s="73">
        <f t="shared" si="43"/>
        <v>1</v>
      </c>
      <c r="K561" s="74" t="s">
        <v>204</v>
      </c>
      <c r="Q561" s="76" t="s">
        <v>2142</v>
      </c>
      <c r="R561" s="73">
        <f t="shared" si="44"/>
        <v>1</v>
      </c>
      <c r="S561" s="260" t="s">
        <v>1976</v>
      </c>
      <c r="T561" s="260"/>
      <c r="U561" s="260"/>
      <c r="V561" s="260"/>
      <c r="W561" s="260"/>
      <c r="X561" s="260"/>
      <c r="Y561" s="565"/>
      <c r="Z561" s="565"/>
      <c r="AA561" s="566">
        <f t="shared" si="42"/>
        <v>0</v>
      </c>
      <c r="AB561" s="699"/>
    </row>
    <row r="562" spans="1:28" ht="15.75" customHeight="1" x14ac:dyDescent="0.3">
      <c r="A562" s="79" t="s">
        <v>2875</v>
      </c>
      <c r="C562" s="81">
        <v>43809</v>
      </c>
      <c r="D562" s="109">
        <v>43839</v>
      </c>
      <c r="E562" s="560"/>
      <c r="F562" s="86" t="s">
        <v>2876</v>
      </c>
      <c r="G562" s="86" t="s">
        <v>157</v>
      </c>
      <c r="H562" s="79" t="s">
        <v>213</v>
      </c>
      <c r="I562" s="97" t="s">
        <v>691</v>
      </c>
      <c r="J562" s="73">
        <f t="shared" si="43"/>
        <v>1</v>
      </c>
      <c r="K562" s="74" t="s">
        <v>204</v>
      </c>
      <c r="N562" s="76" t="s">
        <v>19</v>
      </c>
      <c r="Q562" s="76" t="s">
        <v>2142</v>
      </c>
      <c r="R562" s="73">
        <f t="shared" si="44"/>
        <v>1</v>
      </c>
      <c r="S562" s="260" t="s">
        <v>1976</v>
      </c>
      <c r="T562" s="260"/>
      <c r="U562" s="260"/>
      <c r="V562" s="260"/>
      <c r="W562" s="260"/>
      <c r="X562" s="260"/>
      <c r="Y562" s="565"/>
      <c r="Z562" s="565"/>
      <c r="AA562" s="566">
        <f t="shared" si="42"/>
        <v>0</v>
      </c>
      <c r="AB562" s="699"/>
    </row>
    <row r="563" spans="1:28" ht="15.75" customHeight="1" x14ac:dyDescent="0.3">
      <c r="A563" s="79" t="s">
        <v>2877</v>
      </c>
      <c r="C563" s="81">
        <v>43809</v>
      </c>
      <c r="D563" s="109">
        <v>43839</v>
      </c>
      <c r="E563" s="560"/>
      <c r="F563" s="86" t="s">
        <v>2878</v>
      </c>
      <c r="G563" s="86" t="s">
        <v>154</v>
      </c>
      <c r="H563" s="79" t="s">
        <v>213</v>
      </c>
      <c r="J563" s="73">
        <f t="shared" si="43"/>
        <v>1</v>
      </c>
      <c r="K563" s="74" t="s">
        <v>204</v>
      </c>
      <c r="Q563" s="76" t="s">
        <v>2142</v>
      </c>
      <c r="R563" s="73">
        <f t="shared" si="44"/>
        <v>1</v>
      </c>
      <c r="S563" s="260" t="s">
        <v>1976</v>
      </c>
      <c r="T563" s="260"/>
      <c r="U563" s="260"/>
      <c r="V563" s="260"/>
      <c r="W563" s="260"/>
      <c r="X563" s="260"/>
      <c r="Y563" s="565"/>
      <c r="Z563" s="565"/>
      <c r="AA563" s="566">
        <f t="shared" si="42"/>
        <v>0</v>
      </c>
      <c r="AB563" s="699"/>
    </row>
    <row r="564" spans="1:28" ht="15.75" customHeight="1" x14ac:dyDescent="0.3">
      <c r="A564" s="79" t="s">
        <v>2883</v>
      </c>
      <c r="C564" s="81">
        <v>43811</v>
      </c>
      <c r="D564" s="109">
        <v>43843</v>
      </c>
      <c r="E564" s="560"/>
      <c r="F564" s="86" t="s">
        <v>2884</v>
      </c>
      <c r="G564" s="86" t="s">
        <v>410</v>
      </c>
      <c r="H564" s="79" t="s">
        <v>213</v>
      </c>
      <c r="J564" s="73">
        <f t="shared" si="43"/>
        <v>1</v>
      </c>
      <c r="K564" s="74" t="s">
        <v>204</v>
      </c>
      <c r="Q564" s="76" t="s">
        <v>2142</v>
      </c>
      <c r="R564" s="73">
        <f t="shared" si="44"/>
        <v>1</v>
      </c>
      <c r="S564" s="260" t="s">
        <v>1976</v>
      </c>
      <c r="T564" s="260"/>
      <c r="U564" s="260"/>
      <c r="V564" s="260"/>
      <c r="W564" s="260"/>
      <c r="X564" s="260"/>
      <c r="Y564" s="565"/>
      <c r="Z564" s="565"/>
      <c r="AA564" s="566">
        <f t="shared" ref="AA564:AA625" si="45">Z564-Y564</f>
        <v>0</v>
      </c>
      <c r="AB564" s="699"/>
    </row>
    <row r="565" spans="1:28" ht="15.75" customHeight="1" x14ac:dyDescent="0.3">
      <c r="A565" s="79" t="s">
        <v>2885</v>
      </c>
      <c r="C565" s="81">
        <v>43811</v>
      </c>
      <c r="D565" s="109">
        <v>43843</v>
      </c>
      <c r="E565" s="560"/>
      <c r="F565" s="86" t="s">
        <v>2886</v>
      </c>
      <c r="G565" s="86" t="s">
        <v>154</v>
      </c>
      <c r="H565" s="79" t="s">
        <v>213</v>
      </c>
      <c r="J565" s="73">
        <f t="shared" si="43"/>
        <v>1</v>
      </c>
      <c r="K565" s="74" t="s">
        <v>204</v>
      </c>
      <c r="Q565" s="76" t="s">
        <v>2142</v>
      </c>
      <c r="R565" s="73">
        <f t="shared" si="44"/>
        <v>1</v>
      </c>
      <c r="S565" s="260" t="s">
        <v>1976</v>
      </c>
      <c r="T565" s="260"/>
      <c r="U565" s="260"/>
      <c r="V565" s="260"/>
      <c r="W565" s="260"/>
      <c r="X565" s="260"/>
      <c r="Y565" s="565"/>
      <c r="Z565" s="565"/>
      <c r="AA565" s="566">
        <f t="shared" si="45"/>
        <v>0</v>
      </c>
      <c r="AB565" s="699"/>
    </row>
    <row r="566" spans="1:28" ht="15.75" customHeight="1" x14ac:dyDescent="0.3">
      <c r="A566" s="79" t="s">
        <v>2893</v>
      </c>
      <c r="C566" s="81">
        <v>43812</v>
      </c>
      <c r="D566" s="109">
        <v>43844</v>
      </c>
      <c r="E566" s="560"/>
      <c r="F566" s="86" t="s">
        <v>2894</v>
      </c>
      <c r="G566" s="86" t="s">
        <v>158</v>
      </c>
      <c r="H566" s="79" t="s">
        <v>213</v>
      </c>
      <c r="J566" s="73">
        <f t="shared" ref="J566:J601" si="46">IF(OR(K566="Документы готовы",K566="Запрос в ФО",K566="ЭЗ",K566="РЕШ",K566="РЕШ шаблон"),0.1,IF(OR(K566="ЭЗ согласование",K566="РЕШ согласование"),0.3,IF(OR(K566="ЭЗ согласовано",K566="РЕШ согласовано",K566="РЕШ подписано"),0.6,IF(OR(K566="ЭЗ ПР согласование",K566="РЕШ УВ согласование"),0.9,IF(OR(K566="ЭЗ ПР DONE",K566="РЕШ УВ DONE"),1,0)))))</f>
        <v>1</v>
      </c>
      <c r="K566" s="74" t="s">
        <v>204</v>
      </c>
      <c r="Q566" s="76" t="s">
        <v>2142</v>
      </c>
      <c r="R566" s="73">
        <f t="shared" ref="R566:R601" si="47">IF(S566="В работе",0.3,IF(S566="Отписано",0.6,IF(S566="На доработку",0.9,IF(S566="Согласовано",1,0))))</f>
        <v>1</v>
      </c>
      <c r="S566" s="260" t="s">
        <v>1976</v>
      </c>
      <c r="T566" s="260"/>
      <c r="U566" s="260"/>
      <c r="V566" s="260"/>
      <c r="W566" s="260"/>
      <c r="X566" s="260"/>
      <c r="Y566" s="565"/>
      <c r="Z566" s="565"/>
      <c r="AA566" s="566">
        <f t="shared" si="45"/>
        <v>0</v>
      </c>
      <c r="AB566" s="699"/>
    </row>
    <row r="567" spans="1:28" ht="15.75" customHeight="1" x14ac:dyDescent="0.3">
      <c r="A567" s="79" t="s">
        <v>2899</v>
      </c>
      <c r="C567" s="81">
        <v>43815</v>
      </c>
      <c r="D567" s="109">
        <v>43845</v>
      </c>
      <c r="E567" s="560"/>
      <c r="F567" s="86" t="s">
        <v>2900</v>
      </c>
      <c r="G567" s="86" t="s">
        <v>1328</v>
      </c>
      <c r="H567" s="79" t="s">
        <v>213</v>
      </c>
      <c r="J567" s="73">
        <f t="shared" si="46"/>
        <v>1</v>
      </c>
      <c r="K567" s="74" t="s">
        <v>204</v>
      </c>
      <c r="Q567" s="76" t="s">
        <v>2142</v>
      </c>
      <c r="R567" s="73">
        <f t="shared" si="47"/>
        <v>1</v>
      </c>
      <c r="S567" s="260" t="s">
        <v>1976</v>
      </c>
      <c r="T567" s="260"/>
      <c r="U567" s="260"/>
      <c r="V567" s="260"/>
      <c r="W567" s="260"/>
      <c r="X567" s="260"/>
      <c r="Y567" s="565"/>
      <c r="Z567" s="565"/>
      <c r="AA567" s="566">
        <f t="shared" si="45"/>
        <v>0</v>
      </c>
      <c r="AB567" s="699"/>
    </row>
    <row r="568" spans="1:28" ht="15.75" customHeight="1" x14ac:dyDescent="0.3">
      <c r="A568" s="79" t="s">
        <v>2901</v>
      </c>
      <c r="C568" s="81">
        <v>43815</v>
      </c>
      <c r="D568" s="109">
        <v>43845</v>
      </c>
      <c r="E568" s="560"/>
      <c r="F568" s="86" t="s">
        <v>2902</v>
      </c>
      <c r="G568" s="86" t="s">
        <v>150</v>
      </c>
      <c r="H568" s="79" t="s">
        <v>213</v>
      </c>
      <c r="J568" s="73">
        <f t="shared" si="46"/>
        <v>1</v>
      </c>
      <c r="K568" s="74" t="s">
        <v>204</v>
      </c>
      <c r="Q568" s="76" t="s">
        <v>2142</v>
      </c>
      <c r="R568" s="73">
        <f t="shared" si="47"/>
        <v>1</v>
      </c>
      <c r="S568" s="260" t="s">
        <v>1976</v>
      </c>
      <c r="T568" s="260"/>
      <c r="U568" s="260"/>
      <c r="V568" s="260"/>
      <c r="W568" s="260"/>
      <c r="X568" s="260"/>
      <c r="Y568" s="565"/>
      <c r="Z568" s="565"/>
      <c r="AA568" s="566">
        <f t="shared" si="45"/>
        <v>0</v>
      </c>
      <c r="AB568" s="699"/>
    </row>
    <row r="569" spans="1:28" ht="15.75" customHeight="1" x14ac:dyDescent="0.3">
      <c r="A569" s="79" t="s">
        <v>2903</v>
      </c>
      <c r="C569" s="81">
        <v>43815</v>
      </c>
      <c r="D569" s="109">
        <v>43845</v>
      </c>
      <c r="E569" s="560"/>
      <c r="F569" s="86" t="s">
        <v>2904</v>
      </c>
      <c r="G569" s="86" t="s">
        <v>150</v>
      </c>
      <c r="H569" s="79" t="s">
        <v>213</v>
      </c>
      <c r="I569" s="97" t="s">
        <v>3794</v>
      </c>
      <c r="J569" s="73">
        <f t="shared" si="46"/>
        <v>1</v>
      </c>
      <c r="K569" s="74" t="s">
        <v>204</v>
      </c>
      <c r="L569" s="97" t="s">
        <v>3795</v>
      </c>
      <c r="N569" s="76" t="s">
        <v>18</v>
      </c>
      <c r="Q569" s="76" t="s">
        <v>2142</v>
      </c>
      <c r="R569" s="73">
        <f t="shared" si="47"/>
        <v>1</v>
      </c>
      <c r="S569" s="260" t="s">
        <v>1976</v>
      </c>
      <c r="T569" s="260"/>
      <c r="U569" s="260"/>
      <c r="V569" s="260"/>
      <c r="W569" s="260"/>
      <c r="X569" s="260"/>
      <c r="Y569" s="565"/>
      <c r="Z569" s="565"/>
      <c r="AA569" s="566">
        <f t="shared" si="45"/>
        <v>0</v>
      </c>
      <c r="AB569" s="699"/>
    </row>
    <row r="570" spans="1:28" ht="15.75" customHeight="1" x14ac:dyDescent="0.3">
      <c r="A570" s="79" t="s">
        <v>2905</v>
      </c>
      <c r="C570" s="81">
        <v>43815</v>
      </c>
      <c r="D570" s="109">
        <v>43845</v>
      </c>
      <c r="E570" s="560"/>
      <c r="F570" s="86" t="s">
        <v>2906</v>
      </c>
      <c r="G570" s="86" t="s">
        <v>156</v>
      </c>
      <c r="H570" s="79" t="s">
        <v>213</v>
      </c>
      <c r="I570" s="97" t="s">
        <v>3211</v>
      </c>
      <c r="J570" s="73">
        <f t="shared" si="46"/>
        <v>1</v>
      </c>
      <c r="K570" s="74" t="s">
        <v>204</v>
      </c>
      <c r="L570" s="97" t="s">
        <v>3212</v>
      </c>
      <c r="N570" s="76" t="s">
        <v>17</v>
      </c>
      <c r="Q570" s="76" t="s">
        <v>2142</v>
      </c>
      <c r="R570" s="73">
        <f t="shared" si="47"/>
        <v>1</v>
      </c>
      <c r="S570" s="260" t="s">
        <v>1976</v>
      </c>
      <c r="T570" s="260"/>
      <c r="U570" s="260"/>
      <c r="V570" s="260"/>
      <c r="W570" s="260"/>
      <c r="X570" s="260"/>
      <c r="Y570" s="565"/>
      <c r="Z570" s="565"/>
      <c r="AA570" s="566">
        <f t="shared" si="45"/>
        <v>0</v>
      </c>
      <c r="AB570" s="699"/>
    </row>
    <row r="571" spans="1:28" ht="15.75" customHeight="1" x14ac:dyDescent="0.3">
      <c r="A571" s="79" t="s">
        <v>2907</v>
      </c>
      <c r="C571" s="81">
        <v>43815</v>
      </c>
      <c r="D571" s="109">
        <v>43845</v>
      </c>
      <c r="E571" s="560"/>
      <c r="F571" s="86" t="s">
        <v>2908</v>
      </c>
      <c r="G571" s="86" t="s">
        <v>177</v>
      </c>
      <c r="H571" s="79" t="s">
        <v>213</v>
      </c>
      <c r="I571" s="97" t="s">
        <v>658</v>
      </c>
      <c r="J571" s="73">
        <f t="shared" si="46"/>
        <v>1</v>
      </c>
      <c r="K571" s="74" t="s">
        <v>204</v>
      </c>
      <c r="N571" s="76" t="s">
        <v>18</v>
      </c>
      <c r="Q571" s="76" t="s">
        <v>2142</v>
      </c>
      <c r="R571" s="73">
        <f t="shared" si="47"/>
        <v>1</v>
      </c>
      <c r="S571" s="260" t="s">
        <v>1976</v>
      </c>
      <c r="T571" s="260"/>
      <c r="U571" s="260"/>
      <c r="V571" s="260"/>
      <c r="W571" s="260"/>
      <c r="X571" s="260"/>
      <c r="Y571" s="565"/>
      <c r="Z571" s="565"/>
      <c r="AA571" s="566">
        <f t="shared" si="45"/>
        <v>0</v>
      </c>
      <c r="AB571" s="699"/>
    </row>
    <row r="572" spans="1:28" ht="15.75" customHeight="1" x14ac:dyDescent="0.3">
      <c r="A572" s="96" t="s">
        <v>2909</v>
      </c>
      <c r="C572" s="81">
        <v>43816</v>
      </c>
      <c r="D572" s="109">
        <v>43846</v>
      </c>
      <c r="E572" s="560"/>
      <c r="F572" s="86" t="s">
        <v>2910</v>
      </c>
      <c r="G572" s="86" t="s">
        <v>156</v>
      </c>
      <c r="H572" s="79" t="s">
        <v>213</v>
      </c>
      <c r="I572" s="97" t="s">
        <v>3222</v>
      </c>
      <c r="J572" s="73">
        <f t="shared" si="46"/>
        <v>1</v>
      </c>
      <c r="K572" s="74" t="s">
        <v>204</v>
      </c>
      <c r="L572" s="97" t="s">
        <v>3221</v>
      </c>
      <c r="N572" s="76" t="s">
        <v>18</v>
      </c>
      <c r="Q572" s="76" t="s">
        <v>2142</v>
      </c>
      <c r="R572" s="73">
        <f t="shared" si="47"/>
        <v>1</v>
      </c>
      <c r="S572" s="260" t="s">
        <v>1976</v>
      </c>
      <c r="T572" s="260"/>
      <c r="U572" s="260"/>
      <c r="V572" s="260"/>
      <c r="W572" s="260"/>
      <c r="X572" s="260"/>
      <c r="Y572" s="565"/>
      <c r="Z572" s="565"/>
      <c r="AA572" s="566">
        <f t="shared" si="45"/>
        <v>0</v>
      </c>
      <c r="AB572" s="699"/>
    </row>
    <row r="573" spans="1:28" ht="15.75" customHeight="1" x14ac:dyDescent="0.3">
      <c r="A573" s="79" t="s">
        <v>2237</v>
      </c>
      <c r="C573" s="81">
        <v>43794</v>
      </c>
      <c r="D573" s="109">
        <v>43830</v>
      </c>
      <c r="E573" s="560"/>
      <c r="F573" s="86" t="s">
        <v>2238</v>
      </c>
      <c r="G573" s="86" t="s">
        <v>410</v>
      </c>
      <c r="H573" s="79" t="s">
        <v>213</v>
      </c>
      <c r="J573" s="73">
        <f t="shared" si="46"/>
        <v>1</v>
      </c>
      <c r="K573" s="74" t="s">
        <v>204</v>
      </c>
      <c r="Q573" s="76" t="s">
        <v>2076</v>
      </c>
      <c r="R573" s="73">
        <f t="shared" si="47"/>
        <v>1</v>
      </c>
      <c r="S573" s="260" t="s">
        <v>1976</v>
      </c>
      <c r="T573" s="260"/>
      <c r="U573" s="260"/>
      <c r="V573" s="260"/>
      <c r="W573" s="260"/>
      <c r="X573" s="260"/>
      <c r="Y573" s="565"/>
      <c r="Z573" s="565"/>
      <c r="AA573" s="566">
        <f t="shared" si="45"/>
        <v>0</v>
      </c>
      <c r="AB573" s="699"/>
    </row>
    <row r="574" spans="1:28" ht="15.75" customHeight="1" x14ac:dyDescent="0.3">
      <c r="A574" s="79" t="s">
        <v>2249</v>
      </c>
      <c r="C574" s="81">
        <v>43795</v>
      </c>
      <c r="D574" s="109">
        <v>43839</v>
      </c>
      <c r="E574" s="560"/>
      <c r="F574" s="86" t="s">
        <v>2250</v>
      </c>
      <c r="G574" s="86" t="s">
        <v>181</v>
      </c>
      <c r="H574" s="79" t="s">
        <v>213</v>
      </c>
      <c r="J574" s="73">
        <f t="shared" si="46"/>
        <v>1</v>
      </c>
      <c r="K574" s="74" t="s">
        <v>204</v>
      </c>
      <c r="Q574" s="76" t="s">
        <v>2076</v>
      </c>
      <c r="R574" s="73">
        <f t="shared" si="47"/>
        <v>1</v>
      </c>
      <c r="S574" s="260" t="s">
        <v>1976</v>
      </c>
      <c r="T574" s="260"/>
      <c r="U574" s="260"/>
      <c r="V574" s="260"/>
      <c r="W574" s="260"/>
      <c r="X574" s="260"/>
      <c r="Y574" s="565"/>
      <c r="Z574" s="565"/>
      <c r="AA574" s="566">
        <f t="shared" si="45"/>
        <v>0</v>
      </c>
      <c r="AB574" s="699"/>
    </row>
    <row r="575" spans="1:28" ht="15.75" customHeight="1" x14ac:dyDescent="0.3">
      <c r="A575" s="79" t="s">
        <v>2251</v>
      </c>
      <c r="C575" s="81">
        <v>43796</v>
      </c>
      <c r="D575" s="109">
        <v>43839</v>
      </c>
      <c r="E575" s="560"/>
      <c r="F575" s="86" t="s">
        <v>2252</v>
      </c>
      <c r="G575" s="86" t="s">
        <v>156</v>
      </c>
      <c r="H575" s="79" t="s">
        <v>213</v>
      </c>
      <c r="J575" s="73">
        <f t="shared" si="46"/>
        <v>1</v>
      </c>
      <c r="K575" s="74" t="s">
        <v>204</v>
      </c>
      <c r="Q575" s="76" t="s">
        <v>2076</v>
      </c>
      <c r="R575" s="73">
        <f t="shared" si="47"/>
        <v>1</v>
      </c>
      <c r="S575" s="260" t="s">
        <v>1976</v>
      </c>
      <c r="T575" s="260"/>
      <c r="U575" s="260"/>
      <c r="V575" s="260"/>
      <c r="W575" s="260"/>
      <c r="X575" s="260"/>
      <c r="Y575" s="565"/>
      <c r="Z575" s="565"/>
      <c r="AA575" s="566">
        <f t="shared" si="45"/>
        <v>0</v>
      </c>
      <c r="AB575" s="699"/>
    </row>
    <row r="576" spans="1:28" ht="15.75" customHeight="1" x14ac:dyDescent="0.3">
      <c r="A576" s="79" t="s">
        <v>2259</v>
      </c>
      <c r="C576" s="81">
        <v>43796</v>
      </c>
      <c r="D576" s="109">
        <v>43840</v>
      </c>
      <c r="E576" s="560"/>
      <c r="F576" s="86" t="s">
        <v>2260</v>
      </c>
      <c r="G576" s="86" t="s">
        <v>172</v>
      </c>
      <c r="H576" s="79" t="s">
        <v>213</v>
      </c>
      <c r="J576" s="73">
        <f t="shared" si="46"/>
        <v>1</v>
      </c>
      <c r="K576" s="74" t="s">
        <v>204</v>
      </c>
      <c r="Q576" s="76" t="s">
        <v>2076</v>
      </c>
      <c r="R576" s="73">
        <f t="shared" si="47"/>
        <v>1</v>
      </c>
      <c r="S576" s="260" t="s">
        <v>1976</v>
      </c>
      <c r="T576" s="260"/>
      <c r="U576" s="260"/>
      <c r="V576" s="260"/>
      <c r="W576" s="260"/>
      <c r="X576" s="260"/>
      <c r="Y576" s="565"/>
      <c r="Z576" s="565"/>
      <c r="AA576" s="566">
        <f t="shared" si="45"/>
        <v>0</v>
      </c>
      <c r="AB576" s="699"/>
    </row>
    <row r="577" spans="1:28" ht="15.75" customHeight="1" x14ac:dyDescent="0.3">
      <c r="A577" s="79" t="s">
        <v>2261</v>
      </c>
      <c r="C577" s="81">
        <v>43796</v>
      </c>
      <c r="D577" s="109">
        <v>43840</v>
      </c>
      <c r="E577" s="560"/>
      <c r="F577" s="86" t="s">
        <v>2262</v>
      </c>
      <c r="G577" s="86" t="s">
        <v>150</v>
      </c>
      <c r="H577" s="79" t="s">
        <v>213</v>
      </c>
      <c r="I577" s="97" t="s">
        <v>642</v>
      </c>
      <c r="J577" s="73">
        <f t="shared" si="46"/>
        <v>1</v>
      </c>
      <c r="K577" s="74" t="s">
        <v>204</v>
      </c>
      <c r="N577" s="76" t="s">
        <v>18</v>
      </c>
      <c r="Q577" s="76" t="s">
        <v>2076</v>
      </c>
      <c r="R577" s="73">
        <f t="shared" si="47"/>
        <v>1</v>
      </c>
      <c r="S577" s="260" t="s">
        <v>1976</v>
      </c>
      <c r="T577" s="260"/>
      <c r="U577" s="260"/>
      <c r="V577" s="260"/>
      <c r="W577" s="260"/>
      <c r="X577" s="260"/>
      <c r="Y577" s="565"/>
      <c r="Z577" s="565"/>
      <c r="AA577" s="566">
        <f t="shared" si="45"/>
        <v>0</v>
      </c>
      <c r="AB577" s="699"/>
    </row>
    <row r="578" spans="1:28" ht="15.75" customHeight="1" x14ac:dyDescent="0.3">
      <c r="A578" s="79" t="s">
        <v>2263</v>
      </c>
      <c r="C578" s="81">
        <v>43796</v>
      </c>
      <c r="D578" s="109">
        <v>43840</v>
      </c>
      <c r="E578" s="560"/>
      <c r="F578" s="86" t="s">
        <v>2264</v>
      </c>
      <c r="G578" s="86" t="s">
        <v>156</v>
      </c>
      <c r="H578" s="79" t="s">
        <v>213</v>
      </c>
      <c r="J578" s="73">
        <f t="shared" si="46"/>
        <v>1</v>
      </c>
      <c r="K578" s="74" t="s">
        <v>204</v>
      </c>
      <c r="Q578" s="76" t="s">
        <v>2076</v>
      </c>
      <c r="R578" s="73">
        <f t="shared" si="47"/>
        <v>1</v>
      </c>
      <c r="S578" s="260" t="s">
        <v>1976</v>
      </c>
      <c r="T578" s="260"/>
      <c r="U578" s="260"/>
      <c r="V578" s="260"/>
      <c r="W578" s="260"/>
      <c r="X578" s="260"/>
      <c r="Y578" s="565"/>
      <c r="Z578" s="565"/>
      <c r="AA578" s="566">
        <f t="shared" si="45"/>
        <v>0</v>
      </c>
      <c r="AB578" s="699"/>
    </row>
    <row r="579" spans="1:28" ht="15.75" customHeight="1" x14ac:dyDescent="0.3">
      <c r="A579" s="79" t="s">
        <v>2265</v>
      </c>
      <c r="C579" s="81">
        <v>43798</v>
      </c>
      <c r="D579" s="109">
        <v>43843</v>
      </c>
      <c r="E579" s="560"/>
      <c r="F579" s="86" t="s">
        <v>2266</v>
      </c>
      <c r="G579" s="86" t="s">
        <v>172</v>
      </c>
      <c r="H579" s="79" t="s">
        <v>213</v>
      </c>
      <c r="J579" s="73">
        <f t="shared" si="46"/>
        <v>1</v>
      </c>
      <c r="K579" s="74" t="s">
        <v>204</v>
      </c>
      <c r="Q579" s="76" t="s">
        <v>2076</v>
      </c>
      <c r="R579" s="73">
        <f t="shared" si="47"/>
        <v>1</v>
      </c>
      <c r="S579" s="260" t="s">
        <v>1976</v>
      </c>
      <c r="T579" s="260"/>
      <c r="U579" s="260"/>
      <c r="V579" s="260"/>
      <c r="W579" s="260"/>
      <c r="X579" s="260"/>
      <c r="Y579" s="565"/>
      <c r="Z579" s="565"/>
      <c r="AA579" s="566">
        <f t="shared" si="45"/>
        <v>0</v>
      </c>
      <c r="AB579" s="699"/>
    </row>
    <row r="580" spans="1:28" ht="15.75" customHeight="1" x14ac:dyDescent="0.3">
      <c r="A580" s="79" t="s">
        <v>2494</v>
      </c>
      <c r="C580" s="81">
        <v>43798</v>
      </c>
      <c r="D580" s="109">
        <v>43844</v>
      </c>
      <c r="E580" s="560"/>
      <c r="F580" s="86" t="s">
        <v>2495</v>
      </c>
      <c r="G580" s="86" t="s">
        <v>156</v>
      </c>
      <c r="H580" s="79" t="s">
        <v>213</v>
      </c>
      <c r="I580" s="97" t="s">
        <v>995</v>
      </c>
      <c r="J580" s="73">
        <f t="shared" si="46"/>
        <v>1</v>
      </c>
      <c r="K580" s="74" t="s">
        <v>204</v>
      </c>
      <c r="N580" s="76" t="s">
        <v>19</v>
      </c>
      <c r="Q580" s="76" t="s">
        <v>2076</v>
      </c>
      <c r="R580" s="73">
        <f t="shared" si="47"/>
        <v>1</v>
      </c>
      <c r="S580" s="260" t="s">
        <v>1976</v>
      </c>
      <c r="T580" s="260"/>
      <c r="U580" s="260"/>
      <c r="V580" s="260"/>
      <c r="W580" s="260"/>
      <c r="X580" s="260"/>
      <c r="Y580" s="565"/>
      <c r="Z580" s="565"/>
      <c r="AA580" s="566">
        <f t="shared" si="45"/>
        <v>0</v>
      </c>
      <c r="AB580" s="699"/>
    </row>
    <row r="581" spans="1:28" ht="15.75" customHeight="1" x14ac:dyDescent="0.3">
      <c r="A581" s="79" t="s">
        <v>2498</v>
      </c>
      <c r="C581" s="81">
        <v>43798</v>
      </c>
      <c r="D581" s="109">
        <v>43844</v>
      </c>
      <c r="E581" s="560"/>
      <c r="F581" s="86" t="s">
        <v>2499</v>
      </c>
      <c r="G581" s="86" t="s">
        <v>158</v>
      </c>
      <c r="H581" s="79" t="s">
        <v>213</v>
      </c>
      <c r="I581" s="97" t="s">
        <v>714</v>
      </c>
      <c r="J581" s="73">
        <f t="shared" si="46"/>
        <v>1</v>
      </c>
      <c r="K581" s="74" t="s">
        <v>204</v>
      </c>
      <c r="N581" s="76" t="s">
        <v>18</v>
      </c>
      <c r="Q581" s="76" t="s">
        <v>2076</v>
      </c>
      <c r="R581" s="73">
        <f t="shared" si="47"/>
        <v>1</v>
      </c>
      <c r="S581" s="260" t="s">
        <v>1976</v>
      </c>
      <c r="T581" s="260"/>
      <c r="U581" s="260"/>
      <c r="V581" s="260"/>
      <c r="W581" s="260"/>
      <c r="X581" s="260"/>
      <c r="Y581" s="565"/>
      <c r="Z581" s="565"/>
      <c r="AA581" s="566">
        <f t="shared" si="45"/>
        <v>0</v>
      </c>
      <c r="AB581" s="699"/>
    </row>
    <row r="582" spans="1:28" ht="15.75" customHeight="1" x14ac:dyDescent="0.3">
      <c r="A582" s="79" t="s">
        <v>2917</v>
      </c>
      <c r="C582" s="81">
        <v>43801</v>
      </c>
      <c r="D582" s="109">
        <v>43845</v>
      </c>
      <c r="E582" s="560"/>
      <c r="F582" s="86" t="s">
        <v>2918</v>
      </c>
      <c r="G582" s="86" t="s">
        <v>156</v>
      </c>
      <c r="H582" s="79" t="s">
        <v>213</v>
      </c>
      <c r="I582" s="97" t="s">
        <v>995</v>
      </c>
      <c r="J582" s="73">
        <f t="shared" si="46"/>
        <v>1</v>
      </c>
      <c r="K582" s="74" t="s">
        <v>204</v>
      </c>
      <c r="L582" s="97" t="s">
        <v>3199</v>
      </c>
      <c r="N582" s="76" t="s">
        <v>19</v>
      </c>
      <c r="Q582" s="76" t="s">
        <v>2076</v>
      </c>
      <c r="R582" s="73">
        <f t="shared" si="47"/>
        <v>1</v>
      </c>
      <c r="S582" s="260" t="s">
        <v>1976</v>
      </c>
      <c r="T582" s="260"/>
      <c r="U582" s="260"/>
      <c r="V582" s="260"/>
      <c r="W582" s="260"/>
      <c r="X582" s="260"/>
      <c r="Y582" s="565"/>
      <c r="Z582" s="565"/>
      <c r="AA582" s="566">
        <f t="shared" si="45"/>
        <v>0</v>
      </c>
      <c r="AB582" s="699"/>
    </row>
    <row r="583" spans="1:28" ht="15.75" customHeight="1" x14ac:dyDescent="0.3">
      <c r="A583" s="79" t="s">
        <v>2919</v>
      </c>
      <c r="C583" s="81">
        <v>43801</v>
      </c>
      <c r="D583" s="109">
        <v>43845</v>
      </c>
      <c r="E583" s="560"/>
      <c r="F583" s="86" t="s">
        <v>2920</v>
      </c>
      <c r="G583" s="86" t="s">
        <v>152</v>
      </c>
      <c r="H583" s="79" t="s">
        <v>213</v>
      </c>
      <c r="I583" s="97" t="s">
        <v>714</v>
      </c>
      <c r="J583" s="73">
        <f t="shared" si="46"/>
        <v>1</v>
      </c>
      <c r="K583" s="74" t="s">
        <v>204</v>
      </c>
      <c r="L583" s="97" t="s">
        <v>3200</v>
      </c>
      <c r="N583" s="76" t="s">
        <v>17</v>
      </c>
      <c r="Q583" s="76" t="s">
        <v>2076</v>
      </c>
      <c r="R583" s="73">
        <f t="shared" si="47"/>
        <v>1</v>
      </c>
      <c r="S583" s="260" t="s">
        <v>1976</v>
      </c>
      <c r="T583" s="260"/>
      <c r="U583" s="260"/>
      <c r="V583" s="260"/>
      <c r="W583" s="260"/>
      <c r="X583" s="260"/>
      <c r="Y583" s="565"/>
      <c r="Z583" s="565"/>
      <c r="AA583" s="566">
        <f t="shared" si="45"/>
        <v>0</v>
      </c>
      <c r="AB583" s="699"/>
    </row>
    <row r="584" spans="1:28" ht="15.75" customHeight="1" x14ac:dyDescent="0.3">
      <c r="A584" s="79" t="s">
        <v>2508</v>
      </c>
      <c r="C584" s="81">
        <v>43801</v>
      </c>
      <c r="D584" s="109">
        <v>43845</v>
      </c>
      <c r="E584" s="560"/>
      <c r="F584" s="86" t="s">
        <v>2509</v>
      </c>
      <c r="G584" s="86" t="s">
        <v>410</v>
      </c>
      <c r="H584" s="79" t="s">
        <v>213</v>
      </c>
      <c r="I584" s="97" t="s">
        <v>755</v>
      </c>
      <c r="J584" s="73">
        <f t="shared" si="46"/>
        <v>1</v>
      </c>
      <c r="K584" s="74" t="s">
        <v>204</v>
      </c>
      <c r="L584" s="97" t="s">
        <v>3215</v>
      </c>
      <c r="N584" s="76" t="s">
        <v>18</v>
      </c>
      <c r="Q584" s="76" t="s">
        <v>2076</v>
      </c>
      <c r="R584" s="73">
        <f t="shared" si="47"/>
        <v>1</v>
      </c>
      <c r="S584" s="260" t="s">
        <v>1976</v>
      </c>
      <c r="T584" s="260"/>
      <c r="U584" s="260"/>
      <c r="V584" s="260"/>
      <c r="W584" s="260"/>
      <c r="X584" s="260"/>
      <c r="Y584" s="565"/>
      <c r="Z584" s="565"/>
      <c r="AA584" s="566">
        <f t="shared" si="45"/>
        <v>0</v>
      </c>
      <c r="AB584" s="699"/>
    </row>
    <row r="585" spans="1:28" ht="15.75" customHeight="1" x14ac:dyDescent="0.3">
      <c r="A585" s="96" t="s">
        <v>2510</v>
      </c>
      <c r="C585" s="81">
        <v>43802</v>
      </c>
      <c r="D585" s="109">
        <v>43846</v>
      </c>
      <c r="E585" s="560"/>
      <c r="F585" s="86" t="s">
        <v>2511</v>
      </c>
      <c r="G585" s="86" t="s">
        <v>538</v>
      </c>
      <c r="H585" s="79" t="s">
        <v>213</v>
      </c>
      <c r="I585" s="97" t="s">
        <v>714</v>
      </c>
      <c r="J585" s="73">
        <f t="shared" si="46"/>
        <v>1</v>
      </c>
      <c r="K585" s="74" t="s">
        <v>204</v>
      </c>
      <c r="L585" s="97" t="s">
        <v>3223</v>
      </c>
      <c r="N585" s="76" t="s">
        <v>18</v>
      </c>
      <c r="Q585" s="76" t="s">
        <v>2076</v>
      </c>
      <c r="R585" s="73">
        <f t="shared" si="47"/>
        <v>1</v>
      </c>
      <c r="S585" s="260" t="s">
        <v>1976</v>
      </c>
      <c r="T585" s="260"/>
      <c r="U585" s="260"/>
      <c r="V585" s="260"/>
      <c r="W585" s="260"/>
      <c r="X585" s="260"/>
      <c r="Y585" s="565"/>
      <c r="Z585" s="565"/>
      <c r="AA585" s="566">
        <f t="shared" si="45"/>
        <v>0</v>
      </c>
      <c r="AB585" s="699"/>
    </row>
    <row r="586" spans="1:28" ht="15.75" customHeight="1" x14ac:dyDescent="0.3">
      <c r="A586" s="96" t="s">
        <v>2512</v>
      </c>
      <c r="C586" s="81">
        <v>43802</v>
      </c>
      <c r="D586" s="109">
        <v>43846</v>
      </c>
      <c r="E586" s="560"/>
      <c r="F586" s="86" t="s">
        <v>2513</v>
      </c>
      <c r="G586" s="86" t="s">
        <v>177</v>
      </c>
      <c r="H586" s="79" t="s">
        <v>213</v>
      </c>
      <c r="I586" s="97" t="s">
        <v>1285</v>
      </c>
      <c r="J586" s="73">
        <f t="shared" si="46"/>
        <v>1</v>
      </c>
      <c r="K586" s="74" t="s">
        <v>204</v>
      </c>
      <c r="N586" s="76" t="s">
        <v>19</v>
      </c>
      <c r="Q586" s="76" t="s">
        <v>2076</v>
      </c>
      <c r="R586" s="73">
        <f t="shared" si="47"/>
        <v>1</v>
      </c>
      <c r="S586" s="260" t="s">
        <v>1976</v>
      </c>
      <c r="T586" s="260"/>
      <c r="U586" s="260"/>
      <c r="V586" s="260"/>
      <c r="W586" s="260"/>
      <c r="X586" s="260"/>
      <c r="Y586" s="565"/>
      <c r="Z586" s="565"/>
      <c r="AA586" s="566">
        <f t="shared" si="45"/>
        <v>0</v>
      </c>
      <c r="AB586" s="699"/>
    </row>
    <row r="587" spans="1:28" ht="15.75" customHeight="1" x14ac:dyDescent="0.3">
      <c r="A587" s="79" t="s">
        <v>2516</v>
      </c>
      <c r="C587" s="81">
        <v>43803</v>
      </c>
      <c r="D587" s="109">
        <v>43847</v>
      </c>
      <c r="E587" s="560"/>
      <c r="F587" s="86" t="s">
        <v>2517</v>
      </c>
      <c r="G587" s="86" t="s">
        <v>157</v>
      </c>
      <c r="H587" s="79" t="s">
        <v>213</v>
      </c>
      <c r="I587" s="97" t="s">
        <v>642</v>
      </c>
      <c r="J587" s="73">
        <f t="shared" si="46"/>
        <v>1</v>
      </c>
      <c r="K587" s="74" t="s">
        <v>204</v>
      </c>
      <c r="N587" s="76" t="s">
        <v>18</v>
      </c>
      <c r="Q587" s="76" t="s">
        <v>2076</v>
      </c>
      <c r="R587" s="73">
        <f t="shared" si="47"/>
        <v>1</v>
      </c>
      <c r="S587" s="260" t="s">
        <v>1976</v>
      </c>
      <c r="T587" s="260"/>
      <c r="U587" s="260"/>
      <c r="V587" s="260"/>
      <c r="W587" s="260"/>
      <c r="X587" s="260"/>
      <c r="Y587" s="565"/>
      <c r="Z587" s="565"/>
      <c r="AA587" s="566">
        <f t="shared" si="45"/>
        <v>0</v>
      </c>
      <c r="AB587" s="699"/>
    </row>
    <row r="588" spans="1:28" ht="15.75" customHeight="1" x14ac:dyDescent="0.3">
      <c r="A588" s="79" t="s">
        <v>2518</v>
      </c>
      <c r="C588" s="81">
        <v>43803</v>
      </c>
      <c r="D588" s="109">
        <v>43847</v>
      </c>
      <c r="E588" s="560"/>
      <c r="F588" s="86" t="s">
        <v>2519</v>
      </c>
      <c r="G588" s="86" t="s">
        <v>150</v>
      </c>
      <c r="H588" s="79" t="s">
        <v>213</v>
      </c>
      <c r="J588" s="73">
        <f t="shared" si="46"/>
        <v>1</v>
      </c>
      <c r="K588" s="74" t="s">
        <v>204</v>
      </c>
      <c r="N588" s="76" t="s">
        <v>17</v>
      </c>
      <c r="Q588" s="76" t="s">
        <v>2076</v>
      </c>
      <c r="R588" s="73">
        <f t="shared" si="47"/>
        <v>1</v>
      </c>
      <c r="S588" s="260" t="s">
        <v>1976</v>
      </c>
      <c r="T588" s="260"/>
      <c r="U588" s="260"/>
      <c r="V588" s="260"/>
      <c r="W588" s="260"/>
      <c r="X588" s="260"/>
      <c r="Y588" s="565"/>
      <c r="Z588" s="565"/>
      <c r="AA588" s="566">
        <f t="shared" si="45"/>
        <v>0</v>
      </c>
      <c r="AB588" s="699"/>
    </row>
    <row r="589" spans="1:28" ht="15.75" customHeight="1" x14ac:dyDescent="0.3">
      <c r="A589" s="79" t="s">
        <v>2520</v>
      </c>
      <c r="C589" s="81">
        <v>43803</v>
      </c>
      <c r="D589" s="81">
        <v>43847</v>
      </c>
      <c r="E589" s="560"/>
      <c r="F589" s="86" t="s">
        <v>2521</v>
      </c>
      <c r="G589" s="86" t="s">
        <v>150</v>
      </c>
      <c r="H589" s="79" t="s">
        <v>213</v>
      </c>
      <c r="I589" s="97" t="s">
        <v>642</v>
      </c>
      <c r="J589" s="73">
        <f t="shared" si="46"/>
        <v>1</v>
      </c>
      <c r="K589" s="74" t="s">
        <v>204</v>
      </c>
      <c r="N589" s="76" t="s">
        <v>18</v>
      </c>
      <c r="Q589" s="76" t="s">
        <v>2076</v>
      </c>
      <c r="R589" s="73">
        <f t="shared" si="47"/>
        <v>1</v>
      </c>
      <c r="S589" s="260" t="s">
        <v>1976</v>
      </c>
      <c r="T589" s="260"/>
      <c r="U589" s="260"/>
      <c r="V589" s="260"/>
      <c r="W589" s="260"/>
      <c r="X589" s="260"/>
      <c r="Y589" s="565"/>
      <c r="Z589" s="565"/>
      <c r="AA589" s="566">
        <f t="shared" si="45"/>
        <v>0</v>
      </c>
      <c r="AB589" s="699"/>
    </row>
    <row r="590" spans="1:28" ht="15.75" customHeight="1" x14ac:dyDescent="0.3">
      <c r="A590" s="79" t="s">
        <v>2923</v>
      </c>
      <c r="C590" s="81">
        <v>43809</v>
      </c>
      <c r="D590" s="109">
        <v>43839</v>
      </c>
      <c r="E590" s="560"/>
      <c r="F590" s="86" t="s">
        <v>2924</v>
      </c>
      <c r="G590" s="86" t="s">
        <v>156</v>
      </c>
      <c r="H590" s="79" t="s">
        <v>213</v>
      </c>
      <c r="J590" s="73">
        <f t="shared" si="46"/>
        <v>1</v>
      </c>
      <c r="K590" s="74" t="s">
        <v>204</v>
      </c>
      <c r="L590" s="97" t="s">
        <v>3069</v>
      </c>
      <c r="N590" s="76" t="s">
        <v>19</v>
      </c>
      <c r="Q590" s="76" t="s">
        <v>2076</v>
      </c>
      <c r="R590" s="73">
        <f t="shared" si="47"/>
        <v>1</v>
      </c>
      <c r="S590" s="260" t="s">
        <v>1976</v>
      </c>
      <c r="T590" s="260"/>
      <c r="U590" s="260"/>
      <c r="V590" s="260"/>
      <c r="W590" s="260"/>
      <c r="X590" s="260"/>
      <c r="Y590" s="565"/>
      <c r="Z590" s="565"/>
      <c r="AA590" s="566">
        <f t="shared" si="45"/>
        <v>0</v>
      </c>
      <c r="AB590" s="699"/>
    </row>
    <row r="591" spans="1:28" ht="15.75" customHeight="1" x14ac:dyDescent="0.3">
      <c r="A591" s="79" t="s">
        <v>2925</v>
      </c>
      <c r="C591" s="81">
        <v>43809</v>
      </c>
      <c r="D591" s="109">
        <v>43839</v>
      </c>
      <c r="E591" s="560"/>
      <c r="F591" s="86" t="s">
        <v>2926</v>
      </c>
      <c r="G591" s="86" t="s">
        <v>156</v>
      </c>
      <c r="H591" s="79" t="s">
        <v>213</v>
      </c>
      <c r="J591" s="73">
        <f t="shared" si="46"/>
        <v>1</v>
      </c>
      <c r="K591" s="74" t="s">
        <v>204</v>
      </c>
      <c r="Q591" s="76" t="s">
        <v>2076</v>
      </c>
      <c r="R591" s="73">
        <f t="shared" si="47"/>
        <v>1</v>
      </c>
      <c r="S591" s="260" t="s">
        <v>1976</v>
      </c>
      <c r="T591" s="260"/>
      <c r="U591" s="260"/>
      <c r="V591" s="260"/>
      <c r="W591" s="260"/>
      <c r="X591" s="260"/>
      <c r="Y591" s="565"/>
      <c r="Z591" s="565"/>
      <c r="AA591" s="566">
        <f t="shared" si="45"/>
        <v>0</v>
      </c>
      <c r="AB591" s="699"/>
    </row>
    <row r="592" spans="1:28" ht="15.75" customHeight="1" x14ac:dyDescent="0.3">
      <c r="A592" s="79" t="s">
        <v>2929</v>
      </c>
      <c r="C592" s="81">
        <v>43810</v>
      </c>
      <c r="D592" s="109">
        <v>43839</v>
      </c>
      <c r="E592" s="560"/>
      <c r="F592" s="86" t="s">
        <v>2930</v>
      </c>
      <c r="G592" s="86" t="s">
        <v>152</v>
      </c>
      <c r="H592" s="79" t="s">
        <v>213</v>
      </c>
      <c r="J592" s="73">
        <f t="shared" si="46"/>
        <v>1</v>
      </c>
      <c r="K592" s="74" t="s">
        <v>204</v>
      </c>
      <c r="Q592" s="76" t="s">
        <v>2076</v>
      </c>
      <c r="R592" s="73">
        <f t="shared" si="47"/>
        <v>1</v>
      </c>
      <c r="S592" s="260" t="s">
        <v>1976</v>
      </c>
      <c r="T592" s="260"/>
      <c r="U592" s="260"/>
      <c r="V592" s="260"/>
      <c r="W592" s="260"/>
      <c r="X592" s="260"/>
      <c r="Y592" s="565"/>
      <c r="Z592" s="565"/>
      <c r="AA592" s="566">
        <f t="shared" si="45"/>
        <v>0</v>
      </c>
      <c r="AB592" s="699"/>
    </row>
    <row r="593" spans="1:28" ht="15.75" customHeight="1" x14ac:dyDescent="0.3">
      <c r="A593" s="79" t="s">
        <v>2935</v>
      </c>
      <c r="C593" s="81">
        <v>43811</v>
      </c>
      <c r="D593" s="109">
        <v>43843</v>
      </c>
      <c r="E593" s="560"/>
      <c r="F593" s="86" t="s">
        <v>2936</v>
      </c>
      <c r="G593" s="86" t="s">
        <v>152</v>
      </c>
      <c r="H593" s="79" t="s">
        <v>213</v>
      </c>
      <c r="J593" s="73">
        <f t="shared" si="46"/>
        <v>1</v>
      </c>
      <c r="K593" s="74" t="s">
        <v>204</v>
      </c>
      <c r="Q593" s="76" t="s">
        <v>2076</v>
      </c>
      <c r="R593" s="73">
        <f t="shared" si="47"/>
        <v>1</v>
      </c>
      <c r="S593" s="260" t="s">
        <v>1976</v>
      </c>
      <c r="T593" s="260"/>
      <c r="U593" s="260"/>
      <c r="V593" s="260"/>
      <c r="W593" s="260"/>
      <c r="X593" s="260"/>
      <c r="Y593" s="565"/>
      <c r="Z593" s="565"/>
      <c r="AA593" s="566">
        <f t="shared" si="45"/>
        <v>0</v>
      </c>
      <c r="AB593" s="699"/>
    </row>
    <row r="594" spans="1:28" ht="15.75" customHeight="1" x14ac:dyDescent="0.3">
      <c r="A594" s="79" t="s">
        <v>2939</v>
      </c>
      <c r="C594" s="81">
        <v>43811</v>
      </c>
      <c r="D594" s="109">
        <v>43843</v>
      </c>
      <c r="E594" s="560"/>
      <c r="F594" s="86" t="s">
        <v>2940</v>
      </c>
      <c r="G594" s="86" t="s">
        <v>150</v>
      </c>
      <c r="H594" s="79" t="s">
        <v>213</v>
      </c>
      <c r="J594" s="73">
        <f t="shared" si="46"/>
        <v>1</v>
      </c>
      <c r="K594" s="74" t="s">
        <v>204</v>
      </c>
      <c r="Q594" s="76" t="s">
        <v>2076</v>
      </c>
      <c r="R594" s="73">
        <f t="shared" si="47"/>
        <v>1</v>
      </c>
      <c r="S594" s="260" t="s">
        <v>1976</v>
      </c>
      <c r="T594" s="260"/>
      <c r="U594" s="260"/>
      <c r="V594" s="260"/>
      <c r="W594" s="260"/>
      <c r="X594" s="260"/>
      <c r="Y594" s="565"/>
      <c r="Z594" s="565"/>
      <c r="AA594" s="566">
        <f t="shared" si="45"/>
        <v>0</v>
      </c>
      <c r="AB594" s="699"/>
    </row>
    <row r="595" spans="1:28" ht="15.75" customHeight="1" x14ac:dyDescent="0.3">
      <c r="A595" s="79" t="s">
        <v>2941</v>
      </c>
      <c r="C595" s="81">
        <v>43812</v>
      </c>
      <c r="D595" s="109">
        <v>43844</v>
      </c>
      <c r="E595" s="560"/>
      <c r="F595" s="86" t="s">
        <v>2942</v>
      </c>
      <c r="G595" s="86" t="s">
        <v>181</v>
      </c>
      <c r="H595" s="79" t="s">
        <v>213</v>
      </c>
      <c r="J595" s="73">
        <f t="shared" si="46"/>
        <v>1</v>
      </c>
      <c r="K595" s="74" t="s">
        <v>204</v>
      </c>
      <c r="Q595" s="76" t="s">
        <v>2076</v>
      </c>
      <c r="R595" s="73">
        <f t="shared" si="47"/>
        <v>1</v>
      </c>
      <c r="S595" s="260" t="s">
        <v>1976</v>
      </c>
      <c r="T595" s="260"/>
      <c r="U595" s="260"/>
      <c r="V595" s="260"/>
      <c r="W595" s="260"/>
      <c r="X595" s="260"/>
      <c r="Y595" s="565"/>
      <c r="Z595" s="565"/>
      <c r="AA595" s="566">
        <f t="shared" si="45"/>
        <v>0</v>
      </c>
      <c r="AB595" s="699"/>
    </row>
    <row r="596" spans="1:28" ht="15.75" customHeight="1" x14ac:dyDescent="0.3">
      <c r="A596" s="79" t="s">
        <v>2947</v>
      </c>
      <c r="C596" s="81">
        <v>43815</v>
      </c>
      <c r="D596" s="109">
        <v>43845</v>
      </c>
      <c r="E596" s="560"/>
      <c r="F596" s="86" t="s">
        <v>2948</v>
      </c>
      <c r="G596" s="86" t="s">
        <v>156</v>
      </c>
      <c r="H596" s="79" t="s">
        <v>213</v>
      </c>
      <c r="I596" s="97" t="s">
        <v>995</v>
      </c>
      <c r="J596" s="73">
        <f t="shared" si="46"/>
        <v>1</v>
      </c>
      <c r="K596" s="74" t="s">
        <v>204</v>
      </c>
      <c r="N596" s="76" t="s">
        <v>19</v>
      </c>
      <c r="Q596" s="76" t="s">
        <v>2076</v>
      </c>
      <c r="R596" s="73">
        <f t="shared" si="47"/>
        <v>1</v>
      </c>
      <c r="S596" s="260" t="s">
        <v>1976</v>
      </c>
      <c r="T596" s="260"/>
      <c r="U596" s="260"/>
      <c r="V596" s="260"/>
      <c r="W596" s="260"/>
      <c r="X596" s="260"/>
      <c r="Y596" s="565"/>
      <c r="Z596" s="565"/>
      <c r="AA596" s="566">
        <f t="shared" si="45"/>
        <v>0</v>
      </c>
      <c r="AB596" s="699"/>
    </row>
    <row r="597" spans="1:28" ht="15.75" customHeight="1" x14ac:dyDescent="0.3">
      <c r="A597" s="79" t="s">
        <v>2953</v>
      </c>
      <c r="C597" s="81">
        <v>43815</v>
      </c>
      <c r="D597" s="109">
        <v>43845</v>
      </c>
      <c r="E597" s="560"/>
      <c r="F597" s="86" t="s">
        <v>2954</v>
      </c>
      <c r="G597" s="86" t="s">
        <v>156</v>
      </c>
      <c r="H597" s="79" t="s">
        <v>213</v>
      </c>
      <c r="I597" s="97" t="s">
        <v>995</v>
      </c>
      <c r="J597" s="73">
        <f t="shared" si="46"/>
        <v>1</v>
      </c>
      <c r="K597" s="74" t="s">
        <v>204</v>
      </c>
      <c r="N597" s="76" t="s">
        <v>19</v>
      </c>
      <c r="Q597" s="76" t="s">
        <v>2076</v>
      </c>
      <c r="R597" s="73">
        <f t="shared" si="47"/>
        <v>1</v>
      </c>
      <c r="S597" s="260" t="s">
        <v>1976</v>
      </c>
      <c r="T597" s="260"/>
      <c r="U597" s="260"/>
      <c r="V597" s="260"/>
      <c r="W597" s="260"/>
      <c r="X597" s="260"/>
      <c r="Y597" s="565"/>
      <c r="Z597" s="565"/>
      <c r="AA597" s="566">
        <f t="shared" si="45"/>
        <v>0</v>
      </c>
      <c r="AB597" s="699"/>
    </row>
    <row r="598" spans="1:28" ht="15.75" customHeight="1" x14ac:dyDescent="0.3">
      <c r="A598" s="96" t="s">
        <v>2957</v>
      </c>
      <c r="C598" s="81">
        <v>43816</v>
      </c>
      <c r="D598" s="109">
        <v>43846</v>
      </c>
      <c r="E598" s="560"/>
      <c r="F598" s="86" t="s">
        <v>2958</v>
      </c>
      <c r="G598" s="86" t="s">
        <v>156</v>
      </c>
      <c r="H598" s="79" t="s">
        <v>213</v>
      </c>
      <c r="I598" s="97" t="s">
        <v>3232</v>
      </c>
      <c r="J598" s="73">
        <f t="shared" si="46"/>
        <v>1</v>
      </c>
      <c r="K598" s="74" t="s">
        <v>204</v>
      </c>
      <c r="N598" s="76" t="s">
        <v>17</v>
      </c>
      <c r="Q598" s="76" t="s">
        <v>2076</v>
      </c>
      <c r="R598" s="73">
        <f t="shared" si="47"/>
        <v>1</v>
      </c>
      <c r="S598" s="260" t="s">
        <v>1976</v>
      </c>
      <c r="T598" s="260"/>
      <c r="U598" s="260"/>
      <c r="V598" s="260"/>
      <c r="W598" s="260"/>
      <c r="X598" s="260"/>
      <c r="Y598" s="565"/>
      <c r="Z598" s="565"/>
      <c r="AA598" s="566">
        <f t="shared" si="45"/>
        <v>0</v>
      </c>
      <c r="AB598" s="699"/>
    </row>
    <row r="599" spans="1:28" ht="15.75" customHeight="1" x14ac:dyDescent="0.3">
      <c r="A599" s="79" t="s">
        <v>2959</v>
      </c>
      <c r="C599" s="81">
        <v>43816</v>
      </c>
      <c r="D599" s="109">
        <v>43846</v>
      </c>
      <c r="E599" s="560"/>
      <c r="F599" s="86" t="s">
        <v>2960</v>
      </c>
      <c r="G599" s="86" t="s">
        <v>156</v>
      </c>
      <c r="H599" s="79" t="s">
        <v>213</v>
      </c>
      <c r="J599" s="73">
        <f t="shared" si="46"/>
        <v>1</v>
      </c>
      <c r="K599" s="74" t="s">
        <v>204</v>
      </c>
      <c r="Q599" s="76" t="s">
        <v>2076</v>
      </c>
      <c r="R599" s="73">
        <f t="shared" si="47"/>
        <v>1</v>
      </c>
      <c r="S599" s="260" t="s">
        <v>1976</v>
      </c>
      <c r="T599" s="260"/>
      <c r="U599" s="260"/>
      <c r="V599" s="260"/>
      <c r="W599" s="260"/>
      <c r="X599" s="260"/>
      <c r="Y599" s="565"/>
      <c r="Z599" s="565"/>
      <c r="AA599" s="566">
        <f t="shared" si="45"/>
        <v>0</v>
      </c>
      <c r="AB599" s="699"/>
    </row>
    <row r="600" spans="1:28" ht="15.75" customHeight="1" x14ac:dyDescent="0.3">
      <c r="A600" s="79" t="s">
        <v>2962</v>
      </c>
      <c r="C600" s="81">
        <v>43777</v>
      </c>
      <c r="D600" s="109">
        <v>43844</v>
      </c>
      <c r="E600" s="560"/>
      <c r="F600" s="86" t="s">
        <v>2963</v>
      </c>
      <c r="G600" s="86" t="s">
        <v>152</v>
      </c>
      <c r="H600" s="79" t="s">
        <v>213</v>
      </c>
      <c r="I600" s="97" t="s">
        <v>691</v>
      </c>
      <c r="J600" s="73">
        <f t="shared" si="46"/>
        <v>1</v>
      </c>
      <c r="K600" s="74" t="s">
        <v>204</v>
      </c>
      <c r="L600" s="97" t="s">
        <v>3189</v>
      </c>
      <c r="Q600" s="76" t="s">
        <v>2037</v>
      </c>
      <c r="R600" s="73">
        <f t="shared" si="47"/>
        <v>1</v>
      </c>
      <c r="S600" s="260" t="s">
        <v>1976</v>
      </c>
      <c r="T600" s="260"/>
      <c r="U600" s="260"/>
      <c r="V600" s="260"/>
      <c r="W600" s="260"/>
      <c r="X600" s="260"/>
      <c r="Y600" s="565"/>
      <c r="Z600" s="565"/>
      <c r="AA600" s="566">
        <f t="shared" si="45"/>
        <v>0</v>
      </c>
      <c r="AB600" s="699"/>
    </row>
    <row r="601" spans="1:28" ht="15.75" customHeight="1" x14ac:dyDescent="0.3">
      <c r="A601" s="79" t="s">
        <v>2964</v>
      </c>
      <c r="C601" s="81">
        <v>43782</v>
      </c>
      <c r="D601" s="109">
        <v>43840</v>
      </c>
      <c r="E601" s="560"/>
      <c r="F601" s="86" t="s">
        <v>2965</v>
      </c>
      <c r="G601" s="86" t="s">
        <v>410</v>
      </c>
      <c r="H601" s="79" t="s">
        <v>213</v>
      </c>
      <c r="J601" s="73">
        <f t="shared" si="46"/>
        <v>1</v>
      </c>
      <c r="K601" s="74" t="s">
        <v>204</v>
      </c>
      <c r="Q601" s="76" t="s">
        <v>2037</v>
      </c>
      <c r="R601" s="73">
        <f t="shared" si="47"/>
        <v>1</v>
      </c>
      <c r="S601" s="260" t="s">
        <v>1976</v>
      </c>
      <c r="T601" s="260"/>
      <c r="U601" s="260"/>
      <c r="V601" s="260"/>
      <c r="W601" s="260"/>
      <c r="X601" s="260"/>
      <c r="Y601" s="565"/>
      <c r="Z601" s="565"/>
      <c r="AA601" s="566">
        <f t="shared" si="45"/>
        <v>0</v>
      </c>
      <c r="AB601" s="699"/>
    </row>
    <row r="602" spans="1:28" ht="15.75" customHeight="1" x14ac:dyDescent="0.3">
      <c r="A602" s="79" t="s">
        <v>2966</v>
      </c>
      <c r="C602" s="81">
        <v>43784</v>
      </c>
      <c r="D602" s="109">
        <v>43843</v>
      </c>
      <c r="E602" s="560"/>
      <c r="F602" s="86" t="s">
        <v>2967</v>
      </c>
      <c r="G602" s="86" t="s">
        <v>156</v>
      </c>
      <c r="H602" s="79" t="s">
        <v>213</v>
      </c>
      <c r="J602" s="73">
        <f t="shared" ref="J602:J645" si="48">IF(OR(K602="Документы готовы",K602="Запрос в ФО",K602="ЭЗ",K602="РЕШ",K602="РЕШ шаблон"),0.1,IF(OR(K602="ЭЗ согласование",K602="РЕШ согласование"),0.3,IF(OR(K602="ЭЗ согласовано",K602="РЕШ согласовано",K602="РЕШ подписано"),0.6,IF(OR(K602="ЭЗ ПР согласование",K602="РЕШ УВ согласование"),0.9,IF(OR(K602="ЭЗ ПР DONE",K602="РЕШ УВ DONE"),1,0)))))</f>
        <v>1</v>
      </c>
      <c r="K602" s="74" t="s">
        <v>204</v>
      </c>
      <c r="Q602" s="76" t="s">
        <v>2037</v>
      </c>
      <c r="R602" s="73">
        <f t="shared" ref="R602:R645" si="49">IF(S602="В работе",0.3,IF(S602="Отписано",0.6,IF(S602="На доработку",0.9,IF(S602="Согласовано",1,0))))</f>
        <v>1</v>
      </c>
      <c r="S602" s="260" t="s">
        <v>1976</v>
      </c>
      <c r="T602" s="260"/>
      <c r="U602" s="260"/>
      <c r="V602" s="260"/>
      <c r="W602" s="260"/>
      <c r="X602" s="260"/>
      <c r="Y602" s="565"/>
      <c r="Z602" s="565"/>
      <c r="AA602" s="566">
        <f t="shared" si="45"/>
        <v>0</v>
      </c>
      <c r="AB602" s="699"/>
    </row>
    <row r="603" spans="1:28" ht="15.75" customHeight="1" x14ac:dyDescent="0.3">
      <c r="A603" s="79" t="s">
        <v>2968</v>
      </c>
      <c r="C603" s="81">
        <v>43787</v>
      </c>
      <c r="D603" s="109">
        <v>43844</v>
      </c>
      <c r="E603" s="560"/>
      <c r="F603" s="86" t="s">
        <v>2969</v>
      </c>
      <c r="G603" s="86" t="s">
        <v>158</v>
      </c>
      <c r="H603" s="79" t="s">
        <v>213</v>
      </c>
      <c r="I603" s="97" t="s">
        <v>642</v>
      </c>
      <c r="J603" s="73">
        <f t="shared" si="48"/>
        <v>1</v>
      </c>
      <c r="K603" s="74" t="s">
        <v>204</v>
      </c>
      <c r="N603" s="76" t="s">
        <v>18</v>
      </c>
      <c r="Q603" s="76" t="s">
        <v>2037</v>
      </c>
      <c r="R603" s="73">
        <f t="shared" si="49"/>
        <v>1</v>
      </c>
      <c r="S603" s="260" t="s">
        <v>1976</v>
      </c>
      <c r="T603" s="260"/>
      <c r="U603" s="260"/>
      <c r="V603" s="260"/>
      <c r="W603" s="260"/>
      <c r="X603" s="260"/>
      <c r="Y603" s="565"/>
      <c r="Z603" s="565"/>
      <c r="AA603" s="566">
        <f t="shared" si="45"/>
        <v>0</v>
      </c>
      <c r="AB603" s="699"/>
    </row>
    <row r="604" spans="1:28" ht="15.75" customHeight="1" x14ac:dyDescent="0.3">
      <c r="A604" s="96" t="s">
        <v>2970</v>
      </c>
      <c r="C604" s="81">
        <v>43790</v>
      </c>
      <c r="D604" s="109">
        <v>43847</v>
      </c>
      <c r="E604" s="560"/>
      <c r="F604" s="86" t="s">
        <v>2971</v>
      </c>
      <c r="G604" s="86" t="s">
        <v>158</v>
      </c>
      <c r="H604" s="79" t="s">
        <v>213</v>
      </c>
      <c r="I604" s="97" t="s">
        <v>604</v>
      </c>
      <c r="J604" s="73">
        <f t="shared" si="48"/>
        <v>1</v>
      </c>
      <c r="K604" s="74" t="s">
        <v>204</v>
      </c>
      <c r="L604" s="97" t="s">
        <v>3235</v>
      </c>
      <c r="N604" s="76" t="s">
        <v>18</v>
      </c>
      <c r="Q604" s="76" t="s">
        <v>2037</v>
      </c>
      <c r="R604" s="73">
        <f t="shared" si="49"/>
        <v>1</v>
      </c>
      <c r="S604" s="260" t="s">
        <v>1976</v>
      </c>
      <c r="T604" s="260"/>
      <c r="U604" s="260"/>
      <c r="V604" s="260"/>
      <c r="W604" s="260"/>
      <c r="X604" s="260"/>
      <c r="Y604" s="565"/>
      <c r="Z604" s="565"/>
      <c r="AA604" s="566">
        <f t="shared" si="45"/>
        <v>0</v>
      </c>
      <c r="AB604" s="699"/>
    </row>
    <row r="605" spans="1:28" ht="15.75" customHeight="1" x14ac:dyDescent="0.3">
      <c r="A605" s="79" t="s">
        <v>2972</v>
      </c>
      <c r="C605" s="81">
        <v>43796</v>
      </c>
      <c r="D605" s="109">
        <v>43839</v>
      </c>
      <c r="E605" s="560"/>
      <c r="F605" s="86" t="s">
        <v>2973</v>
      </c>
      <c r="G605" s="86" t="s">
        <v>156</v>
      </c>
      <c r="H605" s="79" t="s">
        <v>213</v>
      </c>
      <c r="I605" s="97" t="s">
        <v>2479</v>
      </c>
      <c r="J605" s="73">
        <f t="shared" si="48"/>
        <v>1</v>
      </c>
      <c r="K605" s="74" t="s">
        <v>204</v>
      </c>
      <c r="Q605" s="76" t="s">
        <v>2037</v>
      </c>
      <c r="R605" s="73">
        <f t="shared" si="49"/>
        <v>1</v>
      </c>
      <c r="S605" s="260" t="s">
        <v>1976</v>
      </c>
      <c r="T605" s="260"/>
      <c r="U605" s="260"/>
      <c r="V605" s="260"/>
      <c r="W605" s="260"/>
      <c r="X605" s="260"/>
      <c r="Y605" s="565"/>
      <c r="Z605" s="565"/>
      <c r="AA605" s="566">
        <f t="shared" si="45"/>
        <v>0</v>
      </c>
      <c r="AB605" s="699"/>
    </row>
    <row r="606" spans="1:28" ht="15.75" customHeight="1" x14ac:dyDescent="0.3">
      <c r="A606" s="79" t="s">
        <v>2974</v>
      </c>
      <c r="C606" s="81">
        <v>43796</v>
      </c>
      <c r="D606" s="109">
        <v>43839</v>
      </c>
      <c r="E606" s="560"/>
      <c r="F606" s="86" t="s">
        <v>2975</v>
      </c>
      <c r="G606" s="86" t="s">
        <v>152</v>
      </c>
      <c r="H606" s="79" t="s">
        <v>213</v>
      </c>
      <c r="J606" s="73">
        <f t="shared" si="48"/>
        <v>1</v>
      </c>
      <c r="K606" s="74" t="s">
        <v>204</v>
      </c>
      <c r="Q606" s="76" t="s">
        <v>2037</v>
      </c>
      <c r="R606" s="73">
        <f t="shared" si="49"/>
        <v>1</v>
      </c>
      <c r="S606" s="260" t="s">
        <v>1976</v>
      </c>
      <c r="T606" s="260"/>
      <c r="U606" s="260"/>
      <c r="V606" s="260"/>
      <c r="W606" s="260"/>
      <c r="X606" s="260"/>
      <c r="Y606" s="565"/>
      <c r="Z606" s="565"/>
      <c r="AA606" s="566">
        <f t="shared" si="45"/>
        <v>0</v>
      </c>
      <c r="AB606" s="699"/>
    </row>
    <row r="607" spans="1:28" ht="15.75" customHeight="1" x14ac:dyDescent="0.3">
      <c r="A607" s="79" t="s">
        <v>2976</v>
      </c>
      <c r="C607" s="81">
        <v>43797</v>
      </c>
      <c r="D607" s="109">
        <v>43840</v>
      </c>
      <c r="E607" s="560"/>
      <c r="F607" s="86" t="s">
        <v>2977</v>
      </c>
      <c r="G607" s="86" t="s">
        <v>181</v>
      </c>
      <c r="H607" s="79" t="s">
        <v>213</v>
      </c>
      <c r="J607" s="73">
        <f t="shared" si="48"/>
        <v>1</v>
      </c>
      <c r="K607" s="74" t="s">
        <v>204</v>
      </c>
      <c r="Q607" s="301" t="s">
        <v>2037</v>
      </c>
      <c r="R607" s="73">
        <f t="shared" si="49"/>
        <v>1</v>
      </c>
      <c r="S607" s="260" t="s">
        <v>1976</v>
      </c>
      <c r="T607" s="260"/>
      <c r="U607" s="260"/>
      <c r="V607" s="260"/>
      <c r="W607" s="260"/>
      <c r="X607" s="260"/>
      <c r="Y607" s="565"/>
      <c r="Z607" s="565"/>
      <c r="AA607" s="566">
        <f t="shared" si="45"/>
        <v>0</v>
      </c>
      <c r="AB607" s="699"/>
    </row>
    <row r="608" spans="1:28" ht="15.75" customHeight="1" x14ac:dyDescent="0.3">
      <c r="A608" s="79" t="s">
        <v>2749</v>
      </c>
      <c r="C608" s="81">
        <v>43802</v>
      </c>
      <c r="D608" s="109">
        <v>43845</v>
      </c>
      <c r="E608" s="560"/>
      <c r="F608" s="86" t="s">
        <v>2774</v>
      </c>
      <c r="G608" s="86" t="s">
        <v>150</v>
      </c>
      <c r="H608" s="79" t="s">
        <v>213</v>
      </c>
      <c r="I608" s="97" t="s">
        <v>714</v>
      </c>
      <c r="J608" s="73">
        <f t="shared" si="48"/>
        <v>1</v>
      </c>
      <c r="K608" s="74" t="s">
        <v>204</v>
      </c>
      <c r="L608" s="97" t="s">
        <v>3196</v>
      </c>
      <c r="N608" s="76" t="s">
        <v>18</v>
      </c>
      <c r="Q608" s="76" t="s">
        <v>2037</v>
      </c>
      <c r="R608" s="73">
        <f t="shared" si="49"/>
        <v>1</v>
      </c>
      <c r="S608" s="260" t="s">
        <v>1976</v>
      </c>
      <c r="T608" s="260"/>
      <c r="U608" s="260"/>
      <c r="V608" s="260"/>
      <c r="W608" s="260"/>
      <c r="X608" s="260"/>
      <c r="Y608" s="565"/>
      <c r="Z608" s="565"/>
      <c r="AA608" s="566">
        <f t="shared" si="45"/>
        <v>0</v>
      </c>
      <c r="AB608" s="699"/>
    </row>
    <row r="609" spans="1:28" ht="15.75" customHeight="1" x14ac:dyDescent="0.3">
      <c r="A609" s="79" t="s">
        <v>2750</v>
      </c>
      <c r="C609" s="81">
        <v>43802</v>
      </c>
      <c r="D609" s="109">
        <v>43845</v>
      </c>
      <c r="E609" s="560"/>
      <c r="F609" s="86" t="s">
        <v>2775</v>
      </c>
      <c r="G609" s="86" t="s">
        <v>152</v>
      </c>
      <c r="H609" s="79" t="s">
        <v>213</v>
      </c>
      <c r="J609" s="73">
        <f t="shared" si="48"/>
        <v>1</v>
      </c>
      <c r="K609" s="74" t="s">
        <v>204</v>
      </c>
      <c r="L609" s="97" t="s">
        <v>3197</v>
      </c>
      <c r="N609" s="76" t="s">
        <v>17</v>
      </c>
      <c r="Q609" s="76" t="s">
        <v>2037</v>
      </c>
      <c r="R609" s="73">
        <f t="shared" si="49"/>
        <v>1</v>
      </c>
      <c r="S609" s="260" t="s">
        <v>1976</v>
      </c>
      <c r="T609" s="260"/>
      <c r="U609" s="260"/>
      <c r="V609" s="260"/>
      <c r="W609" s="260"/>
      <c r="X609" s="260"/>
      <c r="Y609" s="565"/>
      <c r="Z609" s="565"/>
      <c r="AA609" s="566">
        <f t="shared" si="45"/>
        <v>0</v>
      </c>
      <c r="AB609" s="699"/>
    </row>
    <row r="610" spans="1:28" ht="15.75" customHeight="1" x14ac:dyDescent="0.3">
      <c r="A610" s="79" t="s">
        <v>2751</v>
      </c>
      <c r="C610" s="81">
        <v>43802</v>
      </c>
      <c r="D610" s="109">
        <v>43845</v>
      </c>
      <c r="E610" s="560"/>
      <c r="F610" s="86" t="s">
        <v>2776</v>
      </c>
      <c r="G610" s="86" t="s">
        <v>147</v>
      </c>
      <c r="H610" s="79" t="s">
        <v>213</v>
      </c>
      <c r="I610" s="97" t="s">
        <v>645</v>
      </c>
      <c r="J610" s="73">
        <f t="shared" si="48"/>
        <v>1</v>
      </c>
      <c r="K610" s="74" t="s">
        <v>204</v>
      </c>
      <c r="L610" s="97" t="s">
        <v>3198</v>
      </c>
      <c r="N610" s="76" t="s">
        <v>17</v>
      </c>
      <c r="Q610" s="76" t="s">
        <v>2037</v>
      </c>
      <c r="R610" s="73">
        <f t="shared" si="49"/>
        <v>1</v>
      </c>
      <c r="S610" s="260" t="s">
        <v>1976</v>
      </c>
      <c r="T610" s="260"/>
      <c r="U610" s="260"/>
      <c r="V610" s="260"/>
      <c r="W610" s="260"/>
      <c r="X610" s="260"/>
      <c r="Y610" s="565"/>
      <c r="Z610" s="565"/>
      <c r="AA610" s="566">
        <f t="shared" si="45"/>
        <v>0</v>
      </c>
      <c r="AB610" s="699"/>
    </row>
    <row r="611" spans="1:28" ht="15.75" customHeight="1" x14ac:dyDescent="0.3">
      <c r="A611" s="96" t="s">
        <v>2978</v>
      </c>
      <c r="C611" s="81">
        <v>43803</v>
      </c>
      <c r="D611" s="109">
        <v>43847</v>
      </c>
      <c r="E611" s="560"/>
      <c r="F611" s="86" t="s">
        <v>2979</v>
      </c>
      <c r="G611" s="86" t="s">
        <v>189</v>
      </c>
      <c r="H611" s="79" t="s">
        <v>213</v>
      </c>
      <c r="I611" s="97" t="s">
        <v>714</v>
      </c>
      <c r="J611" s="73">
        <f t="shared" si="48"/>
        <v>1</v>
      </c>
      <c r="K611" s="74" t="s">
        <v>204</v>
      </c>
      <c r="N611" s="76" t="s">
        <v>18</v>
      </c>
      <c r="Q611" s="76" t="s">
        <v>2037</v>
      </c>
      <c r="R611" s="73">
        <f t="shared" si="49"/>
        <v>1</v>
      </c>
      <c r="S611" s="260" t="s">
        <v>1976</v>
      </c>
      <c r="T611" s="260"/>
      <c r="U611" s="260"/>
      <c r="V611" s="260"/>
      <c r="W611" s="260"/>
      <c r="X611" s="260"/>
      <c r="Y611" s="565"/>
      <c r="Z611" s="565"/>
      <c r="AA611" s="566">
        <f t="shared" si="45"/>
        <v>0</v>
      </c>
      <c r="AB611" s="699"/>
    </row>
    <row r="612" spans="1:28" ht="15.75" customHeight="1" x14ac:dyDescent="0.3">
      <c r="A612" s="96" t="s">
        <v>2980</v>
      </c>
      <c r="C612" s="81">
        <v>43803</v>
      </c>
      <c r="D612" s="109">
        <v>43847</v>
      </c>
      <c r="E612" s="560"/>
      <c r="F612" s="86" t="s">
        <v>2981</v>
      </c>
      <c r="G612" s="86" t="s">
        <v>147</v>
      </c>
      <c r="H612" s="79" t="s">
        <v>213</v>
      </c>
      <c r="J612" s="73">
        <f t="shared" si="48"/>
        <v>1</v>
      </c>
      <c r="K612" s="74" t="s">
        <v>204</v>
      </c>
      <c r="N612" s="76" t="s">
        <v>18</v>
      </c>
      <c r="Q612" s="76" t="s">
        <v>2037</v>
      </c>
      <c r="R612" s="73">
        <f t="shared" si="49"/>
        <v>1</v>
      </c>
      <c r="S612" s="260" t="s">
        <v>1976</v>
      </c>
      <c r="T612" s="260"/>
      <c r="U612" s="260"/>
      <c r="V612" s="260"/>
      <c r="W612" s="260"/>
      <c r="X612" s="260"/>
      <c r="Y612" s="565"/>
      <c r="Z612" s="565"/>
      <c r="AA612" s="566">
        <f t="shared" si="45"/>
        <v>0</v>
      </c>
      <c r="AB612" s="699"/>
    </row>
    <row r="613" spans="1:28" ht="15.75" customHeight="1" x14ac:dyDescent="0.3">
      <c r="A613" s="96" t="s">
        <v>2753</v>
      </c>
      <c r="C613" s="81">
        <v>43803</v>
      </c>
      <c r="D613" s="109">
        <v>43846</v>
      </c>
      <c r="E613" s="560"/>
      <c r="F613" s="86" t="s">
        <v>2778</v>
      </c>
      <c r="G613" s="86" t="s">
        <v>152</v>
      </c>
      <c r="H613" s="79" t="s">
        <v>213</v>
      </c>
      <c r="I613" s="97" t="s">
        <v>642</v>
      </c>
      <c r="J613" s="73">
        <f t="shared" si="48"/>
        <v>1</v>
      </c>
      <c r="K613" s="74" t="s">
        <v>204</v>
      </c>
      <c r="N613" s="76" t="s">
        <v>18</v>
      </c>
      <c r="Q613" s="76" t="s">
        <v>2037</v>
      </c>
      <c r="R613" s="73">
        <f t="shared" si="49"/>
        <v>1</v>
      </c>
      <c r="S613" s="260" t="s">
        <v>1976</v>
      </c>
      <c r="T613" s="260"/>
      <c r="U613" s="260"/>
      <c r="V613" s="260"/>
      <c r="W613" s="260"/>
      <c r="X613" s="260"/>
      <c r="Y613" s="565"/>
      <c r="Z613" s="565"/>
      <c r="AA613" s="566">
        <f t="shared" si="45"/>
        <v>0</v>
      </c>
      <c r="AB613" s="699"/>
    </row>
    <row r="614" spans="1:28" ht="15.75" customHeight="1" x14ac:dyDescent="0.3">
      <c r="A614" s="96" t="s">
        <v>2755</v>
      </c>
      <c r="C614" s="81">
        <v>43803</v>
      </c>
      <c r="D614" s="109">
        <v>43846</v>
      </c>
      <c r="E614" s="560"/>
      <c r="F614" s="86" t="s">
        <v>2780</v>
      </c>
      <c r="G614" s="86" t="s">
        <v>172</v>
      </c>
      <c r="H614" s="79" t="s">
        <v>213</v>
      </c>
      <c r="I614" s="97" t="s">
        <v>642</v>
      </c>
      <c r="J614" s="73">
        <f t="shared" si="48"/>
        <v>1</v>
      </c>
      <c r="K614" s="74" t="s">
        <v>204</v>
      </c>
      <c r="L614" s="97" t="s">
        <v>3216</v>
      </c>
      <c r="N614" s="76" t="s">
        <v>18</v>
      </c>
      <c r="Q614" s="76" t="s">
        <v>2037</v>
      </c>
      <c r="R614" s="73">
        <f t="shared" si="49"/>
        <v>1</v>
      </c>
      <c r="S614" s="260" t="s">
        <v>1976</v>
      </c>
      <c r="T614" s="260"/>
      <c r="U614" s="260"/>
      <c r="V614" s="260"/>
      <c r="W614" s="260"/>
      <c r="X614" s="260"/>
      <c r="Y614" s="565"/>
      <c r="Z614" s="565"/>
      <c r="AA614" s="566">
        <f t="shared" si="45"/>
        <v>0</v>
      </c>
      <c r="AB614" s="699"/>
    </row>
    <row r="615" spans="1:28" ht="15.75" customHeight="1" x14ac:dyDescent="0.3">
      <c r="A615" s="79" t="s">
        <v>2986</v>
      </c>
      <c r="C615" s="81">
        <v>43810</v>
      </c>
      <c r="D615" s="109">
        <v>43839</v>
      </c>
      <c r="E615" s="560"/>
      <c r="F615" s="86" t="s">
        <v>2987</v>
      </c>
      <c r="G615" s="86" t="s">
        <v>156</v>
      </c>
      <c r="H615" s="79" t="s">
        <v>213</v>
      </c>
      <c r="J615" s="73">
        <f t="shared" si="48"/>
        <v>1</v>
      </c>
      <c r="K615" s="74" t="s">
        <v>204</v>
      </c>
      <c r="Q615" s="76" t="s">
        <v>2037</v>
      </c>
      <c r="R615" s="73">
        <f t="shared" si="49"/>
        <v>1</v>
      </c>
      <c r="S615" s="260" t="s">
        <v>1976</v>
      </c>
      <c r="T615" s="260"/>
      <c r="U615" s="260"/>
      <c r="V615" s="260"/>
      <c r="W615" s="260"/>
      <c r="X615" s="260"/>
      <c r="Y615" s="565"/>
      <c r="Z615" s="565"/>
      <c r="AA615" s="566">
        <f t="shared" si="45"/>
        <v>0</v>
      </c>
      <c r="AB615" s="699"/>
    </row>
    <row r="616" spans="1:28" ht="15.75" customHeight="1" x14ac:dyDescent="0.3">
      <c r="A616" s="79" t="s">
        <v>2988</v>
      </c>
      <c r="C616" s="81">
        <v>43810</v>
      </c>
      <c r="D616" s="109">
        <v>43839</v>
      </c>
      <c r="E616" s="560"/>
      <c r="F616" s="86" t="s">
        <v>2989</v>
      </c>
      <c r="G616" s="86" t="s">
        <v>164</v>
      </c>
      <c r="H616" s="79" t="s">
        <v>213</v>
      </c>
      <c r="J616" s="73">
        <f t="shared" si="48"/>
        <v>1</v>
      </c>
      <c r="K616" s="74" t="s">
        <v>204</v>
      </c>
      <c r="Q616" s="76" t="s">
        <v>2037</v>
      </c>
      <c r="R616" s="73">
        <f t="shared" si="49"/>
        <v>1</v>
      </c>
      <c r="S616" s="260" t="s">
        <v>1976</v>
      </c>
      <c r="T616" s="260"/>
      <c r="U616" s="260"/>
      <c r="V616" s="260"/>
      <c r="W616" s="260"/>
      <c r="X616" s="260"/>
      <c r="Y616" s="565"/>
      <c r="Z616" s="565"/>
      <c r="AA616" s="566">
        <f t="shared" si="45"/>
        <v>0</v>
      </c>
      <c r="AB616" s="699"/>
    </row>
    <row r="617" spans="1:28" ht="15.75" customHeight="1" x14ac:dyDescent="0.3">
      <c r="A617" s="79" t="s">
        <v>2990</v>
      </c>
      <c r="C617" s="81">
        <v>43810</v>
      </c>
      <c r="D617" s="109">
        <v>43839</v>
      </c>
      <c r="E617" s="560"/>
      <c r="F617" s="86" t="s">
        <v>2991</v>
      </c>
      <c r="G617" s="86" t="s">
        <v>172</v>
      </c>
      <c r="H617" s="79" t="s">
        <v>213</v>
      </c>
      <c r="J617" s="73">
        <f t="shared" si="48"/>
        <v>1</v>
      </c>
      <c r="K617" s="74" t="s">
        <v>204</v>
      </c>
      <c r="Q617" s="76" t="s">
        <v>2037</v>
      </c>
      <c r="R617" s="73">
        <f t="shared" si="49"/>
        <v>1</v>
      </c>
      <c r="S617" s="260" t="s">
        <v>1976</v>
      </c>
      <c r="T617" s="260"/>
      <c r="U617" s="260"/>
      <c r="V617" s="260"/>
      <c r="W617" s="260"/>
      <c r="X617" s="260"/>
      <c r="Y617" s="565"/>
      <c r="Z617" s="565"/>
      <c r="AA617" s="566">
        <f t="shared" si="45"/>
        <v>0</v>
      </c>
      <c r="AB617" s="699"/>
    </row>
    <row r="618" spans="1:28" ht="15.75" customHeight="1" x14ac:dyDescent="0.3">
      <c r="A618" s="79" t="s">
        <v>2994</v>
      </c>
      <c r="C618" s="81">
        <v>43811</v>
      </c>
      <c r="D618" s="109">
        <v>43840</v>
      </c>
      <c r="E618" s="560"/>
      <c r="F618" s="86" t="s">
        <v>2995</v>
      </c>
      <c r="G618" s="86" t="s">
        <v>147</v>
      </c>
      <c r="H618" s="79" t="s">
        <v>268</v>
      </c>
      <c r="J618" s="73">
        <f t="shared" si="48"/>
        <v>1</v>
      </c>
      <c r="K618" s="74" t="s">
        <v>204</v>
      </c>
      <c r="Q618" s="76" t="s">
        <v>2037</v>
      </c>
      <c r="R618" s="73">
        <f t="shared" si="49"/>
        <v>1</v>
      </c>
      <c r="S618" s="260" t="s">
        <v>1976</v>
      </c>
      <c r="T618" s="260"/>
      <c r="U618" s="260"/>
      <c r="V618" s="260"/>
      <c r="W618" s="260"/>
      <c r="X618" s="260"/>
      <c r="Y618" s="565"/>
      <c r="Z618" s="565"/>
      <c r="AA618" s="566">
        <f t="shared" si="45"/>
        <v>0</v>
      </c>
      <c r="AB618" s="699"/>
    </row>
    <row r="619" spans="1:28" ht="15.75" customHeight="1" x14ac:dyDescent="0.3">
      <c r="A619" s="79" t="s">
        <v>3002</v>
      </c>
      <c r="C619" s="81">
        <v>43812</v>
      </c>
      <c r="D619" s="109">
        <v>43843</v>
      </c>
      <c r="E619" s="560"/>
      <c r="F619" s="86" t="s">
        <v>3003</v>
      </c>
      <c r="G619" s="86" t="s">
        <v>156</v>
      </c>
      <c r="H619" s="79" t="s">
        <v>213</v>
      </c>
      <c r="J619" s="73">
        <f t="shared" si="48"/>
        <v>1</v>
      </c>
      <c r="K619" s="74" t="s">
        <v>204</v>
      </c>
      <c r="L619" s="97" t="s">
        <v>3188</v>
      </c>
      <c r="N619" s="76" t="s">
        <v>18</v>
      </c>
      <c r="Q619" s="76" t="s">
        <v>2037</v>
      </c>
      <c r="R619" s="73">
        <f t="shared" si="49"/>
        <v>1</v>
      </c>
      <c r="S619" s="260" t="s">
        <v>1976</v>
      </c>
      <c r="T619" s="260"/>
      <c r="U619" s="260"/>
      <c r="V619" s="260"/>
      <c r="W619" s="260"/>
      <c r="X619" s="260"/>
      <c r="Y619" s="565"/>
      <c r="Z619" s="565"/>
      <c r="AA619" s="566">
        <f t="shared" si="45"/>
        <v>0</v>
      </c>
      <c r="AB619" s="699"/>
    </row>
    <row r="620" spans="1:28" ht="15.75" customHeight="1" x14ac:dyDescent="0.3">
      <c r="A620" s="79" t="s">
        <v>3008</v>
      </c>
      <c r="C620" s="81">
        <v>43815</v>
      </c>
      <c r="D620" s="109">
        <v>43844</v>
      </c>
      <c r="E620" s="560"/>
      <c r="F620" s="86" t="s">
        <v>3009</v>
      </c>
      <c r="G620" s="86" t="s">
        <v>158</v>
      </c>
      <c r="H620" s="79" t="s">
        <v>213</v>
      </c>
      <c r="I620" s="97" t="s">
        <v>972</v>
      </c>
      <c r="J620" s="73">
        <f t="shared" si="48"/>
        <v>1</v>
      </c>
      <c r="K620" s="74" t="s">
        <v>204</v>
      </c>
      <c r="Q620" s="76" t="s">
        <v>2037</v>
      </c>
      <c r="R620" s="73">
        <f t="shared" si="49"/>
        <v>1</v>
      </c>
      <c r="S620" s="260" t="s">
        <v>1976</v>
      </c>
      <c r="T620" s="260"/>
      <c r="U620" s="260"/>
      <c r="V620" s="260"/>
      <c r="W620" s="260"/>
      <c r="X620" s="260"/>
      <c r="Y620" s="565"/>
      <c r="Z620" s="565"/>
      <c r="AA620" s="566">
        <f t="shared" si="45"/>
        <v>0</v>
      </c>
      <c r="AB620" s="699"/>
    </row>
    <row r="621" spans="1:28" ht="15.75" customHeight="1" x14ac:dyDescent="0.3">
      <c r="A621" s="96" t="s">
        <v>3015</v>
      </c>
      <c r="C621" s="81">
        <v>43816</v>
      </c>
      <c r="D621" s="109">
        <v>43845</v>
      </c>
      <c r="E621" s="560"/>
      <c r="F621" s="86" t="s">
        <v>3016</v>
      </c>
      <c r="G621" s="86" t="s">
        <v>154</v>
      </c>
      <c r="H621" s="79" t="s">
        <v>213</v>
      </c>
      <c r="I621" s="97" t="s">
        <v>4751</v>
      </c>
      <c r="J621" s="73">
        <f t="shared" si="48"/>
        <v>1</v>
      </c>
      <c r="K621" s="74" t="s">
        <v>204</v>
      </c>
      <c r="L621" s="97" t="s">
        <v>7877</v>
      </c>
      <c r="Q621" s="76" t="s">
        <v>2037</v>
      </c>
      <c r="R621" s="73">
        <f t="shared" si="49"/>
        <v>1</v>
      </c>
      <c r="S621" s="260" t="s">
        <v>1976</v>
      </c>
      <c r="T621" s="260"/>
      <c r="U621" s="260"/>
      <c r="V621" s="260"/>
      <c r="W621" s="260"/>
      <c r="X621" s="260"/>
      <c r="Y621" s="565"/>
      <c r="Z621" s="565"/>
      <c r="AA621" s="566">
        <f t="shared" si="45"/>
        <v>0</v>
      </c>
      <c r="AB621" s="699"/>
    </row>
    <row r="622" spans="1:28" ht="15.75" customHeight="1" x14ac:dyDescent="0.3">
      <c r="A622" s="79" t="s">
        <v>3017</v>
      </c>
      <c r="C622" s="81">
        <v>43816</v>
      </c>
      <c r="D622" s="109">
        <v>43845</v>
      </c>
      <c r="E622" s="560"/>
      <c r="F622" s="86" t="s">
        <v>3018</v>
      </c>
      <c r="G622" s="86" t="s">
        <v>147</v>
      </c>
      <c r="H622" s="79" t="s">
        <v>213</v>
      </c>
      <c r="I622" s="97" t="s">
        <v>854</v>
      </c>
      <c r="J622" s="73">
        <f t="shared" si="48"/>
        <v>1</v>
      </c>
      <c r="K622" s="74" t="s">
        <v>204</v>
      </c>
      <c r="L622" s="97" t="s">
        <v>3202</v>
      </c>
      <c r="N622" s="76" t="s">
        <v>18</v>
      </c>
      <c r="Q622" s="76" t="s">
        <v>2037</v>
      </c>
      <c r="R622" s="73">
        <f t="shared" si="49"/>
        <v>1</v>
      </c>
      <c r="S622" s="260" t="s">
        <v>1976</v>
      </c>
      <c r="T622" s="260"/>
      <c r="U622" s="260"/>
      <c r="V622" s="260"/>
      <c r="W622" s="260"/>
      <c r="X622" s="260"/>
      <c r="Y622" s="565"/>
      <c r="Z622" s="565"/>
      <c r="AA622" s="566">
        <f t="shared" si="45"/>
        <v>0</v>
      </c>
      <c r="AB622" s="699"/>
    </row>
    <row r="623" spans="1:28" ht="15.75" customHeight="1" x14ac:dyDescent="0.3">
      <c r="A623" s="96" t="s">
        <v>3021</v>
      </c>
      <c r="C623" s="81">
        <v>43816</v>
      </c>
      <c r="D623" s="109">
        <v>43845</v>
      </c>
      <c r="E623" s="560"/>
      <c r="F623" s="86" t="s">
        <v>3022</v>
      </c>
      <c r="G623" s="86" t="s">
        <v>152</v>
      </c>
      <c r="H623" s="79" t="s">
        <v>213</v>
      </c>
      <c r="I623" s="97" t="s">
        <v>1284</v>
      </c>
      <c r="J623" s="73">
        <f t="shared" si="48"/>
        <v>1</v>
      </c>
      <c r="K623" s="74" t="s">
        <v>204</v>
      </c>
      <c r="L623" s="97" t="s">
        <v>3201</v>
      </c>
      <c r="N623" s="76" t="s">
        <v>19</v>
      </c>
      <c r="Q623" s="76" t="s">
        <v>2037</v>
      </c>
      <c r="R623" s="73">
        <f t="shared" si="49"/>
        <v>1</v>
      </c>
      <c r="S623" s="260" t="s">
        <v>1976</v>
      </c>
      <c r="T623" s="260"/>
      <c r="U623" s="260"/>
      <c r="V623" s="260"/>
      <c r="W623" s="260"/>
      <c r="X623" s="260"/>
      <c r="Y623" s="565"/>
      <c r="Z623" s="565"/>
      <c r="AA623" s="566">
        <f t="shared" si="45"/>
        <v>0</v>
      </c>
      <c r="AB623" s="699"/>
    </row>
    <row r="624" spans="1:28" ht="15.75" customHeight="1" x14ac:dyDescent="0.3">
      <c r="A624" s="96" t="s">
        <v>3023</v>
      </c>
      <c r="C624" s="81">
        <v>43817</v>
      </c>
      <c r="D624" s="109">
        <v>43846</v>
      </c>
      <c r="E624" s="560"/>
      <c r="F624" s="86" t="s">
        <v>3024</v>
      </c>
      <c r="G624" s="86" t="s">
        <v>156</v>
      </c>
      <c r="H624" s="79" t="s">
        <v>213</v>
      </c>
      <c r="I624" s="97" t="s">
        <v>3217</v>
      </c>
      <c r="J624" s="73">
        <f t="shared" si="48"/>
        <v>1</v>
      </c>
      <c r="K624" s="74" t="s">
        <v>204</v>
      </c>
      <c r="L624" s="97" t="s">
        <v>3218</v>
      </c>
      <c r="N624" s="76" t="s">
        <v>19</v>
      </c>
      <c r="Q624" s="301" t="s">
        <v>2037</v>
      </c>
      <c r="R624" s="73">
        <f t="shared" si="49"/>
        <v>1</v>
      </c>
      <c r="S624" s="260" t="s">
        <v>1976</v>
      </c>
      <c r="T624" s="260"/>
      <c r="U624" s="260"/>
      <c r="V624" s="260"/>
      <c r="W624" s="260"/>
      <c r="X624" s="260"/>
      <c r="Y624" s="565"/>
      <c r="Z624" s="565"/>
      <c r="AA624" s="566">
        <f t="shared" si="45"/>
        <v>0</v>
      </c>
      <c r="AB624" s="699"/>
    </row>
    <row r="625" spans="1:28" ht="15.75" customHeight="1" x14ac:dyDescent="0.3">
      <c r="A625" s="96" t="s">
        <v>3027</v>
      </c>
      <c r="C625" s="81">
        <v>43817</v>
      </c>
      <c r="D625" s="109">
        <v>43846</v>
      </c>
      <c r="E625" s="560"/>
      <c r="F625" s="86" t="s">
        <v>3028</v>
      </c>
      <c r="G625" s="86" t="s">
        <v>179</v>
      </c>
      <c r="H625" s="79" t="s">
        <v>213</v>
      </c>
      <c r="I625" s="97" t="s">
        <v>649</v>
      </c>
      <c r="J625" s="73">
        <f t="shared" si="48"/>
        <v>1</v>
      </c>
      <c r="K625" s="74" t="s">
        <v>204</v>
      </c>
      <c r="L625" s="97" t="s">
        <v>3219</v>
      </c>
      <c r="N625" s="76" t="s">
        <v>17</v>
      </c>
      <c r="Q625" s="76" t="s">
        <v>2037</v>
      </c>
      <c r="R625" s="73">
        <f t="shared" si="49"/>
        <v>1</v>
      </c>
      <c r="S625" s="260" t="s">
        <v>1976</v>
      </c>
      <c r="T625" s="260"/>
      <c r="U625" s="260"/>
      <c r="V625" s="260"/>
      <c r="W625" s="260"/>
      <c r="X625" s="260"/>
      <c r="Y625" s="565"/>
      <c r="Z625" s="565"/>
      <c r="AA625" s="566">
        <f t="shared" si="45"/>
        <v>0</v>
      </c>
      <c r="AB625" s="699"/>
    </row>
    <row r="626" spans="1:28" ht="15.75" customHeight="1" x14ac:dyDescent="0.3">
      <c r="A626" s="79" t="s">
        <v>3029</v>
      </c>
      <c r="C626" s="81">
        <v>43817</v>
      </c>
      <c r="D626" s="109">
        <v>43846</v>
      </c>
      <c r="E626" s="560"/>
      <c r="F626" s="86" t="s">
        <v>3030</v>
      </c>
      <c r="G626" s="86" t="s">
        <v>152</v>
      </c>
      <c r="H626" s="79" t="s">
        <v>213</v>
      </c>
      <c r="I626" s="97" t="s">
        <v>1113</v>
      </c>
      <c r="J626" s="73">
        <f t="shared" si="48"/>
        <v>1</v>
      </c>
      <c r="K626" s="74" t="s">
        <v>204</v>
      </c>
      <c r="N626" s="76" t="s">
        <v>18</v>
      </c>
      <c r="Q626" s="76" t="s">
        <v>2037</v>
      </c>
      <c r="R626" s="73">
        <f t="shared" si="49"/>
        <v>1</v>
      </c>
      <c r="S626" s="260" t="s">
        <v>1976</v>
      </c>
      <c r="T626" s="260"/>
      <c r="U626" s="260"/>
      <c r="V626" s="260"/>
      <c r="W626" s="260"/>
      <c r="X626" s="260"/>
      <c r="Y626" s="565"/>
      <c r="Z626" s="565"/>
      <c r="AA626" s="566">
        <f t="shared" ref="AA626:AA685" si="50">Z626-Y626</f>
        <v>0</v>
      </c>
      <c r="AB626" s="699"/>
    </row>
    <row r="627" spans="1:28" ht="15.75" customHeight="1" x14ac:dyDescent="0.3">
      <c r="A627" s="96" t="s">
        <v>3061</v>
      </c>
      <c r="C627" s="81">
        <v>43809</v>
      </c>
      <c r="D627" s="109">
        <v>43839</v>
      </c>
      <c r="E627" s="560"/>
      <c r="F627" s="97" t="s">
        <v>3062</v>
      </c>
      <c r="G627" s="97" t="s">
        <v>150</v>
      </c>
      <c r="H627" s="96" t="s">
        <v>213</v>
      </c>
      <c r="J627" s="73">
        <f t="shared" si="48"/>
        <v>1</v>
      </c>
      <c r="K627" s="74" t="s">
        <v>204</v>
      </c>
      <c r="Q627" s="301" t="s">
        <v>2383</v>
      </c>
      <c r="R627" s="73">
        <f t="shared" si="49"/>
        <v>1</v>
      </c>
      <c r="S627" s="260" t="s">
        <v>1976</v>
      </c>
      <c r="T627" s="260"/>
      <c r="U627" s="260"/>
      <c r="V627" s="260"/>
      <c r="W627" s="260"/>
      <c r="X627" s="260"/>
      <c r="Y627" s="565"/>
      <c r="Z627" s="565"/>
      <c r="AA627" s="566">
        <f t="shared" si="50"/>
        <v>0</v>
      </c>
      <c r="AB627" s="699"/>
    </row>
    <row r="628" spans="1:28" ht="15.75" customHeight="1" x14ac:dyDescent="0.3">
      <c r="A628" s="96" t="s">
        <v>3063</v>
      </c>
      <c r="C628" s="81">
        <v>43809</v>
      </c>
      <c r="D628" s="109">
        <v>43839</v>
      </c>
      <c r="E628" s="560"/>
      <c r="F628" s="97" t="s">
        <v>3064</v>
      </c>
      <c r="G628" s="97" t="s">
        <v>158</v>
      </c>
      <c r="H628" s="96" t="s">
        <v>213</v>
      </c>
      <c r="J628" s="73">
        <f t="shared" si="48"/>
        <v>1</v>
      </c>
      <c r="K628" s="74" t="s">
        <v>204</v>
      </c>
      <c r="Q628" s="76" t="s">
        <v>2383</v>
      </c>
      <c r="R628" s="73">
        <f t="shared" si="49"/>
        <v>1</v>
      </c>
      <c r="S628" s="260" t="s">
        <v>1976</v>
      </c>
      <c r="T628" s="260"/>
      <c r="U628" s="260"/>
      <c r="V628" s="260"/>
      <c r="W628" s="260"/>
      <c r="X628" s="260"/>
      <c r="Y628" s="565"/>
      <c r="Z628" s="565"/>
      <c r="AA628" s="566">
        <f t="shared" si="50"/>
        <v>0</v>
      </c>
      <c r="AB628" s="699"/>
    </row>
    <row r="629" spans="1:28" ht="15.75" customHeight="1" x14ac:dyDescent="0.3">
      <c r="A629" s="96" t="s">
        <v>3065</v>
      </c>
      <c r="C629" s="81">
        <v>43809</v>
      </c>
      <c r="D629" s="109">
        <v>43839</v>
      </c>
      <c r="E629" s="560"/>
      <c r="F629" s="97" t="s">
        <v>3066</v>
      </c>
      <c r="G629" s="97" t="s">
        <v>157</v>
      </c>
      <c r="H629" s="96" t="s">
        <v>213</v>
      </c>
      <c r="I629" s="97" t="s">
        <v>689</v>
      </c>
      <c r="J629" s="73">
        <f t="shared" si="48"/>
        <v>1</v>
      </c>
      <c r="K629" s="74" t="s">
        <v>204</v>
      </c>
      <c r="L629" s="97" t="s">
        <v>3130</v>
      </c>
      <c r="N629" s="76" t="s">
        <v>17</v>
      </c>
      <c r="Q629" s="301" t="s">
        <v>2383</v>
      </c>
      <c r="R629" s="73">
        <f t="shared" si="49"/>
        <v>1</v>
      </c>
      <c r="S629" s="260" t="s">
        <v>1976</v>
      </c>
      <c r="T629" s="260"/>
      <c r="U629" s="260"/>
      <c r="V629" s="260"/>
      <c r="W629" s="260"/>
      <c r="X629" s="260"/>
      <c r="Y629" s="565"/>
      <c r="Z629" s="565"/>
      <c r="AA629" s="566">
        <f t="shared" si="50"/>
        <v>0</v>
      </c>
      <c r="AB629" s="699"/>
    </row>
    <row r="630" spans="1:28" ht="15.75" customHeight="1" x14ac:dyDescent="0.3">
      <c r="A630" s="96" t="s">
        <v>3067</v>
      </c>
      <c r="C630" s="81">
        <v>43810</v>
      </c>
      <c r="D630" s="109">
        <v>43840</v>
      </c>
      <c r="E630" s="560"/>
      <c r="F630" s="124" t="s">
        <v>3068</v>
      </c>
      <c r="G630" s="97" t="s">
        <v>158</v>
      </c>
      <c r="H630" s="96" t="s">
        <v>213</v>
      </c>
      <c r="J630" s="73">
        <f t="shared" si="48"/>
        <v>1</v>
      </c>
      <c r="K630" s="74" t="s">
        <v>204</v>
      </c>
      <c r="Q630" s="76" t="s">
        <v>2383</v>
      </c>
      <c r="R630" s="73">
        <f t="shared" si="49"/>
        <v>1</v>
      </c>
      <c r="S630" s="260" t="s">
        <v>1976</v>
      </c>
      <c r="T630" s="260"/>
      <c r="U630" s="260"/>
      <c r="V630" s="260"/>
      <c r="W630" s="260"/>
      <c r="X630" s="260"/>
      <c r="Y630" s="565"/>
      <c r="Z630" s="565"/>
      <c r="AA630" s="566">
        <f t="shared" si="50"/>
        <v>0</v>
      </c>
      <c r="AB630" s="699"/>
    </row>
    <row r="631" spans="1:28" ht="15.75" customHeight="1" x14ac:dyDescent="0.3">
      <c r="A631" s="79" t="s">
        <v>2307</v>
      </c>
      <c r="C631" s="81">
        <v>43796</v>
      </c>
      <c r="D631" s="81">
        <v>43839</v>
      </c>
      <c r="E631" s="560"/>
      <c r="F631" s="86" t="s">
        <v>2308</v>
      </c>
      <c r="G631" s="86" t="s">
        <v>152</v>
      </c>
      <c r="H631" s="79" t="s">
        <v>213</v>
      </c>
      <c r="J631" s="73">
        <f t="shared" si="48"/>
        <v>1</v>
      </c>
      <c r="K631" s="74" t="s">
        <v>204</v>
      </c>
      <c r="Q631" s="76" t="s">
        <v>2109</v>
      </c>
      <c r="R631" s="73">
        <f t="shared" si="49"/>
        <v>1</v>
      </c>
      <c r="S631" s="260" t="s">
        <v>1976</v>
      </c>
      <c r="T631" s="260"/>
      <c r="U631" s="260"/>
      <c r="V631" s="260"/>
      <c r="W631" s="260"/>
      <c r="X631" s="260"/>
      <c r="Y631" s="565"/>
      <c r="Z631" s="565"/>
      <c r="AA631" s="566">
        <f t="shared" si="50"/>
        <v>0</v>
      </c>
      <c r="AB631" s="699"/>
    </row>
    <row r="632" spans="1:28" ht="15.75" customHeight="1" x14ac:dyDescent="0.3">
      <c r="A632" s="79" t="s">
        <v>2313</v>
      </c>
      <c r="C632" s="81">
        <v>43796</v>
      </c>
      <c r="D632" s="109">
        <v>43840</v>
      </c>
      <c r="E632" s="560"/>
      <c r="F632" s="86" t="s">
        <v>2314</v>
      </c>
      <c r="G632" s="86" t="s">
        <v>152</v>
      </c>
      <c r="H632" s="79" t="s">
        <v>213</v>
      </c>
      <c r="J632" s="73">
        <f t="shared" si="48"/>
        <v>1</v>
      </c>
      <c r="K632" s="74" t="s">
        <v>204</v>
      </c>
      <c r="Q632" s="76" t="s">
        <v>2109</v>
      </c>
      <c r="R632" s="73">
        <f t="shared" si="49"/>
        <v>1</v>
      </c>
      <c r="S632" s="260" t="s">
        <v>1976</v>
      </c>
      <c r="T632" s="260"/>
      <c r="U632" s="260"/>
      <c r="V632" s="260"/>
      <c r="W632" s="260"/>
      <c r="X632" s="260"/>
      <c r="Y632" s="565"/>
      <c r="Z632" s="565"/>
      <c r="AA632" s="566">
        <f t="shared" si="50"/>
        <v>0</v>
      </c>
      <c r="AB632" s="699"/>
    </row>
    <row r="633" spans="1:28" ht="15.75" customHeight="1" x14ac:dyDescent="0.3">
      <c r="A633" s="79" t="s">
        <v>2315</v>
      </c>
      <c r="C633" s="81">
        <v>43796</v>
      </c>
      <c r="D633" s="109">
        <v>43840</v>
      </c>
      <c r="E633" s="560"/>
      <c r="F633" s="86" t="s">
        <v>2316</v>
      </c>
      <c r="G633" s="86" t="s">
        <v>158</v>
      </c>
      <c r="H633" s="79" t="s">
        <v>213</v>
      </c>
      <c r="J633" s="73">
        <f t="shared" si="48"/>
        <v>1</v>
      </c>
      <c r="K633" s="74" t="s">
        <v>204</v>
      </c>
      <c r="Q633" s="76" t="s">
        <v>2109</v>
      </c>
      <c r="R633" s="73">
        <f t="shared" si="49"/>
        <v>1</v>
      </c>
      <c r="S633" s="260" t="s">
        <v>1976</v>
      </c>
      <c r="T633" s="260"/>
      <c r="U633" s="260"/>
      <c r="V633" s="260"/>
      <c r="W633" s="260"/>
      <c r="X633" s="260"/>
      <c r="Y633" s="565"/>
      <c r="Z633" s="565"/>
      <c r="AA633" s="566">
        <f t="shared" si="50"/>
        <v>0</v>
      </c>
      <c r="AB633" s="699"/>
    </row>
    <row r="634" spans="1:28" ht="15.75" customHeight="1" x14ac:dyDescent="0.3">
      <c r="A634" s="79" t="s">
        <v>2317</v>
      </c>
      <c r="C634" s="81">
        <v>43796</v>
      </c>
      <c r="D634" s="109">
        <v>43840</v>
      </c>
      <c r="E634" s="560"/>
      <c r="F634" s="86" t="s">
        <v>2318</v>
      </c>
      <c r="G634" s="86" t="s">
        <v>158</v>
      </c>
      <c r="H634" s="79" t="s">
        <v>213</v>
      </c>
      <c r="J634" s="73">
        <f t="shared" si="48"/>
        <v>1</v>
      </c>
      <c r="K634" s="74" t="s">
        <v>204</v>
      </c>
      <c r="Q634" s="76" t="s">
        <v>2109</v>
      </c>
      <c r="R634" s="73">
        <f t="shared" si="49"/>
        <v>1</v>
      </c>
      <c r="S634" s="260" t="s">
        <v>1976</v>
      </c>
      <c r="T634" s="260"/>
      <c r="U634" s="260"/>
      <c r="V634" s="260"/>
      <c r="W634" s="260"/>
      <c r="X634" s="260"/>
      <c r="Y634" s="565"/>
      <c r="Z634" s="565"/>
      <c r="AA634" s="566">
        <f t="shared" si="50"/>
        <v>0</v>
      </c>
      <c r="AB634" s="699"/>
    </row>
    <row r="635" spans="1:28" ht="15.75" customHeight="1" x14ac:dyDescent="0.3">
      <c r="A635" s="79" t="s">
        <v>3070</v>
      </c>
      <c r="C635" s="81">
        <v>43797</v>
      </c>
      <c r="D635" s="109">
        <v>43843</v>
      </c>
      <c r="E635" s="560"/>
      <c r="F635" s="86" t="s">
        <v>3071</v>
      </c>
      <c r="G635" s="86" t="s">
        <v>152</v>
      </c>
      <c r="H635" s="79" t="s">
        <v>213</v>
      </c>
      <c r="J635" s="73">
        <f t="shared" si="48"/>
        <v>1</v>
      </c>
      <c r="K635" s="74" t="s">
        <v>204</v>
      </c>
      <c r="Q635" s="76" t="s">
        <v>2109</v>
      </c>
      <c r="R635" s="73">
        <f t="shared" si="49"/>
        <v>1</v>
      </c>
      <c r="S635" s="260" t="s">
        <v>1976</v>
      </c>
      <c r="T635" s="260"/>
      <c r="U635" s="260"/>
      <c r="V635" s="260"/>
      <c r="W635" s="260"/>
      <c r="X635" s="260"/>
      <c r="Y635" s="565"/>
      <c r="Z635" s="565"/>
      <c r="AA635" s="566">
        <f t="shared" si="50"/>
        <v>0</v>
      </c>
      <c r="AB635" s="699"/>
    </row>
    <row r="636" spans="1:28" ht="15.75" customHeight="1" x14ac:dyDescent="0.3">
      <c r="A636" s="79" t="s">
        <v>3072</v>
      </c>
      <c r="C636" s="81">
        <v>43798</v>
      </c>
      <c r="D636" s="109">
        <v>43844</v>
      </c>
      <c r="E636" s="560"/>
      <c r="F636" s="86" t="s">
        <v>3073</v>
      </c>
      <c r="G636" s="86" t="s">
        <v>150</v>
      </c>
      <c r="H636" s="79" t="s">
        <v>213</v>
      </c>
      <c r="J636" s="73">
        <f t="shared" si="48"/>
        <v>1</v>
      </c>
      <c r="K636" s="74" t="s">
        <v>204</v>
      </c>
      <c r="Q636" s="76" t="s">
        <v>2109</v>
      </c>
      <c r="R636" s="73">
        <f t="shared" si="49"/>
        <v>1</v>
      </c>
      <c r="S636" s="260" t="s">
        <v>1976</v>
      </c>
      <c r="T636" s="260"/>
      <c r="U636" s="260"/>
      <c r="V636" s="260"/>
      <c r="W636" s="260"/>
      <c r="X636" s="260"/>
      <c r="Y636" s="565"/>
      <c r="Z636" s="565"/>
      <c r="AA636" s="566">
        <f t="shared" si="50"/>
        <v>0</v>
      </c>
      <c r="AB636" s="699"/>
    </row>
    <row r="637" spans="1:28" ht="15.75" customHeight="1" x14ac:dyDescent="0.3">
      <c r="A637" s="79" t="s">
        <v>2678</v>
      </c>
      <c r="C637" s="81">
        <v>43798</v>
      </c>
      <c r="D637" s="109">
        <v>43844</v>
      </c>
      <c r="E637" s="560"/>
      <c r="F637" s="86" t="s">
        <v>2679</v>
      </c>
      <c r="G637" s="86" t="s">
        <v>189</v>
      </c>
      <c r="H637" s="79" t="s">
        <v>213</v>
      </c>
      <c r="J637" s="73">
        <f t="shared" si="48"/>
        <v>1</v>
      </c>
      <c r="K637" s="74" t="s">
        <v>204</v>
      </c>
      <c r="Q637" s="76" t="s">
        <v>2109</v>
      </c>
      <c r="R637" s="73">
        <f t="shared" si="49"/>
        <v>1</v>
      </c>
      <c r="S637" s="260" t="s">
        <v>1976</v>
      </c>
      <c r="T637" s="260"/>
      <c r="U637" s="260"/>
      <c r="V637" s="260"/>
      <c r="W637" s="260"/>
      <c r="X637" s="260"/>
      <c r="Y637" s="565"/>
      <c r="Z637" s="565"/>
      <c r="AA637" s="566">
        <f t="shared" si="50"/>
        <v>0</v>
      </c>
      <c r="AB637" s="699"/>
    </row>
    <row r="638" spans="1:28" ht="15.75" customHeight="1" x14ac:dyDescent="0.3">
      <c r="A638" s="79" t="s">
        <v>2321</v>
      </c>
      <c r="C638" s="81">
        <v>43798</v>
      </c>
      <c r="D638" s="109">
        <v>43843</v>
      </c>
      <c r="E638" s="560"/>
      <c r="F638" s="86" t="s">
        <v>2322</v>
      </c>
      <c r="G638" s="86" t="s">
        <v>150</v>
      </c>
      <c r="H638" s="79" t="s">
        <v>213</v>
      </c>
      <c r="J638" s="73">
        <f t="shared" si="48"/>
        <v>1</v>
      </c>
      <c r="K638" s="74" t="s">
        <v>204</v>
      </c>
      <c r="Q638" s="76" t="s">
        <v>2109</v>
      </c>
      <c r="R638" s="73">
        <f t="shared" si="49"/>
        <v>1</v>
      </c>
      <c r="S638" s="260" t="s">
        <v>1976</v>
      </c>
      <c r="T638" s="260"/>
      <c r="U638" s="260"/>
      <c r="V638" s="260"/>
      <c r="W638" s="260"/>
      <c r="X638" s="260"/>
      <c r="Y638" s="565"/>
      <c r="Z638" s="565"/>
      <c r="AA638" s="566">
        <f t="shared" si="50"/>
        <v>0</v>
      </c>
      <c r="AB638" s="699"/>
    </row>
    <row r="639" spans="1:28" ht="15.75" customHeight="1" x14ac:dyDescent="0.3">
      <c r="A639" s="79" t="s">
        <v>2680</v>
      </c>
      <c r="C639" s="81">
        <v>43801</v>
      </c>
      <c r="D639" s="109">
        <v>43845</v>
      </c>
      <c r="E639" s="560"/>
      <c r="F639" s="86" t="s">
        <v>2681</v>
      </c>
      <c r="G639" s="86" t="s">
        <v>156</v>
      </c>
      <c r="H639" s="79" t="s">
        <v>213</v>
      </c>
      <c r="I639" s="97" t="s">
        <v>3214</v>
      </c>
      <c r="J639" s="73">
        <f t="shared" si="48"/>
        <v>1</v>
      </c>
      <c r="K639" s="74" t="s">
        <v>204</v>
      </c>
      <c r="N639" s="76" t="s">
        <v>18</v>
      </c>
      <c r="Q639" s="301" t="s">
        <v>2109</v>
      </c>
      <c r="R639" s="73">
        <f t="shared" si="49"/>
        <v>1</v>
      </c>
      <c r="S639" s="260" t="s">
        <v>1976</v>
      </c>
      <c r="T639" s="260"/>
      <c r="U639" s="260"/>
      <c r="V639" s="260"/>
      <c r="W639" s="260"/>
      <c r="X639" s="260"/>
      <c r="Y639" s="565"/>
      <c r="Z639" s="565"/>
      <c r="AA639" s="566">
        <f t="shared" si="50"/>
        <v>0</v>
      </c>
      <c r="AB639" s="699"/>
    </row>
    <row r="640" spans="1:28" ht="15.75" customHeight="1" x14ac:dyDescent="0.3">
      <c r="A640" s="79" t="s">
        <v>3074</v>
      </c>
      <c r="C640" s="81">
        <v>43801</v>
      </c>
      <c r="D640" s="109">
        <v>43845</v>
      </c>
      <c r="E640" s="560"/>
      <c r="F640" s="86" t="s">
        <v>3075</v>
      </c>
      <c r="G640" s="86" t="s">
        <v>172</v>
      </c>
      <c r="H640" s="79" t="s">
        <v>213</v>
      </c>
      <c r="I640" s="97" t="s">
        <v>641</v>
      </c>
      <c r="J640" s="73">
        <f t="shared" si="48"/>
        <v>1</v>
      </c>
      <c r="K640" s="74" t="s">
        <v>204</v>
      </c>
      <c r="N640" s="76" t="s">
        <v>17</v>
      </c>
      <c r="Q640" s="76" t="s">
        <v>2109</v>
      </c>
      <c r="R640" s="73">
        <f t="shared" si="49"/>
        <v>1</v>
      </c>
      <c r="S640" s="260" t="s">
        <v>1976</v>
      </c>
      <c r="T640" s="260"/>
      <c r="U640" s="260"/>
      <c r="V640" s="260"/>
      <c r="W640" s="260"/>
      <c r="X640" s="260"/>
      <c r="Y640" s="565"/>
      <c r="Z640" s="565"/>
      <c r="AA640" s="566">
        <f t="shared" si="50"/>
        <v>0</v>
      </c>
      <c r="AB640" s="699"/>
    </row>
    <row r="641" spans="1:28" ht="15.75" customHeight="1" x14ac:dyDescent="0.3">
      <c r="A641" s="96" t="s">
        <v>2690</v>
      </c>
      <c r="C641" s="81">
        <v>43802</v>
      </c>
      <c r="D641" s="109">
        <v>43846</v>
      </c>
      <c r="E641" s="560"/>
      <c r="F641" s="86" t="s">
        <v>2691</v>
      </c>
      <c r="G641" s="86" t="s">
        <v>410</v>
      </c>
      <c r="H641" s="79" t="s">
        <v>213</v>
      </c>
      <c r="I641" s="97" t="s">
        <v>642</v>
      </c>
      <c r="J641" s="73">
        <f t="shared" si="48"/>
        <v>1</v>
      </c>
      <c r="K641" s="74" t="s">
        <v>204</v>
      </c>
      <c r="N641" s="76" t="s">
        <v>18</v>
      </c>
      <c r="Q641" s="76" t="s">
        <v>2109</v>
      </c>
      <c r="R641" s="73">
        <f t="shared" si="49"/>
        <v>1</v>
      </c>
      <c r="S641" s="260" t="s">
        <v>1976</v>
      </c>
      <c r="T641" s="260"/>
      <c r="U641" s="260"/>
      <c r="V641" s="260"/>
      <c r="W641" s="260"/>
      <c r="X641" s="260"/>
      <c r="Y641" s="565"/>
      <c r="Z641" s="565"/>
      <c r="AA641" s="566">
        <f t="shared" si="50"/>
        <v>0</v>
      </c>
      <c r="AB641" s="699"/>
    </row>
    <row r="642" spans="1:28" ht="15.75" customHeight="1" x14ac:dyDescent="0.3">
      <c r="A642" s="96" t="s">
        <v>2694</v>
      </c>
      <c r="C642" s="81">
        <v>43802</v>
      </c>
      <c r="D642" s="109">
        <v>43846</v>
      </c>
      <c r="E642" s="560"/>
      <c r="F642" s="86" t="s">
        <v>2695</v>
      </c>
      <c r="G642" s="86" t="s">
        <v>156</v>
      </c>
      <c r="H642" s="79" t="s">
        <v>213</v>
      </c>
      <c r="I642" s="97" t="s">
        <v>714</v>
      </c>
      <c r="J642" s="73">
        <f t="shared" si="48"/>
        <v>1</v>
      </c>
      <c r="K642" s="74" t="s">
        <v>204</v>
      </c>
      <c r="N642" s="76" t="s">
        <v>17</v>
      </c>
      <c r="Q642" s="76" t="s">
        <v>2109</v>
      </c>
      <c r="R642" s="73">
        <f t="shared" si="49"/>
        <v>1</v>
      </c>
      <c r="S642" s="260" t="s">
        <v>1976</v>
      </c>
      <c r="T642" s="260"/>
      <c r="U642" s="260"/>
      <c r="V642" s="260"/>
      <c r="W642" s="260"/>
      <c r="X642" s="260"/>
      <c r="Y642" s="565"/>
      <c r="Z642" s="565"/>
      <c r="AA642" s="566">
        <f t="shared" si="50"/>
        <v>0</v>
      </c>
      <c r="AB642" s="699"/>
    </row>
    <row r="643" spans="1:28" ht="15.75" customHeight="1" x14ac:dyDescent="0.3">
      <c r="A643" s="96" t="s">
        <v>2696</v>
      </c>
      <c r="C643" s="81">
        <v>43802</v>
      </c>
      <c r="D643" s="109">
        <v>43846</v>
      </c>
      <c r="E643" s="560"/>
      <c r="F643" s="86" t="s">
        <v>2697</v>
      </c>
      <c r="G643" s="86" t="s">
        <v>150</v>
      </c>
      <c r="H643" s="79" t="s">
        <v>213</v>
      </c>
      <c r="I643" s="97" t="s">
        <v>641</v>
      </c>
      <c r="J643" s="73">
        <f t="shared" si="48"/>
        <v>1</v>
      </c>
      <c r="K643" s="74" t="s">
        <v>204</v>
      </c>
      <c r="N643" s="76" t="s">
        <v>17</v>
      </c>
      <c r="Q643" s="301" t="s">
        <v>2109</v>
      </c>
      <c r="R643" s="73">
        <f t="shared" si="49"/>
        <v>1</v>
      </c>
      <c r="S643" s="260" t="s">
        <v>1976</v>
      </c>
      <c r="T643" s="260"/>
      <c r="U643" s="260"/>
      <c r="V643" s="260"/>
      <c r="W643" s="260"/>
      <c r="X643" s="260"/>
      <c r="Y643" s="565"/>
      <c r="Z643" s="565"/>
      <c r="AA643" s="566">
        <f t="shared" si="50"/>
        <v>0</v>
      </c>
      <c r="AB643" s="699"/>
    </row>
    <row r="644" spans="1:28" ht="15.75" customHeight="1" x14ac:dyDescent="0.3">
      <c r="A644" s="79" t="s">
        <v>2698</v>
      </c>
      <c r="C644" s="81">
        <v>43803</v>
      </c>
      <c r="D644" s="109">
        <v>43847</v>
      </c>
      <c r="E644" s="560"/>
      <c r="F644" s="86" t="s">
        <v>2699</v>
      </c>
      <c r="G644" s="86" t="s">
        <v>177</v>
      </c>
      <c r="H644" s="79" t="s">
        <v>213</v>
      </c>
      <c r="I644" s="97" t="s">
        <v>641</v>
      </c>
      <c r="J644" s="73">
        <f t="shared" si="48"/>
        <v>1</v>
      </c>
      <c r="K644" s="74" t="s">
        <v>204</v>
      </c>
      <c r="N644" s="76" t="s">
        <v>17</v>
      </c>
      <c r="Q644" s="76" t="s">
        <v>2109</v>
      </c>
      <c r="R644" s="73">
        <f t="shared" si="49"/>
        <v>1</v>
      </c>
      <c r="S644" s="260" t="s">
        <v>1976</v>
      </c>
      <c r="T644" s="260"/>
      <c r="U644" s="260"/>
      <c r="V644" s="260"/>
      <c r="W644" s="260"/>
      <c r="X644" s="260"/>
      <c r="Y644" s="565"/>
      <c r="Z644" s="565"/>
      <c r="AA644" s="566">
        <f t="shared" si="50"/>
        <v>0</v>
      </c>
      <c r="AB644" s="699"/>
    </row>
    <row r="645" spans="1:28" ht="15.75" customHeight="1" x14ac:dyDescent="0.3">
      <c r="A645" s="79" t="s">
        <v>2700</v>
      </c>
      <c r="C645" s="81">
        <v>43803</v>
      </c>
      <c r="D645" s="109">
        <v>43847</v>
      </c>
      <c r="E645" s="560"/>
      <c r="F645" s="86" t="s">
        <v>2701</v>
      </c>
      <c r="G645" s="86" t="s">
        <v>147</v>
      </c>
      <c r="H645" s="79" t="s">
        <v>213</v>
      </c>
      <c r="I645" s="97" t="s">
        <v>714</v>
      </c>
      <c r="J645" s="73">
        <f t="shared" si="48"/>
        <v>1</v>
      </c>
      <c r="K645" s="74" t="s">
        <v>204</v>
      </c>
      <c r="N645" s="76" t="s">
        <v>18</v>
      </c>
      <c r="Q645" s="76" t="s">
        <v>2109</v>
      </c>
      <c r="R645" s="73">
        <f t="shared" si="49"/>
        <v>1</v>
      </c>
      <c r="S645" s="260" t="s">
        <v>1976</v>
      </c>
      <c r="T645" s="260"/>
      <c r="U645" s="260"/>
      <c r="V645" s="260"/>
      <c r="W645" s="260"/>
      <c r="X645" s="260"/>
      <c r="Y645" s="565"/>
      <c r="Z645" s="565"/>
      <c r="AA645" s="566">
        <f t="shared" si="50"/>
        <v>0</v>
      </c>
      <c r="AB645" s="699"/>
    </row>
    <row r="646" spans="1:28" ht="15.75" customHeight="1" x14ac:dyDescent="0.3">
      <c r="A646" s="79" t="s">
        <v>2761</v>
      </c>
      <c r="C646" s="81">
        <v>43804</v>
      </c>
      <c r="D646" s="109">
        <v>43847</v>
      </c>
      <c r="E646" s="560"/>
      <c r="F646" s="86" t="s">
        <v>2786</v>
      </c>
      <c r="G646" s="86" t="s">
        <v>152</v>
      </c>
      <c r="H646" s="79" t="s">
        <v>213</v>
      </c>
      <c r="I646" s="97" t="s">
        <v>714</v>
      </c>
      <c r="J646" s="73">
        <f t="shared" ref="J646:J659" si="51">IF(OR(K646="Документы готовы",K646="Запрос в ФО",K646="ЭЗ",K646="РЕШ",K646="РЕШ шаблон"),0.1,IF(OR(K646="ЭЗ согласование",K646="РЕШ согласование"),0.3,IF(OR(K646="ЭЗ согласовано",K646="РЕШ согласовано",K646="РЕШ подписано"),0.6,IF(OR(K646="ЭЗ ПР согласование",K646="РЕШ УВ согласование"),0.9,IF(OR(K646="ЭЗ ПР DONE",K646="РЕШ УВ DONE"),1,0)))))</f>
        <v>1</v>
      </c>
      <c r="K646" s="74" t="s">
        <v>204</v>
      </c>
      <c r="N646" s="76" t="s">
        <v>18</v>
      </c>
      <c r="Q646" s="76" t="s">
        <v>2109</v>
      </c>
      <c r="R646" s="73">
        <f t="shared" ref="R646:R659" si="52">IF(S646="В работе",0.3,IF(S646="Отписано",0.6,IF(S646="На доработку",0.9,IF(S646="Согласовано",1,0))))</f>
        <v>1</v>
      </c>
      <c r="S646" s="260" t="s">
        <v>1976</v>
      </c>
      <c r="T646" s="260"/>
      <c r="U646" s="260"/>
      <c r="V646" s="260"/>
      <c r="W646" s="260"/>
      <c r="X646" s="260"/>
      <c r="Y646" s="565"/>
      <c r="Z646" s="565"/>
      <c r="AA646" s="566">
        <f t="shared" si="50"/>
        <v>0</v>
      </c>
      <c r="AB646" s="699"/>
    </row>
    <row r="647" spans="1:28" ht="15.75" customHeight="1" x14ac:dyDescent="0.3">
      <c r="A647" s="79" t="s">
        <v>3076</v>
      </c>
      <c r="C647" s="81">
        <v>43809</v>
      </c>
      <c r="D647" s="109">
        <v>43839</v>
      </c>
      <c r="E647" s="560"/>
      <c r="F647" s="86" t="s">
        <v>3077</v>
      </c>
      <c r="G647" s="86" t="s">
        <v>156</v>
      </c>
      <c r="H647" s="79" t="s">
        <v>213</v>
      </c>
      <c r="J647" s="73">
        <f t="shared" si="51"/>
        <v>1</v>
      </c>
      <c r="K647" s="74" t="s">
        <v>204</v>
      </c>
      <c r="Q647" s="76" t="s">
        <v>2109</v>
      </c>
      <c r="R647" s="73">
        <f t="shared" si="52"/>
        <v>1</v>
      </c>
      <c r="S647" s="260" t="s">
        <v>1976</v>
      </c>
      <c r="T647" s="260"/>
      <c r="U647" s="260"/>
      <c r="V647" s="260"/>
      <c r="W647" s="260"/>
      <c r="X647" s="260"/>
      <c r="Y647" s="565"/>
      <c r="Z647" s="565"/>
      <c r="AA647" s="566">
        <f t="shared" si="50"/>
        <v>0</v>
      </c>
      <c r="AB647" s="699"/>
    </row>
    <row r="648" spans="1:28" ht="15.75" customHeight="1" x14ac:dyDescent="0.3">
      <c r="A648" s="79" t="s">
        <v>3084</v>
      </c>
      <c r="C648" s="81">
        <v>43810</v>
      </c>
      <c r="D648" s="109">
        <v>43840</v>
      </c>
      <c r="E648" s="560"/>
      <c r="F648" s="86" t="s">
        <v>3085</v>
      </c>
      <c r="G648" s="86" t="s">
        <v>147</v>
      </c>
      <c r="H648" s="79" t="s">
        <v>268</v>
      </c>
      <c r="I648" s="97" t="s">
        <v>3151</v>
      </c>
      <c r="J648" s="73">
        <f t="shared" si="51"/>
        <v>1</v>
      </c>
      <c r="K648" s="74" t="s">
        <v>204</v>
      </c>
      <c r="L648" s="97" t="s">
        <v>3152</v>
      </c>
      <c r="N648" s="76" t="s">
        <v>18</v>
      </c>
      <c r="Q648" s="76" t="s">
        <v>2109</v>
      </c>
      <c r="R648" s="73">
        <f t="shared" si="52"/>
        <v>1</v>
      </c>
      <c r="S648" s="260" t="s">
        <v>1976</v>
      </c>
      <c r="T648" s="260"/>
      <c r="U648" s="260"/>
      <c r="V648" s="260"/>
      <c r="W648" s="260"/>
      <c r="X648" s="260"/>
      <c r="Y648" s="565"/>
      <c r="Z648" s="565"/>
      <c r="AA648" s="566">
        <f t="shared" si="50"/>
        <v>0</v>
      </c>
      <c r="AB648" s="699"/>
    </row>
    <row r="649" spans="1:28" ht="15.75" customHeight="1" x14ac:dyDescent="0.3">
      <c r="A649" s="79" t="s">
        <v>3086</v>
      </c>
      <c r="C649" s="81">
        <v>43810</v>
      </c>
      <c r="D649" s="109">
        <v>43840</v>
      </c>
      <c r="E649" s="560"/>
      <c r="F649" s="86" t="s">
        <v>3087</v>
      </c>
      <c r="G649" s="86" t="s">
        <v>152</v>
      </c>
      <c r="H649" s="79" t="s">
        <v>213</v>
      </c>
      <c r="I649" s="97" t="s">
        <v>657</v>
      </c>
      <c r="J649" s="73">
        <f t="shared" si="51"/>
        <v>1</v>
      </c>
      <c r="K649" s="74" t="s">
        <v>204</v>
      </c>
      <c r="L649" s="97" t="s">
        <v>456</v>
      </c>
      <c r="N649" s="76" t="s">
        <v>18</v>
      </c>
      <c r="Q649" s="301" t="s">
        <v>2109</v>
      </c>
      <c r="R649" s="73">
        <f t="shared" si="52"/>
        <v>1</v>
      </c>
      <c r="S649" s="260" t="s">
        <v>1976</v>
      </c>
      <c r="T649" s="260"/>
      <c r="U649" s="260"/>
      <c r="V649" s="260"/>
      <c r="W649" s="260"/>
      <c r="X649" s="260"/>
      <c r="Y649" s="565"/>
      <c r="Z649" s="565"/>
      <c r="AA649" s="566">
        <f t="shared" si="50"/>
        <v>0</v>
      </c>
      <c r="AB649" s="699"/>
    </row>
    <row r="650" spans="1:28" ht="15.75" customHeight="1" x14ac:dyDescent="0.3">
      <c r="A650" s="79" t="s">
        <v>3088</v>
      </c>
      <c r="C650" s="81">
        <v>43812</v>
      </c>
      <c r="D650" s="109">
        <v>43843</v>
      </c>
      <c r="E650" s="560"/>
      <c r="F650" s="86" t="s">
        <v>3089</v>
      </c>
      <c r="G650" s="86" t="s">
        <v>152</v>
      </c>
      <c r="H650" s="79" t="s">
        <v>213</v>
      </c>
      <c r="J650" s="73">
        <f t="shared" si="51"/>
        <v>1</v>
      </c>
      <c r="K650" s="74" t="s">
        <v>204</v>
      </c>
      <c r="Q650" s="76" t="s">
        <v>2109</v>
      </c>
      <c r="R650" s="73">
        <f t="shared" si="52"/>
        <v>1</v>
      </c>
      <c r="S650" s="260" t="s">
        <v>1976</v>
      </c>
      <c r="T650" s="260"/>
      <c r="U650" s="260"/>
      <c r="V650" s="260"/>
      <c r="W650" s="260"/>
      <c r="X650" s="260"/>
      <c r="Y650" s="565"/>
      <c r="Z650" s="565"/>
      <c r="AA650" s="566">
        <f t="shared" si="50"/>
        <v>0</v>
      </c>
      <c r="AB650" s="699"/>
    </row>
    <row r="651" spans="1:28" ht="15.75" customHeight="1" x14ac:dyDescent="0.3">
      <c r="A651" s="79" t="s">
        <v>3094</v>
      </c>
      <c r="C651" s="81">
        <v>43812</v>
      </c>
      <c r="D651" s="109">
        <v>43843</v>
      </c>
      <c r="E651" s="560"/>
      <c r="F651" s="86" t="s">
        <v>3095</v>
      </c>
      <c r="G651" s="86" t="s">
        <v>189</v>
      </c>
      <c r="H651" s="79" t="s">
        <v>213</v>
      </c>
      <c r="J651" s="73">
        <f t="shared" si="51"/>
        <v>1</v>
      </c>
      <c r="K651" s="74" t="s">
        <v>204</v>
      </c>
      <c r="Q651" s="76" t="s">
        <v>2109</v>
      </c>
      <c r="R651" s="73">
        <f t="shared" si="52"/>
        <v>1</v>
      </c>
      <c r="S651" s="260" t="s">
        <v>1976</v>
      </c>
      <c r="T651" s="260"/>
      <c r="U651" s="260"/>
      <c r="V651" s="260"/>
      <c r="W651" s="260"/>
      <c r="X651" s="260"/>
      <c r="Y651" s="565"/>
      <c r="Z651" s="565"/>
      <c r="AA651" s="566">
        <f t="shared" si="50"/>
        <v>0</v>
      </c>
      <c r="AB651" s="699"/>
    </row>
    <row r="652" spans="1:28" ht="15.75" customHeight="1" x14ac:dyDescent="0.3">
      <c r="A652" s="79" t="s">
        <v>3100</v>
      </c>
      <c r="C652" s="81">
        <v>43812</v>
      </c>
      <c r="D652" s="109">
        <v>43844</v>
      </c>
      <c r="E652" s="560"/>
      <c r="F652" s="86" t="s">
        <v>3101</v>
      </c>
      <c r="G652" s="86" t="s">
        <v>152</v>
      </c>
      <c r="H652" s="79" t="s">
        <v>213</v>
      </c>
      <c r="J652" s="73">
        <f t="shared" si="51"/>
        <v>1</v>
      </c>
      <c r="K652" s="74" t="s">
        <v>204</v>
      </c>
      <c r="Q652" s="76" t="s">
        <v>2109</v>
      </c>
      <c r="R652" s="73">
        <f t="shared" si="52"/>
        <v>1</v>
      </c>
      <c r="S652" s="260" t="s">
        <v>1976</v>
      </c>
      <c r="T652" s="260"/>
      <c r="U652" s="260"/>
      <c r="V652" s="260"/>
      <c r="W652" s="260"/>
      <c r="X652" s="260"/>
      <c r="Y652" s="565"/>
      <c r="Z652" s="565"/>
      <c r="AA652" s="566">
        <f t="shared" si="50"/>
        <v>0</v>
      </c>
      <c r="AB652" s="699"/>
    </row>
    <row r="653" spans="1:28" ht="15.75" customHeight="1" x14ac:dyDescent="0.3">
      <c r="A653" s="79" t="s">
        <v>3102</v>
      </c>
      <c r="C653" s="81">
        <v>43815</v>
      </c>
      <c r="D653" s="109">
        <v>43845</v>
      </c>
      <c r="E653" s="560"/>
      <c r="F653" s="86" t="s">
        <v>3103</v>
      </c>
      <c r="G653" s="86" t="s">
        <v>186</v>
      </c>
      <c r="H653" s="79" t="s">
        <v>213</v>
      </c>
      <c r="I653" s="97" t="s">
        <v>755</v>
      </c>
      <c r="J653" s="73">
        <f t="shared" si="51"/>
        <v>1</v>
      </c>
      <c r="K653" s="74" t="s">
        <v>204</v>
      </c>
      <c r="N653" s="76" t="s">
        <v>18</v>
      </c>
      <c r="Q653" s="76" t="s">
        <v>2109</v>
      </c>
      <c r="R653" s="73">
        <f t="shared" si="52"/>
        <v>1</v>
      </c>
      <c r="S653" s="260" t="s">
        <v>1976</v>
      </c>
      <c r="T653" s="260"/>
      <c r="U653" s="260"/>
      <c r="V653" s="260"/>
      <c r="W653" s="260"/>
      <c r="X653" s="260"/>
      <c r="Y653" s="565"/>
      <c r="Z653" s="565"/>
      <c r="AA653" s="566">
        <f t="shared" si="50"/>
        <v>0</v>
      </c>
      <c r="AB653" s="699"/>
    </row>
    <row r="654" spans="1:28" ht="15.75" customHeight="1" x14ac:dyDescent="0.3">
      <c r="A654" s="79" t="s">
        <v>3110</v>
      </c>
      <c r="C654" s="81">
        <v>43816</v>
      </c>
      <c r="D654" s="109">
        <v>43846</v>
      </c>
      <c r="E654" s="560"/>
      <c r="F654" s="86" t="s">
        <v>3111</v>
      </c>
      <c r="G654" s="86" t="s">
        <v>162</v>
      </c>
      <c r="H654" s="79" t="s">
        <v>213</v>
      </c>
      <c r="I654" s="97" t="s">
        <v>3187</v>
      </c>
      <c r="J654" s="73">
        <f t="shared" si="51"/>
        <v>1</v>
      </c>
      <c r="K654" s="74" t="s">
        <v>204</v>
      </c>
      <c r="N654" s="76" t="s">
        <v>19</v>
      </c>
      <c r="Q654" s="76" t="s">
        <v>2109</v>
      </c>
      <c r="R654" s="73">
        <f t="shared" si="52"/>
        <v>1</v>
      </c>
      <c r="S654" s="260" t="s">
        <v>1976</v>
      </c>
      <c r="T654" s="260"/>
      <c r="U654" s="260"/>
      <c r="V654" s="260"/>
      <c r="W654" s="260"/>
      <c r="X654" s="260"/>
      <c r="Y654" s="565"/>
      <c r="Z654" s="565"/>
      <c r="AA654" s="566">
        <f t="shared" si="50"/>
        <v>0</v>
      </c>
      <c r="AB654" s="699"/>
    </row>
    <row r="655" spans="1:28" ht="15.75" customHeight="1" x14ac:dyDescent="0.3">
      <c r="A655" s="79" t="s">
        <v>3112</v>
      </c>
      <c r="C655" s="81">
        <v>43816</v>
      </c>
      <c r="D655" s="109">
        <v>43846</v>
      </c>
      <c r="E655" s="560"/>
      <c r="F655" s="86" t="s">
        <v>3113</v>
      </c>
      <c r="G655" s="86" t="s">
        <v>156</v>
      </c>
      <c r="H655" s="79" t="s">
        <v>213</v>
      </c>
      <c r="I655" s="97" t="s">
        <v>3229</v>
      </c>
      <c r="J655" s="73">
        <f t="shared" si="51"/>
        <v>1</v>
      </c>
      <c r="K655" s="74" t="s">
        <v>204</v>
      </c>
      <c r="L655" s="97" t="s">
        <v>3231</v>
      </c>
      <c r="N655" s="76" t="s">
        <v>18</v>
      </c>
      <c r="Q655" s="76" t="s">
        <v>2109</v>
      </c>
      <c r="R655" s="73">
        <f t="shared" si="52"/>
        <v>1</v>
      </c>
      <c r="S655" s="260" t="s">
        <v>1976</v>
      </c>
      <c r="T655" s="260"/>
      <c r="U655" s="260"/>
      <c r="V655" s="260"/>
      <c r="W655" s="260"/>
      <c r="X655" s="260"/>
      <c r="Y655" s="565"/>
      <c r="Z655" s="565"/>
      <c r="AA655" s="566">
        <f t="shared" si="50"/>
        <v>0</v>
      </c>
      <c r="AB655" s="699"/>
    </row>
    <row r="656" spans="1:28" ht="15.75" customHeight="1" x14ac:dyDescent="0.3">
      <c r="A656" s="79" t="s">
        <v>3114</v>
      </c>
      <c r="C656" s="81">
        <v>43816</v>
      </c>
      <c r="D656" s="109">
        <v>43846</v>
      </c>
      <c r="E656" s="560"/>
      <c r="F656" s="86" t="s">
        <v>3115</v>
      </c>
      <c r="G656" s="86" t="s">
        <v>173</v>
      </c>
      <c r="H656" s="79" t="s">
        <v>213</v>
      </c>
      <c r="I656" s="97" t="s">
        <v>995</v>
      </c>
      <c r="J656" s="73">
        <f t="shared" si="51"/>
        <v>1</v>
      </c>
      <c r="K656" s="74" t="s">
        <v>204</v>
      </c>
      <c r="N656" s="76" t="s">
        <v>19</v>
      </c>
      <c r="Q656" s="76" t="s">
        <v>2109</v>
      </c>
      <c r="R656" s="73">
        <f t="shared" si="52"/>
        <v>1</v>
      </c>
      <c r="S656" s="260" t="s">
        <v>1976</v>
      </c>
      <c r="T656" s="260"/>
      <c r="U656" s="260"/>
      <c r="V656" s="260"/>
      <c r="W656" s="260"/>
      <c r="X656" s="260"/>
      <c r="Y656" s="565"/>
      <c r="Z656" s="565"/>
      <c r="AA656" s="566">
        <f t="shared" si="50"/>
        <v>0</v>
      </c>
      <c r="AB656" s="699"/>
    </row>
    <row r="657" spans="1:28" ht="15.75" customHeight="1" x14ac:dyDescent="0.3">
      <c r="A657" s="79" t="s">
        <v>3116</v>
      </c>
      <c r="C657" s="81">
        <v>43816</v>
      </c>
      <c r="D657" s="109">
        <v>43846</v>
      </c>
      <c r="E657" s="560"/>
      <c r="F657" s="252" t="s">
        <v>3117</v>
      </c>
      <c r="G657" s="86" t="s">
        <v>410</v>
      </c>
      <c r="H657" s="96" t="s">
        <v>213</v>
      </c>
      <c r="I657" s="97" t="s">
        <v>995</v>
      </c>
      <c r="J657" s="73">
        <f t="shared" si="51"/>
        <v>1</v>
      </c>
      <c r="K657" s="74" t="s">
        <v>204</v>
      </c>
      <c r="L657" s="97" t="s">
        <v>3230</v>
      </c>
      <c r="N657" s="76" t="s">
        <v>19</v>
      </c>
      <c r="Q657" s="76" t="s">
        <v>2109</v>
      </c>
      <c r="R657" s="73">
        <f t="shared" si="52"/>
        <v>1</v>
      </c>
      <c r="S657" s="260" t="s">
        <v>1976</v>
      </c>
      <c r="T657" s="260"/>
      <c r="U657" s="260"/>
      <c r="V657" s="260"/>
      <c r="W657" s="260"/>
      <c r="X657" s="260"/>
      <c r="Y657" s="565"/>
      <c r="Z657" s="565"/>
      <c r="AA657" s="566">
        <f t="shared" si="50"/>
        <v>0</v>
      </c>
      <c r="AB657" s="699"/>
    </row>
    <row r="658" spans="1:28" ht="15.75" customHeight="1" x14ac:dyDescent="0.3">
      <c r="A658" s="79" t="s">
        <v>2404</v>
      </c>
      <c r="C658" s="81">
        <v>43796</v>
      </c>
      <c r="D658" s="109">
        <v>43840</v>
      </c>
      <c r="E658" s="560"/>
      <c r="F658" s="86" t="s">
        <v>2405</v>
      </c>
      <c r="G658" s="86" t="s">
        <v>158</v>
      </c>
      <c r="H658" s="79" t="s">
        <v>213</v>
      </c>
      <c r="J658" s="73">
        <f t="shared" si="51"/>
        <v>1</v>
      </c>
      <c r="K658" s="74" t="s">
        <v>204</v>
      </c>
      <c r="L658" s="97" t="s">
        <v>3149</v>
      </c>
      <c r="Q658" s="76" t="s">
        <v>2383</v>
      </c>
      <c r="R658" s="73">
        <f t="shared" si="52"/>
        <v>1</v>
      </c>
      <c r="S658" s="260" t="s">
        <v>1976</v>
      </c>
      <c r="T658" s="260"/>
      <c r="U658" s="260"/>
      <c r="V658" s="260"/>
      <c r="W658" s="260"/>
      <c r="X658" s="260"/>
      <c r="Y658" s="565"/>
      <c r="Z658" s="565"/>
      <c r="AA658" s="566">
        <f t="shared" si="50"/>
        <v>0</v>
      </c>
      <c r="AB658" s="699"/>
    </row>
    <row r="659" spans="1:28" ht="15.75" customHeight="1" x14ac:dyDescent="0.3">
      <c r="A659" s="79" t="s">
        <v>3118</v>
      </c>
      <c r="C659" s="81">
        <v>43810</v>
      </c>
      <c r="D659" s="109">
        <v>43840</v>
      </c>
      <c r="E659" s="560"/>
      <c r="F659" s="86" t="s">
        <v>3119</v>
      </c>
      <c r="G659" s="86" t="s">
        <v>156</v>
      </c>
      <c r="H659" s="79" t="s">
        <v>213</v>
      </c>
      <c r="J659" s="73">
        <f t="shared" si="51"/>
        <v>1</v>
      </c>
      <c r="K659" s="74" t="s">
        <v>204</v>
      </c>
      <c r="L659" s="97" t="s">
        <v>3146</v>
      </c>
      <c r="Q659" s="301" t="s">
        <v>2142</v>
      </c>
      <c r="R659" s="73">
        <f t="shared" si="52"/>
        <v>1</v>
      </c>
      <c r="S659" s="260" t="s">
        <v>1976</v>
      </c>
      <c r="T659" s="260"/>
      <c r="U659" s="260"/>
      <c r="V659" s="260"/>
      <c r="W659" s="260"/>
      <c r="X659" s="260"/>
      <c r="Y659" s="565"/>
      <c r="Z659" s="565"/>
      <c r="AA659" s="566">
        <f t="shared" si="50"/>
        <v>0</v>
      </c>
      <c r="AB659" s="699"/>
    </row>
    <row r="660" spans="1:28" ht="15.75" customHeight="1" x14ac:dyDescent="0.3">
      <c r="A660" s="96" t="s">
        <v>3124</v>
      </c>
      <c r="C660" s="115">
        <v>43810</v>
      </c>
      <c r="D660" s="312">
        <v>43840</v>
      </c>
      <c r="E660" s="560"/>
      <c r="F660" s="252" t="s">
        <v>3129</v>
      </c>
      <c r="G660" s="86" t="s">
        <v>154</v>
      </c>
      <c r="H660" s="79" t="s">
        <v>213</v>
      </c>
      <c r="I660" s="97" t="s">
        <v>3150</v>
      </c>
      <c r="J660" s="73">
        <f t="shared" ref="J660:J663" si="53">IF(OR(K660="Документы готовы",K660="Запрос в ФО",K660="ЭЗ",K660="РЕШ",K660="РЕШ шаблон"),0.1,IF(OR(K660="ЭЗ согласование",K660="РЕШ согласование"),0.3,IF(OR(K660="ЭЗ согласовано",K660="РЕШ согласовано",K660="РЕШ подписано"),0.6,IF(OR(K660="ЭЗ ПР согласование",K660="РЕШ УВ согласование"),0.9,IF(OR(K660="ЭЗ ПР DONE",K660="РЕШ УВ DONE"),1,0)))))</f>
        <v>1</v>
      </c>
      <c r="K660" s="74" t="s">
        <v>204</v>
      </c>
      <c r="L660" s="97" t="s">
        <v>4586</v>
      </c>
      <c r="N660" s="76" t="s">
        <v>17</v>
      </c>
      <c r="Q660" s="301" t="s">
        <v>2417</v>
      </c>
      <c r="R660" s="73">
        <f t="shared" ref="R660:R663" si="54">IF(S660="В работе",0.3,IF(S660="Отписано",0.6,IF(S660="На доработку",0.9,IF(S660="Согласовано",1,0))))</f>
        <v>1</v>
      </c>
      <c r="S660" s="260" t="s">
        <v>1976</v>
      </c>
      <c r="T660" s="260"/>
      <c r="U660" s="260"/>
      <c r="V660" s="260"/>
      <c r="W660" s="260"/>
      <c r="X660" s="260"/>
      <c r="Y660" s="565"/>
      <c r="Z660" s="565"/>
      <c r="AA660" s="566">
        <f t="shared" si="50"/>
        <v>0</v>
      </c>
      <c r="AB660" s="699"/>
    </row>
    <row r="661" spans="1:28" ht="15.75" customHeight="1" x14ac:dyDescent="0.3">
      <c r="A661" s="79" t="s">
        <v>3167</v>
      </c>
      <c r="C661" s="81">
        <v>43782</v>
      </c>
      <c r="D661" s="109">
        <v>43847</v>
      </c>
      <c r="E661" s="560"/>
      <c r="F661" s="86" t="s">
        <v>3168</v>
      </c>
      <c r="G661" s="86" t="s">
        <v>152</v>
      </c>
      <c r="H661" s="79" t="s">
        <v>213</v>
      </c>
      <c r="I661" s="97" t="s">
        <v>995</v>
      </c>
      <c r="J661" s="73">
        <f t="shared" si="53"/>
        <v>1</v>
      </c>
      <c r="K661" s="74" t="s">
        <v>204</v>
      </c>
      <c r="N661" s="76" t="s">
        <v>19</v>
      </c>
      <c r="Q661" s="76" t="s">
        <v>2076</v>
      </c>
      <c r="R661" s="73">
        <f t="shared" si="54"/>
        <v>1</v>
      </c>
      <c r="S661" s="260" t="s">
        <v>1976</v>
      </c>
      <c r="T661" s="260"/>
      <c r="U661" s="260"/>
      <c r="V661" s="260"/>
      <c r="W661" s="260"/>
      <c r="X661" s="260"/>
      <c r="Y661" s="565"/>
      <c r="Z661" s="565"/>
      <c r="AA661" s="566">
        <f t="shared" si="50"/>
        <v>0</v>
      </c>
      <c r="AB661" s="699"/>
    </row>
    <row r="662" spans="1:28" ht="15.75" customHeight="1" x14ac:dyDescent="0.3">
      <c r="A662" s="96" t="s">
        <v>3169</v>
      </c>
      <c r="C662" s="81">
        <v>43817</v>
      </c>
      <c r="D662" s="109">
        <v>43847</v>
      </c>
      <c r="E662" s="560"/>
      <c r="F662" s="86" t="s">
        <v>3170</v>
      </c>
      <c r="G662" s="86" t="s">
        <v>147</v>
      </c>
      <c r="H662" s="79" t="s">
        <v>213</v>
      </c>
      <c r="I662" s="97" t="s">
        <v>645</v>
      </c>
      <c r="J662" s="73">
        <f t="shared" si="53"/>
        <v>1</v>
      </c>
      <c r="K662" s="74" t="s">
        <v>204</v>
      </c>
      <c r="L662" s="97" t="s">
        <v>3397</v>
      </c>
      <c r="N662" s="76" t="s">
        <v>18</v>
      </c>
      <c r="Q662" s="76" t="s">
        <v>2076</v>
      </c>
      <c r="R662" s="73">
        <f t="shared" si="54"/>
        <v>1</v>
      </c>
      <c r="S662" s="260" t="s">
        <v>1976</v>
      </c>
      <c r="T662" s="260"/>
      <c r="U662" s="260"/>
      <c r="V662" s="260"/>
      <c r="W662" s="260"/>
      <c r="X662" s="260"/>
      <c r="Y662" s="565"/>
      <c r="Z662" s="565"/>
      <c r="AA662" s="566">
        <f t="shared" si="50"/>
        <v>0</v>
      </c>
      <c r="AB662" s="699"/>
    </row>
    <row r="663" spans="1:28" ht="15.75" customHeight="1" x14ac:dyDescent="0.3">
      <c r="A663" s="79" t="s">
        <v>3171</v>
      </c>
      <c r="C663" s="81">
        <v>43817</v>
      </c>
      <c r="D663" s="109">
        <v>43847</v>
      </c>
      <c r="E663" s="560"/>
      <c r="F663" s="86" t="s">
        <v>3172</v>
      </c>
      <c r="G663" s="86" t="s">
        <v>158</v>
      </c>
      <c r="H663" s="79" t="s">
        <v>213</v>
      </c>
      <c r="I663" s="97" t="s">
        <v>649</v>
      </c>
      <c r="J663" s="73">
        <f t="shared" si="53"/>
        <v>1</v>
      </c>
      <c r="K663" s="74" t="s">
        <v>204</v>
      </c>
      <c r="N663" s="76" t="s">
        <v>17</v>
      </c>
      <c r="Q663" s="76" t="s">
        <v>2076</v>
      </c>
      <c r="R663" s="73">
        <f t="shared" si="54"/>
        <v>1</v>
      </c>
      <c r="S663" s="260" t="s">
        <v>1976</v>
      </c>
      <c r="T663" s="260"/>
      <c r="U663" s="260"/>
      <c r="V663" s="260"/>
      <c r="W663" s="260"/>
      <c r="X663" s="260"/>
      <c r="Y663" s="565"/>
      <c r="Z663" s="565"/>
      <c r="AA663" s="566">
        <f t="shared" si="50"/>
        <v>0</v>
      </c>
      <c r="AB663" s="699"/>
    </row>
    <row r="664" spans="1:28" ht="15.75" customHeight="1" x14ac:dyDescent="0.3">
      <c r="A664" s="96" t="s">
        <v>3175</v>
      </c>
      <c r="C664" s="81">
        <v>43817</v>
      </c>
      <c r="D664" s="109">
        <v>43847</v>
      </c>
      <c r="E664" s="560"/>
      <c r="F664" s="86" t="s">
        <v>3176</v>
      </c>
      <c r="G664" s="86" t="s">
        <v>152</v>
      </c>
      <c r="H664" s="96" t="s">
        <v>213</v>
      </c>
      <c r="I664" s="97" t="s">
        <v>645</v>
      </c>
      <c r="J664" s="73">
        <f t="shared" ref="J664:J665" si="55">IF(OR(K664="Документы готовы",K664="Запрос в ФО",K664="ЭЗ",K664="РЕШ",K664="РЕШ шаблон"),0.1,IF(OR(K664="ЭЗ согласование",K664="РЕШ согласование"),0.3,IF(OR(K664="ЭЗ согласовано",K664="РЕШ согласовано",K664="РЕШ подписано"),0.6,IF(OR(K664="ЭЗ ПР согласование",K664="РЕШ УВ согласование"),0.9,IF(OR(K664="ЭЗ ПР DONE",K664="РЕШ УВ DONE"),1,0)))))</f>
        <v>1</v>
      </c>
      <c r="K664" s="74" t="s">
        <v>204</v>
      </c>
      <c r="L664" s="97" t="s">
        <v>456</v>
      </c>
      <c r="N664" s="76" t="s">
        <v>17</v>
      </c>
      <c r="Q664" s="76" t="s">
        <v>2037</v>
      </c>
      <c r="R664" s="73">
        <f t="shared" ref="R664:R665" si="56">IF(S664="В работе",0.3,IF(S664="Отписано",0.6,IF(S664="На доработку",0.9,IF(S664="Согласовано",1,0))))</f>
        <v>1</v>
      </c>
      <c r="S664" s="260" t="s">
        <v>1976</v>
      </c>
      <c r="T664" s="260"/>
      <c r="U664" s="260"/>
      <c r="V664" s="260"/>
      <c r="W664" s="260"/>
      <c r="X664" s="260"/>
      <c r="Y664" s="565"/>
      <c r="Z664" s="565"/>
      <c r="AA664" s="566">
        <f t="shared" si="50"/>
        <v>0</v>
      </c>
      <c r="AB664" s="699"/>
    </row>
    <row r="665" spans="1:28" ht="15.75" customHeight="1" x14ac:dyDescent="0.3">
      <c r="A665" s="96" t="s">
        <v>3177</v>
      </c>
      <c r="C665" s="81">
        <v>43804</v>
      </c>
      <c r="D665" s="109">
        <v>43847</v>
      </c>
      <c r="E665" s="560"/>
      <c r="F665" s="86" t="s">
        <v>3178</v>
      </c>
      <c r="G665" s="86" t="s">
        <v>410</v>
      </c>
      <c r="H665" s="79" t="s">
        <v>213</v>
      </c>
      <c r="I665" s="97" t="s">
        <v>645</v>
      </c>
      <c r="J665" s="73">
        <f t="shared" si="55"/>
        <v>1</v>
      </c>
      <c r="K665" s="74" t="s">
        <v>204</v>
      </c>
      <c r="N665" s="76" t="s">
        <v>17</v>
      </c>
      <c r="Q665" s="76" t="s">
        <v>2142</v>
      </c>
      <c r="R665" s="73">
        <f t="shared" si="56"/>
        <v>1</v>
      </c>
      <c r="S665" s="260" t="s">
        <v>1976</v>
      </c>
      <c r="T665" s="260"/>
      <c r="U665" s="260"/>
      <c r="V665" s="260"/>
      <c r="W665" s="260"/>
      <c r="X665" s="260"/>
      <c r="Y665" s="565"/>
      <c r="Z665" s="565"/>
      <c r="AA665" s="566">
        <f t="shared" si="50"/>
        <v>0</v>
      </c>
      <c r="AB665" s="699"/>
    </row>
    <row r="666" spans="1:28" ht="15.75" customHeight="1" x14ac:dyDescent="0.3">
      <c r="A666" s="96" t="s">
        <v>3181</v>
      </c>
      <c r="C666" s="81">
        <v>43817</v>
      </c>
      <c r="D666" s="109">
        <v>43847</v>
      </c>
      <c r="E666" s="560"/>
      <c r="F666" s="86" t="s">
        <v>3182</v>
      </c>
      <c r="G666" s="86" t="s">
        <v>158</v>
      </c>
      <c r="H666" s="79" t="s">
        <v>213</v>
      </c>
      <c r="I666" s="97" t="s">
        <v>3391</v>
      </c>
      <c r="J666" s="73">
        <f t="shared" ref="J666:J691" si="57">IF(OR(K666="Документы готовы",K666="Запрос в ФО",K666="ЭЗ",K666="РЕШ",K666="РЕШ шаблон"),0.1,IF(OR(K666="ЭЗ согласование",K666="РЕШ согласование"),0.3,IF(OR(K666="ЭЗ согласовано",K666="РЕШ согласовано",K666="РЕШ подписано"),0.6,IF(OR(K666="ЭЗ ПР согласование",K666="РЕШ УВ согласование"),0.9,IF(OR(K666="ЭЗ ПР DONE",K666="РЕШ УВ DONE"),1,0)))))</f>
        <v>1</v>
      </c>
      <c r="K666" s="74" t="s">
        <v>204</v>
      </c>
      <c r="N666" s="76" t="s">
        <v>18</v>
      </c>
      <c r="Q666" s="76" t="s">
        <v>2142</v>
      </c>
      <c r="R666" s="73">
        <f t="shared" ref="R666:R691" si="58">IF(S666="В работе",0.3,IF(S666="Отписано",0.6,IF(S666="На доработку",0.9,IF(S666="Согласовано",1,0))))</f>
        <v>1</v>
      </c>
      <c r="S666" s="260" t="s">
        <v>1976</v>
      </c>
      <c r="T666" s="260"/>
      <c r="U666" s="260"/>
      <c r="V666" s="260"/>
      <c r="W666" s="260"/>
      <c r="X666" s="260"/>
      <c r="Y666" s="565"/>
      <c r="Z666" s="565"/>
      <c r="AA666" s="566">
        <f t="shared" si="50"/>
        <v>0</v>
      </c>
      <c r="AB666" s="699"/>
    </row>
    <row r="667" spans="1:28" ht="15.75" customHeight="1" x14ac:dyDescent="0.3">
      <c r="A667" s="96" t="s">
        <v>3183</v>
      </c>
      <c r="C667" s="81">
        <v>43817</v>
      </c>
      <c r="D667" s="109">
        <v>43847</v>
      </c>
      <c r="E667" s="560"/>
      <c r="F667" s="86" t="s">
        <v>3184</v>
      </c>
      <c r="G667" s="86" t="s">
        <v>168</v>
      </c>
      <c r="H667" s="79" t="s">
        <v>213</v>
      </c>
      <c r="I667" s="97" t="s">
        <v>649</v>
      </c>
      <c r="J667" s="73">
        <f t="shared" si="57"/>
        <v>1</v>
      </c>
      <c r="K667" s="74" t="s">
        <v>204</v>
      </c>
      <c r="N667" s="76" t="s">
        <v>17</v>
      </c>
      <c r="Q667" s="301" t="s">
        <v>2142</v>
      </c>
      <c r="R667" s="73">
        <f t="shared" si="58"/>
        <v>1</v>
      </c>
      <c r="S667" s="260" t="s">
        <v>1976</v>
      </c>
      <c r="T667" s="260"/>
      <c r="U667" s="260"/>
      <c r="V667" s="260"/>
      <c r="W667" s="260"/>
      <c r="X667" s="260"/>
      <c r="Y667" s="565"/>
      <c r="Z667" s="565"/>
      <c r="AA667" s="566">
        <f t="shared" si="50"/>
        <v>0</v>
      </c>
      <c r="AB667" s="699"/>
    </row>
    <row r="668" spans="1:28" ht="15.75" customHeight="1" x14ac:dyDescent="0.3">
      <c r="A668" s="96" t="s">
        <v>3185</v>
      </c>
      <c r="C668" s="81">
        <v>43798</v>
      </c>
      <c r="D668" s="109">
        <v>43843</v>
      </c>
      <c r="E668" s="560"/>
      <c r="F668" s="97" t="s">
        <v>3186</v>
      </c>
      <c r="G668" s="97" t="s">
        <v>154</v>
      </c>
      <c r="H668" s="96" t="s">
        <v>213</v>
      </c>
      <c r="J668" s="73">
        <f t="shared" si="57"/>
        <v>1</v>
      </c>
      <c r="K668" s="74" t="s">
        <v>204</v>
      </c>
      <c r="Q668" s="301" t="s">
        <v>2417</v>
      </c>
      <c r="R668" s="73">
        <f t="shared" si="58"/>
        <v>1</v>
      </c>
      <c r="S668" s="260" t="s">
        <v>1976</v>
      </c>
      <c r="T668" s="260"/>
      <c r="U668" s="260"/>
      <c r="V668" s="260"/>
      <c r="W668" s="260"/>
      <c r="X668" s="260"/>
      <c r="Y668" s="565"/>
      <c r="Z668" s="565"/>
      <c r="AA668" s="566">
        <f t="shared" si="50"/>
        <v>0</v>
      </c>
      <c r="AB668" s="699"/>
    </row>
    <row r="669" spans="1:28" ht="15.75" customHeight="1" x14ac:dyDescent="0.3">
      <c r="A669" s="96" t="s">
        <v>3190</v>
      </c>
      <c r="C669" s="81">
        <v>43798</v>
      </c>
      <c r="D669" s="109">
        <v>43844</v>
      </c>
      <c r="E669" s="560"/>
      <c r="F669" s="97" t="s">
        <v>3191</v>
      </c>
      <c r="G669" s="97" t="s">
        <v>1042</v>
      </c>
      <c r="H669" s="96" t="s">
        <v>213</v>
      </c>
      <c r="J669" s="73">
        <f t="shared" si="57"/>
        <v>1</v>
      </c>
      <c r="K669" s="74" t="s">
        <v>204</v>
      </c>
      <c r="Q669" s="301" t="s">
        <v>2417</v>
      </c>
      <c r="R669" s="73">
        <f t="shared" si="58"/>
        <v>1</v>
      </c>
      <c r="S669" s="260" t="s">
        <v>1976</v>
      </c>
      <c r="T669" s="260"/>
      <c r="U669" s="260"/>
      <c r="V669" s="260"/>
      <c r="W669" s="260"/>
      <c r="X669" s="260"/>
      <c r="Y669" s="565"/>
      <c r="Z669" s="565"/>
      <c r="AA669" s="566">
        <f t="shared" si="50"/>
        <v>0</v>
      </c>
      <c r="AB669" s="699"/>
    </row>
    <row r="670" spans="1:28" ht="15.75" customHeight="1" x14ac:dyDescent="0.3">
      <c r="A670" s="96" t="s">
        <v>3192</v>
      </c>
      <c r="C670" s="81">
        <v>43812</v>
      </c>
      <c r="D670" s="109">
        <v>43844</v>
      </c>
      <c r="E670" s="560"/>
      <c r="F670" s="97" t="s">
        <v>3193</v>
      </c>
      <c r="G670" s="97" t="s">
        <v>152</v>
      </c>
      <c r="H670" s="96" t="s">
        <v>213</v>
      </c>
      <c r="J670" s="73">
        <f t="shared" si="57"/>
        <v>1</v>
      </c>
      <c r="K670" s="74" t="s">
        <v>204</v>
      </c>
      <c r="Q670" s="76" t="s">
        <v>2417</v>
      </c>
      <c r="R670" s="73">
        <f t="shared" si="58"/>
        <v>1</v>
      </c>
      <c r="S670" s="260" t="s">
        <v>1976</v>
      </c>
      <c r="T670" s="260"/>
      <c r="U670" s="260"/>
      <c r="V670" s="260"/>
      <c r="W670" s="260"/>
      <c r="X670" s="260"/>
      <c r="Y670" s="565"/>
      <c r="Z670" s="565"/>
      <c r="AA670" s="566">
        <f t="shared" si="50"/>
        <v>0</v>
      </c>
      <c r="AB670" s="699"/>
    </row>
    <row r="671" spans="1:28" ht="15.75" customHeight="1" x14ac:dyDescent="0.3">
      <c r="A671" s="96" t="s">
        <v>3194</v>
      </c>
      <c r="C671" s="81">
        <v>43801</v>
      </c>
      <c r="D671" s="109">
        <v>43844</v>
      </c>
      <c r="E671" s="560"/>
      <c r="F671" s="97" t="s">
        <v>3195</v>
      </c>
      <c r="G671" s="97" t="s">
        <v>152</v>
      </c>
      <c r="H671" s="79" t="s">
        <v>213</v>
      </c>
      <c r="J671" s="73">
        <f t="shared" si="57"/>
        <v>1</v>
      </c>
      <c r="K671" s="74" t="s">
        <v>204</v>
      </c>
      <c r="Q671" s="301" t="s">
        <v>2417</v>
      </c>
      <c r="R671" s="73">
        <f t="shared" si="58"/>
        <v>1</v>
      </c>
      <c r="S671" s="260" t="s">
        <v>1976</v>
      </c>
      <c r="T671" s="260"/>
      <c r="U671" s="260"/>
      <c r="V671" s="260"/>
      <c r="W671" s="260"/>
      <c r="X671" s="260"/>
      <c r="Y671" s="565"/>
      <c r="Z671" s="565"/>
      <c r="AA671" s="566">
        <f t="shared" si="50"/>
        <v>0</v>
      </c>
      <c r="AB671" s="699"/>
    </row>
    <row r="672" spans="1:28" ht="15.75" customHeight="1" x14ac:dyDescent="0.3">
      <c r="A672" s="96" t="s">
        <v>3203</v>
      </c>
      <c r="C672" s="81">
        <v>43815</v>
      </c>
      <c r="D672" s="109">
        <v>43845</v>
      </c>
      <c r="E672" s="560"/>
      <c r="F672" s="97" t="s">
        <v>3204</v>
      </c>
      <c r="G672" s="97" t="s">
        <v>156</v>
      </c>
      <c r="H672" s="96" t="s">
        <v>213</v>
      </c>
      <c r="I672" s="97" t="s">
        <v>995</v>
      </c>
      <c r="J672" s="73">
        <f t="shared" si="57"/>
        <v>1</v>
      </c>
      <c r="K672" s="74" t="s">
        <v>204</v>
      </c>
      <c r="N672" s="76" t="s">
        <v>19</v>
      </c>
      <c r="Q672" s="301" t="s">
        <v>2417</v>
      </c>
      <c r="R672" s="73">
        <f t="shared" si="58"/>
        <v>1</v>
      </c>
      <c r="S672" s="260" t="s">
        <v>1976</v>
      </c>
      <c r="T672" s="260"/>
      <c r="U672" s="260"/>
      <c r="V672" s="260"/>
      <c r="W672" s="260"/>
      <c r="X672" s="260"/>
      <c r="Y672" s="565"/>
      <c r="Z672" s="565"/>
      <c r="AA672" s="566">
        <f t="shared" si="50"/>
        <v>0</v>
      </c>
      <c r="AB672" s="699"/>
    </row>
    <row r="673" spans="1:28" ht="15.75" customHeight="1" x14ac:dyDescent="0.3">
      <c r="A673" s="96" t="s">
        <v>3205</v>
      </c>
      <c r="C673" s="81">
        <v>43801</v>
      </c>
      <c r="D673" s="109">
        <v>43845</v>
      </c>
      <c r="E673" s="560"/>
      <c r="F673" s="97" t="s">
        <v>3208</v>
      </c>
      <c r="G673" s="97" t="s">
        <v>158</v>
      </c>
      <c r="H673" s="96" t="s">
        <v>213</v>
      </c>
      <c r="I673" s="97" t="s">
        <v>2008</v>
      </c>
      <c r="J673" s="73">
        <f t="shared" si="57"/>
        <v>1</v>
      </c>
      <c r="K673" s="74" t="s">
        <v>204</v>
      </c>
      <c r="N673" s="76" t="s">
        <v>17</v>
      </c>
      <c r="Q673" s="76" t="s">
        <v>2417</v>
      </c>
      <c r="R673" s="73">
        <f t="shared" si="58"/>
        <v>1</v>
      </c>
      <c r="S673" s="260" t="s">
        <v>1976</v>
      </c>
      <c r="T673" s="260"/>
      <c r="U673" s="260"/>
      <c r="V673" s="260"/>
      <c r="W673" s="260"/>
      <c r="X673" s="260"/>
      <c r="Y673" s="565"/>
      <c r="Z673" s="565"/>
      <c r="AA673" s="566">
        <f t="shared" si="50"/>
        <v>0</v>
      </c>
      <c r="AB673" s="699"/>
    </row>
    <row r="674" spans="1:28" ht="15.75" customHeight="1" x14ac:dyDescent="0.3">
      <c r="A674" s="96" t="s">
        <v>3206</v>
      </c>
      <c r="C674" s="81">
        <v>43802</v>
      </c>
      <c r="D674" s="109">
        <v>43845</v>
      </c>
      <c r="E674" s="560"/>
      <c r="F674" s="97" t="s">
        <v>3209</v>
      </c>
      <c r="G674" s="97" t="s">
        <v>152</v>
      </c>
      <c r="H674" s="96" t="s">
        <v>213</v>
      </c>
      <c r="I674" s="97" t="s">
        <v>1299</v>
      </c>
      <c r="J674" s="73">
        <f t="shared" si="57"/>
        <v>1</v>
      </c>
      <c r="K674" s="74" t="s">
        <v>204</v>
      </c>
      <c r="L674" s="97" t="s">
        <v>3213</v>
      </c>
      <c r="N674" s="76" t="s">
        <v>17</v>
      </c>
      <c r="Q674" s="76" t="s">
        <v>2417</v>
      </c>
      <c r="R674" s="73">
        <f t="shared" si="58"/>
        <v>1</v>
      </c>
      <c r="S674" s="260" t="s">
        <v>1976</v>
      </c>
      <c r="T674" s="260"/>
      <c r="U674" s="260"/>
      <c r="V674" s="260"/>
      <c r="W674" s="260"/>
      <c r="X674" s="260"/>
      <c r="Y674" s="565"/>
      <c r="Z674" s="565"/>
      <c r="AA674" s="566">
        <f t="shared" si="50"/>
        <v>0</v>
      </c>
      <c r="AB674" s="699"/>
    </row>
    <row r="675" spans="1:28" ht="15.75" customHeight="1" x14ac:dyDescent="0.3">
      <c r="A675" s="96" t="s">
        <v>3207</v>
      </c>
      <c r="C675" s="81">
        <v>43787</v>
      </c>
      <c r="D675" s="109">
        <v>43845</v>
      </c>
      <c r="E675" s="560"/>
      <c r="F675" s="97" t="s">
        <v>3210</v>
      </c>
      <c r="G675" s="97" t="s">
        <v>156</v>
      </c>
      <c r="H675" s="96" t="s">
        <v>213</v>
      </c>
      <c r="I675" s="97" t="s">
        <v>642</v>
      </c>
      <c r="J675" s="73">
        <f t="shared" si="57"/>
        <v>1</v>
      </c>
      <c r="K675" s="74" t="s">
        <v>204</v>
      </c>
      <c r="N675" s="76" t="s">
        <v>18</v>
      </c>
      <c r="Q675" s="301" t="s">
        <v>2417</v>
      </c>
      <c r="R675" s="73">
        <f t="shared" si="58"/>
        <v>1</v>
      </c>
      <c r="S675" s="260" t="s">
        <v>1976</v>
      </c>
      <c r="T675" s="260"/>
      <c r="U675" s="260"/>
      <c r="V675" s="260"/>
      <c r="W675" s="260"/>
      <c r="X675" s="260"/>
      <c r="Y675" s="565"/>
      <c r="Z675" s="565"/>
      <c r="AA675" s="566">
        <f t="shared" si="50"/>
        <v>0</v>
      </c>
      <c r="AB675" s="699"/>
    </row>
    <row r="676" spans="1:28" ht="15.75" customHeight="1" x14ac:dyDescent="0.3">
      <c r="A676" s="96" t="s">
        <v>3224</v>
      </c>
      <c r="C676" s="81">
        <v>43816</v>
      </c>
      <c r="D676" s="109">
        <v>43846</v>
      </c>
      <c r="E676" s="560"/>
      <c r="F676" s="97" t="s">
        <v>5971</v>
      </c>
      <c r="G676" s="97" t="s">
        <v>162</v>
      </c>
      <c r="H676" s="79" t="s">
        <v>213</v>
      </c>
      <c r="I676" s="97" t="s">
        <v>684</v>
      </c>
      <c r="J676" s="73">
        <f t="shared" si="57"/>
        <v>1</v>
      </c>
      <c r="K676" s="74" t="s">
        <v>204</v>
      </c>
      <c r="N676" s="76" t="s">
        <v>18</v>
      </c>
      <c r="Q676" s="301" t="s">
        <v>2417</v>
      </c>
      <c r="R676" s="73">
        <f t="shared" si="58"/>
        <v>1</v>
      </c>
      <c r="S676" s="260" t="s">
        <v>1976</v>
      </c>
      <c r="T676" s="260"/>
      <c r="U676" s="260"/>
      <c r="V676" s="260"/>
      <c r="W676" s="260"/>
      <c r="X676" s="260"/>
      <c r="Y676" s="565"/>
      <c r="Z676" s="565"/>
      <c r="AA676" s="566">
        <f t="shared" si="50"/>
        <v>0</v>
      </c>
      <c r="AB676" s="699"/>
    </row>
    <row r="677" spans="1:28" ht="15.75" customHeight="1" x14ac:dyDescent="0.3">
      <c r="A677" s="346" t="s">
        <v>3226</v>
      </c>
      <c r="C677" s="81">
        <v>43802</v>
      </c>
      <c r="D677" s="109">
        <v>43846</v>
      </c>
      <c r="E677" s="560"/>
      <c r="F677" s="97" t="s">
        <v>5972</v>
      </c>
      <c r="G677" s="97" t="s">
        <v>173</v>
      </c>
      <c r="H677" s="79" t="s">
        <v>213</v>
      </c>
      <c r="I677" s="97" t="s">
        <v>714</v>
      </c>
      <c r="J677" s="73">
        <f t="shared" si="57"/>
        <v>1</v>
      </c>
      <c r="K677" s="74" t="s">
        <v>204</v>
      </c>
      <c r="N677" s="76" t="s">
        <v>17</v>
      </c>
      <c r="Q677" s="76" t="s">
        <v>2417</v>
      </c>
      <c r="R677" s="73">
        <f t="shared" si="58"/>
        <v>1</v>
      </c>
      <c r="S677" s="260" t="s">
        <v>1976</v>
      </c>
      <c r="T677" s="260"/>
      <c r="U677" s="260"/>
      <c r="V677" s="260"/>
      <c r="W677" s="260"/>
      <c r="X677" s="260"/>
      <c r="Y677" s="565"/>
      <c r="Z677" s="565"/>
      <c r="AA677" s="566">
        <f t="shared" si="50"/>
        <v>0</v>
      </c>
      <c r="AB677" s="699"/>
    </row>
    <row r="678" spans="1:28" ht="15.75" customHeight="1" x14ac:dyDescent="0.3">
      <c r="A678" s="79" t="s">
        <v>2247</v>
      </c>
      <c r="C678" s="81">
        <v>43794</v>
      </c>
      <c r="D678" s="109">
        <v>43851</v>
      </c>
      <c r="E678" s="560"/>
      <c r="F678" s="86" t="s">
        <v>2248</v>
      </c>
      <c r="G678" s="86" t="s">
        <v>156</v>
      </c>
      <c r="H678" s="96" t="s">
        <v>213</v>
      </c>
      <c r="I678" s="97" t="s">
        <v>642</v>
      </c>
      <c r="J678" s="73">
        <f t="shared" si="57"/>
        <v>1</v>
      </c>
      <c r="K678" s="74" t="s">
        <v>204</v>
      </c>
      <c r="N678" s="76" t="s">
        <v>18</v>
      </c>
      <c r="Q678" s="76" t="s">
        <v>2076</v>
      </c>
      <c r="R678" s="73">
        <f t="shared" si="58"/>
        <v>1</v>
      </c>
      <c r="S678" s="260" t="s">
        <v>1976</v>
      </c>
      <c r="T678" s="260"/>
      <c r="U678" s="260"/>
      <c r="V678" s="260"/>
      <c r="W678" s="260"/>
      <c r="X678" s="260"/>
      <c r="Y678" s="565"/>
      <c r="Z678" s="565"/>
      <c r="AA678" s="566">
        <f t="shared" si="50"/>
        <v>0</v>
      </c>
      <c r="AB678" s="699"/>
    </row>
    <row r="679" spans="1:28" ht="15.75" customHeight="1" x14ac:dyDescent="0.3">
      <c r="A679" s="96" t="s">
        <v>2524</v>
      </c>
      <c r="C679" s="81">
        <v>43804</v>
      </c>
      <c r="D679" s="109">
        <v>43850</v>
      </c>
      <c r="E679" s="560"/>
      <c r="F679" s="86" t="s">
        <v>2525</v>
      </c>
      <c r="G679" s="86" t="s">
        <v>154</v>
      </c>
      <c r="H679" s="96" t="s">
        <v>213</v>
      </c>
      <c r="I679" s="97" t="s">
        <v>657</v>
      </c>
      <c r="J679" s="73">
        <f t="shared" si="57"/>
        <v>1</v>
      </c>
      <c r="K679" s="74" t="s">
        <v>204</v>
      </c>
      <c r="N679" s="76" t="s">
        <v>17</v>
      </c>
      <c r="Q679" s="76" t="s">
        <v>2076</v>
      </c>
      <c r="R679" s="73">
        <f t="shared" si="58"/>
        <v>1</v>
      </c>
      <c r="S679" s="260" t="s">
        <v>1976</v>
      </c>
      <c r="T679" s="260"/>
      <c r="U679" s="260"/>
      <c r="V679" s="260"/>
      <c r="W679" s="260"/>
      <c r="X679" s="260"/>
      <c r="Y679" s="565"/>
      <c r="Z679" s="565"/>
      <c r="AA679" s="566">
        <f t="shared" si="50"/>
        <v>0</v>
      </c>
      <c r="AB679" s="699"/>
    </row>
    <row r="680" spans="1:28" ht="15.75" customHeight="1" x14ac:dyDescent="0.3">
      <c r="A680" s="79" t="s">
        <v>2528</v>
      </c>
      <c r="C680" s="81">
        <v>43804</v>
      </c>
      <c r="D680" s="109">
        <v>43850</v>
      </c>
      <c r="E680" s="560"/>
      <c r="F680" s="86" t="s">
        <v>2529</v>
      </c>
      <c r="G680" s="86" t="s">
        <v>150</v>
      </c>
      <c r="H680" s="96" t="s">
        <v>213</v>
      </c>
      <c r="J680" s="73">
        <f t="shared" si="57"/>
        <v>1</v>
      </c>
      <c r="K680" s="74" t="s">
        <v>204</v>
      </c>
      <c r="Q680" s="76" t="s">
        <v>2076</v>
      </c>
      <c r="R680" s="73">
        <f t="shared" si="58"/>
        <v>1</v>
      </c>
      <c r="S680" s="260" t="s">
        <v>1976</v>
      </c>
      <c r="T680" s="260"/>
      <c r="U680" s="260"/>
      <c r="V680" s="260"/>
      <c r="W680" s="260"/>
      <c r="X680" s="260"/>
      <c r="Y680" s="565"/>
      <c r="Z680" s="565"/>
      <c r="AA680" s="566">
        <f t="shared" si="50"/>
        <v>0</v>
      </c>
      <c r="AB680" s="699"/>
    </row>
    <row r="681" spans="1:28" ht="15.75" customHeight="1" x14ac:dyDescent="0.3">
      <c r="A681" s="79" t="s">
        <v>2538</v>
      </c>
      <c r="C681" s="81">
        <v>43808</v>
      </c>
      <c r="D681" s="109">
        <v>43852</v>
      </c>
      <c r="E681" s="560"/>
      <c r="F681" s="86" t="s">
        <v>2539</v>
      </c>
      <c r="G681" s="86" t="s">
        <v>187</v>
      </c>
      <c r="H681" s="96" t="s">
        <v>213</v>
      </c>
      <c r="I681" s="97" t="s">
        <v>642</v>
      </c>
      <c r="J681" s="73">
        <f t="shared" si="57"/>
        <v>1</v>
      </c>
      <c r="K681" s="74" t="s">
        <v>204</v>
      </c>
      <c r="N681" s="76" t="s">
        <v>18</v>
      </c>
      <c r="Q681" s="76" t="s">
        <v>2076</v>
      </c>
      <c r="R681" s="73">
        <f t="shared" si="58"/>
        <v>1</v>
      </c>
      <c r="S681" s="260" t="s">
        <v>1976</v>
      </c>
      <c r="T681" s="260"/>
      <c r="U681" s="260"/>
      <c r="V681" s="260"/>
      <c r="W681" s="260"/>
      <c r="X681" s="260"/>
      <c r="Y681" s="565"/>
      <c r="Z681" s="565"/>
      <c r="AA681" s="566">
        <f t="shared" si="50"/>
        <v>0</v>
      </c>
      <c r="AB681" s="699"/>
    </row>
    <row r="682" spans="1:28" ht="15.75" customHeight="1" x14ac:dyDescent="0.3">
      <c r="A682" s="79" t="s">
        <v>2540</v>
      </c>
      <c r="C682" s="81">
        <v>43808</v>
      </c>
      <c r="D682" s="109">
        <v>43852</v>
      </c>
      <c r="E682" s="560"/>
      <c r="F682" s="86" t="s">
        <v>2541</v>
      </c>
      <c r="G682" s="86" t="s">
        <v>181</v>
      </c>
      <c r="H682" s="96" t="s">
        <v>213</v>
      </c>
      <c r="I682" s="97" t="s">
        <v>642</v>
      </c>
      <c r="J682" s="73">
        <f t="shared" si="57"/>
        <v>1</v>
      </c>
      <c r="K682" s="74" t="s">
        <v>204</v>
      </c>
      <c r="N682" s="76" t="s">
        <v>18</v>
      </c>
      <c r="Q682" s="76" t="s">
        <v>2076</v>
      </c>
      <c r="R682" s="73">
        <f t="shared" si="58"/>
        <v>1</v>
      </c>
      <c r="S682" s="260" t="s">
        <v>1976</v>
      </c>
      <c r="T682" s="260"/>
      <c r="U682" s="260"/>
      <c r="V682" s="260"/>
      <c r="W682" s="260"/>
      <c r="X682" s="260"/>
      <c r="Y682" s="565"/>
      <c r="Z682" s="565"/>
      <c r="AA682" s="566">
        <f t="shared" si="50"/>
        <v>0</v>
      </c>
      <c r="AB682" s="699"/>
    </row>
    <row r="683" spans="1:28" ht="15.75" customHeight="1" x14ac:dyDescent="0.3">
      <c r="A683" s="79" t="s">
        <v>2546</v>
      </c>
      <c r="C683" s="81">
        <v>43808</v>
      </c>
      <c r="D683" s="109">
        <v>43852</v>
      </c>
      <c r="E683" s="560"/>
      <c r="F683" s="86" t="s">
        <v>2547</v>
      </c>
      <c r="G683" s="86" t="s">
        <v>156</v>
      </c>
      <c r="H683" s="96" t="s">
        <v>213</v>
      </c>
      <c r="I683" s="97" t="s">
        <v>714</v>
      </c>
      <c r="J683" s="73">
        <f t="shared" si="57"/>
        <v>1</v>
      </c>
      <c r="K683" s="74" t="s">
        <v>204</v>
      </c>
      <c r="N683" s="76" t="s">
        <v>17</v>
      </c>
      <c r="Q683" s="76" t="s">
        <v>2076</v>
      </c>
      <c r="R683" s="73">
        <f t="shared" si="58"/>
        <v>1</v>
      </c>
      <c r="S683" s="260" t="s">
        <v>1976</v>
      </c>
      <c r="T683" s="260"/>
      <c r="U683" s="260"/>
      <c r="V683" s="260"/>
      <c r="W683" s="260"/>
      <c r="X683" s="260"/>
      <c r="Y683" s="565"/>
      <c r="Z683" s="565"/>
      <c r="AA683" s="566">
        <f t="shared" si="50"/>
        <v>0</v>
      </c>
      <c r="AB683" s="699"/>
    </row>
    <row r="684" spans="1:28" ht="15.75" customHeight="1" x14ac:dyDescent="0.3">
      <c r="A684" s="79" t="s">
        <v>2921</v>
      </c>
      <c r="C684" s="81">
        <v>43809</v>
      </c>
      <c r="D684" s="109">
        <v>43853</v>
      </c>
      <c r="E684" s="560"/>
      <c r="F684" s="86" t="s">
        <v>2922</v>
      </c>
      <c r="G684" s="86" t="s">
        <v>154</v>
      </c>
      <c r="H684" s="96" t="s">
        <v>213</v>
      </c>
      <c r="I684" s="97" t="s">
        <v>714</v>
      </c>
      <c r="J684" s="73">
        <f t="shared" si="57"/>
        <v>1</v>
      </c>
      <c r="K684" s="74" t="s">
        <v>204</v>
      </c>
      <c r="N684" s="76" t="s">
        <v>17</v>
      </c>
      <c r="Q684" s="76" t="s">
        <v>2076</v>
      </c>
      <c r="R684" s="73">
        <f t="shared" si="58"/>
        <v>1</v>
      </c>
      <c r="S684" s="260" t="s">
        <v>1976</v>
      </c>
      <c r="T684" s="260"/>
      <c r="U684" s="260"/>
      <c r="V684" s="260"/>
      <c r="W684" s="260"/>
      <c r="X684" s="260"/>
      <c r="Y684" s="565"/>
      <c r="Z684" s="565"/>
      <c r="AA684" s="566">
        <f t="shared" si="50"/>
        <v>0</v>
      </c>
      <c r="AB684" s="699"/>
    </row>
    <row r="685" spans="1:28" ht="15.75" customHeight="1" x14ac:dyDescent="0.3">
      <c r="A685" s="79" t="s">
        <v>2927</v>
      </c>
      <c r="C685" s="81">
        <v>43810</v>
      </c>
      <c r="D685" s="109">
        <v>43854</v>
      </c>
      <c r="E685" s="560"/>
      <c r="F685" s="86" t="s">
        <v>2928</v>
      </c>
      <c r="G685" s="86" t="s">
        <v>152</v>
      </c>
      <c r="H685" s="96" t="s">
        <v>213</v>
      </c>
      <c r="I685" s="97" t="s">
        <v>714</v>
      </c>
      <c r="J685" s="73">
        <f t="shared" si="57"/>
        <v>1</v>
      </c>
      <c r="K685" s="74" t="s">
        <v>204</v>
      </c>
      <c r="N685" s="76" t="s">
        <v>17</v>
      </c>
      <c r="Q685" s="76" t="s">
        <v>2076</v>
      </c>
      <c r="R685" s="73">
        <f t="shared" si="58"/>
        <v>1</v>
      </c>
      <c r="S685" s="260" t="s">
        <v>1976</v>
      </c>
      <c r="T685" s="260"/>
      <c r="U685" s="260"/>
      <c r="V685" s="260"/>
      <c r="W685" s="260"/>
      <c r="X685" s="260"/>
      <c r="Y685" s="565"/>
      <c r="Z685" s="565"/>
      <c r="AA685" s="566">
        <f t="shared" si="50"/>
        <v>0</v>
      </c>
      <c r="AB685" s="699"/>
    </row>
    <row r="686" spans="1:28" ht="15.75" customHeight="1" x14ac:dyDescent="0.3">
      <c r="A686" s="79" t="s">
        <v>2931</v>
      </c>
      <c r="C686" s="81">
        <v>43811</v>
      </c>
      <c r="D686" s="109">
        <v>43857</v>
      </c>
      <c r="E686" s="560"/>
      <c r="F686" s="86" t="s">
        <v>2932</v>
      </c>
      <c r="G686" s="86" t="s">
        <v>147</v>
      </c>
      <c r="H686" s="96" t="s">
        <v>213</v>
      </c>
      <c r="I686" s="97" t="s">
        <v>642</v>
      </c>
      <c r="J686" s="73">
        <f t="shared" si="57"/>
        <v>1</v>
      </c>
      <c r="K686" s="74" t="s">
        <v>204</v>
      </c>
      <c r="N686" s="76" t="s">
        <v>18</v>
      </c>
      <c r="Q686" s="76" t="s">
        <v>2076</v>
      </c>
      <c r="R686" s="73">
        <f t="shared" si="58"/>
        <v>1</v>
      </c>
      <c r="S686" s="260" t="s">
        <v>1976</v>
      </c>
      <c r="T686" s="260"/>
      <c r="U686" s="260"/>
      <c r="V686" s="260"/>
      <c r="W686" s="260"/>
      <c r="X686" s="260"/>
      <c r="Y686" s="565"/>
      <c r="Z686" s="565"/>
      <c r="AA686" s="566">
        <f t="shared" ref="AA686:AA747" si="59">Z686-Y686</f>
        <v>0</v>
      </c>
      <c r="AB686" s="699"/>
    </row>
    <row r="687" spans="1:28" ht="15.75" customHeight="1" x14ac:dyDescent="0.3">
      <c r="A687" s="79" t="s">
        <v>2933</v>
      </c>
      <c r="C687" s="81">
        <v>43811</v>
      </c>
      <c r="D687" s="109">
        <v>43857</v>
      </c>
      <c r="E687" s="560"/>
      <c r="F687" s="86" t="s">
        <v>2934</v>
      </c>
      <c r="G687" s="86" t="s">
        <v>150</v>
      </c>
      <c r="H687" s="96" t="s">
        <v>213</v>
      </c>
      <c r="I687" s="97" t="s">
        <v>642</v>
      </c>
      <c r="J687" s="73">
        <f t="shared" si="57"/>
        <v>1</v>
      </c>
      <c r="K687" s="74" t="s">
        <v>204</v>
      </c>
      <c r="L687" s="97" t="s">
        <v>3638</v>
      </c>
      <c r="N687" s="76" t="s">
        <v>17</v>
      </c>
      <c r="Q687" s="76" t="s">
        <v>2076</v>
      </c>
      <c r="R687" s="73">
        <f t="shared" si="58"/>
        <v>1</v>
      </c>
      <c r="S687" s="260" t="s">
        <v>1976</v>
      </c>
      <c r="T687" s="260"/>
      <c r="U687" s="260"/>
      <c r="V687" s="260"/>
      <c r="W687" s="260"/>
      <c r="X687" s="260"/>
      <c r="Y687" s="565"/>
      <c r="Z687" s="565"/>
      <c r="AA687" s="566">
        <f t="shared" si="59"/>
        <v>0</v>
      </c>
      <c r="AB687" s="699"/>
    </row>
    <row r="688" spans="1:28" ht="15.75" customHeight="1" x14ac:dyDescent="0.3">
      <c r="A688" s="79" t="s">
        <v>2937</v>
      </c>
      <c r="C688" s="81">
        <v>43811</v>
      </c>
      <c r="D688" s="109">
        <v>43857</v>
      </c>
      <c r="E688" s="560"/>
      <c r="F688" s="86" t="s">
        <v>2938</v>
      </c>
      <c r="G688" s="86" t="s">
        <v>179</v>
      </c>
      <c r="H688" s="96" t="s">
        <v>213</v>
      </c>
      <c r="I688" s="97" t="s">
        <v>714</v>
      </c>
      <c r="J688" s="73">
        <f t="shared" si="57"/>
        <v>1</v>
      </c>
      <c r="K688" s="74" t="s">
        <v>204</v>
      </c>
      <c r="N688" s="76" t="s">
        <v>17</v>
      </c>
      <c r="Q688" s="76" t="s">
        <v>2076</v>
      </c>
      <c r="R688" s="73">
        <f t="shared" si="58"/>
        <v>1</v>
      </c>
      <c r="S688" s="260" t="s">
        <v>1976</v>
      </c>
      <c r="T688" s="260"/>
      <c r="U688" s="260"/>
      <c r="V688" s="260"/>
      <c r="W688" s="260"/>
      <c r="X688" s="260"/>
      <c r="Y688" s="565"/>
      <c r="Z688" s="565"/>
      <c r="AA688" s="566">
        <f t="shared" si="59"/>
        <v>0</v>
      </c>
      <c r="AB688" s="699"/>
    </row>
    <row r="689" spans="1:28" ht="15.75" customHeight="1" x14ac:dyDescent="0.3">
      <c r="A689" s="79" t="s">
        <v>3238</v>
      </c>
      <c r="C689" s="81">
        <v>43818</v>
      </c>
      <c r="D689" s="109">
        <v>43850</v>
      </c>
      <c r="E689" s="560"/>
      <c r="F689" s="86" t="s">
        <v>3239</v>
      </c>
      <c r="G689" s="86" t="s">
        <v>156</v>
      </c>
      <c r="H689" s="96" t="s">
        <v>213</v>
      </c>
      <c r="I689" s="97" t="s">
        <v>3468</v>
      </c>
      <c r="J689" s="73">
        <f t="shared" si="57"/>
        <v>1</v>
      </c>
      <c r="K689" s="74" t="s">
        <v>204</v>
      </c>
      <c r="N689" s="76" t="s">
        <v>17</v>
      </c>
      <c r="Q689" s="76" t="s">
        <v>2076</v>
      </c>
      <c r="R689" s="73">
        <f t="shared" si="58"/>
        <v>1</v>
      </c>
      <c r="S689" s="260" t="s">
        <v>1976</v>
      </c>
      <c r="T689" s="260"/>
      <c r="U689" s="260"/>
      <c r="V689" s="260"/>
      <c r="W689" s="260"/>
      <c r="X689" s="260"/>
      <c r="Y689" s="565"/>
      <c r="Z689" s="565"/>
      <c r="AA689" s="566">
        <f t="shared" si="59"/>
        <v>0</v>
      </c>
      <c r="AB689" s="699"/>
    </row>
    <row r="690" spans="1:28" ht="15.75" customHeight="1" x14ac:dyDescent="0.3">
      <c r="A690" s="96" t="s">
        <v>3240</v>
      </c>
      <c r="C690" s="81">
        <v>43818</v>
      </c>
      <c r="D690" s="109">
        <v>43850</v>
      </c>
      <c r="E690" s="560"/>
      <c r="F690" s="86" t="s">
        <v>3241</v>
      </c>
      <c r="G690" s="86" t="s">
        <v>152</v>
      </c>
      <c r="H690" s="96" t="s">
        <v>213</v>
      </c>
      <c r="I690" s="97" t="s">
        <v>645</v>
      </c>
      <c r="J690" s="73">
        <f t="shared" si="57"/>
        <v>1</v>
      </c>
      <c r="K690" s="74" t="s">
        <v>204</v>
      </c>
      <c r="L690" s="97" t="s">
        <v>3398</v>
      </c>
      <c r="N690" s="76" t="s">
        <v>17</v>
      </c>
      <c r="Q690" s="76" t="s">
        <v>2076</v>
      </c>
      <c r="R690" s="73">
        <f t="shared" si="58"/>
        <v>1</v>
      </c>
      <c r="S690" s="260" t="s">
        <v>1976</v>
      </c>
      <c r="T690" s="260"/>
      <c r="U690" s="260"/>
      <c r="V690" s="260"/>
      <c r="W690" s="260"/>
      <c r="X690" s="260"/>
      <c r="Y690" s="565"/>
      <c r="Z690" s="565"/>
      <c r="AA690" s="566">
        <f t="shared" si="59"/>
        <v>0</v>
      </c>
      <c r="AB690" s="699"/>
    </row>
    <row r="691" spans="1:28" ht="15.75" customHeight="1" x14ac:dyDescent="0.3">
      <c r="A691" s="79" t="s">
        <v>3242</v>
      </c>
      <c r="C691" s="81">
        <v>43819</v>
      </c>
      <c r="D691" s="109">
        <v>43851</v>
      </c>
      <c r="E691" s="560"/>
      <c r="F691" s="86" t="s">
        <v>3243</v>
      </c>
      <c r="G691" s="86" t="s">
        <v>152</v>
      </c>
      <c r="H691" s="96" t="s">
        <v>213</v>
      </c>
      <c r="I691" s="97" t="s">
        <v>3473</v>
      </c>
      <c r="J691" s="73">
        <f t="shared" si="57"/>
        <v>1</v>
      </c>
      <c r="K691" s="74" t="s">
        <v>204</v>
      </c>
      <c r="N691" s="76" t="s">
        <v>18</v>
      </c>
      <c r="Q691" s="76" t="s">
        <v>2076</v>
      </c>
      <c r="R691" s="73">
        <f t="shared" si="58"/>
        <v>1</v>
      </c>
      <c r="S691" s="260" t="s">
        <v>1976</v>
      </c>
      <c r="T691" s="260"/>
      <c r="U691" s="260"/>
      <c r="V691" s="260"/>
      <c r="W691" s="260"/>
      <c r="X691" s="260"/>
      <c r="Y691" s="565"/>
      <c r="Z691" s="565"/>
      <c r="AA691" s="566">
        <f t="shared" si="59"/>
        <v>0</v>
      </c>
      <c r="AB691" s="699"/>
    </row>
    <row r="692" spans="1:28" ht="15.75" customHeight="1" x14ac:dyDescent="0.3">
      <c r="A692" s="79" t="s">
        <v>3252</v>
      </c>
      <c r="C692" s="81">
        <v>43822</v>
      </c>
      <c r="D692" s="109">
        <v>43852</v>
      </c>
      <c r="E692" s="560"/>
      <c r="F692" s="86" t="s">
        <v>3253</v>
      </c>
      <c r="G692" s="86" t="s">
        <v>158</v>
      </c>
      <c r="H692" s="96" t="s">
        <v>213</v>
      </c>
      <c r="I692" s="97" t="s">
        <v>649</v>
      </c>
      <c r="J692" s="73">
        <f t="shared" ref="J692" si="60">IF(OR(K692="Документы готовы",K692="Запрос в ФО",K692="ЭЗ",K692="РЕШ",K692="РЕШ шаблон"),0.1,IF(OR(K692="ЭЗ согласование",K692="РЕШ согласование"),0.3,IF(OR(K692="ЭЗ согласовано",K692="РЕШ согласовано",K692="РЕШ подписано"),0.6,IF(OR(K692="ЭЗ ПР согласование",K692="РЕШ УВ согласование"),0.9,IF(OR(K692="ЭЗ ПР DONE",K692="РЕШ УВ DONE"),1,0)))))</f>
        <v>1</v>
      </c>
      <c r="K692" s="74" t="s">
        <v>204</v>
      </c>
      <c r="N692" s="76" t="s">
        <v>17</v>
      </c>
      <c r="Q692" s="76" t="s">
        <v>2076</v>
      </c>
      <c r="R692" s="73">
        <f t="shared" ref="R692" si="61">IF(S692="В работе",0.3,IF(S692="Отписано",0.6,IF(S692="На доработку",0.9,IF(S692="Согласовано",1,0))))</f>
        <v>1</v>
      </c>
      <c r="S692" s="260" t="s">
        <v>1976</v>
      </c>
      <c r="T692" s="260"/>
      <c r="U692" s="260"/>
      <c r="V692" s="260"/>
      <c r="W692" s="260"/>
      <c r="X692" s="260"/>
      <c r="Y692" s="565"/>
      <c r="Z692" s="565"/>
      <c r="AA692" s="566">
        <f t="shared" si="59"/>
        <v>0</v>
      </c>
      <c r="AB692" s="699"/>
    </row>
    <row r="693" spans="1:28" ht="15.75" customHeight="1" x14ac:dyDescent="0.3">
      <c r="A693" s="79" t="s">
        <v>3256</v>
      </c>
      <c r="C693" s="81">
        <v>43823</v>
      </c>
      <c r="D693" s="109">
        <v>43853</v>
      </c>
      <c r="E693" s="560"/>
      <c r="F693" s="86" t="s">
        <v>3257</v>
      </c>
      <c r="G693" s="86" t="s">
        <v>158</v>
      </c>
      <c r="H693" s="96" t="s">
        <v>213</v>
      </c>
      <c r="J693" s="73">
        <f t="shared" ref="J693:J725" si="62">IF(OR(K693="Документы готовы",K693="Запрос в ФО",K693="ЭЗ",K693="РЕШ",K693="РЕШ шаблон"),0.1,IF(OR(K693="ЭЗ согласование",K693="РЕШ согласование"),0.3,IF(OR(K693="ЭЗ согласовано",K693="РЕШ согласовано",K693="РЕШ подписано"),0.6,IF(OR(K693="ЭЗ ПР согласование",K693="РЕШ УВ согласование"),0.9,IF(OR(K693="ЭЗ ПР DONE",K693="РЕШ УВ DONE"),1,0)))))</f>
        <v>1</v>
      </c>
      <c r="K693" s="74" t="s">
        <v>204</v>
      </c>
      <c r="N693" s="76" t="s">
        <v>17</v>
      </c>
      <c r="Q693" s="76" t="s">
        <v>2076</v>
      </c>
      <c r="R693" s="73">
        <f t="shared" ref="R693:R725" si="63">IF(S693="В работе",0.3,IF(S693="Отписано",0.6,IF(S693="На доработку",0.9,IF(S693="Согласовано",1,0))))</f>
        <v>1</v>
      </c>
      <c r="S693" s="260" t="s">
        <v>1976</v>
      </c>
      <c r="T693" s="260"/>
      <c r="U693" s="260"/>
      <c r="V693" s="260"/>
      <c r="W693" s="260"/>
      <c r="X693" s="260"/>
      <c r="Y693" s="565"/>
      <c r="Z693" s="565"/>
      <c r="AA693" s="566">
        <f t="shared" si="59"/>
        <v>0</v>
      </c>
      <c r="AB693" s="699"/>
    </row>
    <row r="694" spans="1:28" ht="15.75" customHeight="1" x14ac:dyDescent="0.3">
      <c r="A694" s="96" t="s">
        <v>3264</v>
      </c>
      <c r="C694" s="81">
        <v>43797</v>
      </c>
      <c r="D694" s="109">
        <v>43850</v>
      </c>
      <c r="E694" s="560"/>
      <c r="F694" s="86" t="s">
        <v>3265</v>
      </c>
      <c r="G694" s="86" t="s">
        <v>158</v>
      </c>
      <c r="H694" s="96" t="s">
        <v>213</v>
      </c>
      <c r="I694" s="97" t="s">
        <v>691</v>
      </c>
      <c r="J694" s="73">
        <f t="shared" si="62"/>
        <v>1</v>
      </c>
      <c r="K694" s="74" t="s">
        <v>204</v>
      </c>
      <c r="L694" s="97" t="s">
        <v>3466</v>
      </c>
      <c r="N694" s="76" t="s">
        <v>18</v>
      </c>
      <c r="Q694" s="76" t="s">
        <v>2037</v>
      </c>
      <c r="R694" s="73">
        <f t="shared" si="63"/>
        <v>1</v>
      </c>
      <c r="S694" s="260" t="s">
        <v>1976</v>
      </c>
      <c r="T694" s="260"/>
      <c r="U694" s="260"/>
      <c r="V694" s="260"/>
      <c r="W694" s="260"/>
      <c r="X694" s="260"/>
      <c r="Y694" s="565"/>
      <c r="Z694" s="565"/>
      <c r="AA694" s="566">
        <f t="shared" si="59"/>
        <v>0</v>
      </c>
      <c r="AB694" s="699"/>
    </row>
    <row r="695" spans="1:28" ht="15.75" customHeight="1" x14ac:dyDescent="0.3">
      <c r="A695" s="96" t="s">
        <v>2758</v>
      </c>
      <c r="C695" s="81">
        <v>43804</v>
      </c>
      <c r="D695" s="109">
        <v>43850</v>
      </c>
      <c r="E695" s="560"/>
      <c r="F695" s="86" t="s">
        <v>2783</v>
      </c>
      <c r="G695" s="86" t="s">
        <v>152</v>
      </c>
      <c r="H695" s="96" t="s">
        <v>213</v>
      </c>
      <c r="I695" s="97" t="s">
        <v>3467</v>
      </c>
      <c r="J695" s="73">
        <f t="shared" si="62"/>
        <v>1</v>
      </c>
      <c r="K695" s="74" t="s">
        <v>204</v>
      </c>
      <c r="N695" s="76" t="s">
        <v>17</v>
      </c>
      <c r="Q695" s="76" t="s">
        <v>2037</v>
      </c>
      <c r="R695" s="73">
        <f t="shared" si="63"/>
        <v>1</v>
      </c>
      <c r="S695" s="260" t="s">
        <v>1976</v>
      </c>
      <c r="T695" s="260"/>
      <c r="U695" s="260"/>
      <c r="V695" s="260"/>
      <c r="W695" s="260"/>
      <c r="X695" s="260"/>
      <c r="Y695" s="565"/>
      <c r="Z695" s="565"/>
      <c r="AA695" s="566">
        <f t="shared" si="59"/>
        <v>0</v>
      </c>
      <c r="AB695" s="699"/>
    </row>
    <row r="696" spans="1:28" ht="15.75" customHeight="1" x14ac:dyDescent="0.3">
      <c r="A696" s="79" t="s">
        <v>3266</v>
      </c>
      <c r="C696" s="81">
        <v>43808</v>
      </c>
      <c r="D696" s="109">
        <v>43852</v>
      </c>
      <c r="E696" s="560"/>
      <c r="F696" s="86" t="s">
        <v>3267</v>
      </c>
      <c r="G696" s="86" t="s">
        <v>147</v>
      </c>
      <c r="H696" s="96" t="s">
        <v>213</v>
      </c>
      <c r="I696" s="97" t="s">
        <v>642</v>
      </c>
      <c r="J696" s="73">
        <f t="shared" si="62"/>
        <v>1</v>
      </c>
      <c r="K696" s="74" t="s">
        <v>204</v>
      </c>
      <c r="N696" s="76" t="s">
        <v>18</v>
      </c>
      <c r="Q696" s="76" t="s">
        <v>2037</v>
      </c>
      <c r="R696" s="73">
        <f t="shared" si="63"/>
        <v>1</v>
      </c>
      <c r="S696" s="260" t="s">
        <v>1976</v>
      </c>
      <c r="T696" s="260"/>
      <c r="U696" s="260"/>
      <c r="V696" s="260"/>
      <c r="W696" s="260"/>
      <c r="X696" s="260"/>
      <c r="Y696" s="565"/>
      <c r="Z696" s="565"/>
      <c r="AA696" s="566">
        <f t="shared" si="59"/>
        <v>0</v>
      </c>
      <c r="AB696" s="699"/>
    </row>
    <row r="697" spans="1:28" ht="15.75" customHeight="1" x14ac:dyDescent="0.3">
      <c r="A697" s="96" t="s">
        <v>3268</v>
      </c>
      <c r="C697" s="81">
        <v>43808</v>
      </c>
      <c r="D697" s="109">
        <v>43852</v>
      </c>
      <c r="E697" s="560"/>
      <c r="F697" s="86" t="s">
        <v>3269</v>
      </c>
      <c r="G697" s="86" t="s">
        <v>157</v>
      </c>
      <c r="H697" s="96" t="s">
        <v>213</v>
      </c>
      <c r="J697" s="73">
        <f t="shared" si="62"/>
        <v>1</v>
      </c>
      <c r="K697" s="74" t="s">
        <v>204</v>
      </c>
      <c r="N697" s="76" t="s">
        <v>18</v>
      </c>
      <c r="Q697" s="76" t="s">
        <v>2037</v>
      </c>
      <c r="R697" s="73">
        <f t="shared" si="63"/>
        <v>1</v>
      </c>
      <c r="S697" s="260" t="s">
        <v>1976</v>
      </c>
      <c r="T697" s="260"/>
      <c r="U697" s="260"/>
      <c r="V697" s="260"/>
      <c r="W697" s="260"/>
      <c r="X697" s="260"/>
      <c r="Y697" s="565"/>
      <c r="Z697" s="565"/>
      <c r="AA697" s="566">
        <f t="shared" si="59"/>
        <v>0</v>
      </c>
      <c r="AB697" s="699"/>
    </row>
    <row r="698" spans="1:28" ht="15.75" customHeight="1" x14ac:dyDescent="0.3">
      <c r="A698" s="96" t="s">
        <v>2982</v>
      </c>
      <c r="C698" s="81">
        <v>43808</v>
      </c>
      <c r="D698" s="109">
        <v>43851</v>
      </c>
      <c r="E698" s="560"/>
      <c r="F698" s="86" t="s">
        <v>2983</v>
      </c>
      <c r="G698" s="86" t="s">
        <v>150</v>
      </c>
      <c r="H698" s="96" t="s">
        <v>213</v>
      </c>
      <c r="I698" s="97" t="s">
        <v>714</v>
      </c>
      <c r="J698" s="73">
        <f t="shared" si="62"/>
        <v>1</v>
      </c>
      <c r="K698" s="74" t="s">
        <v>204</v>
      </c>
      <c r="N698" s="76" t="s">
        <v>17</v>
      </c>
      <c r="Q698" s="76" t="s">
        <v>2037</v>
      </c>
      <c r="R698" s="73">
        <f t="shared" si="63"/>
        <v>1</v>
      </c>
      <c r="S698" s="260" t="s">
        <v>1976</v>
      </c>
      <c r="T698" s="260"/>
      <c r="U698" s="260"/>
      <c r="V698" s="260"/>
      <c r="W698" s="260"/>
      <c r="X698" s="260"/>
      <c r="Y698" s="565"/>
      <c r="Z698" s="565"/>
      <c r="AA698" s="566">
        <f t="shared" si="59"/>
        <v>0</v>
      </c>
      <c r="AB698" s="699"/>
    </row>
    <row r="699" spans="1:28" ht="15.75" customHeight="1" x14ac:dyDescent="0.3">
      <c r="A699" s="96" t="s">
        <v>2984</v>
      </c>
      <c r="C699" s="81">
        <v>43808</v>
      </c>
      <c r="D699" s="109">
        <v>43851</v>
      </c>
      <c r="E699" s="560"/>
      <c r="F699" s="86" t="s">
        <v>2985</v>
      </c>
      <c r="G699" s="86" t="s">
        <v>158</v>
      </c>
      <c r="H699" s="96" t="s">
        <v>213</v>
      </c>
      <c r="I699" s="97" t="s">
        <v>714</v>
      </c>
      <c r="J699" s="73">
        <f t="shared" si="62"/>
        <v>1</v>
      </c>
      <c r="K699" s="74" t="s">
        <v>204</v>
      </c>
      <c r="N699" s="76" t="s">
        <v>17</v>
      </c>
      <c r="Q699" s="76" t="s">
        <v>2037</v>
      </c>
      <c r="R699" s="73">
        <f t="shared" si="63"/>
        <v>1</v>
      </c>
      <c r="S699" s="260" t="s">
        <v>1976</v>
      </c>
      <c r="T699" s="260"/>
      <c r="U699" s="260"/>
      <c r="V699" s="260"/>
      <c r="W699" s="260"/>
      <c r="X699" s="260"/>
      <c r="Y699" s="565"/>
      <c r="Z699" s="565"/>
      <c r="AA699" s="566">
        <f t="shared" si="59"/>
        <v>0</v>
      </c>
      <c r="AB699" s="699"/>
    </row>
    <row r="700" spans="1:28" ht="15.75" customHeight="1" x14ac:dyDescent="0.3">
      <c r="A700" s="96" t="s">
        <v>2992</v>
      </c>
      <c r="C700" s="81">
        <v>43810</v>
      </c>
      <c r="D700" s="109">
        <v>43853</v>
      </c>
      <c r="E700" s="560"/>
      <c r="F700" s="86" t="s">
        <v>2993</v>
      </c>
      <c r="G700" s="86" t="s">
        <v>189</v>
      </c>
      <c r="H700" s="96" t="s">
        <v>213</v>
      </c>
      <c r="I700" s="97" t="s">
        <v>714</v>
      </c>
      <c r="J700" s="73">
        <f t="shared" si="62"/>
        <v>1</v>
      </c>
      <c r="K700" s="74" t="s">
        <v>204</v>
      </c>
      <c r="N700" s="76" t="s">
        <v>17</v>
      </c>
      <c r="Q700" s="76" t="s">
        <v>2037</v>
      </c>
      <c r="R700" s="73">
        <f t="shared" si="63"/>
        <v>1</v>
      </c>
      <c r="S700" s="260" t="s">
        <v>1976</v>
      </c>
      <c r="T700" s="260"/>
      <c r="U700" s="260"/>
      <c r="V700" s="260"/>
      <c r="W700" s="260"/>
      <c r="X700" s="260"/>
      <c r="Y700" s="565"/>
      <c r="Z700" s="565"/>
      <c r="AA700" s="566">
        <f t="shared" si="59"/>
        <v>0</v>
      </c>
      <c r="AB700" s="699"/>
    </row>
    <row r="701" spans="1:28" ht="15.75" customHeight="1" x14ac:dyDescent="0.3">
      <c r="A701" s="96" t="s">
        <v>3270</v>
      </c>
      <c r="C701" s="81">
        <v>43810</v>
      </c>
      <c r="D701" s="109">
        <v>43853</v>
      </c>
      <c r="E701" s="560"/>
      <c r="F701" s="86" t="s">
        <v>3271</v>
      </c>
      <c r="G701" s="86" t="s">
        <v>172</v>
      </c>
      <c r="H701" s="96" t="s">
        <v>213</v>
      </c>
      <c r="I701" s="97" t="s">
        <v>714</v>
      </c>
      <c r="J701" s="73">
        <f t="shared" si="62"/>
        <v>1</v>
      </c>
      <c r="K701" s="74" t="s">
        <v>204</v>
      </c>
      <c r="N701" s="76" t="s">
        <v>18</v>
      </c>
      <c r="Q701" s="76" t="s">
        <v>2037</v>
      </c>
      <c r="R701" s="73">
        <f t="shared" si="63"/>
        <v>1</v>
      </c>
      <c r="S701" s="260" t="s">
        <v>1976</v>
      </c>
      <c r="T701" s="260"/>
      <c r="U701" s="260"/>
      <c r="V701" s="260"/>
      <c r="W701" s="260"/>
      <c r="X701" s="260"/>
      <c r="Y701" s="565"/>
      <c r="Z701" s="565"/>
      <c r="AA701" s="566">
        <f t="shared" si="59"/>
        <v>0</v>
      </c>
      <c r="AB701" s="699"/>
    </row>
    <row r="702" spans="1:28" ht="15.75" customHeight="1" x14ac:dyDescent="0.3">
      <c r="A702" s="96" t="s">
        <v>2996</v>
      </c>
      <c r="C702" s="81">
        <v>43811</v>
      </c>
      <c r="D702" s="109">
        <v>43854</v>
      </c>
      <c r="E702" s="560"/>
      <c r="F702" s="86" t="s">
        <v>2997</v>
      </c>
      <c r="G702" s="86" t="s">
        <v>158</v>
      </c>
      <c r="H702" s="96" t="s">
        <v>213</v>
      </c>
      <c r="I702" s="97" t="s">
        <v>714</v>
      </c>
      <c r="J702" s="73">
        <f t="shared" si="62"/>
        <v>1</v>
      </c>
      <c r="K702" s="74" t="s">
        <v>204</v>
      </c>
      <c r="N702" s="76" t="s">
        <v>18</v>
      </c>
      <c r="Q702" s="76" t="s">
        <v>2037</v>
      </c>
      <c r="R702" s="73">
        <f t="shared" si="63"/>
        <v>1</v>
      </c>
      <c r="S702" s="260" t="s">
        <v>1976</v>
      </c>
      <c r="T702" s="260"/>
      <c r="U702" s="260"/>
      <c r="V702" s="260"/>
      <c r="W702" s="260"/>
      <c r="X702" s="260"/>
      <c r="Y702" s="565"/>
      <c r="Z702" s="565"/>
      <c r="AA702" s="566">
        <f t="shared" si="59"/>
        <v>0</v>
      </c>
      <c r="AB702" s="699"/>
    </row>
    <row r="703" spans="1:28" ht="15.75" customHeight="1" x14ac:dyDescent="0.3">
      <c r="A703" s="96" t="s">
        <v>2998</v>
      </c>
      <c r="C703" s="81">
        <v>43811</v>
      </c>
      <c r="D703" s="109">
        <v>43854</v>
      </c>
      <c r="E703" s="560"/>
      <c r="F703" s="86" t="s">
        <v>2999</v>
      </c>
      <c r="G703" s="86" t="s">
        <v>150</v>
      </c>
      <c r="H703" s="96" t="s">
        <v>213</v>
      </c>
      <c r="I703" s="97" t="s">
        <v>714</v>
      </c>
      <c r="J703" s="73">
        <f t="shared" si="62"/>
        <v>1</v>
      </c>
      <c r="K703" s="74" t="s">
        <v>204</v>
      </c>
      <c r="N703" s="76" t="s">
        <v>17</v>
      </c>
      <c r="Q703" s="76" t="s">
        <v>2037</v>
      </c>
      <c r="R703" s="73">
        <f t="shared" si="63"/>
        <v>1</v>
      </c>
      <c r="S703" s="260" t="s">
        <v>1976</v>
      </c>
      <c r="T703" s="260"/>
      <c r="U703" s="260"/>
      <c r="V703" s="260"/>
      <c r="W703" s="260"/>
      <c r="X703" s="260"/>
      <c r="Y703" s="565"/>
      <c r="Z703" s="565"/>
      <c r="AA703" s="566">
        <f t="shared" si="59"/>
        <v>0</v>
      </c>
      <c r="AB703" s="699"/>
    </row>
    <row r="704" spans="1:28" ht="15.75" customHeight="1" x14ac:dyDescent="0.3">
      <c r="A704" s="96" t="s">
        <v>3000</v>
      </c>
      <c r="C704" s="81">
        <v>43812</v>
      </c>
      <c r="D704" s="109">
        <v>43857</v>
      </c>
      <c r="E704" s="560"/>
      <c r="F704" s="86" t="s">
        <v>3001</v>
      </c>
      <c r="G704" s="86" t="s">
        <v>156</v>
      </c>
      <c r="H704" s="96" t="s">
        <v>213</v>
      </c>
      <c r="I704" s="97" t="s">
        <v>641</v>
      </c>
      <c r="J704" s="73">
        <f t="shared" si="62"/>
        <v>1</v>
      </c>
      <c r="K704" s="74" t="s">
        <v>204</v>
      </c>
      <c r="N704" s="76" t="s">
        <v>17</v>
      </c>
      <c r="Q704" s="76" t="s">
        <v>2037</v>
      </c>
      <c r="R704" s="73">
        <f t="shared" si="63"/>
        <v>1</v>
      </c>
      <c r="S704" s="260" t="s">
        <v>1976</v>
      </c>
      <c r="T704" s="260"/>
      <c r="U704" s="260"/>
      <c r="V704" s="260"/>
      <c r="W704" s="260"/>
      <c r="X704" s="260"/>
      <c r="Y704" s="565"/>
      <c r="Z704" s="565"/>
      <c r="AA704" s="566">
        <f t="shared" si="59"/>
        <v>0</v>
      </c>
      <c r="AB704" s="699"/>
    </row>
    <row r="705" spans="1:28" ht="15.75" customHeight="1" x14ac:dyDescent="0.3">
      <c r="A705" s="96" t="s">
        <v>3004</v>
      </c>
      <c r="C705" s="81">
        <v>43812</v>
      </c>
      <c r="D705" s="109">
        <v>43857</v>
      </c>
      <c r="E705" s="560"/>
      <c r="F705" s="86" t="s">
        <v>3005</v>
      </c>
      <c r="G705" s="86" t="s">
        <v>150</v>
      </c>
      <c r="H705" s="96" t="s">
        <v>213</v>
      </c>
      <c r="I705" s="97" t="s">
        <v>645</v>
      </c>
      <c r="J705" s="73">
        <f t="shared" si="62"/>
        <v>1</v>
      </c>
      <c r="K705" s="74" t="s">
        <v>204</v>
      </c>
      <c r="N705" s="76" t="s">
        <v>17</v>
      </c>
      <c r="Q705" s="76" t="s">
        <v>2037</v>
      </c>
      <c r="R705" s="73">
        <f t="shared" si="63"/>
        <v>1</v>
      </c>
      <c r="S705" s="260" t="s">
        <v>1976</v>
      </c>
      <c r="T705" s="260"/>
      <c r="U705" s="260"/>
      <c r="V705" s="260"/>
      <c r="W705" s="260"/>
      <c r="X705" s="260"/>
      <c r="Y705" s="565"/>
      <c r="Z705" s="565"/>
      <c r="AA705" s="566">
        <f t="shared" si="59"/>
        <v>0</v>
      </c>
      <c r="AB705" s="699"/>
    </row>
    <row r="706" spans="1:28" ht="15.75" customHeight="1" x14ac:dyDescent="0.3">
      <c r="A706" s="96" t="s">
        <v>3006</v>
      </c>
      <c r="C706" s="81">
        <v>43812</v>
      </c>
      <c r="D706" s="109">
        <v>43857</v>
      </c>
      <c r="E706" s="560"/>
      <c r="F706" s="86" t="s">
        <v>3007</v>
      </c>
      <c r="G706" s="86" t="s">
        <v>150</v>
      </c>
      <c r="H706" s="96" t="s">
        <v>213</v>
      </c>
      <c r="J706" s="73">
        <f t="shared" si="62"/>
        <v>1</v>
      </c>
      <c r="K706" s="74" t="s">
        <v>204</v>
      </c>
      <c r="N706" s="76" t="s">
        <v>17</v>
      </c>
      <c r="Q706" s="76" t="s">
        <v>2037</v>
      </c>
      <c r="R706" s="73">
        <f t="shared" si="63"/>
        <v>1</v>
      </c>
      <c r="S706" s="260" t="s">
        <v>1976</v>
      </c>
      <c r="T706" s="260"/>
      <c r="U706" s="260"/>
      <c r="V706" s="260"/>
      <c r="W706" s="260"/>
      <c r="X706" s="260"/>
      <c r="Y706" s="565"/>
      <c r="Z706" s="565"/>
      <c r="AA706" s="566">
        <f t="shared" si="59"/>
        <v>0</v>
      </c>
      <c r="AB706" s="699"/>
    </row>
    <row r="707" spans="1:28" ht="15.75" customHeight="1" x14ac:dyDescent="0.3">
      <c r="A707" s="79" t="s">
        <v>3274</v>
      </c>
      <c r="C707" s="81">
        <v>43822</v>
      </c>
      <c r="D707" s="109">
        <v>43851</v>
      </c>
      <c r="E707" s="560"/>
      <c r="F707" s="86" t="s">
        <v>3275</v>
      </c>
      <c r="G707" s="86" t="s">
        <v>154</v>
      </c>
      <c r="H707" s="96" t="s">
        <v>213</v>
      </c>
      <c r="I707" s="97" t="s">
        <v>995</v>
      </c>
      <c r="J707" s="73">
        <f t="shared" si="62"/>
        <v>1</v>
      </c>
      <c r="K707" s="74" t="s">
        <v>204</v>
      </c>
      <c r="N707" s="76" t="s">
        <v>19</v>
      </c>
      <c r="Q707" s="76" t="s">
        <v>2037</v>
      </c>
      <c r="R707" s="73">
        <f t="shared" si="63"/>
        <v>1</v>
      </c>
      <c r="S707" s="260" t="s">
        <v>1976</v>
      </c>
      <c r="T707" s="260"/>
      <c r="U707" s="260"/>
      <c r="V707" s="260"/>
      <c r="W707" s="260"/>
      <c r="X707" s="260"/>
      <c r="Y707" s="565"/>
      <c r="Z707" s="565"/>
      <c r="AA707" s="566">
        <f t="shared" si="59"/>
        <v>0</v>
      </c>
      <c r="AB707" s="699"/>
    </row>
    <row r="708" spans="1:28" ht="15.75" customHeight="1" x14ac:dyDescent="0.3">
      <c r="A708" s="96" t="s">
        <v>3276</v>
      </c>
      <c r="C708" s="81">
        <v>43822</v>
      </c>
      <c r="D708" s="109">
        <v>43851</v>
      </c>
      <c r="E708" s="560"/>
      <c r="F708" s="86" t="s">
        <v>3277</v>
      </c>
      <c r="G708" s="86" t="s">
        <v>172</v>
      </c>
      <c r="H708" s="96" t="s">
        <v>213</v>
      </c>
      <c r="I708" s="97" t="s">
        <v>3391</v>
      </c>
      <c r="J708" s="73">
        <f t="shared" si="62"/>
        <v>1</v>
      </c>
      <c r="K708" s="74" t="s">
        <v>204</v>
      </c>
      <c r="N708" s="76" t="s">
        <v>18</v>
      </c>
      <c r="Q708" s="76" t="s">
        <v>2037</v>
      </c>
      <c r="R708" s="73">
        <f t="shared" si="63"/>
        <v>1</v>
      </c>
      <c r="S708" s="260" t="s">
        <v>1976</v>
      </c>
      <c r="T708" s="260"/>
      <c r="U708" s="260"/>
      <c r="V708" s="260"/>
      <c r="W708" s="260"/>
      <c r="X708" s="260"/>
      <c r="Y708" s="565"/>
      <c r="Z708" s="565"/>
      <c r="AA708" s="566">
        <f t="shared" si="59"/>
        <v>0</v>
      </c>
      <c r="AB708" s="699"/>
    </row>
    <row r="709" spans="1:28" ht="15.75" customHeight="1" x14ac:dyDescent="0.3">
      <c r="A709" s="96" t="s">
        <v>3281</v>
      </c>
      <c r="C709" s="81">
        <v>43822</v>
      </c>
      <c r="D709" s="109">
        <v>43851</v>
      </c>
      <c r="E709" s="560"/>
      <c r="F709" s="86" t="s">
        <v>3282</v>
      </c>
      <c r="G709" s="86" t="s">
        <v>147</v>
      </c>
      <c r="H709" s="96" t="s">
        <v>213</v>
      </c>
      <c r="I709" s="97" t="s">
        <v>649</v>
      </c>
      <c r="J709" s="73">
        <f t="shared" si="62"/>
        <v>1</v>
      </c>
      <c r="K709" s="74" t="s">
        <v>204</v>
      </c>
      <c r="L709" s="97" t="s">
        <v>3474</v>
      </c>
      <c r="N709" s="76" t="s">
        <v>17</v>
      </c>
      <c r="Q709" s="76" t="s">
        <v>2037</v>
      </c>
      <c r="R709" s="73">
        <f t="shared" si="63"/>
        <v>1</v>
      </c>
      <c r="S709" s="260" t="s">
        <v>1976</v>
      </c>
      <c r="T709" s="260"/>
      <c r="U709" s="260"/>
      <c r="V709" s="260"/>
      <c r="W709" s="260"/>
      <c r="X709" s="260"/>
      <c r="Y709" s="565"/>
      <c r="Z709" s="565"/>
      <c r="AA709" s="566">
        <f t="shared" si="59"/>
        <v>0</v>
      </c>
      <c r="AB709" s="699"/>
    </row>
    <row r="710" spans="1:28" ht="15.75" customHeight="1" x14ac:dyDescent="0.3">
      <c r="A710" s="96" t="s">
        <v>3285</v>
      </c>
      <c r="C710" s="81">
        <v>43823</v>
      </c>
      <c r="D710" s="109">
        <v>43852</v>
      </c>
      <c r="E710" s="560"/>
      <c r="F710" s="86" t="s">
        <v>3286</v>
      </c>
      <c r="G710" s="86" t="s">
        <v>158</v>
      </c>
      <c r="H710" s="79" t="s">
        <v>268</v>
      </c>
      <c r="I710" s="97" t="s">
        <v>649</v>
      </c>
      <c r="J710" s="73">
        <f t="shared" si="62"/>
        <v>1</v>
      </c>
      <c r="K710" s="74" t="s">
        <v>204</v>
      </c>
      <c r="N710" s="76" t="s">
        <v>17</v>
      </c>
      <c r="Q710" s="76" t="s">
        <v>2037</v>
      </c>
      <c r="R710" s="73">
        <f t="shared" si="63"/>
        <v>1</v>
      </c>
      <c r="S710" s="260" t="s">
        <v>1976</v>
      </c>
      <c r="T710" s="260"/>
      <c r="U710" s="260"/>
      <c r="V710" s="260"/>
      <c r="W710" s="260"/>
      <c r="X710" s="260"/>
      <c r="Y710" s="565"/>
      <c r="Z710" s="565"/>
      <c r="AA710" s="566">
        <f t="shared" si="59"/>
        <v>0</v>
      </c>
      <c r="AB710" s="699"/>
    </row>
    <row r="711" spans="1:28" ht="15.75" customHeight="1" x14ac:dyDescent="0.3">
      <c r="A711" s="96" t="s">
        <v>3287</v>
      </c>
      <c r="C711" s="81">
        <v>43823</v>
      </c>
      <c r="D711" s="109">
        <v>43852</v>
      </c>
      <c r="E711" s="560"/>
      <c r="F711" s="86" t="s">
        <v>3288</v>
      </c>
      <c r="G711" s="86" t="s">
        <v>150</v>
      </c>
      <c r="H711" s="96" t="s">
        <v>213</v>
      </c>
      <c r="I711" s="97" t="s">
        <v>3475</v>
      </c>
      <c r="J711" s="73">
        <f t="shared" si="62"/>
        <v>1</v>
      </c>
      <c r="K711" s="74" t="s">
        <v>204</v>
      </c>
      <c r="N711" s="76" t="s">
        <v>19</v>
      </c>
      <c r="Q711" s="76" t="s">
        <v>2037</v>
      </c>
      <c r="R711" s="73">
        <f t="shared" si="63"/>
        <v>1</v>
      </c>
      <c r="S711" s="260" t="s">
        <v>1976</v>
      </c>
      <c r="T711" s="260"/>
      <c r="U711" s="260"/>
      <c r="V711" s="260"/>
      <c r="W711" s="260"/>
      <c r="X711" s="260"/>
      <c r="Y711" s="565"/>
      <c r="Z711" s="565"/>
      <c r="AA711" s="566">
        <f t="shared" si="59"/>
        <v>0</v>
      </c>
      <c r="AB711" s="699"/>
    </row>
    <row r="712" spans="1:28" ht="15.75" customHeight="1" x14ac:dyDescent="0.3">
      <c r="A712" s="79" t="s">
        <v>3289</v>
      </c>
      <c r="C712" s="81">
        <v>43823</v>
      </c>
      <c r="D712" s="109">
        <v>43852</v>
      </c>
      <c r="E712" s="560"/>
      <c r="F712" s="86" t="s">
        <v>3290</v>
      </c>
      <c r="G712" s="86" t="s">
        <v>152</v>
      </c>
      <c r="H712" s="96" t="s">
        <v>213</v>
      </c>
      <c r="I712" s="97" t="s">
        <v>2183</v>
      </c>
      <c r="J712" s="73">
        <f t="shared" si="62"/>
        <v>1</v>
      </c>
      <c r="K712" s="74" t="s">
        <v>204</v>
      </c>
      <c r="N712" s="76" t="s">
        <v>18</v>
      </c>
      <c r="Q712" s="76" t="s">
        <v>2037</v>
      </c>
      <c r="R712" s="73">
        <f t="shared" si="63"/>
        <v>1</v>
      </c>
      <c r="S712" s="260" t="s">
        <v>1976</v>
      </c>
      <c r="T712" s="260"/>
      <c r="U712" s="260"/>
      <c r="V712" s="260"/>
      <c r="W712" s="260"/>
      <c r="X712" s="260"/>
      <c r="Y712" s="565"/>
      <c r="Z712" s="565"/>
      <c r="AA712" s="566">
        <f t="shared" si="59"/>
        <v>0</v>
      </c>
      <c r="AB712" s="699"/>
    </row>
    <row r="713" spans="1:28" ht="15.75" customHeight="1" x14ac:dyDescent="0.3">
      <c r="A713" s="79" t="s">
        <v>3291</v>
      </c>
      <c r="C713" s="81">
        <v>43823</v>
      </c>
      <c r="D713" s="109">
        <v>43852</v>
      </c>
      <c r="E713" s="560"/>
      <c r="F713" s="86" t="s">
        <v>3292</v>
      </c>
      <c r="G713" s="86" t="s">
        <v>181</v>
      </c>
      <c r="H713" s="96" t="s">
        <v>213</v>
      </c>
      <c r="I713" s="97" t="s">
        <v>649</v>
      </c>
      <c r="J713" s="73">
        <f t="shared" si="62"/>
        <v>1</v>
      </c>
      <c r="K713" s="74" t="s">
        <v>204</v>
      </c>
      <c r="N713" s="76" t="s">
        <v>17</v>
      </c>
      <c r="Q713" s="76" t="s">
        <v>2037</v>
      </c>
      <c r="R713" s="73">
        <f t="shared" si="63"/>
        <v>1</v>
      </c>
      <c r="S713" s="260" t="s">
        <v>1976</v>
      </c>
      <c r="T713" s="260"/>
      <c r="U713" s="260"/>
      <c r="V713" s="260"/>
      <c r="W713" s="260"/>
      <c r="X713" s="260"/>
      <c r="Y713" s="565"/>
      <c r="Z713" s="565"/>
      <c r="AA713" s="566">
        <f t="shared" si="59"/>
        <v>0</v>
      </c>
      <c r="AB713" s="699"/>
    </row>
    <row r="714" spans="1:28" ht="15.75" customHeight="1" x14ac:dyDescent="0.3">
      <c r="A714" s="96" t="s">
        <v>3293</v>
      </c>
      <c r="C714" s="81">
        <v>43824</v>
      </c>
      <c r="D714" s="109">
        <v>43853</v>
      </c>
      <c r="E714" s="560"/>
      <c r="F714" s="86" t="s">
        <v>3294</v>
      </c>
      <c r="G714" s="86" t="s">
        <v>156</v>
      </c>
      <c r="H714" s="96" t="s">
        <v>213</v>
      </c>
      <c r="I714" s="97" t="s">
        <v>995</v>
      </c>
      <c r="J714" s="73">
        <f t="shared" si="62"/>
        <v>1</v>
      </c>
      <c r="K714" s="74" t="s">
        <v>204</v>
      </c>
      <c r="N714" s="76" t="s">
        <v>19</v>
      </c>
      <c r="Q714" s="76" t="s">
        <v>2037</v>
      </c>
      <c r="R714" s="73">
        <f t="shared" si="63"/>
        <v>1</v>
      </c>
      <c r="S714" s="260" t="s">
        <v>1976</v>
      </c>
      <c r="T714" s="260"/>
      <c r="U714" s="260"/>
      <c r="V714" s="260"/>
      <c r="W714" s="260"/>
      <c r="X714" s="260"/>
      <c r="Y714" s="565"/>
      <c r="Z714" s="565"/>
      <c r="AA714" s="566">
        <f t="shared" si="59"/>
        <v>0</v>
      </c>
      <c r="AB714" s="699"/>
    </row>
    <row r="715" spans="1:28" ht="15.75" customHeight="1" x14ac:dyDescent="0.3">
      <c r="A715" s="96" t="s">
        <v>3299</v>
      </c>
      <c r="C715" s="81">
        <v>43824</v>
      </c>
      <c r="D715" s="109">
        <v>43853</v>
      </c>
      <c r="E715" s="560"/>
      <c r="F715" s="86" t="s">
        <v>3300</v>
      </c>
      <c r="G715" s="86" t="s">
        <v>158</v>
      </c>
      <c r="H715" s="96" t="s">
        <v>213</v>
      </c>
      <c r="I715" s="97" t="s">
        <v>3475</v>
      </c>
      <c r="J715" s="73">
        <f t="shared" si="62"/>
        <v>1</v>
      </c>
      <c r="K715" s="74" t="s">
        <v>204</v>
      </c>
      <c r="N715" s="76" t="s">
        <v>17</v>
      </c>
      <c r="Q715" s="76" t="s">
        <v>2037</v>
      </c>
      <c r="R715" s="73">
        <f t="shared" si="63"/>
        <v>1</v>
      </c>
      <c r="S715" s="260" t="s">
        <v>1976</v>
      </c>
      <c r="T715" s="260"/>
      <c r="U715" s="260"/>
      <c r="V715" s="260"/>
      <c r="W715" s="260"/>
      <c r="X715" s="260"/>
      <c r="Y715" s="565"/>
      <c r="Z715" s="565"/>
      <c r="AA715" s="566">
        <f t="shared" si="59"/>
        <v>0</v>
      </c>
      <c r="AB715" s="699"/>
    </row>
    <row r="716" spans="1:28" ht="15.75" customHeight="1" x14ac:dyDescent="0.3">
      <c r="A716" s="79" t="s">
        <v>3303</v>
      </c>
      <c r="C716" s="81">
        <v>43824</v>
      </c>
      <c r="D716" s="109">
        <v>43854</v>
      </c>
      <c r="E716" s="560"/>
      <c r="F716" s="86" t="s">
        <v>3304</v>
      </c>
      <c r="G716" s="86" t="s">
        <v>156</v>
      </c>
      <c r="H716" s="96" t="s">
        <v>213</v>
      </c>
      <c r="J716" s="73">
        <f t="shared" si="62"/>
        <v>1</v>
      </c>
      <c r="K716" s="74" t="s">
        <v>204</v>
      </c>
      <c r="N716" s="76" t="s">
        <v>19</v>
      </c>
      <c r="Q716" s="76" t="s">
        <v>2037</v>
      </c>
      <c r="R716" s="73">
        <f t="shared" si="63"/>
        <v>1</v>
      </c>
      <c r="S716" s="260" t="s">
        <v>1976</v>
      </c>
      <c r="T716" s="260"/>
      <c r="U716" s="260"/>
      <c r="V716" s="260"/>
      <c r="W716" s="260"/>
      <c r="X716" s="260"/>
      <c r="Y716" s="565"/>
      <c r="Z716" s="565"/>
      <c r="AA716" s="566">
        <f t="shared" si="59"/>
        <v>0</v>
      </c>
      <c r="AB716" s="699"/>
    </row>
    <row r="717" spans="1:28" ht="15.75" customHeight="1" x14ac:dyDescent="0.3">
      <c r="A717" s="79" t="s">
        <v>3305</v>
      </c>
      <c r="C717" s="81">
        <v>43824</v>
      </c>
      <c r="D717" s="109">
        <v>43854</v>
      </c>
      <c r="E717" s="560"/>
      <c r="F717" s="86" t="s">
        <v>3306</v>
      </c>
      <c r="G717" s="86" t="s">
        <v>150</v>
      </c>
      <c r="H717" s="96" t="s">
        <v>213</v>
      </c>
      <c r="I717" s="97" t="s">
        <v>645</v>
      </c>
      <c r="J717" s="73">
        <f t="shared" si="62"/>
        <v>1</v>
      </c>
      <c r="K717" s="74" t="s">
        <v>204</v>
      </c>
      <c r="L717" s="97" t="s">
        <v>456</v>
      </c>
      <c r="N717" s="76" t="s">
        <v>17</v>
      </c>
      <c r="Q717" s="76" t="s">
        <v>2037</v>
      </c>
      <c r="R717" s="73">
        <f t="shared" si="63"/>
        <v>1</v>
      </c>
      <c r="S717" s="260" t="s">
        <v>1976</v>
      </c>
      <c r="T717" s="260"/>
      <c r="U717" s="260"/>
      <c r="V717" s="260"/>
      <c r="W717" s="260"/>
      <c r="X717" s="260"/>
      <c r="Y717" s="565"/>
      <c r="Z717" s="565"/>
      <c r="AA717" s="566">
        <f t="shared" si="59"/>
        <v>0</v>
      </c>
      <c r="AB717" s="699"/>
    </row>
    <row r="718" spans="1:28" ht="15.75" customHeight="1" x14ac:dyDescent="0.3">
      <c r="A718" s="79" t="s">
        <v>2708</v>
      </c>
      <c r="C718" s="81">
        <v>43805</v>
      </c>
      <c r="D718" s="109">
        <v>43850</v>
      </c>
      <c r="E718" s="560"/>
      <c r="F718" s="86" t="s">
        <v>2709</v>
      </c>
      <c r="G718" s="86" t="s">
        <v>189</v>
      </c>
      <c r="H718" s="96" t="s">
        <v>213</v>
      </c>
      <c r="I718" s="97" t="s">
        <v>1299</v>
      </c>
      <c r="J718" s="73">
        <f t="shared" si="62"/>
        <v>1</v>
      </c>
      <c r="K718" s="74" t="s">
        <v>204</v>
      </c>
      <c r="L718" s="97" t="s">
        <v>3223</v>
      </c>
      <c r="N718" s="76" t="s">
        <v>18</v>
      </c>
      <c r="Q718" s="76" t="s">
        <v>2109</v>
      </c>
      <c r="R718" s="73">
        <f t="shared" si="63"/>
        <v>1</v>
      </c>
      <c r="S718" s="260" t="s">
        <v>1976</v>
      </c>
      <c r="T718" s="260"/>
      <c r="U718" s="260"/>
      <c r="V718" s="260"/>
      <c r="W718" s="260"/>
      <c r="X718" s="260"/>
      <c r="Y718" s="565"/>
      <c r="Z718" s="565"/>
      <c r="AA718" s="566">
        <f t="shared" si="59"/>
        <v>0</v>
      </c>
      <c r="AB718" s="699"/>
    </row>
    <row r="719" spans="1:28" ht="15.75" customHeight="1" x14ac:dyDescent="0.3">
      <c r="A719" s="79" t="s">
        <v>2710</v>
      </c>
      <c r="C719" s="81">
        <v>43804</v>
      </c>
      <c r="D719" s="109">
        <v>43850</v>
      </c>
      <c r="E719" s="560"/>
      <c r="F719" s="86" t="s">
        <v>2711</v>
      </c>
      <c r="G719" s="86" t="s">
        <v>147</v>
      </c>
      <c r="H719" s="96" t="s">
        <v>213</v>
      </c>
      <c r="I719" s="97" t="s">
        <v>714</v>
      </c>
      <c r="J719" s="73">
        <f t="shared" si="62"/>
        <v>1</v>
      </c>
      <c r="K719" s="74" t="s">
        <v>204</v>
      </c>
      <c r="N719" s="76" t="s">
        <v>17</v>
      </c>
      <c r="Q719" s="76" t="s">
        <v>2109</v>
      </c>
      <c r="R719" s="73">
        <f t="shared" si="63"/>
        <v>1</v>
      </c>
      <c r="S719" s="260" t="s">
        <v>1976</v>
      </c>
      <c r="T719" s="260"/>
      <c r="U719" s="260"/>
      <c r="V719" s="260"/>
      <c r="W719" s="260"/>
      <c r="X719" s="260"/>
      <c r="Y719" s="565"/>
      <c r="Z719" s="565"/>
      <c r="AA719" s="566">
        <f t="shared" si="59"/>
        <v>0</v>
      </c>
      <c r="AB719" s="699"/>
    </row>
    <row r="720" spans="1:28" ht="15.75" customHeight="1" x14ac:dyDescent="0.3">
      <c r="A720" s="79" t="s">
        <v>2714</v>
      </c>
      <c r="C720" s="81">
        <v>43805</v>
      </c>
      <c r="D720" s="109">
        <v>43851</v>
      </c>
      <c r="E720" s="560"/>
      <c r="F720" s="86" t="s">
        <v>2715</v>
      </c>
      <c r="G720" s="86" t="s">
        <v>162</v>
      </c>
      <c r="H720" s="96" t="s">
        <v>213</v>
      </c>
      <c r="I720" s="97" t="s">
        <v>714</v>
      </c>
      <c r="J720" s="73">
        <f t="shared" si="62"/>
        <v>1</v>
      </c>
      <c r="K720" s="74" t="s">
        <v>204</v>
      </c>
      <c r="N720" s="76" t="s">
        <v>17</v>
      </c>
      <c r="Q720" s="76" t="s">
        <v>2109</v>
      </c>
      <c r="R720" s="73">
        <f t="shared" si="63"/>
        <v>1</v>
      </c>
      <c r="S720" s="260" t="s">
        <v>1976</v>
      </c>
      <c r="T720" s="260"/>
      <c r="U720" s="260"/>
      <c r="V720" s="260"/>
      <c r="W720" s="260"/>
      <c r="X720" s="260"/>
      <c r="Y720" s="565"/>
      <c r="Z720" s="565"/>
      <c r="AA720" s="566">
        <f t="shared" si="59"/>
        <v>0</v>
      </c>
      <c r="AB720" s="699"/>
    </row>
    <row r="721" spans="1:28" ht="15.75" customHeight="1" x14ac:dyDescent="0.3">
      <c r="A721" s="79" t="s">
        <v>2719</v>
      </c>
      <c r="C721" s="81">
        <v>43805</v>
      </c>
      <c r="D721" s="109">
        <v>43851</v>
      </c>
      <c r="E721" s="560"/>
      <c r="F721" s="86" t="s">
        <v>2720</v>
      </c>
      <c r="G721" s="86" t="s">
        <v>150</v>
      </c>
      <c r="H721" s="96" t="s">
        <v>213</v>
      </c>
      <c r="I721" s="97" t="s">
        <v>755</v>
      </c>
      <c r="J721" s="73">
        <f t="shared" si="62"/>
        <v>1</v>
      </c>
      <c r="K721" s="74" t="s">
        <v>204</v>
      </c>
      <c r="N721" s="76" t="s">
        <v>18</v>
      </c>
      <c r="Q721" s="76" t="s">
        <v>2109</v>
      </c>
      <c r="R721" s="73">
        <f t="shared" si="63"/>
        <v>1</v>
      </c>
      <c r="S721" s="260" t="s">
        <v>1976</v>
      </c>
      <c r="T721" s="260"/>
      <c r="U721" s="260"/>
      <c r="V721" s="260"/>
      <c r="W721" s="260"/>
      <c r="X721" s="260"/>
      <c r="Y721" s="565"/>
      <c r="Z721" s="565"/>
      <c r="AA721" s="566">
        <f t="shared" si="59"/>
        <v>0</v>
      </c>
      <c r="AB721" s="699"/>
    </row>
    <row r="722" spans="1:28" ht="15.75" customHeight="1" x14ac:dyDescent="0.3">
      <c r="A722" s="96" t="s">
        <v>2723</v>
      </c>
      <c r="C722" s="81">
        <v>43808</v>
      </c>
      <c r="D722" s="109">
        <v>43852</v>
      </c>
      <c r="E722" s="560"/>
      <c r="F722" s="86" t="s">
        <v>2724</v>
      </c>
      <c r="G722" s="86" t="s">
        <v>158</v>
      </c>
      <c r="H722" s="96" t="s">
        <v>213</v>
      </c>
      <c r="I722" s="97" t="s">
        <v>714</v>
      </c>
      <c r="J722" s="73">
        <f t="shared" si="62"/>
        <v>1</v>
      </c>
      <c r="K722" s="74" t="s">
        <v>204</v>
      </c>
      <c r="N722" s="76" t="s">
        <v>18</v>
      </c>
      <c r="Q722" s="76" t="s">
        <v>2109</v>
      </c>
      <c r="R722" s="73">
        <f t="shared" si="63"/>
        <v>1</v>
      </c>
      <c r="S722" s="260" t="s">
        <v>1976</v>
      </c>
      <c r="T722" s="260"/>
      <c r="U722" s="260"/>
      <c r="V722" s="260"/>
      <c r="W722" s="260"/>
      <c r="X722" s="260"/>
      <c r="Y722" s="565"/>
      <c r="Z722" s="565"/>
      <c r="AA722" s="566">
        <f t="shared" si="59"/>
        <v>0</v>
      </c>
      <c r="AB722" s="699"/>
    </row>
    <row r="723" spans="1:28" ht="15.75" customHeight="1" x14ac:dyDescent="0.3">
      <c r="A723" s="79" t="s">
        <v>3307</v>
      </c>
      <c r="C723" s="81">
        <v>43809</v>
      </c>
      <c r="D723" s="109">
        <v>43852</v>
      </c>
      <c r="E723" s="560"/>
      <c r="F723" s="86" t="s">
        <v>3308</v>
      </c>
      <c r="G723" s="86" t="s">
        <v>177</v>
      </c>
      <c r="H723" s="96" t="s">
        <v>213</v>
      </c>
      <c r="I723" s="97" t="s">
        <v>3477</v>
      </c>
      <c r="J723" s="73">
        <f t="shared" si="62"/>
        <v>1</v>
      </c>
      <c r="K723" s="74" t="s">
        <v>204</v>
      </c>
      <c r="N723" s="76" t="s">
        <v>19</v>
      </c>
      <c r="Q723" s="76" t="s">
        <v>2109</v>
      </c>
      <c r="R723" s="73">
        <f t="shared" si="63"/>
        <v>1</v>
      </c>
      <c r="S723" s="260" t="s">
        <v>1976</v>
      </c>
      <c r="T723" s="260"/>
      <c r="U723" s="260"/>
      <c r="V723" s="260"/>
      <c r="W723" s="260"/>
      <c r="X723" s="260"/>
      <c r="Y723" s="565"/>
      <c r="Z723" s="565"/>
      <c r="AA723" s="566">
        <f t="shared" si="59"/>
        <v>0</v>
      </c>
      <c r="AB723" s="699"/>
    </row>
    <row r="724" spans="1:28" ht="15.75" customHeight="1" x14ac:dyDescent="0.3">
      <c r="A724" s="79" t="s">
        <v>3078</v>
      </c>
      <c r="C724" s="81">
        <v>43809</v>
      </c>
      <c r="D724" s="109">
        <v>43853</v>
      </c>
      <c r="E724" s="560"/>
      <c r="F724" s="86" t="s">
        <v>3079</v>
      </c>
      <c r="G724" s="86" t="s">
        <v>150</v>
      </c>
      <c r="H724" s="96" t="s">
        <v>213</v>
      </c>
      <c r="I724" s="97" t="s">
        <v>714</v>
      </c>
      <c r="J724" s="73">
        <f t="shared" si="62"/>
        <v>1</v>
      </c>
      <c r="K724" s="74" t="s">
        <v>204</v>
      </c>
      <c r="N724" s="76" t="s">
        <v>17</v>
      </c>
      <c r="Q724" s="76" t="s">
        <v>2109</v>
      </c>
      <c r="R724" s="73">
        <f t="shared" si="63"/>
        <v>1</v>
      </c>
      <c r="S724" s="260" t="s">
        <v>1976</v>
      </c>
      <c r="T724" s="260"/>
      <c r="U724" s="260"/>
      <c r="V724" s="260"/>
      <c r="W724" s="260"/>
      <c r="X724" s="260"/>
      <c r="Y724" s="565"/>
      <c r="Z724" s="565"/>
      <c r="AA724" s="566">
        <f t="shared" si="59"/>
        <v>0</v>
      </c>
      <c r="AB724" s="699"/>
    </row>
    <row r="725" spans="1:28" ht="15.75" customHeight="1" x14ac:dyDescent="0.3">
      <c r="A725" s="79" t="s">
        <v>3082</v>
      </c>
      <c r="C725" s="81">
        <v>43810</v>
      </c>
      <c r="D725" s="109">
        <v>43854</v>
      </c>
      <c r="E725" s="560"/>
      <c r="F725" s="86" t="s">
        <v>3083</v>
      </c>
      <c r="G725" s="86" t="s">
        <v>189</v>
      </c>
      <c r="H725" s="96" t="s">
        <v>213</v>
      </c>
      <c r="I725" s="97" t="s">
        <v>714</v>
      </c>
      <c r="J725" s="73">
        <f t="shared" si="62"/>
        <v>1</v>
      </c>
      <c r="K725" s="74" t="s">
        <v>204</v>
      </c>
      <c r="N725" s="76" t="s">
        <v>18</v>
      </c>
      <c r="Q725" s="76" t="s">
        <v>2109</v>
      </c>
      <c r="R725" s="73">
        <f t="shared" si="63"/>
        <v>1</v>
      </c>
      <c r="S725" s="260" t="s">
        <v>1976</v>
      </c>
      <c r="T725" s="260"/>
      <c r="U725" s="260"/>
      <c r="V725" s="260"/>
      <c r="W725" s="260"/>
      <c r="X725" s="260"/>
      <c r="Y725" s="565"/>
      <c r="Z725" s="565"/>
      <c r="AA725" s="566">
        <f t="shared" si="59"/>
        <v>0</v>
      </c>
      <c r="AB725" s="699"/>
    </row>
    <row r="726" spans="1:28" ht="15.75" customHeight="1" x14ac:dyDescent="0.3">
      <c r="A726" s="79" t="s">
        <v>3313</v>
      </c>
      <c r="C726" s="81">
        <v>43818</v>
      </c>
      <c r="D726" s="109">
        <v>43850</v>
      </c>
      <c r="E726" s="560"/>
      <c r="F726" s="86" t="s">
        <v>3314</v>
      </c>
      <c r="G726" s="86" t="s">
        <v>152</v>
      </c>
      <c r="H726" s="96" t="s">
        <v>213</v>
      </c>
      <c r="I726" s="97" t="s">
        <v>995</v>
      </c>
      <c r="J726" s="73">
        <f t="shared" ref="J726:J757" si="64">IF(OR(K726="Документы готовы",K726="Запрос в ФО",K726="ЭЗ",K726="РЕШ",K726="РЕШ шаблон"),0.1,IF(OR(K726="ЭЗ согласование",K726="РЕШ согласование"),0.3,IF(OR(K726="ЭЗ согласовано",K726="РЕШ согласовано",K726="РЕШ подписано"),0.6,IF(OR(K726="ЭЗ ПР согласование",K726="РЕШ УВ согласование"),0.9,IF(OR(K726="ЭЗ ПР DONE",K726="РЕШ УВ DONE"),1,0)))))</f>
        <v>1</v>
      </c>
      <c r="K726" s="74" t="s">
        <v>204</v>
      </c>
      <c r="N726" s="76" t="s">
        <v>19</v>
      </c>
      <c r="Q726" s="76" t="s">
        <v>2109</v>
      </c>
      <c r="R726" s="73">
        <f t="shared" ref="R726:R758" si="65">IF(S726="В работе",0.3,IF(S726="Отписано",0.6,IF(S726="На доработку",0.9,IF(S726="Согласовано",1,0))))</f>
        <v>1</v>
      </c>
      <c r="S726" s="260" t="s">
        <v>1976</v>
      </c>
      <c r="T726" s="260"/>
      <c r="U726" s="260"/>
      <c r="V726" s="260"/>
      <c r="W726" s="260"/>
      <c r="X726" s="260"/>
      <c r="Y726" s="565"/>
      <c r="Z726" s="565"/>
      <c r="AA726" s="566">
        <f t="shared" si="59"/>
        <v>0</v>
      </c>
      <c r="AB726" s="699"/>
    </row>
    <row r="727" spans="1:28" ht="15.75" customHeight="1" x14ac:dyDescent="0.3">
      <c r="A727" s="79" t="s">
        <v>3315</v>
      </c>
      <c r="C727" s="81">
        <v>43818</v>
      </c>
      <c r="D727" s="109">
        <v>43850</v>
      </c>
      <c r="E727" s="560"/>
      <c r="F727" s="86" t="s">
        <v>3316</v>
      </c>
      <c r="G727" s="86" t="s">
        <v>152</v>
      </c>
      <c r="H727" s="96" t="s">
        <v>213</v>
      </c>
      <c r="I727" s="97" t="s">
        <v>3471</v>
      </c>
      <c r="J727" s="73">
        <f t="shared" si="64"/>
        <v>1</v>
      </c>
      <c r="K727" s="74" t="s">
        <v>204</v>
      </c>
      <c r="N727" s="76" t="s">
        <v>18</v>
      </c>
      <c r="Q727" s="76" t="s">
        <v>2109</v>
      </c>
      <c r="R727" s="73">
        <f t="shared" si="65"/>
        <v>1</v>
      </c>
      <c r="S727" s="260" t="s">
        <v>1976</v>
      </c>
      <c r="T727" s="260"/>
      <c r="U727" s="260"/>
      <c r="V727" s="260"/>
      <c r="W727" s="260"/>
      <c r="X727" s="260"/>
      <c r="Y727" s="565"/>
      <c r="Z727" s="565"/>
      <c r="AA727" s="566">
        <f t="shared" si="59"/>
        <v>0</v>
      </c>
      <c r="AB727" s="699"/>
    </row>
    <row r="728" spans="1:28" ht="15.75" customHeight="1" x14ac:dyDescent="0.3">
      <c r="A728" s="79" t="s">
        <v>3321</v>
      </c>
      <c r="C728" s="81">
        <v>43819</v>
      </c>
      <c r="D728" s="109">
        <v>43851</v>
      </c>
      <c r="E728" s="560"/>
      <c r="F728" s="86" t="s">
        <v>3322</v>
      </c>
      <c r="G728" s="86" t="s">
        <v>156</v>
      </c>
      <c r="H728" s="96" t="s">
        <v>213</v>
      </c>
      <c r="I728" s="97" t="s">
        <v>2478</v>
      </c>
      <c r="J728" s="73">
        <f t="shared" si="64"/>
        <v>1</v>
      </c>
      <c r="K728" s="74" t="s">
        <v>204</v>
      </c>
      <c r="N728" s="76" t="s">
        <v>18</v>
      </c>
      <c r="Q728" s="76" t="s">
        <v>2109</v>
      </c>
      <c r="R728" s="73">
        <f t="shared" si="65"/>
        <v>1</v>
      </c>
      <c r="S728" s="260" t="s">
        <v>1976</v>
      </c>
      <c r="T728" s="260"/>
      <c r="U728" s="260"/>
      <c r="V728" s="260"/>
      <c r="W728" s="260"/>
      <c r="X728" s="260"/>
      <c r="Y728" s="565"/>
      <c r="Z728" s="565"/>
      <c r="AA728" s="566">
        <f t="shared" si="59"/>
        <v>0</v>
      </c>
      <c r="AB728" s="699"/>
    </row>
    <row r="729" spans="1:28" ht="15.75" customHeight="1" x14ac:dyDescent="0.3">
      <c r="A729" s="79" t="s">
        <v>3325</v>
      </c>
      <c r="C729" s="81">
        <v>43819</v>
      </c>
      <c r="D729" s="109">
        <v>43851</v>
      </c>
      <c r="E729" s="560"/>
      <c r="F729" s="86" t="s">
        <v>3326</v>
      </c>
      <c r="G729" s="86" t="s">
        <v>154</v>
      </c>
      <c r="H729" s="96" t="s">
        <v>213</v>
      </c>
      <c r="I729" s="97" t="s">
        <v>2478</v>
      </c>
      <c r="J729" s="73">
        <f t="shared" si="64"/>
        <v>1</v>
      </c>
      <c r="K729" s="74" t="s">
        <v>204</v>
      </c>
      <c r="N729" s="76" t="s">
        <v>17</v>
      </c>
      <c r="Q729" s="76" t="s">
        <v>2109</v>
      </c>
      <c r="R729" s="73">
        <f t="shared" si="65"/>
        <v>1</v>
      </c>
      <c r="S729" s="260" t="s">
        <v>1976</v>
      </c>
      <c r="T729" s="260"/>
      <c r="U729" s="260"/>
      <c r="V729" s="260"/>
      <c r="W729" s="260"/>
      <c r="X729" s="260"/>
      <c r="Y729" s="565"/>
      <c r="Z729" s="565"/>
      <c r="AA729" s="566">
        <f t="shared" si="59"/>
        <v>0</v>
      </c>
      <c r="AB729" s="699"/>
    </row>
    <row r="730" spans="1:28" ht="15.75" customHeight="1" x14ac:dyDescent="0.3">
      <c r="A730" s="79" t="s">
        <v>3327</v>
      </c>
      <c r="C730" s="81">
        <v>43819</v>
      </c>
      <c r="D730" s="109">
        <v>43851</v>
      </c>
      <c r="E730" s="560"/>
      <c r="F730" s="86" t="s">
        <v>3328</v>
      </c>
      <c r="G730" s="86" t="s">
        <v>152</v>
      </c>
      <c r="H730" s="96" t="s">
        <v>213</v>
      </c>
      <c r="I730" s="97" t="s">
        <v>3475</v>
      </c>
      <c r="J730" s="73">
        <f t="shared" si="64"/>
        <v>1</v>
      </c>
      <c r="K730" s="74" t="s">
        <v>204</v>
      </c>
      <c r="N730" s="76" t="s">
        <v>19</v>
      </c>
      <c r="Q730" s="76" t="s">
        <v>2109</v>
      </c>
      <c r="R730" s="73">
        <f t="shared" si="65"/>
        <v>1</v>
      </c>
      <c r="S730" s="260" t="s">
        <v>1976</v>
      </c>
      <c r="T730" s="260"/>
      <c r="U730" s="260"/>
      <c r="V730" s="260"/>
      <c r="W730" s="260"/>
      <c r="X730" s="260"/>
      <c r="Y730" s="565"/>
      <c r="Z730" s="565"/>
      <c r="AA730" s="566">
        <f t="shared" si="59"/>
        <v>0</v>
      </c>
      <c r="AB730" s="699"/>
    </row>
    <row r="731" spans="1:28" ht="15.75" customHeight="1" x14ac:dyDescent="0.3">
      <c r="A731" s="96" t="s">
        <v>3329</v>
      </c>
      <c r="C731" s="81">
        <v>43822</v>
      </c>
      <c r="D731" s="109">
        <v>43852</v>
      </c>
      <c r="E731" s="560"/>
      <c r="F731" s="86" t="s">
        <v>3330</v>
      </c>
      <c r="G731" s="86" t="s">
        <v>156</v>
      </c>
      <c r="H731" s="96" t="s">
        <v>213</v>
      </c>
      <c r="J731" s="73">
        <f t="shared" si="64"/>
        <v>1</v>
      </c>
      <c r="K731" s="74" t="s">
        <v>204</v>
      </c>
      <c r="N731" s="76" t="s">
        <v>17</v>
      </c>
      <c r="Q731" s="76" t="s">
        <v>2109</v>
      </c>
      <c r="R731" s="73">
        <f t="shared" si="65"/>
        <v>1</v>
      </c>
      <c r="S731" s="260" t="s">
        <v>1976</v>
      </c>
      <c r="T731" s="260"/>
      <c r="U731" s="260"/>
      <c r="V731" s="260"/>
      <c r="W731" s="260"/>
      <c r="X731" s="260"/>
      <c r="Y731" s="565"/>
      <c r="Z731" s="565"/>
      <c r="AA731" s="566">
        <f t="shared" si="59"/>
        <v>0</v>
      </c>
      <c r="AB731" s="699"/>
    </row>
    <row r="732" spans="1:28" ht="15.75" customHeight="1" x14ac:dyDescent="0.3">
      <c r="A732" s="79" t="s">
        <v>3331</v>
      </c>
      <c r="C732" s="81">
        <v>43822</v>
      </c>
      <c r="D732" s="109">
        <v>43852</v>
      </c>
      <c r="E732" s="560"/>
      <c r="F732" s="86" t="s">
        <v>3332</v>
      </c>
      <c r="G732" s="86" t="s">
        <v>158</v>
      </c>
      <c r="H732" s="96" t="s">
        <v>213</v>
      </c>
      <c r="I732" s="97" t="s">
        <v>2478</v>
      </c>
      <c r="J732" s="73">
        <f t="shared" si="64"/>
        <v>1</v>
      </c>
      <c r="K732" s="74" t="s">
        <v>204</v>
      </c>
      <c r="N732" s="76" t="s">
        <v>17</v>
      </c>
      <c r="Q732" s="76" t="s">
        <v>2109</v>
      </c>
      <c r="R732" s="73">
        <f t="shared" si="65"/>
        <v>1</v>
      </c>
      <c r="S732" s="260" t="s">
        <v>1976</v>
      </c>
      <c r="T732" s="260"/>
      <c r="U732" s="260"/>
      <c r="V732" s="260"/>
      <c r="W732" s="260"/>
      <c r="X732" s="260"/>
      <c r="Y732" s="565"/>
      <c r="Z732" s="565"/>
      <c r="AA732" s="566">
        <f t="shared" si="59"/>
        <v>0</v>
      </c>
      <c r="AB732" s="699"/>
    </row>
    <row r="733" spans="1:28" ht="15.75" customHeight="1" x14ac:dyDescent="0.3">
      <c r="A733" s="79" t="s">
        <v>3333</v>
      </c>
      <c r="C733" s="81">
        <v>43822</v>
      </c>
      <c r="D733" s="109">
        <v>43852</v>
      </c>
      <c r="E733" s="560"/>
      <c r="F733" s="86" t="s">
        <v>3334</v>
      </c>
      <c r="G733" s="86" t="s">
        <v>156</v>
      </c>
      <c r="H733" s="96" t="s">
        <v>213</v>
      </c>
      <c r="I733" s="97" t="s">
        <v>3479</v>
      </c>
      <c r="J733" s="73">
        <f t="shared" si="64"/>
        <v>1</v>
      </c>
      <c r="K733" s="74" t="s">
        <v>204</v>
      </c>
      <c r="N733" s="76" t="s">
        <v>18</v>
      </c>
      <c r="Q733" s="76" t="s">
        <v>2109</v>
      </c>
      <c r="R733" s="73">
        <f t="shared" si="65"/>
        <v>1</v>
      </c>
      <c r="S733" s="260" t="s">
        <v>1976</v>
      </c>
      <c r="T733" s="260"/>
      <c r="U733" s="260"/>
      <c r="V733" s="260"/>
      <c r="W733" s="260"/>
      <c r="X733" s="260"/>
      <c r="Y733" s="565"/>
      <c r="Z733" s="565"/>
      <c r="AA733" s="566">
        <f t="shared" si="59"/>
        <v>0</v>
      </c>
      <c r="AB733" s="699"/>
    </row>
    <row r="734" spans="1:28" ht="15.75" customHeight="1" x14ac:dyDescent="0.3">
      <c r="A734" s="79" t="s">
        <v>3337</v>
      </c>
      <c r="C734" s="81">
        <v>43822</v>
      </c>
      <c r="D734" s="109">
        <v>43852</v>
      </c>
      <c r="E734" s="560"/>
      <c r="F734" s="86" t="s">
        <v>3338</v>
      </c>
      <c r="G734" s="86" t="s">
        <v>189</v>
      </c>
      <c r="H734" s="96" t="s">
        <v>213</v>
      </c>
      <c r="I734" s="97" t="s">
        <v>649</v>
      </c>
      <c r="J734" s="73">
        <f t="shared" si="64"/>
        <v>1</v>
      </c>
      <c r="K734" s="74" t="s">
        <v>204</v>
      </c>
      <c r="N734" s="76" t="s">
        <v>17</v>
      </c>
      <c r="Q734" s="76" t="s">
        <v>2109</v>
      </c>
      <c r="R734" s="73">
        <f t="shared" si="65"/>
        <v>1</v>
      </c>
      <c r="S734" s="260" t="s">
        <v>1976</v>
      </c>
      <c r="T734" s="260"/>
      <c r="U734" s="260"/>
      <c r="V734" s="260"/>
      <c r="W734" s="260"/>
      <c r="X734" s="260"/>
      <c r="Y734" s="565"/>
      <c r="Z734" s="565"/>
      <c r="AA734" s="566">
        <f t="shared" si="59"/>
        <v>0</v>
      </c>
      <c r="AB734" s="699"/>
    </row>
    <row r="735" spans="1:28" ht="15.75" customHeight="1" x14ac:dyDescent="0.3">
      <c r="A735" s="79" t="s">
        <v>3339</v>
      </c>
      <c r="C735" s="81">
        <v>43824</v>
      </c>
      <c r="D735" s="109">
        <v>43853</v>
      </c>
      <c r="E735" s="560"/>
      <c r="F735" s="86" t="s">
        <v>3340</v>
      </c>
      <c r="G735" s="86" t="s">
        <v>154</v>
      </c>
      <c r="H735" s="96" t="s">
        <v>213</v>
      </c>
      <c r="I735" s="97" t="s">
        <v>3468</v>
      </c>
      <c r="J735" s="73">
        <f t="shared" si="64"/>
        <v>1</v>
      </c>
      <c r="K735" s="74" t="s">
        <v>204</v>
      </c>
      <c r="N735" s="76" t="s">
        <v>17</v>
      </c>
      <c r="Q735" s="76" t="s">
        <v>2109</v>
      </c>
      <c r="R735" s="73">
        <f t="shared" si="65"/>
        <v>1</v>
      </c>
      <c r="S735" s="260" t="s">
        <v>1976</v>
      </c>
      <c r="T735" s="260"/>
      <c r="U735" s="260"/>
      <c r="V735" s="260"/>
      <c r="W735" s="260"/>
      <c r="X735" s="260"/>
      <c r="Y735" s="565"/>
      <c r="Z735" s="565"/>
      <c r="AA735" s="566">
        <f t="shared" si="59"/>
        <v>0</v>
      </c>
      <c r="AB735" s="699"/>
    </row>
    <row r="736" spans="1:28" ht="15.75" customHeight="1" x14ac:dyDescent="0.3">
      <c r="A736" s="79" t="s">
        <v>3343</v>
      </c>
      <c r="C736" s="81">
        <v>43823</v>
      </c>
      <c r="D736" s="109">
        <v>43853</v>
      </c>
      <c r="E736" s="560"/>
      <c r="F736" s="86" t="s">
        <v>3344</v>
      </c>
      <c r="G736" s="86" t="s">
        <v>156</v>
      </c>
      <c r="H736" s="96" t="s">
        <v>213</v>
      </c>
      <c r="I736" s="97" t="s">
        <v>995</v>
      </c>
      <c r="J736" s="73">
        <f t="shared" si="64"/>
        <v>1</v>
      </c>
      <c r="K736" s="74" t="s">
        <v>204</v>
      </c>
      <c r="N736" s="76" t="s">
        <v>19</v>
      </c>
      <c r="Q736" s="76" t="s">
        <v>2109</v>
      </c>
      <c r="R736" s="73">
        <f t="shared" si="65"/>
        <v>1</v>
      </c>
      <c r="S736" s="260" t="s">
        <v>1976</v>
      </c>
      <c r="T736" s="260"/>
      <c r="U736" s="260"/>
      <c r="V736" s="260"/>
      <c r="W736" s="260"/>
      <c r="X736" s="260"/>
      <c r="Y736" s="565"/>
      <c r="Z736" s="565"/>
      <c r="AA736" s="566">
        <f t="shared" si="59"/>
        <v>0</v>
      </c>
      <c r="AB736" s="699"/>
    </row>
    <row r="737" spans="1:28" ht="15.75" customHeight="1" x14ac:dyDescent="0.3">
      <c r="A737" s="79" t="s">
        <v>3349</v>
      </c>
      <c r="C737" s="81">
        <v>43824</v>
      </c>
      <c r="D737" s="109">
        <v>43854</v>
      </c>
      <c r="E737" s="560"/>
      <c r="F737" s="86" t="s">
        <v>3350</v>
      </c>
      <c r="G737" s="86" t="s">
        <v>152</v>
      </c>
      <c r="H737" s="96" t="s">
        <v>213</v>
      </c>
      <c r="I737" s="97" t="s">
        <v>649</v>
      </c>
      <c r="J737" s="73">
        <f t="shared" si="64"/>
        <v>1</v>
      </c>
      <c r="K737" s="74" t="s">
        <v>204</v>
      </c>
      <c r="N737" s="76" t="s">
        <v>17</v>
      </c>
      <c r="Q737" s="76" t="s">
        <v>2109</v>
      </c>
      <c r="R737" s="73">
        <f t="shared" si="65"/>
        <v>1</v>
      </c>
      <c r="S737" s="260" t="s">
        <v>1976</v>
      </c>
      <c r="T737" s="260"/>
      <c r="U737" s="260"/>
      <c r="V737" s="260"/>
      <c r="W737" s="260"/>
      <c r="X737" s="260"/>
      <c r="Y737" s="565"/>
      <c r="Z737" s="565"/>
      <c r="AA737" s="566">
        <f t="shared" si="59"/>
        <v>0</v>
      </c>
      <c r="AB737" s="699"/>
    </row>
    <row r="738" spans="1:28" ht="15.75" customHeight="1" x14ac:dyDescent="0.3">
      <c r="A738" s="96" t="s">
        <v>3351</v>
      </c>
      <c r="C738" s="81">
        <v>43780</v>
      </c>
      <c r="D738" s="109">
        <v>43852</v>
      </c>
      <c r="E738" s="560"/>
      <c r="F738" s="86" t="s">
        <v>3352</v>
      </c>
      <c r="G738" s="86" t="s">
        <v>156</v>
      </c>
      <c r="H738" s="96" t="s">
        <v>213</v>
      </c>
      <c r="I738" s="97" t="s">
        <v>722</v>
      </c>
      <c r="J738" s="73">
        <f t="shared" si="64"/>
        <v>1</v>
      </c>
      <c r="K738" s="74" t="s">
        <v>204</v>
      </c>
      <c r="L738" s="97" t="s">
        <v>3480</v>
      </c>
      <c r="N738" s="76" t="s">
        <v>19</v>
      </c>
      <c r="Q738" s="76" t="s">
        <v>2142</v>
      </c>
      <c r="R738" s="73">
        <f t="shared" si="65"/>
        <v>1</v>
      </c>
      <c r="S738" s="260" t="s">
        <v>1976</v>
      </c>
      <c r="T738" s="260"/>
      <c r="U738" s="260"/>
      <c r="V738" s="260"/>
      <c r="W738" s="260"/>
      <c r="X738" s="260"/>
      <c r="Y738" s="565"/>
      <c r="Z738" s="565"/>
      <c r="AA738" s="566">
        <f t="shared" si="59"/>
        <v>0</v>
      </c>
      <c r="AB738" s="699"/>
    </row>
    <row r="739" spans="1:28" ht="15.75" customHeight="1" x14ac:dyDescent="0.3">
      <c r="A739" s="96" t="s">
        <v>2756</v>
      </c>
      <c r="C739" s="81">
        <v>43804</v>
      </c>
      <c r="D739" s="109">
        <v>43850</v>
      </c>
      <c r="E739" s="560"/>
      <c r="F739" s="86" t="s">
        <v>2781</v>
      </c>
      <c r="G739" s="86" t="s">
        <v>150</v>
      </c>
      <c r="H739" s="96" t="s">
        <v>213</v>
      </c>
      <c r="I739" s="97" t="s">
        <v>642</v>
      </c>
      <c r="J739" s="73">
        <f t="shared" si="64"/>
        <v>1</v>
      </c>
      <c r="K739" s="74" t="s">
        <v>204</v>
      </c>
      <c r="N739" s="76" t="s">
        <v>18</v>
      </c>
      <c r="Q739" s="76" t="s">
        <v>2142</v>
      </c>
      <c r="R739" s="73">
        <f t="shared" si="65"/>
        <v>1</v>
      </c>
      <c r="S739" s="260" t="s">
        <v>1976</v>
      </c>
      <c r="T739" s="260"/>
      <c r="U739" s="260"/>
      <c r="V739" s="260"/>
      <c r="W739" s="260"/>
      <c r="X739" s="260"/>
      <c r="Y739" s="565"/>
      <c r="Z739" s="565"/>
      <c r="AA739" s="566">
        <f t="shared" si="59"/>
        <v>0</v>
      </c>
      <c r="AB739" s="699"/>
    </row>
    <row r="740" spans="1:28" ht="15.75" customHeight="1" x14ac:dyDescent="0.3">
      <c r="A740" s="96" t="s">
        <v>2594</v>
      </c>
      <c r="C740" s="81">
        <v>43804</v>
      </c>
      <c r="D740" s="109">
        <v>43850</v>
      </c>
      <c r="E740" s="560"/>
      <c r="F740" s="86" t="s">
        <v>2595</v>
      </c>
      <c r="G740" s="86" t="s">
        <v>156</v>
      </c>
      <c r="H740" s="96" t="s">
        <v>213</v>
      </c>
      <c r="I740" s="97" t="s">
        <v>3469</v>
      </c>
      <c r="J740" s="73">
        <f t="shared" si="64"/>
        <v>1</v>
      </c>
      <c r="K740" s="74" t="s">
        <v>204</v>
      </c>
      <c r="N740" s="76" t="s">
        <v>17</v>
      </c>
      <c r="Q740" s="76" t="s">
        <v>2142</v>
      </c>
      <c r="R740" s="73">
        <f t="shared" si="65"/>
        <v>1</v>
      </c>
      <c r="S740" s="260" t="s">
        <v>1976</v>
      </c>
      <c r="T740" s="260"/>
      <c r="U740" s="260"/>
      <c r="V740" s="260"/>
      <c r="W740" s="260"/>
      <c r="X740" s="260"/>
      <c r="Y740" s="565"/>
      <c r="Z740" s="565"/>
      <c r="AA740" s="566">
        <f t="shared" si="59"/>
        <v>0</v>
      </c>
      <c r="AB740" s="699"/>
    </row>
    <row r="741" spans="1:28" ht="15.75" customHeight="1" x14ac:dyDescent="0.3">
      <c r="A741" s="96" t="s">
        <v>2598</v>
      </c>
      <c r="C741" s="81">
        <v>43804</v>
      </c>
      <c r="D741" s="109">
        <v>43850</v>
      </c>
      <c r="E741" s="560"/>
      <c r="F741" s="86" t="s">
        <v>2599</v>
      </c>
      <c r="G741" s="86" t="s">
        <v>152</v>
      </c>
      <c r="H741" s="96" t="s">
        <v>213</v>
      </c>
      <c r="I741" s="97" t="s">
        <v>642</v>
      </c>
      <c r="J741" s="73">
        <f t="shared" si="64"/>
        <v>1</v>
      </c>
      <c r="K741" s="74" t="s">
        <v>204</v>
      </c>
      <c r="N741" s="76" t="s">
        <v>18</v>
      </c>
      <c r="Q741" s="76" t="s">
        <v>2142</v>
      </c>
      <c r="R741" s="73">
        <f t="shared" si="65"/>
        <v>1</v>
      </c>
      <c r="S741" s="260" t="s">
        <v>1976</v>
      </c>
      <c r="T741" s="260"/>
      <c r="U741" s="260"/>
      <c r="V741" s="260"/>
      <c r="W741" s="260"/>
      <c r="X741" s="260"/>
      <c r="Y741" s="565"/>
      <c r="Z741" s="565"/>
      <c r="AA741" s="566">
        <f t="shared" si="59"/>
        <v>0</v>
      </c>
      <c r="AB741" s="699"/>
    </row>
    <row r="742" spans="1:28" ht="15.75" customHeight="1" x14ac:dyDescent="0.3">
      <c r="A742" s="96" t="s">
        <v>2712</v>
      </c>
      <c r="C742" s="81">
        <v>43805</v>
      </c>
      <c r="D742" s="109">
        <v>43851</v>
      </c>
      <c r="E742" s="560"/>
      <c r="F742" s="86" t="s">
        <v>2713</v>
      </c>
      <c r="G742" s="86" t="s">
        <v>158</v>
      </c>
      <c r="H742" s="96" t="s">
        <v>213</v>
      </c>
      <c r="I742" s="97" t="s">
        <v>642</v>
      </c>
      <c r="J742" s="73">
        <f t="shared" si="64"/>
        <v>1</v>
      </c>
      <c r="K742" s="74" t="s">
        <v>204</v>
      </c>
      <c r="N742" s="76" t="s">
        <v>17</v>
      </c>
      <c r="Q742" s="76" t="s">
        <v>2142</v>
      </c>
      <c r="R742" s="73">
        <f t="shared" si="65"/>
        <v>1</v>
      </c>
      <c r="S742" s="260" t="s">
        <v>1976</v>
      </c>
      <c r="T742" s="260"/>
      <c r="U742" s="260"/>
      <c r="V742" s="260"/>
      <c r="W742" s="260"/>
      <c r="X742" s="260"/>
      <c r="Y742" s="565"/>
      <c r="Z742" s="565"/>
      <c r="AA742" s="566">
        <f t="shared" si="59"/>
        <v>0</v>
      </c>
      <c r="AB742" s="699"/>
    </row>
    <row r="743" spans="1:28" ht="15.75" customHeight="1" x14ac:dyDescent="0.3">
      <c r="A743" s="79" t="s">
        <v>3353</v>
      </c>
      <c r="C743" s="81">
        <v>43805</v>
      </c>
      <c r="D743" s="109">
        <v>43851</v>
      </c>
      <c r="E743" s="560"/>
      <c r="F743" s="86" t="s">
        <v>3354</v>
      </c>
      <c r="G743" s="86" t="s">
        <v>1384</v>
      </c>
      <c r="H743" s="96" t="s">
        <v>213</v>
      </c>
      <c r="I743" s="97" t="s">
        <v>714</v>
      </c>
      <c r="J743" s="73">
        <f t="shared" si="64"/>
        <v>1</v>
      </c>
      <c r="K743" s="74" t="s">
        <v>204</v>
      </c>
      <c r="N743" s="76" t="s">
        <v>18</v>
      </c>
      <c r="Q743" s="76" t="s">
        <v>2142</v>
      </c>
      <c r="R743" s="73">
        <f t="shared" si="65"/>
        <v>1</v>
      </c>
      <c r="S743" s="260" t="s">
        <v>1976</v>
      </c>
      <c r="T743" s="260"/>
      <c r="U743" s="260"/>
      <c r="V743" s="260"/>
      <c r="W743" s="260"/>
      <c r="X743" s="260"/>
      <c r="Y743" s="565"/>
      <c r="Z743" s="565"/>
      <c r="AA743" s="566">
        <f t="shared" si="59"/>
        <v>0</v>
      </c>
      <c r="AB743" s="699"/>
    </row>
    <row r="744" spans="1:28" ht="15.75" customHeight="1" x14ac:dyDescent="0.3">
      <c r="A744" s="96" t="s">
        <v>3355</v>
      </c>
      <c r="C744" s="81">
        <v>43808</v>
      </c>
      <c r="D744" s="109">
        <v>43852</v>
      </c>
      <c r="E744" s="560"/>
      <c r="F744" s="86" t="s">
        <v>3356</v>
      </c>
      <c r="G744" s="86" t="s">
        <v>410</v>
      </c>
      <c r="H744" s="96" t="s">
        <v>213</v>
      </c>
      <c r="I744" s="97" t="s">
        <v>3478</v>
      </c>
      <c r="J744" s="73">
        <f t="shared" si="64"/>
        <v>1</v>
      </c>
      <c r="K744" s="74" t="s">
        <v>204</v>
      </c>
      <c r="N744" s="76" t="s">
        <v>17</v>
      </c>
      <c r="Q744" s="76" t="s">
        <v>2142</v>
      </c>
      <c r="R744" s="73">
        <f t="shared" si="65"/>
        <v>1</v>
      </c>
      <c r="S744" s="260" t="s">
        <v>1976</v>
      </c>
      <c r="T744" s="260"/>
      <c r="U744" s="260"/>
      <c r="V744" s="260"/>
      <c r="W744" s="260"/>
      <c r="X744" s="260"/>
      <c r="Y744" s="565"/>
      <c r="Z744" s="565"/>
      <c r="AA744" s="566">
        <f t="shared" si="59"/>
        <v>0</v>
      </c>
      <c r="AB744" s="699"/>
    </row>
    <row r="745" spans="1:28" ht="15.75" customHeight="1" x14ac:dyDescent="0.3">
      <c r="A745" s="96" t="s">
        <v>2873</v>
      </c>
      <c r="C745" s="81">
        <v>43809</v>
      </c>
      <c r="D745" s="109">
        <v>43853</v>
      </c>
      <c r="E745" s="560"/>
      <c r="F745" s="86" t="s">
        <v>2874</v>
      </c>
      <c r="G745" s="86" t="s">
        <v>150</v>
      </c>
      <c r="H745" s="96" t="s">
        <v>213</v>
      </c>
      <c r="I745" s="97" t="s">
        <v>714</v>
      </c>
      <c r="J745" s="73">
        <f t="shared" si="64"/>
        <v>1</v>
      </c>
      <c r="K745" s="74" t="s">
        <v>204</v>
      </c>
      <c r="N745" s="76" t="s">
        <v>18</v>
      </c>
      <c r="Q745" s="76" t="s">
        <v>2142</v>
      </c>
      <c r="R745" s="73">
        <f t="shared" si="65"/>
        <v>1</v>
      </c>
      <c r="S745" s="260" t="s">
        <v>1976</v>
      </c>
      <c r="T745" s="260"/>
      <c r="U745" s="260"/>
      <c r="V745" s="260"/>
      <c r="W745" s="260"/>
      <c r="X745" s="260"/>
      <c r="Y745" s="565"/>
      <c r="Z745" s="565"/>
      <c r="AA745" s="566">
        <f t="shared" si="59"/>
        <v>0</v>
      </c>
      <c r="AB745" s="699"/>
    </row>
    <row r="746" spans="1:28" ht="15.75" customHeight="1" x14ac:dyDescent="0.3">
      <c r="A746" s="96" t="s">
        <v>3357</v>
      </c>
      <c r="C746" s="81">
        <v>43809</v>
      </c>
      <c r="D746" s="109">
        <v>43853</v>
      </c>
      <c r="E746" s="560"/>
      <c r="F746" s="86" t="s">
        <v>3358</v>
      </c>
      <c r="G746" s="86" t="s">
        <v>152</v>
      </c>
      <c r="H746" s="96" t="s">
        <v>213</v>
      </c>
      <c r="J746" s="73">
        <f t="shared" si="64"/>
        <v>1</v>
      </c>
      <c r="K746" s="74" t="s">
        <v>204</v>
      </c>
      <c r="N746" s="76" t="s">
        <v>18</v>
      </c>
      <c r="Q746" s="76" t="s">
        <v>2142</v>
      </c>
      <c r="R746" s="73">
        <f t="shared" si="65"/>
        <v>1</v>
      </c>
      <c r="S746" s="260" t="s">
        <v>1976</v>
      </c>
      <c r="T746" s="260"/>
      <c r="U746" s="260"/>
      <c r="V746" s="260"/>
      <c r="W746" s="260"/>
      <c r="X746" s="260"/>
      <c r="Y746" s="565"/>
      <c r="Z746" s="565"/>
      <c r="AA746" s="566">
        <f t="shared" si="59"/>
        <v>0</v>
      </c>
      <c r="AB746" s="699"/>
    </row>
    <row r="747" spans="1:28" ht="15.75" customHeight="1" x14ac:dyDescent="0.3">
      <c r="A747" s="96" t="s">
        <v>2879</v>
      </c>
      <c r="C747" s="81">
        <v>43810</v>
      </c>
      <c r="D747" s="109">
        <v>43854</v>
      </c>
      <c r="E747" s="560"/>
      <c r="F747" s="86" t="s">
        <v>2880</v>
      </c>
      <c r="G747" s="86" t="s">
        <v>150</v>
      </c>
      <c r="H747" s="79" t="s">
        <v>268</v>
      </c>
      <c r="I747" s="97" t="s">
        <v>6065</v>
      </c>
      <c r="J747" s="73">
        <f t="shared" si="64"/>
        <v>1</v>
      </c>
      <c r="K747" s="74" t="s">
        <v>204</v>
      </c>
      <c r="L747" s="97" t="s">
        <v>6069</v>
      </c>
      <c r="N747" s="76" t="s">
        <v>19</v>
      </c>
      <c r="Q747" s="76" t="s">
        <v>2142</v>
      </c>
      <c r="R747" s="73">
        <f t="shared" si="65"/>
        <v>1</v>
      </c>
      <c r="S747" s="260" t="s">
        <v>1976</v>
      </c>
      <c r="T747" s="260"/>
      <c r="U747" s="260"/>
      <c r="V747" s="260"/>
      <c r="W747" s="260"/>
      <c r="X747" s="260"/>
      <c r="Y747" s="565"/>
      <c r="Z747" s="565"/>
      <c r="AA747" s="566">
        <f t="shared" si="59"/>
        <v>0</v>
      </c>
      <c r="AB747" s="699"/>
    </row>
    <row r="748" spans="1:28" ht="15.75" customHeight="1" x14ac:dyDescent="0.3">
      <c r="A748" s="79" t="s">
        <v>2881</v>
      </c>
      <c r="C748" s="81">
        <v>43810</v>
      </c>
      <c r="D748" s="109">
        <v>43854</v>
      </c>
      <c r="E748" s="560"/>
      <c r="F748" s="86" t="s">
        <v>2882</v>
      </c>
      <c r="G748" s="86" t="s">
        <v>154</v>
      </c>
      <c r="H748" s="96" t="s">
        <v>213</v>
      </c>
      <c r="I748" s="97" t="s">
        <v>645</v>
      </c>
      <c r="J748" s="73">
        <f t="shared" si="64"/>
        <v>1</v>
      </c>
      <c r="K748" s="74" t="s">
        <v>204</v>
      </c>
      <c r="N748" s="76" t="s">
        <v>17</v>
      </c>
      <c r="Q748" s="76" t="s">
        <v>2142</v>
      </c>
      <c r="R748" s="73">
        <f t="shared" si="65"/>
        <v>1</v>
      </c>
      <c r="S748" s="260" t="s">
        <v>1976</v>
      </c>
      <c r="T748" s="260"/>
      <c r="U748" s="260"/>
      <c r="V748" s="260"/>
      <c r="W748" s="260"/>
      <c r="X748" s="260"/>
      <c r="Y748" s="565"/>
      <c r="Z748" s="565"/>
      <c r="AA748" s="566">
        <f t="shared" ref="AA748:AA810" si="66">Z748-Y748</f>
        <v>0</v>
      </c>
      <c r="AB748" s="699"/>
    </row>
    <row r="749" spans="1:28" ht="15.75" customHeight="1" x14ac:dyDescent="0.3">
      <c r="A749" s="96" t="s">
        <v>3363</v>
      </c>
      <c r="C749" s="81">
        <v>43819</v>
      </c>
      <c r="D749" s="109">
        <v>43851</v>
      </c>
      <c r="E749" s="560"/>
      <c r="F749" s="86" t="s">
        <v>3364</v>
      </c>
      <c r="G749" s="86" t="s">
        <v>154</v>
      </c>
      <c r="H749" s="96" t="s">
        <v>213</v>
      </c>
      <c r="J749" s="73">
        <f t="shared" si="64"/>
        <v>1</v>
      </c>
      <c r="K749" s="74" t="s">
        <v>204</v>
      </c>
      <c r="N749" s="76" t="s">
        <v>19</v>
      </c>
      <c r="Q749" s="76" t="s">
        <v>2142</v>
      </c>
      <c r="R749" s="73">
        <f t="shared" si="65"/>
        <v>1</v>
      </c>
      <c r="S749" s="260" t="s">
        <v>1976</v>
      </c>
      <c r="T749" s="260"/>
      <c r="U749" s="260"/>
      <c r="V749" s="260"/>
      <c r="W749" s="260"/>
      <c r="X749" s="260"/>
      <c r="Y749" s="565"/>
      <c r="Z749" s="565"/>
      <c r="AA749" s="566">
        <f t="shared" si="66"/>
        <v>0</v>
      </c>
      <c r="AB749" s="699"/>
    </row>
    <row r="750" spans="1:28" ht="15.75" customHeight="1" x14ac:dyDescent="0.3">
      <c r="A750" s="79" t="s">
        <v>3373</v>
      </c>
      <c r="C750" s="81">
        <v>43822</v>
      </c>
      <c r="D750" s="109">
        <v>43852</v>
      </c>
      <c r="E750" s="560"/>
      <c r="F750" s="86" t="s">
        <v>3374</v>
      </c>
      <c r="G750" s="86" t="s">
        <v>150</v>
      </c>
      <c r="H750" s="96" t="s">
        <v>213</v>
      </c>
      <c r="I750" s="97" t="s">
        <v>649</v>
      </c>
      <c r="J750" s="73">
        <f t="shared" si="64"/>
        <v>1</v>
      </c>
      <c r="K750" s="74" t="s">
        <v>204</v>
      </c>
      <c r="N750" s="76" t="s">
        <v>17</v>
      </c>
      <c r="Q750" s="76" t="s">
        <v>2142</v>
      </c>
      <c r="R750" s="73">
        <f t="shared" si="65"/>
        <v>1</v>
      </c>
      <c r="S750" s="260" t="s">
        <v>1976</v>
      </c>
      <c r="T750" s="260"/>
      <c r="U750" s="260"/>
      <c r="V750" s="260"/>
      <c r="W750" s="260"/>
      <c r="X750" s="260"/>
      <c r="Y750" s="565"/>
      <c r="Z750" s="565"/>
      <c r="AA750" s="566">
        <f t="shared" si="66"/>
        <v>0</v>
      </c>
      <c r="AB750" s="699"/>
    </row>
    <row r="751" spans="1:28" ht="15.75" customHeight="1" x14ac:dyDescent="0.3">
      <c r="A751" s="96" t="s">
        <v>3375</v>
      </c>
      <c r="C751" s="81">
        <v>43822</v>
      </c>
      <c r="D751" s="109">
        <v>43852</v>
      </c>
      <c r="E751" s="560"/>
      <c r="F751" s="86" t="s">
        <v>3376</v>
      </c>
      <c r="G751" s="86" t="s">
        <v>152</v>
      </c>
      <c r="H751" s="96" t="s">
        <v>213</v>
      </c>
      <c r="I751" s="97" t="s">
        <v>2478</v>
      </c>
      <c r="J751" s="73">
        <f t="shared" si="64"/>
        <v>1</v>
      </c>
      <c r="K751" s="74" t="s">
        <v>204</v>
      </c>
      <c r="N751" s="76" t="s">
        <v>17</v>
      </c>
      <c r="Q751" s="76" t="s">
        <v>2142</v>
      </c>
      <c r="R751" s="73">
        <f t="shared" si="65"/>
        <v>1</v>
      </c>
      <c r="S751" s="260" t="s">
        <v>1976</v>
      </c>
      <c r="T751" s="260"/>
      <c r="U751" s="260"/>
      <c r="V751" s="260"/>
      <c r="W751" s="260"/>
      <c r="X751" s="260"/>
      <c r="Y751" s="565"/>
      <c r="Z751" s="565"/>
      <c r="AA751" s="566">
        <f t="shared" si="66"/>
        <v>0</v>
      </c>
      <c r="AB751" s="699"/>
    </row>
    <row r="752" spans="1:28" ht="15.75" customHeight="1" x14ac:dyDescent="0.3">
      <c r="A752" s="96" t="s">
        <v>3379</v>
      </c>
      <c r="C752" s="81">
        <v>43822</v>
      </c>
      <c r="D752" s="109">
        <v>43852</v>
      </c>
      <c r="E752" s="560"/>
      <c r="F752" s="86" t="s">
        <v>3380</v>
      </c>
      <c r="G752" s="86" t="s">
        <v>152</v>
      </c>
      <c r="H752" s="96" t="s">
        <v>213</v>
      </c>
      <c r="I752" s="97" t="s">
        <v>645</v>
      </c>
      <c r="J752" s="73">
        <f t="shared" si="64"/>
        <v>1</v>
      </c>
      <c r="K752" s="74" t="s">
        <v>204</v>
      </c>
      <c r="N752" s="76" t="s">
        <v>18</v>
      </c>
      <c r="Q752" s="76" t="s">
        <v>2142</v>
      </c>
      <c r="R752" s="73">
        <f t="shared" si="65"/>
        <v>1</v>
      </c>
      <c r="S752" s="260" t="s">
        <v>1976</v>
      </c>
      <c r="T752" s="260"/>
      <c r="U752" s="260"/>
      <c r="V752" s="260"/>
      <c r="W752" s="260"/>
      <c r="X752" s="260"/>
      <c r="Y752" s="565"/>
      <c r="Z752" s="565"/>
      <c r="AA752" s="566">
        <f t="shared" si="66"/>
        <v>0</v>
      </c>
      <c r="AB752" s="699"/>
    </row>
    <row r="753" spans="1:28" ht="15.75" customHeight="1" x14ac:dyDescent="0.3">
      <c r="A753" s="96" t="s">
        <v>3385</v>
      </c>
      <c r="C753" s="81">
        <v>43824</v>
      </c>
      <c r="D753" s="109">
        <v>43854</v>
      </c>
      <c r="E753" s="560"/>
      <c r="F753" s="86" t="s">
        <v>3386</v>
      </c>
      <c r="G753" s="86" t="s">
        <v>156</v>
      </c>
      <c r="H753" s="96" t="s">
        <v>213</v>
      </c>
      <c r="J753" s="73">
        <f t="shared" si="64"/>
        <v>1</v>
      </c>
      <c r="K753" s="74" t="s">
        <v>204</v>
      </c>
      <c r="N753" s="76" t="s">
        <v>19</v>
      </c>
      <c r="Q753" s="76" t="s">
        <v>2142</v>
      </c>
      <c r="R753" s="73">
        <f t="shared" si="65"/>
        <v>1</v>
      </c>
      <c r="S753" s="260" t="s">
        <v>1976</v>
      </c>
      <c r="T753" s="260"/>
      <c r="U753" s="260"/>
      <c r="V753" s="260"/>
      <c r="W753" s="260"/>
      <c r="X753" s="260"/>
      <c r="Y753" s="565"/>
      <c r="Z753" s="565"/>
      <c r="AA753" s="566">
        <f t="shared" si="66"/>
        <v>0</v>
      </c>
      <c r="AB753" s="699"/>
    </row>
    <row r="754" spans="1:28" ht="15.75" customHeight="1" x14ac:dyDescent="0.3">
      <c r="A754" s="96" t="s">
        <v>2762</v>
      </c>
      <c r="C754" s="81">
        <v>43804</v>
      </c>
      <c r="D754" s="109">
        <v>43847</v>
      </c>
      <c r="E754" s="560"/>
      <c r="F754" s="97" t="s">
        <v>2787</v>
      </c>
      <c r="G754" s="97" t="s">
        <v>410</v>
      </c>
      <c r="H754" s="96" t="s">
        <v>213</v>
      </c>
      <c r="I754" s="97" t="s">
        <v>641</v>
      </c>
      <c r="J754" s="73">
        <f t="shared" si="64"/>
        <v>1</v>
      </c>
      <c r="K754" s="74" t="s">
        <v>204</v>
      </c>
      <c r="N754" s="76" t="s">
        <v>17</v>
      </c>
      <c r="Q754" s="301" t="s">
        <v>2417</v>
      </c>
      <c r="R754" s="73">
        <f t="shared" si="65"/>
        <v>1</v>
      </c>
      <c r="S754" s="260" t="s">
        <v>1976</v>
      </c>
      <c r="T754" s="260"/>
      <c r="U754" s="260"/>
      <c r="V754" s="260"/>
      <c r="W754" s="260"/>
      <c r="X754" s="260"/>
      <c r="Y754" s="565"/>
      <c r="Z754" s="565"/>
      <c r="AA754" s="566">
        <f t="shared" si="66"/>
        <v>0</v>
      </c>
      <c r="AB754" s="699"/>
    </row>
    <row r="755" spans="1:28" ht="15.75" customHeight="1" x14ac:dyDescent="0.3">
      <c r="A755" s="96" t="s">
        <v>3393</v>
      </c>
      <c r="C755" s="81">
        <v>43804</v>
      </c>
      <c r="D755" s="109">
        <v>43847</v>
      </c>
      <c r="E755" s="560"/>
      <c r="F755" s="97" t="s">
        <v>3394</v>
      </c>
      <c r="G755" s="97" t="s">
        <v>150</v>
      </c>
      <c r="H755" s="96" t="s">
        <v>213</v>
      </c>
      <c r="I755" s="97" t="s">
        <v>642</v>
      </c>
      <c r="J755" s="73">
        <f t="shared" si="64"/>
        <v>1</v>
      </c>
      <c r="K755" s="74" t="s">
        <v>204</v>
      </c>
      <c r="N755" s="76" t="s">
        <v>18</v>
      </c>
      <c r="Q755" s="76" t="s">
        <v>2417</v>
      </c>
      <c r="R755" s="73">
        <f t="shared" si="65"/>
        <v>1</v>
      </c>
      <c r="S755" s="260" t="s">
        <v>1976</v>
      </c>
      <c r="T755" s="260"/>
      <c r="U755" s="260"/>
      <c r="V755" s="260"/>
      <c r="W755" s="260"/>
      <c r="X755" s="260"/>
      <c r="Y755" s="565"/>
      <c r="Z755" s="565"/>
      <c r="AA755" s="566">
        <f t="shared" si="66"/>
        <v>0</v>
      </c>
      <c r="AB755" s="699"/>
    </row>
    <row r="756" spans="1:28" ht="15.75" customHeight="1" x14ac:dyDescent="0.3">
      <c r="A756" s="96" t="s">
        <v>3233</v>
      </c>
      <c r="C756" s="81">
        <v>43817</v>
      </c>
      <c r="D756" s="109">
        <v>43847</v>
      </c>
      <c r="E756" s="560"/>
      <c r="F756" s="124" t="s">
        <v>3234</v>
      </c>
      <c r="G756" s="97" t="s">
        <v>152</v>
      </c>
      <c r="H756" s="96" t="s">
        <v>213</v>
      </c>
      <c r="I756" s="97" t="s">
        <v>3395</v>
      </c>
      <c r="J756" s="73">
        <f t="shared" si="64"/>
        <v>1</v>
      </c>
      <c r="K756" s="74" t="s">
        <v>204</v>
      </c>
      <c r="L756" s="97" t="s">
        <v>3396</v>
      </c>
      <c r="N756" s="76" t="s">
        <v>17</v>
      </c>
      <c r="Q756" s="76" t="s">
        <v>2417</v>
      </c>
      <c r="R756" s="73">
        <f t="shared" si="65"/>
        <v>1</v>
      </c>
      <c r="S756" s="260" t="s">
        <v>1976</v>
      </c>
      <c r="T756" s="260"/>
      <c r="U756" s="260"/>
      <c r="V756" s="260"/>
      <c r="W756" s="260"/>
      <c r="X756" s="260"/>
      <c r="Y756" s="565"/>
      <c r="Z756" s="565"/>
      <c r="AA756" s="566">
        <f t="shared" si="66"/>
        <v>0</v>
      </c>
      <c r="AB756" s="699"/>
    </row>
    <row r="757" spans="1:28" ht="15.75" customHeight="1" x14ac:dyDescent="0.3">
      <c r="A757" s="79" t="s">
        <v>3399</v>
      </c>
      <c r="C757" s="81">
        <v>43802</v>
      </c>
      <c r="D757" s="109">
        <v>43853</v>
      </c>
      <c r="E757" s="560"/>
      <c r="F757" s="86" t="s">
        <v>3400</v>
      </c>
      <c r="G757" s="86" t="s">
        <v>158</v>
      </c>
      <c r="H757" s="79" t="s">
        <v>213</v>
      </c>
      <c r="J757" s="73">
        <f t="shared" si="64"/>
        <v>1</v>
      </c>
      <c r="K757" s="74" t="s">
        <v>204</v>
      </c>
      <c r="N757" s="76" t="s">
        <v>17</v>
      </c>
      <c r="Q757" s="76" t="s">
        <v>2417</v>
      </c>
      <c r="R757" s="73">
        <f t="shared" si="65"/>
        <v>1</v>
      </c>
      <c r="S757" s="260" t="s">
        <v>1976</v>
      </c>
      <c r="T757" s="260"/>
      <c r="U757" s="260"/>
      <c r="V757" s="260"/>
      <c r="W757" s="260"/>
      <c r="X757" s="260"/>
      <c r="Y757" s="565"/>
      <c r="Z757" s="565"/>
      <c r="AA757" s="566">
        <f t="shared" si="66"/>
        <v>0</v>
      </c>
      <c r="AB757" s="699"/>
    </row>
    <row r="758" spans="1:28" ht="15.75" customHeight="1" x14ac:dyDescent="0.3">
      <c r="A758" s="79" t="s">
        <v>3401</v>
      </c>
      <c r="C758" s="81">
        <v>43805</v>
      </c>
      <c r="D758" s="109">
        <v>43850</v>
      </c>
      <c r="E758" s="560"/>
      <c r="F758" s="86" t="s">
        <v>3402</v>
      </c>
      <c r="G758" s="86" t="s">
        <v>147</v>
      </c>
      <c r="H758" s="79" t="s">
        <v>213</v>
      </c>
      <c r="I758" s="97" t="s">
        <v>3470</v>
      </c>
      <c r="J758" s="73">
        <f t="shared" ref="J758:J785" si="67">IF(OR(K758="Документы готовы",K758="Запрос в ФО",K758="ЭЗ",K758="РЕШ",K758="РЕШ шаблон"),0.1,IF(OR(K758="ЭЗ согласование",K758="РЕШ согласование"),0.3,IF(OR(K758="ЭЗ согласовано",K758="РЕШ согласовано",K758="РЕШ подписано"),0.6,IF(OR(K758="ЭЗ ПР согласование",K758="РЕШ УВ согласование"),0.9,IF(OR(K758="ЭЗ ПР DONE",K758="РЕШ УВ DONE"),1,0)))))</f>
        <v>1</v>
      </c>
      <c r="K758" s="74" t="s">
        <v>204</v>
      </c>
      <c r="L758" s="97" t="s">
        <v>6070</v>
      </c>
      <c r="N758" s="76" t="s">
        <v>17</v>
      </c>
      <c r="Q758" s="76" t="s">
        <v>2417</v>
      </c>
      <c r="R758" s="73">
        <f t="shared" si="65"/>
        <v>1</v>
      </c>
      <c r="S758" s="260" t="s">
        <v>1976</v>
      </c>
      <c r="T758" s="260"/>
      <c r="U758" s="260"/>
      <c r="V758" s="260"/>
      <c r="W758" s="260"/>
      <c r="X758" s="260"/>
      <c r="Y758" s="565"/>
      <c r="Z758" s="565"/>
      <c r="AA758" s="566">
        <f t="shared" si="66"/>
        <v>0</v>
      </c>
      <c r="AB758" s="699"/>
    </row>
    <row r="759" spans="1:28" ht="15.75" customHeight="1" x14ac:dyDescent="0.3">
      <c r="A759" s="79" t="s">
        <v>2830</v>
      </c>
      <c r="C759" s="81">
        <v>43805</v>
      </c>
      <c r="D759" s="109">
        <v>43850</v>
      </c>
      <c r="E759" s="560"/>
      <c r="F759" s="86" t="s">
        <v>2831</v>
      </c>
      <c r="G759" s="86" t="s">
        <v>156</v>
      </c>
      <c r="H759" s="79" t="s">
        <v>213</v>
      </c>
      <c r="I759" s="97" t="s">
        <v>995</v>
      </c>
      <c r="J759" s="73">
        <f t="shared" si="67"/>
        <v>1</v>
      </c>
      <c r="K759" s="74" t="s">
        <v>204</v>
      </c>
      <c r="N759" s="76" t="s">
        <v>19</v>
      </c>
      <c r="Q759" s="76" t="s">
        <v>2417</v>
      </c>
      <c r="R759" s="73">
        <f t="shared" ref="R759:R785" si="68">IF(S759="В работе",0.3,IF(S759="Отписано",0.6,IF(S759="На доработку",0.9,IF(S759="Согласовано",1,0))))</f>
        <v>1</v>
      </c>
      <c r="S759" s="260" t="s">
        <v>1976</v>
      </c>
      <c r="T759" s="260"/>
      <c r="U759" s="260"/>
      <c r="V759" s="260"/>
      <c r="W759" s="260"/>
      <c r="X759" s="260"/>
      <c r="Y759" s="565"/>
      <c r="Z759" s="565"/>
      <c r="AA759" s="566">
        <f t="shared" si="66"/>
        <v>0</v>
      </c>
      <c r="AB759" s="699"/>
    </row>
    <row r="760" spans="1:28" ht="15.75" customHeight="1" x14ac:dyDescent="0.3">
      <c r="A760" s="79" t="s">
        <v>3403</v>
      </c>
      <c r="C760" s="81">
        <v>43808</v>
      </c>
      <c r="D760" s="109">
        <v>43852</v>
      </c>
      <c r="E760" s="560"/>
      <c r="F760" s="86" t="s">
        <v>3404</v>
      </c>
      <c r="G760" s="86" t="s">
        <v>935</v>
      </c>
      <c r="H760" s="79" t="s">
        <v>213</v>
      </c>
      <c r="I760" s="97" t="s">
        <v>642</v>
      </c>
      <c r="J760" s="73">
        <f t="shared" si="67"/>
        <v>1</v>
      </c>
      <c r="K760" s="74" t="s">
        <v>204</v>
      </c>
      <c r="N760" s="76" t="s">
        <v>18</v>
      </c>
      <c r="Q760" s="76" t="s">
        <v>2417</v>
      </c>
      <c r="R760" s="73">
        <f t="shared" si="68"/>
        <v>1</v>
      </c>
      <c r="S760" s="260" t="s">
        <v>1976</v>
      </c>
      <c r="T760" s="260"/>
      <c r="U760" s="260"/>
      <c r="V760" s="260"/>
      <c r="W760" s="260"/>
      <c r="X760" s="260"/>
      <c r="Y760" s="565"/>
      <c r="Z760" s="565"/>
      <c r="AA760" s="566">
        <f t="shared" si="66"/>
        <v>0</v>
      </c>
      <c r="AB760" s="699"/>
    </row>
    <row r="761" spans="1:28" ht="15.75" customHeight="1" x14ac:dyDescent="0.3">
      <c r="A761" s="79" t="s">
        <v>3407</v>
      </c>
      <c r="C761" s="81">
        <v>43808</v>
      </c>
      <c r="D761" s="109">
        <v>43851</v>
      </c>
      <c r="E761" s="560"/>
      <c r="F761" s="86" t="s">
        <v>3408</v>
      </c>
      <c r="G761" s="86" t="s">
        <v>152</v>
      </c>
      <c r="H761" s="79" t="s">
        <v>213</v>
      </c>
      <c r="I761" s="97" t="s">
        <v>645</v>
      </c>
      <c r="J761" s="73">
        <f t="shared" si="67"/>
        <v>1</v>
      </c>
      <c r="K761" s="74" t="s">
        <v>204</v>
      </c>
      <c r="N761" s="76" t="s">
        <v>17</v>
      </c>
      <c r="Q761" s="76" t="s">
        <v>2417</v>
      </c>
      <c r="R761" s="73">
        <f t="shared" si="68"/>
        <v>1</v>
      </c>
      <c r="S761" s="260" t="s">
        <v>1976</v>
      </c>
      <c r="T761" s="260"/>
      <c r="U761" s="260"/>
      <c r="V761" s="260"/>
      <c r="W761" s="260"/>
      <c r="X761" s="260"/>
      <c r="Y761" s="565"/>
      <c r="Z761" s="565"/>
      <c r="AA761" s="566">
        <f t="shared" si="66"/>
        <v>0</v>
      </c>
      <c r="AB761" s="699"/>
    </row>
    <row r="762" spans="1:28" ht="15.75" customHeight="1" x14ac:dyDescent="0.3">
      <c r="A762" s="79" t="s">
        <v>3120</v>
      </c>
      <c r="C762" s="81">
        <v>43809</v>
      </c>
      <c r="D762" s="109">
        <v>43853</v>
      </c>
      <c r="E762" s="560"/>
      <c r="F762" s="86" t="s">
        <v>3125</v>
      </c>
      <c r="G762" s="86" t="s">
        <v>156</v>
      </c>
      <c r="H762" s="79" t="s">
        <v>213</v>
      </c>
      <c r="I762" s="97" t="s">
        <v>3487</v>
      </c>
      <c r="J762" s="73">
        <f t="shared" si="67"/>
        <v>1</v>
      </c>
      <c r="K762" s="74" t="s">
        <v>204</v>
      </c>
      <c r="N762" s="76" t="s">
        <v>17</v>
      </c>
      <c r="Q762" s="76" t="s">
        <v>2417</v>
      </c>
      <c r="R762" s="73">
        <f t="shared" si="68"/>
        <v>1</v>
      </c>
      <c r="S762" s="260" t="s">
        <v>1976</v>
      </c>
      <c r="T762" s="260"/>
      <c r="U762" s="260"/>
      <c r="V762" s="260"/>
      <c r="W762" s="260"/>
      <c r="X762" s="260"/>
      <c r="Y762" s="565"/>
      <c r="Z762" s="565"/>
      <c r="AA762" s="566">
        <f t="shared" si="66"/>
        <v>0</v>
      </c>
      <c r="AB762" s="699"/>
    </row>
    <row r="763" spans="1:28" ht="15.75" customHeight="1" x14ac:dyDescent="0.3">
      <c r="A763" s="79" t="s">
        <v>3121</v>
      </c>
      <c r="C763" s="81">
        <v>43809</v>
      </c>
      <c r="D763" s="109">
        <v>43853</v>
      </c>
      <c r="E763" s="560"/>
      <c r="F763" s="86" t="s">
        <v>3126</v>
      </c>
      <c r="G763" s="86" t="s">
        <v>156</v>
      </c>
      <c r="H763" s="79" t="s">
        <v>213</v>
      </c>
      <c r="I763" s="97" t="s">
        <v>642</v>
      </c>
      <c r="J763" s="73">
        <f t="shared" si="67"/>
        <v>1</v>
      </c>
      <c r="K763" s="74" t="s">
        <v>204</v>
      </c>
      <c r="N763" s="76" t="s">
        <v>18</v>
      </c>
      <c r="Q763" s="76" t="s">
        <v>2417</v>
      </c>
      <c r="R763" s="73">
        <f t="shared" si="68"/>
        <v>1</v>
      </c>
      <c r="S763" s="260" t="s">
        <v>1976</v>
      </c>
      <c r="T763" s="260"/>
      <c r="U763" s="260"/>
      <c r="V763" s="260"/>
      <c r="W763" s="260"/>
      <c r="X763" s="260"/>
      <c r="Y763" s="565"/>
      <c r="Z763" s="565"/>
      <c r="AA763" s="566">
        <f t="shared" si="66"/>
        <v>0</v>
      </c>
      <c r="AB763" s="699"/>
    </row>
    <row r="764" spans="1:28" ht="15.75" customHeight="1" x14ac:dyDescent="0.3">
      <c r="A764" s="79" t="s">
        <v>3122</v>
      </c>
      <c r="C764" s="81">
        <v>43810</v>
      </c>
      <c r="D764" s="109">
        <v>43854</v>
      </c>
      <c r="E764" s="560"/>
      <c r="F764" s="86" t="s">
        <v>3127</v>
      </c>
      <c r="G764" s="86" t="s">
        <v>2718</v>
      </c>
      <c r="H764" s="79" t="s">
        <v>213</v>
      </c>
      <c r="I764" s="97" t="s">
        <v>642</v>
      </c>
      <c r="J764" s="73">
        <f t="shared" si="67"/>
        <v>1</v>
      </c>
      <c r="K764" s="74" t="s">
        <v>204</v>
      </c>
      <c r="N764" s="76" t="s">
        <v>18</v>
      </c>
      <c r="Q764" s="76" t="s">
        <v>2417</v>
      </c>
      <c r="R764" s="73">
        <f t="shared" si="68"/>
        <v>1</v>
      </c>
      <c r="S764" s="260" t="s">
        <v>1976</v>
      </c>
      <c r="T764" s="260"/>
      <c r="U764" s="260"/>
      <c r="V764" s="260"/>
      <c r="W764" s="260"/>
      <c r="X764" s="260"/>
      <c r="Y764" s="565"/>
      <c r="Z764" s="565"/>
      <c r="AA764" s="566">
        <f t="shared" si="66"/>
        <v>0</v>
      </c>
      <c r="AB764" s="699"/>
    </row>
    <row r="765" spans="1:28" ht="15.75" customHeight="1" x14ac:dyDescent="0.3">
      <c r="A765" s="79" t="s">
        <v>3123</v>
      </c>
      <c r="C765" s="81">
        <v>43810</v>
      </c>
      <c r="D765" s="109">
        <v>43854</v>
      </c>
      <c r="E765" s="560"/>
      <c r="F765" s="86" t="s">
        <v>3128</v>
      </c>
      <c r="G765" s="86" t="s">
        <v>158</v>
      </c>
      <c r="H765" s="79" t="s">
        <v>213</v>
      </c>
      <c r="I765" s="97" t="s">
        <v>714</v>
      </c>
      <c r="J765" s="73">
        <f t="shared" si="67"/>
        <v>1</v>
      </c>
      <c r="K765" s="74" t="s">
        <v>204</v>
      </c>
      <c r="N765" s="76" t="s">
        <v>17</v>
      </c>
      <c r="Q765" s="76" t="s">
        <v>2417</v>
      </c>
      <c r="R765" s="73">
        <f t="shared" si="68"/>
        <v>1</v>
      </c>
      <c r="S765" s="260" t="s">
        <v>1976</v>
      </c>
      <c r="T765" s="260"/>
      <c r="U765" s="260"/>
      <c r="V765" s="260"/>
      <c r="W765" s="260"/>
      <c r="X765" s="260"/>
      <c r="Y765" s="565"/>
      <c r="Z765" s="565"/>
      <c r="AA765" s="566">
        <f t="shared" si="66"/>
        <v>0</v>
      </c>
      <c r="AB765" s="699"/>
    </row>
    <row r="766" spans="1:28" ht="15.75" customHeight="1" x14ac:dyDescent="0.3">
      <c r="A766" s="79" t="s">
        <v>3409</v>
      </c>
      <c r="C766" s="81">
        <v>43811</v>
      </c>
      <c r="D766" s="109">
        <v>43857</v>
      </c>
      <c r="E766" s="560"/>
      <c r="F766" s="86" t="s">
        <v>3410</v>
      </c>
      <c r="G766" s="86" t="s">
        <v>150</v>
      </c>
      <c r="H766" s="79" t="s">
        <v>213</v>
      </c>
      <c r="I766" s="97" t="s">
        <v>642</v>
      </c>
      <c r="J766" s="73">
        <f t="shared" si="67"/>
        <v>1</v>
      </c>
      <c r="K766" s="74" t="s">
        <v>204</v>
      </c>
      <c r="N766" s="76" t="s">
        <v>18</v>
      </c>
      <c r="Q766" s="76" t="s">
        <v>2417</v>
      </c>
      <c r="R766" s="73">
        <f t="shared" si="68"/>
        <v>1</v>
      </c>
      <c r="S766" s="260" t="s">
        <v>1976</v>
      </c>
      <c r="T766" s="260"/>
      <c r="U766" s="260"/>
      <c r="V766" s="260"/>
      <c r="W766" s="260"/>
      <c r="X766" s="260"/>
      <c r="Y766" s="565"/>
      <c r="Z766" s="565"/>
      <c r="AA766" s="566">
        <f t="shared" si="66"/>
        <v>0</v>
      </c>
      <c r="AB766" s="699"/>
    </row>
    <row r="767" spans="1:28" ht="15.75" customHeight="1" x14ac:dyDescent="0.3">
      <c r="A767" s="79" t="s">
        <v>3411</v>
      </c>
      <c r="C767" s="81">
        <v>43812</v>
      </c>
      <c r="D767" s="109">
        <v>43857</v>
      </c>
      <c r="E767" s="560"/>
      <c r="F767" s="86" t="s">
        <v>3412</v>
      </c>
      <c r="G767" s="86" t="s">
        <v>158</v>
      </c>
      <c r="H767" s="79" t="s">
        <v>213</v>
      </c>
      <c r="I767" s="97" t="s">
        <v>642</v>
      </c>
      <c r="J767" s="73">
        <f t="shared" si="67"/>
        <v>1</v>
      </c>
      <c r="K767" s="74" t="s">
        <v>204</v>
      </c>
      <c r="N767" s="76" t="s">
        <v>18</v>
      </c>
      <c r="Q767" s="76" t="s">
        <v>2417</v>
      </c>
      <c r="R767" s="73">
        <f t="shared" si="68"/>
        <v>1</v>
      </c>
      <c r="S767" s="260" t="s">
        <v>1976</v>
      </c>
      <c r="T767" s="260"/>
      <c r="U767" s="260"/>
      <c r="V767" s="260"/>
      <c r="W767" s="260"/>
      <c r="X767" s="260"/>
      <c r="Y767" s="565"/>
      <c r="Z767" s="565"/>
      <c r="AA767" s="566">
        <f t="shared" si="66"/>
        <v>0</v>
      </c>
      <c r="AB767" s="699"/>
    </row>
    <row r="768" spans="1:28" ht="15.75" customHeight="1" x14ac:dyDescent="0.3">
      <c r="A768" s="79" t="s">
        <v>3415</v>
      </c>
      <c r="C768" s="81">
        <v>43812</v>
      </c>
      <c r="D768" s="109">
        <v>43857</v>
      </c>
      <c r="E768" s="560"/>
      <c r="F768" s="86" t="s">
        <v>3416</v>
      </c>
      <c r="G768" s="86" t="s">
        <v>156</v>
      </c>
      <c r="H768" s="79" t="s">
        <v>213</v>
      </c>
      <c r="J768" s="73">
        <f t="shared" si="67"/>
        <v>1</v>
      </c>
      <c r="K768" s="74" t="s">
        <v>204</v>
      </c>
      <c r="N768" s="76" t="s">
        <v>17</v>
      </c>
      <c r="Q768" s="76" t="s">
        <v>2417</v>
      </c>
      <c r="R768" s="73">
        <f t="shared" si="68"/>
        <v>1</v>
      </c>
      <c r="S768" s="260" t="s">
        <v>1976</v>
      </c>
      <c r="T768" s="260"/>
      <c r="U768" s="260"/>
      <c r="V768" s="260"/>
      <c r="W768" s="260"/>
      <c r="X768" s="260"/>
      <c r="Y768" s="565"/>
      <c r="Z768" s="565"/>
      <c r="AA768" s="566">
        <f t="shared" si="66"/>
        <v>0</v>
      </c>
      <c r="AB768" s="699"/>
    </row>
    <row r="769" spans="1:28" ht="15.75" customHeight="1" x14ac:dyDescent="0.3">
      <c r="A769" s="79" t="s">
        <v>3225</v>
      </c>
      <c r="C769" s="81">
        <v>43816</v>
      </c>
      <c r="D769" s="109">
        <v>43860</v>
      </c>
      <c r="E769" s="560"/>
      <c r="F769" s="86" t="s">
        <v>3427</v>
      </c>
      <c r="G769" s="86" t="s">
        <v>150</v>
      </c>
      <c r="H769" s="79" t="s">
        <v>213</v>
      </c>
      <c r="I769" s="97" t="s">
        <v>3651</v>
      </c>
      <c r="J769" s="73">
        <f t="shared" si="67"/>
        <v>1</v>
      </c>
      <c r="K769" s="74" t="s">
        <v>204</v>
      </c>
      <c r="L769" s="97" t="s">
        <v>3228</v>
      </c>
      <c r="N769" s="76" t="s">
        <v>17</v>
      </c>
      <c r="Q769" s="76" t="s">
        <v>2417</v>
      </c>
      <c r="R769" s="73">
        <f t="shared" si="68"/>
        <v>1</v>
      </c>
      <c r="S769" s="260" t="s">
        <v>1976</v>
      </c>
      <c r="T769" s="260"/>
      <c r="U769" s="260"/>
      <c r="V769" s="260"/>
      <c r="W769" s="260"/>
      <c r="X769" s="260"/>
      <c r="Y769" s="565"/>
      <c r="Z769" s="565"/>
      <c r="AA769" s="566">
        <f t="shared" si="66"/>
        <v>0</v>
      </c>
      <c r="AB769" s="699"/>
    </row>
    <row r="770" spans="1:28" ht="15.75" customHeight="1" x14ac:dyDescent="0.3">
      <c r="A770" s="79" t="s">
        <v>3436</v>
      </c>
      <c r="C770" s="81">
        <v>43818</v>
      </c>
      <c r="D770" s="109">
        <v>43850</v>
      </c>
      <c r="E770" s="560"/>
      <c r="F770" s="86" t="s">
        <v>3437</v>
      </c>
      <c r="G770" s="86" t="s">
        <v>158</v>
      </c>
      <c r="H770" s="79" t="s">
        <v>213</v>
      </c>
      <c r="I770" s="97" t="s">
        <v>2478</v>
      </c>
      <c r="J770" s="73">
        <f t="shared" si="67"/>
        <v>1</v>
      </c>
      <c r="K770" s="74" t="s">
        <v>204</v>
      </c>
      <c r="L770" s="97" t="s">
        <v>3472</v>
      </c>
      <c r="N770" s="76" t="s">
        <v>17</v>
      </c>
      <c r="Q770" s="76" t="s">
        <v>2417</v>
      </c>
      <c r="R770" s="73">
        <f t="shared" si="68"/>
        <v>1</v>
      </c>
      <c r="S770" s="260" t="s">
        <v>1976</v>
      </c>
      <c r="T770" s="260"/>
      <c r="U770" s="260"/>
      <c r="V770" s="260"/>
      <c r="W770" s="260"/>
      <c r="X770" s="260"/>
      <c r="Y770" s="565"/>
      <c r="Z770" s="565"/>
      <c r="AA770" s="566">
        <f t="shared" si="66"/>
        <v>0</v>
      </c>
      <c r="AB770" s="699"/>
    </row>
    <row r="771" spans="1:28" ht="15.75" customHeight="1" x14ac:dyDescent="0.3">
      <c r="A771" s="79" t="s">
        <v>3440</v>
      </c>
      <c r="C771" s="81">
        <v>43819</v>
      </c>
      <c r="D771" s="109">
        <v>43851</v>
      </c>
      <c r="E771" s="560"/>
      <c r="F771" s="86" t="s">
        <v>3441</v>
      </c>
      <c r="G771" s="86" t="s">
        <v>152</v>
      </c>
      <c r="H771" s="96" t="s">
        <v>213</v>
      </c>
      <c r="I771" s="97" t="s">
        <v>684</v>
      </c>
      <c r="J771" s="73">
        <f t="shared" si="67"/>
        <v>1</v>
      </c>
      <c r="K771" s="74" t="s">
        <v>204</v>
      </c>
      <c r="N771" s="76" t="s">
        <v>18</v>
      </c>
      <c r="Q771" s="76" t="s">
        <v>2417</v>
      </c>
      <c r="R771" s="73">
        <f t="shared" si="68"/>
        <v>1</v>
      </c>
      <c r="S771" s="260" t="s">
        <v>1976</v>
      </c>
      <c r="T771" s="260"/>
      <c r="U771" s="260"/>
      <c r="V771" s="260"/>
      <c r="W771" s="260"/>
      <c r="X771" s="260"/>
      <c r="Y771" s="565"/>
      <c r="Z771" s="565"/>
      <c r="AA771" s="566">
        <f t="shared" si="66"/>
        <v>0</v>
      </c>
      <c r="AB771" s="699"/>
    </row>
    <row r="772" spans="1:28" ht="15.75" customHeight="1" x14ac:dyDescent="0.3">
      <c r="A772" s="79" t="s">
        <v>3444</v>
      </c>
      <c r="C772" s="81">
        <v>43819</v>
      </c>
      <c r="D772" s="109">
        <v>43851</v>
      </c>
      <c r="E772" s="560"/>
      <c r="F772" s="86" t="s">
        <v>3445</v>
      </c>
      <c r="G772" s="86" t="s">
        <v>154</v>
      </c>
      <c r="H772" s="79" t="s">
        <v>213</v>
      </c>
      <c r="I772" s="97" t="s">
        <v>645</v>
      </c>
      <c r="J772" s="73">
        <f t="shared" si="67"/>
        <v>1</v>
      </c>
      <c r="K772" s="74" t="s">
        <v>204</v>
      </c>
      <c r="L772" s="97" t="s">
        <v>456</v>
      </c>
      <c r="N772" s="76" t="s">
        <v>17</v>
      </c>
      <c r="Q772" s="76" t="s">
        <v>2417</v>
      </c>
      <c r="R772" s="73">
        <f t="shared" si="68"/>
        <v>1</v>
      </c>
      <c r="S772" s="260" t="s">
        <v>1976</v>
      </c>
      <c r="T772" s="260"/>
      <c r="U772" s="260"/>
      <c r="V772" s="260"/>
      <c r="W772" s="260"/>
      <c r="X772" s="260"/>
      <c r="Y772" s="565"/>
      <c r="Z772" s="565"/>
      <c r="AA772" s="566">
        <f t="shared" si="66"/>
        <v>0</v>
      </c>
      <c r="AB772" s="699"/>
    </row>
    <row r="773" spans="1:28" ht="15.75" customHeight="1" x14ac:dyDescent="0.3">
      <c r="A773" s="96" t="s">
        <v>3448</v>
      </c>
      <c r="C773" s="81">
        <v>43822</v>
      </c>
      <c r="D773" s="109">
        <v>43851</v>
      </c>
      <c r="E773" s="560"/>
      <c r="F773" s="86" t="s">
        <v>3449</v>
      </c>
      <c r="G773" s="86" t="s">
        <v>152</v>
      </c>
      <c r="H773" s="79" t="s">
        <v>213</v>
      </c>
      <c r="I773" s="97" t="s">
        <v>3476</v>
      </c>
      <c r="J773" s="73">
        <f t="shared" si="67"/>
        <v>1</v>
      </c>
      <c r="K773" s="74" t="s">
        <v>204</v>
      </c>
      <c r="N773" s="76" t="s">
        <v>18</v>
      </c>
      <c r="Q773" s="76" t="s">
        <v>2417</v>
      </c>
      <c r="R773" s="73">
        <f t="shared" si="68"/>
        <v>1</v>
      </c>
      <c r="S773" s="260" t="s">
        <v>1976</v>
      </c>
      <c r="T773" s="260"/>
      <c r="U773" s="260"/>
      <c r="V773" s="260"/>
      <c r="W773" s="260"/>
      <c r="X773" s="260"/>
      <c r="Y773" s="565"/>
      <c r="Z773" s="565"/>
      <c r="AA773" s="566">
        <f t="shared" si="66"/>
        <v>0</v>
      </c>
      <c r="AB773" s="699"/>
    </row>
    <row r="774" spans="1:28" ht="15.75" customHeight="1" x14ac:dyDescent="0.3">
      <c r="A774" s="79" t="s">
        <v>3452</v>
      </c>
      <c r="C774" s="81">
        <v>43823</v>
      </c>
      <c r="D774" s="109">
        <v>43852</v>
      </c>
      <c r="E774" s="560"/>
      <c r="F774" s="86" t="s">
        <v>3453</v>
      </c>
      <c r="G774" s="86" t="s">
        <v>538</v>
      </c>
      <c r="H774" s="79" t="s">
        <v>268</v>
      </c>
      <c r="I774" s="97" t="s">
        <v>3187</v>
      </c>
      <c r="J774" s="73">
        <f t="shared" si="67"/>
        <v>1</v>
      </c>
      <c r="K774" s="74" t="s">
        <v>204</v>
      </c>
      <c r="N774" s="76" t="s">
        <v>19</v>
      </c>
      <c r="Q774" s="76" t="s">
        <v>2417</v>
      </c>
      <c r="R774" s="73">
        <f t="shared" si="68"/>
        <v>1</v>
      </c>
      <c r="S774" s="260" t="s">
        <v>1976</v>
      </c>
      <c r="T774" s="260"/>
      <c r="U774" s="260"/>
      <c r="V774" s="260"/>
      <c r="W774" s="260"/>
      <c r="X774" s="260"/>
      <c r="Y774" s="565"/>
      <c r="Z774" s="565"/>
      <c r="AA774" s="566">
        <f t="shared" si="66"/>
        <v>0</v>
      </c>
      <c r="AB774" s="699"/>
    </row>
    <row r="775" spans="1:28" ht="15.75" customHeight="1" x14ac:dyDescent="0.3">
      <c r="A775" s="79" t="s">
        <v>3458</v>
      </c>
      <c r="C775" s="81">
        <v>43823</v>
      </c>
      <c r="D775" s="109">
        <v>43853</v>
      </c>
      <c r="E775" s="560"/>
      <c r="F775" s="86" t="s">
        <v>3459</v>
      </c>
      <c r="G775" s="86" t="s">
        <v>156</v>
      </c>
      <c r="H775" s="96" t="s">
        <v>213</v>
      </c>
      <c r="I775" s="97" t="s">
        <v>995</v>
      </c>
      <c r="J775" s="73">
        <f t="shared" si="67"/>
        <v>1</v>
      </c>
      <c r="K775" s="74" t="s">
        <v>204</v>
      </c>
      <c r="N775" s="76" t="s">
        <v>19</v>
      </c>
      <c r="Q775" s="76" t="s">
        <v>2417</v>
      </c>
      <c r="R775" s="73">
        <f t="shared" si="68"/>
        <v>1</v>
      </c>
      <c r="S775" s="260" t="s">
        <v>1976</v>
      </c>
      <c r="T775" s="260"/>
      <c r="U775" s="260"/>
      <c r="V775" s="260"/>
      <c r="W775" s="260"/>
      <c r="X775" s="260"/>
      <c r="Y775" s="565"/>
      <c r="Z775" s="565"/>
      <c r="AA775" s="566">
        <f t="shared" si="66"/>
        <v>0</v>
      </c>
      <c r="AB775" s="699"/>
    </row>
    <row r="776" spans="1:28" ht="15.75" customHeight="1" x14ac:dyDescent="0.3">
      <c r="A776" s="79" t="s">
        <v>3460</v>
      </c>
      <c r="C776" s="81">
        <v>43824</v>
      </c>
      <c r="D776" s="109">
        <v>43854</v>
      </c>
      <c r="E776" s="560"/>
      <c r="F776" s="86" t="s">
        <v>3461</v>
      </c>
      <c r="G776" s="86" t="s">
        <v>172</v>
      </c>
      <c r="H776" s="79" t="s">
        <v>213</v>
      </c>
      <c r="I776" s="97" t="s">
        <v>3476</v>
      </c>
      <c r="J776" s="73">
        <f t="shared" si="67"/>
        <v>1</v>
      </c>
      <c r="K776" s="74" t="s">
        <v>204</v>
      </c>
      <c r="N776" s="76" t="s">
        <v>17</v>
      </c>
      <c r="Q776" s="76" t="s">
        <v>2417</v>
      </c>
      <c r="R776" s="73">
        <f t="shared" si="68"/>
        <v>1</v>
      </c>
      <c r="S776" s="260" t="s">
        <v>1976</v>
      </c>
      <c r="T776" s="260"/>
      <c r="U776" s="260"/>
      <c r="V776" s="260"/>
      <c r="W776" s="260"/>
      <c r="X776" s="260"/>
      <c r="Y776" s="565"/>
      <c r="Z776" s="565"/>
      <c r="AA776" s="566">
        <f t="shared" si="66"/>
        <v>0</v>
      </c>
      <c r="AB776" s="699"/>
    </row>
    <row r="777" spans="1:28" ht="15.75" customHeight="1" x14ac:dyDescent="0.3">
      <c r="A777" s="96" t="s">
        <v>3483</v>
      </c>
      <c r="C777" s="81">
        <v>43770</v>
      </c>
      <c r="D777" s="81">
        <v>43808</v>
      </c>
      <c r="E777" s="560"/>
      <c r="F777" s="124" t="s">
        <v>3484</v>
      </c>
      <c r="G777" s="97" t="s">
        <v>158</v>
      </c>
      <c r="H777" s="96" t="s">
        <v>268</v>
      </c>
      <c r="I777" s="97" t="s">
        <v>722</v>
      </c>
      <c r="J777" s="73">
        <f t="shared" si="67"/>
        <v>1</v>
      </c>
      <c r="K777" s="74" t="s">
        <v>204</v>
      </c>
      <c r="L777" s="97" t="s">
        <v>3486</v>
      </c>
      <c r="N777" s="76" t="s">
        <v>17</v>
      </c>
      <c r="Q777" s="301" t="s">
        <v>3485</v>
      </c>
      <c r="R777" s="73">
        <f t="shared" si="68"/>
        <v>1</v>
      </c>
      <c r="S777" s="260" t="s">
        <v>1976</v>
      </c>
      <c r="T777" s="260"/>
      <c r="U777" s="260"/>
      <c r="V777" s="260"/>
      <c r="W777" s="260"/>
      <c r="X777" s="260"/>
      <c r="Y777" s="565"/>
      <c r="Z777" s="565"/>
      <c r="AA777" s="566">
        <f t="shared" si="66"/>
        <v>0</v>
      </c>
      <c r="AB777" s="699"/>
    </row>
    <row r="778" spans="1:28" ht="15.75" customHeight="1" x14ac:dyDescent="0.3">
      <c r="A778" s="96" t="s">
        <v>3491</v>
      </c>
      <c r="C778" s="81">
        <v>43789</v>
      </c>
      <c r="D778" s="109">
        <v>43861</v>
      </c>
      <c r="E778" s="560"/>
      <c r="F778" s="86" t="s">
        <v>3492</v>
      </c>
      <c r="G778" s="86" t="s">
        <v>156</v>
      </c>
      <c r="H778" s="79" t="s">
        <v>213</v>
      </c>
      <c r="I778" s="97" t="s">
        <v>642</v>
      </c>
      <c r="J778" s="73">
        <f t="shared" si="67"/>
        <v>1</v>
      </c>
      <c r="K778" s="74" t="s">
        <v>204</v>
      </c>
      <c r="N778" s="76" t="s">
        <v>17</v>
      </c>
      <c r="Q778" s="76" t="s">
        <v>2076</v>
      </c>
      <c r="R778" s="73">
        <f t="shared" si="68"/>
        <v>1</v>
      </c>
      <c r="S778" s="260" t="s">
        <v>1976</v>
      </c>
      <c r="T778" s="260"/>
      <c r="U778" s="260"/>
      <c r="V778" s="260"/>
      <c r="W778" s="260"/>
      <c r="X778" s="260"/>
      <c r="Y778" s="565"/>
      <c r="Z778" s="565"/>
      <c r="AA778" s="566">
        <f t="shared" si="66"/>
        <v>0</v>
      </c>
      <c r="AB778" s="699"/>
    </row>
    <row r="779" spans="1:28" ht="15.75" customHeight="1" x14ac:dyDescent="0.3">
      <c r="A779" s="96" t="s">
        <v>3493</v>
      </c>
      <c r="C779" s="81">
        <v>43804</v>
      </c>
      <c r="D779" s="109">
        <v>43861</v>
      </c>
      <c r="E779" s="560"/>
      <c r="F779" s="86" t="s">
        <v>3494</v>
      </c>
      <c r="G779" s="86" t="s">
        <v>3495</v>
      </c>
      <c r="H779" s="79" t="s">
        <v>213</v>
      </c>
      <c r="J779" s="73">
        <f t="shared" si="67"/>
        <v>1</v>
      </c>
      <c r="K779" s="74" t="s">
        <v>204</v>
      </c>
      <c r="N779" s="76" t="s">
        <v>19</v>
      </c>
      <c r="Q779" s="76" t="s">
        <v>2076</v>
      </c>
      <c r="R779" s="73">
        <f t="shared" si="68"/>
        <v>1</v>
      </c>
      <c r="S779" s="260" t="s">
        <v>1976</v>
      </c>
      <c r="T779" s="260"/>
      <c r="U779" s="260"/>
      <c r="V779" s="260"/>
      <c r="W779" s="260"/>
      <c r="X779" s="260"/>
      <c r="Y779" s="565"/>
      <c r="Z779" s="565"/>
      <c r="AA779" s="566">
        <f t="shared" si="66"/>
        <v>0</v>
      </c>
      <c r="AB779" s="699"/>
    </row>
    <row r="780" spans="1:28" ht="15.75" customHeight="1" x14ac:dyDescent="0.3">
      <c r="A780" s="96" t="s">
        <v>2943</v>
      </c>
      <c r="C780" s="81">
        <v>43812</v>
      </c>
      <c r="D780" s="109">
        <v>43858</v>
      </c>
      <c r="E780" s="560"/>
      <c r="F780" s="86" t="s">
        <v>2944</v>
      </c>
      <c r="G780" s="86" t="s">
        <v>186</v>
      </c>
      <c r="H780" s="79" t="s">
        <v>213</v>
      </c>
      <c r="I780" s="97" t="s">
        <v>714</v>
      </c>
      <c r="J780" s="73">
        <f t="shared" si="67"/>
        <v>1</v>
      </c>
      <c r="K780" s="74" t="s">
        <v>204</v>
      </c>
      <c r="L780" s="97" t="s">
        <v>3640</v>
      </c>
      <c r="N780" s="76" t="s">
        <v>17</v>
      </c>
      <c r="Q780" s="76" t="s">
        <v>2076</v>
      </c>
      <c r="R780" s="73">
        <f t="shared" si="68"/>
        <v>1</v>
      </c>
      <c r="S780" s="260" t="s">
        <v>1976</v>
      </c>
      <c r="T780" s="260"/>
      <c r="U780" s="260"/>
      <c r="V780" s="260"/>
      <c r="W780" s="260"/>
      <c r="X780" s="260"/>
      <c r="Y780" s="565"/>
      <c r="Z780" s="565"/>
      <c r="AA780" s="566">
        <f t="shared" si="66"/>
        <v>0</v>
      </c>
      <c r="AB780" s="699"/>
    </row>
    <row r="781" spans="1:28" ht="15.75" customHeight="1" x14ac:dyDescent="0.3">
      <c r="A781" s="96" t="s">
        <v>2945</v>
      </c>
      <c r="C781" s="81">
        <v>43812</v>
      </c>
      <c r="D781" s="109">
        <v>43858</v>
      </c>
      <c r="E781" s="560"/>
      <c r="F781" s="86" t="s">
        <v>2946</v>
      </c>
      <c r="G781" s="86" t="s">
        <v>150</v>
      </c>
      <c r="H781" s="79" t="s">
        <v>213</v>
      </c>
      <c r="I781" s="97" t="s">
        <v>722</v>
      </c>
      <c r="J781" s="73">
        <f t="shared" si="67"/>
        <v>1</v>
      </c>
      <c r="K781" s="74" t="s">
        <v>204</v>
      </c>
      <c r="L781" s="97" t="s">
        <v>3639</v>
      </c>
      <c r="N781" s="76" t="s">
        <v>18</v>
      </c>
      <c r="Q781" s="76" t="s">
        <v>2076</v>
      </c>
      <c r="R781" s="73">
        <f t="shared" si="68"/>
        <v>1</v>
      </c>
      <c r="S781" s="260" t="s">
        <v>1976</v>
      </c>
      <c r="T781" s="260"/>
      <c r="U781" s="260"/>
      <c r="V781" s="260"/>
      <c r="W781" s="260"/>
      <c r="X781" s="260"/>
      <c r="Y781" s="565"/>
      <c r="Z781" s="565"/>
      <c r="AA781" s="566">
        <f t="shared" si="66"/>
        <v>0</v>
      </c>
      <c r="AB781" s="699"/>
    </row>
    <row r="782" spans="1:28" ht="15.75" customHeight="1" x14ac:dyDescent="0.3">
      <c r="A782" s="96" t="s">
        <v>2949</v>
      </c>
      <c r="C782" s="81">
        <v>43815</v>
      </c>
      <c r="D782" s="109">
        <v>43859</v>
      </c>
      <c r="E782" s="560"/>
      <c r="F782" s="86" t="s">
        <v>2950</v>
      </c>
      <c r="G782" s="86" t="s">
        <v>158</v>
      </c>
      <c r="H782" s="79" t="s">
        <v>213</v>
      </c>
      <c r="I782" s="97" t="s">
        <v>645</v>
      </c>
      <c r="J782" s="73">
        <f t="shared" si="67"/>
        <v>1</v>
      </c>
      <c r="K782" s="74" t="s">
        <v>204</v>
      </c>
      <c r="L782" s="97" t="s">
        <v>8113</v>
      </c>
      <c r="N782" s="76" t="s">
        <v>17</v>
      </c>
      <c r="Q782" s="76" t="s">
        <v>2076</v>
      </c>
      <c r="R782" s="73">
        <f t="shared" si="68"/>
        <v>1</v>
      </c>
      <c r="S782" s="260" t="s">
        <v>1976</v>
      </c>
      <c r="T782" s="260"/>
      <c r="U782" s="260"/>
      <c r="V782" s="260"/>
      <c r="W782" s="260"/>
      <c r="X782" s="260"/>
      <c r="Y782" s="565"/>
      <c r="Z782" s="565"/>
      <c r="AA782" s="566">
        <f t="shared" si="66"/>
        <v>0</v>
      </c>
      <c r="AB782" s="699"/>
    </row>
    <row r="783" spans="1:28" ht="15.75" customHeight="1" x14ac:dyDescent="0.3">
      <c r="A783" s="96" t="s">
        <v>2951</v>
      </c>
      <c r="C783" s="81">
        <v>43815</v>
      </c>
      <c r="D783" s="109">
        <v>43859</v>
      </c>
      <c r="E783" s="560"/>
      <c r="F783" s="86" t="s">
        <v>2952</v>
      </c>
      <c r="G783" s="86" t="s">
        <v>164</v>
      </c>
      <c r="H783" s="79" t="s">
        <v>213</v>
      </c>
      <c r="I783" s="97" t="s">
        <v>714</v>
      </c>
      <c r="J783" s="73">
        <f t="shared" si="67"/>
        <v>1</v>
      </c>
      <c r="K783" s="74" t="s">
        <v>204</v>
      </c>
      <c r="N783" s="76" t="s">
        <v>17</v>
      </c>
      <c r="Q783" s="76" t="s">
        <v>2076</v>
      </c>
      <c r="R783" s="73">
        <f t="shared" si="68"/>
        <v>1</v>
      </c>
      <c r="S783" s="260" t="s">
        <v>1976</v>
      </c>
      <c r="T783" s="260"/>
      <c r="U783" s="260"/>
      <c r="V783" s="260"/>
      <c r="W783" s="260"/>
      <c r="X783" s="260"/>
      <c r="Y783" s="565"/>
      <c r="Z783" s="565"/>
      <c r="AA783" s="566">
        <f t="shared" si="66"/>
        <v>0</v>
      </c>
      <c r="AB783" s="699"/>
    </row>
    <row r="784" spans="1:28" ht="15.75" customHeight="1" x14ac:dyDescent="0.3">
      <c r="A784" s="96" t="s">
        <v>2955</v>
      </c>
      <c r="C784" s="81">
        <v>43816</v>
      </c>
      <c r="D784" s="109">
        <v>43860</v>
      </c>
      <c r="E784" s="560"/>
      <c r="F784" s="86" t="s">
        <v>2956</v>
      </c>
      <c r="G784" s="86" t="s">
        <v>152</v>
      </c>
      <c r="H784" s="79" t="s">
        <v>213</v>
      </c>
      <c r="I784" s="97" t="s">
        <v>714</v>
      </c>
      <c r="J784" s="73">
        <f t="shared" si="67"/>
        <v>1</v>
      </c>
      <c r="K784" s="74" t="s">
        <v>204</v>
      </c>
      <c r="N784" s="76" t="s">
        <v>18</v>
      </c>
      <c r="Q784" s="76" t="s">
        <v>2076</v>
      </c>
      <c r="R784" s="73">
        <f t="shared" si="68"/>
        <v>1</v>
      </c>
      <c r="S784" s="260" t="s">
        <v>1976</v>
      </c>
      <c r="T784" s="260"/>
      <c r="U784" s="260"/>
      <c r="V784" s="260"/>
      <c r="W784" s="260"/>
      <c r="X784" s="260"/>
      <c r="Y784" s="565"/>
      <c r="Z784" s="565"/>
      <c r="AA784" s="566">
        <f t="shared" si="66"/>
        <v>0</v>
      </c>
      <c r="AB784" s="699"/>
    </row>
    <row r="785" spans="1:28" ht="15.75" customHeight="1" x14ac:dyDescent="0.3">
      <c r="A785" s="96" t="s">
        <v>2961</v>
      </c>
      <c r="C785" s="81">
        <v>43816</v>
      </c>
      <c r="D785" s="109">
        <v>43860</v>
      </c>
      <c r="E785" s="560"/>
      <c r="F785" s="86" t="s">
        <v>3496</v>
      </c>
      <c r="G785" s="86" t="s">
        <v>150</v>
      </c>
      <c r="H785" s="79" t="s">
        <v>213</v>
      </c>
      <c r="I785" s="97" t="s">
        <v>645</v>
      </c>
      <c r="J785" s="73">
        <f t="shared" si="67"/>
        <v>1</v>
      </c>
      <c r="K785" s="74" t="s">
        <v>204</v>
      </c>
      <c r="N785" s="76" t="s">
        <v>17</v>
      </c>
      <c r="Q785" s="76" t="s">
        <v>2076</v>
      </c>
      <c r="R785" s="73">
        <f t="shared" si="68"/>
        <v>1</v>
      </c>
      <c r="S785" s="260" t="s">
        <v>1976</v>
      </c>
      <c r="T785" s="260"/>
      <c r="U785" s="260"/>
      <c r="V785" s="260"/>
      <c r="W785" s="260"/>
      <c r="X785" s="260"/>
      <c r="Y785" s="565"/>
      <c r="Z785" s="565"/>
      <c r="AA785" s="566">
        <f t="shared" si="66"/>
        <v>0</v>
      </c>
      <c r="AB785" s="699"/>
    </row>
    <row r="786" spans="1:28" ht="15.75" customHeight="1" x14ac:dyDescent="0.3">
      <c r="A786" s="79" t="s">
        <v>3499</v>
      </c>
      <c r="C786" s="81">
        <v>43825</v>
      </c>
      <c r="D786" s="109">
        <v>43857</v>
      </c>
      <c r="E786" s="560"/>
      <c r="F786" s="86" t="s">
        <v>3500</v>
      </c>
      <c r="G786" s="86" t="s">
        <v>152</v>
      </c>
      <c r="H786" s="79" t="s">
        <v>213</v>
      </c>
      <c r="I786" s="97" t="s">
        <v>649</v>
      </c>
      <c r="J786" s="73">
        <f t="shared" ref="J786:J807" si="69">IF(OR(K786="Документы готовы",K786="Запрос в ФО",K786="ЭЗ",K786="РЕШ",K786="РЕШ шаблон"),0.1,IF(OR(K786="ЭЗ согласование",K786="РЕШ согласование"),0.3,IF(OR(K786="ЭЗ согласовано",K786="РЕШ согласовано",K786="РЕШ подписано"),0.6,IF(OR(K786="ЭЗ ПР согласование",K786="РЕШ УВ согласование"),0.9,IF(OR(K786="ЭЗ ПР DONE",K786="РЕШ УВ DONE"),1,0)))))</f>
        <v>1</v>
      </c>
      <c r="K786" s="74" t="s">
        <v>204</v>
      </c>
      <c r="N786" s="76" t="s">
        <v>17</v>
      </c>
      <c r="Q786" s="76" t="s">
        <v>2076</v>
      </c>
      <c r="R786" s="73">
        <f t="shared" ref="R786:R808" si="70">IF(S786="В работе",0.3,IF(S786="Отписано",0.6,IF(S786="На доработку",0.9,IF(S786="Согласовано",1,0))))</f>
        <v>1</v>
      </c>
      <c r="S786" s="260" t="s">
        <v>1976</v>
      </c>
      <c r="T786" s="260"/>
      <c r="U786" s="260"/>
      <c r="V786" s="260"/>
      <c r="W786" s="260"/>
      <c r="X786" s="260"/>
      <c r="Y786" s="565"/>
      <c r="Z786" s="565"/>
      <c r="AA786" s="566">
        <f t="shared" si="66"/>
        <v>0</v>
      </c>
      <c r="AB786" s="699"/>
    </row>
    <row r="787" spans="1:28" ht="15.75" customHeight="1" x14ac:dyDescent="0.3">
      <c r="A787" s="79" t="s">
        <v>3505</v>
      </c>
      <c r="C787" s="81">
        <v>43826</v>
      </c>
      <c r="D787" s="109">
        <v>43858</v>
      </c>
      <c r="E787" s="560"/>
      <c r="F787" s="86" t="s">
        <v>3506</v>
      </c>
      <c r="G787" s="86" t="s">
        <v>164</v>
      </c>
      <c r="H787" s="79" t="s">
        <v>213</v>
      </c>
      <c r="I787" s="97" t="s">
        <v>755</v>
      </c>
      <c r="J787" s="73">
        <f t="shared" si="69"/>
        <v>1</v>
      </c>
      <c r="K787" s="74" t="s">
        <v>204</v>
      </c>
      <c r="N787" s="76" t="s">
        <v>18</v>
      </c>
      <c r="Q787" s="76" t="s">
        <v>2076</v>
      </c>
      <c r="R787" s="73">
        <f t="shared" si="70"/>
        <v>1</v>
      </c>
      <c r="S787" s="260" t="s">
        <v>1976</v>
      </c>
      <c r="T787" s="260"/>
      <c r="U787" s="260"/>
      <c r="V787" s="260"/>
      <c r="W787" s="260"/>
      <c r="X787" s="260"/>
      <c r="Y787" s="565"/>
      <c r="Z787" s="565"/>
      <c r="AA787" s="566">
        <f t="shared" si="66"/>
        <v>0</v>
      </c>
      <c r="AB787" s="699"/>
    </row>
    <row r="788" spans="1:28" ht="15.75" customHeight="1" x14ac:dyDescent="0.3">
      <c r="A788" s="79" t="s">
        <v>3507</v>
      </c>
      <c r="C788" s="81">
        <v>43826</v>
      </c>
      <c r="D788" s="109">
        <v>43858</v>
      </c>
      <c r="E788" s="560"/>
      <c r="F788" s="86" t="s">
        <v>3508</v>
      </c>
      <c r="G788" s="86" t="s">
        <v>3509</v>
      </c>
      <c r="H788" s="79" t="s">
        <v>213</v>
      </c>
      <c r="I788" s="97" t="s">
        <v>1285</v>
      </c>
      <c r="J788" s="73">
        <f t="shared" si="69"/>
        <v>1</v>
      </c>
      <c r="K788" s="74" t="s">
        <v>204</v>
      </c>
      <c r="N788" s="76" t="s">
        <v>19</v>
      </c>
      <c r="Q788" s="76" t="s">
        <v>2076</v>
      </c>
      <c r="R788" s="73">
        <f t="shared" si="70"/>
        <v>1</v>
      </c>
      <c r="S788" s="260" t="s">
        <v>1976</v>
      </c>
      <c r="T788" s="260"/>
      <c r="U788" s="260"/>
      <c r="V788" s="260"/>
      <c r="W788" s="260"/>
      <c r="X788" s="260"/>
      <c r="Y788" s="565"/>
      <c r="Z788" s="565"/>
      <c r="AA788" s="566">
        <f t="shared" si="66"/>
        <v>0</v>
      </c>
      <c r="AB788" s="699"/>
    </row>
    <row r="789" spans="1:28" ht="15.75" customHeight="1" x14ac:dyDescent="0.3">
      <c r="A789" s="79" t="s">
        <v>3510</v>
      </c>
      <c r="C789" s="81">
        <v>43826</v>
      </c>
      <c r="D789" s="109">
        <v>43858</v>
      </c>
      <c r="E789" s="560"/>
      <c r="F789" s="86" t="s">
        <v>3511</v>
      </c>
      <c r="G789" s="86" t="s">
        <v>154</v>
      </c>
      <c r="H789" s="79" t="s">
        <v>213</v>
      </c>
      <c r="I789" s="97" t="s">
        <v>2478</v>
      </c>
      <c r="J789" s="73">
        <f t="shared" si="69"/>
        <v>1</v>
      </c>
      <c r="K789" s="74" t="s">
        <v>204</v>
      </c>
      <c r="N789" s="76" t="s">
        <v>17</v>
      </c>
      <c r="Q789" s="76" t="s">
        <v>2076</v>
      </c>
      <c r="R789" s="73">
        <f t="shared" si="70"/>
        <v>1</v>
      </c>
      <c r="S789" s="260" t="s">
        <v>1976</v>
      </c>
      <c r="T789" s="260"/>
      <c r="U789" s="260"/>
      <c r="V789" s="260"/>
      <c r="W789" s="260"/>
      <c r="X789" s="260"/>
      <c r="Y789" s="565"/>
      <c r="Z789" s="565"/>
      <c r="AA789" s="566">
        <f t="shared" si="66"/>
        <v>0</v>
      </c>
      <c r="AB789" s="699"/>
    </row>
    <row r="790" spans="1:28" ht="15.75" customHeight="1" x14ac:dyDescent="0.3">
      <c r="A790" s="79" t="s">
        <v>3516</v>
      </c>
      <c r="C790" s="81">
        <v>43829</v>
      </c>
      <c r="D790" s="109">
        <v>43859</v>
      </c>
      <c r="E790" s="560"/>
      <c r="F790" s="86" t="s">
        <v>3517</v>
      </c>
      <c r="G790" s="86" t="s">
        <v>152</v>
      </c>
      <c r="H790" s="79" t="s">
        <v>213</v>
      </c>
      <c r="I790" s="97" t="s">
        <v>2478</v>
      </c>
      <c r="J790" s="73">
        <f t="shared" si="69"/>
        <v>1</v>
      </c>
      <c r="K790" s="74" t="s">
        <v>204</v>
      </c>
      <c r="N790" s="76" t="s">
        <v>18</v>
      </c>
      <c r="Q790" s="76" t="s">
        <v>2076</v>
      </c>
      <c r="R790" s="73">
        <f t="shared" si="70"/>
        <v>1</v>
      </c>
      <c r="S790" s="260" t="s">
        <v>1976</v>
      </c>
      <c r="T790" s="260"/>
      <c r="U790" s="260"/>
      <c r="V790" s="260"/>
      <c r="W790" s="260"/>
      <c r="X790" s="260"/>
      <c r="Y790" s="565"/>
      <c r="Z790" s="565"/>
      <c r="AA790" s="566">
        <f t="shared" si="66"/>
        <v>0</v>
      </c>
      <c r="AB790" s="699"/>
    </row>
    <row r="791" spans="1:28" ht="15.75" customHeight="1" x14ac:dyDescent="0.3">
      <c r="A791" s="79" t="s">
        <v>3518</v>
      </c>
      <c r="C791" s="81">
        <v>43829</v>
      </c>
      <c r="D791" s="109">
        <v>43859</v>
      </c>
      <c r="E791" s="560"/>
      <c r="F791" s="86" t="s">
        <v>3519</v>
      </c>
      <c r="G791" s="86" t="s">
        <v>157</v>
      </c>
      <c r="H791" s="79" t="s">
        <v>213</v>
      </c>
      <c r="I791" s="97" t="s">
        <v>658</v>
      </c>
      <c r="J791" s="73">
        <f t="shared" si="69"/>
        <v>1</v>
      </c>
      <c r="K791" s="74" t="s">
        <v>204</v>
      </c>
      <c r="L791" s="97" t="s">
        <v>3646</v>
      </c>
      <c r="Q791" s="76" t="s">
        <v>2076</v>
      </c>
      <c r="R791" s="73">
        <f t="shared" si="70"/>
        <v>1</v>
      </c>
      <c r="S791" s="260" t="s">
        <v>1976</v>
      </c>
      <c r="T791" s="260"/>
      <c r="U791" s="260"/>
      <c r="V791" s="260"/>
      <c r="W791" s="260"/>
      <c r="X791" s="260"/>
      <c r="Y791" s="565"/>
      <c r="Z791" s="565"/>
      <c r="AA791" s="566">
        <f t="shared" si="66"/>
        <v>0</v>
      </c>
      <c r="AB791" s="699"/>
    </row>
    <row r="792" spans="1:28" ht="15.75" customHeight="1" x14ac:dyDescent="0.3">
      <c r="A792" s="79" t="s">
        <v>3520</v>
      </c>
      <c r="C792" s="81">
        <v>43839</v>
      </c>
      <c r="D792" s="109">
        <v>43861</v>
      </c>
      <c r="E792" s="560"/>
      <c r="F792" s="86" t="s">
        <v>3521</v>
      </c>
      <c r="G792" s="86" t="s">
        <v>152</v>
      </c>
      <c r="H792" s="79" t="s">
        <v>213</v>
      </c>
      <c r="I792" s="97" t="s">
        <v>3654</v>
      </c>
      <c r="J792" s="73">
        <f t="shared" si="69"/>
        <v>1</v>
      </c>
      <c r="K792" s="74" t="s">
        <v>204</v>
      </c>
      <c r="L792" s="97" t="s">
        <v>3655</v>
      </c>
      <c r="N792" s="76" t="s">
        <v>18</v>
      </c>
      <c r="Q792" s="76" t="s">
        <v>2076</v>
      </c>
      <c r="R792" s="73">
        <f t="shared" si="70"/>
        <v>1</v>
      </c>
      <c r="S792" s="260" t="s">
        <v>1976</v>
      </c>
      <c r="T792" s="260"/>
      <c r="U792" s="260"/>
      <c r="V792" s="260"/>
      <c r="W792" s="260"/>
      <c r="X792" s="260"/>
      <c r="Y792" s="565"/>
      <c r="Z792" s="565"/>
      <c r="AA792" s="566">
        <f t="shared" si="66"/>
        <v>0</v>
      </c>
      <c r="AB792" s="699"/>
    </row>
    <row r="793" spans="1:28" ht="15.75" customHeight="1" x14ac:dyDescent="0.3">
      <c r="A793" s="79" t="s">
        <v>3522</v>
      </c>
      <c r="C793" s="81">
        <v>43839</v>
      </c>
      <c r="D793" s="109">
        <v>43861</v>
      </c>
      <c r="E793" s="560"/>
      <c r="F793" s="86" t="s">
        <v>3523</v>
      </c>
      <c r="G793" s="86" t="s">
        <v>150</v>
      </c>
      <c r="H793" s="79" t="s">
        <v>213</v>
      </c>
      <c r="J793" s="73">
        <f t="shared" si="69"/>
        <v>1</v>
      </c>
      <c r="K793" s="74" t="s">
        <v>204</v>
      </c>
      <c r="Q793" s="76" t="s">
        <v>2076</v>
      </c>
      <c r="R793" s="73">
        <f t="shared" si="70"/>
        <v>1</v>
      </c>
      <c r="S793" s="260" t="s">
        <v>1976</v>
      </c>
      <c r="T793" s="260"/>
      <c r="U793" s="260"/>
      <c r="V793" s="260"/>
      <c r="W793" s="260"/>
      <c r="X793" s="260"/>
      <c r="Y793" s="565"/>
      <c r="Z793" s="565"/>
      <c r="AA793" s="566">
        <f t="shared" si="66"/>
        <v>0</v>
      </c>
      <c r="AB793" s="699"/>
    </row>
    <row r="794" spans="1:28" ht="15.75" customHeight="1" x14ac:dyDescent="0.3">
      <c r="A794" s="79" t="s">
        <v>3524</v>
      </c>
      <c r="C794" s="81">
        <v>43839</v>
      </c>
      <c r="D794" s="109">
        <v>43860</v>
      </c>
      <c r="E794" s="560"/>
      <c r="F794" s="86" t="s">
        <v>3525</v>
      </c>
      <c r="G794" s="86" t="s">
        <v>154</v>
      </c>
      <c r="H794" s="79" t="s">
        <v>213</v>
      </c>
      <c r="I794" s="97" t="s">
        <v>3796</v>
      </c>
      <c r="J794" s="73">
        <f t="shared" si="69"/>
        <v>1</v>
      </c>
      <c r="K794" s="74" t="s">
        <v>204</v>
      </c>
      <c r="L794" s="97" t="s">
        <v>3797</v>
      </c>
      <c r="N794" s="76" t="s">
        <v>18</v>
      </c>
      <c r="Q794" s="76" t="s">
        <v>2076</v>
      </c>
      <c r="R794" s="73">
        <f t="shared" si="70"/>
        <v>1</v>
      </c>
      <c r="S794" s="260" t="s">
        <v>1976</v>
      </c>
      <c r="T794" s="260"/>
      <c r="U794" s="260"/>
      <c r="V794" s="260"/>
      <c r="W794" s="260"/>
      <c r="X794" s="260"/>
      <c r="Y794" s="565"/>
      <c r="Z794" s="565"/>
      <c r="AA794" s="566">
        <f t="shared" si="66"/>
        <v>0</v>
      </c>
      <c r="AB794" s="699"/>
    </row>
    <row r="795" spans="1:28" ht="15.75" customHeight="1" x14ac:dyDescent="0.3">
      <c r="A795" s="96" t="s">
        <v>3526</v>
      </c>
      <c r="C795" s="81">
        <v>43805</v>
      </c>
      <c r="D795" s="109">
        <v>43858</v>
      </c>
      <c r="E795" s="560"/>
      <c r="F795" s="86" t="s">
        <v>3265</v>
      </c>
      <c r="G795" s="86" t="s">
        <v>158</v>
      </c>
      <c r="H795" s="79" t="s">
        <v>213</v>
      </c>
      <c r="I795" s="97" t="s">
        <v>1113</v>
      </c>
      <c r="J795" s="73">
        <f t="shared" si="69"/>
        <v>1</v>
      </c>
      <c r="K795" s="74" t="s">
        <v>204</v>
      </c>
      <c r="N795" s="76" t="s">
        <v>18</v>
      </c>
      <c r="Q795" s="76" t="s">
        <v>2037</v>
      </c>
      <c r="R795" s="73">
        <f t="shared" si="70"/>
        <v>1</v>
      </c>
      <c r="S795" s="260" t="s">
        <v>1976</v>
      </c>
      <c r="T795" s="260"/>
      <c r="U795" s="260"/>
      <c r="V795" s="260"/>
      <c r="W795" s="260"/>
      <c r="X795" s="260"/>
      <c r="Y795" s="565"/>
      <c r="Z795" s="565"/>
      <c r="AA795" s="566">
        <f t="shared" si="66"/>
        <v>0</v>
      </c>
      <c r="AB795" s="699"/>
    </row>
    <row r="796" spans="1:28" ht="15.75" customHeight="1" x14ac:dyDescent="0.3">
      <c r="A796" s="96" t="s">
        <v>3527</v>
      </c>
      <c r="C796" s="81">
        <v>43815</v>
      </c>
      <c r="D796" s="109">
        <v>43859</v>
      </c>
      <c r="E796" s="560"/>
      <c r="F796" s="86" t="s">
        <v>3528</v>
      </c>
      <c r="G796" s="86" t="s">
        <v>150</v>
      </c>
      <c r="H796" s="79" t="s">
        <v>213</v>
      </c>
      <c r="I796" s="97" t="s">
        <v>714</v>
      </c>
      <c r="J796" s="73">
        <f t="shared" si="69"/>
        <v>1</v>
      </c>
      <c r="K796" s="74" t="s">
        <v>204</v>
      </c>
      <c r="N796" s="76" t="s">
        <v>17</v>
      </c>
      <c r="Q796" s="76" t="s">
        <v>2037</v>
      </c>
      <c r="R796" s="73">
        <f t="shared" si="70"/>
        <v>1</v>
      </c>
      <c r="S796" s="260" t="s">
        <v>1976</v>
      </c>
      <c r="T796" s="260"/>
      <c r="U796" s="260"/>
      <c r="V796" s="260"/>
      <c r="W796" s="260"/>
      <c r="X796" s="260"/>
      <c r="Y796" s="565"/>
      <c r="Z796" s="565"/>
      <c r="AA796" s="566">
        <f t="shared" si="66"/>
        <v>0</v>
      </c>
      <c r="AB796" s="699"/>
    </row>
    <row r="797" spans="1:28" ht="15.75" customHeight="1" x14ac:dyDescent="0.3">
      <c r="A797" s="96" t="s">
        <v>3529</v>
      </c>
      <c r="C797" s="81">
        <v>43815</v>
      </c>
      <c r="D797" s="109">
        <v>43859</v>
      </c>
      <c r="E797" s="560"/>
      <c r="F797" s="86" t="s">
        <v>3530</v>
      </c>
      <c r="G797" s="86" t="s">
        <v>150</v>
      </c>
      <c r="H797" s="79" t="s">
        <v>213</v>
      </c>
      <c r="I797" s="97" t="s">
        <v>641</v>
      </c>
      <c r="J797" s="73">
        <f t="shared" si="69"/>
        <v>1</v>
      </c>
      <c r="K797" s="74" t="s">
        <v>204</v>
      </c>
      <c r="N797" s="76" t="s">
        <v>17</v>
      </c>
      <c r="Q797" s="76" t="s">
        <v>2037</v>
      </c>
      <c r="R797" s="73">
        <f t="shared" si="70"/>
        <v>1</v>
      </c>
      <c r="S797" s="260" t="s">
        <v>1976</v>
      </c>
      <c r="T797" s="260"/>
      <c r="U797" s="260"/>
      <c r="V797" s="260"/>
      <c r="W797" s="260"/>
      <c r="X797" s="260"/>
      <c r="Y797" s="565"/>
      <c r="Z797" s="565"/>
      <c r="AA797" s="566">
        <f t="shared" si="66"/>
        <v>0</v>
      </c>
      <c r="AB797" s="699"/>
    </row>
    <row r="798" spans="1:28" ht="15.75" customHeight="1" x14ac:dyDescent="0.3">
      <c r="A798" s="96" t="s">
        <v>3012</v>
      </c>
      <c r="C798" s="81">
        <v>43815</v>
      </c>
      <c r="D798" s="109">
        <v>43858</v>
      </c>
      <c r="E798" s="560"/>
      <c r="F798" s="86" t="s">
        <v>3013</v>
      </c>
      <c r="G798" s="86" t="s">
        <v>3014</v>
      </c>
      <c r="H798" s="79" t="s">
        <v>213</v>
      </c>
      <c r="I798" s="97" t="s">
        <v>714</v>
      </c>
      <c r="J798" s="73">
        <f t="shared" si="69"/>
        <v>1</v>
      </c>
      <c r="K798" s="74" t="s">
        <v>204</v>
      </c>
      <c r="N798" s="76" t="s">
        <v>18</v>
      </c>
      <c r="Q798" s="76" t="s">
        <v>2037</v>
      </c>
      <c r="R798" s="73">
        <f t="shared" si="70"/>
        <v>1</v>
      </c>
      <c r="S798" s="260" t="s">
        <v>1976</v>
      </c>
      <c r="T798" s="260"/>
      <c r="U798" s="260"/>
      <c r="V798" s="260"/>
      <c r="W798" s="260"/>
      <c r="X798" s="260"/>
      <c r="Y798" s="565"/>
      <c r="Z798" s="565"/>
      <c r="AA798" s="566">
        <f t="shared" si="66"/>
        <v>0</v>
      </c>
      <c r="AB798" s="699"/>
    </row>
    <row r="799" spans="1:28" ht="15.75" customHeight="1" x14ac:dyDescent="0.3">
      <c r="A799" s="96" t="s">
        <v>3019</v>
      </c>
      <c r="C799" s="81">
        <v>43816</v>
      </c>
      <c r="D799" s="109">
        <v>43859</v>
      </c>
      <c r="E799" s="560"/>
      <c r="F799" s="86" t="s">
        <v>3020</v>
      </c>
      <c r="G799" s="86" t="s">
        <v>156</v>
      </c>
      <c r="H799" s="79" t="s">
        <v>213</v>
      </c>
      <c r="I799" s="97" t="s">
        <v>641</v>
      </c>
      <c r="J799" s="73">
        <f t="shared" si="69"/>
        <v>1</v>
      </c>
      <c r="K799" s="74" t="s">
        <v>204</v>
      </c>
      <c r="N799" s="76" t="s">
        <v>17</v>
      </c>
      <c r="Q799" s="76" t="s">
        <v>2037</v>
      </c>
      <c r="R799" s="73">
        <f t="shared" si="70"/>
        <v>1</v>
      </c>
      <c r="S799" s="260" t="s">
        <v>1976</v>
      </c>
      <c r="T799" s="260"/>
      <c r="U799" s="260"/>
      <c r="V799" s="260"/>
      <c r="W799" s="260"/>
      <c r="X799" s="260"/>
      <c r="Y799" s="565"/>
      <c r="Z799" s="565"/>
      <c r="AA799" s="566">
        <f t="shared" si="66"/>
        <v>0</v>
      </c>
      <c r="AB799" s="699"/>
    </row>
    <row r="800" spans="1:28" ht="15.75" customHeight="1" x14ac:dyDescent="0.3">
      <c r="A800" s="96" t="s">
        <v>3173</v>
      </c>
      <c r="C800" s="81">
        <v>43817</v>
      </c>
      <c r="D800" s="109">
        <v>43861</v>
      </c>
      <c r="E800" s="560"/>
      <c r="F800" s="86" t="s">
        <v>3174</v>
      </c>
      <c r="G800" s="86" t="s">
        <v>156</v>
      </c>
      <c r="H800" s="79" t="s">
        <v>213</v>
      </c>
      <c r="I800" s="97" t="s">
        <v>714</v>
      </c>
      <c r="J800" s="73">
        <f t="shared" si="69"/>
        <v>1</v>
      </c>
      <c r="K800" s="74" t="s">
        <v>204</v>
      </c>
      <c r="L800" s="97"/>
      <c r="N800" s="76" t="s">
        <v>17</v>
      </c>
      <c r="Q800" s="76" t="s">
        <v>2037</v>
      </c>
      <c r="R800" s="73">
        <f t="shared" si="70"/>
        <v>1</v>
      </c>
      <c r="S800" s="260" t="s">
        <v>1976</v>
      </c>
      <c r="T800" s="260"/>
      <c r="U800" s="260"/>
      <c r="V800" s="260"/>
      <c r="W800" s="260"/>
      <c r="X800" s="260"/>
      <c r="Y800" s="565"/>
      <c r="Z800" s="565"/>
      <c r="AA800" s="566">
        <f t="shared" si="66"/>
        <v>0</v>
      </c>
      <c r="AB800" s="699"/>
    </row>
    <row r="801" spans="1:28" ht="15.75" customHeight="1" x14ac:dyDescent="0.3">
      <c r="A801" s="96" t="s">
        <v>3025</v>
      </c>
      <c r="C801" s="81">
        <v>43817</v>
      </c>
      <c r="D801" s="109">
        <v>43860</v>
      </c>
      <c r="E801" s="560"/>
      <c r="F801" s="86" t="s">
        <v>3026</v>
      </c>
      <c r="G801" s="86" t="s">
        <v>158</v>
      </c>
      <c r="H801" s="79" t="s">
        <v>213</v>
      </c>
      <c r="I801" s="97" t="s">
        <v>714</v>
      </c>
      <c r="J801" s="73">
        <f t="shared" si="69"/>
        <v>1</v>
      </c>
      <c r="K801" s="74" t="s">
        <v>204</v>
      </c>
      <c r="N801" s="76" t="s">
        <v>17</v>
      </c>
      <c r="Q801" s="76" t="s">
        <v>2037</v>
      </c>
      <c r="R801" s="73">
        <f t="shared" si="70"/>
        <v>1</v>
      </c>
      <c r="S801" s="260" t="s">
        <v>1976</v>
      </c>
      <c r="T801" s="260"/>
      <c r="U801" s="260"/>
      <c r="V801" s="260"/>
      <c r="W801" s="260"/>
      <c r="X801" s="260"/>
      <c r="Y801" s="565"/>
      <c r="Z801" s="565"/>
      <c r="AA801" s="566">
        <f t="shared" si="66"/>
        <v>0</v>
      </c>
      <c r="AB801" s="699"/>
    </row>
    <row r="802" spans="1:28" ht="15.75" customHeight="1" x14ac:dyDescent="0.3">
      <c r="A802" s="79" t="s">
        <v>3031</v>
      </c>
      <c r="C802" s="81">
        <v>43817</v>
      </c>
      <c r="D802" s="109">
        <v>43860</v>
      </c>
      <c r="E802" s="560"/>
      <c r="F802" s="86" t="s">
        <v>3032</v>
      </c>
      <c r="G802" s="86" t="s">
        <v>172</v>
      </c>
      <c r="H802" s="79" t="s">
        <v>213</v>
      </c>
      <c r="I802" s="97" t="s">
        <v>714</v>
      </c>
      <c r="J802" s="73">
        <f t="shared" si="69"/>
        <v>1</v>
      </c>
      <c r="K802" s="74" t="s">
        <v>204</v>
      </c>
      <c r="N802" s="76" t="s">
        <v>18</v>
      </c>
      <c r="Q802" s="76" t="s">
        <v>2037</v>
      </c>
      <c r="R802" s="73">
        <f t="shared" si="70"/>
        <v>1</v>
      </c>
      <c r="S802" s="260" t="s">
        <v>1976</v>
      </c>
      <c r="T802" s="260"/>
      <c r="U802" s="260"/>
      <c r="V802" s="260"/>
      <c r="W802" s="260"/>
      <c r="X802" s="260"/>
      <c r="Y802" s="565"/>
      <c r="Z802" s="565"/>
      <c r="AA802" s="566">
        <f t="shared" si="66"/>
        <v>0</v>
      </c>
      <c r="AB802" s="699"/>
    </row>
    <row r="803" spans="1:28" ht="15.75" customHeight="1" x14ac:dyDescent="0.3">
      <c r="A803" s="96" t="s">
        <v>3531</v>
      </c>
      <c r="C803" s="81">
        <v>43826</v>
      </c>
      <c r="D803" s="109">
        <v>43858</v>
      </c>
      <c r="E803" s="560"/>
      <c r="F803" s="86" t="s">
        <v>3532</v>
      </c>
      <c r="G803" s="86" t="s">
        <v>152</v>
      </c>
      <c r="H803" s="79" t="s">
        <v>213</v>
      </c>
      <c r="I803" s="97" t="s">
        <v>2193</v>
      </c>
      <c r="J803" s="73">
        <f t="shared" si="69"/>
        <v>1</v>
      </c>
      <c r="K803" s="74" t="s">
        <v>204</v>
      </c>
      <c r="N803" s="76" t="s">
        <v>17</v>
      </c>
      <c r="Q803" s="76" t="s">
        <v>2037</v>
      </c>
      <c r="R803" s="73">
        <f t="shared" si="70"/>
        <v>1</v>
      </c>
      <c r="S803" s="260" t="s">
        <v>1976</v>
      </c>
      <c r="T803" s="260"/>
      <c r="U803" s="260"/>
      <c r="V803" s="260"/>
      <c r="W803" s="260"/>
      <c r="X803" s="260"/>
      <c r="Y803" s="565"/>
      <c r="Z803" s="565"/>
      <c r="AA803" s="566">
        <f t="shared" si="66"/>
        <v>0</v>
      </c>
      <c r="AB803" s="699"/>
    </row>
    <row r="804" spans="1:28" ht="15.75" customHeight="1" x14ac:dyDescent="0.3">
      <c r="A804" s="96" t="s">
        <v>3535</v>
      </c>
      <c r="C804" s="81">
        <v>43826</v>
      </c>
      <c r="D804" s="109">
        <v>43858</v>
      </c>
      <c r="E804" s="560"/>
      <c r="F804" s="86" t="s">
        <v>3536</v>
      </c>
      <c r="G804" s="86" t="s">
        <v>158</v>
      </c>
      <c r="H804" s="79" t="s">
        <v>213</v>
      </c>
      <c r="I804" s="97" t="s">
        <v>2478</v>
      </c>
      <c r="J804" s="73">
        <f t="shared" si="69"/>
        <v>1</v>
      </c>
      <c r="K804" s="74" t="s">
        <v>204</v>
      </c>
      <c r="N804" s="76" t="s">
        <v>17</v>
      </c>
      <c r="Q804" s="76" t="s">
        <v>2037</v>
      </c>
      <c r="R804" s="73">
        <f t="shared" si="70"/>
        <v>1</v>
      </c>
      <c r="S804" s="260" t="s">
        <v>1976</v>
      </c>
      <c r="T804" s="260"/>
      <c r="U804" s="260"/>
      <c r="V804" s="260"/>
      <c r="W804" s="260"/>
      <c r="X804" s="260"/>
      <c r="Y804" s="565"/>
      <c r="Z804" s="565"/>
      <c r="AA804" s="566">
        <f t="shared" si="66"/>
        <v>0</v>
      </c>
      <c r="AB804" s="699"/>
    </row>
    <row r="805" spans="1:28" ht="15.75" customHeight="1" x14ac:dyDescent="0.3">
      <c r="A805" s="96" t="s">
        <v>3543</v>
      </c>
      <c r="C805" s="81">
        <v>43830</v>
      </c>
      <c r="D805" s="109">
        <v>43859</v>
      </c>
      <c r="E805" s="560"/>
      <c r="F805" s="86" t="s">
        <v>3544</v>
      </c>
      <c r="G805" s="86" t="s">
        <v>156</v>
      </c>
      <c r="H805" s="79" t="s">
        <v>213</v>
      </c>
      <c r="I805" s="97" t="s">
        <v>995</v>
      </c>
      <c r="J805" s="73">
        <f t="shared" si="69"/>
        <v>1</v>
      </c>
      <c r="K805" s="74" t="s">
        <v>204</v>
      </c>
      <c r="L805" s="97" t="s">
        <v>3647</v>
      </c>
      <c r="N805" s="76" t="s">
        <v>19</v>
      </c>
      <c r="Q805" s="76" t="s">
        <v>2037</v>
      </c>
      <c r="R805" s="73">
        <f t="shared" si="70"/>
        <v>1</v>
      </c>
      <c r="S805" s="260" t="s">
        <v>1976</v>
      </c>
      <c r="T805" s="260"/>
      <c r="U805" s="260"/>
      <c r="V805" s="260"/>
      <c r="W805" s="260"/>
      <c r="X805" s="260"/>
      <c r="Y805" s="565"/>
      <c r="Z805" s="565"/>
      <c r="AA805" s="566">
        <f t="shared" si="66"/>
        <v>0</v>
      </c>
      <c r="AB805" s="699"/>
    </row>
    <row r="806" spans="1:28" ht="15.75" customHeight="1" x14ac:dyDescent="0.3">
      <c r="A806" s="79" t="s">
        <v>3547</v>
      </c>
      <c r="C806" s="81">
        <v>43839</v>
      </c>
      <c r="D806" s="109">
        <v>43861</v>
      </c>
      <c r="E806" s="560"/>
      <c r="F806" s="86" t="s">
        <v>3548</v>
      </c>
      <c r="G806" s="86" t="s">
        <v>166</v>
      </c>
      <c r="H806" s="79" t="s">
        <v>268</v>
      </c>
      <c r="I806" s="97" t="s">
        <v>3653</v>
      </c>
      <c r="J806" s="73">
        <f t="shared" si="69"/>
        <v>1</v>
      </c>
      <c r="K806" s="74" t="s">
        <v>204</v>
      </c>
      <c r="N806" s="76" t="s">
        <v>17</v>
      </c>
      <c r="Q806" s="76" t="s">
        <v>2037</v>
      </c>
      <c r="R806" s="73">
        <f t="shared" si="70"/>
        <v>1</v>
      </c>
      <c r="S806" s="260" t="s">
        <v>1976</v>
      </c>
      <c r="T806" s="260"/>
      <c r="U806" s="260"/>
      <c r="V806" s="260"/>
      <c r="W806" s="260"/>
      <c r="X806" s="260"/>
      <c r="Y806" s="565"/>
      <c r="Z806" s="565"/>
      <c r="AA806" s="566">
        <f t="shared" si="66"/>
        <v>0</v>
      </c>
      <c r="AB806" s="699"/>
    </row>
    <row r="807" spans="1:28" ht="15.75" customHeight="1" x14ac:dyDescent="0.3">
      <c r="A807" s="79" t="s">
        <v>3549</v>
      </c>
      <c r="C807" s="81">
        <v>43839</v>
      </c>
      <c r="D807" s="109">
        <v>43860</v>
      </c>
      <c r="E807" s="560"/>
      <c r="F807" s="86" t="s">
        <v>3550</v>
      </c>
      <c r="G807" s="86" t="s">
        <v>150</v>
      </c>
      <c r="H807" s="79" t="s">
        <v>213</v>
      </c>
      <c r="I807" s="97" t="s">
        <v>3150</v>
      </c>
      <c r="J807" s="73">
        <f t="shared" si="69"/>
        <v>1</v>
      </c>
      <c r="K807" s="74" t="s">
        <v>204</v>
      </c>
      <c r="L807" s="97" t="s">
        <v>4587</v>
      </c>
      <c r="N807" s="76" t="s">
        <v>17</v>
      </c>
      <c r="Q807" s="76" t="s">
        <v>2037</v>
      </c>
      <c r="R807" s="73">
        <f t="shared" si="70"/>
        <v>1</v>
      </c>
      <c r="S807" s="260" t="s">
        <v>1976</v>
      </c>
      <c r="T807" s="260"/>
      <c r="U807" s="260"/>
      <c r="V807" s="260"/>
      <c r="W807" s="260"/>
      <c r="X807" s="260"/>
      <c r="Y807" s="565"/>
      <c r="Z807" s="565"/>
      <c r="AA807" s="566">
        <f t="shared" si="66"/>
        <v>0</v>
      </c>
      <c r="AB807" s="699"/>
    </row>
    <row r="808" spans="1:28" ht="15.75" customHeight="1" x14ac:dyDescent="0.3">
      <c r="A808" s="79" t="s">
        <v>3551</v>
      </c>
      <c r="C808" s="81">
        <v>43839</v>
      </c>
      <c r="D808" s="109">
        <v>43861</v>
      </c>
      <c r="E808" s="560"/>
      <c r="F808" s="86" t="s">
        <v>3552</v>
      </c>
      <c r="G808" s="86" t="s">
        <v>154</v>
      </c>
      <c r="H808" s="79" t="s">
        <v>213</v>
      </c>
      <c r="I808" s="97" t="s">
        <v>722</v>
      </c>
      <c r="J808" s="73">
        <f t="shared" ref="J808:J835" si="71">IF(OR(K808="Документы готовы",K808="Запрос в ФО",K808="ЭЗ",K808="РЕШ",K808="РЕШ шаблон"),0.1,IF(OR(K808="ЭЗ согласование",K808="РЕШ согласование"),0.3,IF(OR(K808="ЭЗ согласовано",K808="РЕШ согласовано",K808="РЕШ подписано"),0.6,IF(OR(K808="ЭЗ ПР согласование",K808="РЕШ УВ согласование"),0.9,IF(OR(K808="ЭЗ ПР DONE",K808="РЕШ УВ DONE"),1,0)))))</f>
        <v>1</v>
      </c>
      <c r="K808" s="74" t="s">
        <v>204</v>
      </c>
      <c r="L808" s="97"/>
      <c r="N808" s="76" t="s">
        <v>18</v>
      </c>
      <c r="Q808" s="76" t="s">
        <v>2037</v>
      </c>
      <c r="R808" s="73">
        <f t="shared" si="70"/>
        <v>1</v>
      </c>
      <c r="S808" s="260" t="s">
        <v>1976</v>
      </c>
      <c r="T808" s="260"/>
      <c r="U808" s="260"/>
      <c r="V808" s="260"/>
      <c r="W808" s="260"/>
      <c r="X808" s="260"/>
      <c r="Y808" s="565"/>
      <c r="Z808" s="565"/>
      <c r="AA808" s="566">
        <f t="shared" si="66"/>
        <v>0</v>
      </c>
      <c r="AB808" s="699"/>
    </row>
    <row r="809" spans="1:28" ht="15.75" customHeight="1" x14ac:dyDescent="0.3">
      <c r="A809" s="79" t="s">
        <v>3553</v>
      </c>
      <c r="C809" s="81">
        <v>43839</v>
      </c>
      <c r="D809" s="109">
        <v>43861</v>
      </c>
      <c r="E809" s="560"/>
      <c r="F809" s="86" t="s">
        <v>3554</v>
      </c>
      <c r="G809" s="86" t="s">
        <v>152</v>
      </c>
      <c r="H809" s="79" t="s">
        <v>213</v>
      </c>
      <c r="I809" s="97" t="s">
        <v>622</v>
      </c>
      <c r="J809" s="73">
        <f t="shared" si="71"/>
        <v>1</v>
      </c>
      <c r="K809" s="74" t="s">
        <v>204</v>
      </c>
      <c r="N809" s="76" t="s">
        <v>19</v>
      </c>
      <c r="Q809" s="76" t="s">
        <v>2037</v>
      </c>
      <c r="R809" s="73">
        <f t="shared" ref="R809:R835" si="72">IF(S809="В работе",0.3,IF(S809="Отписано",0.6,IF(S809="На доработку",0.9,IF(S809="Согласовано",1,0))))</f>
        <v>1</v>
      </c>
      <c r="S809" s="260" t="s">
        <v>1976</v>
      </c>
      <c r="T809" s="260"/>
      <c r="U809" s="260"/>
      <c r="V809" s="260"/>
      <c r="W809" s="260"/>
      <c r="X809" s="260"/>
      <c r="Y809" s="565"/>
      <c r="Z809" s="565"/>
      <c r="AA809" s="566">
        <f t="shared" si="66"/>
        <v>0</v>
      </c>
      <c r="AB809" s="699"/>
    </row>
    <row r="810" spans="1:28" ht="15.75" customHeight="1" x14ac:dyDescent="0.3">
      <c r="A810" s="79" t="s">
        <v>3090</v>
      </c>
      <c r="C810" s="81">
        <v>43812</v>
      </c>
      <c r="D810" s="109">
        <v>43857</v>
      </c>
      <c r="E810" s="560"/>
      <c r="F810" s="86" t="s">
        <v>3091</v>
      </c>
      <c r="G810" s="86" t="s">
        <v>150</v>
      </c>
      <c r="H810" s="79" t="s">
        <v>213</v>
      </c>
      <c r="I810" s="97" t="s">
        <v>645</v>
      </c>
      <c r="J810" s="73">
        <f t="shared" si="71"/>
        <v>1</v>
      </c>
      <c r="K810" s="74" t="s">
        <v>204</v>
      </c>
      <c r="N810" s="76" t="s">
        <v>18</v>
      </c>
      <c r="Q810" s="76" t="s">
        <v>2109</v>
      </c>
      <c r="R810" s="73">
        <f t="shared" si="72"/>
        <v>1</v>
      </c>
      <c r="S810" s="260" t="s">
        <v>1976</v>
      </c>
      <c r="T810" s="260"/>
      <c r="U810" s="260"/>
      <c r="V810" s="260"/>
      <c r="W810" s="260"/>
      <c r="X810" s="260"/>
      <c r="Y810" s="565"/>
      <c r="Z810" s="565"/>
      <c r="AA810" s="566">
        <f t="shared" si="66"/>
        <v>0</v>
      </c>
      <c r="AB810" s="699"/>
    </row>
    <row r="811" spans="1:28" ht="15.75" customHeight="1" x14ac:dyDescent="0.3">
      <c r="A811" s="79" t="s">
        <v>3092</v>
      </c>
      <c r="C811" s="81">
        <v>43812</v>
      </c>
      <c r="D811" s="109">
        <v>43857</v>
      </c>
      <c r="E811" s="560"/>
      <c r="F811" s="86" t="s">
        <v>3093</v>
      </c>
      <c r="G811" s="86" t="s">
        <v>147</v>
      </c>
      <c r="H811" s="79" t="s">
        <v>213</v>
      </c>
      <c r="I811" s="97" t="s">
        <v>714</v>
      </c>
      <c r="J811" s="73">
        <f t="shared" si="71"/>
        <v>1</v>
      </c>
      <c r="K811" s="74" t="s">
        <v>204</v>
      </c>
      <c r="N811" s="76" t="s">
        <v>18</v>
      </c>
      <c r="Q811" s="76" t="s">
        <v>2109</v>
      </c>
      <c r="R811" s="73">
        <f t="shared" si="72"/>
        <v>1</v>
      </c>
      <c r="S811" s="260" t="s">
        <v>1976</v>
      </c>
      <c r="T811" s="260"/>
      <c r="U811" s="260"/>
      <c r="V811" s="260"/>
      <c r="W811" s="260"/>
      <c r="X811" s="260"/>
      <c r="Y811" s="565"/>
      <c r="Z811" s="565"/>
      <c r="AA811" s="566">
        <f t="shared" ref="AA811:AA873" si="73">Z811-Y811</f>
        <v>0</v>
      </c>
      <c r="AB811" s="699"/>
    </row>
    <row r="812" spans="1:28" ht="15.75" customHeight="1" x14ac:dyDescent="0.3">
      <c r="A812" s="79" t="s">
        <v>3096</v>
      </c>
      <c r="C812" s="81">
        <v>43812</v>
      </c>
      <c r="D812" s="109">
        <v>43858</v>
      </c>
      <c r="E812" s="560"/>
      <c r="F812" s="86" t="s">
        <v>3097</v>
      </c>
      <c r="G812" s="86" t="s">
        <v>156</v>
      </c>
      <c r="H812" s="79" t="s">
        <v>213</v>
      </c>
      <c r="I812" s="97" t="s">
        <v>714</v>
      </c>
      <c r="J812" s="73">
        <f t="shared" si="71"/>
        <v>1</v>
      </c>
      <c r="K812" s="74" t="s">
        <v>204</v>
      </c>
      <c r="N812" s="76" t="s">
        <v>18</v>
      </c>
      <c r="Q812" s="76" t="s">
        <v>2109</v>
      </c>
      <c r="R812" s="73">
        <f t="shared" si="72"/>
        <v>1</v>
      </c>
      <c r="S812" s="260" t="s">
        <v>1976</v>
      </c>
      <c r="T812" s="260"/>
      <c r="U812" s="260"/>
      <c r="V812" s="260"/>
      <c r="W812" s="260"/>
      <c r="X812" s="260"/>
      <c r="Y812" s="565"/>
      <c r="Z812" s="565"/>
      <c r="AA812" s="566">
        <f t="shared" si="73"/>
        <v>0</v>
      </c>
      <c r="AB812" s="699"/>
    </row>
    <row r="813" spans="1:28" ht="15.75" customHeight="1" x14ac:dyDescent="0.3">
      <c r="A813" s="79" t="s">
        <v>3098</v>
      </c>
      <c r="C813" s="81">
        <v>43812</v>
      </c>
      <c r="D813" s="109">
        <v>43858</v>
      </c>
      <c r="E813" s="560"/>
      <c r="F813" s="86" t="s">
        <v>3099</v>
      </c>
      <c r="G813" s="86" t="s">
        <v>186</v>
      </c>
      <c r="H813" s="79" t="s">
        <v>213</v>
      </c>
      <c r="I813" s="97" t="s">
        <v>641</v>
      </c>
      <c r="J813" s="73">
        <f t="shared" si="71"/>
        <v>1</v>
      </c>
      <c r="K813" s="74" t="s">
        <v>204</v>
      </c>
      <c r="N813" s="76" t="s">
        <v>17</v>
      </c>
      <c r="Q813" s="76" t="s">
        <v>2109</v>
      </c>
      <c r="R813" s="73">
        <f t="shared" si="72"/>
        <v>1</v>
      </c>
      <c r="S813" s="260" t="s">
        <v>1976</v>
      </c>
      <c r="T813" s="260"/>
      <c r="U813" s="260"/>
      <c r="V813" s="260"/>
      <c r="W813" s="260"/>
      <c r="X813" s="260"/>
      <c r="Y813" s="565"/>
      <c r="Z813" s="565"/>
      <c r="AA813" s="566">
        <f t="shared" si="73"/>
        <v>0</v>
      </c>
      <c r="AB813" s="699"/>
    </row>
    <row r="814" spans="1:28" ht="15.75" customHeight="1" x14ac:dyDescent="0.3">
      <c r="A814" s="96" t="s">
        <v>3104</v>
      </c>
      <c r="C814" s="81">
        <v>43815</v>
      </c>
      <c r="D814" s="109">
        <v>43859</v>
      </c>
      <c r="E814" s="560"/>
      <c r="F814" s="86" t="s">
        <v>3105</v>
      </c>
      <c r="G814" s="86" t="s">
        <v>156</v>
      </c>
      <c r="H814" s="79" t="s">
        <v>213</v>
      </c>
      <c r="I814" s="97" t="s">
        <v>641</v>
      </c>
      <c r="J814" s="73">
        <f t="shared" si="71"/>
        <v>1</v>
      </c>
      <c r="K814" s="74" t="s">
        <v>204</v>
      </c>
      <c r="N814" s="76" t="s">
        <v>17</v>
      </c>
      <c r="Q814" s="76" t="s">
        <v>2109</v>
      </c>
      <c r="R814" s="73">
        <f t="shared" si="72"/>
        <v>1</v>
      </c>
      <c r="S814" s="260" t="s">
        <v>1976</v>
      </c>
      <c r="T814" s="260"/>
      <c r="U814" s="260"/>
      <c r="V814" s="260"/>
      <c r="W814" s="260"/>
      <c r="X814" s="260"/>
      <c r="Y814" s="565"/>
      <c r="Z814" s="565"/>
      <c r="AA814" s="566">
        <f t="shared" si="73"/>
        <v>0</v>
      </c>
      <c r="AB814" s="699"/>
    </row>
    <row r="815" spans="1:28" ht="15.75" customHeight="1" x14ac:dyDescent="0.3">
      <c r="A815" s="96" t="s">
        <v>3106</v>
      </c>
      <c r="C815" s="81">
        <v>43815</v>
      </c>
      <c r="D815" s="109">
        <v>43859</v>
      </c>
      <c r="E815" s="560"/>
      <c r="F815" s="86" t="s">
        <v>3107</v>
      </c>
      <c r="G815" s="86" t="s">
        <v>158</v>
      </c>
      <c r="H815" s="79" t="s">
        <v>213</v>
      </c>
      <c r="I815" s="97" t="s">
        <v>714</v>
      </c>
      <c r="J815" s="73">
        <f t="shared" si="71"/>
        <v>1</v>
      </c>
      <c r="K815" s="74" t="s">
        <v>204</v>
      </c>
      <c r="N815" s="76" t="s">
        <v>17</v>
      </c>
      <c r="Q815" s="76" t="s">
        <v>2109</v>
      </c>
      <c r="R815" s="73">
        <f t="shared" si="72"/>
        <v>1</v>
      </c>
      <c r="S815" s="260" t="s">
        <v>1976</v>
      </c>
      <c r="T815" s="260"/>
      <c r="U815" s="260"/>
      <c r="V815" s="260"/>
      <c r="W815" s="260"/>
      <c r="X815" s="260"/>
      <c r="Y815" s="565"/>
      <c r="Z815" s="565"/>
      <c r="AA815" s="566">
        <f t="shared" si="73"/>
        <v>0</v>
      </c>
      <c r="AB815" s="699"/>
    </row>
    <row r="816" spans="1:28" ht="15.75" customHeight="1" x14ac:dyDescent="0.3">
      <c r="A816" s="96" t="s">
        <v>3108</v>
      </c>
      <c r="C816" s="81">
        <v>43815</v>
      </c>
      <c r="D816" s="109">
        <v>43859</v>
      </c>
      <c r="E816" s="560"/>
      <c r="F816" s="86" t="s">
        <v>3109</v>
      </c>
      <c r="G816" s="86" t="s">
        <v>158</v>
      </c>
      <c r="H816" s="79" t="s">
        <v>213</v>
      </c>
      <c r="I816" s="97" t="s">
        <v>642</v>
      </c>
      <c r="J816" s="73">
        <f t="shared" si="71"/>
        <v>1</v>
      </c>
      <c r="K816" s="74" t="s">
        <v>204</v>
      </c>
      <c r="N816" s="76" t="s">
        <v>18</v>
      </c>
      <c r="Q816" s="76" t="s">
        <v>2109</v>
      </c>
      <c r="R816" s="73">
        <f t="shared" si="72"/>
        <v>1</v>
      </c>
      <c r="S816" s="260" t="s">
        <v>1976</v>
      </c>
      <c r="T816" s="260"/>
      <c r="U816" s="260"/>
      <c r="V816" s="260"/>
      <c r="W816" s="260"/>
      <c r="X816" s="260"/>
      <c r="Y816" s="565"/>
      <c r="Z816" s="565"/>
      <c r="AA816" s="566">
        <f t="shared" si="73"/>
        <v>0</v>
      </c>
      <c r="AB816" s="699"/>
    </row>
    <row r="817" spans="1:28" ht="15.75" customHeight="1" x14ac:dyDescent="0.3">
      <c r="A817" s="96" t="s">
        <v>3555</v>
      </c>
      <c r="C817" s="81">
        <v>43816</v>
      </c>
      <c r="D817" s="109">
        <v>43860</v>
      </c>
      <c r="E817" s="560"/>
      <c r="F817" s="86" t="s">
        <v>3556</v>
      </c>
      <c r="G817" s="86" t="s">
        <v>175</v>
      </c>
      <c r="H817" s="79" t="s">
        <v>213</v>
      </c>
      <c r="I817" s="97" t="s">
        <v>642</v>
      </c>
      <c r="J817" s="73">
        <f t="shared" si="71"/>
        <v>1</v>
      </c>
      <c r="K817" s="74" t="s">
        <v>204</v>
      </c>
      <c r="N817" s="76" t="s">
        <v>18</v>
      </c>
      <c r="Q817" s="76" t="s">
        <v>2109</v>
      </c>
      <c r="R817" s="73">
        <f t="shared" si="72"/>
        <v>1</v>
      </c>
      <c r="S817" s="260" t="s">
        <v>1976</v>
      </c>
      <c r="T817" s="260"/>
      <c r="U817" s="260"/>
      <c r="V817" s="260"/>
      <c r="W817" s="260"/>
      <c r="X817" s="260"/>
      <c r="Y817" s="565"/>
      <c r="Z817" s="565"/>
      <c r="AA817" s="566">
        <f t="shared" si="73"/>
        <v>0</v>
      </c>
      <c r="AB817" s="699"/>
    </row>
    <row r="818" spans="1:28" ht="15.75" customHeight="1" x14ac:dyDescent="0.3">
      <c r="A818" s="96" t="s">
        <v>3309</v>
      </c>
      <c r="C818" s="81">
        <v>43817</v>
      </c>
      <c r="D818" s="109">
        <v>43861</v>
      </c>
      <c r="E818" s="560"/>
      <c r="F818" s="86" t="s">
        <v>3310</v>
      </c>
      <c r="G818" s="86" t="s">
        <v>158</v>
      </c>
      <c r="H818" s="79" t="s">
        <v>213</v>
      </c>
      <c r="I818" s="97" t="s">
        <v>714</v>
      </c>
      <c r="J818" s="73">
        <f t="shared" si="71"/>
        <v>1</v>
      </c>
      <c r="K818" s="74" t="s">
        <v>204</v>
      </c>
      <c r="N818" s="76" t="s">
        <v>18</v>
      </c>
      <c r="Q818" s="76" t="s">
        <v>2109</v>
      </c>
      <c r="R818" s="73">
        <f t="shared" si="72"/>
        <v>1</v>
      </c>
      <c r="S818" s="260" t="s">
        <v>1976</v>
      </c>
      <c r="T818" s="260"/>
      <c r="U818" s="260"/>
      <c r="V818" s="260"/>
      <c r="W818" s="260"/>
      <c r="X818" s="260"/>
      <c r="Y818" s="565"/>
      <c r="Z818" s="565"/>
      <c r="AA818" s="566">
        <f t="shared" si="73"/>
        <v>0</v>
      </c>
      <c r="AB818" s="699"/>
    </row>
    <row r="819" spans="1:28" ht="15.75" customHeight="1" x14ac:dyDescent="0.3">
      <c r="A819" s="96" t="s">
        <v>3311</v>
      </c>
      <c r="C819" s="81">
        <v>43817</v>
      </c>
      <c r="D819" s="109">
        <v>43861</v>
      </c>
      <c r="E819" s="560"/>
      <c r="F819" s="86" t="s">
        <v>3312</v>
      </c>
      <c r="G819" s="86" t="s">
        <v>157</v>
      </c>
      <c r="H819" s="79" t="s">
        <v>213</v>
      </c>
      <c r="I819" s="97" t="s">
        <v>714</v>
      </c>
      <c r="J819" s="73">
        <f t="shared" si="71"/>
        <v>1</v>
      </c>
      <c r="K819" s="74" t="s">
        <v>204</v>
      </c>
      <c r="N819" s="76" t="s">
        <v>18</v>
      </c>
      <c r="Q819" s="76" t="s">
        <v>2109</v>
      </c>
      <c r="R819" s="73">
        <f t="shared" si="72"/>
        <v>1</v>
      </c>
      <c r="S819" s="260" t="s">
        <v>1976</v>
      </c>
      <c r="T819" s="260"/>
      <c r="U819" s="260"/>
      <c r="V819" s="260"/>
      <c r="W819" s="260"/>
      <c r="X819" s="260"/>
      <c r="Y819" s="565"/>
      <c r="Z819" s="565"/>
      <c r="AA819" s="566">
        <f t="shared" si="73"/>
        <v>0</v>
      </c>
      <c r="AB819" s="699"/>
    </row>
    <row r="820" spans="1:28" ht="15.75" customHeight="1" x14ac:dyDescent="0.3">
      <c r="A820" s="79" t="s">
        <v>3569</v>
      </c>
      <c r="C820" s="81">
        <v>43829</v>
      </c>
      <c r="D820" s="109">
        <v>43858</v>
      </c>
      <c r="E820" s="560"/>
      <c r="F820" s="86" t="s">
        <v>3570</v>
      </c>
      <c r="G820" s="86" t="s">
        <v>150</v>
      </c>
      <c r="H820" s="79" t="s">
        <v>213</v>
      </c>
      <c r="I820" s="97" t="s">
        <v>3644</v>
      </c>
      <c r="J820" s="73">
        <f t="shared" si="71"/>
        <v>1</v>
      </c>
      <c r="K820" s="74" t="s">
        <v>204</v>
      </c>
      <c r="N820" s="76" t="s">
        <v>18</v>
      </c>
      <c r="Q820" s="76" t="s">
        <v>2109</v>
      </c>
      <c r="R820" s="73">
        <f t="shared" si="72"/>
        <v>1</v>
      </c>
      <c r="S820" s="260" t="s">
        <v>1976</v>
      </c>
      <c r="T820" s="260"/>
      <c r="U820" s="260"/>
      <c r="V820" s="260"/>
      <c r="W820" s="260"/>
      <c r="X820" s="260"/>
      <c r="Y820" s="565"/>
      <c r="Z820" s="565"/>
      <c r="AA820" s="566">
        <f t="shared" si="73"/>
        <v>0</v>
      </c>
      <c r="AB820" s="699"/>
    </row>
    <row r="821" spans="1:28" ht="15.75" customHeight="1" x14ac:dyDescent="0.3">
      <c r="A821" s="79" t="s">
        <v>3571</v>
      </c>
      <c r="C821" s="81">
        <v>43829</v>
      </c>
      <c r="D821" s="109">
        <v>43858</v>
      </c>
      <c r="E821" s="560"/>
      <c r="F821" s="86" t="s">
        <v>3572</v>
      </c>
      <c r="G821" s="86" t="s">
        <v>150</v>
      </c>
      <c r="H821" s="79" t="s">
        <v>213</v>
      </c>
      <c r="I821" s="97" t="s">
        <v>622</v>
      </c>
      <c r="J821" s="73">
        <f t="shared" si="71"/>
        <v>1</v>
      </c>
      <c r="K821" s="74" t="s">
        <v>204</v>
      </c>
      <c r="N821" s="76" t="s">
        <v>19</v>
      </c>
      <c r="Q821" s="76" t="s">
        <v>2109</v>
      </c>
      <c r="R821" s="73">
        <f t="shared" si="72"/>
        <v>1</v>
      </c>
      <c r="S821" s="260" t="s">
        <v>1976</v>
      </c>
      <c r="T821" s="260"/>
      <c r="U821" s="260"/>
      <c r="V821" s="260"/>
      <c r="W821" s="260"/>
      <c r="X821" s="260"/>
      <c r="Y821" s="565"/>
      <c r="Z821" s="565"/>
      <c r="AA821" s="566">
        <f t="shared" si="73"/>
        <v>0</v>
      </c>
      <c r="AB821" s="699"/>
    </row>
    <row r="822" spans="1:28" ht="15.75" customHeight="1" x14ac:dyDescent="0.3">
      <c r="A822" s="79" t="s">
        <v>3577</v>
      </c>
      <c r="C822" s="81">
        <v>43839</v>
      </c>
      <c r="D822" s="109">
        <v>43860</v>
      </c>
      <c r="E822" s="560"/>
      <c r="F822" s="86" t="s">
        <v>3578</v>
      </c>
      <c r="G822" s="86" t="s">
        <v>157</v>
      </c>
      <c r="H822" s="79" t="s">
        <v>213</v>
      </c>
      <c r="I822" s="97" t="s">
        <v>649</v>
      </c>
      <c r="J822" s="73">
        <f t="shared" si="71"/>
        <v>1</v>
      </c>
      <c r="K822" s="74" t="s">
        <v>204</v>
      </c>
      <c r="N822" s="76" t="s">
        <v>17</v>
      </c>
      <c r="Q822" s="76" t="s">
        <v>2109</v>
      </c>
      <c r="R822" s="73">
        <f t="shared" si="72"/>
        <v>1</v>
      </c>
      <c r="S822" s="260" t="s">
        <v>1976</v>
      </c>
      <c r="T822" s="260"/>
      <c r="U822" s="260"/>
      <c r="V822" s="260"/>
      <c r="W822" s="260"/>
      <c r="X822" s="260"/>
      <c r="Y822" s="565"/>
      <c r="Z822" s="565"/>
      <c r="AA822" s="566">
        <f t="shared" si="73"/>
        <v>0</v>
      </c>
      <c r="AB822" s="699"/>
    </row>
    <row r="823" spans="1:28" ht="15.75" customHeight="1" x14ac:dyDescent="0.3">
      <c r="A823" s="96" t="s">
        <v>3581</v>
      </c>
      <c r="C823" s="81">
        <v>43839</v>
      </c>
      <c r="D823" s="109">
        <v>43861</v>
      </c>
      <c r="E823" s="560"/>
      <c r="F823" s="86" t="s">
        <v>3582</v>
      </c>
      <c r="G823" s="86" t="s">
        <v>156</v>
      </c>
      <c r="H823" s="79" t="s">
        <v>213</v>
      </c>
      <c r="I823" s="97" t="s">
        <v>649</v>
      </c>
      <c r="J823" s="73">
        <f t="shared" si="71"/>
        <v>1</v>
      </c>
      <c r="K823" s="74" t="s">
        <v>204</v>
      </c>
      <c r="N823" s="76" t="s">
        <v>17</v>
      </c>
      <c r="Q823" s="76" t="s">
        <v>2109</v>
      </c>
      <c r="R823" s="73">
        <f t="shared" si="72"/>
        <v>1</v>
      </c>
      <c r="S823" s="260" t="s">
        <v>1976</v>
      </c>
      <c r="T823" s="260"/>
      <c r="U823" s="260"/>
      <c r="V823" s="260"/>
      <c r="W823" s="260"/>
      <c r="X823" s="260"/>
      <c r="Y823" s="565"/>
      <c r="Z823" s="565"/>
      <c r="AA823" s="566">
        <f t="shared" si="73"/>
        <v>0</v>
      </c>
      <c r="AB823" s="699"/>
    </row>
    <row r="824" spans="1:28" ht="15.75" customHeight="1" x14ac:dyDescent="0.3">
      <c r="A824" s="96" t="s">
        <v>3585</v>
      </c>
      <c r="C824" s="81">
        <v>43801</v>
      </c>
      <c r="D824" s="109">
        <v>43859</v>
      </c>
      <c r="E824" s="560"/>
      <c r="F824" s="86" t="s">
        <v>3586</v>
      </c>
      <c r="G824" s="86" t="s">
        <v>156</v>
      </c>
      <c r="H824" s="79" t="s">
        <v>213</v>
      </c>
      <c r="I824" s="97" t="s">
        <v>3648</v>
      </c>
      <c r="J824" s="73">
        <f t="shared" si="71"/>
        <v>1</v>
      </c>
      <c r="K824" s="74" t="s">
        <v>204</v>
      </c>
      <c r="L824" s="97" t="s">
        <v>3649</v>
      </c>
      <c r="N824" s="76" t="s">
        <v>18</v>
      </c>
      <c r="Q824" s="76" t="s">
        <v>2142</v>
      </c>
      <c r="R824" s="73">
        <f t="shared" si="72"/>
        <v>1</v>
      </c>
      <c r="S824" s="260" t="s">
        <v>1976</v>
      </c>
      <c r="T824" s="260"/>
      <c r="U824" s="260"/>
      <c r="V824" s="260"/>
      <c r="W824" s="260"/>
      <c r="X824" s="260"/>
      <c r="Y824" s="565"/>
      <c r="Z824" s="565"/>
      <c r="AA824" s="566">
        <f t="shared" si="73"/>
        <v>0</v>
      </c>
      <c r="AB824" s="699"/>
    </row>
    <row r="825" spans="1:28" ht="15.75" customHeight="1" x14ac:dyDescent="0.3">
      <c r="A825" s="96" t="s">
        <v>2887</v>
      </c>
      <c r="C825" s="81">
        <v>43811</v>
      </c>
      <c r="D825" s="109">
        <v>43857</v>
      </c>
      <c r="E825" s="560"/>
      <c r="F825" s="86" t="s">
        <v>2888</v>
      </c>
      <c r="G825" s="86" t="s">
        <v>152</v>
      </c>
      <c r="H825" s="79" t="s">
        <v>213</v>
      </c>
      <c r="I825" s="97" t="s">
        <v>722</v>
      </c>
      <c r="J825" s="73">
        <f t="shared" si="71"/>
        <v>1</v>
      </c>
      <c r="K825" s="74" t="s">
        <v>204</v>
      </c>
      <c r="N825" s="76" t="s">
        <v>17</v>
      </c>
      <c r="Q825" s="76" t="s">
        <v>2142</v>
      </c>
      <c r="R825" s="73">
        <f t="shared" si="72"/>
        <v>1</v>
      </c>
      <c r="S825" s="260" t="s">
        <v>1976</v>
      </c>
      <c r="T825" s="260"/>
      <c r="U825" s="260"/>
      <c r="V825" s="260"/>
      <c r="W825" s="260"/>
      <c r="X825" s="260"/>
      <c r="Y825" s="565"/>
      <c r="Z825" s="565"/>
      <c r="AA825" s="566">
        <f t="shared" si="73"/>
        <v>0</v>
      </c>
      <c r="AB825" s="699"/>
    </row>
    <row r="826" spans="1:28" ht="15.75" customHeight="1" x14ac:dyDescent="0.3">
      <c r="A826" s="96" t="s">
        <v>2889</v>
      </c>
      <c r="C826" s="81">
        <v>43811</v>
      </c>
      <c r="D826" s="109">
        <v>43857</v>
      </c>
      <c r="E826" s="560"/>
      <c r="F826" s="86" t="s">
        <v>2890</v>
      </c>
      <c r="G826" s="86" t="s">
        <v>157</v>
      </c>
      <c r="H826" s="79" t="s">
        <v>213</v>
      </c>
      <c r="I826" s="97" t="s">
        <v>642</v>
      </c>
      <c r="J826" s="73">
        <f t="shared" si="71"/>
        <v>1</v>
      </c>
      <c r="K826" s="74" t="s">
        <v>204</v>
      </c>
      <c r="N826" s="76" t="s">
        <v>17</v>
      </c>
      <c r="Q826" s="76" t="s">
        <v>2142</v>
      </c>
      <c r="R826" s="73">
        <f t="shared" si="72"/>
        <v>1</v>
      </c>
      <c r="S826" s="260" t="s">
        <v>1976</v>
      </c>
      <c r="T826" s="260"/>
      <c r="U826" s="260"/>
      <c r="V826" s="260"/>
      <c r="W826" s="260"/>
      <c r="X826" s="260"/>
      <c r="Y826" s="565"/>
      <c r="Z826" s="565"/>
      <c r="AA826" s="566">
        <f t="shared" si="73"/>
        <v>0</v>
      </c>
      <c r="AB826" s="699"/>
    </row>
    <row r="827" spans="1:28" ht="15.75" customHeight="1" x14ac:dyDescent="0.3">
      <c r="A827" s="96" t="s">
        <v>2891</v>
      </c>
      <c r="C827" s="81">
        <v>43811</v>
      </c>
      <c r="D827" s="109">
        <v>43857</v>
      </c>
      <c r="E827" s="560"/>
      <c r="F827" s="86" t="s">
        <v>2892</v>
      </c>
      <c r="G827" s="86" t="s">
        <v>154</v>
      </c>
      <c r="H827" s="79" t="s">
        <v>213</v>
      </c>
      <c r="I827" s="97" t="s">
        <v>722</v>
      </c>
      <c r="J827" s="73">
        <f t="shared" si="71"/>
        <v>1</v>
      </c>
      <c r="K827" s="74" t="s">
        <v>204</v>
      </c>
      <c r="N827" s="76" t="s">
        <v>18</v>
      </c>
      <c r="Q827" s="76" t="s">
        <v>2142</v>
      </c>
      <c r="R827" s="73">
        <f t="shared" si="72"/>
        <v>1</v>
      </c>
      <c r="S827" s="260" t="s">
        <v>1976</v>
      </c>
      <c r="T827" s="260"/>
      <c r="U827" s="260"/>
      <c r="V827" s="260"/>
      <c r="W827" s="260"/>
      <c r="X827" s="260"/>
      <c r="Y827" s="565"/>
      <c r="Z827" s="565"/>
      <c r="AA827" s="566">
        <f t="shared" si="73"/>
        <v>0</v>
      </c>
      <c r="AB827" s="699"/>
    </row>
    <row r="828" spans="1:28" ht="15.75" customHeight="1" x14ac:dyDescent="0.3">
      <c r="A828" s="96" t="s">
        <v>2895</v>
      </c>
      <c r="C828" s="81">
        <v>43812</v>
      </c>
      <c r="D828" s="109">
        <v>43858</v>
      </c>
      <c r="E828" s="560"/>
      <c r="F828" s="86" t="s">
        <v>2896</v>
      </c>
      <c r="G828" s="86" t="s">
        <v>156</v>
      </c>
      <c r="H828" s="79" t="s">
        <v>213</v>
      </c>
      <c r="I828" s="97" t="s">
        <v>642</v>
      </c>
      <c r="J828" s="73">
        <f t="shared" si="71"/>
        <v>1</v>
      </c>
      <c r="K828" s="74" t="s">
        <v>204</v>
      </c>
      <c r="N828" s="76" t="s">
        <v>18</v>
      </c>
      <c r="Q828" s="76" t="s">
        <v>2142</v>
      </c>
      <c r="R828" s="73">
        <f t="shared" si="72"/>
        <v>1</v>
      </c>
      <c r="S828" s="260" t="s">
        <v>1976</v>
      </c>
      <c r="T828" s="260"/>
      <c r="U828" s="260"/>
      <c r="V828" s="260"/>
      <c r="W828" s="260"/>
      <c r="X828" s="260"/>
      <c r="Y828" s="565"/>
      <c r="Z828" s="565"/>
      <c r="AA828" s="566">
        <f t="shared" si="73"/>
        <v>0</v>
      </c>
      <c r="AB828" s="699"/>
    </row>
    <row r="829" spans="1:28" ht="15.75" customHeight="1" x14ac:dyDescent="0.3">
      <c r="A829" s="79" t="s">
        <v>2897</v>
      </c>
      <c r="C829" s="81">
        <v>43812</v>
      </c>
      <c r="D829" s="109">
        <v>43858</v>
      </c>
      <c r="E829" s="560"/>
      <c r="F829" s="86" t="s">
        <v>2898</v>
      </c>
      <c r="G829" s="86" t="s">
        <v>181</v>
      </c>
      <c r="H829" s="79" t="s">
        <v>213</v>
      </c>
      <c r="I829" s="97" t="s">
        <v>995</v>
      </c>
      <c r="J829" s="73">
        <f t="shared" si="71"/>
        <v>1</v>
      </c>
      <c r="K829" s="74" t="s">
        <v>204</v>
      </c>
      <c r="N829" s="76" t="s">
        <v>19</v>
      </c>
      <c r="Q829" s="76" t="s">
        <v>2142</v>
      </c>
      <c r="R829" s="73">
        <f t="shared" si="72"/>
        <v>1</v>
      </c>
      <c r="S829" s="260" t="s">
        <v>1976</v>
      </c>
      <c r="T829" s="260"/>
      <c r="U829" s="260"/>
      <c r="V829" s="260"/>
      <c r="W829" s="260"/>
      <c r="X829" s="260"/>
      <c r="Y829" s="565"/>
      <c r="Z829" s="565"/>
      <c r="AA829" s="566">
        <f t="shared" si="73"/>
        <v>0</v>
      </c>
      <c r="AB829" s="699"/>
    </row>
    <row r="830" spans="1:28" ht="15.75" customHeight="1" x14ac:dyDescent="0.3">
      <c r="A830" s="96" t="s">
        <v>3417</v>
      </c>
      <c r="C830" s="81">
        <v>43815</v>
      </c>
      <c r="D830" s="109">
        <v>43859</v>
      </c>
      <c r="E830" s="560"/>
      <c r="F830" s="86" t="s">
        <v>3418</v>
      </c>
      <c r="G830" s="86" t="s">
        <v>147</v>
      </c>
      <c r="H830" s="79" t="s">
        <v>213</v>
      </c>
      <c r="I830" s="97" t="s">
        <v>3389</v>
      </c>
      <c r="J830" s="73">
        <f t="shared" si="71"/>
        <v>1</v>
      </c>
      <c r="K830" s="74" t="s">
        <v>204</v>
      </c>
      <c r="L830" s="97" t="s">
        <v>3645</v>
      </c>
      <c r="N830" s="76" t="s">
        <v>17</v>
      </c>
      <c r="Q830" s="76" t="s">
        <v>2142</v>
      </c>
      <c r="R830" s="73">
        <f t="shared" si="72"/>
        <v>1</v>
      </c>
      <c r="S830" s="260" t="s">
        <v>1976</v>
      </c>
      <c r="T830" s="260"/>
      <c r="U830" s="260"/>
      <c r="V830" s="260"/>
      <c r="W830" s="260"/>
      <c r="X830" s="260"/>
      <c r="Y830" s="565"/>
      <c r="Z830" s="565"/>
      <c r="AA830" s="566">
        <f t="shared" si="73"/>
        <v>0</v>
      </c>
      <c r="AB830" s="699"/>
    </row>
    <row r="831" spans="1:28" ht="15.75" customHeight="1" x14ac:dyDescent="0.3">
      <c r="A831" s="96" t="s">
        <v>2911</v>
      </c>
      <c r="C831" s="81">
        <v>43816</v>
      </c>
      <c r="D831" s="109">
        <v>43860</v>
      </c>
      <c r="E831" s="560"/>
      <c r="F831" s="86" t="s">
        <v>2912</v>
      </c>
      <c r="G831" s="86" t="s">
        <v>410</v>
      </c>
      <c r="H831" s="79" t="s">
        <v>213</v>
      </c>
      <c r="I831" s="97" t="s">
        <v>642</v>
      </c>
      <c r="J831" s="73">
        <f t="shared" si="71"/>
        <v>1</v>
      </c>
      <c r="K831" s="74" t="s">
        <v>204</v>
      </c>
      <c r="N831" s="76" t="s">
        <v>18</v>
      </c>
      <c r="Q831" s="76" t="s">
        <v>2142</v>
      </c>
      <c r="R831" s="73">
        <f t="shared" si="72"/>
        <v>1</v>
      </c>
      <c r="S831" s="260" t="s">
        <v>1976</v>
      </c>
      <c r="T831" s="260"/>
      <c r="U831" s="260"/>
      <c r="V831" s="260"/>
      <c r="W831" s="260"/>
      <c r="X831" s="260"/>
      <c r="Y831" s="565"/>
      <c r="Z831" s="565"/>
      <c r="AA831" s="566">
        <f t="shared" si="73"/>
        <v>0</v>
      </c>
      <c r="AB831" s="699"/>
    </row>
    <row r="832" spans="1:28" ht="15.75" customHeight="1" x14ac:dyDescent="0.3">
      <c r="A832" s="96" t="s">
        <v>2913</v>
      </c>
      <c r="C832" s="81">
        <v>43816</v>
      </c>
      <c r="D832" s="109">
        <v>43860</v>
      </c>
      <c r="E832" s="560"/>
      <c r="F832" s="86" t="s">
        <v>2914</v>
      </c>
      <c r="G832" s="86" t="s">
        <v>152</v>
      </c>
      <c r="H832" s="79" t="s">
        <v>213</v>
      </c>
      <c r="I832" s="97" t="s">
        <v>714</v>
      </c>
      <c r="J832" s="73">
        <f t="shared" si="71"/>
        <v>1</v>
      </c>
      <c r="K832" s="74" t="s">
        <v>204</v>
      </c>
      <c r="N832" s="76" t="s">
        <v>17</v>
      </c>
      <c r="Q832" s="76" t="s">
        <v>2142</v>
      </c>
      <c r="R832" s="73">
        <f t="shared" si="72"/>
        <v>1</v>
      </c>
      <c r="S832" s="260" t="s">
        <v>1976</v>
      </c>
      <c r="T832" s="260"/>
      <c r="U832" s="260"/>
      <c r="V832" s="260"/>
      <c r="W832" s="260"/>
      <c r="X832" s="260"/>
      <c r="Y832" s="565"/>
      <c r="Z832" s="565"/>
      <c r="AA832" s="566">
        <f t="shared" si="73"/>
        <v>0</v>
      </c>
      <c r="AB832" s="699"/>
    </row>
    <row r="833" spans="1:28" ht="15.75" customHeight="1" x14ac:dyDescent="0.3">
      <c r="A833" s="96" t="s">
        <v>2915</v>
      </c>
      <c r="C833" s="81">
        <v>43816</v>
      </c>
      <c r="D833" s="109">
        <v>43860</v>
      </c>
      <c r="E833" s="560"/>
      <c r="F833" s="86" t="s">
        <v>2916</v>
      </c>
      <c r="G833" s="86" t="s">
        <v>158</v>
      </c>
      <c r="H833" s="79" t="s">
        <v>213</v>
      </c>
      <c r="I833" s="97" t="s">
        <v>642</v>
      </c>
      <c r="J833" s="73">
        <f t="shared" si="71"/>
        <v>1</v>
      </c>
      <c r="K833" s="74" t="s">
        <v>204</v>
      </c>
      <c r="N833" s="76" t="s">
        <v>18</v>
      </c>
      <c r="Q833" s="76" t="s">
        <v>2142</v>
      </c>
      <c r="R833" s="73">
        <f t="shared" si="72"/>
        <v>1</v>
      </c>
      <c r="S833" s="260" t="s">
        <v>1976</v>
      </c>
      <c r="T833" s="260"/>
      <c r="U833" s="260"/>
      <c r="V833" s="260"/>
      <c r="W833" s="260"/>
      <c r="X833" s="260"/>
      <c r="Y833" s="565"/>
      <c r="Z833" s="565"/>
      <c r="AA833" s="566">
        <f t="shared" si="73"/>
        <v>0</v>
      </c>
      <c r="AB833" s="699"/>
    </row>
    <row r="834" spans="1:28" ht="15.75" customHeight="1" x14ac:dyDescent="0.3">
      <c r="A834" s="96" t="s">
        <v>3587</v>
      </c>
      <c r="C834" s="81">
        <v>43817</v>
      </c>
      <c r="D834" s="109">
        <v>43861</v>
      </c>
      <c r="E834" s="560"/>
      <c r="F834" s="86" t="s">
        <v>3588</v>
      </c>
      <c r="G834" s="86" t="s">
        <v>158</v>
      </c>
      <c r="H834" s="79" t="s">
        <v>213</v>
      </c>
      <c r="I834" s="97" t="s">
        <v>722</v>
      </c>
      <c r="J834" s="73">
        <f t="shared" si="71"/>
        <v>1</v>
      </c>
      <c r="K834" s="74" t="s">
        <v>204</v>
      </c>
      <c r="N834" s="76" t="s">
        <v>19</v>
      </c>
      <c r="Q834" s="76" t="s">
        <v>2142</v>
      </c>
      <c r="R834" s="73">
        <f t="shared" si="72"/>
        <v>1</v>
      </c>
      <c r="S834" s="260" t="s">
        <v>1976</v>
      </c>
      <c r="T834" s="260"/>
      <c r="U834" s="260"/>
      <c r="V834" s="260"/>
      <c r="W834" s="260"/>
      <c r="X834" s="260"/>
      <c r="Y834" s="565"/>
      <c r="Z834" s="565"/>
      <c r="AA834" s="566">
        <f t="shared" si="73"/>
        <v>0</v>
      </c>
      <c r="AB834" s="699"/>
    </row>
    <row r="835" spans="1:28" ht="15.75" customHeight="1" x14ac:dyDescent="0.3">
      <c r="A835" s="96" t="s">
        <v>3179</v>
      </c>
      <c r="C835" s="81">
        <v>43817</v>
      </c>
      <c r="D835" s="109">
        <v>43861</v>
      </c>
      <c r="E835" s="560"/>
      <c r="F835" s="86" t="s">
        <v>3180</v>
      </c>
      <c r="G835" s="86" t="s">
        <v>158</v>
      </c>
      <c r="H835" s="79" t="s">
        <v>213</v>
      </c>
      <c r="I835" s="97" t="s">
        <v>714</v>
      </c>
      <c r="J835" s="73">
        <f t="shared" si="71"/>
        <v>1</v>
      </c>
      <c r="K835" s="74" t="s">
        <v>204</v>
      </c>
      <c r="N835" s="76" t="s">
        <v>18</v>
      </c>
      <c r="Q835" s="76" t="s">
        <v>2142</v>
      </c>
      <c r="R835" s="73">
        <f t="shared" si="72"/>
        <v>1</v>
      </c>
      <c r="S835" s="260" t="s">
        <v>1976</v>
      </c>
      <c r="T835" s="260"/>
      <c r="U835" s="260"/>
      <c r="V835" s="260"/>
      <c r="W835" s="260"/>
      <c r="X835" s="260"/>
      <c r="Y835" s="565"/>
      <c r="Z835" s="565"/>
      <c r="AA835" s="566">
        <f t="shared" si="73"/>
        <v>0</v>
      </c>
      <c r="AB835" s="699"/>
    </row>
    <row r="836" spans="1:28" ht="15.75" customHeight="1" x14ac:dyDescent="0.3">
      <c r="A836" s="96" t="s">
        <v>3591</v>
      </c>
      <c r="C836" s="81">
        <v>43825</v>
      </c>
      <c r="D836" s="109">
        <v>43857</v>
      </c>
      <c r="E836" s="560"/>
      <c r="F836" s="86" t="s">
        <v>3592</v>
      </c>
      <c r="G836" s="86" t="s">
        <v>177</v>
      </c>
      <c r="H836" s="96" t="s">
        <v>3612</v>
      </c>
      <c r="I836" s="97" t="s">
        <v>995</v>
      </c>
      <c r="J836" s="73">
        <f t="shared" ref="J836:J854" si="74">IF(OR(K836="Документы готовы",K836="Запрос в ФО",K836="ЭЗ",K836="РЕШ",K836="РЕШ шаблон"),0.1,IF(OR(K836="ЭЗ согласование",K836="РЕШ согласование"),0.3,IF(OR(K836="ЭЗ согласовано",K836="РЕШ согласовано",K836="РЕШ подписано"),0.6,IF(OR(K836="ЭЗ ПР согласование",K836="РЕШ УВ согласование"),0.9,IF(OR(K836="ЭЗ ПР DONE",K836="РЕШ УВ DONE"),1,0)))))</f>
        <v>1</v>
      </c>
      <c r="K836" s="74" t="s">
        <v>204</v>
      </c>
      <c r="L836" s="97" t="s">
        <v>3613</v>
      </c>
      <c r="N836" s="76" t="s">
        <v>19</v>
      </c>
      <c r="Q836" s="76" t="s">
        <v>2142</v>
      </c>
      <c r="R836" s="73">
        <f t="shared" ref="R836:R855" si="75">IF(S836="В работе",0.3,IF(S836="Отписано",0.6,IF(S836="На доработку",0.9,IF(S836="Согласовано",1,0))))</f>
        <v>1</v>
      </c>
      <c r="S836" s="260" t="s">
        <v>1976</v>
      </c>
      <c r="T836" s="260"/>
      <c r="U836" s="260"/>
      <c r="V836" s="260"/>
      <c r="W836" s="260"/>
      <c r="X836" s="260"/>
      <c r="Y836" s="565"/>
      <c r="Z836" s="565"/>
      <c r="AA836" s="566">
        <f t="shared" si="73"/>
        <v>0</v>
      </c>
      <c r="AB836" s="699"/>
    </row>
    <row r="837" spans="1:28" ht="15.75" customHeight="1" x14ac:dyDescent="0.3">
      <c r="A837" s="96" t="s">
        <v>3593</v>
      </c>
      <c r="C837" s="81">
        <v>43825</v>
      </c>
      <c r="D837" s="109">
        <v>43857</v>
      </c>
      <c r="E837" s="560"/>
      <c r="F837" s="86" t="s">
        <v>3594</v>
      </c>
      <c r="G837" s="86" t="s">
        <v>150</v>
      </c>
      <c r="H837" s="79" t="s">
        <v>213</v>
      </c>
      <c r="I837" s="97" t="s">
        <v>658</v>
      </c>
      <c r="J837" s="73">
        <f t="shared" si="74"/>
        <v>1</v>
      </c>
      <c r="K837" s="74" t="s">
        <v>204</v>
      </c>
      <c r="N837" s="76" t="s">
        <v>18</v>
      </c>
      <c r="Q837" s="76" t="s">
        <v>2142</v>
      </c>
      <c r="R837" s="73">
        <f t="shared" si="75"/>
        <v>1</v>
      </c>
      <c r="S837" s="260" t="s">
        <v>1976</v>
      </c>
      <c r="T837" s="260"/>
      <c r="U837" s="260"/>
      <c r="V837" s="260"/>
      <c r="W837" s="260"/>
      <c r="X837" s="260"/>
      <c r="Y837" s="565"/>
      <c r="Z837" s="565"/>
      <c r="AA837" s="566">
        <f t="shared" si="73"/>
        <v>0</v>
      </c>
      <c r="AB837" s="699"/>
    </row>
    <row r="838" spans="1:28" ht="15.75" customHeight="1" x14ac:dyDescent="0.3">
      <c r="A838" s="96" t="s">
        <v>3599</v>
      </c>
      <c r="C838" s="81">
        <v>43826</v>
      </c>
      <c r="D838" s="109">
        <v>43858</v>
      </c>
      <c r="E838" s="560"/>
      <c r="F838" s="86" t="s">
        <v>3600</v>
      </c>
      <c r="G838" s="86" t="s">
        <v>150</v>
      </c>
      <c r="H838" s="79" t="s">
        <v>213</v>
      </c>
      <c r="I838" s="97" t="s">
        <v>3641</v>
      </c>
      <c r="J838" s="73">
        <f t="shared" si="74"/>
        <v>1</v>
      </c>
      <c r="K838" s="74" t="s">
        <v>204</v>
      </c>
      <c r="N838" s="76" t="s">
        <v>19</v>
      </c>
      <c r="Q838" s="76" t="s">
        <v>2142</v>
      </c>
      <c r="R838" s="73">
        <f t="shared" si="75"/>
        <v>1</v>
      </c>
      <c r="S838" s="260" t="s">
        <v>1976</v>
      </c>
      <c r="T838" s="260"/>
      <c r="U838" s="260"/>
      <c r="V838" s="260"/>
      <c r="W838" s="260"/>
      <c r="X838" s="260"/>
      <c r="Y838" s="565"/>
      <c r="Z838" s="565"/>
      <c r="AA838" s="566">
        <f t="shared" si="73"/>
        <v>0</v>
      </c>
      <c r="AB838" s="699"/>
    </row>
    <row r="839" spans="1:28" ht="15.75" customHeight="1" x14ac:dyDescent="0.3">
      <c r="A839" s="96" t="s">
        <v>3601</v>
      </c>
      <c r="C839" s="81">
        <v>43826</v>
      </c>
      <c r="D839" s="109">
        <v>43858</v>
      </c>
      <c r="E839" s="560"/>
      <c r="F839" s="86" t="s">
        <v>3602</v>
      </c>
      <c r="G839" s="86" t="s">
        <v>152</v>
      </c>
      <c r="H839" s="79" t="s">
        <v>213</v>
      </c>
      <c r="I839" s="97" t="s">
        <v>1113</v>
      </c>
      <c r="J839" s="73">
        <f t="shared" si="74"/>
        <v>1</v>
      </c>
      <c r="K839" s="74" t="s">
        <v>204</v>
      </c>
      <c r="N839" s="76" t="s">
        <v>18</v>
      </c>
      <c r="Q839" s="76" t="s">
        <v>2142</v>
      </c>
      <c r="R839" s="73">
        <f t="shared" si="75"/>
        <v>1</v>
      </c>
      <c r="S839" s="260" t="s">
        <v>1976</v>
      </c>
      <c r="T839" s="260"/>
      <c r="U839" s="260"/>
      <c r="V839" s="260"/>
      <c r="W839" s="260"/>
      <c r="X839" s="260"/>
      <c r="Y839" s="565"/>
      <c r="Z839" s="565"/>
      <c r="AA839" s="566">
        <f t="shared" si="73"/>
        <v>0</v>
      </c>
      <c r="AB839" s="699"/>
    </row>
    <row r="840" spans="1:28" ht="15.75" customHeight="1" x14ac:dyDescent="0.3">
      <c r="A840" s="96" t="s">
        <v>3610</v>
      </c>
      <c r="C840" s="81">
        <v>43839</v>
      </c>
      <c r="D840" s="109">
        <v>43861</v>
      </c>
      <c r="E840" s="560"/>
      <c r="F840" s="252" t="s">
        <v>3611</v>
      </c>
      <c r="G840" s="86" t="s">
        <v>158</v>
      </c>
      <c r="H840" s="79" t="s">
        <v>213</v>
      </c>
      <c r="I840" s="97" t="s">
        <v>649</v>
      </c>
      <c r="J840" s="73">
        <f t="shared" si="74"/>
        <v>1</v>
      </c>
      <c r="K840" s="74" t="s">
        <v>204</v>
      </c>
      <c r="N840" s="76" t="s">
        <v>17</v>
      </c>
      <c r="Q840" s="76" t="s">
        <v>2142</v>
      </c>
      <c r="R840" s="73">
        <f t="shared" si="75"/>
        <v>1</v>
      </c>
      <c r="S840" s="260" t="s">
        <v>1976</v>
      </c>
      <c r="T840" s="260"/>
      <c r="U840" s="260"/>
      <c r="V840" s="260"/>
      <c r="W840" s="260"/>
      <c r="X840" s="260"/>
      <c r="Y840" s="565"/>
      <c r="Z840" s="565"/>
      <c r="AA840" s="566">
        <f t="shared" si="73"/>
        <v>0</v>
      </c>
      <c r="AB840" s="699"/>
    </row>
    <row r="841" spans="1:28" ht="15.75" customHeight="1" x14ac:dyDescent="0.3">
      <c r="A841" s="79" t="s">
        <v>3413</v>
      </c>
      <c r="C841" s="81">
        <v>43812</v>
      </c>
      <c r="D841" s="109">
        <v>43858</v>
      </c>
      <c r="E841" s="560"/>
      <c r="F841" s="86" t="s">
        <v>3414</v>
      </c>
      <c r="G841" s="86" t="s">
        <v>154</v>
      </c>
      <c r="H841" s="79" t="s">
        <v>213</v>
      </c>
      <c r="I841" s="97" t="s">
        <v>645</v>
      </c>
      <c r="J841" s="73">
        <f t="shared" si="74"/>
        <v>1</v>
      </c>
      <c r="K841" s="74" t="s">
        <v>204</v>
      </c>
      <c r="L841" s="97" t="s">
        <v>3650</v>
      </c>
      <c r="N841" s="76" t="s">
        <v>17</v>
      </c>
      <c r="Q841" s="76" t="s">
        <v>2417</v>
      </c>
      <c r="R841" s="73">
        <f t="shared" si="75"/>
        <v>1</v>
      </c>
      <c r="S841" s="260" t="s">
        <v>1976</v>
      </c>
      <c r="T841" s="260"/>
      <c r="U841" s="260"/>
      <c r="V841" s="260"/>
      <c r="W841" s="260"/>
      <c r="X841" s="260"/>
      <c r="Y841" s="565"/>
      <c r="Z841" s="565"/>
      <c r="AA841" s="566">
        <f t="shared" si="73"/>
        <v>0</v>
      </c>
      <c r="AB841" s="699"/>
    </row>
    <row r="842" spans="1:28" ht="15.75" customHeight="1" x14ac:dyDescent="0.3">
      <c r="A842" s="79" t="s">
        <v>3419</v>
      </c>
      <c r="C842" s="81">
        <v>43815</v>
      </c>
      <c r="D842" s="109">
        <v>43859</v>
      </c>
      <c r="E842" s="560"/>
      <c r="F842" s="86" t="s">
        <v>3420</v>
      </c>
      <c r="G842" s="86" t="s">
        <v>150</v>
      </c>
      <c r="H842" s="79" t="s">
        <v>213</v>
      </c>
      <c r="I842" s="97" t="s">
        <v>642</v>
      </c>
      <c r="J842" s="73">
        <f t="shared" si="74"/>
        <v>1</v>
      </c>
      <c r="K842" s="74" t="s">
        <v>204</v>
      </c>
      <c r="N842" s="76" t="s">
        <v>18</v>
      </c>
      <c r="Q842" s="76" t="s">
        <v>2417</v>
      </c>
      <c r="R842" s="73">
        <f t="shared" si="75"/>
        <v>1</v>
      </c>
      <c r="S842" s="260" t="s">
        <v>1976</v>
      </c>
      <c r="T842" s="260"/>
      <c r="U842" s="260"/>
      <c r="V842" s="260"/>
      <c r="W842" s="260"/>
      <c r="X842" s="260"/>
      <c r="Y842" s="565"/>
      <c r="Z842" s="565"/>
      <c r="AA842" s="566">
        <f t="shared" si="73"/>
        <v>0</v>
      </c>
      <c r="AB842" s="699"/>
    </row>
    <row r="843" spans="1:28" ht="15.75" customHeight="1" x14ac:dyDescent="0.3">
      <c r="A843" s="79" t="s">
        <v>3421</v>
      </c>
      <c r="C843" s="81">
        <v>43815</v>
      </c>
      <c r="D843" s="109">
        <v>43859</v>
      </c>
      <c r="E843" s="560"/>
      <c r="F843" s="86" t="s">
        <v>3422</v>
      </c>
      <c r="G843" s="86" t="s">
        <v>157</v>
      </c>
      <c r="H843" s="79" t="s">
        <v>213</v>
      </c>
      <c r="J843" s="73">
        <f t="shared" si="74"/>
        <v>1</v>
      </c>
      <c r="K843" s="74" t="s">
        <v>204</v>
      </c>
      <c r="Q843" s="76" t="s">
        <v>2417</v>
      </c>
      <c r="R843" s="73">
        <f t="shared" si="75"/>
        <v>1</v>
      </c>
      <c r="S843" s="260" t="s">
        <v>1976</v>
      </c>
      <c r="T843" s="260"/>
      <c r="U843" s="260"/>
      <c r="V843" s="260"/>
      <c r="W843" s="260"/>
      <c r="X843" s="260"/>
      <c r="Y843" s="565"/>
      <c r="Z843" s="565"/>
      <c r="AA843" s="566">
        <f t="shared" si="73"/>
        <v>0</v>
      </c>
      <c r="AB843" s="699"/>
    </row>
    <row r="844" spans="1:28" ht="15.75" customHeight="1" x14ac:dyDescent="0.3">
      <c r="A844" s="79" t="s">
        <v>3423</v>
      </c>
      <c r="C844" s="81">
        <v>43815</v>
      </c>
      <c r="D844" s="109">
        <v>43858</v>
      </c>
      <c r="E844" s="560"/>
      <c r="F844" s="86" t="s">
        <v>3424</v>
      </c>
      <c r="G844" s="86" t="s">
        <v>158</v>
      </c>
      <c r="H844" s="79" t="s">
        <v>213</v>
      </c>
      <c r="I844" s="97" t="s">
        <v>3642</v>
      </c>
      <c r="J844" s="73">
        <f t="shared" si="74"/>
        <v>1</v>
      </c>
      <c r="K844" s="74" t="s">
        <v>204</v>
      </c>
      <c r="N844" s="76" t="s">
        <v>19</v>
      </c>
      <c r="Q844" s="76" t="s">
        <v>2417</v>
      </c>
      <c r="R844" s="73">
        <f t="shared" si="75"/>
        <v>1</v>
      </c>
      <c r="S844" s="260" t="s">
        <v>1976</v>
      </c>
      <c r="T844" s="260"/>
      <c r="U844" s="260"/>
      <c r="V844" s="260"/>
      <c r="W844" s="260"/>
      <c r="X844" s="260"/>
      <c r="Y844" s="565"/>
      <c r="Z844" s="565"/>
      <c r="AA844" s="566">
        <f t="shared" si="73"/>
        <v>0</v>
      </c>
      <c r="AB844" s="699"/>
    </row>
    <row r="845" spans="1:28" ht="15.75" customHeight="1" x14ac:dyDescent="0.3">
      <c r="A845" s="79" t="s">
        <v>3425</v>
      </c>
      <c r="C845" s="81">
        <v>43816</v>
      </c>
      <c r="D845" s="109">
        <v>43859</v>
      </c>
      <c r="E845" s="560"/>
      <c r="F845" s="86" t="s">
        <v>3426</v>
      </c>
      <c r="G845" s="86" t="s">
        <v>154</v>
      </c>
      <c r="H845" s="79" t="s">
        <v>213</v>
      </c>
      <c r="I845" s="97" t="s">
        <v>642</v>
      </c>
      <c r="J845" s="73">
        <f t="shared" si="74"/>
        <v>1</v>
      </c>
      <c r="K845" s="74" t="s">
        <v>204</v>
      </c>
      <c r="N845" s="76" t="s">
        <v>18</v>
      </c>
      <c r="Q845" s="76" t="s">
        <v>2417</v>
      </c>
      <c r="R845" s="73">
        <f t="shared" si="75"/>
        <v>1</v>
      </c>
      <c r="S845" s="260" t="s">
        <v>1976</v>
      </c>
      <c r="T845" s="260"/>
      <c r="U845" s="260"/>
      <c r="V845" s="260"/>
      <c r="W845" s="260"/>
      <c r="X845" s="260"/>
      <c r="Y845" s="565"/>
      <c r="Z845" s="565"/>
      <c r="AA845" s="566">
        <f t="shared" si="73"/>
        <v>0</v>
      </c>
      <c r="AB845" s="699"/>
    </row>
    <row r="846" spans="1:28" ht="15.75" customHeight="1" x14ac:dyDescent="0.3">
      <c r="A846" s="79" t="s">
        <v>3428</v>
      </c>
      <c r="C846" s="81">
        <v>43816</v>
      </c>
      <c r="D846" s="109">
        <v>43860</v>
      </c>
      <c r="E846" s="560"/>
      <c r="F846" s="86" t="s">
        <v>3429</v>
      </c>
      <c r="G846" s="86" t="s">
        <v>152</v>
      </c>
      <c r="H846" s="79" t="s">
        <v>213</v>
      </c>
      <c r="I846" s="97" t="s">
        <v>642</v>
      </c>
      <c r="J846" s="73">
        <f t="shared" si="74"/>
        <v>1</v>
      </c>
      <c r="K846" s="74" t="s">
        <v>204</v>
      </c>
      <c r="N846" s="76" t="s">
        <v>18</v>
      </c>
      <c r="Q846" s="76" t="s">
        <v>2417</v>
      </c>
      <c r="R846" s="73">
        <f t="shared" si="75"/>
        <v>1</v>
      </c>
      <c r="S846" s="260" t="s">
        <v>1976</v>
      </c>
      <c r="T846" s="260"/>
      <c r="U846" s="260"/>
      <c r="V846" s="260"/>
      <c r="W846" s="260"/>
      <c r="X846" s="260"/>
      <c r="Y846" s="565"/>
      <c r="Z846" s="565"/>
      <c r="AA846" s="566">
        <f t="shared" si="73"/>
        <v>0</v>
      </c>
      <c r="AB846" s="699"/>
    </row>
    <row r="847" spans="1:28" ht="15.75" customHeight="1" x14ac:dyDescent="0.3">
      <c r="A847" s="79" t="s">
        <v>3430</v>
      </c>
      <c r="C847" s="81">
        <v>43816</v>
      </c>
      <c r="D847" s="109">
        <v>43860</v>
      </c>
      <c r="E847" s="560"/>
      <c r="F847" s="86" t="s">
        <v>3431</v>
      </c>
      <c r="G847" s="86" t="s">
        <v>166</v>
      </c>
      <c r="H847" s="79" t="s">
        <v>213</v>
      </c>
      <c r="I847" s="97" t="s">
        <v>642</v>
      </c>
      <c r="J847" s="73">
        <f t="shared" si="74"/>
        <v>1</v>
      </c>
      <c r="K847" s="74" t="s">
        <v>204</v>
      </c>
      <c r="L847" s="97" t="s">
        <v>3652</v>
      </c>
      <c r="N847" s="76" t="s">
        <v>17</v>
      </c>
      <c r="Q847" s="76" t="s">
        <v>2417</v>
      </c>
      <c r="R847" s="73">
        <f t="shared" si="75"/>
        <v>1</v>
      </c>
      <c r="S847" s="260" t="s">
        <v>1976</v>
      </c>
      <c r="T847" s="260"/>
      <c r="U847" s="260"/>
      <c r="V847" s="260"/>
      <c r="W847" s="260"/>
      <c r="X847" s="260"/>
      <c r="Y847" s="565"/>
      <c r="Z847" s="565"/>
      <c r="AA847" s="566">
        <f t="shared" si="73"/>
        <v>0</v>
      </c>
      <c r="AB847" s="699"/>
    </row>
    <row r="848" spans="1:28" ht="15.75" customHeight="1" x14ac:dyDescent="0.3">
      <c r="A848" s="79" t="s">
        <v>3432</v>
      </c>
      <c r="C848" s="81">
        <v>43817</v>
      </c>
      <c r="D848" s="109">
        <v>43861</v>
      </c>
      <c r="E848" s="560"/>
      <c r="F848" s="86" t="s">
        <v>3433</v>
      </c>
      <c r="G848" s="86" t="s">
        <v>150</v>
      </c>
      <c r="H848" s="79" t="s">
        <v>213</v>
      </c>
      <c r="I848" s="97" t="s">
        <v>642</v>
      </c>
      <c r="J848" s="73">
        <f t="shared" si="74"/>
        <v>1</v>
      </c>
      <c r="K848" s="74" t="s">
        <v>204</v>
      </c>
      <c r="N848" s="76" t="s">
        <v>18</v>
      </c>
      <c r="Q848" s="76" t="s">
        <v>2417</v>
      </c>
      <c r="R848" s="73">
        <f t="shared" si="75"/>
        <v>1</v>
      </c>
      <c r="S848" s="260" t="s">
        <v>1976</v>
      </c>
      <c r="T848" s="260"/>
      <c r="U848" s="260"/>
      <c r="V848" s="260"/>
      <c r="W848" s="260"/>
      <c r="X848" s="260"/>
      <c r="Y848" s="565"/>
      <c r="Z848" s="565"/>
      <c r="AA848" s="566">
        <f t="shared" si="73"/>
        <v>0</v>
      </c>
      <c r="AB848" s="699"/>
    </row>
    <row r="849" spans="1:28" ht="15.75" customHeight="1" x14ac:dyDescent="0.3">
      <c r="A849" s="79" t="s">
        <v>3434</v>
      </c>
      <c r="C849" s="81">
        <v>43818</v>
      </c>
      <c r="D849" s="109">
        <v>43861</v>
      </c>
      <c r="E849" s="560"/>
      <c r="F849" s="86" t="s">
        <v>3435</v>
      </c>
      <c r="G849" s="86" t="s">
        <v>150</v>
      </c>
      <c r="H849" s="79" t="s">
        <v>213</v>
      </c>
      <c r="I849" s="97" t="s">
        <v>645</v>
      </c>
      <c r="J849" s="73">
        <f t="shared" si="74"/>
        <v>1</v>
      </c>
      <c r="K849" s="74" t="s">
        <v>204</v>
      </c>
      <c r="L849" s="97" t="s">
        <v>8114</v>
      </c>
      <c r="N849" s="76" t="s">
        <v>17</v>
      </c>
      <c r="Q849" s="76" t="s">
        <v>2417</v>
      </c>
      <c r="R849" s="73">
        <f t="shared" si="75"/>
        <v>1</v>
      </c>
      <c r="S849" s="260" t="s">
        <v>1976</v>
      </c>
      <c r="T849" s="260"/>
      <c r="U849" s="260"/>
      <c r="V849" s="260"/>
      <c r="W849" s="260"/>
      <c r="X849" s="260"/>
      <c r="Y849" s="565"/>
      <c r="Z849" s="565"/>
      <c r="AA849" s="566">
        <f t="shared" si="73"/>
        <v>0</v>
      </c>
      <c r="AB849" s="699"/>
    </row>
    <row r="850" spans="1:28" ht="15.75" customHeight="1" x14ac:dyDescent="0.3">
      <c r="A850" s="79" t="s">
        <v>3614</v>
      </c>
      <c r="C850" s="81">
        <v>43826</v>
      </c>
      <c r="D850" s="109">
        <v>43857</v>
      </c>
      <c r="E850" s="560"/>
      <c r="F850" s="86" t="s">
        <v>3615</v>
      </c>
      <c r="G850" s="86" t="s">
        <v>152</v>
      </c>
      <c r="H850" s="79" t="s">
        <v>268</v>
      </c>
      <c r="I850" s="97" t="s">
        <v>2183</v>
      </c>
      <c r="J850" s="73">
        <f t="shared" si="74"/>
        <v>1</v>
      </c>
      <c r="K850" s="74" t="s">
        <v>204</v>
      </c>
      <c r="N850" s="76" t="s">
        <v>18</v>
      </c>
      <c r="Q850" s="76" t="s">
        <v>2417</v>
      </c>
      <c r="R850" s="73">
        <f t="shared" si="75"/>
        <v>1</v>
      </c>
      <c r="S850" s="260" t="s">
        <v>1976</v>
      </c>
      <c r="T850" s="260"/>
      <c r="U850" s="260"/>
      <c r="V850" s="260"/>
      <c r="W850" s="260"/>
      <c r="X850" s="260"/>
      <c r="Y850" s="565"/>
      <c r="Z850" s="565"/>
      <c r="AA850" s="566">
        <f t="shared" si="73"/>
        <v>0</v>
      </c>
      <c r="AB850" s="699"/>
    </row>
    <row r="851" spans="1:28" ht="15.75" customHeight="1" x14ac:dyDescent="0.3">
      <c r="A851" s="79" t="s">
        <v>3622</v>
      </c>
      <c r="C851" s="81">
        <v>43826</v>
      </c>
      <c r="D851" s="109">
        <v>43858</v>
      </c>
      <c r="E851" s="560"/>
      <c r="F851" s="86" t="s">
        <v>3623</v>
      </c>
      <c r="G851" s="86" t="s">
        <v>156</v>
      </c>
      <c r="H851" s="79" t="s">
        <v>213</v>
      </c>
      <c r="I851" s="97" t="s">
        <v>2478</v>
      </c>
      <c r="J851" s="73">
        <f t="shared" si="74"/>
        <v>1</v>
      </c>
      <c r="K851" s="74" t="s">
        <v>204</v>
      </c>
      <c r="N851" s="76" t="s">
        <v>17</v>
      </c>
      <c r="Q851" s="76" t="s">
        <v>2417</v>
      </c>
      <c r="R851" s="73">
        <f t="shared" si="75"/>
        <v>1</v>
      </c>
      <c r="S851" s="260" t="s">
        <v>1976</v>
      </c>
      <c r="T851" s="260"/>
      <c r="U851" s="260"/>
      <c r="V851" s="260"/>
      <c r="W851" s="260"/>
      <c r="X851" s="260"/>
      <c r="Y851" s="565"/>
      <c r="Z851" s="565"/>
      <c r="AA851" s="566">
        <f t="shared" si="73"/>
        <v>0</v>
      </c>
      <c r="AB851" s="699"/>
    </row>
    <row r="852" spans="1:28" ht="15.75" customHeight="1" x14ac:dyDescent="0.3">
      <c r="A852" s="79" t="s">
        <v>3626</v>
      </c>
      <c r="C852" s="81">
        <v>43826</v>
      </c>
      <c r="D852" s="109">
        <v>43858</v>
      </c>
      <c r="E852" s="560"/>
      <c r="F852" s="86" t="s">
        <v>3627</v>
      </c>
      <c r="G852" s="86" t="s">
        <v>156</v>
      </c>
      <c r="H852" s="79" t="s">
        <v>213</v>
      </c>
      <c r="I852" s="97" t="s">
        <v>3643</v>
      </c>
      <c r="J852" s="73">
        <f t="shared" si="74"/>
        <v>1</v>
      </c>
      <c r="K852" s="74" t="s">
        <v>204</v>
      </c>
      <c r="N852" s="76" t="s">
        <v>19</v>
      </c>
      <c r="Q852" s="76" t="s">
        <v>2417</v>
      </c>
      <c r="R852" s="73">
        <f t="shared" si="75"/>
        <v>1</v>
      </c>
      <c r="S852" s="260" t="s">
        <v>1976</v>
      </c>
      <c r="T852" s="260"/>
      <c r="U852" s="260"/>
      <c r="V852" s="260"/>
      <c r="W852" s="260"/>
      <c r="X852" s="260"/>
      <c r="Y852" s="565"/>
      <c r="Z852" s="565"/>
      <c r="AA852" s="566">
        <f t="shared" si="73"/>
        <v>0</v>
      </c>
      <c r="AB852" s="699"/>
    </row>
    <row r="853" spans="1:28" ht="15.75" customHeight="1" x14ac:dyDescent="0.3">
      <c r="A853" s="79" t="s">
        <v>3632</v>
      </c>
      <c r="C853" s="81">
        <v>43830</v>
      </c>
      <c r="D853" s="109">
        <v>43859</v>
      </c>
      <c r="E853" s="560"/>
      <c r="F853" s="86" t="s">
        <v>3633</v>
      </c>
      <c r="G853" s="86" t="s">
        <v>172</v>
      </c>
      <c r="H853" s="79" t="s">
        <v>213</v>
      </c>
      <c r="I853" s="97" t="s">
        <v>2478</v>
      </c>
      <c r="J853" s="73">
        <f t="shared" si="74"/>
        <v>1</v>
      </c>
      <c r="K853" s="74" t="s">
        <v>204</v>
      </c>
      <c r="N853" s="76" t="s">
        <v>17</v>
      </c>
      <c r="Q853" s="76" t="s">
        <v>2417</v>
      </c>
      <c r="R853" s="73">
        <f t="shared" si="75"/>
        <v>1</v>
      </c>
      <c r="S853" s="260" t="s">
        <v>1976</v>
      </c>
      <c r="T853" s="260"/>
      <c r="U853" s="260"/>
      <c r="V853" s="260"/>
      <c r="W853" s="260"/>
      <c r="X853" s="260"/>
      <c r="Y853" s="565"/>
      <c r="Z853" s="565"/>
      <c r="AA853" s="566">
        <f t="shared" si="73"/>
        <v>0</v>
      </c>
      <c r="AB853" s="699"/>
    </row>
    <row r="854" spans="1:28" ht="15.75" customHeight="1" x14ac:dyDescent="0.3">
      <c r="A854" s="79" t="s">
        <v>3636</v>
      </c>
      <c r="C854" s="81">
        <v>43839</v>
      </c>
      <c r="D854" s="109">
        <v>43861</v>
      </c>
      <c r="E854" s="560"/>
      <c r="F854" s="252" t="s">
        <v>3637</v>
      </c>
      <c r="G854" s="86" t="s">
        <v>156</v>
      </c>
      <c r="H854" s="79" t="s">
        <v>213</v>
      </c>
      <c r="I854" s="97" t="s">
        <v>649</v>
      </c>
      <c r="J854" s="73">
        <f t="shared" si="74"/>
        <v>1</v>
      </c>
      <c r="K854" s="74" t="s">
        <v>204</v>
      </c>
      <c r="N854" s="76" t="s">
        <v>17</v>
      </c>
      <c r="Q854" s="76" t="s">
        <v>2417</v>
      </c>
      <c r="R854" s="73">
        <f t="shared" si="75"/>
        <v>1</v>
      </c>
      <c r="S854" s="260" t="s">
        <v>1976</v>
      </c>
      <c r="T854" s="260"/>
      <c r="U854" s="260"/>
      <c r="V854" s="260"/>
      <c r="W854" s="260"/>
      <c r="X854" s="260"/>
      <c r="Y854" s="565"/>
      <c r="Z854" s="565"/>
      <c r="AA854" s="566">
        <f t="shared" si="73"/>
        <v>0</v>
      </c>
      <c r="AB854" s="699"/>
    </row>
    <row r="855" spans="1:28" ht="15.75" customHeight="1" x14ac:dyDescent="0.3">
      <c r="A855" s="79" t="s">
        <v>3080</v>
      </c>
      <c r="C855" s="81">
        <v>43809</v>
      </c>
      <c r="D855" s="109">
        <v>43867</v>
      </c>
      <c r="E855" s="560"/>
      <c r="F855" s="86" t="s">
        <v>3081</v>
      </c>
      <c r="G855" s="86" t="s">
        <v>156</v>
      </c>
      <c r="H855" s="79" t="s">
        <v>213</v>
      </c>
      <c r="I855" s="97" t="s">
        <v>642</v>
      </c>
      <c r="J855" s="73">
        <f t="shared" ref="J855:J883" si="76">IF(OR(K855="Документы готовы",K855="Запрос в ФО",K855="ЭЗ",K855="РЕШ",K855="РЕШ шаблон"),0.1,IF(OR(K855="ЭЗ согласование",K855="РЕШ согласование"),0.3,IF(OR(K855="ЭЗ согласовано",K855="РЕШ согласовано",K855="РЕШ подписано"),0.6,IF(OR(K855="ЭЗ ПР согласование",K855="РЕШ УВ согласование"),0.9,IF(OR(K855="ЭЗ ПР DONE",K855="РЕШ УВ DONE"),1,0)))))</f>
        <v>1</v>
      </c>
      <c r="K855" s="74" t="s">
        <v>204</v>
      </c>
      <c r="L855" s="97" t="s">
        <v>3849</v>
      </c>
      <c r="N855" s="76" t="s">
        <v>17</v>
      </c>
      <c r="Q855" s="76" t="s">
        <v>2109</v>
      </c>
      <c r="R855" s="73">
        <f t="shared" si="75"/>
        <v>1</v>
      </c>
      <c r="S855" s="260" t="s">
        <v>1976</v>
      </c>
      <c r="T855" s="260"/>
      <c r="U855" s="260"/>
      <c r="V855" s="260"/>
      <c r="W855" s="260"/>
      <c r="X855" s="260"/>
      <c r="Y855" s="565"/>
      <c r="Z855" s="565"/>
      <c r="AA855" s="566">
        <f t="shared" si="73"/>
        <v>0</v>
      </c>
      <c r="AB855" s="699"/>
    </row>
    <row r="856" spans="1:28" ht="15.75" customHeight="1" x14ac:dyDescent="0.3">
      <c r="A856" s="96" t="s">
        <v>3317</v>
      </c>
      <c r="C856" s="81">
        <v>43818</v>
      </c>
      <c r="D856" s="109">
        <v>43864</v>
      </c>
      <c r="E856" s="560"/>
      <c r="F856" s="86" t="s">
        <v>3318</v>
      </c>
      <c r="G856" s="86" t="s">
        <v>150</v>
      </c>
      <c r="H856" s="79" t="s">
        <v>213</v>
      </c>
      <c r="I856" s="97" t="s">
        <v>714</v>
      </c>
      <c r="J856" s="73">
        <f t="shared" si="76"/>
        <v>1</v>
      </c>
      <c r="K856" s="74" t="s">
        <v>204</v>
      </c>
      <c r="L856" s="97" t="s">
        <v>3798</v>
      </c>
      <c r="N856" s="76" t="s">
        <v>17</v>
      </c>
      <c r="Q856" s="76" t="s">
        <v>2109</v>
      </c>
      <c r="R856" s="73">
        <f t="shared" ref="R856:R884" si="77">IF(S856="В работе",0.3,IF(S856="Отписано",0.6,IF(S856="На доработку",0.9,IF(S856="Согласовано",1,0))))</f>
        <v>1</v>
      </c>
      <c r="S856" s="260" t="s">
        <v>1976</v>
      </c>
      <c r="T856" s="260"/>
      <c r="U856" s="260"/>
      <c r="V856" s="260"/>
      <c r="W856" s="260"/>
      <c r="X856" s="260"/>
      <c r="Y856" s="565"/>
      <c r="Z856" s="565"/>
      <c r="AA856" s="566">
        <f t="shared" si="73"/>
        <v>0</v>
      </c>
      <c r="AB856" s="699"/>
    </row>
    <row r="857" spans="1:28" ht="15.75" customHeight="1" x14ac:dyDescent="0.3">
      <c r="A857" s="96" t="s">
        <v>3319</v>
      </c>
      <c r="C857" s="81">
        <v>43818</v>
      </c>
      <c r="D857" s="109">
        <v>43864</v>
      </c>
      <c r="E857" s="560"/>
      <c r="F857" s="86" t="s">
        <v>3320</v>
      </c>
      <c r="G857" s="86" t="s">
        <v>150</v>
      </c>
      <c r="H857" s="79" t="s">
        <v>213</v>
      </c>
      <c r="I857" s="97" t="s">
        <v>642</v>
      </c>
      <c r="J857" s="73">
        <f t="shared" si="76"/>
        <v>1</v>
      </c>
      <c r="K857" s="74" t="s">
        <v>204</v>
      </c>
      <c r="N857" s="76" t="s">
        <v>18</v>
      </c>
      <c r="Q857" s="76" t="s">
        <v>2109</v>
      </c>
      <c r="R857" s="73">
        <f t="shared" si="77"/>
        <v>1</v>
      </c>
      <c r="S857" s="260" t="s">
        <v>1976</v>
      </c>
      <c r="T857" s="260"/>
      <c r="U857" s="260"/>
      <c r="V857" s="260"/>
      <c r="W857" s="260"/>
      <c r="X857" s="260"/>
      <c r="Y857" s="565"/>
      <c r="Z857" s="565"/>
      <c r="AA857" s="566">
        <f t="shared" si="73"/>
        <v>0</v>
      </c>
      <c r="AB857" s="699"/>
    </row>
    <row r="858" spans="1:28" ht="15.75" customHeight="1" x14ac:dyDescent="0.3">
      <c r="A858" s="96" t="s">
        <v>3323</v>
      </c>
      <c r="C858" s="81">
        <v>43819</v>
      </c>
      <c r="D858" s="109">
        <v>43865</v>
      </c>
      <c r="E858" s="560"/>
      <c r="F858" s="86" t="s">
        <v>3324</v>
      </c>
      <c r="G858" s="86" t="s">
        <v>158</v>
      </c>
      <c r="H858" s="79" t="s">
        <v>213</v>
      </c>
      <c r="I858" s="97" t="s">
        <v>642</v>
      </c>
      <c r="J858" s="73">
        <f t="shared" si="76"/>
        <v>1</v>
      </c>
      <c r="K858" s="74" t="s">
        <v>204</v>
      </c>
      <c r="N858" s="76" t="s">
        <v>18</v>
      </c>
      <c r="Q858" s="76" t="s">
        <v>2109</v>
      </c>
      <c r="R858" s="73">
        <f t="shared" si="77"/>
        <v>1</v>
      </c>
      <c r="S858" s="260" t="s">
        <v>1976</v>
      </c>
      <c r="T858" s="260"/>
      <c r="U858" s="260"/>
      <c r="V858" s="260"/>
      <c r="W858" s="260"/>
      <c r="X858" s="260"/>
      <c r="Y858" s="565"/>
      <c r="Z858" s="565"/>
      <c r="AA858" s="566">
        <f t="shared" si="73"/>
        <v>0</v>
      </c>
      <c r="AB858" s="699"/>
    </row>
    <row r="859" spans="1:28" ht="15.75" customHeight="1" x14ac:dyDescent="0.3">
      <c r="A859" s="79" t="s">
        <v>3656</v>
      </c>
      <c r="C859" s="81">
        <v>43822</v>
      </c>
      <c r="D859" s="109">
        <v>43865</v>
      </c>
      <c r="E859" s="560"/>
      <c r="F859" s="86" t="s">
        <v>3657</v>
      </c>
      <c r="G859" s="86" t="s">
        <v>410</v>
      </c>
      <c r="H859" s="79" t="s">
        <v>213</v>
      </c>
      <c r="I859" s="97" t="s">
        <v>995</v>
      </c>
      <c r="J859" s="73">
        <f t="shared" si="76"/>
        <v>1</v>
      </c>
      <c r="K859" s="74" t="s">
        <v>204</v>
      </c>
      <c r="N859" s="76" t="s">
        <v>19</v>
      </c>
      <c r="Q859" s="76" t="s">
        <v>2109</v>
      </c>
      <c r="R859" s="73">
        <f t="shared" si="77"/>
        <v>1</v>
      </c>
      <c r="S859" s="260" t="s">
        <v>1976</v>
      </c>
      <c r="T859" s="260"/>
      <c r="U859" s="260"/>
      <c r="V859" s="260"/>
      <c r="W859" s="260"/>
      <c r="X859" s="260"/>
      <c r="Y859" s="565"/>
      <c r="Z859" s="565"/>
      <c r="AA859" s="566">
        <f t="shared" si="73"/>
        <v>0</v>
      </c>
      <c r="AB859" s="699"/>
    </row>
    <row r="860" spans="1:28" ht="15.75" customHeight="1" x14ac:dyDescent="0.3">
      <c r="A860" s="79" t="s">
        <v>3658</v>
      </c>
      <c r="C860" s="81">
        <v>43822</v>
      </c>
      <c r="D860" s="109">
        <v>43866</v>
      </c>
      <c r="E860" s="560"/>
      <c r="F860" s="86" t="s">
        <v>3659</v>
      </c>
      <c r="G860" s="86" t="s">
        <v>152</v>
      </c>
      <c r="H860" s="79" t="s">
        <v>268</v>
      </c>
      <c r="I860" s="97" t="s">
        <v>722</v>
      </c>
      <c r="J860" s="73">
        <f t="shared" si="76"/>
        <v>1</v>
      </c>
      <c r="K860" s="74" t="s">
        <v>204</v>
      </c>
      <c r="L860" s="97" t="s">
        <v>3846</v>
      </c>
      <c r="N860" s="76" t="s">
        <v>17</v>
      </c>
      <c r="Q860" s="76" t="s">
        <v>2109</v>
      </c>
      <c r="R860" s="73">
        <f t="shared" si="77"/>
        <v>1</v>
      </c>
      <c r="S860" s="260" t="s">
        <v>1976</v>
      </c>
      <c r="T860" s="260"/>
      <c r="U860" s="260"/>
      <c r="V860" s="260"/>
      <c r="W860" s="260"/>
      <c r="X860" s="260"/>
      <c r="Y860" s="565"/>
      <c r="Z860" s="565"/>
      <c r="AA860" s="566">
        <f t="shared" si="73"/>
        <v>0</v>
      </c>
      <c r="AB860" s="699"/>
    </row>
    <row r="861" spans="1:28" ht="15.75" customHeight="1" x14ac:dyDescent="0.3">
      <c r="A861" s="79" t="s">
        <v>3335</v>
      </c>
      <c r="C861" s="81">
        <v>43822</v>
      </c>
      <c r="D861" s="109">
        <v>43866</v>
      </c>
      <c r="E861" s="560"/>
      <c r="F861" s="86" t="s">
        <v>3336</v>
      </c>
      <c r="G861" s="86" t="s">
        <v>152</v>
      </c>
      <c r="H861" s="79" t="s">
        <v>213</v>
      </c>
      <c r="I861" s="97" t="s">
        <v>642</v>
      </c>
      <c r="J861" s="73">
        <f t="shared" si="76"/>
        <v>1</v>
      </c>
      <c r="K861" s="74" t="s">
        <v>204</v>
      </c>
      <c r="N861" s="76" t="s">
        <v>18</v>
      </c>
      <c r="Q861" s="76" t="s">
        <v>2109</v>
      </c>
      <c r="R861" s="73">
        <f t="shared" si="77"/>
        <v>1</v>
      </c>
      <c r="S861" s="260" t="s">
        <v>1976</v>
      </c>
      <c r="T861" s="260"/>
      <c r="U861" s="260"/>
      <c r="V861" s="260"/>
      <c r="W861" s="260"/>
      <c r="X861" s="260"/>
      <c r="Y861" s="565"/>
      <c r="Z861" s="565"/>
      <c r="AA861" s="566">
        <f t="shared" si="73"/>
        <v>0</v>
      </c>
      <c r="AB861" s="699"/>
    </row>
    <row r="862" spans="1:28" ht="15.75" customHeight="1" x14ac:dyDescent="0.3">
      <c r="A862" s="96" t="s">
        <v>3341</v>
      </c>
      <c r="C862" s="81">
        <v>43823</v>
      </c>
      <c r="D862" s="109">
        <v>43867</v>
      </c>
      <c r="E862" s="560"/>
      <c r="F862" s="86" t="s">
        <v>3342</v>
      </c>
      <c r="G862" s="86" t="s">
        <v>156</v>
      </c>
      <c r="H862" s="79" t="s">
        <v>213</v>
      </c>
      <c r="I862" s="97" t="s">
        <v>854</v>
      </c>
      <c r="J862" s="73">
        <f t="shared" si="76"/>
        <v>1</v>
      </c>
      <c r="K862" s="74" t="s">
        <v>204</v>
      </c>
      <c r="L862" s="97" t="s">
        <v>4060</v>
      </c>
      <c r="N862" s="76" t="s">
        <v>17</v>
      </c>
      <c r="Q862" s="76" t="s">
        <v>2109</v>
      </c>
      <c r="R862" s="73">
        <f t="shared" si="77"/>
        <v>1</v>
      </c>
      <c r="S862" s="260" t="s">
        <v>1976</v>
      </c>
      <c r="T862" s="260"/>
      <c r="U862" s="260"/>
      <c r="V862" s="260"/>
      <c r="W862" s="260"/>
      <c r="X862" s="260"/>
      <c r="Y862" s="565"/>
      <c r="Z862" s="565"/>
      <c r="AA862" s="566">
        <f t="shared" si="73"/>
        <v>0</v>
      </c>
      <c r="AB862" s="699"/>
    </row>
    <row r="863" spans="1:28" ht="15.75" customHeight="1" x14ac:dyDescent="0.3">
      <c r="A863" s="79" t="s">
        <v>3345</v>
      </c>
      <c r="C863" s="81">
        <v>43824</v>
      </c>
      <c r="D863" s="109">
        <v>43868</v>
      </c>
      <c r="E863" s="560"/>
      <c r="F863" s="86" t="s">
        <v>3346</v>
      </c>
      <c r="G863" s="86" t="s">
        <v>147</v>
      </c>
      <c r="H863" s="79" t="s">
        <v>213</v>
      </c>
      <c r="I863" s="97" t="s">
        <v>714</v>
      </c>
      <c r="J863" s="73">
        <f t="shared" si="76"/>
        <v>1</v>
      </c>
      <c r="K863" s="74" t="s">
        <v>204</v>
      </c>
      <c r="N863" s="76" t="s">
        <v>17</v>
      </c>
      <c r="Q863" s="76" t="s">
        <v>2109</v>
      </c>
      <c r="R863" s="73">
        <f t="shared" si="77"/>
        <v>1</v>
      </c>
      <c r="S863" s="260" t="s">
        <v>1976</v>
      </c>
      <c r="T863" s="260"/>
      <c r="U863" s="260"/>
      <c r="V863" s="260"/>
      <c r="W863" s="260"/>
      <c r="X863" s="260"/>
      <c r="Y863" s="565"/>
      <c r="Z863" s="565"/>
      <c r="AA863" s="566">
        <f t="shared" si="73"/>
        <v>0</v>
      </c>
      <c r="AB863" s="699"/>
    </row>
    <row r="864" spans="1:28" ht="15.75" customHeight="1" x14ac:dyDescent="0.3">
      <c r="A864" s="79" t="s">
        <v>3579</v>
      </c>
      <c r="C864" s="81">
        <v>43839</v>
      </c>
      <c r="D864" s="109">
        <v>43861</v>
      </c>
      <c r="E864" s="560"/>
      <c r="F864" s="86" t="s">
        <v>3580</v>
      </c>
      <c r="G864" s="86" t="s">
        <v>156</v>
      </c>
      <c r="H864" s="79" t="s">
        <v>213</v>
      </c>
      <c r="I864" s="97" t="s">
        <v>995</v>
      </c>
      <c r="J864" s="73">
        <f t="shared" si="76"/>
        <v>1</v>
      </c>
      <c r="K864" s="74" t="s">
        <v>204</v>
      </c>
      <c r="N864" s="76" t="s">
        <v>19</v>
      </c>
      <c r="Q864" s="76" t="s">
        <v>2109</v>
      </c>
      <c r="R864" s="73">
        <f t="shared" si="77"/>
        <v>1</v>
      </c>
      <c r="S864" s="260" t="s">
        <v>1976</v>
      </c>
      <c r="T864" s="260"/>
      <c r="U864" s="260"/>
      <c r="V864" s="260"/>
      <c r="W864" s="260"/>
      <c r="X864" s="260"/>
      <c r="Y864" s="565"/>
      <c r="Z864" s="565"/>
      <c r="AA864" s="566">
        <f t="shared" si="73"/>
        <v>0</v>
      </c>
      <c r="AB864" s="699"/>
    </row>
    <row r="865" spans="1:28" ht="15.75" customHeight="1" x14ac:dyDescent="0.3">
      <c r="A865" s="79" t="s">
        <v>3583</v>
      </c>
      <c r="C865" s="81">
        <v>43839</v>
      </c>
      <c r="D865" s="109">
        <v>43861</v>
      </c>
      <c r="E865" s="560"/>
      <c r="F865" s="86" t="s">
        <v>3584</v>
      </c>
      <c r="G865" s="86" t="s">
        <v>173</v>
      </c>
      <c r="H865" s="79" t="s">
        <v>213</v>
      </c>
      <c r="I865" s="97" t="s">
        <v>3643</v>
      </c>
      <c r="J865" s="73">
        <f t="shared" si="76"/>
        <v>1</v>
      </c>
      <c r="K865" s="74" t="s">
        <v>204</v>
      </c>
      <c r="N865" s="76" t="s">
        <v>19</v>
      </c>
      <c r="Q865" s="76" t="s">
        <v>2109</v>
      </c>
      <c r="R865" s="73">
        <f t="shared" si="77"/>
        <v>1</v>
      </c>
      <c r="S865" s="260" t="s">
        <v>1976</v>
      </c>
      <c r="T865" s="260"/>
      <c r="U865" s="260"/>
      <c r="V865" s="260"/>
      <c r="W865" s="260"/>
      <c r="X865" s="260"/>
      <c r="Y865" s="565"/>
      <c r="Z865" s="565"/>
      <c r="AA865" s="566">
        <f t="shared" si="73"/>
        <v>0</v>
      </c>
      <c r="AB865" s="699"/>
    </row>
    <row r="866" spans="1:28" ht="15.75" customHeight="1" x14ac:dyDescent="0.3">
      <c r="A866" s="96" t="s">
        <v>3660</v>
      </c>
      <c r="C866" s="81">
        <v>43843</v>
      </c>
      <c r="D866" s="109">
        <v>43864</v>
      </c>
      <c r="E866" s="560"/>
      <c r="F866" s="86" t="s">
        <v>3661</v>
      </c>
      <c r="G866" s="86" t="s">
        <v>147</v>
      </c>
      <c r="H866" s="79" t="s">
        <v>213</v>
      </c>
      <c r="I866" s="97" t="s">
        <v>2478</v>
      </c>
      <c r="J866" s="73">
        <f t="shared" si="76"/>
        <v>1</v>
      </c>
      <c r="K866" s="74" t="s">
        <v>204</v>
      </c>
      <c r="N866" s="76" t="s">
        <v>17</v>
      </c>
      <c r="Q866" s="76" t="s">
        <v>2109</v>
      </c>
      <c r="R866" s="73">
        <f t="shared" si="77"/>
        <v>1</v>
      </c>
      <c r="S866" s="260" t="s">
        <v>1976</v>
      </c>
      <c r="T866" s="260"/>
      <c r="U866" s="260"/>
      <c r="V866" s="260"/>
      <c r="W866" s="260"/>
      <c r="X866" s="260"/>
      <c r="Y866" s="565"/>
      <c r="Z866" s="565"/>
      <c r="AA866" s="566">
        <f t="shared" si="73"/>
        <v>0</v>
      </c>
      <c r="AB866" s="699"/>
    </row>
    <row r="867" spans="1:28" ht="15.75" customHeight="1" x14ac:dyDescent="0.3">
      <c r="A867" s="79" t="s">
        <v>3662</v>
      </c>
      <c r="C867" s="81">
        <v>43840</v>
      </c>
      <c r="D867" s="109">
        <v>43864</v>
      </c>
      <c r="E867" s="560"/>
      <c r="F867" s="86" t="s">
        <v>3663</v>
      </c>
      <c r="G867" s="86" t="s">
        <v>154</v>
      </c>
      <c r="H867" s="79" t="s">
        <v>213</v>
      </c>
      <c r="I867" s="97" t="s">
        <v>972</v>
      </c>
      <c r="J867" s="73">
        <f t="shared" si="76"/>
        <v>1</v>
      </c>
      <c r="K867" s="74" t="s">
        <v>204</v>
      </c>
      <c r="L867" s="97" t="s">
        <v>3836</v>
      </c>
      <c r="N867" s="76" t="s">
        <v>19</v>
      </c>
      <c r="Q867" s="76" t="s">
        <v>2109</v>
      </c>
      <c r="R867" s="73">
        <f t="shared" si="77"/>
        <v>1</v>
      </c>
      <c r="S867" s="260" t="s">
        <v>1976</v>
      </c>
      <c r="T867" s="260"/>
      <c r="U867" s="260"/>
      <c r="V867" s="260"/>
      <c r="W867" s="260"/>
      <c r="X867" s="260"/>
      <c r="Y867" s="565"/>
      <c r="Z867" s="565"/>
      <c r="AA867" s="566">
        <f t="shared" si="73"/>
        <v>0</v>
      </c>
      <c r="AB867" s="699"/>
    </row>
    <row r="868" spans="1:28" ht="15.75" customHeight="1" x14ac:dyDescent="0.3">
      <c r="A868" s="79" t="s">
        <v>3664</v>
      </c>
      <c r="C868" s="81">
        <v>43840</v>
      </c>
      <c r="D868" s="109">
        <v>43864</v>
      </c>
      <c r="E868" s="560"/>
      <c r="F868" s="86" t="s">
        <v>3665</v>
      </c>
      <c r="G868" s="86" t="s">
        <v>154</v>
      </c>
      <c r="H868" s="79" t="s">
        <v>213</v>
      </c>
      <c r="I868" s="97" t="s">
        <v>972</v>
      </c>
      <c r="J868" s="73">
        <f t="shared" si="76"/>
        <v>1</v>
      </c>
      <c r="K868" s="74" t="s">
        <v>204</v>
      </c>
      <c r="L868" s="97" t="s">
        <v>456</v>
      </c>
      <c r="N868" s="76" t="s">
        <v>17</v>
      </c>
      <c r="Q868" s="76" t="s">
        <v>2109</v>
      </c>
      <c r="R868" s="73">
        <f t="shared" si="77"/>
        <v>1</v>
      </c>
      <c r="S868" s="260" t="s">
        <v>1976</v>
      </c>
      <c r="T868" s="260"/>
      <c r="U868" s="260"/>
      <c r="V868" s="260"/>
      <c r="W868" s="260"/>
      <c r="X868" s="260"/>
      <c r="Y868" s="565"/>
      <c r="Z868" s="565"/>
      <c r="AA868" s="566">
        <f t="shared" si="73"/>
        <v>0</v>
      </c>
      <c r="AB868" s="699"/>
    </row>
    <row r="869" spans="1:28" ht="15.75" customHeight="1" x14ac:dyDescent="0.3">
      <c r="A869" s="96" t="s">
        <v>3666</v>
      </c>
      <c r="C869" s="81">
        <v>43840</v>
      </c>
      <c r="D869" s="109">
        <v>43864</v>
      </c>
      <c r="E869" s="560"/>
      <c r="F869" s="86" t="s">
        <v>3667</v>
      </c>
      <c r="G869" s="86" t="s">
        <v>152</v>
      </c>
      <c r="H869" s="79" t="s">
        <v>213</v>
      </c>
      <c r="I869" s="97" t="s">
        <v>972</v>
      </c>
      <c r="J869" s="73">
        <f t="shared" si="76"/>
        <v>1</v>
      </c>
      <c r="K869" s="74" t="s">
        <v>204</v>
      </c>
      <c r="L869" s="97" t="s">
        <v>456</v>
      </c>
      <c r="N869" s="76" t="s">
        <v>17</v>
      </c>
      <c r="Q869" s="76" t="s">
        <v>2109</v>
      </c>
      <c r="R869" s="73">
        <f t="shared" si="77"/>
        <v>1</v>
      </c>
      <c r="S869" s="260" t="s">
        <v>1976</v>
      </c>
      <c r="T869" s="260"/>
      <c r="U869" s="260"/>
      <c r="V869" s="260"/>
      <c r="W869" s="260"/>
      <c r="X869" s="260"/>
      <c r="Y869" s="565"/>
      <c r="Z869" s="565"/>
      <c r="AA869" s="566">
        <f t="shared" si="73"/>
        <v>0</v>
      </c>
      <c r="AB869" s="699"/>
    </row>
    <row r="870" spans="1:28" ht="15.75" customHeight="1" x14ac:dyDescent="0.3">
      <c r="A870" s="79" t="s">
        <v>3672</v>
      </c>
      <c r="C870" s="81">
        <v>43843</v>
      </c>
      <c r="D870" s="109">
        <v>43865</v>
      </c>
      <c r="E870" s="560"/>
      <c r="F870" s="86" t="s">
        <v>3673</v>
      </c>
      <c r="G870" s="86" t="s">
        <v>172</v>
      </c>
      <c r="H870" s="79" t="s">
        <v>213</v>
      </c>
      <c r="I870" s="97" t="s">
        <v>2478</v>
      </c>
      <c r="J870" s="73">
        <f t="shared" si="76"/>
        <v>1</v>
      </c>
      <c r="K870" s="74" t="s">
        <v>204</v>
      </c>
      <c r="L870" s="97" t="s">
        <v>3840</v>
      </c>
      <c r="N870" s="76" t="s">
        <v>19</v>
      </c>
      <c r="Q870" s="76" t="s">
        <v>2109</v>
      </c>
      <c r="R870" s="73">
        <f t="shared" si="77"/>
        <v>1</v>
      </c>
      <c r="S870" s="260" t="s">
        <v>1976</v>
      </c>
      <c r="T870" s="260"/>
      <c r="U870" s="260"/>
      <c r="V870" s="260"/>
      <c r="W870" s="260"/>
      <c r="X870" s="260"/>
      <c r="Y870" s="565"/>
      <c r="Z870" s="565"/>
      <c r="AA870" s="566">
        <f t="shared" si="73"/>
        <v>0</v>
      </c>
      <c r="AB870" s="699"/>
    </row>
    <row r="871" spans="1:28" ht="15.75" customHeight="1" x14ac:dyDescent="0.3">
      <c r="A871" s="79" t="s">
        <v>3682</v>
      </c>
      <c r="C871" s="81">
        <v>43845</v>
      </c>
      <c r="D871" s="109">
        <v>43867</v>
      </c>
      <c r="E871" s="560"/>
      <c r="F871" s="86" t="s">
        <v>3683</v>
      </c>
      <c r="G871" s="86" t="s">
        <v>164</v>
      </c>
      <c r="H871" s="79" t="s">
        <v>213</v>
      </c>
      <c r="I871" s="97" t="s">
        <v>657</v>
      </c>
      <c r="J871" s="73">
        <f t="shared" si="76"/>
        <v>1</v>
      </c>
      <c r="K871" s="74" t="s">
        <v>204</v>
      </c>
      <c r="L871" s="97" t="s">
        <v>3855</v>
      </c>
      <c r="N871" s="76" t="s">
        <v>17</v>
      </c>
      <c r="Q871" s="76" t="s">
        <v>2109</v>
      </c>
      <c r="R871" s="73">
        <f t="shared" si="77"/>
        <v>1</v>
      </c>
      <c r="S871" s="260" t="s">
        <v>1976</v>
      </c>
      <c r="T871" s="260"/>
      <c r="U871" s="260"/>
      <c r="V871" s="260"/>
      <c r="W871" s="260"/>
      <c r="X871" s="260"/>
      <c r="Y871" s="565"/>
      <c r="Z871" s="565"/>
      <c r="AA871" s="566">
        <f t="shared" si="73"/>
        <v>0</v>
      </c>
      <c r="AB871" s="699"/>
    </row>
    <row r="872" spans="1:28" ht="15.75" customHeight="1" x14ac:dyDescent="0.3">
      <c r="A872" s="79" t="s">
        <v>3684</v>
      </c>
      <c r="C872" s="81">
        <v>43845</v>
      </c>
      <c r="D872" s="109">
        <v>43867</v>
      </c>
      <c r="E872" s="560"/>
      <c r="F872" s="86" t="s">
        <v>3685</v>
      </c>
      <c r="G872" s="86" t="s">
        <v>154</v>
      </c>
      <c r="H872" s="79" t="s">
        <v>213</v>
      </c>
      <c r="I872" s="97" t="s">
        <v>995</v>
      </c>
      <c r="J872" s="73">
        <f t="shared" si="76"/>
        <v>1</v>
      </c>
      <c r="K872" s="74" t="s">
        <v>204</v>
      </c>
      <c r="L872" s="97" t="s">
        <v>3859</v>
      </c>
      <c r="N872" s="76" t="s">
        <v>19</v>
      </c>
      <c r="Q872" s="76" t="s">
        <v>2109</v>
      </c>
      <c r="R872" s="73">
        <f t="shared" si="77"/>
        <v>1</v>
      </c>
      <c r="S872" s="260" t="s">
        <v>1976</v>
      </c>
      <c r="T872" s="260"/>
      <c r="U872" s="260"/>
      <c r="V872" s="260"/>
      <c r="W872" s="260"/>
      <c r="X872" s="260"/>
      <c r="Y872" s="565"/>
      <c r="Z872" s="565"/>
      <c r="AA872" s="566">
        <f t="shared" si="73"/>
        <v>0</v>
      </c>
      <c r="AB872" s="699"/>
    </row>
    <row r="873" spans="1:28" ht="15.75" customHeight="1" x14ac:dyDescent="0.3">
      <c r="A873" s="79" t="s">
        <v>3688</v>
      </c>
      <c r="C873" s="81">
        <v>43845</v>
      </c>
      <c r="D873" s="109">
        <v>43867</v>
      </c>
      <c r="E873" s="560"/>
      <c r="F873" s="86" t="s">
        <v>3689</v>
      </c>
      <c r="G873" s="86" t="s">
        <v>158</v>
      </c>
      <c r="H873" s="79" t="s">
        <v>213</v>
      </c>
      <c r="I873" s="97" t="s">
        <v>649</v>
      </c>
      <c r="J873" s="73">
        <f t="shared" si="76"/>
        <v>1</v>
      </c>
      <c r="K873" s="74" t="s">
        <v>204</v>
      </c>
      <c r="N873" s="76" t="s">
        <v>17</v>
      </c>
      <c r="Q873" s="76" t="s">
        <v>2109</v>
      </c>
      <c r="R873" s="73">
        <f t="shared" si="77"/>
        <v>1</v>
      </c>
      <c r="S873" s="260" t="s">
        <v>1976</v>
      </c>
      <c r="T873" s="260"/>
      <c r="U873" s="260"/>
      <c r="V873" s="260"/>
      <c r="W873" s="260"/>
      <c r="X873" s="260"/>
      <c r="Y873" s="565"/>
      <c r="Z873" s="565"/>
      <c r="AA873" s="566">
        <f t="shared" si="73"/>
        <v>0</v>
      </c>
      <c r="AB873" s="699"/>
    </row>
    <row r="874" spans="1:28" ht="15.75" customHeight="1" x14ac:dyDescent="0.3">
      <c r="A874" s="79" t="s">
        <v>3694</v>
      </c>
      <c r="C874" s="81">
        <v>43846</v>
      </c>
      <c r="D874" s="109">
        <v>43868</v>
      </c>
      <c r="E874" s="560"/>
      <c r="F874" s="86" t="s">
        <v>3695</v>
      </c>
      <c r="G874" s="86" t="s">
        <v>152</v>
      </c>
      <c r="H874" s="79" t="s">
        <v>268</v>
      </c>
      <c r="I874" s="97" t="s">
        <v>649</v>
      </c>
      <c r="J874" s="73">
        <f t="shared" si="76"/>
        <v>1</v>
      </c>
      <c r="K874" s="74" t="s">
        <v>204</v>
      </c>
      <c r="L874" s="97" t="s">
        <v>4065</v>
      </c>
      <c r="N874" s="76" t="s">
        <v>18</v>
      </c>
      <c r="Q874" s="76" t="s">
        <v>2109</v>
      </c>
      <c r="R874" s="73">
        <f t="shared" si="77"/>
        <v>1</v>
      </c>
      <c r="S874" s="260" t="s">
        <v>1976</v>
      </c>
      <c r="T874" s="260"/>
      <c r="U874" s="260"/>
      <c r="V874" s="260"/>
      <c r="W874" s="260"/>
      <c r="X874" s="260"/>
      <c r="Y874" s="565"/>
      <c r="Z874" s="565"/>
      <c r="AA874" s="566">
        <f t="shared" ref="AA874:AA934" si="78">Z874-Y874</f>
        <v>0</v>
      </c>
      <c r="AB874" s="699"/>
    </row>
    <row r="875" spans="1:28" ht="15.75" customHeight="1" x14ac:dyDescent="0.3">
      <c r="A875" s="96" t="s">
        <v>3359</v>
      </c>
      <c r="C875" s="81">
        <v>43818</v>
      </c>
      <c r="D875" s="109">
        <v>43864</v>
      </c>
      <c r="E875" s="560"/>
      <c r="F875" s="86" t="s">
        <v>3360</v>
      </c>
      <c r="G875" s="86" t="s">
        <v>147</v>
      </c>
      <c r="H875" s="79" t="s">
        <v>213</v>
      </c>
      <c r="I875" s="97" t="s">
        <v>642</v>
      </c>
      <c r="J875" s="73">
        <f t="shared" si="76"/>
        <v>1</v>
      </c>
      <c r="K875" s="74" t="s">
        <v>204</v>
      </c>
      <c r="N875" s="76" t="s">
        <v>18</v>
      </c>
      <c r="Q875" s="76" t="s">
        <v>2142</v>
      </c>
      <c r="R875" s="73">
        <f t="shared" si="77"/>
        <v>1</v>
      </c>
      <c r="S875" s="260" t="s">
        <v>1976</v>
      </c>
      <c r="T875" s="260"/>
      <c r="U875" s="260"/>
      <c r="V875" s="260"/>
      <c r="W875" s="260"/>
      <c r="X875" s="260"/>
      <c r="Y875" s="565"/>
      <c r="Z875" s="565"/>
      <c r="AA875" s="566">
        <f t="shared" si="78"/>
        <v>0</v>
      </c>
      <c r="AB875" s="699"/>
    </row>
    <row r="876" spans="1:28" ht="15.75" customHeight="1" x14ac:dyDescent="0.3">
      <c r="A876" s="96" t="s">
        <v>3361</v>
      </c>
      <c r="C876" s="81">
        <v>43818</v>
      </c>
      <c r="D876" s="109">
        <v>43864</v>
      </c>
      <c r="E876" s="560"/>
      <c r="F876" s="86" t="s">
        <v>3362</v>
      </c>
      <c r="G876" s="86" t="s">
        <v>154</v>
      </c>
      <c r="H876" s="79" t="s">
        <v>213</v>
      </c>
      <c r="I876" s="97" t="s">
        <v>722</v>
      </c>
      <c r="J876" s="73">
        <f t="shared" si="76"/>
        <v>1</v>
      </c>
      <c r="K876" s="74" t="s">
        <v>204</v>
      </c>
      <c r="L876" s="97" t="s">
        <v>3800</v>
      </c>
      <c r="N876" s="76" t="s">
        <v>17</v>
      </c>
      <c r="Q876" s="76" t="s">
        <v>2142</v>
      </c>
      <c r="R876" s="73">
        <f t="shared" si="77"/>
        <v>1</v>
      </c>
      <c r="S876" s="260" t="s">
        <v>1976</v>
      </c>
      <c r="T876" s="260"/>
      <c r="U876" s="260"/>
      <c r="V876" s="260"/>
      <c r="W876" s="260"/>
      <c r="X876" s="260"/>
      <c r="Y876" s="565"/>
      <c r="Z876" s="565"/>
      <c r="AA876" s="566">
        <f t="shared" si="78"/>
        <v>0</v>
      </c>
      <c r="AB876" s="699"/>
    </row>
    <row r="877" spans="1:28" ht="15.75" customHeight="1" x14ac:dyDescent="0.3">
      <c r="A877" s="79" t="s">
        <v>3365</v>
      </c>
      <c r="C877" s="81">
        <v>43819</v>
      </c>
      <c r="D877" s="109">
        <v>43865</v>
      </c>
      <c r="E877" s="560"/>
      <c r="F877" s="86" t="s">
        <v>3366</v>
      </c>
      <c r="G877" s="86" t="s">
        <v>164</v>
      </c>
      <c r="H877" s="79" t="s">
        <v>213</v>
      </c>
      <c r="I877" s="97" t="s">
        <v>714</v>
      </c>
      <c r="J877" s="73">
        <f t="shared" si="76"/>
        <v>1</v>
      </c>
      <c r="K877" s="74" t="s">
        <v>204</v>
      </c>
      <c r="N877" s="76" t="s">
        <v>17</v>
      </c>
      <c r="Q877" s="76" t="s">
        <v>2142</v>
      </c>
      <c r="R877" s="73">
        <f t="shared" si="77"/>
        <v>1</v>
      </c>
      <c r="S877" s="260" t="s">
        <v>1976</v>
      </c>
      <c r="T877" s="260"/>
      <c r="U877" s="260"/>
      <c r="V877" s="260"/>
      <c r="W877" s="260"/>
      <c r="X877" s="260"/>
      <c r="Y877" s="565"/>
      <c r="Z877" s="565"/>
      <c r="AA877" s="566">
        <f t="shared" si="78"/>
        <v>0</v>
      </c>
      <c r="AB877" s="699"/>
    </row>
    <row r="878" spans="1:28" ht="15.75" customHeight="1" x14ac:dyDescent="0.3">
      <c r="A878" s="96" t="s">
        <v>3367</v>
      </c>
      <c r="C878" s="81">
        <v>43819</v>
      </c>
      <c r="D878" s="109">
        <v>43865</v>
      </c>
      <c r="E878" s="560"/>
      <c r="F878" s="86" t="s">
        <v>3368</v>
      </c>
      <c r="G878" s="86" t="s">
        <v>152</v>
      </c>
      <c r="H878" s="79" t="s">
        <v>213</v>
      </c>
      <c r="I878" s="97" t="s">
        <v>641</v>
      </c>
      <c r="J878" s="73">
        <f t="shared" si="76"/>
        <v>1</v>
      </c>
      <c r="K878" s="74" t="s">
        <v>204</v>
      </c>
      <c r="N878" s="76" t="s">
        <v>17</v>
      </c>
      <c r="Q878" s="76" t="s">
        <v>2142</v>
      </c>
      <c r="R878" s="73">
        <f t="shared" si="77"/>
        <v>1</v>
      </c>
      <c r="S878" s="260" t="s">
        <v>1976</v>
      </c>
      <c r="T878" s="260"/>
      <c r="U878" s="260"/>
      <c r="V878" s="260"/>
      <c r="W878" s="260"/>
      <c r="X878" s="260"/>
      <c r="Y878" s="565"/>
      <c r="Z878" s="565"/>
      <c r="AA878" s="566">
        <f t="shared" si="78"/>
        <v>0</v>
      </c>
      <c r="AB878" s="699"/>
    </row>
    <row r="879" spans="1:28" ht="15.75" customHeight="1" x14ac:dyDescent="0.3">
      <c r="A879" s="79" t="s">
        <v>3369</v>
      </c>
      <c r="C879" s="81">
        <v>43819</v>
      </c>
      <c r="D879" s="109">
        <v>43865</v>
      </c>
      <c r="E879" s="560"/>
      <c r="F879" s="86" t="s">
        <v>3370</v>
      </c>
      <c r="G879" s="86" t="s">
        <v>158</v>
      </c>
      <c r="H879" s="79" t="s">
        <v>213</v>
      </c>
      <c r="I879" s="97" t="s">
        <v>642</v>
      </c>
      <c r="J879" s="73">
        <f t="shared" si="76"/>
        <v>1</v>
      </c>
      <c r="K879" s="74" t="s">
        <v>204</v>
      </c>
      <c r="N879" s="76" t="s">
        <v>18</v>
      </c>
      <c r="Q879" s="76" t="s">
        <v>2142</v>
      </c>
      <c r="R879" s="73">
        <f t="shared" si="77"/>
        <v>1</v>
      </c>
      <c r="S879" s="260" t="s">
        <v>1976</v>
      </c>
      <c r="T879" s="260"/>
      <c r="U879" s="260"/>
      <c r="V879" s="260"/>
      <c r="W879" s="260"/>
      <c r="X879" s="260"/>
      <c r="Y879" s="565"/>
      <c r="Z879" s="565"/>
      <c r="AA879" s="566">
        <f t="shared" si="78"/>
        <v>0</v>
      </c>
      <c r="AB879" s="699"/>
    </row>
    <row r="880" spans="1:28" ht="15.75" customHeight="1" x14ac:dyDescent="0.3">
      <c r="A880" s="79" t="s">
        <v>3371</v>
      </c>
      <c r="C880" s="81">
        <v>43822</v>
      </c>
      <c r="D880" s="109">
        <v>43866</v>
      </c>
      <c r="E880" s="560"/>
      <c r="F880" s="86" t="s">
        <v>3372</v>
      </c>
      <c r="G880" s="86" t="s">
        <v>158</v>
      </c>
      <c r="H880" s="79" t="s">
        <v>213</v>
      </c>
      <c r="I880" s="97" t="s">
        <v>641</v>
      </c>
      <c r="J880" s="73">
        <f t="shared" si="76"/>
        <v>1</v>
      </c>
      <c r="K880" s="74" t="s">
        <v>204</v>
      </c>
      <c r="N880" s="76" t="s">
        <v>17</v>
      </c>
      <c r="Q880" s="76" t="s">
        <v>2142</v>
      </c>
      <c r="R880" s="73">
        <f t="shared" si="77"/>
        <v>1</v>
      </c>
      <c r="S880" s="260" t="s">
        <v>1976</v>
      </c>
      <c r="T880" s="260"/>
      <c r="U880" s="260"/>
      <c r="V880" s="260"/>
      <c r="W880" s="260"/>
      <c r="X880" s="260"/>
      <c r="Y880" s="565"/>
      <c r="Z880" s="565"/>
      <c r="AA880" s="566">
        <f t="shared" si="78"/>
        <v>0</v>
      </c>
      <c r="AB880" s="699"/>
    </row>
    <row r="881" spans="1:28" ht="15.75" customHeight="1" x14ac:dyDescent="0.3">
      <c r="A881" s="79" t="s">
        <v>3377</v>
      </c>
      <c r="C881" s="81">
        <v>43822</v>
      </c>
      <c r="D881" s="109">
        <v>43866</v>
      </c>
      <c r="E881" s="560"/>
      <c r="F881" s="86" t="s">
        <v>3378</v>
      </c>
      <c r="G881" s="86" t="s">
        <v>158</v>
      </c>
      <c r="H881" s="79" t="s">
        <v>213</v>
      </c>
      <c r="I881" s="97" t="s">
        <v>714</v>
      </c>
      <c r="J881" s="73">
        <f t="shared" si="76"/>
        <v>1</v>
      </c>
      <c r="K881" s="74" t="s">
        <v>204</v>
      </c>
      <c r="N881" s="76" t="s">
        <v>17</v>
      </c>
      <c r="Q881" s="76" t="s">
        <v>2142</v>
      </c>
      <c r="R881" s="73">
        <f t="shared" si="77"/>
        <v>1</v>
      </c>
      <c r="S881" s="260" t="s">
        <v>1976</v>
      </c>
      <c r="T881" s="260"/>
      <c r="U881" s="260"/>
      <c r="V881" s="260"/>
      <c r="W881" s="260"/>
      <c r="X881" s="260"/>
      <c r="Y881" s="565"/>
      <c r="Z881" s="565"/>
      <c r="AA881" s="566">
        <f t="shared" si="78"/>
        <v>0</v>
      </c>
      <c r="AB881" s="699"/>
    </row>
    <row r="882" spans="1:28" ht="15.75" customHeight="1" x14ac:dyDescent="0.3">
      <c r="A882" s="79" t="s">
        <v>3381</v>
      </c>
      <c r="C882" s="81">
        <v>43823</v>
      </c>
      <c r="D882" s="109">
        <v>43867</v>
      </c>
      <c r="E882" s="560"/>
      <c r="F882" s="86" t="s">
        <v>3382</v>
      </c>
      <c r="G882" s="86" t="s">
        <v>158</v>
      </c>
      <c r="H882" s="79" t="s">
        <v>213</v>
      </c>
      <c r="I882" s="97" t="s">
        <v>714</v>
      </c>
      <c r="J882" s="73">
        <f t="shared" si="76"/>
        <v>1</v>
      </c>
      <c r="K882" s="74" t="s">
        <v>204</v>
      </c>
      <c r="L882" s="97" t="s">
        <v>3860</v>
      </c>
      <c r="N882" s="76" t="s">
        <v>17</v>
      </c>
      <c r="Q882" s="76" t="s">
        <v>2142</v>
      </c>
      <c r="R882" s="73">
        <f t="shared" si="77"/>
        <v>1</v>
      </c>
      <c r="S882" s="260" t="s">
        <v>1976</v>
      </c>
      <c r="T882" s="260"/>
      <c r="U882" s="260"/>
      <c r="V882" s="260"/>
      <c r="W882" s="260"/>
      <c r="X882" s="260"/>
      <c r="Y882" s="565"/>
      <c r="Z882" s="565"/>
      <c r="AA882" s="566">
        <f t="shared" si="78"/>
        <v>0</v>
      </c>
      <c r="AB882" s="699"/>
    </row>
    <row r="883" spans="1:28" ht="15.75" customHeight="1" x14ac:dyDescent="0.3">
      <c r="A883" s="79" t="s">
        <v>3383</v>
      </c>
      <c r="C883" s="81">
        <v>43823</v>
      </c>
      <c r="D883" s="109">
        <v>43867</v>
      </c>
      <c r="E883" s="560"/>
      <c r="F883" s="86" t="s">
        <v>3384</v>
      </c>
      <c r="G883" s="86" t="s">
        <v>158</v>
      </c>
      <c r="H883" s="79" t="s">
        <v>213</v>
      </c>
      <c r="I883" s="97" t="s">
        <v>714</v>
      </c>
      <c r="J883" s="73">
        <f t="shared" si="76"/>
        <v>1</v>
      </c>
      <c r="K883" s="74" t="s">
        <v>204</v>
      </c>
      <c r="N883" s="76" t="s">
        <v>18</v>
      </c>
      <c r="Q883" s="76" t="s">
        <v>2142</v>
      </c>
      <c r="R883" s="73">
        <f t="shared" si="77"/>
        <v>1</v>
      </c>
      <c r="S883" s="260" t="s">
        <v>1976</v>
      </c>
      <c r="T883" s="260"/>
      <c r="U883" s="260"/>
      <c r="V883" s="260"/>
      <c r="W883" s="260"/>
      <c r="X883" s="260"/>
      <c r="Y883" s="565"/>
      <c r="Z883" s="565"/>
      <c r="AA883" s="566">
        <f t="shared" si="78"/>
        <v>0</v>
      </c>
      <c r="AB883" s="699"/>
    </row>
    <row r="884" spans="1:28" ht="15.75" customHeight="1" x14ac:dyDescent="0.3">
      <c r="A884" s="79" t="s">
        <v>3387</v>
      </c>
      <c r="C884" s="81">
        <v>43824</v>
      </c>
      <c r="D884" s="109">
        <v>43868</v>
      </c>
      <c r="E884" s="560"/>
      <c r="F884" s="86" t="s">
        <v>3388</v>
      </c>
      <c r="G884" s="86" t="s">
        <v>154</v>
      </c>
      <c r="H884" s="79" t="s">
        <v>213</v>
      </c>
      <c r="I884" s="97" t="s">
        <v>722</v>
      </c>
      <c r="J884" s="73">
        <f t="shared" ref="J884:J903" si="79">IF(OR(K884="Документы готовы",K884="Запрос в ФО",K884="ЭЗ",K884="РЕШ",K884="РЕШ шаблон"),0.1,IF(OR(K884="ЭЗ согласование",K884="РЕШ согласование"),0.3,IF(OR(K884="ЭЗ согласовано",K884="РЕШ согласовано",K884="РЕШ подписано"),0.6,IF(OR(K884="ЭЗ ПР согласование",K884="РЕШ УВ согласование"),0.9,IF(OR(K884="ЭЗ ПР DONE",K884="РЕШ УВ DONE"),1,0)))))</f>
        <v>1</v>
      </c>
      <c r="K884" s="74" t="s">
        <v>204</v>
      </c>
      <c r="L884" s="97" t="s">
        <v>3853</v>
      </c>
      <c r="N884" s="76" t="s">
        <v>17</v>
      </c>
      <c r="Q884" s="76" t="s">
        <v>2142</v>
      </c>
      <c r="R884" s="73">
        <f t="shared" si="77"/>
        <v>1</v>
      </c>
      <c r="S884" s="260" t="s">
        <v>1976</v>
      </c>
      <c r="T884" s="260"/>
      <c r="U884" s="260"/>
      <c r="V884" s="260"/>
      <c r="W884" s="260"/>
      <c r="X884" s="260"/>
      <c r="Y884" s="565"/>
      <c r="Z884" s="565"/>
      <c r="AA884" s="566">
        <f t="shared" si="78"/>
        <v>0</v>
      </c>
      <c r="AB884" s="699"/>
    </row>
    <row r="885" spans="1:28" ht="15.75" customHeight="1" x14ac:dyDescent="0.3">
      <c r="A885" s="96" t="s">
        <v>3698</v>
      </c>
      <c r="C885" s="81">
        <v>43840</v>
      </c>
      <c r="D885" s="109">
        <v>43864</v>
      </c>
      <c r="E885" s="560"/>
      <c r="F885" s="86" t="s">
        <v>3699</v>
      </c>
      <c r="G885" s="86" t="s">
        <v>150</v>
      </c>
      <c r="H885" s="79" t="s">
        <v>213</v>
      </c>
      <c r="I885" s="97" t="s">
        <v>3801</v>
      </c>
      <c r="J885" s="73">
        <f t="shared" si="79"/>
        <v>1</v>
      </c>
      <c r="K885" s="74" t="s">
        <v>204</v>
      </c>
      <c r="N885" s="76" t="s">
        <v>19</v>
      </c>
      <c r="Q885" s="76" t="s">
        <v>2142</v>
      </c>
      <c r="R885" s="73">
        <f t="shared" ref="R885:R903" si="80">IF(S885="В работе",0.3,IF(S885="Отписано",0.6,IF(S885="На доработку",0.9,IF(S885="Согласовано",1,0))))</f>
        <v>1</v>
      </c>
      <c r="S885" s="260" t="s">
        <v>1976</v>
      </c>
      <c r="T885" s="260"/>
      <c r="U885" s="260"/>
      <c r="V885" s="260"/>
      <c r="W885" s="260"/>
      <c r="X885" s="260"/>
      <c r="Y885" s="565"/>
      <c r="Z885" s="565"/>
      <c r="AA885" s="566">
        <f t="shared" si="78"/>
        <v>0</v>
      </c>
      <c r="AB885" s="699"/>
    </row>
    <row r="886" spans="1:28" ht="15.75" customHeight="1" x14ac:dyDescent="0.3">
      <c r="A886" s="96" t="s">
        <v>3700</v>
      </c>
      <c r="C886" s="81">
        <v>43840</v>
      </c>
      <c r="D886" s="109">
        <v>43864</v>
      </c>
      <c r="E886" s="560"/>
      <c r="F886" s="86" t="s">
        <v>3701</v>
      </c>
      <c r="G886" s="86" t="s">
        <v>156</v>
      </c>
      <c r="H886" s="79" t="s">
        <v>213</v>
      </c>
      <c r="I886" s="97" t="s">
        <v>995</v>
      </c>
      <c r="J886" s="73">
        <f t="shared" si="79"/>
        <v>1</v>
      </c>
      <c r="K886" s="74" t="s">
        <v>204</v>
      </c>
      <c r="N886" s="76" t="s">
        <v>19</v>
      </c>
      <c r="Q886" s="76" t="s">
        <v>2142</v>
      </c>
      <c r="R886" s="73">
        <f t="shared" si="80"/>
        <v>1</v>
      </c>
      <c r="S886" s="260" t="s">
        <v>1976</v>
      </c>
      <c r="T886" s="260"/>
      <c r="U886" s="260"/>
      <c r="V886" s="260"/>
      <c r="W886" s="260"/>
      <c r="X886" s="260"/>
      <c r="Y886" s="565"/>
      <c r="Z886" s="565"/>
      <c r="AA886" s="566">
        <f t="shared" si="78"/>
        <v>0</v>
      </c>
      <c r="AB886" s="699"/>
    </row>
    <row r="887" spans="1:28" ht="15.75" customHeight="1" x14ac:dyDescent="0.3">
      <c r="A887" s="96" t="s">
        <v>3702</v>
      </c>
      <c r="C887" s="81">
        <v>43840</v>
      </c>
      <c r="D887" s="109">
        <v>43864</v>
      </c>
      <c r="E887" s="560"/>
      <c r="F887" s="86" t="s">
        <v>3703</v>
      </c>
      <c r="G887" s="86" t="s">
        <v>158</v>
      </c>
      <c r="H887" s="79" t="s">
        <v>213</v>
      </c>
      <c r="I887" s="97" t="s">
        <v>649</v>
      </c>
      <c r="J887" s="73">
        <f t="shared" si="79"/>
        <v>1</v>
      </c>
      <c r="K887" s="74" t="s">
        <v>204</v>
      </c>
      <c r="N887" s="76" t="s">
        <v>17</v>
      </c>
      <c r="Q887" s="76" t="s">
        <v>2142</v>
      </c>
      <c r="R887" s="73">
        <f t="shared" si="80"/>
        <v>1</v>
      </c>
      <c r="S887" s="260" t="s">
        <v>1976</v>
      </c>
      <c r="T887" s="260"/>
      <c r="U887" s="260"/>
      <c r="V887" s="260"/>
      <c r="W887" s="260"/>
      <c r="X887" s="260"/>
      <c r="Y887" s="565"/>
      <c r="Z887" s="565"/>
      <c r="AA887" s="566">
        <f t="shared" si="78"/>
        <v>0</v>
      </c>
      <c r="AB887" s="699"/>
    </row>
    <row r="888" spans="1:28" ht="15.75" customHeight="1" x14ac:dyDescent="0.3">
      <c r="A888" s="79" t="s">
        <v>3704</v>
      </c>
      <c r="C888" s="81">
        <v>43840</v>
      </c>
      <c r="D888" s="109">
        <v>43864</v>
      </c>
      <c r="E888" s="560"/>
      <c r="F888" s="86" t="s">
        <v>3705</v>
      </c>
      <c r="G888" s="86" t="s">
        <v>152</v>
      </c>
      <c r="H888" s="79" t="s">
        <v>213</v>
      </c>
      <c r="I888" s="97" t="s">
        <v>649</v>
      </c>
      <c r="J888" s="73">
        <f t="shared" si="79"/>
        <v>1</v>
      </c>
      <c r="K888" s="74" t="s">
        <v>204</v>
      </c>
      <c r="N888" s="76" t="s">
        <v>18</v>
      </c>
      <c r="Q888" s="76" t="s">
        <v>2142</v>
      </c>
      <c r="R888" s="73">
        <f t="shared" si="80"/>
        <v>1</v>
      </c>
      <c r="S888" s="260" t="s">
        <v>1976</v>
      </c>
      <c r="T888" s="260"/>
      <c r="U888" s="260"/>
      <c r="V888" s="260"/>
      <c r="W888" s="260"/>
      <c r="X888" s="260"/>
      <c r="Y888" s="565"/>
      <c r="Z888" s="565"/>
      <c r="AA888" s="566">
        <f t="shared" si="78"/>
        <v>0</v>
      </c>
      <c r="AB888" s="699"/>
    </row>
    <row r="889" spans="1:28" ht="15.75" customHeight="1" x14ac:dyDescent="0.3">
      <c r="A889" s="96" t="s">
        <v>3710</v>
      </c>
      <c r="C889" s="81">
        <v>43843</v>
      </c>
      <c r="D889" s="109">
        <v>43865</v>
      </c>
      <c r="E889" s="560"/>
      <c r="F889" s="86" t="s">
        <v>3711</v>
      </c>
      <c r="G889" s="86" t="s">
        <v>152</v>
      </c>
      <c r="H889" s="79" t="s">
        <v>213</v>
      </c>
      <c r="I889" s="97" t="s">
        <v>649</v>
      </c>
      <c r="J889" s="73">
        <f t="shared" si="79"/>
        <v>1</v>
      </c>
      <c r="K889" s="74" t="s">
        <v>204</v>
      </c>
      <c r="N889" s="76" t="s">
        <v>17</v>
      </c>
      <c r="Q889" s="76" t="s">
        <v>2142</v>
      </c>
      <c r="R889" s="73">
        <f t="shared" si="80"/>
        <v>1</v>
      </c>
      <c r="S889" s="260" t="s">
        <v>1976</v>
      </c>
      <c r="T889" s="260"/>
      <c r="U889" s="260"/>
      <c r="V889" s="260"/>
      <c r="W889" s="260"/>
      <c r="X889" s="260"/>
      <c r="Y889" s="565"/>
      <c r="Z889" s="565"/>
      <c r="AA889" s="566">
        <f t="shared" si="78"/>
        <v>0</v>
      </c>
      <c r="AB889" s="699"/>
    </row>
    <row r="890" spans="1:28" ht="15.75" customHeight="1" x14ac:dyDescent="0.3">
      <c r="A890" s="79" t="s">
        <v>3712</v>
      </c>
      <c r="C890" s="81">
        <v>43844</v>
      </c>
      <c r="D890" s="109">
        <v>43866</v>
      </c>
      <c r="E890" s="560"/>
      <c r="F890" s="86" t="s">
        <v>3713</v>
      </c>
      <c r="G890" s="86" t="s">
        <v>152</v>
      </c>
      <c r="H890" s="79" t="s">
        <v>213</v>
      </c>
      <c r="I890" s="97" t="s">
        <v>2478</v>
      </c>
      <c r="J890" s="73">
        <f t="shared" si="79"/>
        <v>1</v>
      </c>
      <c r="K890" s="74" t="s">
        <v>204</v>
      </c>
      <c r="N890" s="76" t="s">
        <v>18</v>
      </c>
      <c r="Q890" s="76" t="s">
        <v>2142</v>
      </c>
      <c r="R890" s="73">
        <f t="shared" si="80"/>
        <v>1</v>
      </c>
      <c r="S890" s="260" t="s">
        <v>1976</v>
      </c>
      <c r="T890" s="260"/>
      <c r="U890" s="260"/>
      <c r="V890" s="260"/>
      <c r="W890" s="260"/>
      <c r="X890" s="260"/>
      <c r="Y890" s="565"/>
      <c r="Z890" s="565"/>
      <c r="AA890" s="566">
        <f t="shared" si="78"/>
        <v>0</v>
      </c>
      <c r="AB890" s="699"/>
    </row>
    <row r="891" spans="1:28" ht="15.75" customHeight="1" x14ac:dyDescent="0.3">
      <c r="A891" s="79" t="s">
        <v>3716</v>
      </c>
      <c r="C891" s="81">
        <v>43844</v>
      </c>
      <c r="D891" s="109">
        <v>43866</v>
      </c>
      <c r="E891" s="560"/>
      <c r="F891" s="86" t="s">
        <v>3717</v>
      </c>
      <c r="G891" s="86" t="s">
        <v>175</v>
      </c>
      <c r="H891" s="79" t="s">
        <v>213</v>
      </c>
      <c r="I891" s="97" t="s">
        <v>658</v>
      </c>
      <c r="J891" s="73">
        <f t="shared" si="79"/>
        <v>1</v>
      </c>
      <c r="K891" s="74" t="s">
        <v>204</v>
      </c>
      <c r="L891" s="97" t="s">
        <v>3847</v>
      </c>
      <c r="N891" s="76" t="s">
        <v>17</v>
      </c>
      <c r="Q891" s="76" t="s">
        <v>2142</v>
      </c>
      <c r="R891" s="73">
        <f t="shared" si="80"/>
        <v>1</v>
      </c>
      <c r="S891" s="260" t="s">
        <v>1976</v>
      </c>
      <c r="T891" s="260"/>
      <c r="U891" s="260"/>
      <c r="V891" s="260"/>
      <c r="W891" s="260"/>
      <c r="X891" s="260"/>
      <c r="Y891" s="565"/>
      <c r="Z891" s="565"/>
      <c r="AA891" s="566">
        <f t="shared" si="78"/>
        <v>0</v>
      </c>
      <c r="AB891" s="699"/>
    </row>
    <row r="892" spans="1:28" ht="15.75" customHeight="1" x14ac:dyDescent="0.3">
      <c r="A892" s="79" t="s">
        <v>3720</v>
      </c>
      <c r="C892" s="81">
        <v>43844</v>
      </c>
      <c r="D892" s="109">
        <v>43866</v>
      </c>
      <c r="E892" s="560"/>
      <c r="F892" s="86" t="s">
        <v>3721</v>
      </c>
      <c r="G892" s="86" t="s">
        <v>152</v>
      </c>
      <c r="H892" s="79" t="s">
        <v>213</v>
      </c>
      <c r="I892" s="97" t="s">
        <v>649</v>
      </c>
      <c r="J892" s="73">
        <f t="shared" si="79"/>
        <v>1</v>
      </c>
      <c r="K892" s="74" t="s">
        <v>204</v>
      </c>
      <c r="L892" s="97" t="s">
        <v>3848</v>
      </c>
      <c r="N892" s="76" t="s">
        <v>17</v>
      </c>
      <c r="Q892" s="76" t="s">
        <v>2142</v>
      </c>
      <c r="R892" s="73">
        <f t="shared" si="80"/>
        <v>1</v>
      </c>
      <c r="S892" s="260" t="s">
        <v>1976</v>
      </c>
      <c r="T892" s="260"/>
      <c r="U892" s="260"/>
      <c r="V892" s="260"/>
      <c r="W892" s="260"/>
      <c r="X892" s="260"/>
      <c r="Y892" s="565"/>
      <c r="Z892" s="565"/>
      <c r="AA892" s="566">
        <f t="shared" si="78"/>
        <v>0</v>
      </c>
      <c r="AB892" s="699"/>
    </row>
    <row r="893" spans="1:28" ht="15.75" customHeight="1" x14ac:dyDescent="0.3">
      <c r="A893" s="79" t="s">
        <v>3734</v>
      </c>
      <c r="C893" s="81">
        <v>43846</v>
      </c>
      <c r="D893" s="109">
        <v>43868</v>
      </c>
      <c r="E893" s="560"/>
      <c r="F893" s="252" t="s">
        <v>3735</v>
      </c>
      <c r="G893" s="86" t="s">
        <v>150</v>
      </c>
      <c r="H893" s="79" t="s">
        <v>213</v>
      </c>
      <c r="I893" s="97" t="s">
        <v>722</v>
      </c>
      <c r="J893" s="73">
        <f t="shared" si="79"/>
        <v>1</v>
      </c>
      <c r="K893" s="74" t="s">
        <v>204</v>
      </c>
      <c r="N893" s="76" t="s">
        <v>18</v>
      </c>
      <c r="Q893" s="76" t="s">
        <v>2142</v>
      </c>
      <c r="R893" s="73">
        <f t="shared" si="80"/>
        <v>1</v>
      </c>
      <c r="S893" s="260" t="s">
        <v>1976</v>
      </c>
      <c r="T893" s="260"/>
      <c r="U893" s="260"/>
      <c r="V893" s="260"/>
      <c r="W893" s="260"/>
      <c r="X893" s="260"/>
      <c r="Y893" s="565"/>
      <c r="Z893" s="565"/>
      <c r="AA893" s="566">
        <f t="shared" si="78"/>
        <v>0</v>
      </c>
      <c r="AB893" s="699"/>
    </row>
    <row r="894" spans="1:28" ht="15.75" customHeight="1" x14ac:dyDescent="0.3">
      <c r="A894" s="96" t="s">
        <v>3736</v>
      </c>
      <c r="C894" s="81">
        <v>43808</v>
      </c>
      <c r="D894" s="109">
        <v>43866</v>
      </c>
      <c r="E894" s="560"/>
      <c r="F894" s="86" t="s">
        <v>3737</v>
      </c>
      <c r="G894" s="86" t="s">
        <v>152</v>
      </c>
      <c r="H894" s="79" t="s">
        <v>213</v>
      </c>
      <c r="I894" s="97" t="s">
        <v>714</v>
      </c>
      <c r="J894" s="73">
        <f t="shared" si="79"/>
        <v>1</v>
      </c>
      <c r="K894" s="74" t="s">
        <v>204</v>
      </c>
      <c r="L894" s="97" t="s">
        <v>3838</v>
      </c>
      <c r="N894" s="76" t="s">
        <v>17</v>
      </c>
      <c r="Q894" s="76" t="s">
        <v>2037</v>
      </c>
      <c r="R894" s="73">
        <f t="shared" si="80"/>
        <v>1</v>
      </c>
      <c r="S894" s="260" t="s">
        <v>1976</v>
      </c>
      <c r="T894" s="260"/>
      <c r="U894" s="260"/>
      <c r="V894" s="260"/>
      <c r="W894" s="260"/>
      <c r="X894" s="260"/>
      <c r="Y894" s="565"/>
      <c r="Z894" s="565"/>
      <c r="AA894" s="566">
        <f t="shared" si="78"/>
        <v>0</v>
      </c>
      <c r="AB894" s="699"/>
    </row>
    <row r="895" spans="1:28" ht="15.75" customHeight="1" x14ac:dyDescent="0.3">
      <c r="A895" s="96" t="s">
        <v>3738</v>
      </c>
      <c r="C895" s="81">
        <v>43811</v>
      </c>
      <c r="D895" s="109">
        <v>43864</v>
      </c>
      <c r="E895" s="560"/>
      <c r="F895" s="86" t="s">
        <v>3265</v>
      </c>
      <c r="G895" s="86" t="s">
        <v>147</v>
      </c>
      <c r="H895" s="79" t="s">
        <v>213</v>
      </c>
      <c r="I895" s="97" t="s">
        <v>1113</v>
      </c>
      <c r="J895" s="73">
        <f t="shared" si="79"/>
        <v>1</v>
      </c>
      <c r="K895" s="74" t="s">
        <v>204</v>
      </c>
      <c r="N895" s="76" t="s">
        <v>18</v>
      </c>
      <c r="Q895" s="76" t="s">
        <v>2037</v>
      </c>
      <c r="R895" s="73">
        <f t="shared" si="80"/>
        <v>1</v>
      </c>
      <c r="S895" s="260" t="s">
        <v>1976</v>
      </c>
      <c r="T895" s="260"/>
      <c r="U895" s="260"/>
      <c r="V895" s="260"/>
      <c r="W895" s="260"/>
      <c r="X895" s="260"/>
      <c r="Y895" s="565"/>
      <c r="Z895" s="565"/>
      <c r="AA895" s="566">
        <f t="shared" si="78"/>
        <v>0</v>
      </c>
      <c r="AB895" s="699"/>
    </row>
    <row r="896" spans="1:28" ht="15.75" customHeight="1" x14ac:dyDescent="0.3">
      <c r="A896" s="96" t="s">
        <v>3272</v>
      </c>
      <c r="C896" s="81">
        <v>43819</v>
      </c>
      <c r="D896" s="109">
        <v>43864</v>
      </c>
      <c r="E896" s="560"/>
      <c r="F896" s="86" t="s">
        <v>3273</v>
      </c>
      <c r="G896" s="86" t="s">
        <v>158</v>
      </c>
      <c r="H896" s="79" t="s">
        <v>213</v>
      </c>
      <c r="J896" s="73">
        <f t="shared" si="79"/>
        <v>1</v>
      </c>
      <c r="K896" s="74" t="s">
        <v>204</v>
      </c>
      <c r="N896" s="76" t="s">
        <v>17</v>
      </c>
      <c r="Q896" s="76" t="s">
        <v>2037</v>
      </c>
      <c r="R896" s="73">
        <f t="shared" si="80"/>
        <v>1</v>
      </c>
      <c r="S896" s="260" t="s">
        <v>1976</v>
      </c>
      <c r="T896" s="260"/>
      <c r="U896" s="260"/>
      <c r="V896" s="260"/>
      <c r="W896" s="260"/>
      <c r="X896" s="260"/>
      <c r="Y896" s="565"/>
      <c r="Z896" s="565"/>
      <c r="AA896" s="566">
        <f t="shared" si="78"/>
        <v>0</v>
      </c>
      <c r="AB896" s="699"/>
    </row>
    <row r="897" spans="1:28" ht="15.75" customHeight="1" x14ac:dyDescent="0.3">
      <c r="A897" s="96" t="s">
        <v>3278</v>
      </c>
      <c r="C897" s="81">
        <v>43822</v>
      </c>
      <c r="D897" s="109">
        <v>43865</v>
      </c>
      <c r="E897" s="560"/>
      <c r="F897" s="86" t="s">
        <v>3279</v>
      </c>
      <c r="G897" s="86" t="s">
        <v>3280</v>
      </c>
      <c r="H897" s="79" t="s">
        <v>213</v>
      </c>
      <c r="I897" s="97" t="s">
        <v>714</v>
      </c>
      <c r="J897" s="73">
        <f t="shared" si="79"/>
        <v>1</v>
      </c>
      <c r="K897" s="74" t="s">
        <v>204</v>
      </c>
      <c r="N897" s="76" t="s">
        <v>18</v>
      </c>
      <c r="Q897" s="76" t="s">
        <v>2037</v>
      </c>
      <c r="R897" s="73">
        <f t="shared" si="80"/>
        <v>1</v>
      </c>
      <c r="S897" s="260" t="s">
        <v>1976</v>
      </c>
      <c r="T897" s="260"/>
      <c r="U897" s="260"/>
      <c r="V897" s="260"/>
      <c r="W897" s="260"/>
      <c r="X897" s="260"/>
      <c r="Y897" s="565"/>
      <c r="Z897" s="565"/>
      <c r="AA897" s="566">
        <f t="shared" si="78"/>
        <v>0</v>
      </c>
      <c r="AB897" s="699"/>
    </row>
    <row r="898" spans="1:28" ht="15.75" customHeight="1" x14ac:dyDescent="0.3">
      <c r="A898" s="96" t="s">
        <v>3283</v>
      </c>
      <c r="C898" s="81">
        <v>43822</v>
      </c>
      <c r="D898" s="109">
        <v>43865</v>
      </c>
      <c r="E898" s="560"/>
      <c r="F898" s="86" t="s">
        <v>3284</v>
      </c>
      <c r="G898" s="86" t="s">
        <v>152</v>
      </c>
      <c r="H898" s="79" t="s">
        <v>213</v>
      </c>
      <c r="I898" s="97" t="s">
        <v>1299</v>
      </c>
      <c r="J898" s="73">
        <f t="shared" si="79"/>
        <v>1</v>
      </c>
      <c r="K898" s="74" t="s">
        <v>204</v>
      </c>
      <c r="N898" s="76" t="s">
        <v>17</v>
      </c>
      <c r="Q898" s="76" t="s">
        <v>2037</v>
      </c>
      <c r="R898" s="73">
        <f t="shared" si="80"/>
        <v>1</v>
      </c>
      <c r="S898" s="260" t="s">
        <v>1976</v>
      </c>
      <c r="T898" s="260"/>
      <c r="U898" s="260"/>
      <c r="V898" s="260"/>
      <c r="W898" s="260"/>
      <c r="X898" s="260"/>
      <c r="Y898" s="565"/>
      <c r="Z898" s="565"/>
      <c r="AA898" s="566">
        <f t="shared" si="78"/>
        <v>0</v>
      </c>
      <c r="AB898" s="699"/>
    </row>
    <row r="899" spans="1:28" ht="15.75" customHeight="1" x14ac:dyDescent="0.3">
      <c r="A899" s="96" t="s">
        <v>3739</v>
      </c>
      <c r="C899" s="81">
        <v>43822</v>
      </c>
      <c r="D899" s="109">
        <v>43866</v>
      </c>
      <c r="E899" s="560"/>
      <c r="F899" s="86" t="s">
        <v>3740</v>
      </c>
      <c r="G899" s="86" t="s">
        <v>2104</v>
      </c>
      <c r="H899" s="79" t="s">
        <v>213</v>
      </c>
      <c r="I899" s="97" t="s">
        <v>714</v>
      </c>
      <c r="J899" s="73">
        <f t="shared" si="79"/>
        <v>1</v>
      </c>
      <c r="K899" s="74" t="s">
        <v>204</v>
      </c>
      <c r="N899" s="76" t="s">
        <v>18</v>
      </c>
      <c r="Q899" s="76" t="s">
        <v>2037</v>
      </c>
      <c r="R899" s="73">
        <f t="shared" si="80"/>
        <v>1</v>
      </c>
      <c r="S899" s="260" t="s">
        <v>1976</v>
      </c>
      <c r="T899" s="260"/>
      <c r="U899" s="260"/>
      <c r="V899" s="260"/>
      <c r="W899" s="260"/>
      <c r="X899" s="260"/>
      <c r="Y899" s="565"/>
      <c r="Z899" s="565"/>
      <c r="AA899" s="566">
        <f t="shared" si="78"/>
        <v>0</v>
      </c>
      <c r="AB899" s="699"/>
    </row>
    <row r="900" spans="1:28" ht="15.75" customHeight="1" x14ac:dyDescent="0.3">
      <c r="A900" s="79" t="s">
        <v>3295</v>
      </c>
      <c r="C900" s="81">
        <v>43824</v>
      </c>
      <c r="D900" s="109">
        <v>43867</v>
      </c>
      <c r="E900" s="560"/>
      <c r="F900" s="86" t="s">
        <v>3296</v>
      </c>
      <c r="G900" s="86" t="s">
        <v>156</v>
      </c>
      <c r="H900" s="79" t="s">
        <v>213</v>
      </c>
      <c r="I900" s="86">
        <v>400000</v>
      </c>
      <c r="J900" s="73">
        <f t="shared" si="79"/>
        <v>1</v>
      </c>
      <c r="K900" s="74" t="s">
        <v>204</v>
      </c>
      <c r="L900" s="97" t="s">
        <v>3861</v>
      </c>
      <c r="N900" s="76" t="s">
        <v>17</v>
      </c>
      <c r="Q900" s="76" t="s">
        <v>2037</v>
      </c>
      <c r="R900" s="73">
        <f t="shared" si="80"/>
        <v>1</v>
      </c>
      <c r="S900" s="260" t="s">
        <v>1976</v>
      </c>
      <c r="T900" s="260"/>
      <c r="U900" s="260"/>
      <c r="V900" s="260"/>
      <c r="W900" s="260"/>
      <c r="X900" s="260"/>
      <c r="Y900" s="565"/>
      <c r="Z900" s="565"/>
      <c r="AA900" s="566">
        <f t="shared" si="78"/>
        <v>0</v>
      </c>
      <c r="AB900" s="699"/>
    </row>
    <row r="901" spans="1:28" ht="15.75" customHeight="1" x14ac:dyDescent="0.3">
      <c r="A901" s="79" t="s">
        <v>3297</v>
      </c>
      <c r="C901" s="81">
        <v>43824</v>
      </c>
      <c r="D901" s="109">
        <v>43867</v>
      </c>
      <c r="E901" s="560"/>
      <c r="F901" s="86" t="s">
        <v>3298</v>
      </c>
      <c r="G901" s="86" t="s">
        <v>147</v>
      </c>
      <c r="H901" s="79" t="s">
        <v>213</v>
      </c>
      <c r="I901" s="97" t="s">
        <v>641</v>
      </c>
      <c r="J901" s="73">
        <f t="shared" si="79"/>
        <v>1</v>
      </c>
      <c r="K901" s="74" t="s">
        <v>204</v>
      </c>
      <c r="N901" s="76" t="s">
        <v>17</v>
      </c>
      <c r="Q901" s="76" t="s">
        <v>2037</v>
      </c>
      <c r="R901" s="73">
        <f t="shared" si="80"/>
        <v>1</v>
      </c>
      <c r="S901" s="260" t="s">
        <v>1976</v>
      </c>
      <c r="T901" s="260"/>
      <c r="U901" s="260"/>
      <c r="V901" s="260"/>
      <c r="W901" s="260"/>
      <c r="X901" s="260"/>
      <c r="Y901" s="565"/>
      <c r="Z901" s="565"/>
      <c r="AA901" s="566">
        <f t="shared" si="78"/>
        <v>0</v>
      </c>
      <c r="AB901" s="699"/>
    </row>
    <row r="902" spans="1:28" ht="15.75" customHeight="1" x14ac:dyDescent="0.3">
      <c r="A902" s="79" t="s">
        <v>3301</v>
      </c>
      <c r="C902" s="81">
        <v>43824</v>
      </c>
      <c r="D902" s="109">
        <v>43868</v>
      </c>
      <c r="E902" s="560"/>
      <c r="F902" s="86" t="s">
        <v>3302</v>
      </c>
      <c r="G902" s="86" t="s">
        <v>166</v>
      </c>
      <c r="H902" s="79" t="s">
        <v>213</v>
      </c>
      <c r="I902" s="97" t="s">
        <v>645</v>
      </c>
      <c r="J902" s="73">
        <f t="shared" si="79"/>
        <v>1</v>
      </c>
      <c r="K902" s="74" t="s">
        <v>204</v>
      </c>
      <c r="N902" s="76" t="s">
        <v>17</v>
      </c>
      <c r="Q902" s="76" t="s">
        <v>2037</v>
      </c>
      <c r="R902" s="73">
        <f t="shared" si="80"/>
        <v>1</v>
      </c>
      <c r="S902" s="260" t="s">
        <v>1976</v>
      </c>
      <c r="T902" s="260"/>
      <c r="U902" s="260"/>
      <c r="V902" s="260"/>
      <c r="W902" s="260"/>
      <c r="X902" s="260"/>
      <c r="Y902" s="565"/>
      <c r="Z902" s="565"/>
      <c r="AA902" s="566">
        <f t="shared" si="78"/>
        <v>0</v>
      </c>
      <c r="AB902" s="699"/>
    </row>
    <row r="903" spans="1:28" ht="15.75" customHeight="1" x14ac:dyDescent="0.3">
      <c r="A903" s="96" t="s">
        <v>3741</v>
      </c>
      <c r="C903" s="81">
        <v>43840</v>
      </c>
      <c r="D903" s="109">
        <v>43864</v>
      </c>
      <c r="E903" s="560"/>
      <c r="F903" s="86" t="s">
        <v>3742</v>
      </c>
      <c r="G903" s="86" t="s">
        <v>154</v>
      </c>
      <c r="H903" s="79" t="s">
        <v>213</v>
      </c>
      <c r="I903" s="97" t="s">
        <v>3842</v>
      </c>
      <c r="J903" s="73">
        <f t="shared" si="79"/>
        <v>1</v>
      </c>
      <c r="K903" s="74" t="s">
        <v>204</v>
      </c>
      <c r="L903" s="97" t="s">
        <v>3843</v>
      </c>
      <c r="N903" s="76" t="s">
        <v>17</v>
      </c>
      <c r="Q903" s="76" t="s">
        <v>2037</v>
      </c>
      <c r="R903" s="73">
        <f t="shared" si="80"/>
        <v>1</v>
      </c>
      <c r="S903" s="260" t="s">
        <v>1976</v>
      </c>
      <c r="T903" s="260"/>
      <c r="U903" s="260"/>
      <c r="V903" s="260"/>
      <c r="W903" s="260"/>
      <c r="X903" s="260"/>
      <c r="Y903" s="565"/>
      <c r="Z903" s="565"/>
      <c r="AA903" s="566">
        <f t="shared" si="78"/>
        <v>0</v>
      </c>
      <c r="AB903" s="699"/>
    </row>
    <row r="904" spans="1:28" ht="15.75" customHeight="1" x14ac:dyDescent="0.3">
      <c r="A904" s="96" t="s">
        <v>3749</v>
      </c>
      <c r="C904" s="81">
        <v>43844</v>
      </c>
      <c r="D904" s="109">
        <v>43866</v>
      </c>
      <c r="E904" s="560"/>
      <c r="F904" s="86" t="s">
        <v>3750</v>
      </c>
      <c r="G904" s="86" t="s">
        <v>158</v>
      </c>
      <c r="H904" s="79" t="s">
        <v>213</v>
      </c>
      <c r="I904" s="97" t="s">
        <v>649</v>
      </c>
      <c r="J904" s="73">
        <f t="shared" ref="J904:J924" si="81">IF(OR(K904="Документы готовы",K904="Запрос в ФО",K904="ЭЗ",K904="РЕШ",K904="РЕШ шаблон"),0.1,IF(OR(K904="ЭЗ согласование",K904="РЕШ согласование"),0.3,IF(OR(K904="ЭЗ согласовано",K904="РЕШ согласовано",K904="РЕШ подписано"),0.6,IF(OR(K904="ЭЗ ПР согласование",K904="РЕШ УВ согласование"),0.9,IF(OR(K904="ЭЗ ПР DONE",K904="РЕШ УВ DONE"),1,0)))))</f>
        <v>1</v>
      </c>
      <c r="K904" s="74" t="s">
        <v>204</v>
      </c>
      <c r="N904" s="76" t="s">
        <v>17</v>
      </c>
      <c r="Q904" s="76" t="s">
        <v>2037</v>
      </c>
      <c r="R904" s="73">
        <f t="shared" ref="R904:R926" si="82">IF(S904="В работе",0.3,IF(S904="Отписано",0.6,IF(S904="На доработку",0.9,IF(S904="Согласовано",1,0))))</f>
        <v>1</v>
      </c>
      <c r="S904" s="260" t="s">
        <v>1976</v>
      </c>
      <c r="T904" s="260"/>
      <c r="U904" s="260"/>
      <c r="V904" s="260"/>
      <c r="W904" s="260"/>
      <c r="X904" s="260"/>
      <c r="Y904" s="565"/>
      <c r="Z904" s="565"/>
      <c r="AA904" s="566">
        <f t="shared" si="78"/>
        <v>0</v>
      </c>
      <c r="AB904" s="699"/>
    </row>
    <row r="905" spans="1:28" ht="15.75" customHeight="1" x14ac:dyDescent="0.3">
      <c r="A905" s="96" t="s">
        <v>3753</v>
      </c>
      <c r="C905" s="81">
        <v>43844</v>
      </c>
      <c r="D905" s="109">
        <v>43865</v>
      </c>
      <c r="E905" s="560"/>
      <c r="F905" s="86" t="s">
        <v>3754</v>
      </c>
      <c r="G905" s="86" t="s">
        <v>181</v>
      </c>
      <c r="H905" s="79" t="s">
        <v>213</v>
      </c>
      <c r="I905" s="97" t="s">
        <v>722</v>
      </c>
      <c r="J905" s="73">
        <f t="shared" si="81"/>
        <v>1</v>
      </c>
      <c r="K905" s="74" t="s">
        <v>204</v>
      </c>
      <c r="N905" s="76" t="s">
        <v>18</v>
      </c>
      <c r="Q905" s="76" t="s">
        <v>2037</v>
      </c>
      <c r="R905" s="73">
        <f t="shared" si="82"/>
        <v>1</v>
      </c>
      <c r="S905" s="260" t="s">
        <v>1976</v>
      </c>
      <c r="T905" s="260"/>
      <c r="U905" s="260"/>
      <c r="V905" s="260"/>
      <c r="W905" s="260"/>
      <c r="X905" s="260"/>
      <c r="Y905" s="565"/>
      <c r="Z905" s="565"/>
      <c r="AA905" s="566">
        <f t="shared" si="78"/>
        <v>0</v>
      </c>
      <c r="AB905" s="699"/>
    </row>
    <row r="906" spans="1:28" ht="15.75" customHeight="1" x14ac:dyDescent="0.3">
      <c r="A906" s="79" t="s">
        <v>3405</v>
      </c>
      <c r="C906" s="81">
        <v>43808</v>
      </c>
      <c r="D906" s="109">
        <v>43865</v>
      </c>
      <c r="E906" s="560"/>
      <c r="F906" s="86" t="s">
        <v>3406</v>
      </c>
      <c r="G906" s="86" t="s">
        <v>156</v>
      </c>
      <c r="H906" s="79" t="s">
        <v>213</v>
      </c>
      <c r="I906" s="97" t="s">
        <v>3475</v>
      </c>
      <c r="J906" s="73">
        <f t="shared" si="81"/>
        <v>1</v>
      </c>
      <c r="K906" s="74" t="s">
        <v>204</v>
      </c>
      <c r="N906" s="76" t="s">
        <v>19</v>
      </c>
      <c r="Q906" s="76" t="s">
        <v>2417</v>
      </c>
      <c r="R906" s="73">
        <f t="shared" si="82"/>
        <v>1</v>
      </c>
      <c r="S906" s="260" t="s">
        <v>1976</v>
      </c>
      <c r="T906" s="260"/>
      <c r="U906" s="260"/>
      <c r="V906" s="260"/>
      <c r="W906" s="260"/>
      <c r="X906" s="260"/>
      <c r="Y906" s="565"/>
      <c r="Z906" s="565"/>
      <c r="AA906" s="566">
        <f t="shared" si="78"/>
        <v>0</v>
      </c>
      <c r="AB906" s="699"/>
    </row>
    <row r="907" spans="1:28" ht="15.75" customHeight="1" x14ac:dyDescent="0.3">
      <c r="A907" s="79" t="s">
        <v>3438</v>
      </c>
      <c r="C907" s="81">
        <v>43818</v>
      </c>
      <c r="D907" s="109">
        <v>43864</v>
      </c>
      <c r="E907" s="560"/>
      <c r="F907" s="86" t="s">
        <v>3439</v>
      </c>
      <c r="G907" s="86" t="s">
        <v>173</v>
      </c>
      <c r="H907" s="79" t="s">
        <v>213</v>
      </c>
      <c r="I907" s="97" t="s">
        <v>642</v>
      </c>
      <c r="J907" s="73">
        <f t="shared" si="81"/>
        <v>1</v>
      </c>
      <c r="K907" s="74" t="s">
        <v>204</v>
      </c>
      <c r="N907" s="76" t="s">
        <v>17</v>
      </c>
      <c r="Q907" s="76" t="s">
        <v>2417</v>
      </c>
      <c r="R907" s="73">
        <f t="shared" si="82"/>
        <v>1</v>
      </c>
      <c r="S907" s="260" t="s">
        <v>1976</v>
      </c>
      <c r="T907" s="260"/>
      <c r="U907" s="260"/>
      <c r="V907" s="260"/>
      <c r="W907" s="260"/>
      <c r="X907" s="260"/>
      <c r="Y907" s="565"/>
      <c r="Z907" s="565"/>
      <c r="AA907" s="566">
        <f t="shared" si="78"/>
        <v>0</v>
      </c>
      <c r="AB907" s="699"/>
    </row>
    <row r="908" spans="1:28" ht="15.75" customHeight="1" x14ac:dyDescent="0.3">
      <c r="A908" s="79" t="s">
        <v>3442</v>
      </c>
      <c r="C908" s="81">
        <v>43819</v>
      </c>
      <c r="D908" s="109">
        <v>43864</v>
      </c>
      <c r="E908" s="560"/>
      <c r="F908" s="86" t="s">
        <v>3443</v>
      </c>
      <c r="G908" s="86" t="s">
        <v>410</v>
      </c>
      <c r="H908" s="79" t="s">
        <v>213</v>
      </c>
      <c r="I908" s="97" t="s">
        <v>3475</v>
      </c>
      <c r="J908" s="73">
        <f t="shared" si="81"/>
        <v>1</v>
      </c>
      <c r="K908" s="74" t="s">
        <v>204</v>
      </c>
      <c r="N908" s="76" t="s">
        <v>19</v>
      </c>
      <c r="Q908" s="76" t="s">
        <v>2417</v>
      </c>
      <c r="R908" s="73">
        <f t="shared" si="82"/>
        <v>1</v>
      </c>
      <c r="S908" s="260" t="s">
        <v>1976</v>
      </c>
      <c r="T908" s="260"/>
      <c r="U908" s="260"/>
      <c r="V908" s="260"/>
      <c r="W908" s="260"/>
      <c r="X908" s="260"/>
      <c r="Y908" s="565"/>
      <c r="Z908" s="565"/>
      <c r="AA908" s="566">
        <f t="shared" si="78"/>
        <v>0</v>
      </c>
      <c r="AB908" s="699"/>
    </row>
    <row r="909" spans="1:28" ht="15.75" customHeight="1" x14ac:dyDescent="0.3">
      <c r="A909" s="79" t="s">
        <v>3446</v>
      </c>
      <c r="C909" s="81">
        <v>43822</v>
      </c>
      <c r="D909" s="109">
        <v>43865</v>
      </c>
      <c r="E909" s="560"/>
      <c r="F909" s="86" t="s">
        <v>3447</v>
      </c>
      <c r="G909" s="86" t="s">
        <v>158</v>
      </c>
      <c r="H909" s="79" t="s">
        <v>213</v>
      </c>
      <c r="I909" s="97" t="s">
        <v>645</v>
      </c>
      <c r="J909" s="73">
        <f t="shared" si="81"/>
        <v>1</v>
      </c>
      <c r="K909" s="74" t="s">
        <v>204</v>
      </c>
      <c r="N909" s="76" t="s">
        <v>17</v>
      </c>
      <c r="Q909" s="76" t="s">
        <v>2417</v>
      </c>
      <c r="R909" s="73">
        <f t="shared" si="82"/>
        <v>1</v>
      </c>
      <c r="S909" s="260" t="s">
        <v>1976</v>
      </c>
      <c r="T909" s="260"/>
      <c r="U909" s="260"/>
      <c r="V909" s="260"/>
      <c r="W909" s="260"/>
      <c r="X909" s="260"/>
      <c r="Y909" s="565"/>
      <c r="Z909" s="565"/>
      <c r="AA909" s="566">
        <f t="shared" si="78"/>
        <v>0</v>
      </c>
      <c r="AB909" s="699"/>
    </row>
    <row r="910" spans="1:28" ht="15.75" customHeight="1" x14ac:dyDescent="0.3">
      <c r="A910" s="79" t="s">
        <v>3450</v>
      </c>
      <c r="C910" s="81">
        <v>43823</v>
      </c>
      <c r="D910" s="109">
        <v>43866</v>
      </c>
      <c r="E910" s="560"/>
      <c r="F910" s="86" t="s">
        <v>3451</v>
      </c>
      <c r="G910" s="86" t="s">
        <v>150</v>
      </c>
      <c r="H910" s="79" t="s">
        <v>213</v>
      </c>
      <c r="I910" s="97" t="s">
        <v>714</v>
      </c>
      <c r="J910" s="73">
        <f t="shared" si="81"/>
        <v>1</v>
      </c>
      <c r="K910" s="74" t="s">
        <v>204</v>
      </c>
      <c r="L910" s="97" t="s">
        <v>3845</v>
      </c>
      <c r="N910" s="76" t="s">
        <v>17</v>
      </c>
      <c r="Q910" s="76" t="s">
        <v>2417</v>
      </c>
      <c r="R910" s="73">
        <f t="shared" si="82"/>
        <v>1</v>
      </c>
      <c r="S910" s="260" t="s">
        <v>1976</v>
      </c>
      <c r="T910" s="260"/>
      <c r="U910" s="260"/>
      <c r="V910" s="260"/>
      <c r="W910" s="260"/>
      <c r="X910" s="260"/>
      <c r="Y910" s="565"/>
      <c r="Z910" s="565"/>
      <c r="AA910" s="566">
        <f t="shared" si="78"/>
        <v>0</v>
      </c>
      <c r="AB910" s="699"/>
    </row>
    <row r="911" spans="1:28" ht="15.75" customHeight="1" x14ac:dyDescent="0.3">
      <c r="A911" s="79" t="s">
        <v>3765</v>
      </c>
      <c r="C911" s="81">
        <v>43823</v>
      </c>
      <c r="D911" s="109">
        <v>43867</v>
      </c>
      <c r="E911" s="560"/>
      <c r="F911" s="86" t="s">
        <v>3766</v>
      </c>
      <c r="G911" s="86" t="s">
        <v>156</v>
      </c>
      <c r="H911" s="79" t="s">
        <v>213</v>
      </c>
      <c r="I911" s="97" t="s">
        <v>714</v>
      </c>
      <c r="J911" s="73">
        <f t="shared" si="81"/>
        <v>1</v>
      </c>
      <c r="K911" s="74" t="s">
        <v>204</v>
      </c>
      <c r="N911" s="76" t="s">
        <v>18</v>
      </c>
      <c r="Q911" s="76" t="s">
        <v>2417</v>
      </c>
      <c r="R911" s="73">
        <f t="shared" si="82"/>
        <v>1</v>
      </c>
      <c r="S911" s="260" t="s">
        <v>1976</v>
      </c>
      <c r="T911" s="260"/>
      <c r="U911" s="260"/>
      <c r="V911" s="260"/>
      <c r="W911" s="260"/>
      <c r="X911" s="260"/>
      <c r="Y911" s="565"/>
      <c r="Z911" s="565"/>
      <c r="AA911" s="566">
        <f t="shared" si="78"/>
        <v>0</v>
      </c>
      <c r="AB911" s="699"/>
    </row>
    <row r="912" spans="1:28" ht="15.75" customHeight="1" x14ac:dyDescent="0.3">
      <c r="A912" s="79" t="s">
        <v>3454</v>
      </c>
      <c r="C912" s="81">
        <v>43823</v>
      </c>
      <c r="D912" s="109">
        <v>43866</v>
      </c>
      <c r="E912" s="560"/>
      <c r="F912" s="86" t="s">
        <v>3455</v>
      </c>
      <c r="G912" s="86" t="s">
        <v>158</v>
      </c>
      <c r="H912" s="79" t="s">
        <v>213</v>
      </c>
      <c r="I912" s="97" t="s">
        <v>642</v>
      </c>
      <c r="J912" s="73">
        <f t="shared" si="81"/>
        <v>1</v>
      </c>
      <c r="K912" s="74" t="s">
        <v>204</v>
      </c>
      <c r="N912" s="76" t="s">
        <v>18</v>
      </c>
      <c r="Q912" s="76" t="s">
        <v>2417</v>
      </c>
      <c r="R912" s="73">
        <f t="shared" si="82"/>
        <v>1</v>
      </c>
      <c r="S912" s="260" t="s">
        <v>1976</v>
      </c>
      <c r="T912" s="260"/>
      <c r="U912" s="260"/>
      <c r="V912" s="260"/>
      <c r="W912" s="260"/>
      <c r="X912" s="260"/>
      <c r="Y912" s="565"/>
      <c r="Z912" s="565"/>
      <c r="AA912" s="566">
        <f t="shared" si="78"/>
        <v>0</v>
      </c>
      <c r="AB912" s="699"/>
    </row>
    <row r="913" spans="1:28" ht="15.75" customHeight="1" x14ac:dyDescent="0.3">
      <c r="A913" s="79" t="s">
        <v>3456</v>
      </c>
      <c r="C913" s="81">
        <v>43823</v>
      </c>
      <c r="D913" s="109">
        <v>43867</v>
      </c>
      <c r="E913" s="560"/>
      <c r="F913" s="86" t="s">
        <v>3457</v>
      </c>
      <c r="G913" s="86" t="s">
        <v>1328</v>
      </c>
      <c r="H913" s="79" t="s">
        <v>213</v>
      </c>
      <c r="I913" s="97" t="s">
        <v>714</v>
      </c>
      <c r="J913" s="73">
        <f t="shared" si="81"/>
        <v>1</v>
      </c>
      <c r="K913" s="74" t="s">
        <v>204</v>
      </c>
      <c r="N913" s="76" t="s">
        <v>18</v>
      </c>
      <c r="Q913" s="76" t="s">
        <v>2417</v>
      </c>
      <c r="R913" s="73">
        <f t="shared" si="82"/>
        <v>1</v>
      </c>
      <c r="S913" s="260" t="s">
        <v>1976</v>
      </c>
      <c r="T913" s="260"/>
      <c r="U913" s="260"/>
      <c r="V913" s="260"/>
      <c r="W913" s="260"/>
      <c r="X913" s="260"/>
      <c r="Y913" s="565"/>
      <c r="Z913" s="565"/>
      <c r="AA913" s="566">
        <f t="shared" si="78"/>
        <v>0</v>
      </c>
      <c r="AB913" s="699"/>
    </row>
    <row r="914" spans="1:28" ht="15.75" customHeight="1" x14ac:dyDescent="0.3">
      <c r="A914" s="79" t="s">
        <v>3464</v>
      </c>
      <c r="C914" s="81">
        <v>43824</v>
      </c>
      <c r="D914" s="109">
        <v>43868</v>
      </c>
      <c r="E914" s="560"/>
      <c r="F914" s="86" t="s">
        <v>3465</v>
      </c>
      <c r="G914" s="86" t="s">
        <v>152</v>
      </c>
      <c r="H914" s="79" t="s">
        <v>213</v>
      </c>
      <c r="I914" s="97" t="s">
        <v>645</v>
      </c>
      <c r="J914" s="73">
        <f t="shared" si="81"/>
        <v>1</v>
      </c>
      <c r="K914" s="74" t="s">
        <v>204</v>
      </c>
      <c r="L914" s="97" t="s">
        <v>3856</v>
      </c>
      <c r="N914" s="76" t="s">
        <v>17</v>
      </c>
      <c r="Q914" s="76" t="s">
        <v>2417</v>
      </c>
      <c r="R914" s="73">
        <f t="shared" si="82"/>
        <v>1</v>
      </c>
      <c r="S914" s="260" t="s">
        <v>1976</v>
      </c>
      <c r="T914" s="260"/>
      <c r="U914" s="260"/>
      <c r="V914" s="260"/>
      <c r="W914" s="260"/>
      <c r="X914" s="260"/>
      <c r="Y914" s="565"/>
      <c r="Z914" s="565"/>
      <c r="AA914" s="566">
        <f t="shared" si="78"/>
        <v>0</v>
      </c>
      <c r="AB914" s="699"/>
    </row>
    <row r="915" spans="1:28" ht="15.75" customHeight="1" x14ac:dyDescent="0.3">
      <c r="A915" s="79" t="s">
        <v>3767</v>
      </c>
      <c r="C915" s="81">
        <v>43843</v>
      </c>
      <c r="D915" s="109">
        <v>43864</v>
      </c>
      <c r="E915" s="560"/>
      <c r="F915" s="86" t="s">
        <v>3768</v>
      </c>
      <c r="G915" s="86" t="s">
        <v>154</v>
      </c>
      <c r="H915" s="79" t="s">
        <v>213</v>
      </c>
      <c r="I915" s="97" t="s">
        <v>3643</v>
      </c>
      <c r="J915" s="73">
        <f t="shared" si="81"/>
        <v>1</v>
      </c>
      <c r="K915" s="74" t="s">
        <v>204</v>
      </c>
      <c r="N915" s="76" t="s">
        <v>19</v>
      </c>
      <c r="Q915" s="76" t="s">
        <v>2417</v>
      </c>
      <c r="R915" s="73">
        <f t="shared" si="82"/>
        <v>1</v>
      </c>
      <c r="S915" s="260" t="s">
        <v>1976</v>
      </c>
      <c r="T915" s="260"/>
      <c r="U915" s="260"/>
      <c r="V915" s="260"/>
      <c r="W915" s="260"/>
      <c r="X915" s="260"/>
      <c r="Y915" s="565"/>
      <c r="Z915" s="565"/>
      <c r="AA915" s="566">
        <f t="shared" si="78"/>
        <v>0</v>
      </c>
      <c r="AB915" s="699"/>
    </row>
    <row r="916" spans="1:28" ht="15.75" customHeight="1" x14ac:dyDescent="0.3">
      <c r="A916" s="79" t="s">
        <v>3769</v>
      </c>
      <c r="C916" s="81">
        <v>43843</v>
      </c>
      <c r="D916" s="109">
        <v>43864</v>
      </c>
      <c r="E916" s="560"/>
      <c r="F916" s="86" t="s">
        <v>3770</v>
      </c>
      <c r="G916" s="86" t="s">
        <v>158</v>
      </c>
      <c r="H916" s="79" t="s">
        <v>213</v>
      </c>
      <c r="I916" s="97" t="s">
        <v>649</v>
      </c>
      <c r="J916" s="73">
        <f t="shared" si="81"/>
        <v>1</v>
      </c>
      <c r="K916" s="74" t="s">
        <v>204</v>
      </c>
      <c r="N916" s="76" t="s">
        <v>17</v>
      </c>
      <c r="Q916" s="76" t="s">
        <v>2417</v>
      </c>
      <c r="R916" s="73">
        <f t="shared" si="82"/>
        <v>1</v>
      </c>
      <c r="S916" s="260" t="s">
        <v>1976</v>
      </c>
      <c r="T916" s="260"/>
      <c r="U916" s="260"/>
      <c r="V916" s="260"/>
      <c r="W916" s="260"/>
      <c r="X916" s="260"/>
      <c r="Y916" s="565"/>
      <c r="Z916" s="565"/>
      <c r="AA916" s="566">
        <f t="shared" si="78"/>
        <v>0</v>
      </c>
      <c r="AB916" s="699"/>
    </row>
    <row r="917" spans="1:28" ht="15.75" customHeight="1" x14ac:dyDescent="0.3">
      <c r="A917" s="79" t="s">
        <v>3776</v>
      </c>
      <c r="C917" s="81">
        <v>43844</v>
      </c>
      <c r="D917" s="109">
        <v>43866</v>
      </c>
      <c r="E917" s="560"/>
      <c r="F917" s="86" t="s">
        <v>3777</v>
      </c>
      <c r="G917" s="86" t="s">
        <v>152</v>
      </c>
      <c r="H917" s="79" t="s">
        <v>213</v>
      </c>
      <c r="I917" s="97" t="s">
        <v>1284</v>
      </c>
      <c r="J917" s="73">
        <f t="shared" si="81"/>
        <v>1</v>
      </c>
      <c r="K917" s="74" t="s">
        <v>204</v>
      </c>
      <c r="N917" s="76" t="s">
        <v>19</v>
      </c>
      <c r="Q917" s="76" t="s">
        <v>2417</v>
      </c>
      <c r="R917" s="73">
        <f t="shared" si="82"/>
        <v>1</v>
      </c>
      <c r="S917" s="260" t="s">
        <v>1976</v>
      </c>
      <c r="T917" s="260"/>
      <c r="U917" s="260"/>
      <c r="V917" s="260"/>
      <c r="W917" s="260"/>
      <c r="X917" s="260"/>
      <c r="Y917" s="565"/>
      <c r="Z917" s="565"/>
      <c r="AA917" s="566">
        <f t="shared" si="78"/>
        <v>0</v>
      </c>
      <c r="AB917" s="699"/>
    </row>
    <row r="918" spans="1:28" ht="15.75" customHeight="1" x14ac:dyDescent="0.3">
      <c r="A918" s="79" t="s">
        <v>3778</v>
      </c>
      <c r="C918" s="81">
        <v>43844</v>
      </c>
      <c r="D918" s="109">
        <v>43866</v>
      </c>
      <c r="E918" s="560"/>
      <c r="F918" s="86" t="s">
        <v>3779</v>
      </c>
      <c r="G918" s="86" t="s">
        <v>152</v>
      </c>
      <c r="H918" s="79" t="s">
        <v>213</v>
      </c>
      <c r="I918" s="97" t="s">
        <v>2478</v>
      </c>
      <c r="J918" s="73">
        <f t="shared" si="81"/>
        <v>1</v>
      </c>
      <c r="K918" s="74" t="s">
        <v>204</v>
      </c>
      <c r="L918" s="97" t="s">
        <v>3844</v>
      </c>
      <c r="N918" s="76" t="s">
        <v>17</v>
      </c>
      <c r="Q918" s="76" t="s">
        <v>2417</v>
      </c>
      <c r="R918" s="73">
        <f t="shared" si="82"/>
        <v>1</v>
      </c>
      <c r="S918" s="260" t="s">
        <v>1976</v>
      </c>
      <c r="T918" s="260"/>
      <c r="U918" s="260"/>
      <c r="V918" s="260"/>
      <c r="W918" s="260"/>
      <c r="X918" s="260"/>
      <c r="Y918" s="565"/>
      <c r="Z918" s="565"/>
      <c r="AA918" s="566">
        <f t="shared" si="78"/>
        <v>0</v>
      </c>
      <c r="AB918" s="699"/>
    </row>
    <row r="919" spans="1:28" ht="15.75" customHeight="1" x14ac:dyDescent="0.3">
      <c r="A919" s="79" t="s">
        <v>3782</v>
      </c>
      <c r="C919" s="81">
        <v>43844</v>
      </c>
      <c r="D919" s="109">
        <v>43866</v>
      </c>
      <c r="E919" s="560"/>
      <c r="F919" s="86" t="s">
        <v>3783</v>
      </c>
      <c r="G919" s="86" t="s">
        <v>152</v>
      </c>
      <c r="H919" s="79" t="s">
        <v>213</v>
      </c>
      <c r="I919" s="97" t="s">
        <v>2478</v>
      </c>
      <c r="J919" s="73">
        <f t="shared" si="81"/>
        <v>1</v>
      </c>
      <c r="K919" s="74" t="s">
        <v>204</v>
      </c>
      <c r="N919" s="76" t="s">
        <v>17</v>
      </c>
      <c r="Q919" s="76" t="s">
        <v>2417</v>
      </c>
      <c r="R919" s="73">
        <f t="shared" si="82"/>
        <v>1</v>
      </c>
      <c r="S919" s="260" t="s">
        <v>1976</v>
      </c>
      <c r="T919" s="260"/>
      <c r="U919" s="260"/>
      <c r="V919" s="260"/>
      <c r="W919" s="260"/>
      <c r="X919" s="260"/>
      <c r="Y919" s="565"/>
      <c r="Z919" s="565"/>
      <c r="AA919" s="566">
        <f t="shared" si="78"/>
        <v>0</v>
      </c>
      <c r="AB919" s="699"/>
    </row>
    <row r="920" spans="1:28" ht="15.75" customHeight="1" x14ac:dyDescent="0.3">
      <c r="A920" s="79" t="s">
        <v>3790</v>
      </c>
      <c r="C920" s="81">
        <v>43845</v>
      </c>
      <c r="D920" s="109">
        <v>43867</v>
      </c>
      <c r="E920" s="560"/>
      <c r="F920" s="86" t="s">
        <v>3791</v>
      </c>
      <c r="G920" s="86" t="s">
        <v>150</v>
      </c>
      <c r="H920" s="79" t="s">
        <v>213</v>
      </c>
      <c r="I920" s="97" t="s">
        <v>649</v>
      </c>
      <c r="J920" s="73">
        <f t="shared" si="81"/>
        <v>1</v>
      </c>
      <c r="K920" s="74" t="s">
        <v>204</v>
      </c>
      <c r="L920" s="97" t="s">
        <v>3851</v>
      </c>
      <c r="N920" s="76" t="s">
        <v>18</v>
      </c>
      <c r="Q920" s="76" t="s">
        <v>2417</v>
      </c>
      <c r="R920" s="73">
        <f t="shared" si="82"/>
        <v>1</v>
      </c>
      <c r="S920" s="260" t="s">
        <v>1976</v>
      </c>
      <c r="T920" s="260"/>
      <c r="U920" s="260"/>
      <c r="V920" s="260"/>
      <c r="W920" s="260"/>
      <c r="X920" s="260"/>
      <c r="Y920" s="565"/>
      <c r="Z920" s="565"/>
      <c r="AA920" s="566">
        <f t="shared" si="78"/>
        <v>0</v>
      </c>
      <c r="AB920" s="699"/>
    </row>
    <row r="921" spans="1:28" ht="15.75" customHeight="1" x14ac:dyDescent="0.3">
      <c r="A921" s="79" t="s">
        <v>3236</v>
      </c>
      <c r="C921" s="81">
        <v>43818</v>
      </c>
      <c r="D921" s="109">
        <v>43864</v>
      </c>
      <c r="E921" s="560"/>
      <c r="F921" s="86" t="s">
        <v>3237</v>
      </c>
      <c r="G921" s="86" t="s">
        <v>156</v>
      </c>
      <c r="H921" s="79" t="s">
        <v>213</v>
      </c>
      <c r="I921" s="97" t="s">
        <v>642</v>
      </c>
      <c r="J921" s="73">
        <f t="shared" si="81"/>
        <v>1</v>
      </c>
      <c r="K921" s="74" t="s">
        <v>204</v>
      </c>
      <c r="N921" s="76" t="s">
        <v>18</v>
      </c>
      <c r="Q921" s="76" t="s">
        <v>2076</v>
      </c>
      <c r="R921" s="73">
        <f t="shared" si="82"/>
        <v>1</v>
      </c>
      <c r="S921" s="260" t="s">
        <v>1976</v>
      </c>
      <c r="T921" s="260"/>
      <c r="U921" s="260"/>
      <c r="V921" s="260"/>
      <c r="W921" s="260"/>
      <c r="X921" s="260"/>
      <c r="Y921" s="565"/>
      <c r="Z921" s="565"/>
      <c r="AA921" s="566">
        <f t="shared" si="78"/>
        <v>0</v>
      </c>
      <c r="AB921" s="699"/>
    </row>
    <row r="922" spans="1:28" ht="15.75" customHeight="1" x14ac:dyDescent="0.3">
      <c r="A922" s="79" t="s">
        <v>3244</v>
      </c>
      <c r="C922" s="81">
        <v>43819</v>
      </c>
      <c r="D922" s="109">
        <v>43865</v>
      </c>
      <c r="E922" s="560"/>
      <c r="F922" s="86" t="s">
        <v>3245</v>
      </c>
      <c r="G922" s="86" t="s">
        <v>173</v>
      </c>
      <c r="H922" s="79" t="s">
        <v>213</v>
      </c>
      <c r="I922" s="97" t="s">
        <v>995</v>
      </c>
      <c r="J922" s="73">
        <f t="shared" si="81"/>
        <v>1</v>
      </c>
      <c r="K922" s="74" t="s">
        <v>204</v>
      </c>
      <c r="N922" s="76" t="s">
        <v>19</v>
      </c>
      <c r="Q922" s="76" t="s">
        <v>2076</v>
      </c>
      <c r="R922" s="73">
        <f t="shared" si="82"/>
        <v>1</v>
      </c>
      <c r="S922" s="260" t="s">
        <v>1976</v>
      </c>
      <c r="T922" s="260"/>
      <c r="U922" s="260"/>
      <c r="V922" s="260"/>
      <c r="W922" s="260"/>
      <c r="X922" s="260"/>
      <c r="Y922" s="565"/>
      <c r="Z922" s="565"/>
      <c r="AA922" s="566">
        <f t="shared" si="78"/>
        <v>0</v>
      </c>
      <c r="AB922" s="699"/>
    </row>
    <row r="923" spans="1:28" ht="15.75" customHeight="1" x14ac:dyDescent="0.3">
      <c r="A923" s="79" t="s">
        <v>3246</v>
      </c>
      <c r="C923" s="81">
        <v>43819</v>
      </c>
      <c r="D923" s="109">
        <v>43865</v>
      </c>
      <c r="E923" s="560"/>
      <c r="F923" s="86" t="s">
        <v>3247</v>
      </c>
      <c r="G923" s="86" t="s">
        <v>172</v>
      </c>
      <c r="H923" s="79" t="s">
        <v>213</v>
      </c>
      <c r="I923" s="97" t="s">
        <v>642</v>
      </c>
      <c r="J923" s="73">
        <f t="shared" si="81"/>
        <v>1</v>
      </c>
      <c r="K923" s="74" t="s">
        <v>204</v>
      </c>
      <c r="N923" s="76" t="s">
        <v>18</v>
      </c>
      <c r="Q923" s="76" t="s">
        <v>2076</v>
      </c>
      <c r="R923" s="73">
        <f t="shared" si="82"/>
        <v>1</v>
      </c>
      <c r="S923" s="260" t="s">
        <v>1976</v>
      </c>
      <c r="T923" s="260"/>
      <c r="U923" s="260"/>
      <c r="V923" s="260"/>
      <c r="W923" s="260"/>
      <c r="X923" s="260"/>
      <c r="Y923" s="565"/>
      <c r="Z923" s="565"/>
      <c r="AA923" s="566">
        <f t="shared" si="78"/>
        <v>0</v>
      </c>
      <c r="AB923" s="699"/>
    </row>
    <row r="924" spans="1:28" ht="15.75" customHeight="1" x14ac:dyDescent="0.3">
      <c r="A924" s="79" t="s">
        <v>3802</v>
      </c>
      <c r="C924" s="81">
        <v>43819</v>
      </c>
      <c r="D924" s="109">
        <v>43864</v>
      </c>
      <c r="E924" s="560"/>
      <c r="F924" s="86" t="s">
        <v>3803</v>
      </c>
      <c r="G924" s="86" t="s">
        <v>147</v>
      </c>
      <c r="H924" s="79" t="s">
        <v>213</v>
      </c>
      <c r="I924" s="97" t="s">
        <v>714</v>
      </c>
      <c r="J924" s="73">
        <f t="shared" si="81"/>
        <v>1</v>
      </c>
      <c r="K924" s="74" t="s">
        <v>204</v>
      </c>
      <c r="N924" s="76" t="s">
        <v>18</v>
      </c>
      <c r="Q924" s="76" t="s">
        <v>2076</v>
      </c>
      <c r="R924" s="73">
        <f t="shared" si="82"/>
        <v>1</v>
      </c>
      <c r="S924" s="260" t="s">
        <v>1976</v>
      </c>
      <c r="T924" s="260"/>
      <c r="U924" s="260"/>
      <c r="V924" s="260"/>
      <c r="W924" s="260"/>
      <c r="X924" s="260"/>
      <c r="Y924" s="565"/>
      <c r="Z924" s="565"/>
      <c r="AA924" s="566">
        <f t="shared" si="78"/>
        <v>0</v>
      </c>
      <c r="AB924" s="699"/>
    </row>
    <row r="925" spans="1:28" ht="15.75" customHeight="1" x14ac:dyDescent="0.3">
      <c r="A925" s="79" t="s">
        <v>3248</v>
      </c>
      <c r="C925" s="81">
        <v>43822</v>
      </c>
      <c r="D925" s="109">
        <v>43866</v>
      </c>
      <c r="E925" s="560"/>
      <c r="F925" s="86" t="s">
        <v>3249</v>
      </c>
      <c r="G925" s="86" t="s">
        <v>1384</v>
      </c>
      <c r="H925" s="79" t="s">
        <v>213</v>
      </c>
      <c r="I925" s="97" t="s">
        <v>642</v>
      </c>
      <c r="J925" s="73">
        <f t="shared" ref="J925:J942" si="83">IF(OR(K925="Документы готовы",K925="Запрос в ФО",K925="ЭЗ",K925="РЕШ",K925="РЕШ шаблон"),0.1,IF(OR(K925="ЭЗ согласование",K925="РЕШ согласование"),0.3,IF(OR(K925="ЭЗ согласовано",K925="РЕШ согласовано",K925="РЕШ подписано"),0.6,IF(OR(K925="ЭЗ ПР согласование",K925="РЕШ УВ согласование"),0.9,IF(OR(K925="ЭЗ ПР DONE",K925="РЕШ УВ DONE"),1,0)))))</f>
        <v>1</v>
      </c>
      <c r="K925" s="74" t="s">
        <v>204</v>
      </c>
      <c r="N925" s="76" t="s">
        <v>18</v>
      </c>
      <c r="Q925" s="76" t="s">
        <v>2076</v>
      </c>
      <c r="R925" s="73">
        <f t="shared" si="82"/>
        <v>1</v>
      </c>
      <c r="S925" s="260" t="s">
        <v>1976</v>
      </c>
      <c r="T925" s="260"/>
      <c r="U925" s="260"/>
      <c r="V925" s="260"/>
      <c r="W925" s="260"/>
      <c r="X925" s="260"/>
      <c r="Y925" s="565"/>
      <c r="Z925" s="565"/>
      <c r="AA925" s="566">
        <f t="shared" si="78"/>
        <v>0</v>
      </c>
      <c r="AB925" s="699"/>
    </row>
    <row r="926" spans="1:28" ht="15.75" customHeight="1" x14ac:dyDescent="0.3">
      <c r="A926" s="79" t="s">
        <v>3250</v>
      </c>
      <c r="C926" s="81">
        <v>43822</v>
      </c>
      <c r="D926" s="109">
        <v>43866</v>
      </c>
      <c r="E926" s="560"/>
      <c r="F926" s="86" t="s">
        <v>3251</v>
      </c>
      <c r="G926" s="86" t="s">
        <v>164</v>
      </c>
      <c r="H926" s="79" t="s">
        <v>213</v>
      </c>
      <c r="I926" s="97" t="s">
        <v>642</v>
      </c>
      <c r="J926" s="73">
        <f t="shared" si="83"/>
        <v>1</v>
      </c>
      <c r="K926" s="74" t="s">
        <v>204</v>
      </c>
      <c r="N926" s="76" t="s">
        <v>18</v>
      </c>
      <c r="Q926" s="76" t="s">
        <v>2076</v>
      </c>
      <c r="R926" s="73">
        <f t="shared" si="82"/>
        <v>1</v>
      </c>
      <c r="S926" s="260" t="s">
        <v>1976</v>
      </c>
      <c r="T926" s="260"/>
      <c r="U926" s="260"/>
      <c r="V926" s="260"/>
      <c r="W926" s="260"/>
      <c r="X926" s="260"/>
      <c r="Y926" s="565"/>
      <c r="Z926" s="565"/>
      <c r="AA926" s="566">
        <f t="shared" si="78"/>
        <v>0</v>
      </c>
      <c r="AB926" s="699"/>
    </row>
    <row r="927" spans="1:28" ht="15.75" customHeight="1" x14ac:dyDescent="0.3">
      <c r="A927" s="79" t="s">
        <v>3254</v>
      </c>
      <c r="C927" s="81">
        <v>43822</v>
      </c>
      <c r="D927" s="109">
        <v>43866</v>
      </c>
      <c r="E927" s="560"/>
      <c r="F927" s="86" t="s">
        <v>3255</v>
      </c>
      <c r="G927" s="86" t="s">
        <v>1042</v>
      </c>
      <c r="H927" s="79" t="s">
        <v>213</v>
      </c>
      <c r="I927" s="97" t="s">
        <v>642</v>
      </c>
      <c r="J927" s="73">
        <f t="shared" si="83"/>
        <v>1</v>
      </c>
      <c r="K927" s="74" t="s">
        <v>204</v>
      </c>
      <c r="N927" s="76" t="s">
        <v>18</v>
      </c>
      <c r="Q927" s="76" t="s">
        <v>2076</v>
      </c>
      <c r="R927" s="73">
        <f t="shared" ref="R927:R942" si="84">IF(S927="В работе",0.3,IF(S927="Отписано",0.6,IF(S927="На доработку",0.9,IF(S927="Согласовано",1,0))))</f>
        <v>1</v>
      </c>
      <c r="S927" s="260" t="s">
        <v>1976</v>
      </c>
      <c r="T927" s="260"/>
      <c r="U927" s="260"/>
      <c r="V927" s="260"/>
      <c r="W927" s="260"/>
      <c r="X927" s="260"/>
      <c r="Y927" s="565"/>
      <c r="Z927" s="565"/>
      <c r="AA927" s="566">
        <f t="shared" si="78"/>
        <v>0</v>
      </c>
      <c r="AB927" s="699"/>
    </row>
    <row r="928" spans="1:28" ht="15.75" customHeight="1" x14ac:dyDescent="0.3">
      <c r="A928" s="79" t="s">
        <v>3258</v>
      </c>
      <c r="C928" s="81">
        <v>43823</v>
      </c>
      <c r="D928" s="109">
        <v>43867</v>
      </c>
      <c r="E928" s="560"/>
      <c r="F928" s="86" t="s">
        <v>3259</v>
      </c>
      <c r="G928" s="86" t="s">
        <v>156</v>
      </c>
      <c r="H928" s="79" t="s">
        <v>213</v>
      </c>
      <c r="I928" s="97" t="s">
        <v>642</v>
      </c>
      <c r="J928" s="73">
        <f t="shared" si="83"/>
        <v>1</v>
      </c>
      <c r="K928" s="74" t="s">
        <v>204</v>
      </c>
      <c r="L928" s="97"/>
      <c r="N928" s="76" t="s">
        <v>18</v>
      </c>
      <c r="Q928" s="76" t="s">
        <v>2076</v>
      </c>
      <c r="R928" s="73">
        <f t="shared" si="84"/>
        <v>1</v>
      </c>
      <c r="S928" s="260" t="s">
        <v>1976</v>
      </c>
      <c r="T928" s="260"/>
      <c r="U928" s="260"/>
      <c r="V928" s="260"/>
      <c r="W928" s="260"/>
      <c r="X928" s="260"/>
      <c r="Y928" s="565"/>
      <c r="Z928" s="565"/>
      <c r="AA928" s="566">
        <f t="shared" si="78"/>
        <v>0</v>
      </c>
      <c r="AB928" s="699"/>
    </row>
    <row r="929" spans="1:28" ht="15.75" customHeight="1" x14ac:dyDescent="0.3">
      <c r="A929" s="79" t="s">
        <v>3481</v>
      </c>
      <c r="C929" s="81">
        <v>43823</v>
      </c>
      <c r="D929" s="109">
        <v>43867</v>
      </c>
      <c r="E929" s="560"/>
      <c r="F929" s="86" t="s">
        <v>3482</v>
      </c>
      <c r="G929" s="86" t="s">
        <v>147</v>
      </c>
      <c r="H929" s="79" t="s">
        <v>213</v>
      </c>
      <c r="I929" s="97" t="s">
        <v>649</v>
      </c>
      <c r="J929" s="73">
        <f t="shared" si="83"/>
        <v>1</v>
      </c>
      <c r="K929" s="74" t="s">
        <v>204</v>
      </c>
      <c r="N929" s="76" t="s">
        <v>17</v>
      </c>
      <c r="Q929" s="76" t="s">
        <v>2076</v>
      </c>
      <c r="R929" s="73">
        <f t="shared" si="84"/>
        <v>1</v>
      </c>
      <c r="S929" s="260" t="s">
        <v>1976</v>
      </c>
      <c r="T929" s="260"/>
      <c r="U929" s="260"/>
      <c r="V929" s="260"/>
      <c r="W929" s="260"/>
      <c r="X929" s="260"/>
      <c r="Y929" s="565"/>
      <c r="Z929" s="565"/>
      <c r="AA929" s="566">
        <f t="shared" si="78"/>
        <v>0</v>
      </c>
      <c r="AB929" s="699"/>
    </row>
    <row r="930" spans="1:28" ht="15.75" customHeight="1" x14ac:dyDescent="0.3">
      <c r="A930" s="79" t="s">
        <v>3260</v>
      </c>
      <c r="C930" s="81">
        <v>43824</v>
      </c>
      <c r="D930" s="109">
        <v>43868</v>
      </c>
      <c r="E930" s="560"/>
      <c r="F930" s="86" t="s">
        <v>3261</v>
      </c>
      <c r="G930" s="86" t="s">
        <v>172</v>
      </c>
      <c r="H930" s="79" t="s">
        <v>213</v>
      </c>
      <c r="I930" s="97" t="s">
        <v>642</v>
      </c>
      <c r="J930" s="73">
        <f t="shared" si="83"/>
        <v>1</v>
      </c>
      <c r="K930" s="74" t="s">
        <v>204</v>
      </c>
      <c r="N930" s="76" t="s">
        <v>17</v>
      </c>
      <c r="Q930" s="76" t="s">
        <v>2076</v>
      </c>
      <c r="R930" s="73">
        <f t="shared" si="84"/>
        <v>1</v>
      </c>
      <c r="S930" s="260" t="s">
        <v>1976</v>
      </c>
      <c r="T930" s="260"/>
      <c r="U930" s="260"/>
      <c r="V930" s="260"/>
      <c r="W930" s="260"/>
      <c r="X930" s="260"/>
      <c r="Y930" s="565"/>
      <c r="Z930" s="565"/>
      <c r="AA930" s="566">
        <f t="shared" si="78"/>
        <v>0</v>
      </c>
      <c r="AB930" s="699"/>
    </row>
    <row r="931" spans="1:28" ht="15.75" customHeight="1" x14ac:dyDescent="0.3">
      <c r="A931" s="79" t="s">
        <v>3262</v>
      </c>
      <c r="C931" s="81">
        <v>43824</v>
      </c>
      <c r="D931" s="109">
        <v>43868</v>
      </c>
      <c r="E931" s="560"/>
      <c r="F931" s="86" t="s">
        <v>3263</v>
      </c>
      <c r="G931" s="86" t="s">
        <v>156</v>
      </c>
      <c r="H931" s="79" t="s">
        <v>213</v>
      </c>
      <c r="J931" s="73">
        <f t="shared" si="83"/>
        <v>1</v>
      </c>
      <c r="K931" s="74" t="s">
        <v>204</v>
      </c>
      <c r="N931" s="76" t="s">
        <v>17</v>
      </c>
      <c r="Q931" s="76" t="s">
        <v>2076</v>
      </c>
      <c r="R931" s="73">
        <f t="shared" si="84"/>
        <v>1</v>
      </c>
      <c r="S931" s="260" t="s">
        <v>1976</v>
      </c>
      <c r="T931" s="260"/>
      <c r="U931" s="260"/>
      <c r="V931" s="260"/>
      <c r="W931" s="260"/>
      <c r="X931" s="260"/>
      <c r="Y931" s="565"/>
      <c r="Z931" s="565"/>
      <c r="AA931" s="566">
        <f t="shared" si="78"/>
        <v>0</v>
      </c>
      <c r="AB931" s="699"/>
    </row>
    <row r="932" spans="1:28" ht="15.75" customHeight="1" x14ac:dyDescent="0.3">
      <c r="A932" s="349" t="s">
        <v>3804</v>
      </c>
      <c r="C932" s="81">
        <v>43840</v>
      </c>
      <c r="D932" s="109">
        <v>43864</v>
      </c>
      <c r="E932" s="560"/>
      <c r="F932" s="86" t="s">
        <v>3805</v>
      </c>
      <c r="G932" s="86" t="s">
        <v>164</v>
      </c>
      <c r="H932" s="79" t="s">
        <v>213</v>
      </c>
      <c r="I932" s="97" t="s">
        <v>972</v>
      </c>
      <c r="J932" s="73">
        <f t="shared" si="83"/>
        <v>1</v>
      </c>
      <c r="K932" s="74" t="s">
        <v>204</v>
      </c>
      <c r="L932" s="97" t="s">
        <v>456</v>
      </c>
      <c r="N932" s="76" t="s">
        <v>17</v>
      </c>
      <c r="Q932" s="76" t="s">
        <v>2076</v>
      </c>
      <c r="R932" s="73">
        <f t="shared" si="84"/>
        <v>1</v>
      </c>
      <c r="S932" s="260" t="s">
        <v>1976</v>
      </c>
      <c r="T932" s="260"/>
      <c r="U932" s="260"/>
      <c r="V932" s="260"/>
      <c r="W932" s="260"/>
      <c r="X932" s="260"/>
      <c r="Y932" s="565"/>
      <c r="Z932" s="565"/>
      <c r="AA932" s="566">
        <f t="shared" si="78"/>
        <v>0</v>
      </c>
      <c r="AB932" s="699"/>
    </row>
    <row r="933" spans="1:28" ht="15.75" customHeight="1" x14ac:dyDescent="0.3">
      <c r="A933" s="349" t="s">
        <v>3806</v>
      </c>
      <c r="C933" s="81">
        <v>43840</v>
      </c>
      <c r="D933" s="109">
        <v>43864</v>
      </c>
      <c r="E933" s="560"/>
      <c r="F933" s="86" t="s">
        <v>3807</v>
      </c>
      <c r="G933" s="86" t="s">
        <v>1384</v>
      </c>
      <c r="H933" s="79" t="s">
        <v>213</v>
      </c>
      <c r="I933" s="97" t="s">
        <v>2478</v>
      </c>
      <c r="J933" s="73">
        <f t="shared" si="83"/>
        <v>1</v>
      </c>
      <c r="K933" s="74" t="s">
        <v>204</v>
      </c>
      <c r="L933" s="97" t="s">
        <v>3839</v>
      </c>
      <c r="N933" s="76" t="s">
        <v>19</v>
      </c>
      <c r="Q933" s="76" t="s">
        <v>2076</v>
      </c>
      <c r="R933" s="73">
        <f t="shared" si="84"/>
        <v>1</v>
      </c>
      <c r="S933" s="260" t="s">
        <v>1976</v>
      </c>
      <c r="T933" s="260"/>
      <c r="U933" s="260"/>
      <c r="V933" s="260"/>
      <c r="W933" s="260"/>
      <c r="X933" s="260"/>
      <c r="Y933" s="565"/>
      <c r="Z933" s="565"/>
      <c r="AA933" s="566">
        <f t="shared" si="78"/>
        <v>0</v>
      </c>
      <c r="AB933" s="699"/>
    </row>
    <row r="934" spans="1:28" ht="15.75" customHeight="1" x14ac:dyDescent="0.3">
      <c r="A934" s="79" t="s">
        <v>3808</v>
      </c>
      <c r="C934" s="81">
        <v>43843</v>
      </c>
      <c r="D934" s="109">
        <v>43865</v>
      </c>
      <c r="E934" s="560"/>
      <c r="F934" s="86" t="s">
        <v>3809</v>
      </c>
      <c r="G934" s="86" t="s">
        <v>166</v>
      </c>
      <c r="H934" s="79" t="s">
        <v>213</v>
      </c>
      <c r="I934" s="97" t="s">
        <v>722</v>
      </c>
      <c r="J934" s="73">
        <f t="shared" si="83"/>
        <v>1</v>
      </c>
      <c r="K934" s="74" t="s">
        <v>204</v>
      </c>
      <c r="L934" s="97" t="s">
        <v>3841</v>
      </c>
      <c r="N934" s="76" t="s">
        <v>18</v>
      </c>
      <c r="Q934" s="76" t="s">
        <v>2076</v>
      </c>
      <c r="R934" s="73">
        <f t="shared" si="84"/>
        <v>1</v>
      </c>
      <c r="S934" s="260" t="s">
        <v>1976</v>
      </c>
      <c r="T934" s="260"/>
      <c r="U934" s="260"/>
      <c r="V934" s="260"/>
      <c r="W934" s="260"/>
      <c r="X934" s="260"/>
      <c r="Y934" s="565"/>
      <c r="Z934" s="565"/>
      <c r="AA934" s="566">
        <f t="shared" si="78"/>
        <v>0</v>
      </c>
      <c r="AB934" s="699"/>
    </row>
    <row r="935" spans="1:28" ht="15.75" customHeight="1" x14ac:dyDescent="0.3">
      <c r="A935" s="79" t="s">
        <v>3812</v>
      </c>
      <c r="C935" s="81">
        <v>43843</v>
      </c>
      <c r="D935" s="109">
        <v>43865</v>
      </c>
      <c r="E935" s="560"/>
      <c r="F935" s="86" t="s">
        <v>3813</v>
      </c>
      <c r="G935" s="86" t="s">
        <v>157</v>
      </c>
      <c r="H935" s="79" t="s">
        <v>213</v>
      </c>
      <c r="I935" s="97" t="s">
        <v>658</v>
      </c>
      <c r="J935" s="73">
        <f t="shared" si="83"/>
        <v>1</v>
      </c>
      <c r="K935" s="74" t="s">
        <v>204</v>
      </c>
      <c r="N935" s="76" t="s">
        <v>18</v>
      </c>
      <c r="Q935" s="76" t="s">
        <v>2076</v>
      </c>
      <c r="R935" s="73">
        <f t="shared" si="84"/>
        <v>1</v>
      </c>
      <c r="S935" s="260" t="s">
        <v>1976</v>
      </c>
      <c r="T935" s="260"/>
      <c r="U935" s="260"/>
      <c r="V935" s="260"/>
      <c r="W935" s="260"/>
      <c r="X935" s="260"/>
      <c r="Y935" s="565"/>
      <c r="Z935" s="565"/>
      <c r="AA935" s="566">
        <f t="shared" ref="AA935:AA977" si="85">Z935-Y935</f>
        <v>0</v>
      </c>
      <c r="AB935" s="699"/>
    </row>
    <row r="936" spans="1:28" ht="15.75" customHeight="1" x14ac:dyDescent="0.3">
      <c r="A936" s="79" t="s">
        <v>3814</v>
      </c>
      <c r="C936" s="81">
        <v>43844</v>
      </c>
      <c r="D936" s="109">
        <v>43866</v>
      </c>
      <c r="E936" s="560"/>
      <c r="F936" s="86" t="s">
        <v>3815</v>
      </c>
      <c r="G936" s="86" t="s">
        <v>150</v>
      </c>
      <c r="H936" s="79" t="s">
        <v>213</v>
      </c>
      <c r="I936" s="97" t="s">
        <v>649</v>
      </c>
      <c r="J936" s="73">
        <f t="shared" si="83"/>
        <v>1</v>
      </c>
      <c r="K936" s="74" t="s">
        <v>204</v>
      </c>
      <c r="N936" s="76" t="s">
        <v>17</v>
      </c>
      <c r="Q936" s="76" t="s">
        <v>2076</v>
      </c>
      <c r="R936" s="73">
        <f t="shared" si="84"/>
        <v>1</v>
      </c>
      <c r="S936" s="260" t="s">
        <v>1976</v>
      </c>
      <c r="T936" s="260"/>
      <c r="U936" s="260"/>
      <c r="V936" s="260"/>
      <c r="W936" s="260"/>
      <c r="X936" s="260"/>
      <c r="Y936" s="565"/>
      <c r="Z936" s="565"/>
      <c r="AA936" s="566">
        <f t="shared" si="85"/>
        <v>0</v>
      </c>
      <c r="AB936" s="699"/>
    </row>
    <row r="937" spans="1:28" ht="15.75" customHeight="1" x14ac:dyDescent="0.3">
      <c r="A937" s="79" t="s">
        <v>3816</v>
      </c>
      <c r="C937" s="81">
        <v>43844</v>
      </c>
      <c r="D937" s="109">
        <v>43866</v>
      </c>
      <c r="E937" s="560"/>
      <c r="F937" s="86" t="s">
        <v>3817</v>
      </c>
      <c r="G937" s="86" t="s">
        <v>158</v>
      </c>
      <c r="H937" s="79" t="s">
        <v>213</v>
      </c>
      <c r="I937" s="97" t="s">
        <v>2478</v>
      </c>
      <c r="J937" s="73">
        <f t="shared" si="83"/>
        <v>1</v>
      </c>
      <c r="K937" s="74" t="s">
        <v>204</v>
      </c>
      <c r="N937" s="76" t="s">
        <v>17</v>
      </c>
      <c r="Q937" s="76" t="s">
        <v>2076</v>
      </c>
      <c r="R937" s="73">
        <f t="shared" si="84"/>
        <v>1</v>
      </c>
      <c r="S937" s="260" t="s">
        <v>1976</v>
      </c>
      <c r="T937" s="260"/>
      <c r="U937" s="260"/>
      <c r="V937" s="260"/>
      <c r="W937" s="260"/>
      <c r="X937" s="260"/>
      <c r="Y937" s="565"/>
      <c r="Z937" s="565"/>
      <c r="AA937" s="566">
        <f t="shared" si="85"/>
        <v>0</v>
      </c>
      <c r="AB937" s="699"/>
    </row>
    <row r="938" spans="1:28" ht="15.75" customHeight="1" x14ac:dyDescent="0.3">
      <c r="A938" s="79" t="s">
        <v>3818</v>
      </c>
      <c r="C938" s="81">
        <v>43844</v>
      </c>
      <c r="D938" s="109">
        <v>43866</v>
      </c>
      <c r="E938" s="560"/>
      <c r="F938" s="86" t="s">
        <v>3819</v>
      </c>
      <c r="G938" s="86" t="s">
        <v>152</v>
      </c>
      <c r="H938" s="79" t="s">
        <v>213</v>
      </c>
      <c r="I938" s="97" t="s">
        <v>2478</v>
      </c>
      <c r="J938" s="73">
        <f t="shared" si="83"/>
        <v>1</v>
      </c>
      <c r="K938" s="74" t="s">
        <v>204</v>
      </c>
      <c r="N938" s="76" t="s">
        <v>17</v>
      </c>
      <c r="Q938" s="76" t="s">
        <v>2076</v>
      </c>
      <c r="R938" s="73">
        <f t="shared" si="84"/>
        <v>1</v>
      </c>
      <c r="S938" s="260" t="s">
        <v>1976</v>
      </c>
      <c r="T938" s="260"/>
      <c r="U938" s="260"/>
      <c r="V938" s="260"/>
      <c r="W938" s="260"/>
      <c r="X938" s="260"/>
      <c r="Y938" s="565"/>
      <c r="Z938" s="565"/>
      <c r="AA938" s="566">
        <f t="shared" si="85"/>
        <v>0</v>
      </c>
      <c r="AB938" s="699"/>
    </row>
    <row r="939" spans="1:28" ht="15.75" customHeight="1" x14ac:dyDescent="0.3">
      <c r="A939" s="79" t="s">
        <v>3820</v>
      </c>
      <c r="C939" s="81">
        <v>43844</v>
      </c>
      <c r="D939" s="109">
        <v>43866</v>
      </c>
      <c r="E939" s="560"/>
      <c r="F939" s="86" t="s">
        <v>3821</v>
      </c>
      <c r="G939" s="86" t="s">
        <v>152</v>
      </c>
      <c r="H939" s="79" t="s">
        <v>213</v>
      </c>
      <c r="I939" s="97" t="s">
        <v>2478</v>
      </c>
      <c r="J939" s="73">
        <f t="shared" si="83"/>
        <v>1</v>
      </c>
      <c r="K939" s="74" t="s">
        <v>204</v>
      </c>
      <c r="L939" s="86" t="s">
        <v>3844</v>
      </c>
      <c r="N939" s="76" t="s">
        <v>17</v>
      </c>
      <c r="Q939" s="76" t="s">
        <v>2076</v>
      </c>
      <c r="R939" s="73">
        <f t="shared" si="84"/>
        <v>1</v>
      </c>
      <c r="S939" s="260" t="s">
        <v>1976</v>
      </c>
      <c r="T939" s="260"/>
      <c r="U939" s="260"/>
      <c r="V939" s="260"/>
      <c r="W939" s="260"/>
      <c r="X939" s="260"/>
      <c r="Y939" s="565"/>
      <c r="Z939" s="565"/>
      <c r="AA939" s="566">
        <f t="shared" si="85"/>
        <v>0</v>
      </c>
      <c r="AB939" s="699"/>
    </row>
    <row r="940" spans="1:28" ht="15.75" customHeight="1" x14ac:dyDescent="0.3">
      <c r="A940" s="79" t="s">
        <v>3822</v>
      </c>
      <c r="C940" s="81">
        <v>43844</v>
      </c>
      <c r="D940" s="109">
        <v>43866</v>
      </c>
      <c r="E940" s="560"/>
      <c r="F940" s="86" t="s">
        <v>3823</v>
      </c>
      <c r="G940" s="86" t="s">
        <v>150</v>
      </c>
      <c r="H940" s="79" t="s">
        <v>213</v>
      </c>
      <c r="I940" s="97" t="s">
        <v>2193</v>
      </c>
      <c r="J940" s="73">
        <f t="shared" si="83"/>
        <v>1</v>
      </c>
      <c r="K940" s="74" t="s">
        <v>204</v>
      </c>
      <c r="L940" s="97" t="s">
        <v>3854</v>
      </c>
      <c r="N940" s="76" t="s">
        <v>17</v>
      </c>
      <c r="Q940" s="76" t="s">
        <v>2076</v>
      </c>
      <c r="R940" s="73">
        <f t="shared" si="84"/>
        <v>1</v>
      </c>
      <c r="S940" s="260" t="s">
        <v>1976</v>
      </c>
      <c r="T940" s="260"/>
      <c r="U940" s="260"/>
      <c r="V940" s="260"/>
      <c r="W940" s="260"/>
      <c r="X940" s="260"/>
      <c r="Y940" s="565"/>
      <c r="Z940" s="565"/>
      <c r="AA940" s="566">
        <f t="shared" si="85"/>
        <v>0</v>
      </c>
      <c r="AB940" s="699"/>
    </row>
    <row r="941" spans="1:28" ht="15.75" customHeight="1" x14ac:dyDescent="0.3">
      <c r="A941" s="79" t="s">
        <v>3824</v>
      </c>
      <c r="C941" s="81">
        <v>43845</v>
      </c>
      <c r="D941" s="109">
        <v>43867</v>
      </c>
      <c r="E941" s="560"/>
      <c r="F941" s="86" t="s">
        <v>3825</v>
      </c>
      <c r="G941" s="86" t="s">
        <v>158</v>
      </c>
      <c r="H941" s="79" t="s">
        <v>213</v>
      </c>
      <c r="I941" s="97" t="s">
        <v>3479</v>
      </c>
      <c r="J941" s="73">
        <f t="shared" si="83"/>
        <v>1</v>
      </c>
      <c r="K941" s="74" t="s">
        <v>204</v>
      </c>
      <c r="N941" s="76" t="s">
        <v>18</v>
      </c>
      <c r="Q941" s="76" t="s">
        <v>2076</v>
      </c>
      <c r="R941" s="73">
        <f t="shared" si="84"/>
        <v>1</v>
      </c>
      <c r="S941" s="260" t="s">
        <v>1976</v>
      </c>
      <c r="T941" s="260"/>
      <c r="U941" s="260"/>
      <c r="V941" s="260"/>
      <c r="W941" s="260"/>
      <c r="X941" s="260"/>
      <c r="Y941" s="565"/>
      <c r="Z941" s="565"/>
      <c r="AA941" s="566">
        <f t="shared" si="85"/>
        <v>0</v>
      </c>
      <c r="AB941" s="699"/>
    </row>
    <row r="942" spans="1:28" ht="15.75" customHeight="1" x14ac:dyDescent="0.3">
      <c r="A942" s="79" t="s">
        <v>3834</v>
      </c>
      <c r="C942" s="81">
        <v>43846</v>
      </c>
      <c r="D942" s="109">
        <v>43868</v>
      </c>
      <c r="E942" s="560"/>
      <c r="F942" s="252" t="s">
        <v>3835</v>
      </c>
      <c r="G942" s="86" t="s">
        <v>175</v>
      </c>
      <c r="H942" s="79" t="s">
        <v>213</v>
      </c>
      <c r="I942" s="97" t="s">
        <v>658</v>
      </c>
      <c r="J942" s="73">
        <f t="shared" si="83"/>
        <v>1</v>
      </c>
      <c r="K942" s="74" t="s">
        <v>204</v>
      </c>
      <c r="N942" s="76" t="s">
        <v>17</v>
      </c>
      <c r="Q942" s="76" t="s">
        <v>2076</v>
      </c>
      <c r="R942" s="73">
        <f t="shared" si="84"/>
        <v>1</v>
      </c>
      <c r="S942" s="260" t="s">
        <v>1976</v>
      </c>
      <c r="T942" s="260"/>
      <c r="U942" s="260"/>
      <c r="V942" s="260"/>
      <c r="W942" s="260"/>
      <c r="X942" s="260"/>
      <c r="Y942" s="565"/>
      <c r="Z942" s="565"/>
      <c r="AA942" s="566">
        <f t="shared" si="85"/>
        <v>0</v>
      </c>
      <c r="AB942" s="699"/>
    </row>
    <row r="943" spans="1:28" ht="15.75" customHeight="1" x14ac:dyDescent="0.3">
      <c r="A943" s="79" t="s">
        <v>3497</v>
      </c>
      <c r="C943" s="81">
        <v>43825</v>
      </c>
      <c r="D943" s="109">
        <v>43871</v>
      </c>
      <c r="E943" s="560"/>
      <c r="F943" s="86" t="s">
        <v>3498</v>
      </c>
      <c r="G943" s="86" t="s">
        <v>156</v>
      </c>
      <c r="H943" s="96" t="s">
        <v>213</v>
      </c>
      <c r="I943" s="97" t="s">
        <v>714</v>
      </c>
      <c r="J943" s="73">
        <f t="shared" ref="J943:J952" si="86">IF(OR(K943="Документы готовы",K943="Запрос в ФО",K943="ЭЗ",K943="РЕШ",K943="РЕШ шаблон"),0.1,IF(OR(K943="ЭЗ согласование",K943="РЕШ согласование"),0.3,IF(OR(K943="ЭЗ согласовано",K943="РЕШ согласовано",K943="РЕШ подписано"),0.6,IF(OR(K943="ЭЗ ПР согласование",K943="РЕШ УВ согласование"),0.9,IF(OR(K943="ЭЗ ПР DONE",K943="РЕШ УВ DONE"),1,0)))))</f>
        <v>1</v>
      </c>
      <c r="K943" s="74" t="s">
        <v>204</v>
      </c>
      <c r="N943" s="76" t="s">
        <v>18</v>
      </c>
      <c r="Q943" s="76" t="s">
        <v>2076</v>
      </c>
      <c r="R943" s="73">
        <f t="shared" ref="R943:R953" si="87">IF(S943="В работе",0.3,IF(S943="Отписано",0.6,IF(S943="На доработку",0.9,IF(S943="Согласовано",1,0))))</f>
        <v>1</v>
      </c>
      <c r="S943" s="260" t="s">
        <v>1976</v>
      </c>
      <c r="T943" s="260"/>
      <c r="U943" s="260"/>
      <c r="V943" s="260"/>
      <c r="W943" s="260"/>
      <c r="X943" s="260"/>
      <c r="Y943" s="565"/>
      <c r="Z943" s="565"/>
      <c r="AA943" s="566">
        <f t="shared" si="85"/>
        <v>0</v>
      </c>
      <c r="AB943" s="699"/>
    </row>
    <row r="944" spans="1:28" ht="15.75" customHeight="1" x14ac:dyDescent="0.3">
      <c r="A944" s="79" t="s">
        <v>3501</v>
      </c>
      <c r="C944" s="81">
        <v>43825</v>
      </c>
      <c r="D944" s="109">
        <v>43871</v>
      </c>
      <c r="E944" s="560"/>
      <c r="F944" s="86" t="s">
        <v>3502</v>
      </c>
      <c r="G944" s="86" t="s">
        <v>189</v>
      </c>
      <c r="H944" s="96" t="s">
        <v>213</v>
      </c>
      <c r="I944" s="97" t="s">
        <v>642</v>
      </c>
      <c r="J944" s="73">
        <f t="shared" si="86"/>
        <v>1</v>
      </c>
      <c r="K944" s="74" t="s">
        <v>204</v>
      </c>
      <c r="L944" s="97" t="s">
        <v>4069</v>
      </c>
      <c r="N944" s="76" t="s">
        <v>18</v>
      </c>
      <c r="Q944" s="76" t="s">
        <v>2076</v>
      </c>
      <c r="R944" s="73">
        <f t="shared" si="87"/>
        <v>1</v>
      </c>
      <c r="S944" s="260" t="s">
        <v>1976</v>
      </c>
      <c r="T944" s="260"/>
      <c r="U944" s="260"/>
      <c r="V944" s="260"/>
      <c r="W944" s="260"/>
      <c r="X944" s="260"/>
      <c r="Y944" s="565"/>
      <c r="Z944" s="565"/>
      <c r="AA944" s="566">
        <f t="shared" si="85"/>
        <v>0</v>
      </c>
      <c r="AB944" s="699"/>
    </row>
    <row r="945" spans="1:28" ht="15.75" customHeight="1" x14ac:dyDescent="0.3">
      <c r="A945" s="79" t="s">
        <v>3503</v>
      </c>
      <c r="C945" s="81">
        <v>43826</v>
      </c>
      <c r="D945" s="109">
        <v>43872</v>
      </c>
      <c r="E945" s="560"/>
      <c r="F945" s="86" t="s">
        <v>3504</v>
      </c>
      <c r="G945" s="86" t="s">
        <v>156</v>
      </c>
      <c r="H945" s="79" t="s">
        <v>213</v>
      </c>
      <c r="I945" s="97" t="s">
        <v>714</v>
      </c>
      <c r="J945" s="73">
        <f t="shared" si="86"/>
        <v>1</v>
      </c>
      <c r="K945" s="74" t="s">
        <v>204</v>
      </c>
      <c r="N945" s="76" t="s">
        <v>18</v>
      </c>
      <c r="Q945" s="76" t="s">
        <v>2076</v>
      </c>
      <c r="R945" s="73">
        <f t="shared" si="87"/>
        <v>1</v>
      </c>
      <c r="S945" s="260" t="s">
        <v>1976</v>
      </c>
      <c r="T945" s="260"/>
      <c r="U945" s="260"/>
      <c r="V945" s="260"/>
      <c r="W945" s="260"/>
      <c r="X945" s="260"/>
      <c r="Y945" s="565"/>
      <c r="Z945" s="565"/>
      <c r="AA945" s="566">
        <f t="shared" si="85"/>
        <v>0</v>
      </c>
      <c r="AB945" s="699"/>
    </row>
    <row r="946" spans="1:28" ht="15.75" customHeight="1" x14ac:dyDescent="0.3">
      <c r="A946" s="79" t="s">
        <v>3512</v>
      </c>
      <c r="C946" s="81">
        <v>43826</v>
      </c>
      <c r="D946" s="109">
        <v>43872</v>
      </c>
      <c r="E946" s="560"/>
      <c r="F946" s="86" t="s">
        <v>3513</v>
      </c>
      <c r="G946" s="86" t="s">
        <v>158</v>
      </c>
      <c r="H946" s="79" t="s">
        <v>213</v>
      </c>
      <c r="I946" s="97" t="s">
        <v>714</v>
      </c>
      <c r="J946" s="73">
        <f t="shared" si="86"/>
        <v>1</v>
      </c>
      <c r="K946" s="74" t="s">
        <v>204</v>
      </c>
      <c r="N946" s="76" t="s">
        <v>18</v>
      </c>
      <c r="Q946" s="76" t="s">
        <v>2076</v>
      </c>
      <c r="R946" s="73">
        <f t="shared" si="87"/>
        <v>1</v>
      </c>
      <c r="S946" s="260" t="s">
        <v>1976</v>
      </c>
      <c r="T946" s="260"/>
      <c r="U946" s="260"/>
      <c r="V946" s="260"/>
      <c r="W946" s="260"/>
      <c r="X946" s="260"/>
      <c r="Y946" s="565"/>
      <c r="Z946" s="565"/>
      <c r="AA946" s="566">
        <f t="shared" si="85"/>
        <v>0</v>
      </c>
      <c r="AB946" s="699"/>
    </row>
    <row r="947" spans="1:28" ht="15.75" customHeight="1" x14ac:dyDescent="0.3">
      <c r="A947" s="79" t="s">
        <v>3862</v>
      </c>
      <c r="C947" s="81">
        <v>43829</v>
      </c>
      <c r="D947" s="109">
        <v>43872</v>
      </c>
      <c r="E947" s="560"/>
      <c r="F947" s="86" t="s">
        <v>3863</v>
      </c>
      <c r="G947" s="86" t="s">
        <v>154</v>
      </c>
      <c r="H947" s="79" t="s">
        <v>213</v>
      </c>
      <c r="I947" s="97" t="s">
        <v>722</v>
      </c>
      <c r="J947" s="73">
        <f t="shared" si="86"/>
        <v>1</v>
      </c>
      <c r="K947" s="74" t="s">
        <v>204</v>
      </c>
      <c r="L947" s="97" t="s">
        <v>4071</v>
      </c>
      <c r="N947" s="76" t="s">
        <v>17</v>
      </c>
      <c r="Q947" s="76" t="s">
        <v>2076</v>
      </c>
      <c r="R947" s="73">
        <f t="shared" si="87"/>
        <v>1</v>
      </c>
      <c r="S947" s="260" t="s">
        <v>1976</v>
      </c>
      <c r="T947" s="260"/>
      <c r="U947" s="260"/>
      <c r="V947" s="260"/>
      <c r="W947" s="260"/>
      <c r="X947" s="260"/>
      <c r="Y947" s="565"/>
      <c r="Z947" s="565"/>
      <c r="AA947" s="566">
        <f t="shared" si="85"/>
        <v>0</v>
      </c>
      <c r="AB947" s="699"/>
    </row>
    <row r="948" spans="1:28" ht="15.75" customHeight="1" x14ac:dyDescent="0.3">
      <c r="A948" s="79" t="s">
        <v>3514</v>
      </c>
      <c r="C948" s="81">
        <v>43829</v>
      </c>
      <c r="D948" s="109">
        <v>43873</v>
      </c>
      <c r="E948" s="560"/>
      <c r="F948" s="86" t="s">
        <v>3515</v>
      </c>
      <c r="G948" s="86" t="s">
        <v>156</v>
      </c>
      <c r="H948" s="79" t="s">
        <v>213</v>
      </c>
      <c r="I948" s="97" t="s">
        <v>642</v>
      </c>
      <c r="J948" s="73">
        <f t="shared" si="86"/>
        <v>1</v>
      </c>
      <c r="K948" s="74" t="s">
        <v>204</v>
      </c>
      <c r="N948" s="76" t="s">
        <v>17</v>
      </c>
      <c r="Q948" s="76" t="s">
        <v>2076</v>
      </c>
      <c r="R948" s="73">
        <f t="shared" si="87"/>
        <v>1</v>
      </c>
      <c r="S948" s="260" t="s">
        <v>1976</v>
      </c>
      <c r="T948" s="260"/>
      <c r="U948" s="260"/>
      <c r="V948" s="260"/>
      <c r="W948" s="260"/>
      <c r="X948" s="260"/>
      <c r="Y948" s="565"/>
      <c r="Z948" s="565"/>
      <c r="AA948" s="566">
        <f t="shared" si="85"/>
        <v>0</v>
      </c>
      <c r="AB948" s="699"/>
    </row>
    <row r="949" spans="1:28" ht="15.75" customHeight="1" x14ac:dyDescent="0.3">
      <c r="A949" s="79" t="s">
        <v>3866</v>
      </c>
      <c r="C949" s="81">
        <v>43847</v>
      </c>
      <c r="D949" s="109">
        <v>43871</v>
      </c>
      <c r="E949" s="560"/>
      <c r="F949" s="86" t="s">
        <v>3867</v>
      </c>
      <c r="G949" s="86" t="s">
        <v>191</v>
      </c>
      <c r="H949" s="96" t="s">
        <v>213</v>
      </c>
      <c r="I949" s="97" t="s">
        <v>3476</v>
      </c>
      <c r="J949" s="73">
        <f t="shared" si="86"/>
        <v>1</v>
      </c>
      <c r="K949" s="74" t="s">
        <v>204</v>
      </c>
      <c r="N949" s="76" t="s">
        <v>18</v>
      </c>
      <c r="Q949" s="76" t="s">
        <v>2076</v>
      </c>
      <c r="R949" s="73">
        <f t="shared" si="87"/>
        <v>1</v>
      </c>
      <c r="S949" s="260" t="s">
        <v>1976</v>
      </c>
      <c r="T949" s="260"/>
      <c r="U949" s="260"/>
      <c r="V949" s="260"/>
      <c r="W949" s="260"/>
      <c r="X949" s="260"/>
      <c r="Y949" s="565"/>
      <c r="Z949" s="565"/>
      <c r="AA949" s="566">
        <f t="shared" si="85"/>
        <v>0</v>
      </c>
      <c r="AB949" s="699"/>
    </row>
    <row r="950" spans="1:28" ht="15.75" customHeight="1" x14ac:dyDescent="0.3">
      <c r="A950" s="79" t="s">
        <v>3874</v>
      </c>
      <c r="C950" s="81">
        <v>43850</v>
      </c>
      <c r="D950" s="109">
        <v>43872</v>
      </c>
      <c r="E950" s="560"/>
      <c r="F950" s="86" t="s">
        <v>3875</v>
      </c>
      <c r="G950" s="86" t="s">
        <v>152</v>
      </c>
      <c r="H950" s="79" t="s">
        <v>213</v>
      </c>
      <c r="I950" s="97" t="s">
        <v>649</v>
      </c>
      <c r="J950" s="73">
        <f t="shared" si="86"/>
        <v>1</v>
      </c>
      <c r="K950" s="74" t="s">
        <v>204</v>
      </c>
      <c r="L950" s="97" t="s">
        <v>4072</v>
      </c>
      <c r="N950" s="76" t="s">
        <v>18</v>
      </c>
      <c r="Q950" s="76" t="s">
        <v>2076</v>
      </c>
      <c r="R950" s="73">
        <f t="shared" si="87"/>
        <v>1</v>
      </c>
      <c r="S950" s="260" t="s">
        <v>1976</v>
      </c>
      <c r="T950" s="260"/>
      <c r="U950" s="260"/>
      <c r="V950" s="260"/>
      <c r="W950" s="260"/>
      <c r="X950" s="260"/>
      <c r="Y950" s="565"/>
      <c r="Z950" s="565"/>
      <c r="AA950" s="566">
        <f t="shared" si="85"/>
        <v>0</v>
      </c>
      <c r="AB950" s="699"/>
    </row>
    <row r="951" spans="1:28" ht="15.75" customHeight="1" x14ac:dyDescent="0.3">
      <c r="A951" s="79" t="s">
        <v>3876</v>
      </c>
      <c r="C951" s="81">
        <v>43850</v>
      </c>
      <c r="D951" s="109">
        <v>43872</v>
      </c>
      <c r="E951" s="560"/>
      <c r="F951" s="86" t="s">
        <v>3877</v>
      </c>
      <c r="G951" s="86" t="s">
        <v>152</v>
      </c>
      <c r="H951" s="79" t="s">
        <v>213</v>
      </c>
      <c r="I951" s="97" t="s">
        <v>2478</v>
      </c>
      <c r="J951" s="73">
        <f t="shared" si="86"/>
        <v>1</v>
      </c>
      <c r="K951" s="74" t="s">
        <v>204</v>
      </c>
      <c r="N951" s="76" t="s">
        <v>17</v>
      </c>
      <c r="Q951" s="76" t="s">
        <v>2076</v>
      </c>
      <c r="R951" s="73">
        <f t="shared" si="87"/>
        <v>1</v>
      </c>
      <c r="S951" s="260" t="s">
        <v>1976</v>
      </c>
      <c r="T951" s="260"/>
      <c r="U951" s="260"/>
      <c r="V951" s="260"/>
      <c r="W951" s="260"/>
      <c r="X951" s="260"/>
      <c r="Y951" s="565"/>
      <c r="Z951" s="565"/>
      <c r="AA951" s="566">
        <f t="shared" si="85"/>
        <v>0</v>
      </c>
      <c r="AB951" s="699"/>
    </row>
    <row r="952" spans="1:28" ht="15.75" customHeight="1" x14ac:dyDescent="0.3">
      <c r="A952" s="79" t="s">
        <v>3886</v>
      </c>
      <c r="C952" s="81">
        <v>43852</v>
      </c>
      <c r="D952" s="109">
        <v>43873</v>
      </c>
      <c r="E952" s="560"/>
      <c r="F952" s="86" t="s">
        <v>3887</v>
      </c>
      <c r="G952" s="86" t="s">
        <v>154</v>
      </c>
      <c r="H952" s="79" t="s">
        <v>213</v>
      </c>
      <c r="J952" s="73">
        <f t="shared" si="86"/>
        <v>1</v>
      </c>
      <c r="K952" s="74" t="s">
        <v>204</v>
      </c>
      <c r="N952" s="76" t="s">
        <v>19</v>
      </c>
      <c r="Q952" s="76" t="s">
        <v>2076</v>
      </c>
      <c r="R952" s="73">
        <f t="shared" si="87"/>
        <v>1</v>
      </c>
      <c r="S952" s="260" t="s">
        <v>1976</v>
      </c>
      <c r="T952" s="260"/>
      <c r="U952" s="260"/>
      <c r="V952" s="260"/>
      <c r="W952" s="260"/>
      <c r="X952" s="260"/>
      <c r="Y952" s="565"/>
      <c r="Z952" s="565"/>
      <c r="AA952" s="566">
        <f t="shared" si="85"/>
        <v>0</v>
      </c>
      <c r="AB952" s="699"/>
    </row>
    <row r="953" spans="1:28" ht="15.75" customHeight="1" x14ac:dyDescent="0.3">
      <c r="A953" s="79" t="s">
        <v>3890</v>
      </c>
      <c r="C953" s="81">
        <v>43852</v>
      </c>
      <c r="D953" s="109">
        <v>43873</v>
      </c>
      <c r="E953" s="560"/>
      <c r="F953" s="86" t="s">
        <v>3891</v>
      </c>
      <c r="G953" s="86" t="s">
        <v>156</v>
      </c>
      <c r="H953" s="79" t="s">
        <v>213</v>
      </c>
      <c r="I953" s="97" t="s">
        <v>649</v>
      </c>
      <c r="J953" s="73">
        <f t="shared" ref="J953:J964" si="88">IF(OR(K953="Документы готовы",K953="Запрос в ФО",K953="ЭЗ",K953="РЕШ",K953="РЕШ шаблон"),0.1,IF(OR(K953="ЭЗ согласование",K953="РЕШ согласование"),0.3,IF(OR(K953="ЭЗ согласовано",K953="РЕШ согласовано",K953="РЕШ подписано"),0.6,IF(OR(K953="ЭЗ ПР согласование",K953="РЕШ УВ согласование"),0.9,IF(OR(K953="ЭЗ ПР DONE",K953="РЕШ УВ DONE"),1,0)))))</f>
        <v>1</v>
      </c>
      <c r="K953" s="74" t="s">
        <v>204</v>
      </c>
      <c r="N953" s="76" t="s">
        <v>17</v>
      </c>
      <c r="Q953" s="76" t="s">
        <v>2076</v>
      </c>
      <c r="R953" s="73">
        <f t="shared" si="87"/>
        <v>1</v>
      </c>
      <c r="S953" s="260" t="s">
        <v>1976</v>
      </c>
      <c r="T953" s="260"/>
      <c r="U953" s="260"/>
      <c r="V953" s="260"/>
      <c r="W953" s="260"/>
      <c r="X953" s="260"/>
      <c r="Y953" s="565"/>
      <c r="Z953" s="565"/>
      <c r="AA953" s="566">
        <f t="shared" si="85"/>
        <v>0</v>
      </c>
      <c r="AB953" s="699"/>
    </row>
    <row r="954" spans="1:28" ht="15.75" customHeight="1" x14ac:dyDescent="0.3">
      <c r="A954" s="79" t="s">
        <v>3010</v>
      </c>
      <c r="C954" s="81">
        <v>43815</v>
      </c>
      <c r="D954" s="109">
        <v>43872</v>
      </c>
      <c r="E954" s="560"/>
      <c r="F954" s="86" t="s">
        <v>3011</v>
      </c>
      <c r="G954" s="86" t="s">
        <v>157</v>
      </c>
      <c r="H954" s="79" t="s">
        <v>213</v>
      </c>
      <c r="J954" s="73">
        <f t="shared" si="88"/>
        <v>1</v>
      </c>
      <c r="K954" s="74" t="s">
        <v>204</v>
      </c>
      <c r="L954" s="86" t="s">
        <v>4062</v>
      </c>
      <c r="N954" s="76" t="s">
        <v>17</v>
      </c>
      <c r="Q954" s="76" t="s">
        <v>2037</v>
      </c>
      <c r="R954" s="73">
        <f t="shared" ref="R954:R965" si="89">IF(S954="В работе",0.3,IF(S954="Отписано",0.6,IF(S954="На доработку",0.9,IF(S954="Согласовано",1,0))))</f>
        <v>1</v>
      </c>
      <c r="S954" s="260" t="s">
        <v>1976</v>
      </c>
      <c r="T954" s="260"/>
      <c r="U954" s="260"/>
      <c r="V954" s="260"/>
      <c r="W954" s="260"/>
      <c r="X954" s="260"/>
      <c r="Y954" s="565"/>
      <c r="Z954" s="565"/>
      <c r="AA954" s="566">
        <f t="shared" si="85"/>
        <v>0</v>
      </c>
      <c r="AB954" s="699"/>
    </row>
    <row r="955" spans="1:28" ht="15.75" customHeight="1" x14ac:dyDescent="0.3">
      <c r="A955" s="79" t="s">
        <v>3896</v>
      </c>
      <c r="C955" s="81">
        <v>43822</v>
      </c>
      <c r="D955" s="109">
        <v>43872</v>
      </c>
      <c r="E955" s="560"/>
      <c r="F955" s="86" t="s">
        <v>3265</v>
      </c>
      <c r="G955" s="86" t="s">
        <v>158</v>
      </c>
      <c r="H955" s="79" t="s">
        <v>213</v>
      </c>
      <c r="J955" s="73">
        <f t="shared" si="88"/>
        <v>1</v>
      </c>
      <c r="K955" s="74" t="s">
        <v>204</v>
      </c>
      <c r="L955" s="97" t="s">
        <v>4063</v>
      </c>
      <c r="N955" s="76" t="s">
        <v>18</v>
      </c>
      <c r="Q955" s="76" t="s">
        <v>2037</v>
      </c>
      <c r="R955" s="73">
        <f t="shared" si="89"/>
        <v>1</v>
      </c>
      <c r="S955" s="260" t="s">
        <v>1976</v>
      </c>
      <c r="T955" s="260"/>
      <c r="U955" s="260"/>
      <c r="V955" s="260"/>
      <c r="W955" s="260"/>
      <c r="X955" s="260"/>
      <c r="Y955" s="565"/>
      <c r="Z955" s="565"/>
      <c r="AA955" s="566">
        <f t="shared" si="85"/>
        <v>0</v>
      </c>
      <c r="AB955" s="699"/>
    </row>
    <row r="956" spans="1:28" ht="15.75" customHeight="1" x14ac:dyDescent="0.3">
      <c r="A956" s="79" t="s">
        <v>3533</v>
      </c>
      <c r="C956" s="81">
        <v>43826</v>
      </c>
      <c r="D956" s="109">
        <v>43872</v>
      </c>
      <c r="E956" s="560"/>
      <c r="F956" s="86" t="s">
        <v>3534</v>
      </c>
      <c r="G956" s="86" t="s">
        <v>158</v>
      </c>
      <c r="H956" s="79" t="s">
        <v>213</v>
      </c>
      <c r="I956" s="97" t="s">
        <v>714</v>
      </c>
      <c r="J956" s="73">
        <f t="shared" si="88"/>
        <v>1</v>
      </c>
      <c r="K956" s="74" t="s">
        <v>204</v>
      </c>
      <c r="L956" s="97"/>
      <c r="N956" s="76" t="s">
        <v>17</v>
      </c>
      <c r="Q956" s="76" t="s">
        <v>2037</v>
      </c>
      <c r="R956" s="73">
        <f t="shared" si="89"/>
        <v>1</v>
      </c>
      <c r="S956" s="260" t="s">
        <v>1976</v>
      </c>
      <c r="T956" s="260"/>
      <c r="U956" s="260"/>
      <c r="V956" s="260"/>
      <c r="W956" s="260"/>
      <c r="X956" s="260"/>
      <c r="Y956" s="565"/>
      <c r="Z956" s="565"/>
      <c r="AA956" s="566">
        <f t="shared" si="85"/>
        <v>0</v>
      </c>
      <c r="AB956" s="699"/>
    </row>
    <row r="957" spans="1:28" ht="15.75" customHeight="1" x14ac:dyDescent="0.3">
      <c r="A957" s="79" t="s">
        <v>3537</v>
      </c>
      <c r="C957" s="81">
        <v>43826</v>
      </c>
      <c r="D957" s="109">
        <v>43872</v>
      </c>
      <c r="E957" s="560"/>
      <c r="F957" s="86" t="s">
        <v>3538</v>
      </c>
      <c r="G957" s="86" t="s">
        <v>172</v>
      </c>
      <c r="H957" s="79" t="s">
        <v>213</v>
      </c>
      <c r="I957" s="97" t="s">
        <v>714</v>
      </c>
      <c r="J957" s="73">
        <f t="shared" si="88"/>
        <v>1</v>
      </c>
      <c r="K957" s="74" t="s">
        <v>204</v>
      </c>
      <c r="N957" s="76" t="s">
        <v>18</v>
      </c>
      <c r="Q957" s="76" t="s">
        <v>2037</v>
      </c>
      <c r="R957" s="73">
        <f t="shared" si="89"/>
        <v>1</v>
      </c>
      <c r="S957" s="260" t="s">
        <v>1976</v>
      </c>
      <c r="T957" s="260"/>
      <c r="U957" s="260"/>
      <c r="V957" s="260"/>
      <c r="W957" s="260"/>
      <c r="X957" s="260"/>
      <c r="Y957" s="565"/>
      <c r="Z957" s="565"/>
      <c r="AA957" s="566">
        <f t="shared" si="85"/>
        <v>0</v>
      </c>
      <c r="AB957" s="699"/>
    </row>
    <row r="958" spans="1:28" ht="15.75" customHeight="1" x14ac:dyDescent="0.3">
      <c r="A958" s="79" t="s">
        <v>3539</v>
      </c>
      <c r="C958" s="81">
        <v>43826</v>
      </c>
      <c r="D958" s="109">
        <v>43871</v>
      </c>
      <c r="E958" s="560"/>
      <c r="F958" s="86" t="s">
        <v>3540</v>
      </c>
      <c r="G958" s="86" t="s">
        <v>150</v>
      </c>
      <c r="H958" s="96" t="s">
        <v>213</v>
      </c>
      <c r="I958" s="97" t="s">
        <v>714</v>
      </c>
      <c r="J958" s="73">
        <f t="shared" si="88"/>
        <v>1</v>
      </c>
      <c r="K958" s="74" t="s">
        <v>204</v>
      </c>
      <c r="N958" s="76" t="s">
        <v>17</v>
      </c>
      <c r="Q958" s="76" t="s">
        <v>2037</v>
      </c>
      <c r="R958" s="73">
        <f t="shared" si="89"/>
        <v>1</v>
      </c>
      <c r="S958" s="260" t="s">
        <v>1976</v>
      </c>
      <c r="T958" s="260"/>
      <c r="U958" s="260"/>
      <c r="V958" s="260"/>
      <c r="W958" s="260"/>
      <c r="X958" s="260"/>
      <c r="Y958" s="565"/>
      <c r="Z958" s="565"/>
      <c r="AA958" s="566">
        <f t="shared" si="85"/>
        <v>0</v>
      </c>
      <c r="AB958" s="699"/>
    </row>
    <row r="959" spans="1:28" ht="15.75" customHeight="1" x14ac:dyDescent="0.3">
      <c r="A959" s="79" t="s">
        <v>3541</v>
      </c>
      <c r="C959" s="81">
        <v>43826</v>
      </c>
      <c r="D959" s="109">
        <v>43871</v>
      </c>
      <c r="E959" s="560"/>
      <c r="F959" s="86" t="s">
        <v>3542</v>
      </c>
      <c r="G959" s="86" t="s">
        <v>154</v>
      </c>
      <c r="H959" s="96" t="s">
        <v>213</v>
      </c>
      <c r="I959" s="97" t="s">
        <v>4037</v>
      </c>
      <c r="J959" s="73">
        <f t="shared" si="88"/>
        <v>1</v>
      </c>
      <c r="K959" s="74" t="s">
        <v>204</v>
      </c>
      <c r="L959" s="97" t="s">
        <v>4038</v>
      </c>
      <c r="N959" s="76" t="s">
        <v>17</v>
      </c>
      <c r="Q959" s="76" t="s">
        <v>2037</v>
      </c>
      <c r="R959" s="73">
        <f t="shared" si="89"/>
        <v>1</v>
      </c>
      <c r="S959" s="260" t="s">
        <v>1976</v>
      </c>
      <c r="T959" s="260"/>
      <c r="U959" s="260"/>
      <c r="V959" s="260"/>
      <c r="W959" s="260"/>
      <c r="X959" s="260"/>
      <c r="Y959" s="565"/>
      <c r="Z959" s="565"/>
      <c r="AA959" s="566">
        <f t="shared" si="85"/>
        <v>0</v>
      </c>
      <c r="AB959" s="699"/>
    </row>
    <row r="960" spans="1:28" ht="15.75" customHeight="1" x14ac:dyDescent="0.3">
      <c r="A960" s="79" t="s">
        <v>3545</v>
      </c>
      <c r="C960" s="81">
        <v>43830</v>
      </c>
      <c r="D960" s="109">
        <v>43873</v>
      </c>
      <c r="E960" s="560"/>
      <c r="F960" s="86" t="s">
        <v>3546</v>
      </c>
      <c r="G960" s="86" t="s">
        <v>154</v>
      </c>
      <c r="H960" s="79" t="s">
        <v>213</v>
      </c>
      <c r="I960" s="97" t="s">
        <v>3187</v>
      </c>
      <c r="J960" s="73">
        <f t="shared" si="88"/>
        <v>1</v>
      </c>
      <c r="K960" s="74" t="s">
        <v>204</v>
      </c>
      <c r="N960" s="76" t="s">
        <v>19</v>
      </c>
      <c r="Q960" s="76" t="s">
        <v>2037</v>
      </c>
      <c r="R960" s="73">
        <f t="shared" si="89"/>
        <v>1</v>
      </c>
      <c r="S960" s="260" t="s">
        <v>1976</v>
      </c>
      <c r="T960" s="260"/>
      <c r="U960" s="260"/>
      <c r="V960" s="260"/>
      <c r="W960" s="260"/>
      <c r="X960" s="260"/>
      <c r="Y960" s="565"/>
      <c r="Z960" s="565"/>
      <c r="AA960" s="566">
        <f t="shared" si="85"/>
        <v>0</v>
      </c>
      <c r="AB960" s="699"/>
    </row>
    <row r="961" spans="1:28" ht="15.75" customHeight="1" x14ac:dyDescent="0.3">
      <c r="A961" s="79" t="s">
        <v>3899</v>
      </c>
      <c r="C961" s="81">
        <v>43847</v>
      </c>
      <c r="D961" s="109">
        <v>43871</v>
      </c>
      <c r="E961" s="560"/>
      <c r="F961" s="86" t="s">
        <v>3900</v>
      </c>
      <c r="G961" s="86" t="s">
        <v>158</v>
      </c>
      <c r="H961" s="79" t="s">
        <v>268</v>
      </c>
      <c r="I961" s="97" t="s">
        <v>649</v>
      </c>
      <c r="J961" s="73">
        <f t="shared" si="88"/>
        <v>1</v>
      </c>
      <c r="K961" s="74" t="s">
        <v>204</v>
      </c>
      <c r="L961" s="97" t="s">
        <v>4066</v>
      </c>
      <c r="N961" s="76" t="s">
        <v>17</v>
      </c>
      <c r="Q961" s="76" t="s">
        <v>2037</v>
      </c>
      <c r="R961" s="73">
        <f t="shared" si="89"/>
        <v>1</v>
      </c>
      <c r="S961" s="260" t="s">
        <v>1976</v>
      </c>
      <c r="T961" s="260"/>
      <c r="U961" s="260"/>
      <c r="V961" s="260"/>
      <c r="W961" s="260"/>
      <c r="X961" s="260"/>
      <c r="Y961" s="565"/>
      <c r="Z961" s="565"/>
      <c r="AA961" s="566">
        <f t="shared" si="85"/>
        <v>0</v>
      </c>
      <c r="AB961" s="699"/>
    </row>
    <row r="962" spans="1:28" ht="15.75" customHeight="1" x14ac:dyDescent="0.3">
      <c r="A962" s="79" t="s">
        <v>3907</v>
      </c>
      <c r="C962" s="81">
        <v>43850</v>
      </c>
      <c r="D962" s="109">
        <v>43872</v>
      </c>
      <c r="E962" s="560"/>
      <c r="F962" s="86" t="s">
        <v>3908</v>
      </c>
      <c r="G962" s="86" t="s">
        <v>157</v>
      </c>
      <c r="H962" s="79" t="s">
        <v>213</v>
      </c>
      <c r="I962" s="97" t="s">
        <v>649</v>
      </c>
      <c r="J962" s="73">
        <f t="shared" si="88"/>
        <v>1</v>
      </c>
      <c r="K962" s="74" t="s">
        <v>204</v>
      </c>
      <c r="N962" s="76" t="s">
        <v>17</v>
      </c>
      <c r="Q962" s="76" t="s">
        <v>2037</v>
      </c>
      <c r="R962" s="73">
        <f t="shared" si="89"/>
        <v>1</v>
      </c>
      <c r="S962" s="260" t="s">
        <v>1976</v>
      </c>
      <c r="T962" s="260"/>
      <c r="U962" s="260"/>
      <c r="V962" s="260"/>
      <c r="W962" s="260"/>
      <c r="X962" s="260"/>
      <c r="Y962" s="565"/>
      <c r="Z962" s="565"/>
      <c r="AA962" s="566">
        <f t="shared" si="85"/>
        <v>0</v>
      </c>
      <c r="AB962" s="699"/>
    </row>
    <row r="963" spans="1:28" ht="15.75" customHeight="1" x14ac:dyDescent="0.3">
      <c r="A963" s="79" t="s">
        <v>3913</v>
      </c>
      <c r="C963" s="81">
        <v>43851</v>
      </c>
      <c r="D963" s="109">
        <v>43873</v>
      </c>
      <c r="E963" s="560"/>
      <c r="F963" s="86" t="s">
        <v>3914</v>
      </c>
      <c r="G963" s="86" t="s">
        <v>152</v>
      </c>
      <c r="H963" s="79" t="s">
        <v>213</v>
      </c>
      <c r="I963" s="97" t="s">
        <v>4075</v>
      </c>
      <c r="J963" s="73">
        <f t="shared" si="88"/>
        <v>1</v>
      </c>
      <c r="K963" s="74" t="s">
        <v>204</v>
      </c>
      <c r="N963" s="76" t="s">
        <v>18</v>
      </c>
      <c r="Q963" s="76" t="s">
        <v>2037</v>
      </c>
      <c r="R963" s="73">
        <f t="shared" si="89"/>
        <v>1</v>
      </c>
      <c r="S963" s="260" t="s">
        <v>1976</v>
      </c>
      <c r="T963" s="260"/>
      <c r="U963" s="260"/>
      <c r="V963" s="260"/>
      <c r="W963" s="260"/>
      <c r="X963" s="260"/>
      <c r="Y963" s="565"/>
      <c r="Z963" s="565"/>
      <c r="AA963" s="566">
        <f t="shared" si="85"/>
        <v>0</v>
      </c>
      <c r="AB963" s="699"/>
    </row>
    <row r="964" spans="1:28" ht="15.75" customHeight="1" x14ac:dyDescent="0.3">
      <c r="A964" s="79" t="s">
        <v>3919</v>
      </c>
      <c r="C964" s="81">
        <v>43851</v>
      </c>
      <c r="D964" s="109">
        <v>43873</v>
      </c>
      <c r="E964" s="560"/>
      <c r="F964" s="86" t="s">
        <v>3920</v>
      </c>
      <c r="G964" s="86" t="s">
        <v>152</v>
      </c>
      <c r="H964" s="79" t="s">
        <v>213</v>
      </c>
      <c r="I964" s="97" t="s">
        <v>622</v>
      </c>
      <c r="J964" s="73">
        <f t="shared" si="88"/>
        <v>1</v>
      </c>
      <c r="K964" s="74" t="s">
        <v>204</v>
      </c>
      <c r="N964" s="76" t="s">
        <v>19</v>
      </c>
      <c r="Q964" s="76" t="s">
        <v>2037</v>
      </c>
      <c r="R964" s="73">
        <f t="shared" si="89"/>
        <v>1</v>
      </c>
      <c r="S964" s="260" t="s">
        <v>1976</v>
      </c>
      <c r="T964" s="260"/>
      <c r="U964" s="260"/>
      <c r="V964" s="260"/>
      <c r="W964" s="260"/>
      <c r="X964" s="260"/>
      <c r="Y964" s="565"/>
      <c r="Z964" s="565"/>
      <c r="AA964" s="566">
        <f t="shared" si="85"/>
        <v>0</v>
      </c>
      <c r="AB964" s="699"/>
    </row>
    <row r="965" spans="1:28" ht="15.75" customHeight="1" x14ac:dyDescent="0.3">
      <c r="A965" s="79" t="s">
        <v>3347</v>
      </c>
      <c r="C965" s="81">
        <v>43824</v>
      </c>
      <c r="D965" s="109">
        <v>43868</v>
      </c>
      <c r="E965" s="560"/>
      <c r="F965" s="86" t="s">
        <v>3348</v>
      </c>
      <c r="G965" s="86" t="s">
        <v>1328</v>
      </c>
      <c r="H965" s="79" t="s">
        <v>213</v>
      </c>
      <c r="I965" s="97" t="s">
        <v>995</v>
      </c>
      <c r="J965" s="73">
        <f t="shared" ref="J965:J989" si="90">IF(OR(K965="Документы готовы",K965="Запрос в ФО",K965="ЭЗ",K965="РЕШ",K965="РЕШ шаблон"),0.1,IF(OR(K965="ЭЗ согласование",K965="РЕШ согласование"),0.3,IF(OR(K965="ЭЗ согласовано",K965="РЕШ согласовано",K965="РЕШ подписано"),0.6,IF(OR(K965="ЭЗ ПР согласование",K965="РЕШ УВ согласование"),0.9,IF(OR(K965="ЭЗ ПР DONE",K965="РЕШ УВ DONE"),1,0)))))</f>
        <v>1</v>
      </c>
      <c r="K965" s="74" t="s">
        <v>204</v>
      </c>
      <c r="N965" s="76" t="s">
        <v>19</v>
      </c>
      <c r="Q965" s="76" t="s">
        <v>2109</v>
      </c>
      <c r="R965" s="73">
        <f t="shared" si="89"/>
        <v>1</v>
      </c>
      <c r="S965" s="260" t="s">
        <v>1976</v>
      </c>
      <c r="T965" s="260"/>
      <c r="U965" s="260"/>
      <c r="V965" s="260"/>
      <c r="W965" s="260"/>
      <c r="X965" s="260"/>
      <c r="Y965" s="565"/>
      <c r="Z965" s="565"/>
      <c r="AA965" s="566">
        <f t="shared" si="85"/>
        <v>0</v>
      </c>
      <c r="AB965" s="699"/>
    </row>
    <row r="966" spans="1:28" ht="15.75" customHeight="1" x14ac:dyDescent="0.3">
      <c r="A966" s="79" t="s">
        <v>3559</v>
      </c>
      <c r="C966" s="81">
        <v>43825</v>
      </c>
      <c r="D966" s="109">
        <v>43871</v>
      </c>
      <c r="E966" s="560"/>
      <c r="F966" s="86" t="s">
        <v>3560</v>
      </c>
      <c r="G966" s="86" t="s">
        <v>189</v>
      </c>
      <c r="H966" s="96" t="s">
        <v>213</v>
      </c>
      <c r="I966" s="97" t="s">
        <v>642</v>
      </c>
      <c r="J966" s="73">
        <f t="shared" si="90"/>
        <v>1</v>
      </c>
      <c r="K966" s="74" t="s">
        <v>204</v>
      </c>
      <c r="N966" s="76" t="s">
        <v>18</v>
      </c>
      <c r="Q966" s="76" t="s">
        <v>2109</v>
      </c>
      <c r="R966" s="73">
        <f t="shared" ref="R966:R989" si="91">IF(S966="В работе",0.3,IF(S966="Отписано",0.6,IF(S966="На доработку",0.9,IF(S966="Согласовано",1,0))))</f>
        <v>1</v>
      </c>
      <c r="S966" s="260" t="s">
        <v>1976</v>
      </c>
      <c r="T966" s="260"/>
      <c r="U966" s="260"/>
      <c r="V966" s="260"/>
      <c r="W966" s="260"/>
      <c r="X966" s="260"/>
      <c r="Y966" s="565"/>
      <c r="Z966" s="565"/>
      <c r="AA966" s="566">
        <f t="shared" si="85"/>
        <v>0</v>
      </c>
      <c r="AB966" s="699"/>
    </row>
    <row r="967" spans="1:28" ht="15.75" customHeight="1" x14ac:dyDescent="0.3">
      <c r="A967" s="79" t="s">
        <v>3561</v>
      </c>
      <c r="C967" s="81">
        <v>43825</v>
      </c>
      <c r="D967" s="109">
        <v>43871</v>
      </c>
      <c r="E967" s="560"/>
      <c r="F967" s="86" t="s">
        <v>3562</v>
      </c>
      <c r="G967" s="86" t="s">
        <v>1042</v>
      </c>
      <c r="H967" s="96" t="s">
        <v>213</v>
      </c>
      <c r="I967" s="97" t="s">
        <v>3187</v>
      </c>
      <c r="J967" s="73">
        <f t="shared" si="90"/>
        <v>1</v>
      </c>
      <c r="K967" s="74" t="s">
        <v>204</v>
      </c>
      <c r="L967" s="97"/>
      <c r="N967" s="76" t="s">
        <v>19</v>
      </c>
      <c r="Q967" s="76" t="s">
        <v>2109</v>
      </c>
      <c r="R967" s="73">
        <f t="shared" si="91"/>
        <v>1</v>
      </c>
      <c r="S967" s="260" t="s">
        <v>1976</v>
      </c>
      <c r="T967" s="260"/>
      <c r="U967" s="260"/>
      <c r="V967" s="260"/>
      <c r="W967" s="260"/>
      <c r="X967" s="260"/>
      <c r="Y967" s="565"/>
      <c r="Z967" s="565"/>
      <c r="AA967" s="566">
        <f t="shared" si="85"/>
        <v>0</v>
      </c>
      <c r="AB967" s="699"/>
    </row>
    <row r="968" spans="1:28" ht="15.75" customHeight="1" x14ac:dyDescent="0.3">
      <c r="A968" s="79" t="s">
        <v>3563</v>
      </c>
      <c r="C968" s="81">
        <v>43829</v>
      </c>
      <c r="D968" s="109">
        <v>43872</v>
      </c>
      <c r="E968" s="560"/>
      <c r="F968" s="86" t="s">
        <v>3564</v>
      </c>
      <c r="G968" s="86" t="s">
        <v>410</v>
      </c>
      <c r="H968" s="79" t="s">
        <v>213</v>
      </c>
      <c r="I968" s="97" t="s">
        <v>642</v>
      </c>
      <c r="J968" s="73">
        <f t="shared" si="90"/>
        <v>1</v>
      </c>
      <c r="K968" s="74" t="s">
        <v>204</v>
      </c>
      <c r="N968" s="76" t="s">
        <v>18</v>
      </c>
      <c r="Q968" s="76" t="s">
        <v>2109</v>
      </c>
      <c r="R968" s="73">
        <f t="shared" si="91"/>
        <v>1</v>
      </c>
      <c r="S968" s="260" t="s">
        <v>1976</v>
      </c>
      <c r="T968" s="260"/>
      <c r="U968" s="260"/>
      <c r="V968" s="260"/>
      <c r="W968" s="260"/>
      <c r="X968" s="260"/>
      <c r="Y968" s="565"/>
      <c r="Z968" s="565"/>
      <c r="AA968" s="566">
        <f t="shared" si="85"/>
        <v>0</v>
      </c>
      <c r="AB968" s="699"/>
    </row>
    <row r="969" spans="1:28" ht="15.75" customHeight="1" x14ac:dyDescent="0.3">
      <c r="A969" s="79" t="s">
        <v>3565</v>
      </c>
      <c r="C969" s="81">
        <v>43829</v>
      </c>
      <c r="D969" s="109">
        <v>43872</v>
      </c>
      <c r="E969" s="560"/>
      <c r="F969" s="86" t="s">
        <v>3566</v>
      </c>
      <c r="G969" s="86" t="s">
        <v>152</v>
      </c>
      <c r="H969" s="79" t="s">
        <v>213</v>
      </c>
      <c r="I969" s="97" t="s">
        <v>657</v>
      </c>
      <c r="J969" s="73">
        <f t="shared" si="90"/>
        <v>1</v>
      </c>
      <c r="K969" s="74" t="s">
        <v>204</v>
      </c>
      <c r="L969" s="97"/>
      <c r="N969" s="76" t="s">
        <v>17</v>
      </c>
      <c r="Q969" s="76" t="s">
        <v>2109</v>
      </c>
      <c r="R969" s="73">
        <f t="shared" si="91"/>
        <v>1</v>
      </c>
      <c r="S969" s="260" t="s">
        <v>1976</v>
      </c>
      <c r="T969" s="260"/>
      <c r="U969" s="260"/>
      <c r="V969" s="260"/>
      <c r="W969" s="260"/>
      <c r="X969" s="260"/>
      <c r="Y969" s="565"/>
      <c r="Z969" s="565"/>
      <c r="AA969" s="566">
        <f t="shared" si="85"/>
        <v>0</v>
      </c>
      <c r="AB969" s="699"/>
    </row>
    <row r="970" spans="1:28" ht="15.75" customHeight="1" x14ac:dyDescent="0.3">
      <c r="A970" s="79" t="s">
        <v>3567</v>
      </c>
      <c r="C970" s="81">
        <v>43829</v>
      </c>
      <c r="D970" s="109">
        <v>43872</v>
      </c>
      <c r="E970" s="560"/>
      <c r="F970" s="86" t="s">
        <v>3568</v>
      </c>
      <c r="G970" s="86" t="s">
        <v>157</v>
      </c>
      <c r="H970" s="79" t="s">
        <v>213</v>
      </c>
      <c r="I970" s="97" t="s">
        <v>642</v>
      </c>
      <c r="J970" s="73">
        <f t="shared" si="90"/>
        <v>1</v>
      </c>
      <c r="K970" s="74" t="s">
        <v>204</v>
      </c>
      <c r="N970" s="76" t="s">
        <v>17</v>
      </c>
      <c r="Q970" s="76" t="s">
        <v>2109</v>
      </c>
      <c r="R970" s="73">
        <f t="shared" si="91"/>
        <v>1</v>
      </c>
      <c r="S970" s="260" t="s">
        <v>1976</v>
      </c>
      <c r="T970" s="260"/>
      <c r="U970" s="260"/>
      <c r="V970" s="260"/>
      <c r="W970" s="260"/>
      <c r="X970" s="260"/>
      <c r="Y970" s="565"/>
      <c r="Z970" s="565"/>
      <c r="AA970" s="566">
        <f t="shared" si="85"/>
        <v>0</v>
      </c>
      <c r="AB970" s="699"/>
    </row>
    <row r="971" spans="1:28" ht="15.75" customHeight="1" x14ac:dyDescent="0.3">
      <c r="A971" s="96" t="s">
        <v>3573</v>
      </c>
      <c r="C971" s="81">
        <v>43830</v>
      </c>
      <c r="D971" s="109">
        <v>43873</v>
      </c>
      <c r="E971" s="560"/>
      <c r="F971" s="86" t="s">
        <v>3574</v>
      </c>
      <c r="G971" s="86" t="s">
        <v>152</v>
      </c>
      <c r="H971" s="79" t="s">
        <v>213</v>
      </c>
      <c r="I971" s="97" t="s">
        <v>642</v>
      </c>
      <c r="J971" s="73">
        <f t="shared" si="90"/>
        <v>1</v>
      </c>
      <c r="K971" s="74" t="s">
        <v>204</v>
      </c>
      <c r="N971" s="76" t="s">
        <v>18</v>
      </c>
      <c r="Q971" s="76" t="s">
        <v>2109</v>
      </c>
      <c r="R971" s="73">
        <f t="shared" si="91"/>
        <v>1</v>
      </c>
      <c r="S971" s="260" t="s">
        <v>1976</v>
      </c>
      <c r="T971" s="260"/>
      <c r="U971" s="260"/>
      <c r="V971" s="260"/>
      <c r="W971" s="260"/>
      <c r="X971" s="260"/>
      <c r="Y971" s="565"/>
      <c r="Z971" s="565"/>
      <c r="AA971" s="566">
        <f t="shared" si="85"/>
        <v>0</v>
      </c>
      <c r="AB971" s="699"/>
    </row>
    <row r="972" spans="1:28" ht="15.75" customHeight="1" x14ac:dyDescent="0.3">
      <c r="A972" s="79" t="s">
        <v>3575</v>
      </c>
      <c r="C972" s="81">
        <v>43830</v>
      </c>
      <c r="D972" s="109">
        <v>43873</v>
      </c>
      <c r="E972" s="560"/>
      <c r="F972" s="86" t="s">
        <v>3576</v>
      </c>
      <c r="G972" s="86" t="s">
        <v>150</v>
      </c>
      <c r="H972" s="79" t="s">
        <v>213</v>
      </c>
      <c r="I972" s="97" t="s">
        <v>641</v>
      </c>
      <c r="J972" s="73">
        <f t="shared" si="90"/>
        <v>1</v>
      </c>
      <c r="K972" s="74" t="s">
        <v>204</v>
      </c>
      <c r="N972" s="76" t="s">
        <v>17</v>
      </c>
      <c r="Q972" s="76" t="s">
        <v>2109</v>
      </c>
      <c r="R972" s="73">
        <f t="shared" si="91"/>
        <v>1</v>
      </c>
      <c r="S972" s="260" t="s">
        <v>1976</v>
      </c>
      <c r="T972" s="260"/>
      <c r="U972" s="260"/>
      <c r="V972" s="260"/>
      <c r="W972" s="260"/>
      <c r="X972" s="260"/>
      <c r="Y972" s="565"/>
      <c r="Z972" s="565"/>
      <c r="AA972" s="566">
        <f t="shared" si="85"/>
        <v>0</v>
      </c>
      <c r="AB972" s="699"/>
    </row>
    <row r="973" spans="1:28" ht="15.75" customHeight="1" x14ac:dyDescent="0.3">
      <c r="A973" s="79" t="s">
        <v>3696</v>
      </c>
      <c r="C973" s="81">
        <v>43846</v>
      </c>
      <c r="D973" s="109">
        <v>43868</v>
      </c>
      <c r="E973" s="560"/>
      <c r="F973" s="86" t="s">
        <v>3697</v>
      </c>
      <c r="G973" s="86" t="s">
        <v>156</v>
      </c>
      <c r="H973" s="79" t="s">
        <v>213</v>
      </c>
      <c r="I973" s="97" t="s">
        <v>972</v>
      </c>
      <c r="J973" s="73">
        <f t="shared" si="90"/>
        <v>1</v>
      </c>
      <c r="K973" s="74" t="s">
        <v>204</v>
      </c>
      <c r="N973" s="76" t="s">
        <v>17</v>
      </c>
      <c r="Q973" s="76" t="s">
        <v>2109</v>
      </c>
      <c r="R973" s="73">
        <f t="shared" si="91"/>
        <v>1</v>
      </c>
      <c r="S973" s="260" t="s">
        <v>1976</v>
      </c>
      <c r="T973" s="260"/>
      <c r="U973" s="260"/>
      <c r="V973" s="260"/>
      <c r="W973" s="260"/>
      <c r="X973" s="260"/>
      <c r="Y973" s="565"/>
      <c r="Z973" s="565"/>
      <c r="AA973" s="566">
        <f t="shared" si="85"/>
        <v>0</v>
      </c>
      <c r="AB973" s="699"/>
    </row>
    <row r="974" spans="1:28" ht="15.75" customHeight="1" x14ac:dyDescent="0.3">
      <c r="A974" s="79" t="s">
        <v>3929</v>
      </c>
      <c r="C974" s="81">
        <v>43850</v>
      </c>
      <c r="D974" s="109">
        <v>43871</v>
      </c>
      <c r="E974" s="560"/>
      <c r="F974" s="86" t="s">
        <v>3930</v>
      </c>
      <c r="G974" s="86" t="s">
        <v>166</v>
      </c>
      <c r="H974" s="96" t="s">
        <v>213</v>
      </c>
      <c r="I974" s="97" t="s">
        <v>2193</v>
      </c>
      <c r="J974" s="73">
        <f t="shared" si="90"/>
        <v>1</v>
      </c>
      <c r="K974" s="74" t="s">
        <v>204</v>
      </c>
      <c r="L974" s="97" t="s">
        <v>4068</v>
      </c>
      <c r="N974" s="76" t="s">
        <v>17</v>
      </c>
      <c r="Q974" s="76" t="s">
        <v>2109</v>
      </c>
      <c r="R974" s="73">
        <f t="shared" si="91"/>
        <v>1</v>
      </c>
      <c r="S974" s="260" t="s">
        <v>1976</v>
      </c>
      <c r="T974" s="260"/>
      <c r="U974" s="260"/>
      <c r="V974" s="260"/>
      <c r="W974" s="260"/>
      <c r="X974" s="260"/>
      <c r="Y974" s="565"/>
      <c r="Z974" s="565"/>
      <c r="AA974" s="566">
        <f t="shared" si="85"/>
        <v>0</v>
      </c>
      <c r="AB974" s="699"/>
    </row>
    <row r="975" spans="1:28" ht="15.75" customHeight="1" x14ac:dyDescent="0.3">
      <c r="A975" s="79" t="s">
        <v>3931</v>
      </c>
      <c r="C975" s="81">
        <v>43850</v>
      </c>
      <c r="D975" s="109">
        <v>43871</v>
      </c>
      <c r="E975" s="560"/>
      <c r="F975" s="86" t="s">
        <v>3932</v>
      </c>
      <c r="G975" s="86" t="s">
        <v>156</v>
      </c>
      <c r="H975" s="96" t="s">
        <v>213</v>
      </c>
      <c r="I975" s="97" t="s">
        <v>995</v>
      </c>
      <c r="J975" s="73">
        <f t="shared" si="90"/>
        <v>1</v>
      </c>
      <c r="K975" s="74" t="s">
        <v>204</v>
      </c>
      <c r="N975" s="76" t="s">
        <v>19</v>
      </c>
      <c r="Q975" s="76" t="s">
        <v>2109</v>
      </c>
      <c r="R975" s="73">
        <f t="shared" si="91"/>
        <v>1</v>
      </c>
      <c r="S975" s="260" t="s">
        <v>1976</v>
      </c>
      <c r="T975" s="260"/>
      <c r="U975" s="260"/>
      <c r="V975" s="260"/>
      <c r="W975" s="260"/>
      <c r="X975" s="260"/>
      <c r="Y975" s="565"/>
      <c r="Z975" s="565"/>
      <c r="AA975" s="566">
        <f t="shared" si="85"/>
        <v>0</v>
      </c>
      <c r="AB975" s="699"/>
    </row>
    <row r="976" spans="1:28" ht="15.75" customHeight="1" x14ac:dyDescent="0.3">
      <c r="A976" s="79" t="s">
        <v>3933</v>
      </c>
      <c r="C976" s="81">
        <v>43850</v>
      </c>
      <c r="D976" s="109">
        <v>43871</v>
      </c>
      <c r="E976" s="560"/>
      <c r="F976" s="86" t="s">
        <v>3934</v>
      </c>
      <c r="G976" s="86" t="s">
        <v>156</v>
      </c>
      <c r="H976" s="96" t="s">
        <v>213</v>
      </c>
      <c r="I976" s="97" t="s">
        <v>995</v>
      </c>
      <c r="J976" s="73">
        <f t="shared" si="90"/>
        <v>1</v>
      </c>
      <c r="K976" s="74" t="s">
        <v>204</v>
      </c>
      <c r="N976" s="76" t="s">
        <v>19</v>
      </c>
      <c r="Q976" s="76" t="s">
        <v>2109</v>
      </c>
      <c r="R976" s="73">
        <f t="shared" si="91"/>
        <v>1</v>
      </c>
      <c r="S976" s="260" t="s">
        <v>1976</v>
      </c>
      <c r="T976" s="260"/>
      <c r="U976" s="260"/>
      <c r="V976" s="260"/>
      <c r="W976" s="260"/>
      <c r="X976" s="260"/>
      <c r="Y976" s="565"/>
      <c r="Z976" s="565"/>
      <c r="AA976" s="566">
        <f t="shared" si="85"/>
        <v>0</v>
      </c>
      <c r="AB976" s="699"/>
    </row>
    <row r="977" spans="1:28" ht="15.75" customHeight="1" x14ac:dyDescent="0.3">
      <c r="A977" s="96" t="s">
        <v>3939</v>
      </c>
      <c r="C977" s="81">
        <v>43851</v>
      </c>
      <c r="D977" s="109">
        <v>43872</v>
      </c>
      <c r="E977" s="560"/>
      <c r="F977" s="86" t="s">
        <v>3940</v>
      </c>
      <c r="G977" s="86" t="s">
        <v>152</v>
      </c>
      <c r="H977" s="79" t="s">
        <v>213</v>
      </c>
      <c r="I977" s="97" t="s">
        <v>2478</v>
      </c>
      <c r="J977" s="73">
        <f t="shared" si="90"/>
        <v>1</v>
      </c>
      <c r="K977" s="74" t="s">
        <v>204</v>
      </c>
      <c r="N977" s="76" t="s">
        <v>18</v>
      </c>
      <c r="Q977" s="76" t="s">
        <v>2109</v>
      </c>
      <c r="R977" s="73">
        <f t="shared" si="91"/>
        <v>1</v>
      </c>
      <c r="S977" s="260" t="s">
        <v>1976</v>
      </c>
      <c r="T977" s="260"/>
      <c r="U977" s="260"/>
      <c r="V977" s="260"/>
      <c r="W977" s="260"/>
      <c r="X977" s="260"/>
      <c r="Y977" s="565"/>
      <c r="Z977" s="565"/>
      <c r="AA977" s="566">
        <f t="shared" si="85"/>
        <v>0</v>
      </c>
      <c r="AB977" s="699"/>
    </row>
    <row r="978" spans="1:28" ht="15.75" customHeight="1" x14ac:dyDescent="0.3">
      <c r="A978" s="96" t="s">
        <v>3943</v>
      </c>
      <c r="C978" s="81">
        <v>43851</v>
      </c>
      <c r="D978" s="109">
        <v>43872</v>
      </c>
      <c r="E978" s="560"/>
      <c r="F978" s="86" t="s">
        <v>3944</v>
      </c>
      <c r="G978" s="86" t="s">
        <v>156</v>
      </c>
      <c r="H978" s="79" t="s">
        <v>213</v>
      </c>
      <c r="I978" s="86" t="s">
        <v>3654</v>
      </c>
      <c r="J978" s="73">
        <f t="shared" si="90"/>
        <v>1</v>
      </c>
      <c r="K978" s="74" t="s">
        <v>204</v>
      </c>
      <c r="L978" s="97" t="s">
        <v>3655</v>
      </c>
      <c r="Q978" s="76" t="s">
        <v>2109</v>
      </c>
      <c r="R978" s="73">
        <f t="shared" si="91"/>
        <v>1</v>
      </c>
      <c r="S978" s="260" t="s">
        <v>1976</v>
      </c>
      <c r="T978" s="260"/>
      <c r="U978" s="260"/>
      <c r="V978" s="260"/>
      <c r="W978" s="260"/>
      <c r="X978" s="260"/>
      <c r="Y978" s="565"/>
      <c r="Z978" s="565"/>
      <c r="AA978" s="566">
        <f t="shared" ref="AA978:AA1017" si="92">Z978-Y978</f>
        <v>0</v>
      </c>
      <c r="AB978" s="699"/>
    </row>
    <row r="979" spans="1:28" ht="15.75" customHeight="1" x14ac:dyDescent="0.3">
      <c r="A979" s="96" t="s">
        <v>3947</v>
      </c>
      <c r="C979" s="81">
        <v>43852</v>
      </c>
      <c r="D979" s="109">
        <v>43873</v>
      </c>
      <c r="E979" s="560"/>
      <c r="F979" s="86" t="s">
        <v>3948</v>
      </c>
      <c r="G979" s="86" t="s">
        <v>157</v>
      </c>
      <c r="H979" s="79" t="s">
        <v>213</v>
      </c>
      <c r="I979" s="97" t="s">
        <v>2478</v>
      </c>
      <c r="J979" s="73">
        <f t="shared" si="90"/>
        <v>1</v>
      </c>
      <c r="K979" s="74" t="s">
        <v>204</v>
      </c>
      <c r="N979" s="76" t="s">
        <v>17</v>
      </c>
      <c r="Q979" s="76" t="s">
        <v>2109</v>
      </c>
      <c r="R979" s="73">
        <f t="shared" si="91"/>
        <v>1</v>
      </c>
      <c r="S979" s="260" t="s">
        <v>1976</v>
      </c>
      <c r="T979" s="260"/>
      <c r="U979" s="260"/>
      <c r="V979" s="260"/>
      <c r="W979" s="260"/>
      <c r="X979" s="260"/>
      <c r="Y979" s="565"/>
      <c r="Z979" s="565"/>
      <c r="AA979" s="566">
        <f t="shared" si="92"/>
        <v>0</v>
      </c>
      <c r="AB979" s="699"/>
    </row>
    <row r="980" spans="1:28" ht="15.75" customHeight="1" x14ac:dyDescent="0.3">
      <c r="A980" s="79" t="s">
        <v>3951</v>
      </c>
      <c r="C980" s="81">
        <v>43852</v>
      </c>
      <c r="D980" s="109">
        <v>43873</v>
      </c>
      <c r="E980" s="560"/>
      <c r="F980" s="86" t="s">
        <v>3952</v>
      </c>
      <c r="G980" s="86" t="s">
        <v>173</v>
      </c>
      <c r="H980" s="79" t="s">
        <v>213</v>
      </c>
      <c r="I980" s="97" t="s">
        <v>649</v>
      </c>
      <c r="J980" s="73">
        <f t="shared" si="90"/>
        <v>1</v>
      </c>
      <c r="K980" s="74" t="s">
        <v>204</v>
      </c>
      <c r="L980" s="97" t="s">
        <v>4078</v>
      </c>
      <c r="N980" s="76" t="s">
        <v>17</v>
      </c>
      <c r="Q980" s="76" t="s">
        <v>2109</v>
      </c>
      <c r="R980" s="73">
        <f t="shared" si="91"/>
        <v>1</v>
      </c>
      <c r="S980" s="260" t="s">
        <v>1976</v>
      </c>
      <c r="T980" s="260"/>
      <c r="U980" s="260"/>
      <c r="V980" s="260"/>
      <c r="W980" s="260"/>
      <c r="X980" s="260"/>
      <c r="Y980" s="565"/>
      <c r="Z980" s="565"/>
      <c r="AA980" s="566">
        <f t="shared" si="92"/>
        <v>0</v>
      </c>
      <c r="AB980" s="699"/>
    </row>
    <row r="981" spans="1:28" ht="15.75" customHeight="1" x14ac:dyDescent="0.3">
      <c r="A981" s="79" t="s">
        <v>3953</v>
      </c>
      <c r="C981" s="81">
        <v>43852</v>
      </c>
      <c r="D981" s="109">
        <v>43873</v>
      </c>
      <c r="E981" s="560"/>
      <c r="F981" s="86" t="s">
        <v>3954</v>
      </c>
      <c r="G981" s="86" t="s">
        <v>3771</v>
      </c>
      <c r="H981" s="79" t="s">
        <v>213</v>
      </c>
      <c r="I981" s="97" t="s">
        <v>3475</v>
      </c>
      <c r="J981" s="73">
        <f t="shared" si="90"/>
        <v>1</v>
      </c>
      <c r="K981" s="74" t="s">
        <v>204</v>
      </c>
      <c r="N981" s="76" t="s">
        <v>19</v>
      </c>
      <c r="Q981" s="76" t="s">
        <v>2109</v>
      </c>
      <c r="R981" s="73">
        <f t="shared" si="91"/>
        <v>1</v>
      </c>
      <c r="S981" s="260" t="s">
        <v>1976</v>
      </c>
      <c r="T981" s="260"/>
      <c r="U981" s="260"/>
      <c r="V981" s="260"/>
      <c r="W981" s="260"/>
      <c r="X981" s="260"/>
      <c r="Y981" s="565"/>
      <c r="Z981" s="565"/>
      <c r="AA981" s="566">
        <f t="shared" si="92"/>
        <v>0</v>
      </c>
      <c r="AB981" s="699"/>
    </row>
    <row r="982" spans="1:28" ht="15.75" customHeight="1" x14ac:dyDescent="0.3">
      <c r="A982" s="79" t="s">
        <v>3955</v>
      </c>
      <c r="C982" s="81">
        <v>43852</v>
      </c>
      <c r="D982" s="109">
        <v>43873</v>
      </c>
      <c r="E982" s="560"/>
      <c r="F982" s="86" t="s">
        <v>3956</v>
      </c>
      <c r="G982" s="86" t="s">
        <v>150</v>
      </c>
      <c r="H982" s="79" t="s">
        <v>213</v>
      </c>
      <c r="I982" s="97" t="s">
        <v>1113</v>
      </c>
      <c r="J982" s="73">
        <f t="shared" si="90"/>
        <v>1</v>
      </c>
      <c r="K982" s="74" t="s">
        <v>204</v>
      </c>
      <c r="L982" s="97" t="s">
        <v>4077</v>
      </c>
      <c r="N982" s="76" t="s">
        <v>18</v>
      </c>
      <c r="Q982" s="76" t="s">
        <v>2109</v>
      </c>
      <c r="R982" s="73">
        <f t="shared" si="91"/>
        <v>1</v>
      </c>
      <c r="S982" s="260" t="s">
        <v>1976</v>
      </c>
      <c r="T982" s="260"/>
      <c r="U982" s="260"/>
      <c r="V982" s="260"/>
      <c r="W982" s="260"/>
      <c r="X982" s="260"/>
      <c r="Y982" s="565"/>
      <c r="Z982" s="565"/>
      <c r="AA982" s="566">
        <f t="shared" si="92"/>
        <v>0</v>
      </c>
      <c r="AB982" s="699"/>
    </row>
    <row r="983" spans="1:28" ht="15.75" customHeight="1" x14ac:dyDescent="0.3">
      <c r="A983" s="79" t="s">
        <v>3589</v>
      </c>
      <c r="C983" s="81">
        <v>43825</v>
      </c>
      <c r="D983" s="109">
        <v>43871</v>
      </c>
      <c r="E983" s="560"/>
      <c r="F983" s="86" t="s">
        <v>3590</v>
      </c>
      <c r="G983" s="86" t="s">
        <v>147</v>
      </c>
      <c r="H983" s="96" t="s">
        <v>213</v>
      </c>
      <c r="I983" s="97" t="s">
        <v>714</v>
      </c>
      <c r="J983" s="73">
        <f t="shared" si="90"/>
        <v>1</v>
      </c>
      <c r="K983" s="74" t="s">
        <v>204</v>
      </c>
      <c r="N983" s="76" t="s">
        <v>18</v>
      </c>
      <c r="Q983" s="76" t="s">
        <v>2142</v>
      </c>
      <c r="R983" s="73">
        <f t="shared" si="91"/>
        <v>1</v>
      </c>
      <c r="S983" s="260" t="s">
        <v>1976</v>
      </c>
      <c r="T983" s="260"/>
      <c r="U983" s="260"/>
      <c r="V983" s="260"/>
      <c r="W983" s="260"/>
      <c r="X983" s="260"/>
      <c r="Y983" s="565"/>
      <c r="Z983" s="565"/>
      <c r="AA983" s="566">
        <f t="shared" si="92"/>
        <v>0</v>
      </c>
      <c r="AB983" s="699"/>
    </row>
    <row r="984" spans="1:28" ht="15.75" customHeight="1" x14ac:dyDescent="0.3">
      <c r="A984" s="79" t="s">
        <v>3557</v>
      </c>
      <c r="C984" s="81">
        <v>43825</v>
      </c>
      <c r="D984" s="109">
        <v>43871</v>
      </c>
      <c r="E984" s="560"/>
      <c r="F984" s="86" t="s">
        <v>3558</v>
      </c>
      <c r="G984" s="86" t="s">
        <v>156</v>
      </c>
      <c r="H984" s="96" t="s">
        <v>213</v>
      </c>
      <c r="I984" s="97" t="s">
        <v>714</v>
      </c>
      <c r="J984" s="73">
        <f t="shared" si="90"/>
        <v>1</v>
      </c>
      <c r="K984" s="74" t="s">
        <v>204</v>
      </c>
      <c r="N984" s="76" t="s">
        <v>18</v>
      </c>
      <c r="Q984" s="76" t="s">
        <v>2142</v>
      </c>
      <c r="R984" s="73">
        <f t="shared" si="91"/>
        <v>1</v>
      </c>
      <c r="S984" s="260" t="s">
        <v>1976</v>
      </c>
      <c r="T984" s="260"/>
      <c r="U984" s="260"/>
      <c r="V984" s="260"/>
      <c r="W984" s="260"/>
      <c r="X984" s="260"/>
      <c r="Y984" s="565"/>
      <c r="Z984" s="565"/>
      <c r="AA984" s="566">
        <f t="shared" si="92"/>
        <v>0</v>
      </c>
      <c r="AB984" s="699"/>
    </row>
    <row r="985" spans="1:28" ht="15.75" customHeight="1" x14ac:dyDescent="0.3">
      <c r="A985" s="79" t="s">
        <v>3595</v>
      </c>
      <c r="C985" s="81">
        <v>43826</v>
      </c>
      <c r="D985" s="109">
        <v>43872</v>
      </c>
      <c r="E985" s="560"/>
      <c r="F985" s="86" t="s">
        <v>3596</v>
      </c>
      <c r="G985" s="86" t="s">
        <v>1384</v>
      </c>
      <c r="H985" s="79" t="s">
        <v>213</v>
      </c>
      <c r="I985" s="97" t="s">
        <v>642</v>
      </c>
      <c r="J985" s="73">
        <f t="shared" si="90"/>
        <v>1</v>
      </c>
      <c r="K985" s="74" t="s">
        <v>204</v>
      </c>
      <c r="N985" s="76" t="s">
        <v>17</v>
      </c>
      <c r="Q985" s="76" t="s">
        <v>2142</v>
      </c>
      <c r="R985" s="73">
        <f t="shared" si="91"/>
        <v>1</v>
      </c>
      <c r="S985" s="260" t="s">
        <v>1976</v>
      </c>
      <c r="T985" s="260"/>
      <c r="U985" s="260"/>
      <c r="V985" s="260"/>
      <c r="W985" s="260"/>
      <c r="X985" s="260"/>
      <c r="Y985" s="565"/>
      <c r="Z985" s="565"/>
      <c r="AA985" s="566">
        <f t="shared" si="92"/>
        <v>0</v>
      </c>
      <c r="AB985" s="699"/>
    </row>
    <row r="986" spans="1:28" ht="15.75" customHeight="1" x14ac:dyDescent="0.3">
      <c r="A986" s="79" t="s">
        <v>3597</v>
      </c>
      <c r="C986" s="81">
        <v>43826</v>
      </c>
      <c r="D986" s="109">
        <v>43872</v>
      </c>
      <c r="E986" s="560"/>
      <c r="F986" s="86" t="s">
        <v>3598</v>
      </c>
      <c r="G986" s="86" t="s">
        <v>152</v>
      </c>
      <c r="H986" s="79" t="s">
        <v>213</v>
      </c>
      <c r="I986" s="97" t="s">
        <v>714</v>
      </c>
      <c r="J986" s="73">
        <f t="shared" si="90"/>
        <v>1</v>
      </c>
      <c r="K986" s="74" t="s">
        <v>204</v>
      </c>
      <c r="L986" s="97" t="s">
        <v>3396</v>
      </c>
      <c r="N986" s="76" t="s">
        <v>17</v>
      </c>
      <c r="Q986" s="76" t="s">
        <v>2142</v>
      </c>
      <c r="R986" s="73">
        <f t="shared" si="91"/>
        <v>1</v>
      </c>
      <c r="S986" s="260" t="s">
        <v>1976</v>
      </c>
      <c r="T986" s="260"/>
      <c r="U986" s="260"/>
      <c r="V986" s="260"/>
      <c r="W986" s="260"/>
      <c r="X986" s="260"/>
      <c r="Y986" s="565"/>
      <c r="Z986" s="565"/>
      <c r="AA986" s="566">
        <f t="shared" si="92"/>
        <v>0</v>
      </c>
      <c r="AB986" s="699"/>
    </row>
    <row r="987" spans="1:28" ht="15.75" customHeight="1" x14ac:dyDescent="0.3">
      <c r="A987" s="79" t="s">
        <v>3603</v>
      </c>
      <c r="C987" s="81">
        <v>43826</v>
      </c>
      <c r="D987" s="109">
        <v>43872</v>
      </c>
      <c r="E987" s="560"/>
      <c r="F987" s="86" t="s">
        <v>3604</v>
      </c>
      <c r="G987" s="86" t="s">
        <v>3605</v>
      </c>
      <c r="H987" s="79" t="s">
        <v>213</v>
      </c>
      <c r="I987" s="97" t="s">
        <v>641</v>
      </c>
      <c r="J987" s="73">
        <f t="shared" si="90"/>
        <v>1</v>
      </c>
      <c r="K987" s="74" t="s">
        <v>204</v>
      </c>
      <c r="L987" s="97" t="s">
        <v>4061</v>
      </c>
      <c r="N987" s="76" t="s">
        <v>17</v>
      </c>
      <c r="Q987" s="76" t="s">
        <v>2142</v>
      </c>
      <c r="R987" s="73">
        <f t="shared" si="91"/>
        <v>1</v>
      </c>
      <c r="S987" s="260" t="s">
        <v>1976</v>
      </c>
      <c r="T987" s="260"/>
      <c r="U987" s="260"/>
      <c r="V987" s="260"/>
      <c r="W987" s="260"/>
      <c r="X987" s="260"/>
      <c r="Y987" s="565"/>
      <c r="Z987" s="565"/>
      <c r="AA987" s="566">
        <f t="shared" si="92"/>
        <v>0</v>
      </c>
      <c r="AB987" s="699"/>
    </row>
    <row r="988" spans="1:28" ht="15.75" customHeight="1" x14ac:dyDescent="0.3">
      <c r="A988" s="96" t="s">
        <v>3606</v>
      </c>
      <c r="C988" s="81">
        <v>43830</v>
      </c>
      <c r="D988" s="109">
        <v>43873</v>
      </c>
      <c r="E988" s="560"/>
      <c r="F988" s="86" t="s">
        <v>3607</v>
      </c>
      <c r="G988" s="86" t="s">
        <v>152</v>
      </c>
      <c r="H988" s="79" t="s">
        <v>213</v>
      </c>
      <c r="I988" s="97" t="s">
        <v>642</v>
      </c>
      <c r="J988" s="73">
        <f t="shared" si="90"/>
        <v>1</v>
      </c>
      <c r="K988" s="74" t="s">
        <v>204</v>
      </c>
      <c r="N988" s="76" t="s">
        <v>18</v>
      </c>
      <c r="Q988" s="76" t="s">
        <v>2142</v>
      </c>
      <c r="R988" s="73">
        <f t="shared" si="91"/>
        <v>1</v>
      </c>
      <c r="S988" s="260" t="s">
        <v>1976</v>
      </c>
      <c r="T988" s="260"/>
      <c r="U988" s="260"/>
      <c r="V988" s="260"/>
      <c r="W988" s="260"/>
      <c r="X988" s="260"/>
      <c r="Y988" s="565"/>
      <c r="Z988" s="565"/>
      <c r="AA988" s="566">
        <f t="shared" si="92"/>
        <v>0</v>
      </c>
      <c r="AB988" s="699"/>
    </row>
    <row r="989" spans="1:28" ht="15.75" customHeight="1" x14ac:dyDescent="0.3">
      <c r="A989" s="96" t="s">
        <v>3608</v>
      </c>
      <c r="C989" s="81">
        <v>43830</v>
      </c>
      <c r="D989" s="109">
        <v>43873</v>
      </c>
      <c r="E989" s="560"/>
      <c r="F989" s="86" t="s">
        <v>3609</v>
      </c>
      <c r="G989" s="86" t="s">
        <v>147</v>
      </c>
      <c r="H989" s="79" t="s">
        <v>213</v>
      </c>
      <c r="I989" s="97" t="s">
        <v>714</v>
      </c>
      <c r="J989" s="73">
        <f t="shared" si="90"/>
        <v>1</v>
      </c>
      <c r="K989" s="74" t="s">
        <v>204</v>
      </c>
      <c r="N989" s="76" t="s">
        <v>18</v>
      </c>
      <c r="Q989" s="76" t="s">
        <v>2142</v>
      </c>
      <c r="R989" s="73">
        <f t="shared" si="91"/>
        <v>1</v>
      </c>
      <c r="S989" s="260" t="s">
        <v>1976</v>
      </c>
      <c r="T989" s="260"/>
      <c r="U989" s="260"/>
      <c r="V989" s="260"/>
      <c r="W989" s="260"/>
      <c r="X989" s="260"/>
      <c r="Y989" s="565"/>
      <c r="Z989" s="565"/>
      <c r="AA989" s="566">
        <f t="shared" si="92"/>
        <v>0</v>
      </c>
      <c r="AB989" s="699"/>
    </row>
    <row r="990" spans="1:28" ht="15.75" customHeight="1" x14ac:dyDescent="0.3">
      <c r="A990" s="79" t="s">
        <v>3971</v>
      </c>
      <c r="C990" s="81">
        <v>43851</v>
      </c>
      <c r="D990" s="109">
        <v>43872</v>
      </c>
      <c r="E990" s="560"/>
      <c r="F990" s="86" t="s">
        <v>3972</v>
      </c>
      <c r="G990" s="86" t="s">
        <v>156</v>
      </c>
      <c r="H990" s="79" t="s">
        <v>213</v>
      </c>
      <c r="I990" s="97" t="s">
        <v>995</v>
      </c>
      <c r="J990" s="73">
        <f t="shared" ref="J990:J1001" si="93">IF(OR(K990="Документы готовы",K990="Запрос в ФО",K990="ЭЗ",K990="РЕШ",K990="РЕШ шаблон"),0.1,IF(OR(K990="ЭЗ согласование",K990="РЕШ согласование"),0.3,IF(OR(K990="ЭЗ согласовано",K990="РЕШ согласовано",K990="РЕШ подписано"),0.6,IF(OR(K990="ЭЗ ПР согласование",K990="РЕШ УВ согласование"),0.9,IF(OR(K990="ЭЗ ПР DONE",K990="РЕШ УВ DONE"),1,0)))))</f>
        <v>1</v>
      </c>
      <c r="K990" s="74" t="s">
        <v>204</v>
      </c>
      <c r="N990" s="76" t="s">
        <v>19</v>
      </c>
      <c r="Q990" s="76" t="s">
        <v>2142</v>
      </c>
      <c r="R990" s="73">
        <f t="shared" ref="R990:R1002" si="94">IF(S990="В работе",0.3,IF(S990="Отписано",0.6,IF(S990="На доработку",0.9,IF(S990="Согласовано",1,0))))</f>
        <v>1</v>
      </c>
      <c r="S990" s="260" t="s">
        <v>1976</v>
      </c>
      <c r="T990" s="260"/>
      <c r="U990" s="260"/>
      <c r="V990" s="260"/>
      <c r="W990" s="260"/>
      <c r="X990" s="260"/>
      <c r="Y990" s="565"/>
      <c r="Z990" s="565"/>
      <c r="AA990" s="566">
        <f t="shared" si="92"/>
        <v>0</v>
      </c>
      <c r="AB990" s="699"/>
    </row>
    <row r="991" spans="1:28" ht="15.75" customHeight="1" x14ac:dyDescent="0.3">
      <c r="A991" s="96" t="s">
        <v>3975</v>
      </c>
      <c r="C991" s="81">
        <v>43851</v>
      </c>
      <c r="D991" s="109">
        <v>43872</v>
      </c>
      <c r="E991" s="560"/>
      <c r="F991" s="86" t="s">
        <v>3976</v>
      </c>
      <c r="G991" s="86" t="s">
        <v>172</v>
      </c>
      <c r="H991" s="79" t="s">
        <v>213</v>
      </c>
      <c r="I991" s="97" t="s">
        <v>3475</v>
      </c>
      <c r="J991" s="73">
        <f t="shared" si="93"/>
        <v>1</v>
      </c>
      <c r="K991" s="74" t="s">
        <v>204</v>
      </c>
      <c r="N991" s="76" t="s">
        <v>19</v>
      </c>
      <c r="Q991" s="76" t="s">
        <v>2142</v>
      </c>
      <c r="R991" s="73">
        <f t="shared" si="94"/>
        <v>1</v>
      </c>
      <c r="S991" s="260" t="s">
        <v>1976</v>
      </c>
      <c r="T991" s="260"/>
      <c r="U991" s="260"/>
      <c r="V991" s="260"/>
      <c r="W991" s="260"/>
      <c r="X991" s="260"/>
      <c r="Y991" s="565"/>
      <c r="Z991" s="565"/>
      <c r="AA991" s="566">
        <f t="shared" si="92"/>
        <v>0</v>
      </c>
      <c r="AB991" s="699"/>
    </row>
    <row r="992" spans="1:28" ht="15.75" customHeight="1" x14ac:dyDescent="0.3">
      <c r="A992" s="96" t="s">
        <v>3985</v>
      </c>
      <c r="C992" s="81">
        <v>43852</v>
      </c>
      <c r="D992" s="109">
        <v>43873</v>
      </c>
      <c r="E992" s="560"/>
      <c r="F992" s="86" t="s">
        <v>3986</v>
      </c>
      <c r="G992" s="86" t="s">
        <v>164</v>
      </c>
      <c r="H992" s="79" t="s">
        <v>213</v>
      </c>
      <c r="I992" s="97" t="s">
        <v>3476</v>
      </c>
      <c r="J992" s="73">
        <f t="shared" si="93"/>
        <v>1</v>
      </c>
      <c r="K992" s="74" t="s">
        <v>204</v>
      </c>
      <c r="N992" s="76" t="s">
        <v>18</v>
      </c>
      <c r="Q992" s="76" t="s">
        <v>2142</v>
      </c>
      <c r="R992" s="73">
        <f t="shared" si="94"/>
        <v>1</v>
      </c>
      <c r="S992" s="260" t="s">
        <v>1976</v>
      </c>
      <c r="T992" s="260"/>
      <c r="U992" s="260"/>
      <c r="V992" s="260"/>
      <c r="W992" s="260"/>
      <c r="X992" s="260"/>
      <c r="Y992" s="565"/>
      <c r="Z992" s="565"/>
      <c r="AA992" s="566">
        <f t="shared" si="92"/>
        <v>0</v>
      </c>
      <c r="AB992" s="699"/>
    </row>
    <row r="993" spans="1:28" ht="15.75" customHeight="1" x14ac:dyDescent="0.3">
      <c r="A993" s="96" t="s">
        <v>3987</v>
      </c>
      <c r="C993" s="81">
        <v>43852</v>
      </c>
      <c r="D993" s="109">
        <v>43873</v>
      </c>
      <c r="E993" s="560"/>
      <c r="F993" s="86" t="s">
        <v>3988</v>
      </c>
      <c r="G993" s="86" t="s">
        <v>152</v>
      </c>
      <c r="H993" s="79" t="s">
        <v>213</v>
      </c>
      <c r="I993" s="97" t="s">
        <v>1113</v>
      </c>
      <c r="J993" s="73">
        <f t="shared" si="93"/>
        <v>1</v>
      </c>
      <c r="K993" s="74" t="s">
        <v>204</v>
      </c>
      <c r="N993" s="76" t="s">
        <v>18</v>
      </c>
      <c r="Q993" s="76" t="s">
        <v>2142</v>
      </c>
      <c r="R993" s="73">
        <f t="shared" si="94"/>
        <v>1</v>
      </c>
      <c r="S993" s="260" t="s">
        <v>1976</v>
      </c>
      <c r="T993" s="260"/>
      <c r="U993" s="260"/>
      <c r="V993" s="260"/>
      <c r="W993" s="260"/>
      <c r="X993" s="260"/>
      <c r="Y993" s="565"/>
      <c r="Z993" s="565"/>
      <c r="AA993" s="566">
        <f t="shared" si="92"/>
        <v>0</v>
      </c>
      <c r="AB993" s="699"/>
    </row>
    <row r="994" spans="1:28" ht="15.75" customHeight="1" x14ac:dyDescent="0.3">
      <c r="A994" s="79" t="s">
        <v>3616</v>
      </c>
      <c r="C994" s="81">
        <v>43826</v>
      </c>
      <c r="D994" s="109">
        <v>43871</v>
      </c>
      <c r="E994" s="560"/>
      <c r="F994" s="86" t="s">
        <v>3617</v>
      </c>
      <c r="G994" s="86" t="s">
        <v>150</v>
      </c>
      <c r="H994" s="96" t="s">
        <v>213</v>
      </c>
      <c r="I994" s="97" t="s">
        <v>642</v>
      </c>
      <c r="J994" s="73">
        <f t="shared" si="93"/>
        <v>1</v>
      </c>
      <c r="K994" s="74" t="s">
        <v>204</v>
      </c>
      <c r="N994" s="76" t="s">
        <v>18</v>
      </c>
      <c r="Q994" s="76" t="s">
        <v>2417</v>
      </c>
      <c r="R994" s="73">
        <f t="shared" si="94"/>
        <v>1</v>
      </c>
      <c r="S994" s="260" t="s">
        <v>1976</v>
      </c>
      <c r="T994" s="260"/>
      <c r="U994" s="260"/>
      <c r="V994" s="260"/>
      <c r="W994" s="260"/>
      <c r="X994" s="260"/>
      <c r="Y994" s="565"/>
      <c r="Z994" s="565"/>
      <c r="AA994" s="566">
        <f t="shared" si="92"/>
        <v>0</v>
      </c>
      <c r="AB994" s="699"/>
    </row>
    <row r="995" spans="1:28" ht="15.75" customHeight="1" x14ac:dyDescent="0.3">
      <c r="A995" s="79" t="s">
        <v>3618</v>
      </c>
      <c r="C995" s="81">
        <v>43826</v>
      </c>
      <c r="D995" s="109">
        <v>43871</v>
      </c>
      <c r="E995" s="560"/>
      <c r="F995" s="86" t="s">
        <v>3619</v>
      </c>
      <c r="G995" s="86" t="s">
        <v>147</v>
      </c>
      <c r="H995" s="96" t="s">
        <v>213</v>
      </c>
      <c r="I995" s="97" t="s">
        <v>642</v>
      </c>
      <c r="J995" s="73">
        <f t="shared" si="93"/>
        <v>1</v>
      </c>
      <c r="K995" s="74" t="s">
        <v>204</v>
      </c>
      <c r="N995" s="76" t="s">
        <v>17</v>
      </c>
      <c r="Q995" s="76" t="s">
        <v>2417</v>
      </c>
      <c r="R995" s="73">
        <f t="shared" si="94"/>
        <v>1</v>
      </c>
      <c r="S995" s="260" t="s">
        <v>1976</v>
      </c>
      <c r="T995" s="260"/>
      <c r="U995" s="260"/>
      <c r="V995" s="260"/>
      <c r="W995" s="260"/>
      <c r="X995" s="260"/>
      <c r="Y995" s="565"/>
      <c r="Z995" s="565"/>
      <c r="AA995" s="566">
        <f t="shared" si="92"/>
        <v>0</v>
      </c>
      <c r="AB995" s="699"/>
    </row>
    <row r="996" spans="1:28" ht="15.75" customHeight="1" x14ac:dyDescent="0.3">
      <c r="A996" s="79" t="s">
        <v>3997</v>
      </c>
      <c r="C996" s="81">
        <v>43826</v>
      </c>
      <c r="D996" s="109">
        <v>43872</v>
      </c>
      <c r="E996" s="560"/>
      <c r="F996" s="86" t="s">
        <v>3998</v>
      </c>
      <c r="G996" s="86" t="s">
        <v>410</v>
      </c>
      <c r="H996" s="79" t="s">
        <v>213</v>
      </c>
      <c r="I996" s="97" t="s">
        <v>3479</v>
      </c>
      <c r="J996" s="73">
        <f t="shared" si="93"/>
        <v>1</v>
      </c>
      <c r="K996" s="74" t="s">
        <v>204</v>
      </c>
      <c r="N996" s="76" t="s">
        <v>18</v>
      </c>
      <c r="Q996" s="76" t="s">
        <v>2417</v>
      </c>
      <c r="R996" s="73">
        <f t="shared" si="94"/>
        <v>1</v>
      </c>
      <c r="S996" s="260" t="s">
        <v>1976</v>
      </c>
      <c r="T996" s="260"/>
      <c r="U996" s="260"/>
      <c r="V996" s="260"/>
      <c r="W996" s="260"/>
      <c r="X996" s="260"/>
      <c r="Y996" s="565"/>
      <c r="Z996" s="565"/>
      <c r="AA996" s="566">
        <f t="shared" si="92"/>
        <v>0</v>
      </c>
      <c r="AB996" s="699"/>
    </row>
    <row r="997" spans="1:28" ht="15.75" customHeight="1" x14ac:dyDescent="0.3">
      <c r="A997" s="79" t="s">
        <v>3620</v>
      </c>
      <c r="C997" s="81">
        <v>43826</v>
      </c>
      <c r="D997" s="109">
        <v>43872</v>
      </c>
      <c r="E997" s="560"/>
      <c r="F997" s="86" t="s">
        <v>3621</v>
      </c>
      <c r="G997" s="86" t="s">
        <v>166</v>
      </c>
      <c r="H997" s="79" t="s">
        <v>213</v>
      </c>
      <c r="I997" s="97" t="s">
        <v>714</v>
      </c>
      <c r="J997" s="73">
        <f t="shared" si="93"/>
        <v>1</v>
      </c>
      <c r="K997" s="74" t="s">
        <v>204</v>
      </c>
      <c r="L997" s="97" t="s">
        <v>4070</v>
      </c>
      <c r="N997" s="76" t="s">
        <v>17</v>
      </c>
      <c r="Q997" s="76" t="s">
        <v>2417</v>
      </c>
      <c r="R997" s="73">
        <f t="shared" si="94"/>
        <v>1</v>
      </c>
      <c r="S997" s="260" t="s">
        <v>1976</v>
      </c>
      <c r="T997" s="260"/>
      <c r="U997" s="260"/>
      <c r="V997" s="260"/>
      <c r="W997" s="260"/>
      <c r="X997" s="260"/>
      <c r="Y997" s="565"/>
      <c r="Z997" s="565"/>
      <c r="AA997" s="566">
        <f t="shared" si="92"/>
        <v>0</v>
      </c>
      <c r="AB997" s="699"/>
    </row>
    <row r="998" spans="1:28" ht="15.75" customHeight="1" x14ac:dyDescent="0.3">
      <c r="A998" s="79" t="s">
        <v>3624</v>
      </c>
      <c r="C998" s="81">
        <v>43826</v>
      </c>
      <c r="D998" s="109">
        <v>43872</v>
      </c>
      <c r="E998" s="560"/>
      <c r="F998" s="86" t="s">
        <v>3625</v>
      </c>
      <c r="G998" s="86" t="s">
        <v>156</v>
      </c>
      <c r="H998" s="79" t="s">
        <v>213</v>
      </c>
      <c r="I998" s="97" t="s">
        <v>714</v>
      </c>
      <c r="J998" s="73">
        <f t="shared" si="93"/>
        <v>1</v>
      </c>
      <c r="K998" s="74" t="s">
        <v>204</v>
      </c>
      <c r="N998" s="76" t="s">
        <v>18</v>
      </c>
      <c r="Q998" s="76" t="s">
        <v>2417</v>
      </c>
      <c r="R998" s="73">
        <f t="shared" si="94"/>
        <v>1</v>
      </c>
      <c r="S998" s="260" t="s">
        <v>1976</v>
      </c>
      <c r="T998" s="260"/>
      <c r="U998" s="260"/>
      <c r="V998" s="260"/>
      <c r="W998" s="260"/>
      <c r="X998" s="260"/>
      <c r="Y998" s="565"/>
      <c r="Z998" s="565"/>
      <c r="AA998" s="566">
        <f t="shared" si="92"/>
        <v>0</v>
      </c>
      <c r="AB998" s="699"/>
    </row>
    <row r="999" spans="1:28" ht="15.75" customHeight="1" x14ac:dyDescent="0.3">
      <c r="A999" s="79" t="s">
        <v>3628</v>
      </c>
      <c r="C999" s="81">
        <v>43829</v>
      </c>
      <c r="D999" s="109">
        <v>43873</v>
      </c>
      <c r="E999" s="560"/>
      <c r="F999" s="86" t="s">
        <v>3629</v>
      </c>
      <c r="G999" s="86" t="s">
        <v>147</v>
      </c>
      <c r="H999" s="79" t="s">
        <v>213</v>
      </c>
      <c r="I999" s="97" t="s">
        <v>645</v>
      </c>
      <c r="J999" s="73">
        <f t="shared" si="93"/>
        <v>1</v>
      </c>
      <c r="K999" s="74" t="s">
        <v>204</v>
      </c>
      <c r="L999" s="97" t="s">
        <v>4073</v>
      </c>
      <c r="N999" s="76" t="s">
        <v>18</v>
      </c>
      <c r="Q999" s="76" t="s">
        <v>2417</v>
      </c>
      <c r="R999" s="73">
        <f t="shared" si="94"/>
        <v>1</v>
      </c>
      <c r="S999" s="260" t="s">
        <v>1976</v>
      </c>
      <c r="T999" s="260"/>
      <c r="U999" s="260"/>
      <c r="V999" s="260"/>
      <c r="W999" s="260"/>
      <c r="X999" s="260"/>
      <c r="Y999" s="565"/>
      <c r="Z999" s="565"/>
      <c r="AA999" s="566">
        <f t="shared" si="92"/>
        <v>0</v>
      </c>
      <c r="AB999" s="699"/>
    </row>
    <row r="1000" spans="1:28" ht="15.75" customHeight="1" x14ac:dyDescent="0.3">
      <c r="A1000" s="79" t="s">
        <v>3630</v>
      </c>
      <c r="C1000" s="81">
        <v>43830</v>
      </c>
      <c r="D1000" s="109">
        <v>43873</v>
      </c>
      <c r="E1000" s="560"/>
      <c r="F1000" s="86" t="s">
        <v>3631</v>
      </c>
      <c r="G1000" s="86" t="s">
        <v>156</v>
      </c>
      <c r="H1000" s="79" t="s">
        <v>213</v>
      </c>
      <c r="I1000" s="97" t="s">
        <v>714</v>
      </c>
      <c r="J1000" s="73">
        <f t="shared" si="93"/>
        <v>1</v>
      </c>
      <c r="K1000" s="74" t="s">
        <v>204</v>
      </c>
      <c r="N1000" s="76" t="s">
        <v>17</v>
      </c>
      <c r="Q1000" s="76" t="s">
        <v>2417</v>
      </c>
      <c r="R1000" s="73">
        <f t="shared" si="94"/>
        <v>1</v>
      </c>
      <c r="S1000" s="260" t="s">
        <v>1976</v>
      </c>
      <c r="T1000" s="260"/>
      <c r="U1000" s="260"/>
      <c r="V1000" s="260"/>
      <c r="W1000" s="260"/>
      <c r="X1000" s="260"/>
      <c r="Y1000" s="565"/>
      <c r="Z1000" s="565"/>
      <c r="AA1000" s="566">
        <f t="shared" si="92"/>
        <v>0</v>
      </c>
      <c r="AB1000" s="699"/>
    </row>
    <row r="1001" spans="1:28" ht="15.75" customHeight="1" x14ac:dyDescent="0.3">
      <c r="A1001" s="79" t="s">
        <v>3999</v>
      </c>
      <c r="C1001" s="81">
        <v>43850</v>
      </c>
      <c r="D1001" s="109">
        <v>43871</v>
      </c>
      <c r="E1001" s="560"/>
      <c r="F1001" s="86" t="s">
        <v>4000</v>
      </c>
      <c r="G1001" s="86" t="s">
        <v>179</v>
      </c>
      <c r="H1001" s="96" t="s">
        <v>213</v>
      </c>
      <c r="I1001" s="97" t="s">
        <v>3187</v>
      </c>
      <c r="J1001" s="73">
        <f t="shared" si="93"/>
        <v>1</v>
      </c>
      <c r="K1001" s="74" t="s">
        <v>204</v>
      </c>
      <c r="N1001" s="76" t="s">
        <v>19</v>
      </c>
      <c r="Q1001" s="76" t="s">
        <v>2417</v>
      </c>
      <c r="R1001" s="73">
        <f t="shared" si="94"/>
        <v>1</v>
      </c>
      <c r="S1001" s="260" t="s">
        <v>1976</v>
      </c>
      <c r="T1001" s="260"/>
      <c r="U1001" s="260"/>
      <c r="V1001" s="260"/>
      <c r="W1001" s="260"/>
      <c r="X1001" s="260"/>
      <c r="Y1001" s="565"/>
      <c r="Z1001" s="565"/>
      <c r="AA1001" s="566">
        <f t="shared" si="92"/>
        <v>0</v>
      </c>
      <c r="AB1001" s="699"/>
    </row>
    <row r="1002" spans="1:28" ht="15.75" customHeight="1" x14ac:dyDescent="0.3">
      <c r="A1002" s="79" t="s">
        <v>4001</v>
      </c>
      <c r="C1002" s="81">
        <v>43850</v>
      </c>
      <c r="D1002" s="109">
        <v>43871</v>
      </c>
      <c r="E1002" s="560"/>
      <c r="F1002" s="86" t="s">
        <v>4002</v>
      </c>
      <c r="G1002" s="86" t="s">
        <v>152</v>
      </c>
      <c r="H1002" s="96" t="s">
        <v>213</v>
      </c>
      <c r="I1002" s="97" t="s">
        <v>649</v>
      </c>
      <c r="J1002" s="73">
        <f t="shared" ref="J1002:J1022" si="95">IF(OR(K1002="Документы готовы",K1002="Запрос в ФО",K1002="ЭЗ",K1002="РЕШ",K1002="РЕШ шаблон"),0.1,IF(OR(K1002="ЭЗ согласование",K1002="РЕШ согласование"),0.3,IF(OR(K1002="ЭЗ согласовано",K1002="РЕШ согласовано",K1002="РЕШ подписано"),0.6,IF(OR(K1002="ЭЗ ПР согласование",K1002="РЕШ УВ согласование"),0.9,IF(OR(K1002="ЭЗ ПР DONE",K1002="РЕШ УВ DONE"),1,0)))))</f>
        <v>1</v>
      </c>
      <c r="K1002" s="74" t="s">
        <v>204</v>
      </c>
      <c r="L1002" s="97" t="s">
        <v>4067</v>
      </c>
      <c r="N1002" s="76" t="s">
        <v>18</v>
      </c>
      <c r="Q1002" s="76" t="s">
        <v>2417</v>
      </c>
      <c r="R1002" s="73">
        <f t="shared" si="94"/>
        <v>1</v>
      </c>
      <c r="S1002" s="260" t="s">
        <v>1976</v>
      </c>
      <c r="T1002" s="260"/>
      <c r="U1002" s="260"/>
      <c r="V1002" s="260"/>
      <c r="W1002" s="260"/>
      <c r="X1002" s="260"/>
      <c r="Y1002" s="565"/>
      <c r="Z1002" s="565"/>
      <c r="AA1002" s="566">
        <f t="shared" si="92"/>
        <v>0</v>
      </c>
      <c r="AB1002" s="699"/>
    </row>
    <row r="1003" spans="1:28" ht="15.75" customHeight="1" x14ac:dyDescent="0.3">
      <c r="A1003" s="79" t="s">
        <v>4007</v>
      </c>
      <c r="C1003" s="81">
        <v>43851</v>
      </c>
      <c r="D1003" s="109">
        <v>43872</v>
      </c>
      <c r="E1003" s="560"/>
      <c r="F1003" s="86" t="s">
        <v>4008</v>
      </c>
      <c r="G1003" s="86" t="s">
        <v>150</v>
      </c>
      <c r="H1003" s="79" t="s">
        <v>213</v>
      </c>
      <c r="I1003" s="97" t="s">
        <v>1204</v>
      </c>
      <c r="J1003" s="73">
        <f t="shared" si="95"/>
        <v>1</v>
      </c>
      <c r="K1003" s="74" t="s">
        <v>204</v>
      </c>
      <c r="N1003" s="76" t="s">
        <v>18</v>
      </c>
      <c r="Q1003" s="76" t="s">
        <v>2417</v>
      </c>
      <c r="R1003" s="73">
        <f t="shared" ref="R1003:R1024" si="96">IF(S1003="В работе",0.3,IF(S1003="Отписано",0.6,IF(S1003="На доработку",0.9,IF(S1003="Согласовано",1,0))))</f>
        <v>1</v>
      </c>
      <c r="S1003" s="260" t="s">
        <v>1976</v>
      </c>
      <c r="T1003" s="260"/>
      <c r="U1003" s="260"/>
      <c r="V1003" s="260"/>
      <c r="W1003" s="260"/>
      <c r="X1003" s="260"/>
      <c r="Y1003" s="565"/>
      <c r="Z1003" s="565"/>
      <c r="AA1003" s="566">
        <f t="shared" si="92"/>
        <v>0</v>
      </c>
      <c r="AB1003" s="699"/>
    </row>
    <row r="1004" spans="1:28" ht="15.75" customHeight="1" x14ac:dyDescent="0.3">
      <c r="A1004" s="79" t="s">
        <v>4009</v>
      </c>
      <c r="C1004" s="81">
        <v>43851</v>
      </c>
      <c r="D1004" s="109">
        <v>43872</v>
      </c>
      <c r="E1004" s="560"/>
      <c r="F1004" s="86" t="s">
        <v>4010</v>
      </c>
      <c r="G1004" s="86" t="s">
        <v>152</v>
      </c>
      <c r="H1004" s="79" t="s">
        <v>213</v>
      </c>
      <c r="I1004" s="97" t="s">
        <v>722</v>
      </c>
      <c r="J1004" s="73">
        <f t="shared" si="95"/>
        <v>1</v>
      </c>
      <c r="K1004" s="74" t="s">
        <v>204</v>
      </c>
      <c r="N1004" s="76" t="s">
        <v>18</v>
      </c>
      <c r="Q1004" s="76" t="s">
        <v>2417</v>
      </c>
      <c r="R1004" s="73">
        <f t="shared" si="96"/>
        <v>1</v>
      </c>
      <c r="S1004" s="260" t="s">
        <v>1976</v>
      </c>
      <c r="T1004" s="260"/>
      <c r="U1004" s="260"/>
      <c r="V1004" s="260"/>
      <c r="W1004" s="260"/>
      <c r="X1004" s="260"/>
      <c r="Y1004" s="565"/>
      <c r="Z1004" s="565"/>
      <c r="AA1004" s="566">
        <f t="shared" si="92"/>
        <v>0</v>
      </c>
      <c r="AB1004" s="699"/>
    </row>
    <row r="1005" spans="1:28" ht="15.75" customHeight="1" x14ac:dyDescent="0.3">
      <c r="A1005" s="79" t="s">
        <v>4013</v>
      </c>
      <c r="C1005" s="81">
        <v>43851</v>
      </c>
      <c r="D1005" s="109">
        <v>43872</v>
      </c>
      <c r="E1005" s="560"/>
      <c r="F1005" s="86" t="s">
        <v>4014</v>
      </c>
      <c r="G1005" s="86" t="s">
        <v>152</v>
      </c>
      <c r="H1005" s="79" t="s">
        <v>213</v>
      </c>
      <c r="I1005" s="97" t="s">
        <v>2478</v>
      </c>
      <c r="J1005" s="73">
        <f t="shared" si="95"/>
        <v>1</v>
      </c>
      <c r="K1005" s="74" t="s">
        <v>204</v>
      </c>
      <c r="N1005" s="76" t="s">
        <v>17</v>
      </c>
      <c r="Q1005" s="76" t="s">
        <v>2417</v>
      </c>
      <c r="R1005" s="73">
        <f t="shared" si="96"/>
        <v>1</v>
      </c>
      <c r="S1005" s="260" t="s">
        <v>1976</v>
      </c>
      <c r="T1005" s="260"/>
      <c r="U1005" s="260"/>
      <c r="V1005" s="260"/>
      <c r="W1005" s="260"/>
      <c r="X1005" s="260"/>
      <c r="Y1005" s="565"/>
      <c r="Z1005" s="565"/>
      <c r="AA1005" s="566">
        <f t="shared" si="92"/>
        <v>0</v>
      </c>
      <c r="AB1005" s="699"/>
    </row>
    <row r="1006" spans="1:28" ht="15.75" customHeight="1" x14ac:dyDescent="0.3">
      <c r="A1006" s="79" t="s">
        <v>4015</v>
      </c>
      <c r="C1006" s="81">
        <v>43851</v>
      </c>
      <c r="D1006" s="109">
        <v>43872</v>
      </c>
      <c r="E1006" s="560"/>
      <c r="F1006" s="86" t="s">
        <v>4016</v>
      </c>
      <c r="G1006" s="86" t="s">
        <v>156</v>
      </c>
      <c r="H1006" s="79" t="s">
        <v>213</v>
      </c>
      <c r="I1006" s="97" t="s">
        <v>972</v>
      </c>
      <c r="J1006" s="73">
        <f t="shared" si="95"/>
        <v>1</v>
      </c>
      <c r="K1006" s="74" t="s">
        <v>204</v>
      </c>
      <c r="N1006" s="76" t="s">
        <v>17</v>
      </c>
      <c r="Q1006" s="76" t="s">
        <v>2417</v>
      </c>
      <c r="R1006" s="73">
        <f t="shared" si="96"/>
        <v>1</v>
      </c>
      <c r="S1006" s="260" t="s">
        <v>1976</v>
      </c>
      <c r="T1006" s="260"/>
      <c r="U1006" s="260"/>
      <c r="V1006" s="260"/>
      <c r="W1006" s="260"/>
      <c r="X1006" s="260"/>
      <c r="Y1006" s="565"/>
      <c r="Z1006" s="565"/>
      <c r="AA1006" s="566">
        <f t="shared" si="92"/>
        <v>0</v>
      </c>
      <c r="AB1006" s="699"/>
    </row>
    <row r="1007" spans="1:28" ht="15.75" customHeight="1" x14ac:dyDescent="0.3">
      <c r="A1007" s="79" t="s">
        <v>4017</v>
      </c>
      <c r="C1007" s="81">
        <v>43851</v>
      </c>
      <c r="D1007" s="109">
        <v>43873</v>
      </c>
      <c r="E1007" s="560"/>
      <c r="F1007" s="86" t="s">
        <v>4018</v>
      </c>
      <c r="G1007" s="86" t="s">
        <v>157</v>
      </c>
      <c r="H1007" s="79" t="s">
        <v>213</v>
      </c>
      <c r="I1007" s="97" t="s">
        <v>2478</v>
      </c>
      <c r="J1007" s="73">
        <f t="shared" si="95"/>
        <v>1</v>
      </c>
      <c r="K1007" s="74" t="s">
        <v>204</v>
      </c>
      <c r="L1007" s="97" t="s">
        <v>4074</v>
      </c>
      <c r="N1007" s="76" t="s">
        <v>17</v>
      </c>
      <c r="Q1007" s="76" t="s">
        <v>2417</v>
      </c>
      <c r="R1007" s="73">
        <f t="shared" si="96"/>
        <v>1</v>
      </c>
      <c r="S1007" s="260" t="s">
        <v>1976</v>
      </c>
      <c r="T1007" s="260"/>
      <c r="U1007" s="260"/>
      <c r="V1007" s="260"/>
      <c r="W1007" s="260"/>
      <c r="X1007" s="260"/>
      <c r="Y1007" s="565"/>
      <c r="Z1007" s="565"/>
      <c r="AA1007" s="566">
        <f t="shared" si="92"/>
        <v>0</v>
      </c>
      <c r="AB1007" s="699"/>
    </row>
    <row r="1008" spans="1:28" ht="15.75" customHeight="1" x14ac:dyDescent="0.3">
      <c r="A1008" s="79" t="s">
        <v>4040</v>
      </c>
      <c r="C1008" s="81">
        <v>43847</v>
      </c>
      <c r="D1008" s="109">
        <v>43871</v>
      </c>
      <c r="E1008" s="560"/>
      <c r="F1008" s="86" t="s">
        <v>4041</v>
      </c>
      <c r="G1008" s="86" t="s">
        <v>154</v>
      </c>
      <c r="H1008" s="79" t="s">
        <v>213</v>
      </c>
      <c r="J1008" s="73">
        <f t="shared" si="95"/>
        <v>1</v>
      </c>
      <c r="K1008" s="74" t="s">
        <v>204</v>
      </c>
      <c r="N1008" s="76" t="s">
        <v>19</v>
      </c>
      <c r="Q1008" s="76" t="s">
        <v>4039</v>
      </c>
      <c r="R1008" s="73">
        <f t="shared" si="96"/>
        <v>1</v>
      </c>
      <c r="S1008" s="260" t="s">
        <v>1976</v>
      </c>
      <c r="T1008" s="260"/>
      <c r="U1008" s="260"/>
      <c r="V1008" s="260"/>
      <c r="W1008" s="260"/>
      <c r="X1008" s="260"/>
      <c r="Y1008" s="565"/>
      <c r="Z1008" s="565"/>
      <c r="AA1008" s="566">
        <f t="shared" si="92"/>
        <v>0</v>
      </c>
      <c r="AB1008" s="699"/>
    </row>
    <row r="1009" spans="1:28" ht="15.75" customHeight="1" x14ac:dyDescent="0.3">
      <c r="A1009" s="79" t="s">
        <v>4042</v>
      </c>
      <c r="C1009" s="81">
        <v>43826</v>
      </c>
      <c r="D1009" s="109">
        <v>43872</v>
      </c>
      <c r="E1009" s="560"/>
      <c r="F1009" s="86" t="s">
        <v>4043</v>
      </c>
      <c r="G1009" s="86" t="s">
        <v>147</v>
      </c>
      <c r="H1009" s="79" t="s">
        <v>213</v>
      </c>
      <c r="I1009" s="97" t="s">
        <v>714</v>
      </c>
      <c r="J1009" s="73">
        <f t="shared" si="95"/>
        <v>1</v>
      </c>
      <c r="K1009" s="74" t="s">
        <v>204</v>
      </c>
      <c r="N1009" s="76" t="s">
        <v>18</v>
      </c>
      <c r="Q1009" s="76" t="s">
        <v>4039</v>
      </c>
      <c r="R1009" s="73">
        <f t="shared" si="96"/>
        <v>1</v>
      </c>
      <c r="S1009" s="260" t="s">
        <v>1976</v>
      </c>
      <c r="T1009" s="260"/>
      <c r="U1009" s="260"/>
      <c r="V1009" s="260"/>
      <c r="W1009" s="260"/>
      <c r="X1009" s="260"/>
      <c r="Y1009" s="565"/>
      <c r="Z1009" s="565"/>
      <c r="AA1009" s="566">
        <f t="shared" si="92"/>
        <v>0</v>
      </c>
      <c r="AB1009" s="699"/>
    </row>
    <row r="1010" spans="1:28" ht="15.75" customHeight="1" x14ac:dyDescent="0.3">
      <c r="A1010" s="79" t="s">
        <v>4044</v>
      </c>
      <c r="C1010" s="81">
        <v>43829</v>
      </c>
      <c r="D1010" s="109">
        <v>43872</v>
      </c>
      <c r="E1010" s="560"/>
      <c r="F1010" s="86" t="s">
        <v>4045</v>
      </c>
      <c r="G1010" s="86" t="s">
        <v>152</v>
      </c>
      <c r="H1010" s="79" t="s">
        <v>213</v>
      </c>
      <c r="I1010" s="97" t="s">
        <v>714</v>
      </c>
      <c r="J1010" s="73">
        <f t="shared" si="95"/>
        <v>1</v>
      </c>
      <c r="K1010" s="74" t="s">
        <v>204</v>
      </c>
      <c r="N1010" s="76" t="s">
        <v>17</v>
      </c>
      <c r="Q1010" s="76" t="s">
        <v>4039</v>
      </c>
      <c r="R1010" s="73">
        <f t="shared" si="96"/>
        <v>1</v>
      </c>
      <c r="S1010" s="260" t="s">
        <v>1976</v>
      </c>
      <c r="T1010" s="260"/>
      <c r="U1010" s="260"/>
      <c r="V1010" s="260"/>
      <c r="W1010" s="260"/>
      <c r="X1010" s="260"/>
      <c r="Y1010" s="565"/>
      <c r="Z1010" s="565"/>
      <c r="AA1010" s="566">
        <f t="shared" si="92"/>
        <v>0</v>
      </c>
      <c r="AB1010" s="699"/>
    </row>
    <row r="1011" spans="1:28" ht="15.75" customHeight="1" x14ac:dyDescent="0.3">
      <c r="A1011" s="79" t="s">
        <v>4046</v>
      </c>
      <c r="C1011" s="81">
        <v>43850</v>
      </c>
      <c r="D1011" s="109">
        <v>43872</v>
      </c>
      <c r="E1011" s="560"/>
      <c r="F1011" s="86" t="s">
        <v>4047</v>
      </c>
      <c r="G1011" s="86" t="s">
        <v>177</v>
      </c>
      <c r="H1011" s="79" t="s">
        <v>213</v>
      </c>
      <c r="I1011" s="97" t="s">
        <v>3471</v>
      </c>
      <c r="J1011" s="73">
        <f t="shared" si="95"/>
        <v>1</v>
      </c>
      <c r="K1011" s="74" t="s">
        <v>204</v>
      </c>
      <c r="N1011" s="76" t="s">
        <v>17</v>
      </c>
      <c r="Q1011" s="76" t="s">
        <v>4039</v>
      </c>
      <c r="R1011" s="73">
        <f t="shared" si="96"/>
        <v>1</v>
      </c>
      <c r="S1011" s="260" t="s">
        <v>1976</v>
      </c>
      <c r="T1011" s="260"/>
      <c r="U1011" s="260"/>
      <c r="V1011" s="260"/>
      <c r="W1011" s="260"/>
      <c r="X1011" s="260"/>
      <c r="Y1011" s="565"/>
      <c r="Z1011" s="565"/>
      <c r="AA1011" s="566">
        <f t="shared" si="92"/>
        <v>0</v>
      </c>
      <c r="AB1011" s="699"/>
    </row>
    <row r="1012" spans="1:28" ht="15.75" customHeight="1" x14ac:dyDescent="0.3">
      <c r="A1012" s="79" t="s">
        <v>4048</v>
      </c>
      <c r="C1012" s="81">
        <v>43850</v>
      </c>
      <c r="D1012" s="109">
        <v>43872</v>
      </c>
      <c r="E1012" s="560"/>
      <c r="F1012" s="86" t="s">
        <v>4049</v>
      </c>
      <c r="G1012" s="86" t="s">
        <v>156</v>
      </c>
      <c r="H1012" s="79" t="s">
        <v>213</v>
      </c>
      <c r="I1012" s="97" t="s">
        <v>649</v>
      </c>
      <c r="J1012" s="73">
        <f t="shared" si="95"/>
        <v>1</v>
      </c>
      <c r="K1012" s="74" t="s">
        <v>204</v>
      </c>
      <c r="N1012" s="76" t="s">
        <v>17</v>
      </c>
      <c r="Q1012" s="76" t="s">
        <v>4039</v>
      </c>
      <c r="R1012" s="73">
        <f t="shared" si="96"/>
        <v>1</v>
      </c>
      <c r="S1012" s="260" t="s">
        <v>1976</v>
      </c>
      <c r="T1012" s="260"/>
      <c r="U1012" s="260"/>
      <c r="V1012" s="260"/>
      <c r="W1012" s="260"/>
      <c r="X1012" s="260"/>
      <c r="Y1012" s="565"/>
      <c r="Z1012" s="565"/>
      <c r="AA1012" s="566">
        <f t="shared" si="92"/>
        <v>0</v>
      </c>
      <c r="AB1012" s="699"/>
    </row>
    <row r="1013" spans="1:28" ht="15.75" customHeight="1" x14ac:dyDescent="0.3">
      <c r="A1013" s="79" t="s">
        <v>4050</v>
      </c>
      <c r="C1013" s="81">
        <v>43850</v>
      </c>
      <c r="D1013" s="109">
        <v>43872</v>
      </c>
      <c r="E1013" s="560"/>
      <c r="F1013" s="86" t="s">
        <v>4051</v>
      </c>
      <c r="G1013" s="86" t="s">
        <v>156</v>
      </c>
      <c r="H1013" s="79" t="s">
        <v>213</v>
      </c>
      <c r="I1013" s="97" t="s">
        <v>2478</v>
      </c>
      <c r="J1013" s="73">
        <f t="shared" si="95"/>
        <v>1</v>
      </c>
      <c r="K1013" s="74" t="s">
        <v>204</v>
      </c>
      <c r="N1013" s="76" t="s">
        <v>17</v>
      </c>
      <c r="Q1013" s="76" t="s">
        <v>4039</v>
      </c>
      <c r="R1013" s="73">
        <f t="shared" si="96"/>
        <v>1</v>
      </c>
      <c r="S1013" s="260" t="s">
        <v>1976</v>
      </c>
      <c r="T1013" s="260"/>
      <c r="U1013" s="260"/>
      <c r="V1013" s="260"/>
      <c r="W1013" s="260"/>
      <c r="X1013" s="260"/>
      <c r="Y1013" s="565"/>
      <c r="Z1013" s="565"/>
      <c r="AA1013" s="566">
        <f t="shared" si="92"/>
        <v>0</v>
      </c>
      <c r="AB1013" s="699"/>
    </row>
    <row r="1014" spans="1:28" ht="15.75" customHeight="1" x14ac:dyDescent="0.3">
      <c r="A1014" s="79" t="s">
        <v>4052</v>
      </c>
      <c r="C1014" s="81">
        <v>43829</v>
      </c>
      <c r="D1014" s="109">
        <v>43873</v>
      </c>
      <c r="E1014" s="560"/>
      <c r="F1014" s="86" t="s">
        <v>4053</v>
      </c>
      <c r="G1014" s="86" t="s">
        <v>157</v>
      </c>
      <c r="H1014" s="79" t="s">
        <v>213</v>
      </c>
      <c r="I1014" s="97" t="s">
        <v>642</v>
      </c>
      <c r="J1014" s="73">
        <f t="shared" si="95"/>
        <v>1</v>
      </c>
      <c r="K1014" s="74" t="s">
        <v>204</v>
      </c>
      <c r="N1014" s="76" t="s">
        <v>18</v>
      </c>
      <c r="Q1014" s="76" t="s">
        <v>4039</v>
      </c>
      <c r="R1014" s="73">
        <f t="shared" si="96"/>
        <v>1</v>
      </c>
      <c r="S1014" s="260" t="s">
        <v>1976</v>
      </c>
      <c r="T1014" s="260"/>
      <c r="U1014" s="260"/>
      <c r="V1014" s="260"/>
      <c r="W1014" s="260"/>
      <c r="X1014" s="260"/>
      <c r="Y1014" s="565"/>
      <c r="Z1014" s="565"/>
      <c r="AA1014" s="566">
        <f t="shared" si="92"/>
        <v>0</v>
      </c>
      <c r="AB1014" s="699"/>
    </row>
    <row r="1015" spans="1:28" ht="15.75" customHeight="1" x14ac:dyDescent="0.3">
      <c r="A1015" s="96" t="s">
        <v>4054</v>
      </c>
      <c r="C1015" s="81">
        <v>43829</v>
      </c>
      <c r="D1015" s="109">
        <v>43873</v>
      </c>
      <c r="E1015" s="560"/>
      <c r="F1015" s="86" t="s">
        <v>4055</v>
      </c>
      <c r="G1015" s="86" t="s">
        <v>152</v>
      </c>
      <c r="H1015" s="79" t="s">
        <v>268</v>
      </c>
      <c r="I1015" s="97" t="s">
        <v>657</v>
      </c>
      <c r="J1015" s="73">
        <f t="shared" si="95"/>
        <v>1</v>
      </c>
      <c r="K1015" s="74" t="s">
        <v>204</v>
      </c>
      <c r="L1015" s="97" t="s">
        <v>4076</v>
      </c>
      <c r="N1015" s="76" t="s">
        <v>17</v>
      </c>
      <c r="Q1015" s="76" t="s">
        <v>4039</v>
      </c>
      <c r="R1015" s="73">
        <f t="shared" si="96"/>
        <v>1</v>
      </c>
      <c r="S1015" s="260" t="s">
        <v>1976</v>
      </c>
      <c r="T1015" s="260"/>
      <c r="U1015" s="260"/>
      <c r="V1015" s="260"/>
      <c r="W1015" s="260"/>
      <c r="X1015" s="260"/>
      <c r="Y1015" s="565"/>
      <c r="Z1015" s="565"/>
      <c r="AA1015" s="566">
        <f t="shared" si="92"/>
        <v>0</v>
      </c>
      <c r="AB1015" s="699"/>
    </row>
    <row r="1016" spans="1:28" ht="15.75" customHeight="1" x14ac:dyDescent="0.3">
      <c r="A1016" s="79" t="s">
        <v>4056</v>
      </c>
      <c r="C1016" s="81">
        <v>43852</v>
      </c>
      <c r="D1016" s="109">
        <v>43873</v>
      </c>
      <c r="E1016" s="560"/>
      <c r="F1016" s="86" t="s">
        <v>4057</v>
      </c>
      <c r="G1016" s="86" t="s">
        <v>156</v>
      </c>
      <c r="H1016" s="79" t="s">
        <v>213</v>
      </c>
      <c r="I1016" s="97" t="s">
        <v>995</v>
      </c>
      <c r="J1016" s="73">
        <f t="shared" si="95"/>
        <v>1</v>
      </c>
      <c r="K1016" s="74" t="s">
        <v>204</v>
      </c>
      <c r="N1016" s="76" t="s">
        <v>19</v>
      </c>
      <c r="Q1016" s="76" t="s">
        <v>4039</v>
      </c>
      <c r="R1016" s="73">
        <f t="shared" si="96"/>
        <v>1</v>
      </c>
      <c r="S1016" s="260" t="s">
        <v>1976</v>
      </c>
      <c r="T1016" s="260"/>
      <c r="U1016" s="260"/>
      <c r="V1016" s="260"/>
      <c r="W1016" s="260"/>
      <c r="X1016" s="260"/>
      <c r="Y1016" s="565"/>
      <c r="Z1016" s="565"/>
      <c r="AA1016" s="566">
        <f t="shared" si="92"/>
        <v>0</v>
      </c>
      <c r="AB1016" s="699"/>
    </row>
    <row r="1017" spans="1:28" ht="15.75" customHeight="1" x14ac:dyDescent="0.3">
      <c r="A1017" s="79" t="s">
        <v>4058</v>
      </c>
      <c r="C1017" s="81">
        <v>43852</v>
      </c>
      <c r="D1017" s="109">
        <v>43873</v>
      </c>
      <c r="E1017" s="560"/>
      <c r="F1017" s="86" t="s">
        <v>4059</v>
      </c>
      <c r="G1017" s="86" t="s">
        <v>181</v>
      </c>
      <c r="H1017" s="79" t="s">
        <v>213</v>
      </c>
      <c r="I1017" s="97" t="s">
        <v>649</v>
      </c>
      <c r="J1017" s="73">
        <f t="shared" si="95"/>
        <v>1</v>
      </c>
      <c r="K1017" s="74" t="s">
        <v>204</v>
      </c>
      <c r="N1017" s="76" t="s">
        <v>17</v>
      </c>
      <c r="Q1017" s="76" t="s">
        <v>4039</v>
      </c>
      <c r="R1017" s="73">
        <f t="shared" si="96"/>
        <v>1</v>
      </c>
      <c r="S1017" s="260" t="s">
        <v>1976</v>
      </c>
      <c r="T1017" s="260"/>
      <c r="U1017" s="260"/>
      <c r="V1017" s="260"/>
      <c r="W1017" s="260"/>
      <c r="X1017" s="260"/>
      <c r="Y1017" s="565"/>
      <c r="Z1017" s="565"/>
      <c r="AA1017" s="566">
        <f t="shared" si="92"/>
        <v>0</v>
      </c>
      <c r="AB1017" s="699"/>
    </row>
    <row r="1018" spans="1:28" ht="15.75" customHeight="1" x14ac:dyDescent="0.3">
      <c r="A1018" s="96" t="s">
        <v>3743</v>
      </c>
      <c r="C1018" s="81">
        <v>43844</v>
      </c>
      <c r="D1018" s="109">
        <v>43880</v>
      </c>
      <c r="E1018" s="560"/>
      <c r="F1018" s="252" t="s">
        <v>3744</v>
      </c>
      <c r="G1018" s="86" t="s">
        <v>177</v>
      </c>
      <c r="H1018" s="96" t="s">
        <v>213</v>
      </c>
      <c r="I1018" s="97" t="s">
        <v>714</v>
      </c>
      <c r="J1018" s="73">
        <f t="shared" si="95"/>
        <v>1</v>
      </c>
      <c r="K1018" s="74" t="s">
        <v>204</v>
      </c>
      <c r="N1018" s="76" t="s">
        <v>18</v>
      </c>
      <c r="Q1018" s="76" t="s">
        <v>2037</v>
      </c>
      <c r="R1018" s="73">
        <f t="shared" si="96"/>
        <v>1</v>
      </c>
      <c r="S1018" s="260" t="s">
        <v>1976</v>
      </c>
      <c r="T1018" s="260"/>
      <c r="U1018" s="260"/>
      <c r="V1018" s="260"/>
      <c r="W1018" s="260"/>
      <c r="X1018" s="260"/>
      <c r="Y1018" s="565"/>
      <c r="Z1018" s="565"/>
      <c r="AA1018" s="566">
        <f t="shared" ref="AA1018:AA1056" si="97">Z1018-Y1018</f>
        <v>0</v>
      </c>
      <c r="AB1018" s="699"/>
    </row>
    <row r="1019" spans="1:28" ht="15.75" customHeight="1" x14ac:dyDescent="0.3">
      <c r="A1019" s="79" t="s">
        <v>3745</v>
      </c>
      <c r="C1019" s="81">
        <v>43844</v>
      </c>
      <c r="D1019" s="109">
        <v>43880</v>
      </c>
      <c r="E1019" s="560"/>
      <c r="F1019" s="86" t="s">
        <v>3746</v>
      </c>
      <c r="G1019" s="86" t="s">
        <v>157</v>
      </c>
      <c r="H1019" s="96" t="s">
        <v>213</v>
      </c>
      <c r="I1019" s="97" t="s">
        <v>641</v>
      </c>
      <c r="J1019" s="73">
        <f t="shared" si="95"/>
        <v>1</v>
      </c>
      <c r="K1019" s="74" t="s">
        <v>204</v>
      </c>
      <c r="N1019" s="76" t="s">
        <v>17</v>
      </c>
      <c r="Q1019" s="76" t="s">
        <v>2037</v>
      </c>
      <c r="R1019" s="73">
        <f t="shared" si="96"/>
        <v>1</v>
      </c>
      <c r="S1019" s="260" t="s">
        <v>1976</v>
      </c>
      <c r="T1019" s="260"/>
      <c r="U1019" s="260"/>
      <c r="V1019" s="260"/>
      <c r="W1019" s="260"/>
      <c r="X1019" s="260"/>
      <c r="Y1019" s="565"/>
      <c r="Z1019" s="565"/>
      <c r="AA1019" s="566">
        <f t="shared" si="97"/>
        <v>0</v>
      </c>
      <c r="AB1019" s="699"/>
    </row>
    <row r="1020" spans="1:28" ht="15.75" customHeight="1" x14ac:dyDescent="0.3">
      <c r="A1020" s="79" t="s">
        <v>3747</v>
      </c>
      <c r="C1020" s="81">
        <v>43844</v>
      </c>
      <c r="D1020" s="109">
        <v>43880</v>
      </c>
      <c r="E1020" s="560"/>
      <c r="F1020" s="86" t="s">
        <v>3748</v>
      </c>
      <c r="G1020" s="86" t="s">
        <v>150</v>
      </c>
      <c r="H1020" s="96" t="s">
        <v>213</v>
      </c>
      <c r="I1020" s="97" t="s">
        <v>641</v>
      </c>
      <c r="J1020" s="73">
        <f t="shared" si="95"/>
        <v>1</v>
      </c>
      <c r="K1020" s="74" t="s">
        <v>204</v>
      </c>
      <c r="N1020" s="76" t="s">
        <v>17</v>
      </c>
      <c r="Q1020" s="76" t="s">
        <v>2037</v>
      </c>
      <c r="R1020" s="73">
        <f t="shared" si="96"/>
        <v>1</v>
      </c>
      <c r="S1020" s="260" t="s">
        <v>1976</v>
      </c>
      <c r="T1020" s="260"/>
      <c r="U1020" s="260"/>
      <c r="V1020" s="260"/>
      <c r="W1020" s="260"/>
      <c r="X1020" s="260"/>
      <c r="Y1020" s="565"/>
      <c r="Z1020" s="565"/>
      <c r="AA1020" s="566">
        <f t="shared" si="97"/>
        <v>0</v>
      </c>
      <c r="AB1020" s="699"/>
    </row>
    <row r="1021" spans="1:28" ht="15.75" customHeight="1" x14ac:dyDescent="0.3">
      <c r="A1021" s="96" t="s">
        <v>3751</v>
      </c>
      <c r="C1021" s="81">
        <v>43844</v>
      </c>
      <c r="D1021" s="109">
        <v>43879</v>
      </c>
      <c r="E1021" s="560"/>
      <c r="F1021" s="86" t="s">
        <v>3752</v>
      </c>
      <c r="G1021" s="86" t="s">
        <v>156</v>
      </c>
      <c r="H1021" s="79" t="s">
        <v>213</v>
      </c>
      <c r="I1021" s="97" t="s">
        <v>642</v>
      </c>
      <c r="J1021" s="73">
        <f t="shared" si="95"/>
        <v>1</v>
      </c>
      <c r="K1021" s="74" t="s">
        <v>204</v>
      </c>
      <c r="N1021" s="76" t="s">
        <v>18</v>
      </c>
      <c r="Q1021" s="76" t="s">
        <v>2037</v>
      </c>
      <c r="R1021" s="73">
        <f t="shared" si="96"/>
        <v>1</v>
      </c>
      <c r="S1021" s="260" t="s">
        <v>1976</v>
      </c>
      <c r="T1021" s="260"/>
      <c r="U1021" s="260"/>
      <c r="V1021" s="260"/>
      <c r="W1021" s="260"/>
      <c r="X1021" s="260"/>
      <c r="Y1021" s="565"/>
      <c r="Z1021" s="565"/>
      <c r="AA1021" s="566">
        <f t="shared" si="97"/>
        <v>0</v>
      </c>
      <c r="AB1021" s="699"/>
    </row>
    <row r="1022" spans="1:28" ht="15.75" customHeight="1" x14ac:dyDescent="0.3">
      <c r="A1022" s="79" t="s">
        <v>3755</v>
      </c>
      <c r="C1022" s="81">
        <v>43844</v>
      </c>
      <c r="D1022" s="109">
        <v>43879</v>
      </c>
      <c r="E1022" s="560"/>
      <c r="F1022" s="86" t="s">
        <v>3756</v>
      </c>
      <c r="G1022" s="86" t="s">
        <v>150</v>
      </c>
      <c r="H1022" s="79" t="s">
        <v>213</v>
      </c>
      <c r="J1022" s="73">
        <f t="shared" si="95"/>
        <v>1</v>
      </c>
      <c r="K1022" s="74" t="s">
        <v>204</v>
      </c>
      <c r="Q1022" s="76" t="s">
        <v>2037</v>
      </c>
      <c r="R1022" s="73">
        <f t="shared" si="96"/>
        <v>1</v>
      </c>
      <c r="S1022" s="260" t="s">
        <v>1976</v>
      </c>
      <c r="T1022" s="260"/>
      <c r="U1022" s="260"/>
      <c r="V1022" s="260"/>
      <c r="W1022" s="260"/>
      <c r="X1022" s="260"/>
      <c r="Y1022" s="565"/>
      <c r="Z1022" s="565"/>
      <c r="AA1022" s="566">
        <f t="shared" si="97"/>
        <v>0</v>
      </c>
      <c r="AB1022" s="699"/>
    </row>
    <row r="1023" spans="1:28" ht="15.75" customHeight="1" x14ac:dyDescent="0.3">
      <c r="A1023" s="96" t="s">
        <v>3757</v>
      </c>
      <c r="C1023" s="81">
        <v>43845</v>
      </c>
      <c r="D1023" s="109">
        <v>43881</v>
      </c>
      <c r="E1023" s="560"/>
      <c r="F1023" s="86" t="s">
        <v>3758</v>
      </c>
      <c r="G1023" s="86" t="s">
        <v>154</v>
      </c>
      <c r="H1023" s="96" t="s">
        <v>213</v>
      </c>
      <c r="J1023" s="73">
        <f t="shared" ref="J1023:J1033" si="98">IF(OR(K1023="Документы готовы",K1023="Запрос в ФО",K1023="ЭЗ",K1023="РЕШ",K1023="РЕШ шаблон"),0.1,IF(OR(K1023="ЭЗ согласование",K1023="РЕШ согласование"),0.3,IF(OR(K1023="ЭЗ согласовано",K1023="РЕШ согласовано",K1023="РЕШ подписано"),0.6,IF(OR(K1023="ЭЗ ПР согласование",K1023="РЕШ УВ согласование"),0.9,IF(OR(K1023="ЭЗ ПР DONE",K1023="РЕШ УВ DONE"),1,0)))))</f>
        <v>1</v>
      </c>
      <c r="K1023" s="74" t="s">
        <v>204</v>
      </c>
      <c r="N1023" s="76" t="s">
        <v>18</v>
      </c>
      <c r="Q1023" s="76" t="s">
        <v>2037</v>
      </c>
      <c r="R1023" s="73">
        <f t="shared" si="96"/>
        <v>1</v>
      </c>
      <c r="S1023" s="260" t="s">
        <v>1976</v>
      </c>
      <c r="T1023" s="260"/>
      <c r="U1023" s="260"/>
      <c r="V1023" s="260"/>
      <c r="W1023" s="260"/>
      <c r="X1023" s="260"/>
      <c r="Y1023" s="565"/>
      <c r="Z1023" s="565"/>
      <c r="AA1023" s="566">
        <f t="shared" si="97"/>
        <v>0</v>
      </c>
      <c r="AB1023" s="699"/>
    </row>
    <row r="1024" spans="1:28" ht="15.75" customHeight="1" x14ac:dyDescent="0.3">
      <c r="A1024" s="96" t="s">
        <v>3759</v>
      </c>
      <c r="C1024" s="81">
        <v>43845</v>
      </c>
      <c r="D1024" s="109">
        <v>43881</v>
      </c>
      <c r="E1024" s="560"/>
      <c r="F1024" s="86" t="s">
        <v>3760</v>
      </c>
      <c r="G1024" s="86" t="s">
        <v>175</v>
      </c>
      <c r="H1024" s="96" t="s">
        <v>213</v>
      </c>
      <c r="I1024" s="97" t="s">
        <v>1299</v>
      </c>
      <c r="J1024" s="73">
        <f t="shared" si="98"/>
        <v>1</v>
      </c>
      <c r="K1024" s="74" t="s">
        <v>204</v>
      </c>
      <c r="N1024" s="76" t="s">
        <v>17</v>
      </c>
      <c r="Q1024" s="76" t="s">
        <v>2037</v>
      </c>
      <c r="R1024" s="73">
        <f t="shared" si="96"/>
        <v>1</v>
      </c>
      <c r="S1024" s="260" t="s">
        <v>1976</v>
      </c>
      <c r="T1024" s="260"/>
      <c r="U1024" s="260"/>
      <c r="V1024" s="260"/>
      <c r="W1024" s="260"/>
      <c r="X1024" s="260"/>
      <c r="Y1024" s="565"/>
      <c r="Z1024" s="565"/>
      <c r="AA1024" s="566">
        <f t="shared" si="97"/>
        <v>0</v>
      </c>
      <c r="AB1024" s="699"/>
    </row>
    <row r="1025" spans="1:28" ht="15.75" customHeight="1" x14ac:dyDescent="0.3">
      <c r="A1025" s="79" t="s">
        <v>3763</v>
      </c>
      <c r="C1025" s="81">
        <v>43847</v>
      </c>
      <c r="D1025" s="109">
        <v>43882</v>
      </c>
      <c r="E1025" s="560"/>
      <c r="F1025" s="86" t="s">
        <v>3764</v>
      </c>
      <c r="G1025" s="86" t="s">
        <v>147</v>
      </c>
      <c r="H1025" s="96" t="s">
        <v>213</v>
      </c>
      <c r="I1025" s="97" t="s">
        <v>714</v>
      </c>
      <c r="J1025" s="73">
        <f t="shared" si="98"/>
        <v>1</v>
      </c>
      <c r="K1025" s="74" t="s">
        <v>204</v>
      </c>
      <c r="N1025" s="76" t="s">
        <v>17</v>
      </c>
      <c r="Q1025" s="76" t="s">
        <v>2037</v>
      </c>
      <c r="R1025" s="73">
        <f t="shared" ref="R1025:R1033" si="99">IF(S1025="В работе",0.3,IF(S1025="Отписано",0.6,IF(S1025="На доработку",0.9,IF(S1025="Согласовано",1,0))))</f>
        <v>1</v>
      </c>
      <c r="S1025" s="260" t="s">
        <v>1976</v>
      </c>
      <c r="T1025" s="260"/>
      <c r="U1025" s="260"/>
      <c r="V1025" s="260"/>
      <c r="W1025" s="260"/>
      <c r="X1025" s="260"/>
      <c r="Y1025" s="565"/>
      <c r="Z1025" s="565"/>
      <c r="AA1025" s="566">
        <f t="shared" si="97"/>
        <v>0</v>
      </c>
      <c r="AB1025" s="699"/>
    </row>
    <row r="1026" spans="1:28" ht="15.75" customHeight="1" x14ac:dyDescent="0.3">
      <c r="A1026" s="96" t="s">
        <v>3897</v>
      </c>
      <c r="C1026" s="81">
        <v>43847</v>
      </c>
      <c r="D1026" s="109">
        <v>43886</v>
      </c>
      <c r="E1026" s="560"/>
      <c r="F1026" s="86" t="s">
        <v>3898</v>
      </c>
      <c r="G1026" s="86" t="s">
        <v>147</v>
      </c>
      <c r="H1026" s="79" t="s">
        <v>213</v>
      </c>
      <c r="I1026" s="97" t="s">
        <v>714</v>
      </c>
      <c r="J1026" s="73">
        <f t="shared" si="98"/>
        <v>1</v>
      </c>
      <c r="K1026" s="74" t="s">
        <v>204</v>
      </c>
      <c r="N1026" s="76" t="s">
        <v>18</v>
      </c>
      <c r="Q1026" s="76" t="s">
        <v>2037</v>
      </c>
      <c r="R1026" s="73">
        <f t="shared" si="99"/>
        <v>1</v>
      </c>
      <c r="S1026" s="260" t="s">
        <v>1976</v>
      </c>
      <c r="T1026" s="260"/>
      <c r="U1026" s="260"/>
      <c r="V1026" s="260"/>
      <c r="W1026" s="260"/>
      <c r="X1026" s="260"/>
      <c r="Y1026" s="565"/>
      <c r="Z1026" s="565"/>
      <c r="AA1026" s="566">
        <f t="shared" si="97"/>
        <v>0</v>
      </c>
      <c r="AB1026" s="699"/>
    </row>
    <row r="1027" spans="1:28" ht="15.75" customHeight="1" x14ac:dyDescent="0.3">
      <c r="A1027" s="79" t="s">
        <v>3901</v>
      </c>
      <c r="C1027" s="81">
        <v>43847</v>
      </c>
      <c r="D1027" s="81">
        <v>43886</v>
      </c>
      <c r="E1027" s="560"/>
      <c r="F1027" s="86" t="s">
        <v>3902</v>
      </c>
      <c r="G1027" s="86" t="s">
        <v>156</v>
      </c>
      <c r="H1027" s="79" t="s">
        <v>213</v>
      </c>
      <c r="J1027" s="73">
        <f t="shared" si="98"/>
        <v>1</v>
      </c>
      <c r="K1027" s="74" t="s">
        <v>204</v>
      </c>
      <c r="N1027" s="76" t="s">
        <v>19</v>
      </c>
      <c r="Q1027" s="76" t="s">
        <v>2037</v>
      </c>
      <c r="R1027" s="73">
        <f t="shared" si="99"/>
        <v>1</v>
      </c>
      <c r="S1027" s="260" t="s">
        <v>1976</v>
      </c>
      <c r="T1027" s="260"/>
      <c r="U1027" s="260"/>
      <c r="V1027" s="260"/>
      <c r="W1027" s="260"/>
      <c r="X1027" s="260"/>
      <c r="Y1027" s="565"/>
      <c r="Z1027" s="565"/>
      <c r="AA1027" s="566">
        <f t="shared" si="97"/>
        <v>0</v>
      </c>
      <c r="AB1027" s="699"/>
    </row>
    <row r="1028" spans="1:28" ht="15.75" customHeight="1" x14ac:dyDescent="0.3">
      <c r="A1028" s="96" t="s">
        <v>4079</v>
      </c>
      <c r="C1028" s="81">
        <v>43857</v>
      </c>
      <c r="D1028" s="109">
        <v>43879</v>
      </c>
      <c r="E1028" s="560"/>
      <c r="F1028" s="86" t="s">
        <v>4080</v>
      </c>
      <c r="G1028" s="86" t="s">
        <v>156</v>
      </c>
      <c r="H1028" s="79" t="s">
        <v>213</v>
      </c>
      <c r="I1028" s="97" t="s">
        <v>1204</v>
      </c>
      <c r="J1028" s="73">
        <f t="shared" si="98"/>
        <v>1</v>
      </c>
      <c r="K1028" s="74" t="s">
        <v>204</v>
      </c>
      <c r="Q1028" s="76" t="s">
        <v>2037</v>
      </c>
      <c r="R1028" s="73">
        <f t="shared" si="99"/>
        <v>1</v>
      </c>
      <c r="S1028" s="260" t="s">
        <v>1976</v>
      </c>
      <c r="T1028" s="260"/>
      <c r="U1028" s="260"/>
      <c r="V1028" s="260"/>
      <c r="W1028" s="260"/>
      <c r="X1028" s="260"/>
      <c r="Y1028" s="565"/>
      <c r="Z1028" s="565"/>
      <c r="AA1028" s="566">
        <f t="shared" si="97"/>
        <v>0</v>
      </c>
      <c r="AB1028" s="699"/>
    </row>
    <row r="1029" spans="1:28" ht="15.75" customHeight="1" x14ac:dyDescent="0.3">
      <c r="A1029" s="79" t="s">
        <v>4081</v>
      </c>
      <c r="C1029" s="81">
        <v>43857</v>
      </c>
      <c r="D1029" s="109">
        <v>43879</v>
      </c>
      <c r="E1029" s="560"/>
      <c r="F1029" s="86" t="s">
        <v>4082</v>
      </c>
      <c r="G1029" s="86" t="s">
        <v>173</v>
      </c>
      <c r="H1029" s="79" t="s">
        <v>213</v>
      </c>
      <c r="I1029" s="97" t="s">
        <v>649</v>
      </c>
      <c r="J1029" s="73">
        <f t="shared" si="98"/>
        <v>1</v>
      </c>
      <c r="K1029" s="74" t="s">
        <v>204</v>
      </c>
      <c r="Q1029" s="76" t="s">
        <v>2037</v>
      </c>
      <c r="R1029" s="73">
        <f t="shared" si="99"/>
        <v>1</v>
      </c>
      <c r="S1029" s="260" t="s">
        <v>1976</v>
      </c>
      <c r="T1029" s="260"/>
      <c r="U1029" s="260"/>
      <c r="V1029" s="260"/>
      <c r="W1029" s="260"/>
      <c r="X1029" s="260"/>
      <c r="Y1029" s="565"/>
      <c r="Z1029" s="565"/>
      <c r="AA1029" s="566">
        <f t="shared" si="97"/>
        <v>0</v>
      </c>
      <c r="AB1029" s="699"/>
    </row>
    <row r="1030" spans="1:28" ht="15.75" customHeight="1" x14ac:dyDescent="0.3">
      <c r="A1030" s="79" t="s">
        <v>4085</v>
      </c>
      <c r="C1030" s="81">
        <v>43858</v>
      </c>
      <c r="D1030" s="109">
        <v>43880</v>
      </c>
      <c r="E1030" s="560"/>
      <c r="F1030" s="86" t="s">
        <v>4086</v>
      </c>
      <c r="G1030" s="86" t="s">
        <v>152</v>
      </c>
      <c r="H1030" s="96" t="s">
        <v>213</v>
      </c>
      <c r="J1030" s="73">
        <f t="shared" si="98"/>
        <v>1</v>
      </c>
      <c r="K1030" s="74" t="s">
        <v>204</v>
      </c>
      <c r="N1030" s="76" t="s">
        <v>18</v>
      </c>
      <c r="Q1030" s="76" t="s">
        <v>2037</v>
      </c>
      <c r="R1030" s="73">
        <f t="shared" si="99"/>
        <v>1</v>
      </c>
      <c r="S1030" s="260" t="s">
        <v>1976</v>
      </c>
      <c r="T1030" s="260"/>
      <c r="U1030" s="260"/>
      <c r="V1030" s="260"/>
      <c r="W1030" s="260"/>
      <c r="X1030" s="260"/>
      <c r="Y1030" s="565"/>
      <c r="Z1030" s="565"/>
      <c r="AA1030" s="566">
        <f t="shared" si="97"/>
        <v>0</v>
      </c>
      <c r="AB1030" s="699"/>
    </row>
    <row r="1031" spans="1:28" ht="15.75" customHeight="1" x14ac:dyDescent="0.3">
      <c r="A1031" s="79" t="s">
        <v>4087</v>
      </c>
      <c r="C1031" s="81">
        <v>43857</v>
      </c>
      <c r="D1031" s="109">
        <v>43879</v>
      </c>
      <c r="E1031" s="560"/>
      <c r="F1031" s="86" t="s">
        <v>4088</v>
      </c>
      <c r="G1031" s="86" t="s">
        <v>158</v>
      </c>
      <c r="H1031" s="79" t="s">
        <v>213</v>
      </c>
      <c r="I1031" s="97" t="s">
        <v>2478</v>
      </c>
      <c r="J1031" s="73">
        <f t="shared" si="98"/>
        <v>1</v>
      </c>
      <c r="K1031" s="74" t="s">
        <v>204</v>
      </c>
      <c r="Q1031" s="76" t="s">
        <v>2037</v>
      </c>
      <c r="R1031" s="73">
        <f t="shared" si="99"/>
        <v>1</v>
      </c>
      <c r="S1031" s="260" t="s">
        <v>1976</v>
      </c>
      <c r="T1031" s="260"/>
      <c r="U1031" s="260"/>
      <c r="V1031" s="260"/>
      <c r="W1031" s="260"/>
      <c r="X1031" s="260"/>
      <c r="Y1031" s="565"/>
      <c r="Z1031" s="565"/>
      <c r="AA1031" s="566">
        <f t="shared" si="97"/>
        <v>0</v>
      </c>
      <c r="AB1031" s="699"/>
    </row>
    <row r="1032" spans="1:28" ht="15.75" customHeight="1" x14ac:dyDescent="0.3">
      <c r="A1032" s="79" t="s">
        <v>4089</v>
      </c>
      <c r="C1032" s="81">
        <v>43858</v>
      </c>
      <c r="D1032" s="109">
        <v>43880</v>
      </c>
      <c r="E1032" s="560"/>
      <c r="F1032" s="86" t="s">
        <v>4090</v>
      </c>
      <c r="G1032" s="86" t="s">
        <v>158</v>
      </c>
      <c r="H1032" s="96" t="s">
        <v>213</v>
      </c>
      <c r="I1032" s="97" t="s">
        <v>972</v>
      </c>
      <c r="J1032" s="73">
        <f t="shared" si="98"/>
        <v>1</v>
      </c>
      <c r="K1032" s="74" t="s">
        <v>204</v>
      </c>
      <c r="N1032" s="76" t="s">
        <v>17</v>
      </c>
      <c r="Q1032" s="76" t="s">
        <v>2037</v>
      </c>
      <c r="R1032" s="73">
        <f t="shared" si="99"/>
        <v>1</v>
      </c>
      <c r="S1032" s="260" t="s">
        <v>1976</v>
      </c>
      <c r="T1032" s="260"/>
      <c r="U1032" s="260"/>
      <c r="V1032" s="260"/>
      <c r="W1032" s="260"/>
      <c r="X1032" s="260"/>
      <c r="Y1032" s="565"/>
      <c r="Z1032" s="565"/>
      <c r="AA1032" s="566">
        <f t="shared" si="97"/>
        <v>0</v>
      </c>
      <c r="AB1032" s="699"/>
    </row>
    <row r="1033" spans="1:28" ht="15.75" customHeight="1" x14ac:dyDescent="0.3">
      <c r="A1033" s="79" t="s">
        <v>4095</v>
      </c>
      <c r="C1033" s="81">
        <v>43859</v>
      </c>
      <c r="D1033" s="109">
        <v>43881</v>
      </c>
      <c r="E1033" s="560"/>
      <c r="F1033" s="86" t="s">
        <v>4096</v>
      </c>
      <c r="G1033" s="86" t="s">
        <v>156</v>
      </c>
      <c r="H1033" s="96" t="s">
        <v>213</v>
      </c>
      <c r="I1033" s="97" t="s">
        <v>1113</v>
      </c>
      <c r="J1033" s="73">
        <f t="shared" si="98"/>
        <v>1</v>
      </c>
      <c r="K1033" s="74" t="s">
        <v>204</v>
      </c>
      <c r="N1033" s="76" t="s">
        <v>18</v>
      </c>
      <c r="Q1033" s="76" t="s">
        <v>2037</v>
      </c>
      <c r="R1033" s="73">
        <f t="shared" si="99"/>
        <v>1</v>
      </c>
      <c r="S1033" s="260" t="s">
        <v>1976</v>
      </c>
      <c r="T1033" s="260"/>
      <c r="U1033" s="260"/>
      <c r="V1033" s="260"/>
      <c r="W1033" s="260"/>
      <c r="X1033" s="260"/>
      <c r="Y1033" s="565"/>
      <c r="Z1033" s="565"/>
      <c r="AA1033" s="566">
        <f t="shared" si="97"/>
        <v>0</v>
      </c>
      <c r="AB1033" s="699"/>
    </row>
    <row r="1034" spans="1:28" ht="15.75" customHeight="1" x14ac:dyDescent="0.3">
      <c r="A1034" s="79" t="s">
        <v>4107</v>
      </c>
      <c r="C1034" s="81">
        <v>43860</v>
      </c>
      <c r="D1034" s="109">
        <v>43882</v>
      </c>
      <c r="E1034" s="560"/>
      <c r="F1034" s="86" t="s">
        <v>4108</v>
      </c>
      <c r="G1034" s="86" t="s">
        <v>166</v>
      </c>
      <c r="H1034" s="96" t="s">
        <v>213</v>
      </c>
      <c r="I1034" s="97" t="s">
        <v>657</v>
      </c>
      <c r="J1034" s="73">
        <f t="shared" ref="J1034:J1037" si="100">IF(OR(K1034="Документы готовы",K1034="Запрос в ФО",K1034="ЭЗ",K1034="РЕШ",K1034="РЕШ шаблон"),0.1,IF(OR(K1034="ЭЗ согласование",K1034="РЕШ согласование"),0.3,IF(OR(K1034="ЭЗ согласовано",K1034="РЕШ согласовано",K1034="РЕШ подписано"),0.6,IF(OR(K1034="ЭЗ ПР согласование",K1034="РЕШ УВ согласование"),0.9,IF(OR(K1034="ЭЗ ПР DONE",K1034="РЕШ УВ DONE"),1,0)))))</f>
        <v>1</v>
      </c>
      <c r="K1034" s="74" t="s">
        <v>204</v>
      </c>
      <c r="L1034" s="97" t="s">
        <v>8121</v>
      </c>
      <c r="N1034" s="76" t="s">
        <v>19</v>
      </c>
      <c r="Q1034" s="76" t="s">
        <v>2037</v>
      </c>
      <c r="R1034" s="73">
        <f t="shared" ref="R1034:R1037" si="101">IF(S1034="В работе",0.3,IF(S1034="Отписано",0.6,IF(S1034="На доработку",0.9,IF(S1034="Согласовано",1,0))))</f>
        <v>1</v>
      </c>
      <c r="S1034" s="260" t="s">
        <v>1976</v>
      </c>
      <c r="T1034" s="260"/>
      <c r="U1034" s="260"/>
      <c r="V1034" s="260"/>
      <c r="W1034" s="260"/>
      <c r="X1034" s="260"/>
      <c r="Y1034" s="565"/>
      <c r="Z1034" s="565"/>
      <c r="AA1034" s="566">
        <f t="shared" si="97"/>
        <v>0</v>
      </c>
      <c r="AB1034" s="699"/>
    </row>
    <row r="1035" spans="1:28" ht="15.75" customHeight="1" x14ac:dyDescent="0.3">
      <c r="A1035" s="79" t="s">
        <v>4109</v>
      </c>
      <c r="C1035" s="81">
        <v>43861</v>
      </c>
      <c r="D1035" s="109">
        <v>43882</v>
      </c>
      <c r="E1035" s="560"/>
      <c r="F1035" s="86" t="s">
        <v>4110</v>
      </c>
      <c r="G1035" s="86" t="s">
        <v>147</v>
      </c>
      <c r="H1035" s="96" t="s">
        <v>213</v>
      </c>
      <c r="I1035" s="97" t="s">
        <v>3475</v>
      </c>
      <c r="J1035" s="73">
        <f t="shared" si="100"/>
        <v>1</v>
      </c>
      <c r="K1035" s="74" t="s">
        <v>204</v>
      </c>
      <c r="N1035" s="76" t="s">
        <v>19</v>
      </c>
      <c r="Q1035" s="76" t="s">
        <v>2037</v>
      </c>
      <c r="R1035" s="73">
        <f t="shared" si="101"/>
        <v>1</v>
      </c>
      <c r="S1035" s="260" t="s">
        <v>1976</v>
      </c>
      <c r="T1035" s="260"/>
      <c r="U1035" s="260"/>
      <c r="V1035" s="260"/>
      <c r="W1035" s="260"/>
      <c r="X1035" s="260"/>
      <c r="Y1035" s="565"/>
      <c r="Z1035" s="565"/>
      <c r="AA1035" s="566">
        <f t="shared" si="97"/>
        <v>0</v>
      </c>
      <c r="AB1035" s="699"/>
    </row>
    <row r="1036" spans="1:28" ht="15.75" customHeight="1" x14ac:dyDescent="0.3">
      <c r="A1036" s="96" t="s">
        <v>4111</v>
      </c>
      <c r="C1036" s="81">
        <v>43826</v>
      </c>
      <c r="D1036" s="109">
        <v>43879</v>
      </c>
      <c r="E1036" s="560"/>
      <c r="F1036" s="86" t="s">
        <v>4112</v>
      </c>
      <c r="G1036" s="86" t="s">
        <v>154</v>
      </c>
      <c r="H1036" s="79" t="s">
        <v>213</v>
      </c>
      <c r="I1036" s="97" t="s">
        <v>1285</v>
      </c>
      <c r="J1036" s="73">
        <f t="shared" si="100"/>
        <v>1</v>
      </c>
      <c r="K1036" s="74" t="s">
        <v>204</v>
      </c>
      <c r="N1036" s="76" t="s">
        <v>19</v>
      </c>
      <c r="Q1036" s="76" t="s">
        <v>2109</v>
      </c>
      <c r="R1036" s="73">
        <f t="shared" si="101"/>
        <v>1</v>
      </c>
      <c r="S1036" s="260" t="s">
        <v>1976</v>
      </c>
      <c r="T1036" s="260"/>
      <c r="U1036" s="260"/>
      <c r="V1036" s="260"/>
      <c r="W1036" s="260"/>
      <c r="X1036" s="260"/>
      <c r="Y1036" s="565"/>
      <c r="Z1036" s="565"/>
      <c r="AA1036" s="566">
        <f t="shared" si="97"/>
        <v>0</v>
      </c>
      <c r="AB1036" s="699"/>
    </row>
    <row r="1037" spans="1:28" ht="15.75" customHeight="1" x14ac:dyDescent="0.3">
      <c r="A1037" s="96" t="s">
        <v>4113</v>
      </c>
      <c r="C1037" s="81">
        <v>43829</v>
      </c>
      <c r="D1037" s="109">
        <v>43880</v>
      </c>
      <c r="E1037" s="560"/>
      <c r="F1037" s="86" t="s">
        <v>4114</v>
      </c>
      <c r="G1037" s="86" t="s">
        <v>150</v>
      </c>
      <c r="H1037" s="96" t="s">
        <v>213</v>
      </c>
      <c r="I1037" s="97" t="s">
        <v>2193</v>
      </c>
      <c r="J1037" s="73">
        <f t="shared" si="100"/>
        <v>1</v>
      </c>
      <c r="K1037" s="74" t="s">
        <v>204</v>
      </c>
      <c r="L1037" s="97" t="s">
        <v>4239</v>
      </c>
      <c r="N1037" s="76" t="s">
        <v>17</v>
      </c>
      <c r="Q1037" s="76" t="s">
        <v>2109</v>
      </c>
      <c r="R1037" s="73">
        <f t="shared" si="101"/>
        <v>1</v>
      </c>
      <c r="S1037" s="260" t="s">
        <v>1976</v>
      </c>
      <c r="T1037" s="260"/>
      <c r="U1037" s="260"/>
      <c r="V1037" s="260"/>
      <c r="W1037" s="260"/>
      <c r="X1037" s="260"/>
      <c r="Y1037" s="565"/>
      <c r="Z1037" s="565"/>
      <c r="AA1037" s="566">
        <f t="shared" si="97"/>
        <v>0</v>
      </c>
      <c r="AB1037" s="699"/>
    </row>
    <row r="1038" spans="1:28" ht="15.75" customHeight="1" x14ac:dyDescent="0.3">
      <c r="A1038" s="79" t="s">
        <v>3668</v>
      </c>
      <c r="C1038" s="81">
        <v>43843</v>
      </c>
      <c r="D1038" s="109">
        <v>43879</v>
      </c>
      <c r="E1038" s="560"/>
      <c r="F1038" s="86" t="s">
        <v>3669</v>
      </c>
      <c r="G1038" s="86" t="s">
        <v>166</v>
      </c>
      <c r="H1038" s="79" t="s">
        <v>213</v>
      </c>
      <c r="I1038" s="97" t="s">
        <v>642</v>
      </c>
      <c r="J1038" s="73">
        <f t="shared" ref="J1038:J1048" si="102">IF(OR(K1038="Документы готовы",K1038="Запрос в ФО",K1038="ЭЗ",K1038="РЕШ",K1038="РЕШ шаблон"),0.1,IF(OR(K1038="ЭЗ согласование",K1038="РЕШ согласование"),0.3,IF(OR(K1038="ЭЗ согласовано",K1038="РЕШ согласовано",K1038="РЕШ подписано"),0.6,IF(OR(K1038="ЭЗ ПР согласование",K1038="РЕШ УВ согласование"),0.9,IF(OR(K1038="ЭЗ ПР DONE",K1038="РЕШ УВ DONE"),1,0)))))</f>
        <v>1</v>
      </c>
      <c r="K1038" s="74" t="s">
        <v>204</v>
      </c>
      <c r="N1038" s="76" t="s">
        <v>18</v>
      </c>
      <c r="Q1038" s="76" t="s">
        <v>2109</v>
      </c>
      <c r="R1038" s="73">
        <f t="shared" ref="R1038:R1048" si="103">IF(S1038="В работе",0.3,IF(S1038="Отписано",0.6,IF(S1038="На доработку",0.9,IF(S1038="Согласовано",1,0))))</f>
        <v>1</v>
      </c>
      <c r="S1038" s="260" t="s">
        <v>1976</v>
      </c>
      <c r="T1038" s="260"/>
      <c r="U1038" s="260"/>
      <c r="V1038" s="260"/>
      <c r="W1038" s="260"/>
      <c r="X1038" s="260"/>
      <c r="Y1038" s="565"/>
      <c r="Z1038" s="565"/>
      <c r="AA1038" s="566">
        <f t="shared" si="97"/>
        <v>0</v>
      </c>
      <c r="AB1038" s="699"/>
    </row>
    <row r="1039" spans="1:28" ht="15.75" customHeight="1" x14ac:dyDescent="0.3">
      <c r="A1039" s="79" t="s">
        <v>3670</v>
      </c>
      <c r="C1039" s="81">
        <v>43843</v>
      </c>
      <c r="D1039" s="109">
        <v>43879</v>
      </c>
      <c r="E1039" s="560"/>
      <c r="F1039" s="86" t="s">
        <v>3671</v>
      </c>
      <c r="G1039" s="86" t="s">
        <v>156</v>
      </c>
      <c r="H1039" s="79" t="s">
        <v>213</v>
      </c>
      <c r="I1039" s="97" t="s">
        <v>642</v>
      </c>
      <c r="J1039" s="73">
        <f t="shared" si="102"/>
        <v>1</v>
      </c>
      <c r="K1039" s="74" t="s">
        <v>204</v>
      </c>
      <c r="N1039" s="76" t="s">
        <v>18</v>
      </c>
      <c r="Q1039" s="76" t="s">
        <v>2109</v>
      </c>
      <c r="R1039" s="73">
        <f t="shared" si="103"/>
        <v>1</v>
      </c>
      <c r="S1039" s="260" t="s">
        <v>1976</v>
      </c>
      <c r="T1039" s="260"/>
      <c r="U1039" s="260"/>
      <c r="V1039" s="260"/>
      <c r="W1039" s="260"/>
      <c r="X1039" s="260"/>
      <c r="Y1039" s="565"/>
      <c r="Z1039" s="565"/>
      <c r="AA1039" s="566">
        <f t="shared" si="97"/>
        <v>0</v>
      </c>
      <c r="AB1039" s="699"/>
    </row>
    <row r="1040" spans="1:28" ht="15.75" customHeight="1" x14ac:dyDescent="0.3">
      <c r="A1040" s="96" t="s">
        <v>3674</v>
      </c>
      <c r="C1040" s="81">
        <v>43844</v>
      </c>
      <c r="D1040" s="109">
        <v>43880</v>
      </c>
      <c r="E1040" s="560"/>
      <c r="F1040" s="86" t="s">
        <v>3675</v>
      </c>
      <c r="G1040" s="86" t="s">
        <v>157</v>
      </c>
      <c r="H1040" s="96" t="s">
        <v>213</v>
      </c>
      <c r="I1040" s="97" t="s">
        <v>641</v>
      </c>
      <c r="J1040" s="73">
        <f t="shared" si="102"/>
        <v>1</v>
      </c>
      <c r="K1040" s="74" t="s">
        <v>204</v>
      </c>
      <c r="N1040" s="76" t="s">
        <v>18</v>
      </c>
      <c r="Q1040" s="76" t="s">
        <v>2109</v>
      </c>
      <c r="R1040" s="73">
        <f t="shared" si="103"/>
        <v>1</v>
      </c>
      <c r="S1040" s="260" t="s">
        <v>1976</v>
      </c>
      <c r="T1040" s="260"/>
      <c r="U1040" s="260"/>
      <c r="V1040" s="260"/>
      <c r="W1040" s="260"/>
      <c r="X1040" s="260"/>
      <c r="Y1040" s="565"/>
      <c r="Z1040" s="565"/>
      <c r="AA1040" s="566">
        <f t="shared" si="97"/>
        <v>0</v>
      </c>
      <c r="AB1040" s="699"/>
    </row>
    <row r="1041" spans="1:28" ht="15.75" customHeight="1" x14ac:dyDescent="0.3">
      <c r="A1041" s="96" t="s">
        <v>3678</v>
      </c>
      <c r="C1041" s="81">
        <v>43844</v>
      </c>
      <c r="D1041" s="109">
        <v>43880</v>
      </c>
      <c r="E1041" s="560"/>
      <c r="F1041" s="86" t="s">
        <v>3679</v>
      </c>
      <c r="G1041" s="86" t="s">
        <v>150</v>
      </c>
      <c r="H1041" s="96" t="s">
        <v>213</v>
      </c>
      <c r="I1041" s="97" t="s">
        <v>714</v>
      </c>
      <c r="J1041" s="73">
        <f t="shared" si="102"/>
        <v>1</v>
      </c>
      <c r="K1041" s="74" t="s">
        <v>204</v>
      </c>
      <c r="N1041" s="76" t="s">
        <v>17</v>
      </c>
      <c r="Q1041" s="76" t="s">
        <v>2109</v>
      </c>
      <c r="R1041" s="73">
        <f t="shared" si="103"/>
        <v>1</v>
      </c>
      <c r="S1041" s="260" t="s">
        <v>1976</v>
      </c>
      <c r="T1041" s="260"/>
      <c r="U1041" s="260"/>
      <c r="V1041" s="260"/>
      <c r="W1041" s="260"/>
      <c r="X1041" s="260"/>
      <c r="Y1041" s="565"/>
      <c r="Z1041" s="565"/>
      <c r="AA1041" s="566">
        <f t="shared" si="97"/>
        <v>0</v>
      </c>
      <c r="AB1041" s="699"/>
    </row>
    <row r="1042" spans="1:28" ht="15.75" customHeight="1" x14ac:dyDescent="0.3">
      <c r="A1042" s="96" t="s">
        <v>3686</v>
      </c>
      <c r="C1042" s="81">
        <v>43845</v>
      </c>
      <c r="D1042" s="109">
        <v>43881</v>
      </c>
      <c r="E1042" s="560"/>
      <c r="F1042" s="86" t="s">
        <v>3687</v>
      </c>
      <c r="G1042" s="86" t="s">
        <v>158</v>
      </c>
      <c r="H1042" s="96" t="s">
        <v>213</v>
      </c>
      <c r="I1042" s="97" t="s">
        <v>691</v>
      </c>
      <c r="J1042" s="73">
        <f t="shared" si="102"/>
        <v>1</v>
      </c>
      <c r="K1042" s="74" t="s">
        <v>204</v>
      </c>
      <c r="N1042" s="76" t="s">
        <v>19</v>
      </c>
      <c r="Q1042" s="76" t="s">
        <v>2109</v>
      </c>
      <c r="R1042" s="73">
        <f t="shared" si="103"/>
        <v>1</v>
      </c>
      <c r="S1042" s="260" t="s">
        <v>1976</v>
      </c>
      <c r="T1042" s="260"/>
      <c r="U1042" s="260"/>
      <c r="V1042" s="260"/>
      <c r="W1042" s="260"/>
      <c r="X1042" s="260"/>
      <c r="Y1042" s="565"/>
      <c r="Z1042" s="565"/>
      <c r="AA1042" s="566">
        <f t="shared" si="97"/>
        <v>0</v>
      </c>
      <c r="AB1042" s="699"/>
    </row>
    <row r="1043" spans="1:28" ht="15.75" customHeight="1" x14ac:dyDescent="0.3">
      <c r="A1043" s="96" t="s">
        <v>4115</v>
      </c>
      <c r="C1043" s="81">
        <v>43845</v>
      </c>
      <c r="D1043" s="109">
        <v>43881</v>
      </c>
      <c r="E1043" s="560"/>
      <c r="F1043" s="86" t="s">
        <v>4116</v>
      </c>
      <c r="G1043" s="86" t="s">
        <v>150</v>
      </c>
      <c r="H1043" s="96" t="s">
        <v>213</v>
      </c>
      <c r="I1043" s="97" t="s">
        <v>645</v>
      </c>
      <c r="J1043" s="73">
        <f t="shared" si="102"/>
        <v>1</v>
      </c>
      <c r="K1043" s="74" t="s">
        <v>204</v>
      </c>
      <c r="L1043" s="97" t="s">
        <v>4242</v>
      </c>
      <c r="N1043" s="76" t="s">
        <v>17</v>
      </c>
      <c r="Q1043" s="76" t="s">
        <v>2109</v>
      </c>
      <c r="R1043" s="73">
        <f t="shared" si="103"/>
        <v>1</v>
      </c>
      <c r="S1043" s="260" t="s">
        <v>1976</v>
      </c>
      <c r="T1043" s="260"/>
      <c r="U1043" s="260"/>
      <c r="V1043" s="260"/>
      <c r="W1043" s="260"/>
      <c r="X1043" s="260"/>
      <c r="Y1043" s="565"/>
      <c r="Z1043" s="565"/>
      <c r="AA1043" s="566">
        <f t="shared" si="97"/>
        <v>0</v>
      </c>
      <c r="AB1043" s="699"/>
    </row>
    <row r="1044" spans="1:28" ht="15.75" customHeight="1" x14ac:dyDescent="0.3">
      <c r="A1044" s="79" t="s">
        <v>3690</v>
      </c>
      <c r="C1044" s="81">
        <v>43846</v>
      </c>
      <c r="D1044" s="109">
        <v>43882</v>
      </c>
      <c r="E1044" s="560"/>
      <c r="F1044" s="86" t="s">
        <v>3691</v>
      </c>
      <c r="G1044" s="86" t="s">
        <v>152</v>
      </c>
      <c r="H1044" s="96" t="s">
        <v>213</v>
      </c>
      <c r="I1044" s="97" t="s">
        <v>714</v>
      </c>
      <c r="J1044" s="73">
        <f t="shared" si="102"/>
        <v>1</v>
      </c>
      <c r="K1044" s="74" t="s">
        <v>204</v>
      </c>
      <c r="N1044" s="76" t="s">
        <v>18</v>
      </c>
      <c r="Q1044" s="76" t="s">
        <v>2109</v>
      </c>
      <c r="R1044" s="73">
        <f t="shared" si="103"/>
        <v>1</v>
      </c>
      <c r="S1044" s="260" t="s">
        <v>1976</v>
      </c>
      <c r="T1044" s="260"/>
      <c r="U1044" s="260"/>
      <c r="V1044" s="260"/>
      <c r="W1044" s="260"/>
      <c r="X1044" s="260"/>
      <c r="Y1044" s="565"/>
      <c r="Z1044" s="565"/>
      <c r="AA1044" s="566">
        <f t="shared" si="97"/>
        <v>0</v>
      </c>
      <c r="AB1044" s="699"/>
    </row>
    <row r="1045" spans="1:28" ht="15.75" customHeight="1" x14ac:dyDescent="0.3">
      <c r="A1045" s="79" t="s">
        <v>3692</v>
      </c>
      <c r="C1045" s="81">
        <v>43846</v>
      </c>
      <c r="D1045" s="109">
        <v>43882</v>
      </c>
      <c r="E1045" s="560"/>
      <c r="F1045" s="86" t="s">
        <v>3693</v>
      </c>
      <c r="G1045" s="86" t="s">
        <v>158</v>
      </c>
      <c r="H1045" s="96" t="s">
        <v>213</v>
      </c>
      <c r="I1045" s="97" t="s">
        <v>642</v>
      </c>
      <c r="J1045" s="73">
        <f t="shared" si="102"/>
        <v>1</v>
      </c>
      <c r="K1045" s="74" t="s">
        <v>204</v>
      </c>
      <c r="N1045" s="76" t="s">
        <v>18</v>
      </c>
      <c r="Q1045" s="76" t="s">
        <v>2109</v>
      </c>
      <c r="R1045" s="73">
        <f t="shared" si="103"/>
        <v>1</v>
      </c>
      <c r="S1045" s="260" t="s">
        <v>1976</v>
      </c>
      <c r="T1045" s="260"/>
      <c r="U1045" s="260"/>
      <c r="V1045" s="260"/>
      <c r="W1045" s="260"/>
      <c r="X1045" s="260"/>
      <c r="Y1045" s="565"/>
      <c r="Z1045" s="565"/>
      <c r="AA1045" s="566">
        <f t="shared" si="97"/>
        <v>0</v>
      </c>
      <c r="AB1045" s="699"/>
    </row>
    <row r="1046" spans="1:28" ht="15.75" customHeight="1" x14ac:dyDescent="0.3">
      <c r="A1046" s="79" t="s">
        <v>4125</v>
      </c>
      <c r="C1046" s="81">
        <v>43857</v>
      </c>
      <c r="D1046" s="109">
        <v>43879</v>
      </c>
      <c r="E1046" s="560"/>
      <c r="F1046" s="86" t="s">
        <v>4126</v>
      </c>
      <c r="G1046" s="86" t="s">
        <v>158</v>
      </c>
      <c r="H1046" s="79" t="s">
        <v>213</v>
      </c>
      <c r="I1046" s="97" t="s">
        <v>2478</v>
      </c>
      <c r="J1046" s="73">
        <f t="shared" si="102"/>
        <v>1</v>
      </c>
      <c r="K1046" s="74" t="s">
        <v>204</v>
      </c>
      <c r="Q1046" s="76" t="s">
        <v>2109</v>
      </c>
      <c r="R1046" s="73">
        <f t="shared" si="103"/>
        <v>1</v>
      </c>
      <c r="S1046" s="260" t="s">
        <v>1976</v>
      </c>
      <c r="T1046" s="260"/>
      <c r="U1046" s="260"/>
      <c r="V1046" s="260"/>
      <c r="W1046" s="260"/>
      <c r="X1046" s="260"/>
      <c r="Y1046" s="565"/>
      <c r="Z1046" s="565"/>
      <c r="AA1046" s="566">
        <f t="shared" si="97"/>
        <v>0</v>
      </c>
      <c r="AB1046" s="699"/>
    </row>
    <row r="1047" spans="1:28" ht="15.75" customHeight="1" x14ac:dyDescent="0.3">
      <c r="A1047" s="96" t="s">
        <v>4133</v>
      </c>
      <c r="C1047" s="81">
        <v>43858</v>
      </c>
      <c r="D1047" s="109">
        <v>43880</v>
      </c>
      <c r="E1047" s="560"/>
      <c r="F1047" s="86" t="s">
        <v>4134</v>
      </c>
      <c r="G1047" s="86" t="s">
        <v>152</v>
      </c>
      <c r="H1047" s="96" t="s">
        <v>213</v>
      </c>
      <c r="I1047" s="97" t="s">
        <v>972</v>
      </c>
      <c r="J1047" s="73">
        <f t="shared" si="102"/>
        <v>1</v>
      </c>
      <c r="K1047" s="74" t="s">
        <v>204</v>
      </c>
      <c r="L1047" s="97" t="s">
        <v>8117</v>
      </c>
      <c r="N1047" s="76" t="s">
        <v>17</v>
      </c>
      <c r="Q1047" s="76" t="s">
        <v>2109</v>
      </c>
      <c r="R1047" s="73">
        <f t="shared" si="103"/>
        <v>1</v>
      </c>
      <c r="S1047" s="260" t="s">
        <v>1976</v>
      </c>
      <c r="T1047" s="260"/>
      <c r="U1047" s="260"/>
      <c r="V1047" s="260"/>
      <c r="W1047" s="260"/>
      <c r="X1047" s="260"/>
      <c r="Y1047" s="565"/>
      <c r="Z1047" s="565"/>
      <c r="AA1047" s="566">
        <f t="shared" si="97"/>
        <v>0</v>
      </c>
      <c r="AB1047" s="699"/>
    </row>
    <row r="1048" spans="1:28" ht="15.75" customHeight="1" x14ac:dyDescent="0.3">
      <c r="A1048" s="96" t="s">
        <v>4141</v>
      </c>
      <c r="C1048" s="81">
        <v>43859</v>
      </c>
      <c r="D1048" s="109">
        <v>43881</v>
      </c>
      <c r="E1048" s="560"/>
      <c r="F1048" s="86" t="s">
        <v>4142</v>
      </c>
      <c r="G1048" s="86" t="s">
        <v>147</v>
      </c>
      <c r="H1048" s="96" t="s">
        <v>213</v>
      </c>
      <c r="J1048" s="73">
        <f t="shared" si="102"/>
        <v>1</v>
      </c>
      <c r="K1048" s="74" t="s">
        <v>204</v>
      </c>
      <c r="Q1048" s="76" t="s">
        <v>2109</v>
      </c>
      <c r="R1048" s="73">
        <f t="shared" si="103"/>
        <v>1</v>
      </c>
      <c r="S1048" s="260" t="s">
        <v>1976</v>
      </c>
      <c r="T1048" s="260"/>
      <c r="U1048" s="260"/>
      <c r="V1048" s="260"/>
      <c r="W1048" s="260"/>
      <c r="X1048" s="260"/>
      <c r="Y1048" s="565"/>
      <c r="Z1048" s="565"/>
      <c r="AA1048" s="566">
        <f t="shared" si="97"/>
        <v>0</v>
      </c>
      <c r="AB1048" s="699"/>
    </row>
    <row r="1049" spans="1:28" ht="15.75" customHeight="1" x14ac:dyDescent="0.3">
      <c r="A1049" s="79" t="s">
        <v>3706</v>
      </c>
      <c r="C1049" s="81">
        <v>43843</v>
      </c>
      <c r="D1049" s="109">
        <v>43879</v>
      </c>
      <c r="E1049" s="560"/>
      <c r="F1049" s="86" t="s">
        <v>3707</v>
      </c>
      <c r="G1049" s="86" t="s">
        <v>166</v>
      </c>
      <c r="H1049" s="79" t="s">
        <v>268</v>
      </c>
      <c r="J1049" s="73">
        <f t="shared" ref="J1049:J1075" si="104">IF(OR(K1049="Документы готовы",K1049="Запрос в ФО",K1049="ЭЗ",K1049="РЕШ",K1049="РЕШ шаблон"),0.1,IF(OR(K1049="ЭЗ согласование",K1049="РЕШ согласование"),0.3,IF(OR(K1049="ЭЗ согласовано",K1049="РЕШ согласовано",K1049="РЕШ подписано"),0.6,IF(OR(K1049="ЭЗ ПР согласование",K1049="РЕШ УВ согласование"),0.9,IF(OR(K1049="ЭЗ ПР DONE",K1049="РЕШ УВ DONE"),1,0)))))</f>
        <v>1</v>
      </c>
      <c r="K1049" s="74" t="s">
        <v>204</v>
      </c>
      <c r="Q1049" s="76" t="s">
        <v>2142</v>
      </c>
      <c r="R1049" s="73">
        <f t="shared" ref="R1049:R1075" si="105">IF(S1049="В работе",0.3,IF(S1049="Отписано",0.6,IF(S1049="На доработку",0.9,IF(S1049="Согласовано",1,0))))</f>
        <v>1</v>
      </c>
      <c r="S1049" s="260" t="s">
        <v>1976</v>
      </c>
      <c r="T1049" s="260"/>
      <c r="U1049" s="260"/>
      <c r="V1049" s="260"/>
      <c r="W1049" s="260"/>
      <c r="X1049" s="260"/>
      <c r="Y1049" s="565"/>
      <c r="Z1049" s="565"/>
      <c r="AA1049" s="566">
        <f t="shared" si="97"/>
        <v>0</v>
      </c>
      <c r="AB1049" s="699"/>
    </row>
    <row r="1050" spans="1:28" ht="15.75" customHeight="1" x14ac:dyDescent="0.3">
      <c r="A1050" s="79" t="s">
        <v>3708</v>
      </c>
      <c r="C1050" s="81">
        <v>43843</v>
      </c>
      <c r="D1050" s="81">
        <v>43879</v>
      </c>
      <c r="E1050" s="560"/>
      <c r="F1050" s="86" t="s">
        <v>3709</v>
      </c>
      <c r="G1050" s="86" t="s">
        <v>156</v>
      </c>
      <c r="H1050" s="79" t="s">
        <v>213</v>
      </c>
      <c r="J1050" s="73">
        <f t="shared" si="104"/>
        <v>1</v>
      </c>
      <c r="K1050" s="74" t="s">
        <v>204</v>
      </c>
      <c r="Q1050" s="76" t="s">
        <v>2142</v>
      </c>
      <c r="R1050" s="73">
        <f t="shared" si="105"/>
        <v>1</v>
      </c>
      <c r="S1050" s="260" t="s">
        <v>1976</v>
      </c>
      <c r="T1050" s="260"/>
      <c r="U1050" s="260"/>
      <c r="V1050" s="260"/>
      <c r="W1050" s="260"/>
      <c r="X1050" s="260"/>
      <c r="Y1050" s="565"/>
      <c r="Z1050" s="565"/>
      <c r="AA1050" s="566">
        <f t="shared" si="97"/>
        <v>0</v>
      </c>
      <c r="AB1050" s="699"/>
    </row>
    <row r="1051" spans="1:28" ht="15.75" customHeight="1" x14ac:dyDescent="0.3">
      <c r="A1051" s="79" t="s">
        <v>3714</v>
      </c>
      <c r="C1051" s="81">
        <v>43844</v>
      </c>
      <c r="D1051" s="109">
        <v>43880</v>
      </c>
      <c r="E1051" s="560"/>
      <c r="F1051" s="86" t="s">
        <v>3715</v>
      </c>
      <c r="G1051" s="86" t="s">
        <v>152</v>
      </c>
      <c r="H1051" s="96" t="s">
        <v>213</v>
      </c>
      <c r="I1051" s="97" t="s">
        <v>714</v>
      </c>
      <c r="J1051" s="73">
        <f t="shared" si="104"/>
        <v>1</v>
      </c>
      <c r="K1051" s="74" t="s">
        <v>204</v>
      </c>
      <c r="N1051" s="76" t="s">
        <v>17</v>
      </c>
      <c r="Q1051" s="76" t="s">
        <v>2142</v>
      </c>
      <c r="R1051" s="73">
        <f t="shared" si="105"/>
        <v>1</v>
      </c>
      <c r="S1051" s="260" t="s">
        <v>1976</v>
      </c>
      <c r="T1051" s="260"/>
      <c r="U1051" s="260"/>
      <c r="V1051" s="260"/>
      <c r="W1051" s="260"/>
      <c r="X1051" s="260"/>
      <c r="Y1051" s="565"/>
      <c r="Z1051" s="565"/>
      <c r="AA1051" s="566">
        <f t="shared" si="97"/>
        <v>0</v>
      </c>
      <c r="AB1051" s="699"/>
    </row>
    <row r="1052" spans="1:28" ht="15.75" customHeight="1" x14ac:dyDescent="0.3">
      <c r="A1052" s="96" t="s">
        <v>3718</v>
      </c>
      <c r="C1052" s="81">
        <v>43844</v>
      </c>
      <c r="D1052" s="109">
        <v>43880</v>
      </c>
      <c r="E1052" s="560"/>
      <c r="F1052" s="86" t="s">
        <v>3719</v>
      </c>
      <c r="G1052" s="86" t="s">
        <v>150</v>
      </c>
      <c r="H1052" s="96" t="s">
        <v>213</v>
      </c>
      <c r="I1052" s="97" t="s">
        <v>722</v>
      </c>
      <c r="J1052" s="73">
        <f t="shared" si="104"/>
        <v>1</v>
      </c>
      <c r="K1052" s="74" t="s">
        <v>204</v>
      </c>
      <c r="N1052" s="76" t="s">
        <v>17</v>
      </c>
      <c r="Q1052" s="76" t="s">
        <v>2142</v>
      </c>
      <c r="R1052" s="73">
        <f t="shared" si="105"/>
        <v>1</v>
      </c>
      <c r="S1052" s="260" t="s">
        <v>1976</v>
      </c>
      <c r="T1052" s="260"/>
      <c r="U1052" s="260"/>
      <c r="V1052" s="260"/>
      <c r="W1052" s="260"/>
      <c r="X1052" s="260"/>
      <c r="Y1052" s="565"/>
      <c r="Z1052" s="565"/>
      <c r="AA1052" s="566">
        <f t="shared" si="97"/>
        <v>0</v>
      </c>
      <c r="AB1052" s="699"/>
    </row>
    <row r="1053" spans="1:28" ht="15.75" customHeight="1" x14ac:dyDescent="0.3">
      <c r="A1053" s="96" t="s">
        <v>3722</v>
      </c>
      <c r="C1053" s="81">
        <v>43845</v>
      </c>
      <c r="D1053" s="109">
        <v>43881</v>
      </c>
      <c r="E1053" s="560"/>
      <c r="F1053" s="86" t="s">
        <v>3723</v>
      </c>
      <c r="G1053" s="86" t="s">
        <v>156</v>
      </c>
      <c r="H1053" s="96" t="s">
        <v>213</v>
      </c>
      <c r="I1053" s="97" t="s">
        <v>714</v>
      </c>
      <c r="J1053" s="73">
        <f t="shared" si="104"/>
        <v>1</v>
      </c>
      <c r="K1053" s="74" t="s">
        <v>204</v>
      </c>
      <c r="N1053" s="76" t="s">
        <v>17</v>
      </c>
      <c r="Q1053" s="76" t="s">
        <v>2142</v>
      </c>
      <c r="R1053" s="73">
        <f t="shared" si="105"/>
        <v>1</v>
      </c>
      <c r="S1053" s="260" t="s">
        <v>1976</v>
      </c>
      <c r="T1053" s="260"/>
      <c r="U1053" s="260"/>
      <c r="V1053" s="260"/>
      <c r="W1053" s="260"/>
      <c r="X1053" s="260"/>
      <c r="Y1053" s="565"/>
      <c r="Z1053" s="565"/>
      <c r="AA1053" s="566">
        <f t="shared" si="97"/>
        <v>0</v>
      </c>
      <c r="AB1053" s="699"/>
    </row>
    <row r="1054" spans="1:28" ht="15.75" customHeight="1" x14ac:dyDescent="0.3">
      <c r="A1054" s="96" t="s">
        <v>3724</v>
      </c>
      <c r="C1054" s="81">
        <v>43845</v>
      </c>
      <c r="D1054" s="109">
        <v>43881</v>
      </c>
      <c r="E1054" s="560"/>
      <c r="F1054" s="86" t="s">
        <v>3725</v>
      </c>
      <c r="G1054" s="86" t="s">
        <v>150</v>
      </c>
      <c r="H1054" s="96" t="s">
        <v>213</v>
      </c>
      <c r="I1054" s="97" t="s">
        <v>641</v>
      </c>
      <c r="J1054" s="73">
        <f t="shared" si="104"/>
        <v>1</v>
      </c>
      <c r="K1054" s="74" t="s">
        <v>204</v>
      </c>
      <c r="N1054" s="76" t="s">
        <v>17</v>
      </c>
      <c r="Q1054" s="76" t="s">
        <v>2142</v>
      </c>
      <c r="R1054" s="73">
        <f t="shared" si="105"/>
        <v>1</v>
      </c>
      <c r="S1054" s="260" t="s">
        <v>1976</v>
      </c>
      <c r="T1054" s="260"/>
      <c r="U1054" s="260"/>
      <c r="V1054" s="260"/>
      <c r="W1054" s="260"/>
      <c r="X1054" s="260"/>
      <c r="Y1054" s="565"/>
      <c r="Z1054" s="565"/>
      <c r="AA1054" s="566">
        <f t="shared" si="97"/>
        <v>0</v>
      </c>
      <c r="AB1054" s="699"/>
    </row>
    <row r="1055" spans="1:28" ht="15.75" customHeight="1" x14ac:dyDescent="0.3">
      <c r="A1055" s="96" t="s">
        <v>3726</v>
      </c>
      <c r="C1055" s="81">
        <v>43845</v>
      </c>
      <c r="D1055" s="109">
        <v>43881</v>
      </c>
      <c r="E1055" s="560"/>
      <c r="F1055" s="86" t="s">
        <v>3727</v>
      </c>
      <c r="G1055" s="86" t="s">
        <v>150</v>
      </c>
      <c r="H1055" s="96" t="s">
        <v>213</v>
      </c>
      <c r="I1055" s="97" t="s">
        <v>722</v>
      </c>
      <c r="J1055" s="73">
        <f t="shared" si="104"/>
        <v>1</v>
      </c>
      <c r="K1055" s="74" t="s">
        <v>204</v>
      </c>
      <c r="L1055" s="97" t="s">
        <v>4240</v>
      </c>
      <c r="N1055" s="76" t="s">
        <v>17</v>
      </c>
      <c r="Q1055" s="76" t="s">
        <v>2142</v>
      </c>
      <c r="R1055" s="73">
        <f t="shared" si="105"/>
        <v>1</v>
      </c>
      <c r="S1055" s="260" t="s">
        <v>1976</v>
      </c>
      <c r="T1055" s="260"/>
      <c r="U1055" s="260"/>
      <c r="V1055" s="260"/>
      <c r="W1055" s="260"/>
      <c r="X1055" s="260"/>
      <c r="Y1055" s="565"/>
      <c r="Z1055" s="565"/>
      <c r="AA1055" s="566">
        <f t="shared" si="97"/>
        <v>0</v>
      </c>
      <c r="AB1055" s="699"/>
    </row>
    <row r="1056" spans="1:28" ht="15.75" customHeight="1" x14ac:dyDescent="0.3">
      <c r="A1056" s="96" t="s">
        <v>4151</v>
      </c>
      <c r="C1056" s="81">
        <v>43845</v>
      </c>
      <c r="D1056" s="109">
        <v>43880</v>
      </c>
      <c r="E1056" s="560"/>
      <c r="F1056" s="86" t="s">
        <v>4152</v>
      </c>
      <c r="G1056" s="86" t="s">
        <v>154</v>
      </c>
      <c r="H1056" s="96" t="s">
        <v>213</v>
      </c>
      <c r="I1056" s="97" t="s">
        <v>645</v>
      </c>
      <c r="J1056" s="73">
        <f t="shared" si="104"/>
        <v>1</v>
      </c>
      <c r="K1056" s="74" t="s">
        <v>204</v>
      </c>
      <c r="N1056" s="76" t="s">
        <v>17</v>
      </c>
      <c r="Q1056" s="76" t="s">
        <v>2142</v>
      </c>
      <c r="R1056" s="73">
        <f t="shared" si="105"/>
        <v>1</v>
      </c>
      <c r="S1056" s="260" t="s">
        <v>1976</v>
      </c>
      <c r="T1056" s="260"/>
      <c r="U1056" s="260"/>
      <c r="V1056" s="260"/>
      <c r="W1056" s="260"/>
      <c r="X1056" s="260"/>
      <c r="Y1056" s="565"/>
      <c r="Z1056" s="565"/>
      <c r="AA1056" s="566">
        <f t="shared" si="97"/>
        <v>0</v>
      </c>
      <c r="AB1056" s="699"/>
    </row>
    <row r="1057" spans="1:28" ht="15.75" customHeight="1" x14ac:dyDescent="0.3">
      <c r="A1057" s="96" t="s">
        <v>3728</v>
      </c>
      <c r="C1057" s="81">
        <v>43846</v>
      </c>
      <c r="D1057" s="109">
        <v>43882</v>
      </c>
      <c r="E1057" s="560"/>
      <c r="F1057" s="86" t="s">
        <v>3729</v>
      </c>
      <c r="G1057" s="86" t="s">
        <v>152</v>
      </c>
      <c r="H1057" s="96" t="s">
        <v>213</v>
      </c>
      <c r="I1057" s="97" t="s">
        <v>645</v>
      </c>
      <c r="J1057" s="73">
        <f t="shared" si="104"/>
        <v>1</v>
      </c>
      <c r="K1057" s="74" t="s">
        <v>204</v>
      </c>
      <c r="N1057" s="76" t="s">
        <v>18</v>
      </c>
      <c r="Q1057" s="76" t="s">
        <v>2142</v>
      </c>
      <c r="R1057" s="73">
        <f t="shared" si="105"/>
        <v>1</v>
      </c>
      <c r="S1057" s="260" t="s">
        <v>1976</v>
      </c>
      <c r="T1057" s="260"/>
      <c r="U1057" s="260"/>
      <c r="V1057" s="260"/>
      <c r="W1057" s="260"/>
      <c r="X1057" s="260"/>
      <c r="Y1057" s="565"/>
      <c r="Z1057" s="565"/>
      <c r="AA1057" s="566">
        <f t="shared" ref="AA1057:AA1106" si="106">Z1057-Y1057</f>
        <v>0</v>
      </c>
      <c r="AB1057" s="699"/>
    </row>
    <row r="1058" spans="1:28" ht="15.75" customHeight="1" x14ac:dyDescent="0.3">
      <c r="A1058" s="96" t="s">
        <v>3730</v>
      </c>
      <c r="C1058" s="81">
        <v>43846</v>
      </c>
      <c r="D1058" s="109">
        <v>43882</v>
      </c>
      <c r="E1058" s="560"/>
      <c r="F1058" s="86" t="s">
        <v>3731</v>
      </c>
      <c r="G1058" s="86" t="s">
        <v>186</v>
      </c>
      <c r="H1058" s="96" t="s">
        <v>213</v>
      </c>
      <c r="I1058" s="97" t="s">
        <v>714</v>
      </c>
      <c r="J1058" s="73">
        <f t="shared" si="104"/>
        <v>1</v>
      </c>
      <c r="K1058" s="74" t="s">
        <v>204</v>
      </c>
      <c r="N1058" s="76" t="s">
        <v>17</v>
      </c>
      <c r="Q1058" s="76" t="s">
        <v>2142</v>
      </c>
      <c r="R1058" s="73">
        <f t="shared" si="105"/>
        <v>1</v>
      </c>
      <c r="S1058" s="260" t="s">
        <v>1976</v>
      </c>
      <c r="T1058" s="260"/>
      <c r="U1058" s="260"/>
      <c r="V1058" s="260"/>
      <c r="W1058" s="260"/>
      <c r="X1058" s="260"/>
      <c r="Y1058" s="565"/>
      <c r="Z1058" s="565"/>
      <c r="AA1058" s="566">
        <f t="shared" si="106"/>
        <v>0</v>
      </c>
      <c r="AB1058" s="699"/>
    </row>
    <row r="1059" spans="1:28" ht="15.75" customHeight="1" x14ac:dyDescent="0.3">
      <c r="A1059" s="96" t="s">
        <v>3732</v>
      </c>
      <c r="C1059" s="81">
        <v>43846</v>
      </c>
      <c r="D1059" s="109">
        <v>43882</v>
      </c>
      <c r="E1059" s="560"/>
      <c r="F1059" s="86" t="s">
        <v>3733</v>
      </c>
      <c r="G1059" s="86" t="s">
        <v>147</v>
      </c>
      <c r="H1059" s="96" t="s">
        <v>213</v>
      </c>
      <c r="I1059" s="97" t="s">
        <v>714</v>
      </c>
      <c r="J1059" s="73">
        <f t="shared" si="104"/>
        <v>1</v>
      </c>
      <c r="K1059" s="74" t="s">
        <v>204</v>
      </c>
      <c r="N1059" s="76" t="s">
        <v>18</v>
      </c>
      <c r="Q1059" s="76" t="s">
        <v>2142</v>
      </c>
      <c r="R1059" s="73">
        <f t="shared" si="105"/>
        <v>1</v>
      </c>
      <c r="S1059" s="260" t="s">
        <v>1976</v>
      </c>
      <c r="T1059" s="260"/>
      <c r="U1059" s="260"/>
      <c r="V1059" s="260"/>
      <c r="W1059" s="260"/>
      <c r="X1059" s="260"/>
      <c r="Y1059" s="565"/>
      <c r="Z1059" s="565"/>
      <c r="AA1059" s="566">
        <f t="shared" si="106"/>
        <v>0</v>
      </c>
      <c r="AB1059" s="699"/>
    </row>
    <row r="1060" spans="1:28" ht="15.75" customHeight="1" x14ac:dyDescent="0.3">
      <c r="A1060" s="79" t="s">
        <v>4161</v>
      </c>
      <c r="C1060" s="81">
        <v>43857</v>
      </c>
      <c r="D1060" s="81">
        <v>43879</v>
      </c>
      <c r="E1060" s="560"/>
      <c r="F1060" s="86" t="s">
        <v>4162</v>
      </c>
      <c r="G1060" s="86" t="s">
        <v>156</v>
      </c>
      <c r="H1060" s="79" t="s">
        <v>213</v>
      </c>
      <c r="J1060" s="73">
        <f t="shared" si="104"/>
        <v>1</v>
      </c>
      <c r="K1060" s="74" t="s">
        <v>204</v>
      </c>
      <c r="Q1060" s="76" t="s">
        <v>2142</v>
      </c>
      <c r="R1060" s="73">
        <f t="shared" si="105"/>
        <v>1</v>
      </c>
      <c r="S1060" s="260" t="s">
        <v>1976</v>
      </c>
      <c r="T1060" s="260"/>
      <c r="U1060" s="260"/>
      <c r="V1060" s="260"/>
      <c r="W1060" s="260"/>
      <c r="X1060" s="260"/>
      <c r="Y1060" s="565"/>
      <c r="Z1060" s="565"/>
      <c r="AA1060" s="566">
        <f t="shared" si="106"/>
        <v>0</v>
      </c>
      <c r="AB1060" s="699"/>
    </row>
    <row r="1061" spans="1:28" ht="15.75" customHeight="1" x14ac:dyDescent="0.3">
      <c r="A1061" s="96" t="s">
        <v>4170</v>
      </c>
      <c r="C1061" s="81">
        <v>43859</v>
      </c>
      <c r="D1061" s="109">
        <v>43881</v>
      </c>
      <c r="E1061" s="560"/>
      <c r="F1061" s="86" t="s">
        <v>4171</v>
      </c>
      <c r="G1061" s="86" t="s">
        <v>1384</v>
      </c>
      <c r="H1061" s="96" t="s">
        <v>213</v>
      </c>
      <c r="I1061" s="97" t="s">
        <v>622</v>
      </c>
      <c r="J1061" s="73">
        <f t="shared" si="104"/>
        <v>1</v>
      </c>
      <c r="K1061" s="74" t="s">
        <v>204</v>
      </c>
      <c r="N1061" s="76" t="s">
        <v>18</v>
      </c>
      <c r="Q1061" s="76" t="s">
        <v>2142</v>
      </c>
      <c r="R1061" s="73">
        <f t="shared" si="105"/>
        <v>1</v>
      </c>
      <c r="S1061" s="260" t="s">
        <v>1976</v>
      </c>
      <c r="T1061" s="260"/>
      <c r="U1061" s="260"/>
      <c r="V1061" s="260"/>
      <c r="W1061" s="260"/>
      <c r="X1061" s="260"/>
      <c r="Y1061" s="565"/>
      <c r="Z1061" s="565"/>
      <c r="AA1061" s="566">
        <f t="shared" si="106"/>
        <v>0</v>
      </c>
      <c r="AB1061" s="699"/>
    </row>
    <row r="1062" spans="1:28" ht="15.75" customHeight="1" x14ac:dyDescent="0.3">
      <c r="A1062" s="96" t="s">
        <v>4174</v>
      </c>
      <c r="C1062" s="81">
        <v>43859</v>
      </c>
      <c r="D1062" s="109">
        <v>43881</v>
      </c>
      <c r="E1062" s="560"/>
      <c r="F1062" s="86" t="s">
        <v>4175</v>
      </c>
      <c r="G1062" s="86" t="s">
        <v>152</v>
      </c>
      <c r="H1062" s="96" t="s">
        <v>213</v>
      </c>
      <c r="I1062" s="97" t="s">
        <v>2478</v>
      </c>
      <c r="J1062" s="73">
        <f t="shared" si="104"/>
        <v>1</v>
      </c>
      <c r="K1062" s="74" t="s">
        <v>204</v>
      </c>
      <c r="L1062" s="97" t="s">
        <v>4243</v>
      </c>
      <c r="Q1062" s="76" t="s">
        <v>2142</v>
      </c>
      <c r="R1062" s="73">
        <f t="shared" si="105"/>
        <v>1</v>
      </c>
      <c r="S1062" s="260" t="s">
        <v>1976</v>
      </c>
      <c r="T1062" s="260"/>
      <c r="U1062" s="260"/>
      <c r="V1062" s="260"/>
      <c r="W1062" s="260"/>
      <c r="X1062" s="260"/>
      <c r="Y1062" s="565"/>
      <c r="Z1062" s="565"/>
      <c r="AA1062" s="566">
        <f t="shared" si="106"/>
        <v>0</v>
      </c>
      <c r="AB1062" s="699"/>
    </row>
    <row r="1063" spans="1:28" ht="15.75" customHeight="1" x14ac:dyDescent="0.3">
      <c r="A1063" s="79" t="s">
        <v>4180</v>
      </c>
      <c r="C1063" s="81">
        <v>43860</v>
      </c>
      <c r="D1063" s="109">
        <v>43882</v>
      </c>
      <c r="E1063" s="560"/>
      <c r="F1063" s="86" t="s">
        <v>4181</v>
      </c>
      <c r="G1063" s="86" t="s">
        <v>1328</v>
      </c>
      <c r="H1063" s="96" t="s">
        <v>213</v>
      </c>
      <c r="I1063" s="97" t="s">
        <v>3187</v>
      </c>
      <c r="J1063" s="73">
        <f t="shared" si="104"/>
        <v>1</v>
      </c>
      <c r="K1063" s="74" t="s">
        <v>204</v>
      </c>
      <c r="N1063" s="76" t="s">
        <v>19</v>
      </c>
      <c r="Q1063" s="76" t="s">
        <v>2142</v>
      </c>
      <c r="R1063" s="73">
        <f t="shared" si="105"/>
        <v>1</v>
      </c>
      <c r="S1063" s="260" t="s">
        <v>1976</v>
      </c>
      <c r="T1063" s="260"/>
      <c r="U1063" s="260"/>
      <c r="V1063" s="260"/>
      <c r="W1063" s="260"/>
      <c r="X1063" s="260"/>
      <c r="Y1063" s="565"/>
      <c r="Z1063" s="565"/>
      <c r="AA1063" s="566">
        <f t="shared" si="106"/>
        <v>0</v>
      </c>
      <c r="AB1063" s="699"/>
    </row>
    <row r="1064" spans="1:28" ht="15.75" customHeight="1" x14ac:dyDescent="0.3">
      <c r="A1064" s="96" t="s">
        <v>4182</v>
      </c>
      <c r="C1064" s="81">
        <v>43860</v>
      </c>
      <c r="D1064" s="109">
        <v>43882</v>
      </c>
      <c r="E1064" s="560"/>
      <c r="F1064" s="86" t="s">
        <v>4183</v>
      </c>
      <c r="G1064" s="86" t="s">
        <v>152</v>
      </c>
      <c r="H1064" s="96" t="s">
        <v>213</v>
      </c>
      <c r="I1064" s="97" t="s">
        <v>649</v>
      </c>
      <c r="J1064" s="73">
        <f t="shared" si="104"/>
        <v>1</v>
      </c>
      <c r="K1064" s="74" t="s">
        <v>204</v>
      </c>
      <c r="N1064" s="76" t="s">
        <v>18</v>
      </c>
      <c r="Q1064" s="76" t="s">
        <v>2142</v>
      </c>
      <c r="R1064" s="73">
        <f t="shared" si="105"/>
        <v>1</v>
      </c>
      <c r="S1064" s="260" t="s">
        <v>1976</v>
      </c>
      <c r="T1064" s="260"/>
      <c r="U1064" s="260"/>
      <c r="V1064" s="260"/>
      <c r="W1064" s="260"/>
      <c r="X1064" s="260"/>
      <c r="Y1064" s="565"/>
      <c r="Z1064" s="565"/>
      <c r="AA1064" s="566">
        <f t="shared" si="106"/>
        <v>0</v>
      </c>
      <c r="AB1064" s="699"/>
    </row>
    <row r="1065" spans="1:28" ht="15.75" customHeight="1" x14ac:dyDescent="0.3">
      <c r="A1065" s="79" t="s">
        <v>4184</v>
      </c>
      <c r="C1065" s="81">
        <v>43861</v>
      </c>
      <c r="D1065" s="109">
        <v>43882</v>
      </c>
      <c r="E1065" s="560"/>
      <c r="F1065" s="86" t="s">
        <v>4185</v>
      </c>
      <c r="G1065" s="86" t="s">
        <v>410</v>
      </c>
      <c r="H1065" s="96" t="s">
        <v>213</v>
      </c>
      <c r="I1065" s="97" t="s">
        <v>3794</v>
      </c>
      <c r="J1065" s="73">
        <f t="shared" si="104"/>
        <v>1</v>
      </c>
      <c r="K1065" s="74" t="s">
        <v>204</v>
      </c>
      <c r="N1065" s="76" t="s">
        <v>17</v>
      </c>
      <c r="Q1065" s="76" t="s">
        <v>2142</v>
      </c>
      <c r="R1065" s="73">
        <f t="shared" si="105"/>
        <v>1</v>
      </c>
      <c r="S1065" s="260" t="s">
        <v>1976</v>
      </c>
      <c r="T1065" s="260"/>
      <c r="U1065" s="260"/>
      <c r="V1065" s="260"/>
      <c r="W1065" s="260"/>
      <c r="X1065" s="260"/>
      <c r="Y1065" s="565"/>
      <c r="Z1065" s="565"/>
      <c r="AA1065" s="566">
        <f t="shared" si="106"/>
        <v>0</v>
      </c>
      <c r="AB1065" s="699"/>
    </row>
    <row r="1066" spans="1:28" ht="15.75" customHeight="1" x14ac:dyDescent="0.3">
      <c r="A1066" s="79" t="s">
        <v>3462</v>
      </c>
      <c r="C1066" s="81">
        <v>43824</v>
      </c>
      <c r="D1066" s="109">
        <v>43882</v>
      </c>
      <c r="E1066" s="560"/>
      <c r="F1066" s="86" t="s">
        <v>3463</v>
      </c>
      <c r="G1066" s="86" t="s">
        <v>154</v>
      </c>
      <c r="H1066" s="96" t="s">
        <v>213</v>
      </c>
      <c r="I1066" s="97" t="s">
        <v>641</v>
      </c>
      <c r="J1066" s="73">
        <f t="shared" si="104"/>
        <v>1</v>
      </c>
      <c r="K1066" s="74" t="s">
        <v>204</v>
      </c>
      <c r="N1066" s="76" t="s">
        <v>18</v>
      </c>
      <c r="Q1066" s="76" t="s">
        <v>2417</v>
      </c>
      <c r="R1066" s="73">
        <f t="shared" si="105"/>
        <v>1</v>
      </c>
      <c r="S1066" s="260" t="s">
        <v>1976</v>
      </c>
      <c r="T1066" s="260"/>
      <c r="U1066" s="260"/>
      <c r="V1066" s="260"/>
      <c r="W1066" s="260"/>
      <c r="X1066" s="260"/>
      <c r="Y1066" s="565"/>
      <c r="Z1066" s="565"/>
      <c r="AA1066" s="566">
        <f t="shared" si="106"/>
        <v>0</v>
      </c>
      <c r="AB1066" s="699"/>
    </row>
    <row r="1067" spans="1:28" ht="15.75" customHeight="1" x14ac:dyDescent="0.3">
      <c r="A1067" s="79" t="s">
        <v>3772</v>
      </c>
      <c r="C1067" s="81">
        <v>43843</v>
      </c>
      <c r="D1067" s="81">
        <v>43879</v>
      </c>
      <c r="E1067" s="560"/>
      <c r="F1067" s="86" t="s">
        <v>3773</v>
      </c>
      <c r="G1067" s="86" t="s">
        <v>2652</v>
      </c>
      <c r="H1067" s="79" t="s">
        <v>213</v>
      </c>
      <c r="J1067" s="73">
        <f t="shared" si="104"/>
        <v>1</v>
      </c>
      <c r="K1067" s="74" t="s">
        <v>204</v>
      </c>
      <c r="Q1067" s="76" t="s">
        <v>2417</v>
      </c>
      <c r="R1067" s="73">
        <f t="shared" si="105"/>
        <v>1</v>
      </c>
      <c r="S1067" s="260" t="s">
        <v>1976</v>
      </c>
      <c r="T1067" s="260"/>
      <c r="U1067" s="260"/>
      <c r="V1067" s="260"/>
      <c r="W1067" s="260"/>
      <c r="X1067" s="260"/>
      <c r="Y1067" s="565"/>
      <c r="Z1067" s="565"/>
      <c r="AA1067" s="566">
        <f t="shared" si="106"/>
        <v>0</v>
      </c>
      <c r="AB1067" s="699"/>
    </row>
    <row r="1068" spans="1:28" ht="15.75" customHeight="1" x14ac:dyDescent="0.3">
      <c r="A1068" s="79" t="s">
        <v>3774</v>
      </c>
      <c r="C1068" s="81">
        <v>43844</v>
      </c>
      <c r="D1068" s="109">
        <v>43880</v>
      </c>
      <c r="E1068" s="560"/>
      <c r="F1068" s="86" t="s">
        <v>3775</v>
      </c>
      <c r="G1068" s="86" t="s">
        <v>166</v>
      </c>
      <c r="H1068" s="96" t="s">
        <v>213</v>
      </c>
      <c r="I1068" s="97" t="s">
        <v>4238</v>
      </c>
      <c r="J1068" s="73">
        <f t="shared" si="104"/>
        <v>1</v>
      </c>
      <c r="K1068" s="74" t="s">
        <v>204</v>
      </c>
      <c r="N1068" s="76" t="s">
        <v>18</v>
      </c>
      <c r="Q1068" s="76" t="s">
        <v>2417</v>
      </c>
      <c r="R1068" s="73">
        <f t="shared" si="105"/>
        <v>1</v>
      </c>
      <c r="S1068" s="260" t="s">
        <v>1976</v>
      </c>
      <c r="T1068" s="260"/>
      <c r="U1068" s="260"/>
      <c r="V1068" s="260"/>
      <c r="W1068" s="260"/>
      <c r="X1068" s="260"/>
      <c r="Y1068" s="565"/>
      <c r="Z1068" s="565"/>
      <c r="AA1068" s="566">
        <f t="shared" si="106"/>
        <v>0</v>
      </c>
      <c r="AB1068" s="699"/>
    </row>
    <row r="1069" spans="1:28" ht="15.75" customHeight="1" x14ac:dyDescent="0.3">
      <c r="A1069" s="79" t="s">
        <v>3780</v>
      </c>
      <c r="C1069" s="81">
        <v>43844</v>
      </c>
      <c r="D1069" s="109">
        <v>43880</v>
      </c>
      <c r="E1069" s="560"/>
      <c r="F1069" s="86" t="s">
        <v>3781</v>
      </c>
      <c r="G1069" s="86" t="s">
        <v>166</v>
      </c>
      <c r="H1069" s="96" t="s">
        <v>213</v>
      </c>
      <c r="I1069" s="97" t="s">
        <v>722</v>
      </c>
      <c r="J1069" s="73">
        <f t="shared" si="104"/>
        <v>1</v>
      </c>
      <c r="K1069" s="74" t="s">
        <v>204</v>
      </c>
      <c r="L1069" s="97" t="s">
        <v>4241</v>
      </c>
      <c r="N1069" s="76" t="s">
        <v>17</v>
      </c>
      <c r="Q1069" s="76" t="s">
        <v>2417</v>
      </c>
      <c r="R1069" s="73">
        <f t="shared" si="105"/>
        <v>1</v>
      </c>
      <c r="S1069" s="260" t="s">
        <v>1976</v>
      </c>
      <c r="T1069" s="260"/>
      <c r="U1069" s="260"/>
      <c r="V1069" s="260"/>
      <c r="W1069" s="260"/>
      <c r="X1069" s="260"/>
      <c r="Y1069" s="565"/>
      <c r="Z1069" s="565"/>
      <c r="AA1069" s="566">
        <f t="shared" si="106"/>
        <v>0</v>
      </c>
      <c r="AB1069" s="699"/>
    </row>
    <row r="1070" spans="1:28" ht="15.75" customHeight="1" x14ac:dyDescent="0.3">
      <c r="A1070" s="79" t="s">
        <v>3784</v>
      </c>
      <c r="C1070" s="81">
        <v>43844</v>
      </c>
      <c r="D1070" s="81">
        <v>43879</v>
      </c>
      <c r="E1070" s="560"/>
      <c r="F1070" s="86" t="s">
        <v>3785</v>
      </c>
      <c r="G1070" s="86" t="s">
        <v>164</v>
      </c>
      <c r="H1070" s="79" t="s">
        <v>213</v>
      </c>
      <c r="J1070" s="73">
        <f t="shared" si="104"/>
        <v>1</v>
      </c>
      <c r="K1070" s="74" t="s">
        <v>204</v>
      </c>
      <c r="Q1070" s="76" t="s">
        <v>2417</v>
      </c>
      <c r="R1070" s="73">
        <f t="shared" si="105"/>
        <v>1</v>
      </c>
      <c r="S1070" s="260" t="s">
        <v>1976</v>
      </c>
      <c r="T1070" s="260"/>
      <c r="U1070" s="260"/>
      <c r="V1070" s="260"/>
      <c r="W1070" s="260"/>
      <c r="X1070" s="260"/>
      <c r="Y1070" s="565"/>
      <c r="Z1070" s="565"/>
      <c r="AA1070" s="566">
        <f t="shared" si="106"/>
        <v>0</v>
      </c>
      <c r="AB1070" s="699"/>
    </row>
    <row r="1071" spans="1:28" ht="15.75" customHeight="1" x14ac:dyDescent="0.3">
      <c r="A1071" s="79" t="s">
        <v>3786</v>
      </c>
      <c r="C1071" s="81">
        <v>43845</v>
      </c>
      <c r="D1071" s="109">
        <v>43881</v>
      </c>
      <c r="E1071" s="560"/>
      <c r="F1071" s="86" t="s">
        <v>3787</v>
      </c>
      <c r="G1071" s="86" t="s">
        <v>935</v>
      </c>
      <c r="H1071" s="96" t="s">
        <v>213</v>
      </c>
      <c r="I1071" s="97" t="s">
        <v>714</v>
      </c>
      <c r="J1071" s="73">
        <f t="shared" si="104"/>
        <v>1</v>
      </c>
      <c r="K1071" s="74" t="s">
        <v>204</v>
      </c>
      <c r="N1071" s="76" t="s">
        <v>18</v>
      </c>
      <c r="Q1071" s="76" t="s">
        <v>2417</v>
      </c>
      <c r="R1071" s="73">
        <f t="shared" si="105"/>
        <v>1</v>
      </c>
      <c r="S1071" s="260" t="s">
        <v>1976</v>
      </c>
      <c r="T1071" s="260"/>
      <c r="U1071" s="260"/>
      <c r="V1071" s="260"/>
      <c r="W1071" s="260"/>
      <c r="X1071" s="260"/>
      <c r="Y1071" s="565"/>
      <c r="Z1071" s="565"/>
      <c r="AA1071" s="566">
        <f t="shared" si="106"/>
        <v>0</v>
      </c>
      <c r="AB1071" s="699"/>
    </row>
    <row r="1072" spans="1:28" ht="15.75" customHeight="1" x14ac:dyDescent="0.3">
      <c r="A1072" s="79" t="s">
        <v>3788</v>
      </c>
      <c r="C1072" s="81">
        <v>43845</v>
      </c>
      <c r="D1072" s="109">
        <v>43881</v>
      </c>
      <c r="E1072" s="560"/>
      <c r="F1072" s="86" t="s">
        <v>3789</v>
      </c>
      <c r="G1072" s="86" t="s">
        <v>152</v>
      </c>
      <c r="H1072" s="96" t="s">
        <v>213</v>
      </c>
      <c r="I1072" s="97" t="s">
        <v>714</v>
      </c>
      <c r="J1072" s="73">
        <f t="shared" si="104"/>
        <v>1</v>
      </c>
      <c r="K1072" s="74" t="s">
        <v>204</v>
      </c>
      <c r="N1072" s="76" t="s">
        <v>17</v>
      </c>
      <c r="Q1072" s="76" t="s">
        <v>2417</v>
      </c>
      <c r="R1072" s="73">
        <f t="shared" si="105"/>
        <v>1</v>
      </c>
      <c r="S1072" s="260" t="s">
        <v>1976</v>
      </c>
      <c r="T1072" s="260"/>
      <c r="U1072" s="260"/>
      <c r="V1072" s="260"/>
      <c r="W1072" s="260"/>
      <c r="X1072" s="260"/>
      <c r="Y1072" s="565"/>
      <c r="Z1072" s="565"/>
      <c r="AA1072" s="566">
        <f t="shared" si="106"/>
        <v>0</v>
      </c>
      <c r="AB1072" s="699"/>
    </row>
    <row r="1073" spans="1:28" ht="15.75" customHeight="1" x14ac:dyDescent="0.3">
      <c r="A1073" s="79" t="s">
        <v>3792</v>
      </c>
      <c r="C1073" s="81">
        <v>43846</v>
      </c>
      <c r="D1073" s="109">
        <v>43882</v>
      </c>
      <c r="E1073" s="560"/>
      <c r="F1073" s="86" t="s">
        <v>3793</v>
      </c>
      <c r="G1073" s="86" t="s">
        <v>158</v>
      </c>
      <c r="H1073" s="96" t="s">
        <v>213</v>
      </c>
      <c r="I1073" s="97" t="s">
        <v>714</v>
      </c>
      <c r="J1073" s="73">
        <f t="shared" si="104"/>
        <v>1</v>
      </c>
      <c r="K1073" s="74" t="s">
        <v>204</v>
      </c>
      <c r="N1073" s="76" t="s">
        <v>17</v>
      </c>
      <c r="Q1073" s="76" t="s">
        <v>2417</v>
      </c>
      <c r="R1073" s="73">
        <f t="shared" si="105"/>
        <v>1</v>
      </c>
      <c r="S1073" s="260" t="s">
        <v>1976</v>
      </c>
      <c r="T1073" s="260"/>
      <c r="U1073" s="260"/>
      <c r="V1073" s="260"/>
      <c r="W1073" s="260"/>
      <c r="X1073" s="260"/>
      <c r="Y1073" s="565"/>
      <c r="Z1073" s="565"/>
      <c r="AA1073" s="566">
        <f t="shared" si="106"/>
        <v>0</v>
      </c>
      <c r="AB1073" s="699"/>
    </row>
    <row r="1074" spans="1:28" ht="15.75" customHeight="1" x14ac:dyDescent="0.3">
      <c r="A1074" s="79" t="s">
        <v>4003</v>
      </c>
      <c r="C1074" s="81">
        <v>43850</v>
      </c>
      <c r="D1074" s="109">
        <v>43886</v>
      </c>
      <c r="E1074" s="560"/>
      <c r="F1074" s="86" t="s">
        <v>4004</v>
      </c>
      <c r="G1074" s="86" t="s">
        <v>162</v>
      </c>
      <c r="H1074" s="79" t="s">
        <v>213</v>
      </c>
      <c r="I1074" s="97" t="s">
        <v>642</v>
      </c>
      <c r="J1074" s="73">
        <f t="shared" si="104"/>
        <v>1</v>
      </c>
      <c r="K1074" s="74" t="s">
        <v>204</v>
      </c>
      <c r="N1074" s="76" t="s">
        <v>18</v>
      </c>
      <c r="Q1074" s="76" t="s">
        <v>2417</v>
      </c>
      <c r="R1074" s="73">
        <f t="shared" si="105"/>
        <v>1</v>
      </c>
      <c r="S1074" s="260" t="s">
        <v>1976</v>
      </c>
      <c r="T1074" s="260"/>
      <c r="U1074" s="260"/>
      <c r="V1074" s="260"/>
      <c r="W1074" s="260"/>
      <c r="X1074" s="260"/>
      <c r="Y1074" s="565"/>
      <c r="Z1074" s="565"/>
      <c r="AA1074" s="566">
        <f t="shared" si="106"/>
        <v>0</v>
      </c>
      <c r="AB1074" s="699"/>
    </row>
    <row r="1075" spans="1:28" ht="15.75" customHeight="1" x14ac:dyDescent="0.3">
      <c r="A1075" s="79" t="s">
        <v>4005</v>
      </c>
      <c r="C1075" s="81">
        <v>43850</v>
      </c>
      <c r="D1075" s="109">
        <v>43886</v>
      </c>
      <c r="E1075" s="560"/>
      <c r="F1075" s="86" t="s">
        <v>4006</v>
      </c>
      <c r="G1075" s="86" t="s">
        <v>158</v>
      </c>
      <c r="H1075" s="79" t="s">
        <v>213</v>
      </c>
      <c r="I1075" s="97" t="s">
        <v>642</v>
      </c>
      <c r="J1075" s="73">
        <f t="shared" si="104"/>
        <v>1</v>
      </c>
      <c r="K1075" s="74" t="s">
        <v>204</v>
      </c>
      <c r="N1075" s="76" t="s">
        <v>18</v>
      </c>
      <c r="Q1075" s="76" t="s">
        <v>2417</v>
      </c>
      <c r="R1075" s="73">
        <f t="shared" si="105"/>
        <v>1</v>
      </c>
      <c r="S1075" s="260" t="s">
        <v>1976</v>
      </c>
      <c r="T1075" s="260"/>
      <c r="U1075" s="260"/>
      <c r="V1075" s="260"/>
      <c r="W1075" s="260"/>
      <c r="X1075" s="260"/>
      <c r="Y1075" s="565"/>
      <c r="Z1075" s="565"/>
      <c r="AA1075" s="566">
        <f t="shared" si="106"/>
        <v>0</v>
      </c>
      <c r="AB1075" s="699"/>
    </row>
    <row r="1076" spans="1:28" ht="15.75" customHeight="1" x14ac:dyDescent="0.3">
      <c r="A1076" s="79" t="s">
        <v>4190</v>
      </c>
      <c r="C1076" s="81">
        <v>43857</v>
      </c>
      <c r="D1076" s="81">
        <v>43879</v>
      </c>
      <c r="E1076" s="560"/>
      <c r="F1076" s="86" t="s">
        <v>4191</v>
      </c>
      <c r="G1076" s="86" t="s">
        <v>147</v>
      </c>
      <c r="H1076" s="79" t="s">
        <v>213</v>
      </c>
      <c r="J1076" s="73">
        <f t="shared" ref="J1076:J1093" si="107">IF(OR(K1076="Документы готовы",K1076="Запрос в ФО",K1076="ЭЗ",K1076="РЕШ",K1076="РЕШ шаблон"),0.1,IF(OR(K1076="ЭЗ согласование",K1076="РЕШ согласование"),0.3,IF(OR(K1076="ЭЗ согласовано",K1076="РЕШ согласовано",K1076="РЕШ подписано"),0.6,IF(OR(K1076="ЭЗ ПР согласование",K1076="РЕШ УВ согласование"),0.9,IF(OR(K1076="ЭЗ ПР DONE",K1076="РЕШ УВ DONE"),1,0)))))</f>
        <v>1</v>
      </c>
      <c r="K1076" s="74" t="s">
        <v>204</v>
      </c>
      <c r="Q1076" s="76" t="s">
        <v>2417</v>
      </c>
      <c r="R1076" s="73">
        <f t="shared" ref="R1076:R1093" si="108">IF(S1076="В работе",0.3,IF(S1076="Отписано",0.6,IF(S1076="На доработку",0.9,IF(S1076="Согласовано",1,0))))</f>
        <v>1</v>
      </c>
      <c r="S1076" s="260" t="s">
        <v>1976</v>
      </c>
      <c r="T1076" s="260"/>
      <c r="U1076" s="260"/>
      <c r="V1076" s="260"/>
      <c r="W1076" s="260"/>
      <c r="X1076" s="260"/>
      <c r="Y1076" s="565"/>
      <c r="Z1076" s="565"/>
      <c r="AA1076" s="566">
        <f t="shared" si="106"/>
        <v>0</v>
      </c>
      <c r="AB1076" s="699"/>
    </row>
    <row r="1077" spans="1:28" ht="15.75" customHeight="1" x14ac:dyDescent="0.3">
      <c r="A1077" s="79" t="s">
        <v>4192</v>
      </c>
      <c r="C1077" s="81">
        <v>43858</v>
      </c>
      <c r="D1077" s="81">
        <v>43880</v>
      </c>
      <c r="E1077" s="560"/>
      <c r="F1077" s="86" t="s">
        <v>4193</v>
      </c>
      <c r="G1077" s="86" t="s">
        <v>152</v>
      </c>
      <c r="H1077" s="96" t="s">
        <v>213</v>
      </c>
      <c r="J1077" s="73">
        <f t="shared" si="107"/>
        <v>1</v>
      </c>
      <c r="K1077" s="74" t="s">
        <v>204</v>
      </c>
      <c r="Q1077" s="76" t="s">
        <v>2417</v>
      </c>
      <c r="R1077" s="73">
        <f t="shared" si="108"/>
        <v>1</v>
      </c>
      <c r="S1077" s="260" t="s">
        <v>1976</v>
      </c>
      <c r="T1077" s="260"/>
      <c r="U1077" s="260"/>
      <c r="V1077" s="260"/>
      <c r="W1077" s="260"/>
      <c r="X1077" s="260"/>
      <c r="Y1077" s="565"/>
      <c r="Z1077" s="565"/>
      <c r="AA1077" s="566">
        <f t="shared" si="106"/>
        <v>0</v>
      </c>
      <c r="AB1077" s="699"/>
    </row>
    <row r="1078" spans="1:28" ht="15.75" customHeight="1" x14ac:dyDescent="0.3">
      <c r="A1078" s="79" t="s">
        <v>4196</v>
      </c>
      <c r="C1078" s="81">
        <v>43859</v>
      </c>
      <c r="D1078" s="109">
        <v>43881</v>
      </c>
      <c r="E1078" s="560"/>
      <c r="F1078" s="86" t="s">
        <v>4197</v>
      </c>
      <c r="G1078" s="86" t="s">
        <v>156</v>
      </c>
      <c r="H1078" s="96" t="s">
        <v>213</v>
      </c>
      <c r="J1078" s="73">
        <f t="shared" si="107"/>
        <v>1</v>
      </c>
      <c r="K1078" s="74" t="s">
        <v>204</v>
      </c>
      <c r="N1078" s="76" t="s">
        <v>19</v>
      </c>
      <c r="Q1078" s="76" t="s">
        <v>2417</v>
      </c>
      <c r="R1078" s="73">
        <f t="shared" si="108"/>
        <v>1</v>
      </c>
      <c r="S1078" s="260" t="s">
        <v>1976</v>
      </c>
      <c r="T1078" s="260"/>
      <c r="U1078" s="260"/>
      <c r="V1078" s="260"/>
      <c r="W1078" s="260"/>
      <c r="X1078" s="260"/>
      <c r="Y1078" s="565"/>
      <c r="Z1078" s="565"/>
      <c r="AA1078" s="566">
        <f t="shared" si="106"/>
        <v>0</v>
      </c>
      <c r="AB1078" s="699"/>
    </row>
    <row r="1079" spans="1:28" ht="15.75" customHeight="1" x14ac:dyDescent="0.3">
      <c r="A1079" s="79" t="s">
        <v>4198</v>
      </c>
      <c r="C1079" s="81">
        <v>43860</v>
      </c>
      <c r="D1079" s="109">
        <v>43882</v>
      </c>
      <c r="E1079" s="560"/>
      <c r="F1079" s="86" t="s">
        <v>4199</v>
      </c>
      <c r="G1079" s="86" t="s">
        <v>152</v>
      </c>
      <c r="H1079" s="96" t="s">
        <v>213</v>
      </c>
      <c r="I1079" s="97" t="s">
        <v>2478</v>
      </c>
      <c r="J1079" s="73">
        <f t="shared" si="107"/>
        <v>1</v>
      </c>
      <c r="K1079" s="74" t="s">
        <v>204</v>
      </c>
      <c r="N1079" s="76" t="s">
        <v>17</v>
      </c>
      <c r="Q1079" s="76" t="s">
        <v>2417</v>
      </c>
      <c r="R1079" s="73">
        <f t="shared" si="108"/>
        <v>1</v>
      </c>
      <c r="S1079" s="260" t="s">
        <v>1976</v>
      </c>
      <c r="T1079" s="260"/>
      <c r="U1079" s="260"/>
      <c r="V1079" s="260"/>
      <c r="W1079" s="260"/>
      <c r="X1079" s="260"/>
      <c r="Y1079" s="565"/>
      <c r="Z1079" s="565"/>
      <c r="AA1079" s="566">
        <f t="shared" si="106"/>
        <v>0</v>
      </c>
      <c r="AB1079" s="699"/>
    </row>
    <row r="1080" spans="1:28" ht="15.75" customHeight="1" x14ac:dyDescent="0.3">
      <c r="A1080" s="79" t="s">
        <v>3810</v>
      </c>
      <c r="C1080" s="81">
        <v>43843</v>
      </c>
      <c r="D1080" s="109">
        <v>43879</v>
      </c>
      <c r="E1080" s="560"/>
      <c r="F1080" s="86" t="s">
        <v>3811</v>
      </c>
      <c r="G1080" s="86" t="s">
        <v>147</v>
      </c>
      <c r="H1080" s="79" t="s">
        <v>213</v>
      </c>
      <c r="I1080" s="97" t="s">
        <v>722</v>
      </c>
      <c r="J1080" s="73">
        <f t="shared" si="107"/>
        <v>1</v>
      </c>
      <c r="K1080" s="74" t="s">
        <v>204</v>
      </c>
      <c r="N1080" s="76" t="s">
        <v>18</v>
      </c>
      <c r="Q1080" s="76" t="s">
        <v>2076</v>
      </c>
      <c r="R1080" s="73">
        <f t="shared" si="108"/>
        <v>1</v>
      </c>
      <c r="S1080" s="260" t="s">
        <v>1976</v>
      </c>
      <c r="T1080" s="260"/>
      <c r="U1080" s="260"/>
      <c r="V1080" s="260"/>
      <c r="W1080" s="260"/>
      <c r="X1080" s="260"/>
      <c r="Y1080" s="565"/>
      <c r="Z1080" s="565"/>
      <c r="AA1080" s="566">
        <f t="shared" si="106"/>
        <v>0</v>
      </c>
      <c r="AB1080" s="699"/>
    </row>
    <row r="1081" spans="1:28" ht="15.75" customHeight="1" x14ac:dyDescent="0.3">
      <c r="A1081" s="79" t="s">
        <v>4200</v>
      </c>
      <c r="C1081" s="81">
        <v>43843</v>
      </c>
      <c r="D1081" s="109">
        <v>43879</v>
      </c>
      <c r="E1081" s="560"/>
      <c r="F1081" s="86" t="s">
        <v>4201</v>
      </c>
      <c r="G1081" s="86" t="s">
        <v>152</v>
      </c>
      <c r="H1081" s="79" t="s">
        <v>213</v>
      </c>
      <c r="I1081" s="97" t="s">
        <v>645</v>
      </c>
      <c r="J1081" s="73">
        <f t="shared" si="107"/>
        <v>1</v>
      </c>
      <c r="K1081" s="74" t="s">
        <v>204</v>
      </c>
      <c r="Q1081" s="76" t="s">
        <v>2076</v>
      </c>
      <c r="R1081" s="73">
        <f t="shared" si="108"/>
        <v>1</v>
      </c>
      <c r="S1081" s="260" t="s">
        <v>1976</v>
      </c>
      <c r="T1081" s="260"/>
      <c r="U1081" s="260"/>
      <c r="V1081" s="260"/>
      <c r="W1081" s="260"/>
      <c r="X1081" s="260"/>
      <c r="Y1081" s="565"/>
      <c r="Z1081" s="565"/>
      <c r="AA1081" s="566">
        <f t="shared" si="106"/>
        <v>0</v>
      </c>
      <c r="AB1081" s="699"/>
    </row>
    <row r="1082" spans="1:28" ht="15.75" customHeight="1" x14ac:dyDescent="0.3">
      <c r="A1082" s="96" t="s">
        <v>3676</v>
      </c>
      <c r="C1082" s="81">
        <v>43844</v>
      </c>
      <c r="D1082" s="109">
        <v>43880</v>
      </c>
      <c r="E1082" s="560"/>
      <c r="F1082" s="86" t="s">
        <v>3677</v>
      </c>
      <c r="G1082" s="86" t="s">
        <v>1384</v>
      </c>
      <c r="H1082" s="79" t="s">
        <v>213</v>
      </c>
      <c r="I1082" s="97" t="s">
        <v>714</v>
      </c>
      <c r="J1082" s="73">
        <f t="shared" si="107"/>
        <v>1</v>
      </c>
      <c r="K1082" s="74" t="s">
        <v>204</v>
      </c>
      <c r="N1082" s="76" t="s">
        <v>17</v>
      </c>
      <c r="Q1082" s="76" t="s">
        <v>2076</v>
      </c>
      <c r="R1082" s="73">
        <f t="shared" si="108"/>
        <v>1</v>
      </c>
      <c r="S1082" s="260" t="s">
        <v>1976</v>
      </c>
      <c r="T1082" s="260"/>
      <c r="U1082" s="260"/>
      <c r="V1082" s="260"/>
      <c r="W1082" s="260"/>
      <c r="X1082" s="260"/>
      <c r="Y1082" s="565"/>
      <c r="Z1082" s="565"/>
      <c r="AA1082" s="566">
        <f t="shared" si="106"/>
        <v>0</v>
      </c>
      <c r="AB1082" s="699"/>
    </row>
    <row r="1083" spans="1:28" ht="15.75" customHeight="1" x14ac:dyDescent="0.3">
      <c r="A1083" s="96" t="s">
        <v>3680</v>
      </c>
      <c r="C1083" s="81">
        <v>43844</v>
      </c>
      <c r="D1083" s="109">
        <v>43880</v>
      </c>
      <c r="E1083" s="560"/>
      <c r="F1083" s="86" t="s">
        <v>3681</v>
      </c>
      <c r="G1083" s="86" t="s">
        <v>150</v>
      </c>
      <c r="H1083" s="79" t="s">
        <v>213</v>
      </c>
      <c r="I1083" s="97" t="s">
        <v>2193</v>
      </c>
      <c r="J1083" s="73">
        <f t="shared" si="107"/>
        <v>1</v>
      </c>
      <c r="K1083" s="74" t="s">
        <v>204</v>
      </c>
      <c r="N1083" s="76" t="s">
        <v>17</v>
      </c>
      <c r="Q1083" s="76" t="s">
        <v>2076</v>
      </c>
      <c r="R1083" s="73">
        <f t="shared" si="108"/>
        <v>1</v>
      </c>
      <c r="S1083" s="260" t="s">
        <v>1976</v>
      </c>
      <c r="T1083" s="260"/>
      <c r="U1083" s="260"/>
      <c r="V1083" s="260"/>
      <c r="W1083" s="260"/>
      <c r="X1083" s="260"/>
      <c r="Y1083" s="565"/>
      <c r="Z1083" s="565"/>
      <c r="AA1083" s="566">
        <f t="shared" si="106"/>
        <v>0</v>
      </c>
      <c r="AB1083" s="699"/>
    </row>
    <row r="1084" spans="1:28" ht="15.75" customHeight="1" x14ac:dyDescent="0.3">
      <c r="A1084" s="96" t="s">
        <v>4202</v>
      </c>
      <c r="C1084" s="81">
        <v>43845</v>
      </c>
      <c r="D1084" s="109">
        <v>43880</v>
      </c>
      <c r="E1084" s="560"/>
      <c r="F1084" s="86" t="s">
        <v>4203</v>
      </c>
      <c r="G1084" s="86" t="s">
        <v>158</v>
      </c>
      <c r="H1084" s="79" t="s">
        <v>213</v>
      </c>
      <c r="I1084" s="97" t="s">
        <v>722</v>
      </c>
      <c r="J1084" s="73">
        <f t="shared" si="107"/>
        <v>1</v>
      </c>
      <c r="K1084" s="74" t="s">
        <v>204</v>
      </c>
      <c r="N1084" s="76" t="s">
        <v>17</v>
      </c>
      <c r="Q1084" s="76" t="s">
        <v>2076</v>
      </c>
      <c r="R1084" s="73">
        <f t="shared" si="108"/>
        <v>1</v>
      </c>
      <c r="S1084" s="260" t="s">
        <v>1976</v>
      </c>
      <c r="T1084" s="260"/>
      <c r="U1084" s="260"/>
      <c r="V1084" s="260"/>
      <c r="W1084" s="260"/>
      <c r="X1084" s="260"/>
      <c r="Y1084" s="565"/>
      <c r="Z1084" s="565"/>
      <c r="AA1084" s="566">
        <f t="shared" si="106"/>
        <v>0</v>
      </c>
      <c r="AB1084" s="699"/>
    </row>
    <row r="1085" spans="1:28" ht="15.75" customHeight="1" x14ac:dyDescent="0.3">
      <c r="A1085" s="96" t="s">
        <v>3826</v>
      </c>
      <c r="C1085" s="81">
        <v>43845</v>
      </c>
      <c r="D1085" s="109">
        <v>43881</v>
      </c>
      <c r="E1085" s="560"/>
      <c r="F1085" s="86" t="s">
        <v>3827</v>
      </c>
      <c r="G1085" s="86" t="s">
        <v>187</v>
      </c>
      <c r="H1085" s="79" t="s">
        <v>213</v>
      </c>
      <c r="I1085" s="97" t="s">
        <v>683</v>
      </c>
      <c r="J1085" s="73">
        <f t="shared" si="107"/>
        <v>1</v>
      </c>
      <c r="K1085" s="74" t="s">
        <v>204</v>
      </c>
      <c r="N1085" s="76" t="s">
        <v>19</v>
      </c>
      <c r="Q1085" s="76" t="s">
        <v>2076</v>
      </c>
      <c r="R1085" s="73">
        <f t="shared" si="108"/>
        <v>1</v>
      </c>
      <c r="S1085" s="260" t="s">
        <v>1976</v>
      </c>
      <c r="T1085" s="260"/>
      <c r="U1085" s="260"/>
      <c r="V1085" s="260"/>
      <c r="W1085" s="260"/>
      <c r="X1085" s="260"/>
      <c r="Y1085" s="565"/>
      <c r="Z1085" s="565"/>
      <c r="AA1085" s="566">
        <f t="shared" si="106"/>
        <v>0</v>
      </c>
      <c r="AB1085" s="699"/>
    </row>
    <row r="1086" spans="1:28" ht="15.75" customHeight="1" x14ac:dyDescent="0.3">
      <c r="A1086" s="79" t="s">
        <v>3828</v>
      </c>
      <c r="C1086" s="81">
        <v>43845</v>
      </c>
      <c r="D1086" s="109">
        <v>43881</v>
      </c>
      <c r="E1086" s="560"/>
      <c r="F1086" s="86" t="s">
        <v>3829</v>
      </c>
      <c r="G1086" s="86" t="s">
        <v>158</v>
      </c>
      <c r="H1086" s="79" t="s">
        <v>213</v>
      </c>
      <c r="I1086" s="86" t="s">
        <v>3648</v>
      </c>
      <c r="J1086" s="73">
        <f t="shared" si="107"/>
        <v>1</v>
      </c>
      <c r="K1086" s="74" t="s">
        <v>204</v>
      </c>
      <c r="N1086" s="76" t="s">
        <v>18</v>
      </c>
      <c r="Q1086" s="76" t="s">
        <v>2076</v>
      </c>
      <c r="R1086" s="73">
        <f t="shared" si="108"/>
        <v>1</v>
      </c>
      <c r="S1086" s="260" t="s">
        <v>1976</v>
      </c>
      <c r="T1086" s="260"/>
      <c r="U1086" s="260"/>
      <c r="V1086" s="260"/>
      <c r="W1086" s="260"/>
      <c r="X1086" s="260"/>
      <c r="Y1086" s="565"/>
      <c r="Z1086" s="565"/>
      <c r="AA1086" s="566">
        <f t="shared" si="106"/>
        <v>0</v>
      </c>
      <c r="AB1086" s="699"/>
    </row>
    <row r="1087" spans="1:28" ht="15.75" customHeight="1" x14ac:dyDescent="0.3">
      <c r="A1087" s="79" t="s">
        <v>3830</v>
      </c>
      <c r="C1087" s="81">
        <v>43846</v>
      </c>
      <c r="D1087" s="109">
        <v>43882</v>
      </c>
      <c r="E1087" s="560"/>
      <c r="F1087" s="86" t="s">
        <v>3831</v>
      </c>
      <c r="G1087" s="86" t="s">
        <v>152</v>
      </c>
      <c r="H1087" s="79" t="s">
        <v>213</v>
      </c>
      <c r="I1087" s="97" t="s">
        <v>714</v>
      </c>
      <c r="J1087" s="73">
        <f t="shared" si="107"/>
        <v>1</v>
      </c>
      <c r="K1087" s="74" t="s">
        <v>204</v>
      </c>
      <c r="N1087" s="76" t="s">
        <v>18</v>
      </c>
      <c r="Q1087" s="76" t="s">
        <v>2076</v>
      </c>
      <c r="R1087" s="73">
        <f t="shared" si="108"/>
        <v>1</v>
      </c>
      <c r="S1087" s="260" t="s">
        <v>1976</v>
      </c>
      <c r="T1087" s="260"/>
      <c r="U1087" s="260"/>
      <c r="V1087" s="260"/>
      <c r="W1087" s="260"/>
      <c r="X1087" s="260"/>
      <c r="Y1087" s="565"/>
      <c r="Z1087" s="565"/>
      <c r="AA1087" s="566">
        <f t="shared" si="106"/>
        <v>0</v>
      </c>
      <c r="AB1087" s="699"/>
    </row>
    <row r="1088" spans="1:28" ht="15.75" customHeight="1" x14ac:dyDescent="0.3">
      <c r="A1088" s="79" t="s">
        <v>3832</v>
      </c>
      <c r="C1088" s="81">
        <v>43846</v>
      </c>
      <c r="D1088" s="109">
        <v>43882</v>
      </c>
      <c r="E1088" s="560"/>
      <c r="F1088" s="86" t="s">
        <v>3833</v>
      </c>
      <c r="G1088" s="86" t="s">
        <v>158</v>
      </c>
      <c r="H1088" s="79" t="s">
        <v>213</v>
      </c>
      <c r="I1088" s="97" t="s">
        <v>641</v>
      </c>
      <c r="J1088" s="73">
        <f t="shared" si="107"/>
        <v>1</v>
      </c>
      <c r="K1088" s="74" t="s">
        <v>204</v>
      </c>
      <c r="N1088" s="76" t="s">
        <v>17</v>
      </c>
      <c r="Q1088" s="76" t="s">
        <v>2076</v>
      </c>
      <c r="R1088" s="73">
        <f t="shared" si="108"/>
        <v>1</v>
      </c>
      <c r="S1088" s="260" t="s">
        <v>1976</v>
      </c>
      <c r="T1088" s="260"/>
      <c r="U1088" s="260"/>
      <c r="V1088" s="260"/>
      <c r="W1088" s="260"/>
      <c r="X1088" s="260"/>
      <c r="Y1088" s="565"/>
      <c r="Z1088" s="565"/>
      <c r="AA1088" s="566">
        <f t="shared" si="106"/>
        <v>0</v>
      </c>
      <c r="AB1088" s="699"/>
    </row>
    <row r="1089" spans="1:28" ht="15.75" customHeight="1" x14ac:dyDescent="0.3">
      <c r="A1089" s="96" t="s">
        <v>3864</v>
      </c>
      <c r="C1089" s="81">
        <v>43850</v>
      </c>
      <c r="D1089" s="109">
        <v>43886</v>
      </c>
      <c r="E1089" s="560"/>
      <c r="F1089" s="86" t="s">
        <v>3865</v>
      </c>
      <c r="G1089" s="86" t="s">
        <v>152</v>
      </c>
      <c r="H1089" s="79" t="s">
        <v>213</v>
      </c>
      <c r="I1089" s="97" t="s">
        <v>714</v>
      </c>
      <c r="J1089" s="73">
        <f t="shared" si="107"/>
        <v>1</v>
      </c>
      <c r="K1089" s="74" t="s">
        <v>204</v>
      </c>
      <c r="N1089" s="76" t="s">
        <v>17</v>
      </c>
      <c r="Q1089" s="76" t="s">
        <v>2076</v>
      </c>
      <c r="R1089" s="73">
        <f t="shared" si="108"/>
        <v>1</v>
      </c>
      <c r="S1089" s="260" t="s">
        <v>1976</v>
      </c>
      <c r="T1089" s="260"/>
      <c r="U1089" s="260"/>
      <c r="V1089" s="260"/>
      <c r="W1089" s="260"/>
      <c r="X1089" s="260"/>
      <c r="Y1089" s="565"/>
      <c r="Z1089" s="565"/>
      <c r="AA1089" s="566">
        <f t="shared" si="106"/>
        <v>0</v>
      </c>
      <c r="AB1089" s="699"/>
    </row>
    <row r="1090" spans="1:28" ht="15.75" customHeight="1" x14ac:dyDescent="0.3">
      <c r="A1090" s="79" t="s">
        <v>3868</v>
      </c>
      <c r="C1090" s="81">
        <v>43847</v>
      </c>
      <c r="D1090" s="109">
        <v>43886</v>
      </c>
      <c r="E1090" s="560"/>
      <c r="F1090" s="86" t="s">
        <v>3869</v>
      </c>
      <c r="G1090" s="86" t="s">
        <v>158</v>
      </c>
      <c r="H1090" s="79" t="s">
        <v>213</v>
      </c>
      <c r="I1090" s="97" t="s">
        <v>642</v>
      </c>
      <c r="J1090" s="73">
        <f t="shared" si="107"/>
        <v>1</v>
      </c>
      <c r="K1090" s="74" t="s">
        <v>204</v>
      </c>
      <c r="N1090" s="76" t="s">
        <v>18</v>
      </c>
      <c r="Q1090" s="76" t="s">
        <v>2076</v>
      </c>
      <c r="R1090" s="73">
        <f t="shared" si="108"/>
        <v>1</v>
      </c>
      <c r="S1090" s="260" t="s">
        <v>1976</v>
      </c>
      <c r="T1090" s="260"/>
      <c r="U1090" s="260"/>
      <c r="V1090" s="260"/>
      <c r="W1090" s="260"/>
      <c r="X1090" s="260"/>
      <c r="Y1090" s="565"/>
      <c r="Z1090" s="565"/>
      <c r="AA1090" s="566">
        <f t="shared" si="106"/>
        <v>0</v>
      </c>
      <c r="AB1090" s="699"/>
    </row>
    <row r="1091" spans="1:28" ht="15.75" customHeight="1" x14ac:dyDescent="0.3">
      <c r="A1091" s="79" t="s">
        <v>3870</v>
      </c>
      <c r="C1091" s="81">
        <v>43847</v>
      </c>
      <c r="D1091" s="109">
        <v>43886</v>
      </c>
      <c r="E1091" s="560"/>
      <c r="F1091" s="86" t="s">
        <v>3871</v>
      </c>
      <c r="G1091" s="86" t="s">
        <v>158</v>
      </c>
      <c r="H1091" s="79" t="s">
        <v>213</v>
      </c>
      <c r="I1091" s="97" t="s">
        <v>714</v>
      </c>
      <c r="J1091" s="73">
        <f t="shared" si="107"/>
        <v>1</v>
      </c>
      <c r="K1091" s="74" t="s">
        <v>204</v>
      </c>
      <c r="N1091" s="76" t="s">
        <v>17</v>
      </c>
      <c r="Q1091" s="76" t="s">
        <v>2076</v>
      </c>
      <c r="R1091" s="73">
        <f t="shared" si="108"/>
        <v>1</v>
      </c>
      <c r="S1091" s="260" t="s">
        <v>1976</v>
      </c>
      <c r="T1091" s="260"/>
      <c r="U1091" s="260"/>
      <c r="V1091" s="260"/>
      <c r="W1091" s="260"/>
      <c r="X1091" s="260"/>
      <c r="Y1091" s="565"/>
      <c r="Z1091" s="565"/>
      <c r="AA1091" s="566">
        <f t="shared" si="106"/>
        <v>0</v>
      </c>
      <c r="AB1091" s="699"/>
    </row>
    <row r="1092" spans="1:28" ht="15.75" customHeight="1" x14ac:dyDescent="0.3">
      <c r="A1092" s="79" t="s">
        <v>4210</v>
      </c>
      <c r="C1092" s="81">
        <v>43857</v>
      </c>
      <c r="D1092" s="109">
        <v>43879</v>
      </c>
      <c r="E1092" s="560"/>
      <c r="F1092" s="86" t="s">
        <v>4211</v>
      </c>
      <c r="G1092" s="86" t="s">
        <v>147</v>
      </c>
      <c r="H1092" s="79" t="s">
        <v>213</v>
      </c>
      <c r="I1092" s="97" t="s">
        <v>972</v>
      </c>
      <c r="J1092" s="73">
        <f t="shared" si="107"/>
        <v>1</v>
      </c>
      <c r="K1092" s="74" t="s">
        <v>204</v>
      </c>
      <c r="L1092" s="97" t="s">
        <v>456</v>
      </c>
      <c r="Q1092" s="76" t="s">
        <v>2076</v>
      </c>
      <c r="R1092" s="73">
        <f t="shared" si="108"/>
        <v>1</v>
      </c>
      <c r="S1092" s="260" t="s">
        <v>1976</v>
      </c>
      <c r="T1092" s="260"/>
      <c r="U1092" s="260"/>
      <c r="V1092" s="260"/>
      <c r="W1092" s="260"/>
      <c r="X1092" s="260"/>
      <c r="Y1092" s="565"/>
      <c r="Z1092" s="565"/>
      <c r="AA1092" s="566">
        <f t="shared" si="106"/>
        <v>0</v>
      </c>
      <c r="AB1092" s="699"/>
    </row>
    <row r="1093" spans="1:28" ht="15.75" customHeight="1" x14ac:dyDescent="0.3">
      <c r="A1093" s="79" t="s">
        <v>4214</v>
      </c>
      <c r="C1093" s="81">
        <v>43857</v>
      </c>
      <c r="D1093" s="109">
        <v>43879</v>
      </c>
      <c r="E1093" s="560"/>
      <c r="F1093" s="86" t="s">
        <v>4215</v>
      </c>
      <c r="G1093" s="86" t="s">
        <v>152</v>
      </c>
      <c r="H1093" s="79" t="s">
        <v>213</v>
      </c>
      <c r="J1093" s="73">
        <f t="shared" si="107"/>
        <v>1</v>
      </c>
      <c r="K1093" s="74" t="s">
        <v>204</v>
      </c>
      <c r="N1093" s="76" t="s">
        <v>17</v>
      </c>
      <c r="Q1093" s="76" t="s">
        <v>2076</v>
      </c>
      <c r="R1093" s="73">
        <f t="shared" si="108"/>
        <v>1</v>
      </c>
      <c r="S1093" s="260" t="s">
        <v>1976</v>
      </c>
      <c r="T1093" s="260"/>
      <c r="U1093" s="260"/>
      <c r="V1093" s="260"/>
      <c r="W1093" s="260"/>
      <c r="X1093" s="260"/>
      <c r="Y1093" s="565"/>
      <c r="Z1093" s="565"/>
      <c r="AA1093" s="566">
        <f t="shared" si="106"/>
        <v>0</v>
      </c>
      <c r="AB1093" s="699"/>
    </row>
    <row r="1094" spans="1:28" ht="15.75" customHeight="1" x14ac:dyDescent="0.3">
      <c r="A1094" s="96" t="s">
        <v>4224</v>
      </c>
      <c r="C1094" s="81">
        <v>43859</v>
      </c>
      <c r="D1094" s="109">
        <v>43881</v>
      </c>
      <c r="E1094" s="560"/>
      <c r="F1094" s="86" t="s">
        <v>4225</v>
      </c>
      <c r="G1094" s="86" t="s">
        <v>1384</v>
      </c>
      <c r="H1094" s="79" t="s">
        <v>213</v>
      </c>
      <c r="I1094" s="97" t="s">
        <v>1285</v>
      </c>
      <c r="J1094" s="73">
        <f t="shared" ref="J1094:J1110" si="109">IF(OR(K1094="Документы готовы",K1094="Запрос в ФО",K1094="ЭЗ",K1094="РЕШ",K1094="РЕШ шаблон"),0.1,IF(OR(K1094="ЭЗ согласование",K1094="РЕШ согласование"),0.3,IF(OR(K1094="ЭЗ согласовано",K1094="РЕШ согласовано",K1094="РЕШ подписано"),0.6,IF(OR(K1094="ЭЗ ПР согласование",K1094="РЕШ УВ согласование"),0.9,IF(OR(K1094="ЭЗ ПР DONE",K1094="РЕШ УВ DONE"),1,0)))))</f>
        <v>1</v>
      </c>
      <c r="K1094" s="74" t="s">
        <v>204</v>
      </c>
      <c r="N1094" s="76" t="s">
        <v>19</v>
      </c>
      <c r="Q1094" s="76" t="s">
        <v>2076</v>
      </c>
      <c r="R1094" s="73">
        <f t="shared" ref="R1094:R1110" si="110">IF(S1094="В работе",0.3,IF(S1094="Отписано",0.6,IF(S1094="На доработку",0.9,IF(S1094="Согласовано",1,0))))</f>
        <v>1</v>
      </c>
      <c r="S1094" s="260" t="s">
        <v>1976</v>
      </c>
      <c r="T1094" s="260"/>
      <c r="U1094" s="260"/>
      <c r="V1094" s="260"/>
      <c r="W1094" s="260"/>
      <c r="X1094" s="260"/>
      <c r="Y1094" s="565"/>
      <c r="Z1094" s="565"/>
      <c r="AA1094" s="566">
        <f t="shared" si="106"/>
        <v>0</v>
      </c>
      <c r="AB1094" s="699"/>
    </row>
    <row r="1095" spans="1:28" ht="15.75" customHeight="1" x14ac:dyDescent="0.3">
      <c r="A1095" s="79" t="s">
        <v>4232</v>
      </c>
      <c r="C1095" s="81">
        <v>43860</v>
      </c>
      <c r="D1095" s="109">
        <v>43882</v>
      </c>
      <c r="E1095" s="560"/>
      <c r="F1095" s="86" t="s">
        <v>4233</v>
      </c>
      <c r="G1095" s="86" t="s">
        <v>166</v>
      </c>
      <c r="H1095" s="96" t="s">
        <v>213</v>
      </c>
      <c r="J1095" s="73">
        <f t="shared" si="109"/>
        <v>1</v>
      </c>
      <c r="K1095" s="74" t="s">
        <v>204</v>
      </c>
      <c r="N1095" s="76" t="s">
        <v>19</v>
      </c>
      <c r="Q1095" s="76" t="s">
        <v>2076</v>
      </c>
      <c r="R1095" s="73">
        <f t="shared" si="110"/>
        <v>1</v>
      </c>
      <c r="S1095" s="260" t="s">
        <v>1976</v>
      </c>
      <c r="T1095" s="260"/>
      <c r="U1095" s="260"/>
      <c r="V1095" s="260"/>
      <c r="W1095" s="260"/>
      <c r="X1095" s="260"/>
      <c r="Y1095" s="565"/>
      <c r="Z1095" s="565"/>
      <c r="AA1095" s="566">
        <f t="shared" si="106"/>
        <v>0</v>
      </c>
      <c r="AB1095" s="699"/>
    </row>
    <row r="1096" spans="1:28" ht="15.75" customHeight="1" x14ac:dyDescent="0.3">
      <c r="A1096" s="96" t="s">
        <v>4244</v>
      </c>
      <c r="C1096" s="81">
        <v>43843</v>
      </c>
      <c r="D1096" s="109">
        <v>43887</v>
      </c>
      <c r="E1096" s="560"/>
      <c r="F1096" s="97" t="s">
        <v>4245</v>
      </c>
      <c r="G1096" s="86" t="s">
        <v>150</v>
      </c>
      <c r="H1096" s="79" t="s">
        <v>213</v>
      </c>
      <c r="I1096" s="97" t="s">
        <v>649</v>
      </c>
      <c r="J1096" s="73">
        <f t="shared" si="109"/>
        <v>1</v>
      </c>
      <c r="K1096" s="74" t="s">
        <v>204</v>
      </c>
      <c r="L1096" s="97" t="s">
        <v>4390</v>
      </c>
      <c r="N1096" s="76" t="s">
        <v>18</v>
      </c>
      <c r="Q1096" s="76" t="s">
        <v>2109</v>
      </c>
      <c r="R1096" s="73">
        <f t="shared" si="110"/>
        <v>1</v>
      </c>
      <c r="S1096" s="260" t="s">
        <v>1976</v>
      </c>
      <c r="T1096" s="260"/>
      <c r="U1096" s="260"/>
      <c r="V1096" s="260"/>
      <c r="W1096" s="260"/>
      <c r="X1096" s="260"/>
      <c r="Y1096" s="565"/>
      <c r="Z1096" s="565"/>
      <c r="AA1096" s="566">
        <f t="shared" si="106"/>
        <v>0</v>
      </c>
      <c r="AB1096" s="699"/>
    </row>
    <row r="1097" spans="1:28" ht="15.75" customHeight="1" x14ac:dyDescent="0.3">
      <c r="A1097" s="96" t="s">
        <v>4246</v>
      </c>
      <c r="C1097" s="81">
        <v>43850</v>
      </c>
      <c r="D1097" s="109">
        <v>43886</v>
      </c>
      <c r="E1097" s="560"/>
      <c r="F1097" s="86" t="s">
        <v>4247</v>
      </c>
      <c r="G1097" s="86" t="s">
        <v>158</v>
      </c>
      <c r="H1097" s="79" t="s">
        <v>213</v>
      </c>
      <c r="I1097" s="97" t="s">
        <v>714</v>
      </c>
      <c r="J1097" s="73">
        <f t="shared" si="109"/>
        <v>1</v>
      </c>
      <c r="K1097" s="74" t="s">
        <v>204</v>
      </c>
      <c r="N1097" s="76" t="s">
        <v>18</v>
      </c>
      <c r="Q1097" s="76" t="s">
        <v>2109</v>
      </c>
      <c r="R1097" s="73">
        <f t="shared" si="110"/>
        <v>1</v>
      </c>
      <c r="S1097" s="260" t="s">
        <v>1976</v>
      </c>
      <c r="T1097" s="260"/>
      <c r="U1097" s="260"/>
      <c r="V1097" s="260"/>
      <c r="W1097" s="260"/>
      <c r="X1097" s="260"/>
      <c r="Y1097" s="565"/>
      <c r="Z1097" s="565"/>
      <c r="AA1097" s="566">
        <f t="shared" si="106"/>
        <v>0</v>
      </c>
      <c r="AB1097" s="699"/>
    </row>
    <row r="1098" spans="1:28" ht="15.75" customHeight="1" x14ac:dyDescent="0.3">
      <c r="A1098" s="96" t="s">
        <v>3935</v>
      </c>
      <c r="C1098" s="81">
        <v>43850</v>
      </c>
      <c r="D1098" s="109">
        <v>43886</v>
      </c>
      <c r="E1098" s="560"/>
      <c r="F1098" s="86" t="s">
        <v>3936</v>
      </c>
      <c r="G1098" s="86" t="s">
        <v>156</v>
      </c>
      <c r="H1098" s="79" t="s">
        <v>213</v>
      </c>
      <c r="I1098" s="97" t="s">
        <v>854</v>
      </c>
      <c r="J1098" s="73">
        <f t="shared" si="109"/>
        <v>1</v>
      </c>
      <c r="K1098" s="74" t="s">
        <v>204</v>
      </c>
      <c r="L1098" s="97" t="s">
        <v>3228</v>
      </c>
      <c r="N1098" s="76" t="s">
        <v>17</v>
      </c>
      <c r="Q1098" s="76" t="s">
        <v>2109</v>
      </c>
      <c r="R1098" s="73">
        <f t="shared" si="110"/>
        <v>1</v>
      </c>
      <c r="S1098" s="260" t="s">
        <v>1976</v>
      </c>
      <c r="T1098" s="260"/>
      <c r="U1098" s="260"/>
      <c r="V1098" s="260"/>
      <c r="W1098" s="260"/>
      <c r="X1098" s="260"/>
      <c r="Y1098" s="565"/>
      <c r="Z1098" s="565"/>
      <c r="AA1098" s="566">
        <f t="shared" si="106"/>
        <v>0</v>
      </c>
      <c r="AB1098" s="699"/>
    </row>
    <row r="1099" spans="1:28" ht="15.75" customHeight="1" x14ac:dyDescent="0.3">
      <c r="A1099" s="79" t="s">
        <v>3937</v>
      </c>
      <c r="C1099" s="81">
        <v>43851</v>
      </c>
      <c r="D1099" s="109">
        <v>43887</v>
      </c>
      <c r="E1099" s="560"/>
      <c r="F1099" s="86" t="s">
        <v>3938</v>
      </c>
      <c r="G1099" s="86" t="s">
        <v>158</v>
      </c>
      <c r="H1099" s="79" t="s">
        <v>213</v>
      </c>
      <c r="I1099" s="97" t="s">
        <v>714</v>
      </c>
      <c r="J1099" s="73">
        <f t="shared" si="109"/>
        <v>1</v>
      </c>
      <c r="K1099" s="74" t="s">
        <v>204</v>
      </c>
      <c r="N1099" s="76" t="s">
        <v>17</v>
      </c>
      <c r="Q1099" s="76" t="s">
        <v>2109</v>
      </c>
      <c r="R1099" s="73">
        <f t="shared" si="110"/>
        <v>1</v>
      </c>
      <c r="S1099" s="260" t="s">
        <v>1976</v>
      </c>
      <c r="T1099" s="260"/>
      <c r="U1099" s="260"/>
      <c r="V1099" s="260"/>
      <c r="W1099" s="260"/>
      <c r="X1099" s="260"/>
      <c r="Y1099" s="565"/>
      <c r="Z1099" s="565"/>
      <c r="AA1099" s="566">
        <f t="shared" si="106"/>
        <v>0</v>
      </c>
      <c r="AB1099" s="699"/>
    </row>
    <row r="1100" spans="1:28" ht="15.75" customHeight="1" x14ac:dyDescent="0.3">
      <c r="A1100" s="79" t="s">
        <v>3941</v>
      </c>
      <c r="C1100" s="81">
        <v>43851</v>
      </c>
      <c r="D1100" s="109">
        <v>43887</v>
      </c>
      <c r="E1100" s="560"/>
      <c r="F1100" s="86" t="s">
        <v>3942</v>
      </c>
      <c r="G1100" s="86" t="s">
        <v>158</v>
      </c>
      <c r="H1100" s="79" t="s">
        <v>213</v>
      </c>
      <c r="I1100" s="97" t="s">
        <v>641</v>
      </c>
      <c r="J1100" s="73">
        <f t="shared" si="109"/>
        <v>1</v>
      </c>
      <c r="K1100" s="74" t="s">
        <v>204</v>
      </c>
      <c r="N1100" s="76" t="s">
        <v>17</v>
      </c>
      <c r="Q1100" s="76" t="s">
        <v>2109</v>
      </c>
      <c r="R1100" s="73">
        <f t="shared" si="110"/>
        <v>1</v>
      </c>
      <c r="S1100" s="260" t="s">
        <v>1976</v>
      </c>
      <c r="T1100" s="260"/>
      <c r="U1100" s="260"/>
      <c r="V1100" s="260"/>
      <c r="W1100" s="260"/>
      <c r="X1100" s="260"/>
      <c r="Y1100" s="565"/>
      <c r="Z1100" s="565"/>
      <c r="AA1100" s="566">
        <f t="shared" si="106"/>
        <v>0</v>
      </c>
      <c r="AB1100" s="699"/>
    </row>
    <row r="1101" spans="1:28" ht="15.75" customHeight="1" x14ac:dyDescent="0.3">
      <c r="A1101" s="79" t="s">
        <v>3945</v>
      </c>
      <c r="C1101" s="81">
        <v>43851</v>
      </c>
      <c r="D1101" s="109">
        <v>43887</v>
      </c>
      <c r="E1101" s="560"/>
      <c r="F1101" s="86" t="s">
        <v>3946</v>
      </c>
      <c r="G1101" s="86" t="s">
        <v>1384</v>
      </c>
      <c r="H1101" s="79" t="s">
        <v>213</v>
      </c>
      <c r="I1101" s="97" t="s">
        <v>995</v>
      </c>
      <c r="J1101" s="73">
        <f t="shared" si="109"/>
        <v>1</v>
      </c>
      <c r="K1101" s="74" t="s">
        <v>204</v>
      </c>
      <c r="L1101" s="97" t="s">
        <v>4394</v>
      </c>
      <c r="N1101" s="76" t="s">
        <v>19</v>
      </c>
      <c r="Q1101" s="76" t="s">
        <v>2109</v>
      </c>
      <c r="R1101" s="73">
        <f t="shared" si="110"/>
        <v>1</v>
      </c>
      <c r="S1101" s="260" t="s">
        <v>1976</v>
      </c>
      <c r="T1101" s="260"/>
      <c r="U1101" s="260"/>
      <c r="V1101" s="260"/>
      <c r="W1101" s="260"/>
      <c r="X1101" s="260"/>
      <c r="Y1101" s="565"/>
      <c r="Z1101" s="565"/>
      <c r="AA1101" s="566">
        <f t="shared" si="106"/>
        <v>0</v>
      </c>
      <c r="AB1101" s="699"/>
    </row>
    <row r="1102" spans="1:28" ht="15.75" customHeight="1" x14ac:dyDescent="0.3">
      <c r="A1102" s="79" t="s">
        <v>3949</v>
      </c>
      <c r="C1102" s="81">
        <v>43852</v>
      </c>
      <c r="D1102" s="109">
        <v>43888</v>
      </c>
      <c r="E1102" s="560"/>
      <c r="F1102" s="86" t="s">
        <v>3950</v>
      </c>
      <c r="G1102" s="86" t="s">
        <v>150</v>
      </c>
      <c r="H1102" s="79" t="s">
        <v>213</v>
      </c>
      <c r="I1102" s="97" t="s">
        <v>645</v>
      </c>
      <c r="J1102" s="73">
        <f t="shared" si="109"/>
        <v>1</v>
      </c>
      <c r="K1102" s="74" t="s">
        <v>204</v>
      </c>
      <c r="N1102" s="76" t="s">
        <v>17</v>
      </c>
      <c r="Q1102" s="76" t="s">
        <v>2109</v>
      </c>
      <c r="R1102" s="73">
        <f t="shared" si="110"/>
        <v>1</v>
      </c>
      <c r="S1102" s="260" t="s">
        <v>1976</v>
      </c>
      <c r="T1102" s="260"/>
      <c r="U1102" s="260"/>
      <c r="V1102" s="260"/>
      <c r="W1102" s="260"/>
      <c r="X1102" s="260"/>
      <c r="Y1102" s="565"/>
      <c r="Z1102" s="565"/>
      <c r="AA1102" s="566">
        <f t="shared" si="106"/>
        <v>0</v>
      </c>
      <c r="AB1102" s="699"/>
    </row>
    <row r="1103" spans="1:28" ht="15" customHeight="1" x14ac:dyDescent="0.3">
      <c r="A1103" s="79" t="s">
        <v>4021</v>
      </c>
      <c r="C1103" s="81">
        <v>43852</v>
      </c>
      <c r="D1103" s="109">
        <v>43888</v>
      </c>
      <c r="E1103" s="560"/>
      <c r="F1103" s="86" t="s">
        <v>4022</v>
      </c>
      <c r="G1103" s="86" t="s">
        <v>410</v>
      </c>
      <c r="H1103" s="79" t="s">
        <v>213</v>
      </c>
      <c r="I1103" s="97" t="s">
        <v>714</v>
      </c>
      <c r="J1103" s="73">
        <f t="shared" si="109"/>
        <v>1</v>
      </c>
      <c r="K1103" s="74" t="s">
        <v>204</v>
      </c>
      <c r="N1103" s="76" t="s">
        <v>17</v>
      </c>
      <c r="Q1103" s="76" t="s">
        <v>2109</v>
      </c>
      <c r="R1103" s="73">
        <f t="shared" si="110"/>
        <v>1</v>
      </c>
      <c r="S1103" s="260" t="s">
        <v>1976</v>
      </c>
      <c r="T1103" s="260"/>
      <c r="U1103" s="260"/>
      <c r="V1103" s="260"/>
      <c r="W1103" s="260"/>
      <c r="X1103" s="260"/>
      <c r="Y1103" s="565"/>
      <c r="Z1103" s="565"/>
      <c r="AA1103" s="566">
        <f t="shared" si="106"/>
        <v>0</v>
      </c>
      <c r="AB1103" s="699"/>
    </row>
    <row r="1104" spans="1:28" ht="15.75" customHeight="1" x14ac:dyDescent="0.3">
      <c r="A1104" s="79" t="s">
        <v>3957</v>
      </c>
      <c r="C1104" s="81">
        <v>43853</v>
      </c>
      <c r="D1104" s="109">
        <v>43889</v>
      </c>
      <c r="E1104" s="560"/>
      <c r="F1104" s="86" t="s">
        <v>3958</v>
      </c>
      <c r="G1104" s="86" t="s">
        <v>156</v>
      </c>
      <c r="H1104" s="79" t="s">
        <v>213</v>
      </c>
      <c r="I1104" s="97" t="s">
        <v>714</v>
      </c>
      <c r="J1104" s="73">
        <f t="shared" si="109"/>
        <v>1</v>
      </c>
      <c r="K1104" s="74" t="s">
        <v>204</v>
      </c>
      <c r="N1104" s="76" t="s">
        <v>18</v>
      </c>
      <c r="Q1104" s="76" t="s">
        <v>2109</v>
      </c>
      <c r="R1104" s="73">
        <f t="shared" si="110"/>
        <v>1</v>
      </c>
      <c r="S1104" s="260" t="s">
        <v>1976</v>
      </c>
      <c r="T1104" s="260"/>
      <c r="U1104" s="260"/>
      <c r="V1104" s="260"/>
      <c r="W1104" s="260"/>
      <c r="X1104" s="260"/>
      <c r="Y1104" s="565"/>
      <c r="Z1104" s="565"/>
      <c r="AA1104" s="566">
        <f t="shared" si="106"/>
        <v>0</v>
      </c>
      <c r="AB1104" s="699"/>
    </row>
    <row r="1105" spans="1:28" ht="15.75" customHeight="1" x14ac:dyDescent="0.3">
      <c r="A1105" s="79" t="s">
        <v>3959</v>
      </c>
      <c r="C1105" s="81">
        <v>43853</v>
      </c>
      <c r="D1105" s="109">
        <v>43889</v>
      </c>
      <c r="E1105" s="560"/>
      <c r="F1105" s="86" t="s">
        <v>3960</v>
      </c>
      <c r="G1105" s="86" t="s">
        <v>410</v>
      </c>
      <c r="H1105" s="79" t="s">
        <v>213</v>
      </c>
      <c r="I1105" s="97" t="s">
        <v>3654</v>
      </c>
      <c r="J1105" s="73">
        <f t="shared" si="109"/>
        <v>1</v>
      </c>
      <c r="K1105" s="74" t="s">
        <v>204</v>
      </c>
      <c r="N1105" s="76" t="s">
        <v>18</v>
      </c>
      <c r="Q1105" s="76" t="s">
        <v>2109</v>
      </c>
      <c r="R1105" s="73">
        <f t="shared" si="110"/>
        <v>1</v>
      </c>
      <c r="S1105" s="260" t="s">
        <v>1976</v>
      </c>
      <c r="T1105" s="260"/>
      <c r="U1105" s="260"/>
      <c r="V1105" s="260"/>
      <c r="W1105" s="260"/>
      <c r="X1105" s="260"/>
      <c r="Y1105" s="565"/>
      <c r="Z1105" s="565"/>
      <c r="AA1105" s="566">
        <f t="shared" si="106"/>
        <v>0</v>
      </c>
      <c r="AB1105" s="699"/>
    </row>
    <row r="1106" spans="1:28" ht="15.75" customHeight="1" x14ac:dyDescent="0.3">
      <c r="A1106" s="79" t="s">
        <v>4250</v>
      </c>
      <c r="C1106" s="81">
        <v>43861</v>
      </c>
      <c r="D1106" s="109">
        <v>43886</v>
      </c>
      <c r="E1106" s="560"/>
      <c r="F1106" s="86" t="s">
        <v>4251</v>
      </c>
      <c r="G1106" s="86" t="s">
        <v>181</v>
      </c>
      <c r="H1106" s="79" t="s">
        <v>213</v>
      </c>
      <c r="I1106" s="97" t="s">
        <v>649</v>
      </c>
      <c r="J1106" s="73">
        <f t="shared" si="109"/>
        <v>1</v>
      </c>
      <c r="K1106" s="74" t="s">
        <v>204</v>
      </c>
      <c r="L1106" s="97" t="s">
        <v>4360</v>
      </c>
      <c r="N1106" s="76" t="s">
        <v>18</v>
      </c>
      <c r="Q1106" s="76" t="s">
        <v>2109</v>
      </c>
      <c r="R1106" s="73">
        <f t="shared" si="110"/>
        <v>1</v>
      </c>
      <c r="S1106" s="260" t="s">
        <v>1976</v>
      </c>
      <c r="T1106" s="260"/>
      <c r="U1106" s="260"/>
      <c r="V1106" s="260"/>
      <c r="W1106" s="260"/>
      <c r="X1106" s="260"/>
      <c r="Y1106" s="565"/>
      <c r="Z1106" s="565"/>
      <c r="AA1106" s="566">
        <f t="shared" si="106"/>
        <v>0</v>
      </c>
      <c r="AB1106" s="699"/>
    </row>
    <row r="1107" spans="1:28" ht="15.75" customHeight="1" x14ac:dyDescent="0.3">
      <c r="A1107" s="79" t="s">
        <v>4256</v>
      </c>
      <c r="C1107" s="81">
        <v>43864</v>
      </c>
      <c r="D1107" s="109">
        <v>43887</v>
      </c>
      <c r="E1107" s="560"/>
      <c r="F1107" s="86" t="s">
        <v>4257</v>
      </c>
      <c r="G1107" s="86" t="s">
        <v>152</v>
      </c>
      <c r="H1107" s="79" t="s">
        <v>213</v>
      </c>
      <c r="I1107" s="97" t="s">
        <v>972</v>
      </c>
      <c r="J1107" s="73">
        <f t="shared" si="109"/>
        <v>1</v>
      </c>
      <c r="K1107" s="74" t="s">
        <v>204</v>
      </c>
      <c r="L1107" s="97" t="s">
        <v>456</v>
      </c>
      <c r="N1107" s="76" t="s">
        <v>17</v>
      </c>
      <c r="Q1107" s="76" t="s">
        <v>2109</v>
      </c>
      <c r="R1107" s="73">
        <f t="shared" si="110"/>
        <v>1</v>
      </c>
      <c r="S1107" s="260" t="s">
        <v>1976</v>
      </c>
      <c r="T1107" s="260"/>
      <c r="U1107" s="260"/>
      <c r="V1107" s="260"/>
      <c r="W1107" s="260"/>
      <c r="X1107" s="260"/>
      <c r="Y1107" s="565"/>
      <c r="Z1107" s="565"/>
      <c r="AA1107" s="566">
        <f t="shared" ref="AA1107:AA1154" si="111">Z1107-Y1107</f>
        <v>0</v>
      </c>
      <c r="AB1107" s="699"/>
    </row>
    <row r="1108" spans="1:28" ht="15.75" customHeight="1" x14ac:dyDescent="0.3">
      <c r="A1108" s="79" t="s">
        <v>4258</v>
      </c>
      <c r="C1108" s="81">
        <v>43864</v>
      </c>
      <c r="D1108" s="109">
        <v>43887</v>
      </c>
      <c r="E1108" s="560"/>
      <c r="F1108" s="86" t="s">
        <v>4259</v>
      </c>
      <c r="G1108" s="86" t="s">
        <v>1328</v>
      </c>
      <c r="H1108" s="79" t="s">
        <v>213</v>
      </c>
      <c r="I1108" s="97" t="s">
        <v>995</v>
      </c>
      <c r="J1108" s="73">
        <f t="shared" si="109"/>
        <v>1</v>
      </c>
      <c r="K1108" s="74" t="s">
        <v>204</v>
      </c>
      <c r="N1108" s="76" t="s">
        <v>19</v>
      </c>
      <c r="Q1108" s="76" t="s">
        <v>2109</v>
      </c>
      <c r="R1108" s="73">
        <f t="shared" si="110"/>
        <v>1</v>
      </c>
      <c r="S1108" s="260" t="s">
        <v>1976</v>
      </c>
      <c r="T1108" s="260"/>
      <c r="U1108" s="260"/>
      <c r="V1108" s="260"/>
      <c r="W1108" s="260"/>
      <c r="X1108" s="260"/>
      <c r="Y1108" s="565"/>
      <c r="Z1108" s="565"/>
      <c r="AA1108" s="566">
        <f t="shared" si="111"/>
        <v>0</v>
      </c>
      <c r="AB1108" s="699"/>
    </row>
    <row r="1109" spans="1:28" ht="15.75" customHeight="1" x14ac:dyDescent="0.3">
      <c r="A1109" s="79" t="s">
        <v>4260</v>
      </c>
      <c r="C1109" s="81">
        <v>43864</v>
      </c>
      <c r="D1109" s="109">
        <v>43887</v>
      </c>
      <c r="E1109" s="560"/>
      <c r="F1109" s="86" t="s">
        <v>4261</v>
      </c>
      <c r="G1109" s="86" t="s">
        <v>156</v>
      </c>
      <c r="H1109" s="79" t="s">
        <v>213</v>
      </c>
      <c r="I1109" s="97" t="s">
        <v>995</v>
      </c>
      <c r="J1109" s="73">
        <f t="shared" si="109"/>
        <v>1</v>
      </c>
      <c r="K1109" s="74" t="s">
        <v>204</v>
      </c>
      <c r="N1109" s="76" t="s">
        <v>19</v>
      </c>
      <c r="Q1109" s="76" t="s">
        <v>2109</v>
      </c>
      <c r="R1109" s="73">
        <f t="shared" si="110"/>
        <v>1</v>
      </c>
      <c r="S1109" s="260" t="s">
        <v>1976</v>
      </c>
      <c r="T1109" s="260"/>
      <c r="U1109" s="260"/>
      <c r="V1109" s="260"/>
      <c r="W1109" s="260"/>
      <c r="X1109" s="260"/>
      <c r="Y1109" s="565"/>
      <c r="Z1109" s="565"/>
      <c r="AA1109" s="566">
        <f t="shared" si="111"/>
        <v>0</v>
      </c>
      <c r="AB1109" s="699"/>
    </row>
    <row r="1110" spans="1:28" ht="15" customHeight="1" x14ac:dyDescent="0.3">
      <c r="A1110" s="79" t="s">
        <v>4264</v>
      </c>
      <c r="C1110" s="81">
        <v>43865</v>
      </c>
      <c r="D1110" s="109">
        <v>43888</v>
      </c>
      <c r="E1110" s="560"/>
      <c r="F1110" s="86" t="s">
        <v>4265</v>
      </c>
      <c r="G1110" s="86" t="s">
        <v>152</v>
      </c>
      <c r="H1110" s="79" t="s">
        <v>213</v>
      </c>
      <c r="I1110" s="97" t="s">
        <v>649</v>
      </c>
      <c r="J1110" s="73">
        <f t="shared" si="109"/>
        <v>1</v>
      </c>
      <c r="K1110" s="74" t="s">
        <v>204</v>
      </c>
      <c r="L1110" s="97"/>
      <c r="N1110" s="76" t="s">
        <v>17</v>
      </c>
      <c r="Q1110" s="76" t="s">
        <v>2109</v>
      </c>
      <c r="R1110" s="73">
        <f t="shared" si="110"/>
        <v>1</v>
      </c>
      <c r="S1110" s="260" t="s">
        <v>1976</v>
      </c>
      <c r="T1110" s="260"/>
      <c r="U1110" s="260"/>
      <c r="V1110" s="260"/>
      <c r="W1110" s="260"/>
      <c r="X1110" s="260"/>
      <c r="Y1110" s="565"/>
      <c r="Z1110" s="565"/>
      <c r="AA1110" s="566">
        <f t="shared" si="111"/>
        <v>0</v>
      </c>
      <c r="AB1110" s="699"/>
    </row>
    <row r="1111" spans="1:28" ht="15.75" customHeight="1" x14ac:dyDescent="0.3">
      <c r="A1111" s="96" t="s">
        <v>3965</v>
      </c>
      <c r="C1111" s="81">
        <v>43850</v>
      </c>
      <c r="D1111" s="109">
        <v>43886</v>
      </c>
      <c r="E1111" s="560"/>
      <c r="F1111" s="86" t="s">
        <v>3966</v>
      </c>
      <c r="G1111" s="86" t="s">
        <v>3771</v>
      </c>
      <c r="H1111" s="79" t="s">
        <v>213</v>
      </c>
      <c r="I1111" s="97" t="s">
        <v>642</v>
      </c>
      <c r="J1111" s="73">
        <f t="shared" ref="J1111:J1139" si="112">IF(OR(K1111="Документы готовы",K1111="Запрос в ФО",K1111="ЭЗ",K1111="РЕШ",K1111="РЕШ шаблон"),0.1,IF(OR(K1111="ЭЗ согласование",K1111="РЕШ согласование"),0.3,IF(OR(K1111="ЭЗ согласовано",K1111="РЕШ согласовано",K1111="РЕШ подписано"),0.6,IF(OR(K1111="ЭЗ ПР согласование",K1111="РЕШ УВ согласование"),0.9,IF(OR(K1111="ЭЗ ПР DONE",K1111="РЕШ УВ DONE"),1,0)))))</f>
        <v>1</v>
      </c>
      <c r="K1111" s="74" t="s">
        <v>204</v>
      </c>
      <c r="N1111" s="76" t="s">
        <v>18</v>
      </c>
      <c r="Q1111" s="76" t="s">
        <v>2142</v>
      </c>
      <c r="R1111" s="73">
        <f t="shared" ref="R1111:R1139" si="113">IF(S1111="В работе",0.3,IF(S1111="Отписано",0.6,IF(S1111="На доработку",0.9,IF(S1111="Согласовано",1,0))))</f>
        <v>1</v>
      </c>
      <c r="S1111" s="260" t="s">
        <v>1976</v>
      </c>
      <c r="T1111" s="260"/>
      <c r="U1111" s="260"/>
      <c r="V1111" s="260"/>
      <c r="W1111" s="260"/>
      <c r="X1111" s="260"/>
      <c r="Y1111" s="565"/>
      <c r="Z1111" s="565"/>
      <c r="AA1111" s="566">
        <f t="shared" si="111"/>
        <v>0</v>
      </c>
      <c r="AB1111" s="699"/>
    </row>
    <row r="1112" spans="1:28" ht="15.75" customHeight="1" x14ac:dyDescent="0.3">
      <c r="A1112" s="96" t="s">
        <v>3967</v>
      </c>
      <c r="C1112" s="81">
        <v>43850</v>
      </c>
      <c r="D1112" s="109">
        <v>43886</v>
      </c>
      <c r="E1112" s="560"/>
      <c r="F1112" s="86" t="s">
        <v>3968</v>
      </c>
      <c r="G1112" s="86" t="s">
        <v>1384</v>
      </c>
      <c r="H1112" s="79" t="s">
        <v>213</v>
      </c>
      <c r="I1112" s="97" t="s">
        <v>642</v>
      </c>
      <c r="J1112" s="73">
        <f t="shared" si="112"/>
        <v>1</v>
      </c>
      <c r="K1112" s="74" t="s">
        <v>204</v>
      </c>
      <c r="N1112" s="76" t="s">
        <v>18</v>
      </c>
      <c r="Q1112" s="76" t="s">
        <v>2142</v>
      </c>
      <c r="R1112" s="73">
        <f t="shared" si="113"/>
        <v>1</v>
      </c>
      <c r="S1112" s="260" t="s">
        <v>1976</v>
      </c>
      <c r="T1112" s="260"/>
      <c r="U1112" s="260"/>
      <c r="V1112" s="260"/>
      <c r="W1112" s="260"/>
      <c r="X1112" s="260"/>
      <c r="Y1112" s="565"/>
      <c r="Z1112" s="565"/>
      <c r="AA1112" s="566">
        <f t="shared" si="111"/>
        <v>0</v>
      </c>
      <c r="AB1112" s="699"/>
    </row>
    <row r="1113" spans="1:28" ht="15.75" customHeight="1" x14ac:dyDescent="0.3">
      <c r="A1113" s="96" t="s">
        <v>3969</v>
      </c>
      <c r="C1113" s="81">
        <v>43850</v>
      </c>
      <c r="D1113" s="109">
        <v>43886</v>
      </c>
      <c r="E1113" s="560"/>
      <c r="F1113" s="86" t="s">
        <v>3970</v>
      </c>
      <c r="G1113" s="86" t="s">
        <v>156</v>
      </c>
      <c r="H1113" s="79" t="s">
        <v>213</v>
      </c>
      <c r="I1113" s="97" t="s">
        <v>642</v>
      </c>
      <c r="J1113" s="73">
        <f t="shared" si="112"/>
        <v>1</v>
      </c>
      <c r="K1113" s="74" t="s">
        <v>204</v>
      </c>
      <c r="N1113" s="76" t="s">
        <v>18</v>
      </c>
      <c r="Q1113" s="76" t="s">
        <v>2142</v>
      </c>
      <c r="R1113" s="73">
        <f t="shared" si="113"/>
        <v>1</v>
      </c>
      <c r="S1113" s="260" t="s">
        <v>1976</v>
      </c>
      <c r="T1113" s="260"/>
      <c r="U1113" s="260"/>
      <c r="V1113" s="260"/>
      <c r="W1113" s="260"/>
      <c r="X1113" s="260"/>
      <c r="Y1113" s="565"/>
      <c r="Z1113" s="565"/>
      <c r="AA1113" s="566">
        <f t="shared" si="111"/>
        <v>0</v>
      </c>
      <c r="AB1113" s="699"/>
    </row>
    <row r="1114" spans="1:28" ht="15.75" customHeight="1" x14ac:dyDescent="0.3">
      <c r="A1114" s="96" t="s">
        <v>3973</v>
      </c>
      <c r="C1114" s="81">
        <v>43851</v>
      </c>
      <c r="D1114" s="109">
        <v>43887</v>
      </c>
      <c r="E1114" s="560"/>
      <c r="F1114" s="86" t="s">
        <v>3974</v>
      </c>
      <c r="G1114" s="86" t="s">
        <v>150</v>
      </c>
      <c r="H1114" s="79" t="s">
        <v>213</v>
      </c>
      <c r="I1114" s="97" t="s">
        <v>714</v>
      </c>
      <c r="J1114" s="73">
        <f t="shared" si="112"/>
        <v>1</v>
      </c>
      <c r="K1114" s="74" t="s">
        <v>204</v>
      </c>
      <c r="N1114" s="76" t="s">
        <v>18</v>
      </c>
      <c r="Q1114" s="76" t="s">
        <v>2142</v>
      </c>
      <c r="R1114" s="73">
        <f t="shared" si="113"/>
        <v>1</v>
      </c>
      <c r="S1114" s="260" t="s">
        <v>1976</v>
      </c>
      <c r="T1114" s="260"/>
      <c r="U1114" s="260"/>
      <c r="V1114" s="260"/>
      <c r="W1114" s="260"/>
      <c r="X1114" s="260"/>
      <c r="Y1114" s="565"/>
      <c r="Z1114" s="565"/>
      <c r="AA1114" s="566">
        <f t="shared" si="111"/>
        <v>0</v>
      </c>
      <c r="AB1114" s="699"/>
    </row>
    <row r="1115" spans="1:28" ht="15.75" customHeight="1" x14ac:dyDescent="0.3">
      <c r="A1115" s="79" t="s">
        <v>3979</v>
      </c>
      <c r="C1115" s="81">
        <v>43851</v>
      </c>
      <c r="D1115" s="109">
        <v>43887</v>
      </c>
      <c r="E1115" s="560"/>
      <c r="F1115" s="86" t="s">
        <v>3980</v>
      </c>
      <c r="G1115" s="86" t="s">
        <v>150</v>
      </c>
      <c r="H1115" s="79" t="s">
        <v>213</v>
      </c>
      <c r="I1115" s="97" t="s">
        <v>714</v>
      </c>
      <c r="J1115" s="73">
        <f t="shared" si="112"/>
        <v>1</v>
      </c>
      <c r="K1115" s="74" t="s">
        <v>204</v>
      </c>
      <c r="N1115" s="76" t="s">
        <v>17</v>
      </c>
      <c r="Q1115" s="76" t="s">
        <v>2142</v>
      </c>
      <c r="R1115" s="73">
        <f t="shared" si="113"/>
        <v>1</v>
      </c>
      <c r="S1115" s="260" t="s">
        <v>1976</v>
      </c>
      <c r="T1115" s="260"/>
      <c r="U1115" s="260"/>
      <c r="V1115" s="260"/>
      <c r="W1115" s="260"/>
      <c r="X1115" s="260"/>
      <c r="Y1115" s="565"/>
      <c r="Z1115" s="565"/>
      <c r="AA1115" s="566">
        <f t="shared" si="111"/>
        <v>0</v>
      </c>
      <c r="AB1115" s="699"/>
    </row>
    <row r="1116" spans="1:28" x14ac:dyDescent="0.3">
      <c r="A1116" s="96" t="s">
        <v>3981</v>
      </c>
      <c r="C1116" s="81">
        <v>43852</v>
      </c>
      <c r="D1116" s="109">
        <v>43888</v>
      </c>
      <c r="E1116" s="560"/>
      <c r="F1116" s="86" t="s">
        <v>3982</v>
      </c>
      <c r="G1116" s="86" t="s">
        <v>158</v>
      </c>
      <c r="H1116" s="79" t="s">
        <v>213</v>
      </c>
      <c r="I1116" s="97" t="s">
        <v>714</v>
      </c>
      <c r="J1116" s="73">
        <f t="shared" si="112"/>
        <v>1</v>
      </c>
      <c r="K1116" s="74" t="s">
        <v>204</v>
      </c>
      <c r="N1116" s="76" t="s">
        <v>18</v>
      </c>
      <c r="Q1116" s="76" t="s">
        <v>2142</v>
      </c>
      <c r="R1116" s="73">
        <f t="shared" si="113"/>
        <v>1</v>
      </c>
      <c r="S1116" s="260" t="s">
        <v>1976</v>
      </c>
      <c r="T1116" s="260"/>
      <c r="U1116" s="260"/>
      <c r="V1116" s="260"/>
      <c r="W1116" s="260"/>
      <c r="X1116" s="260"/>
      <c r="Y1116" s="565"/>
      <c r="Z1116" s="565"/>
      <c r="AA1116" s="566">
        <f t="shared" si="111"/>
        <v>0</v>
      </c>
      <c r="AB1116" s="699"/>
    </row>
    <row r="1117" spans="1:28" x14ac:dyDescent="0.3">
      <c r="A1117" s="96" t="s">
        <v>3983</v>
      </c>
      <c r="C1117" s="81">
        <v>43852</v>
      </c>
      <c r="D1117" s="109">
        <v>43888</v>
      </c>
      <c r="E1117" s="560"/>
      <c r="F1117" s="86" t="s">
        <v>3984</v>
      </c>
      <c r="G1117" s="86" t="s">
        <v>158</v>
      </c>
      <c r="H1117" s="79" t="s">
        <v>213</v>
      </c>
      <c r="I1117" s="97" t="s">
        <v>1299</v>
      </c>
      <c r="J1117" s="73">
        <f t="shared" si="112"/>
        <v>1</v>
      </c>
      <c r="K1117" s="74" t="s">
        <v>204</v>
      </c>
      <c r="N1117" s="76" t="s">
        <v>17</v>
      </c>
      <c r="Q1117" s="76" t="s">
        <v>2142</v>
      </c>
      <c r="R1117" s="73">
        <f t="shared" si="113"/>
        <v>1</v>
      </c>
      <c r="S1117" s="260" t="s">
        <v>1976</v>
      </c>
      <c r="T1117" s="260"/>
      <c r="U1117" s="260"/>
      <c r="V1117" s="260"/>
      <c r="W1117" s="260"/>
      <c r="X1117" s="260"/>
      <c r="Y1117" s="565"/>
      <c r="Z1117" s="565"/>
      <c r="AA1117" s="566">
        <f t="shared" si="111"/>
        <v>0</v>
      </c>
      <c r="AB1117" s="699"/>
    </row>
    <row r="1118" spans="1:28" ht="15" customHeight="1" x14ac:dyDescent="0.3">
      <c r="A1118" s="96" t="s">
        <v>3989</v>
      </c>
      <c r="C1118" s="81">
        <v>43853</v>
      </c>
      <c r="D1118" s="109">
        <v>43889</v>
      </c>
      <c r="E1118" s="560"/>
      <c r="F1118" s="86" t="s">
        <v>3990</v>
      </c>
      <c r="G1118" s="86" t="s">
        <v>158</v>
      </c>
      <c r="H1118" s="79" t="s">
        <v>213</v>
      </c>
      <c r="I1118" s="97" t="s">
        <v>641</v>
      </c>
      <c r="J1118" s="73">
        <f t="shared" si="112"/>
        <v>1</v>
      </c>
      <c r="K1118" s="74" t="s">
        <v>204</v>
      </c>
      <c r="N1118" s="76" t="s">
        <v>17</v>
      </c>
      <c r="Q1118" s="76" t="s">
        <v>2142</v>
      </c>
      <c r="R1118" s="73">
        <f t="shared" si="113"/>
        <v>1</v>
      </c>
      <c r="S1118" s="260" t="s">
        <v>1976</v>
      </c>
      <c r="T1118" s="260"/>
      <c r="U1118" s="260"/>
      <c r="V1118" s="260"/>
      <c r="W1118" s="260"/>
      <c r="X1118" s="260"/>
      <c r="Y1118" s="565"/>
      <c r="Z1118" s="565"/>
      <c r="AA1118" s="566">
        <f t="shared" si="111"/>
        <v>0</v>
      </c>
      <c r="AB1118" s="699"/>
    </row>
    <row r="1119" spans="1:28" ht="15" customHeight="1" x14ac:dyDescent="0.3">
      <c r="A1119" s="96" t="s">
        <v>3991</v>
      </c>
      <c r="C1119" s="81">
        <v>43853</v>
      </c>
      <c r="D1119" s="109">
        <v>43889</v>
      </c>
      <c r="E1119" s="560"/>
      <c r="F1119" s="86" t="s">
        <v>3992</v>
      </c>
      <c r="G1119" s="86" t="s">
        <v>2104</v>
      </c>
      <c r="H1119" s="79" t="s">
        <v>213</v>
      </c>
      <c r="J1119" s="73">
        <f t="shared" si="112"/>
        <v>1</v>
      </c>
      <c r="K1119" s="74" t="s">
        <v>204</v>
      </c>
      <c r="L1119" s="97" t="s">
        <v>4400</v>
      </c>
      <c r="Q1119" s="76" t="s">
        <v>2142</v>
      </c>
      <c r="R1119" s="73">
        <f t="shared" si="113"/>
        <v>1</v>
      </c>
      <c r="S1119" s="260" t="s">
        <v>1976</v>
      </c>
      <c r="T1119" s="260"/>
      <c r="U1119" s="260"/>
      <c r="V1119" s="260"/>
      <c r="W1119" s="260"/>
      <c r="X1119" s="260"/>
      <c r="Y1119" s="565"/>
      <c r="Z1119" s="565"/>
      <c r="AA1119" s="566">
        <f t="shared" si="111"/>
        <v>0</v>
      </c>
      <c r="AB1119" s="699"/>
    </row>
    <row r="1120" spans="1:28" ht="15" customHeight="1" x14ac:dyDescent="0.3">
      <c r="A1120" s="79" t="s">
        <v>4276</v>
      </c>
      <c r="C1120" s="81">
        <v>43859</v>
      </c>
      <c r="D1120" s="81">
        <v>43881</v>
      </c>
      <c r="E1120" s="560"/>
      <c r="F1120" s="86" t="s">
        <v>4277</v>
      </c>
      <c r="G1120" s="86" t="s">
        <v>177</v>
      </c>
      <c r="H1120" s="79" t="s">
        <v>213</v>
      </c>
      <c r="J1120" s="73">
        <f t="shared" si="112"/>
        <v>1</v>
      </c>
      <c r="K1120" s="74" t="s">
        <v>204</v>
      </c>
      <c r="Q1120" s="76" t="s">
        <v>2142</v>
      </c>
      <c r="R1120" s="73">
        <f t="shared" si="113"/>
        <v>1</v>
      </c>
      <c r="S1120" s="260" t="s">
        <v>1976</v>
      </c>
      <c r="T1120" s="260"/>
      <c r="U1120" s="260"/>
      <c r="V1120" s="260"/>
      <c r="W1120" s="260"/>
      <c r="X1120" s="260"/>
      <c r="Y1120" s="565"/>
      <c r="Z1120" s="565"/>
      <c r="AA1120" s="566">
        <f t="shared" si="111"/>
        <v>0</v>
      </c>
      <c r="AB1120" s="699"/>
    </row>
    <row r="1121" spans="1:28" ht="15" customHeight="1" x14ac:dyDescent="0.3">
      <c r="A1121" s="96" t="s">
        <v>4278</v>
      </c>
      <c r="C1121" s="81">
        <v>43861</v>
      </c>
      <c r="D1121" s="109">
        <v>43886</v>
      </c>
      <c r="E1121" s="560"/>
      <c r="F1121" s="86" t="s">
        <v>4279</v>
      </c>
      <c r="G1121" s="86" t="s">
        <v>156</v>
      </c>
      <c r="H1121" s="79" t="s">
        <v>213</v>
      </c>
      <c r="I1121" s="97" t="s">
        <v>649</v>
      </c>
      <c r="J1121" s="73">
        <f t="shared" si="112"/>
        <v>1</v>
      </c>
      <c r="K1121" s="74" t="s">
        <v>204</v>
      </c>
      <c r="N1121" s="76" t="s">
        <v>18</v>
      </c>
      <c r="Q1121" s="76" t="s">
        <v>2142</v>
      </c>
      <c r="R1121" s="73">
        <f t="shared" si="113"/>
        <v>1</v>
      </c>
      <c r="S1121" s="260" t="s">
        <v>1976</v>
      </c>
      <c r="T1121" s="260"/>
      <c r="U1121" s="260"/>
      <c r="V1121" s="260"/>
      <c r="W1121" s="260"/>
      <c r="X1121" s="260"/>
      <c r="Y1121" s="565"/>
      <c r="Z1121" s="565"/>
      <c r="AA1121" s="566">
        <f t="shared" si="111"/>
        <v>0</v>
      </c>
      <c r="AB1121" s="699"/>
    </row>
    <row r="1122" spans="1:28" ht="15" customHeight="1" x14ac:dyDescent="0.3">
      <c r="A1122" s="96" t="s">
        <v>4280</v>
      </c>
      <c r="C1122" s="81">
        <v>43861</v>
      </c>
      <c r="D1122" s="109">
        <v>43886</v>
      </c>
      <c r="E1122" s="560"/>
      <c r="F1122" s="86" t="s">
        <v>4281</v>
      </c>
      <c r="G1122" s="86" t="s">
        <v>150</v>
      </c>
      <c r="H1122" s="79" t="s">
        <v>213</v>
      </c>
      <c r="I1122" s="97" t="s">
        <v>3654</v>
      </c>
      <c r="J1122" s="73">
        <f t="shared" si="112"/>
        <v>1</v>
      </c>
      <c r="K1122" s="74" t="s">
        <v>204</v>
      </c>
      <c r="N1122" s="76" t="s">
        <v>18</v>
      </c>
      <c r="Q1122" s="76" t="s">
        <v>2142</v>
      </c>
      <c r="R1122" s="73">
        <f t="shared" si="113"/>
        <v>1</v>
      </c>
      <c r="S1122" s="260" t="s">
        <v>1976</v>
      </c>
      <c r="T1122" s="260"/>
      <c r="U1122" s="260"/>
      <c r="V1122" s="260"/>
      <c r="W1122" s="260"/>
      <c r="X1122" s="260"/>
      <c r="Y1122" s="565"/>
      <c r="Z1122" s="565"/>
      <c r="AA1122" s="566">
        <f t="shared" si="111"/>
        <v>0</v>
      </c>
      <c r="AB1122" s="699"/>
    </row>
    <row r="1123" spans="1:28" ht="15" customHeight="1" x14ac:dyDescent="0.3">
      <c r="A1123" s="79" t="s">
        <v>4288</v>
      </c>
      <c r="C1123" s="81">
        <v>43864</v>
      </c>
      <c r="D1123" s="109">
        <v>43887</v>
      </c>
      <c r="E1123" s="560"/>
      <c r="F1123" s="86" t="s">
        <v>4289</v>
      </c>
      <c r="G1123" s="86" t="s">
        <v>152</v>
      </c>
      <c r="H1123" s="79" t="s">
        <v>213</v>
      </c>
      <c r="I1123" s="97" t="s">
        <v>3642</v>
      </c>
      <c r="J1123" s="73">
        <f t="shared" si="112"/>
        <v>1</v>
      </c>
      <c r="K1123" s="74" t="s">
        <v>204</v>
      </c>
      <c r="N1123" s="76" t="s">
        <v>19</v>
      </c>
      <c r="Q1123" s="76" t="s">
        <v>2142</v>
      </c>
      <c r="R1123" s="73">
        <f t="shared" si="113"/>
        <v>1</v>
      </c>
      <c r="S1123" s="260" t="s">
        <v>1976</v>
      </c>
      <c r="T1123" s="260"/>
      <c r="U1123" s="260"/>
      <c r="V1123" s="260"/>
      <c r="W1123" s="260"/>
      <c r="X1123" s="260"/>
      <c r="Y1123" s="565"/>
      <c r="Z1123" s="565"/>
      <c r="AA1123" s="566">
        <f t="shared" si="111"/>
        <v>0</v>
      </c>
      <c r="AB1123" s="699"/>
    </row>
    <row r="1124" spans="1:28" ht="15" customHeight="1" x14ac:dyDescent="0.3">
      <c r="A1124" s="96" t="s">
        <v>4292</v>
      </c>
      <c r="C1124" s="81">
        <v>43865</v>
      </c>
      <c r="D1124" s="109">
        <v>43887</v>
      </c>
      <c r="E1124" s="560"/>
      <c r="F1124" s="86" t="s">
        <v>4293</v>
      </c>
      <c r="G1124" s="86" t="s">
        <v>152</v>
      </c>
      <c r="H1124" s="79" t="s">
        <v>213</v>
      </c>
      <c r="I1124" s="97" t="s">
        <v>649</v>
      </c>
      <c r="J1124" s="73">
        <f t="shared" si="112"/>
        <v>1</v>
      </c>
      <c r="K1124" s="74" t="s">
        <v>204</v>
      </c>
      <c r="N1124" s="76" t="s">
        <v>17</v>
      </c>
      <c r="Q1124" s="76" t="s">
        <v>2142</v>
      </c>
      <c r="R1124" s="73">
        <f t="shared" si="113"/>
        <v>1</v>
      </c>
      <c r="S1124" s="260" t="s">
        <v>1976</v>
      </c>
      <c r="T1124" s="260"/>
      <c r="U1124" s="260"/>
      <c r="V1124" s="260"/>
      <c r="W1124" s="260"/>
      <c r="X1124" s="260"/>
      <c r="Y1124" s="565"/>
      <c r="Z1124" s="565"/>
      <c r="AA1124" s="566">
        <f t="shared" si="111"/>
        <v>0</v>
      </c>
      <c r="AB1124" s="699"/>
    </row>
    <row r="1125" spans="1:28" x14ac:dyDescent="0.3">
      <c r="A1125" s="96" t="s">
        <v>4294</v>
      </c>
      <c r="C1125" s="81">
        <v>43865</v>
      </c>
      <c r="D1125" s="109">
        <v>43888</v>
      </c>
      <c r="E1125" s="560"/>
      <c r="F1125" s="86" t="s">
        <v>4295</v>
      </c>
      <c r="G1125" s="86" t="s">
        <v>158</v>
      </c>
      <c r="H1125" s="79" t="s">
        <v>213</v>
      </c>
      <c r="I1125" s="97" t="s">
        <v>649</v>
      </c>
      <c r="J1125" s="73">
        <f t="shared" si="112"/>
        <v>1</v>
      </c>
      <c r="K1125" s="74" t="s">
        <v>204</v>
      </c>
      <c r="N1125" s="76" t="s">
        <v>17</v>
      </c>
      <c r="Q1125" s="76" t="s">
        <v>2142</v>
      </c>
      <c r="R1125" s="73">
        <f t="shared" si="113"/>
        <v>1</v>
      </c>
      <c r="S1125" s="260" t="s">
        <v>1976</v>
      </c>
      <c r="T1125" s="260"/>
      <c r="U1125" s="260"/>
      <c r="V1125" s="260"/>
      <c r="W1125" s="260"/>
      <c r="X1125" s="260"/>
      <c r="Y1125" s="565"/>
      <c r="Z1125" s="565"/>
      <c r="AA1125" s="566">
        <f t="shared" si="111"/>
        <v>0</v>
      </c>
      <c r="AB1125" s="699"/>
    </row>
    <row r="1126" spans="1:28" x14ac:dyDescent="0.3">
      <c r="A1126" s="96" t="s">
        <v>4296</v>
      </c>
      <c r="C1126" s="81">
        <v>43865</v>
      </c>
      <c r="D1126" s="109">
        <v>43888</v>
      </c>
      <c r="E1126" s="560"/>
      <c r="F1126" s="86" t="s">
        <v>4297</v>
      </c>
      <c r="G1126" s="86" t="s">
        <v>156</v>
      </c>
      <c r="H1126" s="79" t="s">
        <v>213</v>
      </c>
      <c r="I1126" s="97"/>
      <c r="J1126" s="73">
        <f t="shared" si="112"/>
        <v>1</v>
      </c>
      <c r="K1126" s="74" t="s">
        <v>204</v>
      </c>
      <c r="L1126" s="97" t="s">
        <v>4398</v>
      </c>
      <c r="N1126" s="76" t="s">
        <v>17</v>
      </c>
      <c r="Q1126" s="76" t="s">
        <v>2142</v>
      </c>
      <c r="R1126" s="73">
        <f t="shared" si="113"/>
        <v>1</v>
      </c>
      <c r="S1126" s="260" t="s">
        <v>1976</v>
      </c>
      <c r="T1126" s="260"/>
      <c r="U1126" s="260"/>
      <c r="V1126" s="260"/>
      <c r="W1126" s="260"/>
      <c r="X1126" s="260"/>
      <c r="Y1126" s="565"/>
      <c r="Z1126" s="565"/>
      <c r="AA1126" s="566">
        <f t="shared" si="111"/>
        <v>0</v>
      </c>
      <c r="AB1126" s="699"/>
    </row>
    <row r="1127" spans="1:28" x14ac:dyDescent="0.3">
      <c r="A1127" s="79" t="s">
        <v>4298</v>
      </c>
      <c r="C1127" s="81">
        <v>43865</v>
      </c>
      <c r="D1127" s="109">
        <v>43888</v>
      </c>
      <c r="E1127" s="560"/>
      <c r="F1127" s="86" t="s">
        <v>4299</v>
      </c>
      <c r="G1127" s="86" t="s">
        <v>158</v>
      </c>
      <c r="H1127" s="79" t="s">
        <v>213</v>
      </c>
      <c r="I1127" s="97" t="s">
        <v>1285</v>
      </c>
      <c r="J1127" s="73">
        <f t="shared" si="112"/>
        <v>1</v>
      </c>
      <c r="K1127" s="74" t="s">
        <v>204</v>
      </c>
      <c r="N1127" s="76" t="s">
        <v>19</v>
      </c>
      <c r="Q1127" s="76" t="s">
        <v>2142</v>
      </c>
      <c r="R1127" s="73">
        <f t="shared" si="113"/>
        <v>1</v>
      </c>
      <c r="S1127" s="260" t="s">
        <v>1976</v>
      </c>
      <c r="T1127" s="260"/>
      <c r="U1127" s="260"/>
      <c r="V1127" s="260"/>
      <c r="W1127" s="260"/>
      <c r="X1127" s="260"/>
      <c r="Y1127" s="565"/>
      <c r="Z1127" s="565"/>
      <c r="AA1127" s="566">
        <f t="shared" si="111"/>
        <v>0</v>
      </c>
      <c r="AB1127" s="699"/>
    </row>
    <row r="1128" spans="1:28" ht="15" customHeight="1" x14ac:dyDescent="0.3">
      <c r="A1128" s="96" t="s">
        <v>4304</v>
      </c>
      <c r="C1128" s="81">
        <v>43866</v>
      </c>
      <c r="D1128" s="109">
        <v>43889</v>
      </c>
      <c r="E1128" s="560"/>
      <c r="F1128" s="86" t="s">
        <v>4305</v>
      </c>
      <c r="G1128" s="86" t="s">
        <v>152</v>
      </c>
      <c r="H1128" s="79" t="s">
        <v>213</v>
      </c>
      <c r="I1128" s="97" t="s">
        <v>1113</v>
      </c>
      <c r="J1128" s="73">
        <f t="shared" si="112"/>
        <v>1</v>
      </c>
      <c r="K1128" s="74" t="s">
        <v>204</v>
      </c>
      <c r="N1128" s="76" t="s">
        <v>18</v>
      </c>
      <c r="Q1128" s="76" t="s">
        <v>2142</v>
      </c>
      <c r="R1128" s="73">
        <f t="shared" si="113"/>
        <v>1</v>
      </c>
      <c r="S1128" s="260" t="s">
        <v>1976</v>
      </c>
      <c r="T1128" s="260"/>
      <c r="U1128" s="260"/>
      <c r="V1128" s="260"/>
      <c r="W1128" s="260"/>
      <c r="X1128" s="260"/>
      <c r="Y1128" s="565"/>
      <c r="Z1128" s="565"/>
      <c r="AA1128" s="566">
        <f t="shared" si="111"/>
        <v>0</v>
      </c>
      <c r="AB1128" s="699"/>
    </row>
    <row r="1129" spans="1:28" ht="15" customHeight="1" x14ac:dyDescent="0.3">
      <c r="A1129" s="96" t="s">
        <v>4309</v>
      </c>
      <c r="C1129" s="81">
        <v>43861</v>
      </c>
      <c r="D1129" s="109">
        <v>43886</v>
      </c>
      <c r="E1129" s="560"/>
      <c r="F1129" s="97" t="s">
        <v>4311</v>
      </c>
      <c r="G1129" s="97" t="s">
        <v>175</v>
      </c>
      <c r="H1129" s="79" t="s">
        <v>213</v>
      </c>
      <c r="I1129" s="97" t="s">
        <v>658</v>
      </c>
      <c r="J1129" s="73">
        <f t="shared" si="112"/>
        <v>1</v>
      </c>
      <c r="K1129" s="74" t="s">
        <v>204</v>
      </c>
      <c r="L1129" s="97" t="s">
        <v>4313</v>
      </c>
      <c r="N1129" s="76" t="s">
        <v>17</v>
      </c>
      <c r="Q1129" s="301" t="s">
        <v>2037</v>
      </c>
      <c r="R1129" s="73">
        <f t="shared" si="113"/>
        <v>1</v>
      </c>
      <c r="S1129" s="260" t="s">
        <v>1976</v>
      </c>
      <c r="T1129" s="260"/>
      <c r="U1129" s="260"/>
      <c r="V1129" s="260"/>
      <c r="W1129" s="260"/>
      <c r="X1129" s="260"/>
      <c r="Y1129" s="565"/>
      <c r="Z1129" s="565"/>
      <c r="AA1129" s="566">
        <f t="shared" si="111"/>
        <v>0</v>
      </c>
      <c r="AB1129" s="699"/>
    </row>
    <row r="1130" spans="1:28" ht="15" customHeight="1" x14ac:dyDescent="0.3">
      <c r="A1130" s="96" t="s">
        <v>4310</v>
      </c>
      <c r="C1130" s="81">
        <v>43861</v>
      </c>
      <c r="D1130" s="109">
        <v>43886</v>
      </c>
      <c r="E1130" s="560"/>
      <c r="F1130" s="97" t="s">
        <v>4312</v>
      </c>
      <c r="G1130" s="97" t="s">
        <v>158</v>
      </c>
      <c r="H1130" s="79" t="s">
        <v>213</v>
      </c>
      <c r="I1130" s="97" t="s">
        <v>2478</v>
      </c>
      <c r="J1130" s="73">
        <f t="shared" si="112"/>
        <v>1</v>
      </c>
      <c r="K1130" s="74" t="s">
        <v>204</v>
      </c>
      <c r="L1130" s="97" t="s">
        <v>4243</v>
      </c>
      <c r="N1130" s="76" t="s">
        <v>17</v>
      </c>
      <c r="Q1130" s="76" t="s">
        <v>2037</v>
      </c>
      <c r="R1130" s="73">
        <f t="shared" si="113"/>
        <v>1</v>
      </c>
      <c r="S1130" s="260" t="s">
        <v>1976</v>
      </c>
      <c r="T1130" s="260"/>
      <c r="U1130" s="260"/>
      <c r="V1130" s="260"/>
      <c r="W1130" s="260"/>
      <c r="X1130" s="260"/>
      <c r="Y1130" s="565"/>
      <c r="Z1130" s="565"/>
      <c r="AA1130" s="566">
        <f t="shared" si="111"/>
        <v>0</v>
      </c>
      <c r="AB1130" s="699"/>
    </row>
    <row r="1131" spans="1:28" ht="15" customHeight="1" x14ac:dyDescent="0.3">
      <c r="A1131" s="96" t="s">
        <v>4314</v>
      </c>
      <c r="C1131" s="81">
        <v>43864</v>
      </c>
      <c r="D1131" s="109">
        <v>43886</v>
      </c>
      <c r="E1131" s="560"/>
      <c r="F1131" s="97" t="s">
        <v>4315</v>
      </c>
      <c r="G1131" s="97" t="s">
        <v>152</v>
      </c>
      <c r="H1131" s="96" t="s">
        <v>213</v>
      </c>
      <c r="I1131" s="97" t="s">
        <v>2478</v>
      </c>
      <c r="J1131" s="73">
        <f t="shared" si="112"/>
        <v>1</v>
      </c>
      <c r="K1131" s="74" t="s">
        <v>204</v>
      </c>
      <c r="N1131" s="76" t="s">
        <v>17</v>
      </c>
      <c r="Q1131" s="301" t="s">
        <v>2076</v>
      </c>
      <c r="R1131" s="73">
        <f t="shared" si="113"/>
        <v>1</v>
      </c>
      <c r="S1131" s="260" t="s">
        <v>1976</v>
      </c>
      <c r="T1131" s="260"/>
      <c r="U1131" s="260"/>
      <c r="V1131" s="260"/>
      <c r="W1131" s="260"/>
      <c r="X1131" s="260"/>
      <c r="Y1131" s="565"/>
      <c r="Z1131" s="565"/>
      <c r="AA1131" s="566">
        <f t="shared" si="111"/>
        <v>0</v>
      </c>
      <c r="AB1131" s="699"/>
    </row>
    <row r="1132" spans="1:28" ht="15" customHeight="1" x14ac:dyDescent="0.3">
      <c r="A1132" s="96" t="s">
        <v>4317</v>
      </c>
      <c r="C1132" s="81">
        <v>43861</v>
      </c>
      <c r="D1132" s="109">
        <v>43886</v>
      </c>
      <c r="E1132" s="560"/>
      <c r="F1132" s="124" t="s">
        <v>4316</v>
      </c>
      <c r="G1132" s="97" t="s">
        <v>157</v>
      </c>
      <c r="H1132" s="96" t="s">
        <v>213</v>
      </c>
      <c r="I1132" s="97" t="s">
        <v>4318</v>
      </c>
      <c r="J1132" s="73">
        <f t="shared" si="112"/>
        <v>1</v>
      </c>
      <c r="K1132" s="74" t="s">
        <v>204</v>
      </c>
      <c r="N1132" s="76" t="s">
        <v>18</v>
      </c>
      <c r="Q1132" s="301" t="s">
        <v>2076</v>
      </c>
      <c r="R1132" s="73">
        <f t="shared" si="113"/>
        <v>1</v>
      </c>
      <c r="S1132" s="260" t="s">
        <v>1976</v>
      </c>
      <c r="T1132" s="260"/>
      <c r="U1132" s="260"/>
      <c r="V1132" s="260"/>
      <c r="W1132" s="260"/>
      <c r="X1132" s="260"/>
      <c r="Y1132" s="565"/>
      <c r="Z1132" s="565"/>
      <c r="AA1132" s="566">
        <f t="shared" si="111"/>
        <v>0</v>
      </c>
      <c r="AB1132" s="699"/>
    </row>
    <row r="1133" spans="1:28" ht="15" customHeight="1" x14ac:dyDescent="0.3">
      <c r="A1133" s="79" t="s">
        <v>4319</v>
      </c>
      <c r="C1133" s="81">
        <v>43851</v>
      </c>
      <c r="D1133" s="109">
        <v>43887</v>
      </c>
      <c r="E1133" s="560"/>
      <c r="F1133" s="86" t="s">
        <v>4320</v>
      </c>
      <c r="G1133" s="86" t="s">
        <v>158</v>
      </c>
      <c r="H1133" s="79" t="s">
        <v>213</v>
      </c>
      <c r="I1133" s="97" t="s">
        <v>854</v>
      </c>
      <c r="J1133" s="73">
        <f t="shared" si="112"/>
        <v>1</v>
      </c>
      <c r="K1133" s="74" t="s">
        <v>204</v>
      </c>
      <c r="N1133" s="76" t="s">
        <v>17</v>
      </c>
      <c r="Q1133" s="76" t="s">
        <v>2417</v>
      </c>
      <c r="R1133" s="73">
        <f t="shared" si="113"/>
        <v>1</v>
      </c>
      <c r="S1133" s="260" t="s">
        <v>1976</v>
      </c>
      <c r="T1133" s="260"/>
      <c r="U1133" s="260"/>
      <c r="V1133" s="260"/>
      <c r="W1133" s="260"/>
      <c r="X1133" s="260"/>
      <c r="Y1133" s="565"/>
      <c r="Z1133" s="565"/>
      <c r="AA1133" s="566">
        <f t="shared" si="111"/>
        <v>0</v>
      </c>
      <c r="AB1133" s="699"/>
    </row>
    <row r="1134" spans="1:28" ht="15" customHeight="1" x14ac:dyDescent="0.3">
      <c r="A1134" s="79" t="s">
        <v>4011</v>
      </c>
      <c r="C1134" s="81">
        <v>43851</v>
      </c>
      <c r="D1134" s="109">
        <v>43887</v>
      </c>
      <c r="E1134" s="560"/>
      <c r="F1134" s="86" t="s">
        <v>4012</v>
      </c>
      <c r="G1134" s="86" t="s">
        <v>150</v>
      </c>
      <c r="H1134" s="96" t="s">
        <v>213</v>
      </c>
      <c r="I1134" s="97" t="s">
        <v>714</v>
      </c>
      <c r="J1134" s="73">
        <f t="shared" si="112"/>
        <v>1</v>
      </c>
      <c r="K1134" s="74" t="s">
        <v>204</v>
      </c>
      <c r="N1134" s="76" t="s">
        <v>18</v>
      </c>
      <c r="Q1134" s="76" t="s">
        <v>2417</v>
      </c>
      <c r="R1134" s="73">
        <f t="shared" si="113"/>
        <v>1</v>
      </c>
      <c r="S1134" s="260" t="s">
        <v>1976</v>
      </c>
      <c r="T1134" s="260"/>
      <c r="U1134" s="260"/>
      <c r="V1134" s="260"/>
      <c r="W1134" s="260"/>
      <c r="X1134" s="260"/>
      <c r="Y1134" s="565"/>
      <c r="Z1134" s="565"/>
      <c r="AA1134" s="566">
        <f t="shared" si="111"/>
        <v>0</v>
      </c>
      <c r="AB1134" s="699"/>
    </row>
    <row r="1135" spans="1:28" ht="15" customHeight="1" x14ac:dyDescent="0.3">
      <c r="A1135" s="79" t="s">
        <v>4019</v>
      </c>
      <c r="C1135" s="81">
        <v>43851</v>
      </c>
      <c r="D1135" s="109">
        <v>43887</v>
      </c>
      <c r="E1135" s="560"/>
      <c r="F1135" s="86" t="s">
        <v>4020</v>
      </c>
      <c r="G1135" s="86" t="s">
        <v>156</v>
      </c>
      <c r="H1135" s="96" t="s">
        <v>213</v>
      </c>
      <c r="I1135" s="97" t="s">
        <v>714</v>
      </c>
      <c r="J1135" s="73">
        <f t="shared" si="112"/>
        <v>1</v>
      </c>
      <c r="K1135" s="74" t="s">
        <v>204</v>
      </c>
      <c r="N1135" s="76" t="s">
        <v>18</v>
      </c>
      <c r="Q1135" s="76" t="s">
        <v>2417</v>
      </c>
      <c r="R1135" s="73">
        <f t="shared" si="113"/>
        <v>1</v>
      </c>
      <c r="S1135" s="260" t="s">
        <v>1976</v>
      </c>
      <c r="T1135" s="260"/>
      <c r="U1135" s="260"/>
      <c r="V1135" s="260"/>
      <c r="W1135" s="260"/>
      <c r="X1135" s="260"/>
      <c r="Y1135" s="565"/>
      <c r="Z1135" s="565"/>
      <c r="AA1135" s="566">
        <f t="shared" si="111"/>
        <v>0</v>
      </c>
      <c r="AB1135" s="699"/>
    </row>
    <row r="1136" spans="1:28" ht="15" customHeight="1" x14ac:dyDescent="0.3">
      <c r="A1136" s="79" t="s">
        <v>4023</v>
      </c>
      <c r="C1136" s="81">
        <v>43852</v>
      </c>
      <c r="D1136" s="109">
        <v>43888</v>
      </c>
      <c r="E1136" s="560"/>
      <c r="F1136" s="86" t="s">
        <v>4024</v>
      </c>
      <c r="G1136" s="86" t="s">
        <v>152</v>
      </c>
      <c r="H1136" s="96" t="s">
        <v>213</v>
      </c>
      <c r="I1136" s="97" t="s">
        <v>3187</v>
      </c>
      <c r="J1136" s="73">
        <f t="shared" si="112"/>
        <v>1</v>
      </c>
      <c r="K1136" s="74" t="s">
        <v>204</v>
      </c>
      <c r="L1136" s="97" t="s">
        <v>4395</v>
      </c>
      <c r="N1136" s="76" t="s">
        <v>19</v>
      </c>
      <c r="Q1136" s="76" t="s">
        <v>2417</v>
      </c>
      <c r="R1136" s="73">
        <f t="shared" si="113"/>
        <v>1</v>
      </c>
      <c r="S1136" s="260" t="s">
        <v>1976</v>
      </c>
      <c r="T1136" s="260"/>
      <c r="U1136" s="260"/>
      <c r="V1136" s="260"/>
      <c r="W1136" s="260"/>
      <c r="X1136" s="260"/>
      <c r="Y1136" s="565"/>
      <c r="Z1136" s="565"/>
      <c r="AA1136" s="566">
        <f t="shared" si="111"/>
        <v>0</v>
      </c>
      <c r="AB1136" s="699"/>
    </row>
    <row r="1137" spans="1:28" ht="15" customHeight="1" x14ac:dyDescent="0.3">
      <c r="A1137" s="79" t="s">
        <v>4025</v>
      </c>
      <c r="C1137" s="81">
        <v>43852</v>
      </c>
      <c r="D1137" s="109">
        <v>43888</v>
      </c>
      <c r="E1137" s="560"/>
      <c r="F1137" s="86" t="s">
        <v>4026</v>
      </c>
      <c r="G1137" s="86" t="s">
        <v>156</v>
      </c>
      <c r="H1137" s="96" t="s">
        <v>213</v>
      </c>
      <c r="I1137" s="97" t="s">
        <v>714</v>
      </c>
      <c r="J1137" s="73">
        <f t="shared" si="112"/>
        <v>1</v>
      </c>
      <c r="K1137" s="74" t="s">
        <v>204</v>
      </c>
      <c r="N1137" s="76" t="s">
        <v>18</v>
      </c>
      <c r="Q1137" s="76" t="s">
        <v>2417</v>
      </c>
      <c r="R1137" s="73">
        <f t="shared" si="113"/>
        <v>1</v>
      </c>
      <c r="S1137" s="260" t="s">
        <v>1976</v>
      </c>
      <c r="T1137" s="260"/>
      <c r="U1137" s="260"/>
      <c r="V1137" s="260"/>
      <c r="W1137" s="260"/>
      <c r="X1137" s="260"/>
      <c r="Y1137" s="565"/>
      <c r="Z1137" s="565"/>
      <c r="AA1137" s="566">
        <f t="shared" si="111"/>
        <v>0</v>
      </c>
      <c r="AB1137" s="699"/>
    </row>
    <row r="1138" spans="1:28" ht="15" customHeight="1" x14ac:dyDescent="0.3">
      <c r="A1138" s="79" t="s">
        <v>4027</v>
      </c>
      <c r="C1138" s="81">
        <v>43852</v>
      </c>
      <c r="D1138" s="109">
        <v>43888</v>
      </c>
      <c r="E1138" s="560"/>
      <c r="F1138" s="86" t="s">
        <v>4028</v>
      </c>
      <c r="G1138" s="86" t="s">
        <v>152</v>
      </c>
      <c r="H1138" s="96" t="s">
        <v>213</v>
      </c>
      <c r="I1138" s="97" t="s">
        <v>641</v>
      </c>
      <c r="J1138" s="73">
        <f t="shared" si="112"/>
        <v>1</v>
      </c>
      <c r="K1138" s="74" t="s">
        <v>204</v>
      </c>
      <c r="N1138" s="76" t="s">
        <v>17</v>
      </c>
      <c r="Q1138" s="76" t="s">
        <v>2417</v>
      </c>
      <c r="R1138" s="73">
        <f t="shared" si="113"/>
        <v>1</v>
      </c>
      <c r="S1138" s="260" t="s">
        <v>1976</v>
      </c>
      <c r="T1138" s="260"/>
      <c r="U1138" s="260"/>
      <c r="V1138" s="260"/>
      <c r="W1138" s="260"/>
      <c r="X1138" s="260"/>
      <c r="Y1138" s="565"/>
      <c r="Z1138" s="565"/>
      <c r="AA1138" s="566">
        <f t="shared" si="111"/>
        <v>0</v>
      </c>
      <c r="AB1138" s="699"/>
    </row>
    <row r="1139" spans="1:28" ht="15" customHeight="1" x14ac:dyDescent="0.3">
      <c r="A1139" s="79" t="s">
        <v>4029</v>
      </c>
      <c r="C1139" s="81">
        <v>43853</v>
      </c>
      <c r="D1139" s="109">
        <v>43889</v>
      </c>
      <c r="E1139" s="560"/>
      <c r="F1139" s="86" t="s">
        <v>4030</v>
      </c>
      <c r="G1139" s="86" t="s">
        <v>150</v>
      </c>
      <c r="H1139" s="96" t="s">
        <v>213</v>
      </c>
      <c r="I1139" s="97" t="s">
        <v>714</v>
      </c>
      <c r="J1139" s="73">
        <f t="shared" si="112"/>
        <v>1</v>
      </c>
      <c r="K1139" s="74" t="s">
        <v>204</v>
      </c>
      <c r="N1139" s="76" t="s">
        <v>18</v>
      </c>
      <c r="Q1139" s="76" t="s">
        <v>2417</v>
      </c>
      <c r="R1139" s="73">
        <f t="shared" si="113"/>
        <v>1</v>
      </c>
      <c r="S1139" s="260" t="s">
        <v>1976</v>
      </c>
      <c r="T1139" s="260"/>
      <c r="U1139" s="260"/>
      <c r="V1139" s="260"/>
      <c r="W1139" s="260"/>
      <c r="X1139" s="260"/>
      <c r="Y1139" s="565"/>
      <c r="Z1139" s="565"/>
      <c r="AA1139" s="566">
        <f t="shared" si="111"/>
        <v>0</v>
      </c>
      <c r="AB1139" s="699"/>
    </row>
    <row r="1140" spans="1:28" ht="15" customHeight="1" x14ac:dyDescent="0.3">
      <c r="A1140" s="79" t="s">
        <v>4031</v>
      </c>
      <c r="C1140" s="81">
        <v>43853</v>
      </c>
      <c r="D1140" s="109">
        <v>43889</v>
      </c>
      <c r="E1140" s="560"/>
      <c r="F1140" s="86" t="s">
        <v>4032</v>
      </c>
      <c r="G1140" s="86" t="s">
        <v>152</v>
      </c>
      <c r="H1140" s="96" t="s">
        <v>213</v>
      </c>
      <c r="I1140" s="97" t="s">
        <v>2008</v>
      </c>
      <c r="J1140" s="73">
        <f t="shared" ref="J1140:J1154" si="114">IF(OR(K1140="Документы готовы",K1140="Запрос в ФО",K1140="ЭЗ",K1140="РЕШ",K1140="РЕШ шаблон"),0.1,IF(OR(K1140="ЭЗ согласование",K1140="РЕШ согласование"),0.3,IF(OR(K1140="ЭЗ согласовано",K1140="РЕШ согласовано",K1140="РЕШ подписано"),0.6,IF(OR(K1140="ЭЗ ПР согласование",K1140="РЕШ УВ согласование"),0.9,IF(OR(K1140="ЭЗ ПР DONE",K1140="РЕШ УВ DONE"),1,0)))))</f>
        <v>1</v>
      </c>
      <c r="K1140" s="74" t="s">
        <v>204</v>
      </c>
      <c r="N1140" s="76" t="s">
        <v>17</v>
      </c>
      <c r="Q1140" s="76" t="s">
        <v>2417</v>
      </c>
      <c r="R1140" s="73">
        <f t="shared" ref="R1140:R1154" si="115">IF(S1140="В работе",0.3,IF(S1140="Отписано",0.6,IF(S1140="На доработку",0.9,IF(S1140="Согласовано",1,0))))</f>
        <v>1</v>
      </c>
      <c r="S1140" s="260" t="s">
        <v>1976</v>
      </c>
      <c r="T1140" s="260"/>
      <c r="U1140" s="260"/>
      <c r="V1140" s="260"/>
      <c r="W1140" s="260"/>
      <c r="X1140" s="260"/>
      <c r="Y1140" s="565"/>
      <c r="Z1140" s="565"/>
      <c r="AA1140" s="566">
        <f t="shared" si="111"/>
        <v>0</v>
      </c>
      <c r="AB1140" s="699"/>
    </row>
    <row r="1141" spans="1:28" ht="15" customHeight="1" x14ac:dyDescent="0.3">
      <c r="A1141" s="79" t="s">
        <v>4321</v>
      </c>
      <c r="C1141" s="81">
        <v>43864</v>
      </c>
      <c r="D1141" s="109">
        <v>43887</v>
      </c>
      <c r="E1141" s="560"/>
      <c r="F1141" s="86" t="s">
        <v>4322</v>
      </c>
      <c r="G1141" s="86" t="s">
        <v>152</v>
      </c>
      <c r="H1141" s="79" t="s">
        <v>268</v>
      </c>
      <c r="I1141" s="97" t="s">
        <v>649</v>
      </c>
      <c r="J1141" s="73">
        <f t="shared" si="114"/>
        <v>1</v>
      </c>
      <c r="K1141" s="74" t="s">
        <v>204</v>
      </c>
      <c r="N1141" s="76" t="s">
        <v>17</v>
      </c>
      <c r="Q1141" s="76" t="s">
        <v>2417</v>
      </c>
      <c r="R1141" s="73">
        <f t="shared" si="115"/>
        <v>1</v>
      </c>
      <c r="S1141" s="260" t="s">
        <v>1976</v>
      </c>
      <c r="T1141" s="260"/>
      <c r="U1141" s="260"/>
      <c r="V1141" s="260"/>
      <c r="W1141" s="260"/>
      <c r="X1141" s="260"/>
      <c r="Y1141" s="565"/>
      <c r="Z1141" s="565"/>
      <c r="AA1141" s="566">
        <f t="shared" si="111"/>
        <v>0</v>
      </c>
      <c r="AB1141" s="699"/>
    </row>
    <row r="1142" spans="1:28" ht="15" customHeight="1" x14ac:dyDescent="0.3">
      <c r="A1142" s="79" t="s">
        <v>4323</v>
      </c>
      <c r="C1142" s="81">
        <v>43865</v>
      </c>
      <c r="D1142" s="109">
        <v>43888</v>
      </c>
      <c r="E1142" s="560"/>
      <c r="F1142" s="86" t="s">
        <v>4324</v>
      </c>
      <c r="G1142" s="86" t="s">
        <v>158</v>
      </c>
      <c r="H1142" s="79" t="s">
        <v>213</v>
      </c>
      <c r="I1142" s="97" t="s">
        <v>649</v>
      </c>
      <c r="J1142" s="73">
        <f t="shared" si="114"/>
        <v>1</v>
      </c>
      <c r="K1142" s="74" t="s">
        <v>204</v>
      </c>
      <c r="N1142" s="76" t="s">
        <v>17</v>
      </c>
      <c r="Q1142" s="76" t="s">
        <v>2417</v>
      </c>
      <c r="R1142" s="73">
        <f t="shared" si="115"/>
        <v>1</v>
      </c>
      <c r="S1142" s="260" t="s">
        <v>1976</v>
      </c>
      <c r="T1142" s="260"/>
      <c r="U1142" s="260"/>
      <c r="V1142" s="260"/>
      <c r="W1142" s="260"/>
      <c r="X1142" s="260"/>
      <c r="Y1142" s="565"/>
      <c r="Z1142" s="565"/>
      <c r="AA1142" s="566">
        <f t="shared" si="111"/>
        <v>0</v>
      </c>
      <c r="AB1142" s="699"/>
    </row>
    <row r="1143" spans="1:28" ht="15" customHeight="1" x14ac:dyDescent="0.3">
      <c r="A1143" s="79" t="s">
        <v>4325</v>
      </c>
      <c r="C1143" s="81">
        <v>43865</v>
      </c>
      <c r="D1143" s="109">
        <v>43888</v>
      </c>
      <c r="E1143" s="560"/>
      <c r="F1143" s="86" t="s">
        <v>4326</v>
      </c>
      <c r="G1143" s="86" t="s">
        <v>177</v>
      </c>
      <c r="H1143" s="79" t="s">
        <v>213</v>
      </c>
      <c r="I1143" s="97" t="s">
        <v>1635</v>
      </c>
      <c r="J1143" s="73">
        <f t="shared" si="114"/>
        <v>1</v>
      </c>
      <c r="K1143" s="74" t="s">
        <v>204</v>
      </c>
      <c r="N1143" s="76" t="s">
        <v>18</v>
      </c>
      <c r="Q1143" s="76" t="s">
        <v>2417</v>
      </c>
      <c r="R1143" s="73">
        <f t="shared" si="115"/>
        <v>1</v>
      </c>
      <c r="S1143" s="260" t="s">
        <v>1976</v>
      </c>
      <c r="T1143" s="260"/>
      <c r="U1143" s="260"/>
      <c r="V1143" s="260"/>
      <c r="W1143" s="260"/>
      <c r="X1143" s="260"/>
      <c r="Y1143" s="565"/>
      <c r="Z1143" s="565"/>
      <c r="AA1143" s="566">
        <f t="shared" si="111"/>
        <v>0</v>
      </c>
      <c r="AB1143" s="699"/>
    </row>
    <row r="1144" spans="1:28" ht="15" customHeight="1" x14ac:dyDescent="0.3">
      <c r="A1144" s="79" t="s">
        <v>4327</v>
      </c>
      <c r="C1144" s="81">
        <v>43866</v>
      </c>
      <c r="D1144" s="109">
        <v>43889</v>
      </c>
      <c r="E1144" s="560"/>
      <c r="F1144" s="86" t="s">
        <v>4328</v>
      </c>
      <c r="G1144" s="86" t="s">
        <v>410</v>
      </c>
      <c r="H1144" s="79" t="s">
        <v>213</v>
      </c>
      <c r="I1144" s="97" t="s">
        <v>2193</v>
      </c>
      <c r="J1144" s="73">
        <f t="shared" si="114"/>
        <v>1</v>
      </c>
      <c r="K1144" s="74" t="s">
        <v>204</v>
      </c>
      <c r="N1144" s="76" t="s">
        <v>17</v>
      </c>
      <c r="Q1144" s="76" t="s">
        <v>2417</v>
      </c>
      <c r="R1144" s="73">
        <f t="shared" si="115"/>
        <v>1</v>
      </c>
      <c r="S1144" s="260" t="s">
        <v>1976</v>
      </c>
      <c r="T1144" s="260"/>
      <c r="U1144" s="260"/>
      <c r="V1144" s="260"/>
      <c r="W1144" s="260"/>
      <c r="X1144" s="260"/>
      <c r="Y1144" s="565"/>
      <c r="Z1144" s="565"/>
      <c r="AA1144" s="566">
        <f t="shared" si="111"/>
        <v>0</v>
      </c>
      <c r="AB1144" s="699"/>
    </row>
    <row r="1145" spans="1:28" ht="15" customHeight="1" x14ac:dyDescent="0.3">
      <c r="A1145" s="79" t="s">
        <v>4329</v>
      </c>
      <c r="C1145" s="81">
        <v>43866</v>
      </c>
      <c r="D1145" s="109">
        <v>43889</v>
      </c>
      <c r="E1145" s="560"/>
      <c r="F1145" s="86" t="s">
        <v>4330</v>
      </c>
      <c r="G1145" s="86" t="s">
        <v>147</v>
      </c>
      <c r="H1145" s="79" t="s">
        <v>213</v>
      </c>
      <c r="I1145" s="97" t="s">
        <v>3642</v>
      </c>
      <c r="J1145" s="73">
        <f t="shared" si="114"/>
        <v>1</v>
      </c>
      <c r="K1145" s="74" t="s">
        <v>204</v>
      </c>
      <c r="N1145" s="76" t="s">
        <v>19</v>
      </c>
      <c r="Q1145" s="76" t="s">
        <v>2417</v>
      </c>
      <c r="R1145" s="73">
        <f t="shared" si="115"/>
        <v>1</v>
      </c>
      <c r="S1145" s="260" t="s">
        <v>1976</v>
      </c>
      <c r="T1145" s="260"/>
      <c r="U1145" s="260"/>
      <c r="V1145" s="260"/>
      <c r="W1145" s="260"/>
      <c r="X1145" s="260"/>
      <c r="Y1145" s="565"/>
      <c r="Z1145" s="565"/>
      <c r="AA1145" s="566">
        <f t="shared" si="111"/>
        <v>0</v>
      </c>
      <c r="AB1145" s="699"/>
    </row>
    <row r="1146" spans="1:28" ht="15" customHeight="1" x14ac:dyDescent="0.3">
      <c r="A1146" s="79" t="s">
        <v>4331</v>
      </c>
      <c r="C1146" s="81">
        <v>43866</v>
      </c>
      <c r="D1146" s="109">
        <v>43889</v>
      </c>
      <c r="E1146" s="560"/>
      <c r="F1146" s="252" t="s">
        <v>4332</v>
      </c>
      <c r="G1146" s="86" t="s">
        <v>154</v>
      </c>
      <c r="H1146" s="79" t="s">
        <v>213</v>
      </c>
      <c r="I1146" s="97" t="s">
        <v>4402</v>
      </c>
      <c r="J1146" s="73">
        <f t="shared" si="114"/>
        <v>1</v>
      </c>
      <c r="K1146" s="74" t="s">
        <v>204</v>
      </c>
      <c r="L1146" s="97" t="s">
        <v>4403</v>
      </c>
      <c r="N1146" s="76" t="s">
        <v>17</v>
      </c>
      <c r="Q1146" s="76" t="s">
        <v>2417</v>
      </c>
      <c r="R1146" s="73">
        <f t="shared" si="115"/>
        <v>1</v>
      </c>
      <c r="S1146" s="260" t="s">
        <v>1976</v>
      </c>
      <c r="T1146" s="260"/>
      <c r="U1146" s="260"/>
      <c r="V1146" s="260"/>
      <c r="W1146" s="260"/>
      <c r="X1146" s="260"/>
      <c r="Y1146" s="565"/>
      <c r="Z1146" s="565"/>
      <c r="AA1146" s="566">
        <f t="shared" si="111"/>
        <v>0</v>
      </c>
      <c r="AB1146" s="699"/>
    </row>
    <row r="1147" spans="1:28" ht="15" customHeight="1" x14ac:dyDescent="0.3">
      <c r="A1147" s="79" t="s">
        <v>3903</v>
      </c>
      <c r="C1147" s="81">
        <v>43850</v>
      </c>
      <c r="D1147" s="109">
        <v>43887</v>
      </c>
      <c r="E1147" s="560"/>
      <c r="F1147" s="86" t="s">
        <v>3904</v>
      </c>
      <c r="G1147" s="86" t="s">
        <v>156</v>
      </c>
      <c r="H1147" s="96" t="s">
        <v>213</v>
      </c>
      <c r="I1147" s="97" t="s">
        <v>714</v>
      </c>
      <c r="J1147" s="73">
        <f t="shared" si="114"/>
        <v>1</v>
      </c>
      <c r="K1147" s="74" t="s">
        <v>204</v>
      </c>
      <c r="N1147" s="76" t="s">
        <v>17</v>
      </c>
      <c r="Q1147" s="76" t="s">
        <v>2037</v>
      </c>
      <c r="R1147" s="73">
        <f t="shared" si="115"/>
        <v>1</v>
      </c>
      <c r="S1147" s="260" t="s">
        <v>1976</v>
      </c>
      <c r="T1147" s="260"/>
      <c r="U1147" s="260"/>
      <c r="V1147" s="260"/>
      <c r="W1147" s="260"/>
      <c r="X1147" s="260"/>
      <c r="Y1147" s="565"/>
      <c r="Z1147" s="565"/>
      <c r="AA1147" s="566">
        <f t="shared" si="111"/>
        <v>0</v>
      </c>
      <c r="AB1147" s="699"/>
    </row>
    <row r="1148" spans="1:28" ht="15" customHeight="1" x14ac:dyDescent="0.3">
      <c r="A1148" s="79" t="s">
        <v>3905</v>
      </c>
      <c r="C1148" s="81">
        <v>43850</v>
      </c>
      <c r="D1148" s="109">
        <v>43887</v>
      </c>
      <c r="E1148" s="560"/>
      <c r="F1148" s="86" t="s">
        <v>3906</v>
      </c>
      <c r="G1148" s="86" t="s">
        <v>156</v>
      </c>
      <c r="H1148" s="96" t="s">
        <v>213</v>
      </c>
      <c r="I1148" s="97" t="s">
        <v>642</v>
      </c>
      <c r="J1148" s="73">
        <f t="shared" si="114"/>
        <v>1</v>
      </c>
      <c r="K1148" s="74" t="s">
        <v>204</v>
      </c>
      <c r="N1148" s="76" t="s">
        <v>18</v>
      </c>
      <c r="Q1148" s="76" t="s">
        <v>2037</v>
      </c>
      <c r="R1148" s="73">
        <f t="shared" si="115"/>
        <v>1</v>
      </c>
      <c r="S1148" s="260" t="s">
        <v>1976</v>
      </c>
      <c r="T1148" s="260"/>
      <c r="U1148" s="260"/>
      <c r="V1148" s="260"/>
      <c r="W1148" s="260"/>
      <c r="X1148" s="260"/>
      <c r="Y1148" s="565"/>
      <c r="Z1148" s="565"/>
      <c r="AA1148" s="566">
        <f t="shared" si="111"/>
        <v>0</v>
      </c>
      <c r="AB1148" s="699"/>
    </row>
    <row r="1149" spans="1:28" ht="15" customHeight="1" x14ac:dyDescent="0.3">
      <c r="A1149" s="79" t="s">
        <v>3909</v>
      </c>
      <c r="C1149" s="81">
        <v>43850</v>
      </c>
      <c r="D1149" s="109">
        <v>43887</v>
      </c>
      <c r="E1149" s="560"/>
      <c r="F1149" s="86" t="s">
        <v>3910</v>
      </c>
      <c r="G1149" s="86" t="s">
        <v>158</v>
      </c>
      <c r="H1149" s="96" t="s">
        <v>213</v>
      </c>
      <c r="I1149" s="97" t="s">
        <v>995</v>
      </c>
      <c r="J1149" s="73">
        <f t="shared" si="114"/>
        <v>1</v>
      </c>
      <c r="K1149" s="74" t="s">
        <v>204</v>
      </c>
      <c r="L1149" s="97" t="s">
        <v>1749</v>
      </c>
      <c r="N1149" s="76" t="s">
        <v>19</v>
      </c>
      <c r="Q1149" s="76" t="s">
        <v>2037</v>
      </c>
      <c r="R1149" s="73">
        <f t="shared" si="115"/>
        <v>1</v>
      </c>
      <c r="S1149" s="260" t="s">
        <v>1976</v>
      </c>
      <c r="T1149" s="260"/>
      <c r="U1149" s="260"/>
      <c r="V1149" s="260"/>
      <c r="W1149" s="260"/>
      <c r="X1149" s="260"/>
      <c r="Y1149" s="565"/>
      <c r="Z1149" s="565"/>
      <c r="AA1149" s="566">
        <f t="shared" si="111"/>
        <v>0</v>
      </c>
      <c r="AB1149" s="699"/>
    </row>
    <row r="1150" spans="1:28" ht="15" customHeight="1" x14ac:dyDescent="0.3">
      <c r="A1150" s="79" t="s">
        <v>3911</v>
      </c>
      <c r="C1150" s="81">
        <v>43852</v>
      </c>
      <c r="D1150" s="109">
        <v>43888</v>
      </c>
      <c r="E1150" s="560"/>
      <c r="F1150" s="86" t="s">
        <v>3912</v>
      </c>
      <c r="G1150" s="86" t="s">
        <v>147</v>
      </c>
      <c r="H1150" s="96" t="s">
        <v>213</v>
      </c>
      <c r="I1150" s="97" t="s">
        <v>641</v>
      </c>
      <c r="J1150" s="73">
        <f t="shared" si="114"/>
        <v>1</v>
      </c>
      <c r="K1150" s="74" t="s">
        <v>204</v>
      </c>
      <c r="N1150" s="76" t="s">
        <v>18</v>
      </c>
      <c r="Q1150" s="76" t="s">
        <v>2037</v>
      </c>
      <c r="R1150" s="73">
        <f t="shared" si="115"/>
        <v>1</v>
      </c>
      <c r="S1150" s="260" t="s">
        <v>1976</v>
      </c>
      <c r="T1150" s="260"/>
      <c r="U1150" s="260"/>
      <c r="V1150" s="260"/>
      <c r="W1150" s="260"/>
      <c r="X1150" s="260"/>
      <c r="Y1150" s="565"/>
      <c r="Z1150" s="565"/>
      <c r="AA1150" s="566">
        <f t="shared" si="111"/>
        <v>0</v>
      </c>
      <c r="AB1150" s="699"/>
    </row>
    <row r="1151" spans="1:28" ht="15" customHeight="1" x14ac:dyDescent="0.3">
      <c r="A1151" s="96" t="s">
        <v>3915</v>
      </c>
      <c r="C1151" s="81">
        <v>43852</v>
      </c>
      <c r="D1151" s="109">
        <v>43888</v>
      </c>
      <c r="E1151" s="560"/>
      <c r="F1151" s="86" t="s">
        <v>3916</v>
      </c>
      <c r="G1151" s="86" t="s">
        <v>154</v>
      </c>
      <c r="H1151" s="96" t="s">
        <v>213</v>
      </c>
      <c r="I1151" s="97" t="s">
        <v>714</v>
      </c>
      <c r="J1151" s="73">
        <f t="shared" si="114"/>
        <v>1</v>
      </c>
      <c r="K1151" s="74" t="s">
        <v>204</v>
      </c>
      <c r="N1151" s="76" t="s">
        <v>18</v>
      </c>
      <c r="Q1151" s="76" t="s">
        <v>2037</v>
      </c>
      <c r="R1151" s="73">
        <f t="shared" si="115"/>
        <v>1</v>
      </c>
      <c r="S1151" s="260" t="s">
        <v>1976</v>
      </c>
      <c r="T1151" s="260"/>
      <c r="U1151" s="260"/>
      <c r="V1151" s="260"/>
      <c r="W1151" s="260"/>
      <c r="X1151" s="260"/>
      <c r="Y1151" s="565"/>
      <c r="Z1151" s="565"/>
      <c r="AA1151" s="566">
        <f t="shared" si="111"/>
        <v>0</v>
      </c>
      <c r="AB1151" s="699"/>
    </row>
    <row r="1152" spans="1:28" ht="15" customHeight="1" x14ac:dyDescent="0.3">
      <c r="A1152" s="79" t="s">
        <v>3917</v>
      </c>
      <c r="C1152" s="81">
        <v>43852</v>
      </c>
      <c r="D1152" s="109">
        <v>43888</v>
      </c>
      <c r="E1152" s="560"/>
      <c r="F1152" s="86" t="s">
        <v>3918</v>
      </c>
      <c r="G1152" s="86" t="s">
        <v>166</v>
      </c>
      <c r="H1152" s="96" t="s">
        <v>213</v>
      </c>
      <c r="I1152" s="97" t="s">
        <v>714</v>
      </c>
      <c r="J1152" s="73">
        <f t="shared" si="114"/>
        <v>1</v>
      </c>
      <c r="K1152" s="74" t="s">
        <v>204</v>
      </c>
      <c r="L1152" s="97" t="s">
        <v>4393</v>
      </c>
      <c r="N1152" s="76" t="s">
        <v>17</v>
      </c>
      <c r="Q1152" s="76" t="s">
        <v>2037</v>
      </c>
      <c r="R1152" s="73">
        <f t="shared" si="115"/>
        <v>1</v>
      </c>
      <c r="S1152" s="260" t="s">
        <v>1976</v>
      </c>
      <c r="T1152" s="260"/>
      <c r="U1152" s="260"/>
      <c r="V1152" s="260"/>
      <c r="W1152" s="260"/>
      <c r="X1152" s="260"/>
      <c r="Y1152" s="565"/>
      <c r="Z1152" s="565"/>
      <c r="AA1152" s="566">
        <f t="shared" si="111"/>
        <v>0</v>
      </c>
      <c r="AB1152" s="699"/>
    </row>
    <row r="1153" spans="1:28" ht="15" customHeight="1" x14ac:dyDescent="0.3">
      <c r="A1153" s="96" t="s">
        <v>3921</v>
      </c>
      <c r="C1153" s="81">
        <v>43853</v>
      </c>
      <c r="D1153" s="109">
        <v>43889</v>
      </c>
      <c r="E1153" s="560"/>
      <c r="F1153" s="86" t="s">
        <v>3922</v>
      </c>
      <c r="G1153" s="86" t="s">
        <v>150</v>
      </c>
      <c r="H1153" s="96" t="s">
        <v>213</v>
      </c>
      <c r="I1153" s="97" t="s">
        <v>714</v>
      </c>
      <c r="J1153" s="73">
        <f t="shared" si="114"/>
        <v>1</v>
      </c>
      <c r="K1153" s="74" t="s">
        <v>204</v>
      </c>
      <c r="N1153" s="76" t="s">
        <v>17</v>
      </c>
      <c r="Q1153" s="76" t="s">
        <v>2037</v>
      </c>
      <c r="R1153" s="73">
        <f t="shared" si="115"/>
        <v>1</v>
      </c>
      <c r="S1153" s="260" t="s">
        <v>1976</v>
      </c>
      <c r="T1153" s="260"/>
      <c r="U1153" s="260"/>
      <c r="V1153" s="260"/>
      <c r="W1153" s="260"/>
      <c r="X1153" s="260"/>
      <c r="Y1153" s="565"/>
      <c r="Z1153" s="565"/>
      <c r="AA1153" s="566">
        <f t="shared" si="111"/>
        <v>0</v>
      </c>
      <c r="AB1153" s="699"/>
    </row>
    <row r="1154" spans="1:28" ht="15" customHeight="1" x14ac:dyDescent="0.3">
      <c r="A1154" s="96" t="s">
        <v>3923</v>
      </c>
      <c r="C1154" s="81">
        <v>43853</v>
      </c>
      <c r="D1154" s="109">
        <v>43889</v>
      </c>
      <c r="E1154" s="560"/>
      <c r="F1154" s="86" t="s">
        <v>3924</v>
      </c>
      <c r="G1154" s="86" t="s">
        <v>158</v>
      </c>
      <c r="H1154" s="79" t="s">
        <v>268</v>
      </c>
      <c r="I1154" s="97" t="s">
        <v>643</v>
      </c>
      <c r="J1154" s="73">
        <f t="shared" si="114"/>
        <v>1</v>
      </c>
      <c r="K1154" s="74" t="s">
        <v>204</v>
      </c>
      <c r="L1154" s="97" t="s">
        <v>4406</v>
      </c>
      <c r="N1154" s="76" t="s">
        <v>17</v>
      </c>
      <c r="Q1154" s="76" t="s">
        <v>2037</v>
      </c>
      <c r="R1154" s="73">
        <f t="shared" si="115"/>
        <v>1</v>
      </c>
      <c r="S1154" s="260" t="s">
        <v>1976</v>
      </c>
      <c r="T1154" s="260"/>
      <c r="U1154" s="260"/>
      <c r="V1154" s="260"/>
      <c r="W1154" s="260"/>
      <c r="X1154" s="260"/>
      <c r="Y1154" s="565"/>
      <c r="Z1154" s="565"/>
      <c r="AA1154" s="566">
        <f t="shared" si="111"/>
        <v>0</v>
      </c>
      <c r="AB1154" s="699"/>
    </row>
    <row r="1155" spans="1:28" ht="15" customHeight="1" x14ac:dyDescent="0.3">
      <c r="A1155" s="79" t="s">
        <v>4341</v>
      </c>
      <c r="C1155" s="81">
        <v>43864</v>
      </c>
      <c r="D1155" s="109">
        <v>43887</v>
      </c>
      <c r="E1155" s="560"/>
      <c r="F1155" s="86" t="s">
        <v>4342</v>
      </c>
      <c r="G1155" s="86" t="s">
        <v>152</v>
      </c>
      <c r="H1155" s="96" t="s">
        <v>213</v>
      </c>
      <c r="I1155" s="97" t="s">
        <v>649</v>
      </c>
      <c r="J1155" s="73">
        <f t="shared" ref="J1155:J1177" si="116">IF(OR(K1155="Документы готовы",K1155="Запрос в ФО",K1155="ЭЗ",K1155="РЕШ",K1155="РЕШ шаблон"),0.1,IF(OR(K1155="ЭЗ согласование",K1155="РЕШ согласование"),0.3,IF(OR(K1155="ЭЗ согласовано",K1155="РЕШ согласовано",K1155="РЕШ подписано"),0.6,IF(OR(K1155="ЭЗ ПР согласование",K1155="РЕШ УВ согласование"),0.9,IF(OR(K1155="ЭЗ ПР DONE",K1155="РЕШ УВ DONE"),1,0)))))</f>
        <v>1</v>
      </c>
      <c r="K1155" s="74" t="s">
        <v>204</v>
      </c>
      <c r="N1155" s="76" t="s">
        <v>17</v>
      </c>
      <c r="Q1155" s="76" t="s">
        <v>2037</v>
      </c>
      <c r="R1155" s="73">
        <f t="shared" ref="R1155:R1177" si="117">IF(S1155="В работе",0.3,IF(S1155="Отписано",0.6,IF(S1155="На доработку",0.9,IF(S1155="Согласовано",1,0))))</f>
        <v>1</v>
      </c>
      <c r="S1155" s="260" t="s">
        <v>1976</v>
      </c>
      <c r="T1155" s="260"/>
      <c r="U1155" s="260"/>
      <c r="V1155" s="260"/>
      <c r="W1155" s="260"/>
      <c r="X1155" s="260"/>
      <c r="Y1155" s="565"/>
      <c r="Z1155" s="565"/>
      <c r="AA1155" s="566">
        <f t="shared" ref="AA1155:AA1213" si="118">Z1155-Y1155</f>
        <v>0</v>
      </c>
      <c r="AB1155" s="699"/>
    </row>
    <row r="1156" spans="1:28" ht="15" customHeight="1" x14ac:dyDescent="0.3">
      <c r="A1156" s="79" t="s">
        <v>4343</v>
      </c>
      <c r="C1156" s="81">
        <v>43865</v>
      </c>
      <c r="D1156" s="109">
        <v>43888</v>
      </c>
      <c r="E1156" s="560"/>
      <c r="F1156" s="86" t="s">
        <v>4344</v>
      </c>
      <c r="G1156" s="86" t="s">
        <v>150</v>
      </c>
      <c r="H1156" s="96" t="s">
        <v>213</v>
      </c>
      <c r="J1156" s="73">
        <f t="shared" si="116"/>
        <v>1</v>
      </c>
      <c r="K1156" s="74" t="s">
        <v>204</v>
      </c>
      <c r="L1156" s="97" t="s">
        <v>4399</v>
      </c>
      <c r="N1156" s="76" t="s">
        <v>19</v>
      </c>
      <c r="Q1156" s="76" t="s">
        <v>2037</v>
      </c>
      <c r="R1156" s="73">
        <f t="shared" si="117"/>
        <v>1</v>
      </c>
      <c r="S1156" s="260" t="s">
        <v>1976</v>
      </c>
      <c r="T1156" s="260"/>
      <c r="U1156" s="260"/>
      <c r="V1156" s="260"/>
      <c r="W1156" s="260"/>
      <c r="X1156" s="260"/>
      <c r="Y1156" s="565"/>
      <c r="Z1156" s="565"/>
      <c r="AA1156" s="566">
        <f t="shared" si="118"/>
        <v>0</v>
      </c>
      <c r="AB1156" s="699"/>
    </row>
    <row r="1157" spans="1:28" ht="15" customHeight="1" x14ac:dyDescent="0.3">
      <c r="A1157" s="79" t="s">
        <v>4348</v>
      </c>
      <c r="C1157" s="81">
        <v>43866</v>
      </c>
      <c r="D1157" s="109">
        <v>43888</v>
      </c>
      <c r="E1157" s="560"/>
      <c r="F1157" s="86" t="s">
        <v>4349</v>
      </c>
      <c r="G1157" s="86" t="s">
        <v>147</v>
      </c>
      <c r="H1157" s="96" t="s">
        <v>213</v>
      </c>
      <c r="I1157" s="97" t="s">
        <v>649</v>
      </c>
      <c r="J1157" s="73">
        <f t="shared" si="116"/>
        <v>1</v>
      </c>
      <c r="K1157" s="74" t="s">
        <v>204</v>
      </c>
      <c r="N1157" s="76" t="s">
        <v>17</v>
      </c>
      <c r="Q1157" s="76" t="s">
        <v>2037</v>
      </c>
      <c r="R1157" s="73">
        <f t="shared" si="117"/>
        <v>1</v>
      </c>
      <c r="S1157" s="260" t="s">
        <v>1976</v>
      </c>
      <c r="T1157" s="260"/>
      <c r="U1157" s="260"/>
      <c r="V1157" s="260"/>
      <c r="W1157" s="260"/>
      <c r="X1157" s="260"/>
      <c r="Y1157" s="565"/>
      <c r="Z1157" s="565"/>
      <c r="AA1157" s="566">
        <f t="shared" si="118"/>
        <v>0</v>
      </c>
      <c r="AB1157" s="699"/>
    </row>
    <row r="1158" spans="1:28" ht="15" customHeight="1" x14ac:dyDescent="0.3">
      <c r="A1158" s="96" t="s">
        <v>4352</v>
      </c>
      <c r="C1158" s="81">
        <v>43866</v>
      </c>
      <c r="D1158" s="109">
        <v>43889</v>
      </c>
      <c r="E1158" s="560"/>
      <c r="F1158" s="86" t="s">
        <v>4353</v>
      </c>
      <c r="G1158" s="86" t="s">
        <v>158</v>
      </c>
      <c r="H1158" s="96" t="s">
        <v>213</v>
      </c>
      <c r="I1158" s="97" t="s">
        <v>3222</v>
      </c>
      <c r="J1158" s="73">
        <f t="shared" si="116"/>
        <v>1</v>
      </c>
      <c r="K1158" s="74" t="s">
        <v>204</v>
      </c>
      <c r="L1158" s="97" t="s">
        <v>4401</v>
      </c>
      <c r="N1158" s="76" t="s">
        <v>18</v>
      </c>
      <c r="Q1158" s="76" t="s">
        <v>2037</v>
      </c>
      <c r="R1158" s="73">
        <f t="shared" si="117"/>
        <v>1</v>
      </c>
      <c r="S1158" s="260" t="s">
        <v>1976</v>
      </c>
      <c r="T1158" s="260"/>
      <c r="U1158" s="260"/>
      <c r="V1158" s="260"/>
      <c r="W1158" s="260"/>
      <c r="X1158" s="260"/>
      <c r="Y1158" s="565"/>
      <c r="Z1158" s="565"/>
      <c r="AA1158" s="566">
        <f t="shared" si="118"/>
        <v>0</v>
      </c>
      <c r="AB1158" s="699"/>
    </row>
    <row r="1159" spans="1:28" ht="15" customHeight="1" x14ac:dyDescent="0.3">
      <c r="A1159" s="96" t="s">
        <v>4358</v>
      </c>
      <c r="C1159" s="81">
        <v>43866</v>
      </c>
      <c r="D1159" s="109">
        <v>43889</v>
      </c>
      <c r="E1159" s="560"/>
      <c r="F1159" s="252" t="s">
        <v>4359</v>
      </c>
      <c r="G1159" s="86" t="s">
        <v>152</v>
      </c>
      <c r="H1159" s="96" t="s">
        <v>213</v>
      </c>
      <c r="I1159" s="97" t="s">
        <v>722</v>
      </c>
      <c r="J1159" s="73">
        <f t="shared" si="116"/>
        <v>1</v>
      </c>
      <c r="K1159" s="74" t="s">
        <v>204</v>
      </c>
      <c r="N1159" s="76" t="s">
        <v>18</v>
      </c>
      <c r="Q1159" s="76" t="s">
        <v>2037</v>
      </c>
      <c r="R1159" s="73">
        <f t="shared" si="117"/>
        <v>1</v>
      </c>
      <c r="S1159" s="260" t="s">
        <v>1976</v>
      </c>
      <c r="T1159" s="260"/>
      <c r="U1159" s="260"/>
      <c r="V1159" s="260"/>
      <c r="W1159" s="260"/>
      <c r="X1159" s="260"/>
      <c r="Y1159" s="565"/>
      <c r="Z1159" s="565"/>
      <c r="AA1159" s="566">
        <f t="shared" si="118"/>
        <v>0</v>
      </c>
      <c r="AB1159" s="699"/>
    </row>
    <row r="1160" spans="1:28" ht="15" customHeight="1" x14ac:dyDescent="0.3">
      <c r="A1160" s="79" t="s">
        <v>3872</v>
      </c>
      <c r="C1160" s="81">
        <v>43850</v>
      </c>
      <c r="D1160" s="109">
        <v>43887</v>
      </c>
      <c r="E1160" s="560"/>
      <c r="F1160" s="86" t="s">
        <v>3873</v>
      </c>
      <c r="G1160" s="86" t="s">
        <v>157</v>
      </c>
      <c r="H1160" s="79" t="s">
        <v>213</v>
      </c>
      <c r="I1160" s="97" t="s">
        <v>1299</v>
      </c>
      <c r="J1160" s="73">
        <f t="shared" si="116"/>
        <v>1</v>
      </c>
      <c r="K1160" s="74" t="s">
        <v>204</v>
      </c>
      <c r="L1160" s="97" t="s">
        <v>4392</v>
      </c>
      <c r="N1160" s="76" t="s">
        <v>17</v>
      </c>
      <c r="Q1160" s="76" t="s">
        <v>2076</v>
      </c>
      <c r="R1160" s="73">
        <f t="shared" si="117"/>
        <v>1</v>
      </c>
      <c r="S1160" s="260" t="s">
        <v>1976</v>
      </c>
      <c r="T1160" s="260"/>
      <c r="U1160" s="260"/>
      <c r="V1160" s="260"/>
      <c r="W1160" s="260"/>
      <c r="X1160" s="260"/>
      <c r="Y1160" s="565"/>
      <c r="Z1160" s="565"/>
      <c r="AA1160" s="566">
        <f t="shared" si="118"/>
        <v>0</v>
      </c>
      <c r="AB1160" s="699"/>
    </row>
    <row r="1161" spans="1:28" ht="15" customHeight="1" x14ac:dyDescent="0.3">
      <c r="A1161" s="79" t="s">
        <v>3878</v>
      </c>
      <c r="C1161" s="81">
        <v>43850</v>
      </c>
      <c r="D1161" s="109">
        <v>43887</v>
      </c>
      <c r="E1161" s="560"/>
      <c r="F1161" s="86" t="s">
        <v>3879</v>
      </c>
      <c r="G1161" s="86" t="s">
        <v>158</v>
      </c>
      <c r="H1161" s="79" t="s">
        <v>268</v>
      </c>
      <c r="I1161" s="97" t="s">
        <v>4391</v>
      </c>
      <c r="J1161" s="73">
        <f t="shared" si="116"/>
        <v>1</v>
      </c>
      <c r="K1161" s="74" t="s">
        <v>204</v>
      </c>
      <c r="N1161" s="76" t="s">
        <v>17</v>
      </c>
      <c r="Q1161" s="76" t="s">
        <v>2076</v>
      </c>
      <c r="R1161" s="73">
        <f t="shared" si="117"/>
        <v>1</v>
      </c>
      <c r="S1161" s="260" t="s">
        <v>1976</v>
      </c>
      <c r="T1161" s="260"/>
      <c r="U1161" s="260"/>
      <c r="V1161" s="260"/>
      <c r="W1161" s="260"/>
      <c r="X1161" s="260"/>
      <c r="Y1161" s="565"/>
      <c r="Z1161" s="565"/>
      <c r="AA1161" s="566">
        <f t="shared" si="118"/>
        <v>0</v>
      </c>
      <c r="AB1161" s="699"/>
    </row>
    <row r="1162" spans="1:28" ht="15" customHeight="1" x14ac:dyDescent="0.3">
      <c r="A1162" s="79" t="s">
        <v>3880</v>
      </c>
      <c r="C1162" s="81">
        <v>43851</v>
      </c>
      <c r="D1162" s="109">
        <v>43887</v>
      </c>
      <c r="E1162" s="560"/>
      <c r="F1162" s="86" t="s">
        <v>3881</v>
      </c>
      <c r="G1162" s="86" t="s">
        <v>157</v>
      </c>
      <c r="H1162" s="79" t="s">
        <v>213</v>
      </c>
      <c r="I1162" s="97" t="s">
        <v>714</v>
      </c>
      <c r="J1162" s="73">
        <f t="shared" si="116"/>
        <v>1</v>
      </c>
      <c r="K1162" s="74" t="s">
        <v>204</v>
      </c>
      <c r="N1162" s="76" t="s">
        <v>18</v>
      </c>
      <c r="Q1162" s="76" t="s">
        <v>2076</v>
      </c>
      <c r="R1162" s="73">
        <f t="shared" si="117"/>
        <v>1</v>
      </c>
      <c r="S1162" s="260" t="s">
        <v>1976</v>
      </c>
      <c r="T1162" s="260"/>
      <c r="U1162" s="260"/>
      <c r="V1162" s="260"/>
      <c r="W1162" s="260"/>
      <c r="X1162" s="260"/>
      <c r="Y1162" s="565"/>
      <c r="Z1162" s="565"/>
      <c r="AA1162" s="566">
        <f t="shared" si="118"/>
        <v>0</v>
      </c>
      <c r="AB1162" s="699"/>
    </row>
    <row r="1163" spans="1:28" ht="15" customHeight="1" x14ac:dyDescent="0.3">
      <c r="A1163" s="79" t="s">
        <v>3882</v>
      </c>
      <c r="C1163" s="81">
        <v>43852</v>
      </c>
      <c r="D1163" s="109">
        <v>43888</v>
      </c>
      <c r="E1163" s="560"/>
      <c r="F1163" s="86" t="s">
        <v>3883</v>
      </c>
      <c r="G1163" s="86" t="s">
        <v>172</v>
      </c>
      <c r="H1163" s="79" t="s">
        <v>213</v>
      </c>
      <c r="I1163" s="97" t="s">
        <v>1299</v>
      </c>
      <c r="J1163" s="73">
        <f t="shared" si="116"/>
        <v>1</v>
      </c>
      <c r="K1163" s="74" t="s">
        <v>204</v>
      </c>
      <c r="N1163" s="76" t="s">
        <v>17</v>
      </c>
      <c r="Q1163" s="76" t="s">
        <v>2076</v>
      </c>
      <c r="R1163" s="73">
        <f t="shared" si="117"/>
        <v>1</v>
      </c>
      <c r="S1163" s="260" t="s">
        <v>1976</v>
      </c>
      <c r="T1163" s="260"/>
      <c r="U1163" s="260"/>
      <c r="V1163" s="260"/>
      <c r="W1163" s="260"/>
      <c r="X1163" s="260"/>
      <c r="Y1163" s="565"/>
      <c r="Z1163" s="565"/>
      <c r="AA1163" s="566">
        <f t="shared" si="118"/>
        <v>0</v>
      </c>
      <c r="AB1163" s="699"/>
    </row>
    <row r="1164" spans="1:28" ht="15" customHeight="1" x14ac:dyDescent="0.3">
      <c r="A1164" s="79" t="s">
        <v>3884</v>
      </c>
      <c r="C1164" s="81">
        <v>43852</v>
      </c>
      <c r="D1164" s="109">
        <v>43888</v>
      </c>
      <c r="E1164" s="560"/>
      <c r="F1164" s="86" t="s">
        <v>3885</v>
      </c>
      <c r="G1164" s="86" t="s">
        <v>152</v>
      </c>
      <c r="H1164" s="79" t="s">
        <v>213</v>
      </c>
      <c r="I1164" s="97" t="s">
        <v>642</v>
      </c>
      <c r="J1164" s="73">
        <f t="shared" si="116"/>
        <v>1</v>
      </c>
      <c r="K1164" s="74" t="s">
        <v>204</v>
      </c>
      <c r="N1164" s="76" t="s">
        <v>18</v>
      </c>
      <c r="Q1164" s="76" t="s">
        <v>2076</v>
      </c>
      <c r="R1164" s="73">
        <f t="shared" si="117"/>
        <v>1</v>
      </c>
      <c r="S1164" s="260" t="s">
        <v>1976</v>
      </c>
      <c r="T1164" s="260"/>
      <c r="U1164" s="260"/>
      <c r="V1164" s="260"/>
      <c r="W1164" s="260"/>
      <c r="X1164" s="260"/>
      <c r="Y1164" s="565"/>
      <c r="Z1164" s="565"/>
      <c r="AA1164" s="566">
        <f t="shared" si="118"/>
        <v>0</v>
      </c>
      <c r="AB1164" s="699"/>
    </row>
    <row r="1165" spans="1:28" ht="15" customHeight="1" x14ac:dyDescent="0.3">
      <c r="A1165" s="79" t="s">
        <v>3888</v>
      </c>
      <c r="C1165" s="81">
        <v>43852</v>
      </c>
      <c r="D1165" s="109">
        <v>43888</v>
      </c>
      <c r="E1165" s="560"/>
      <c r="F1165" s="86" t="s">
        <v>3889</v>
      </c>
      <c r="G1165" s="86" t="s">
        <v>175</v>
      </c>
      <c r="H1165" s="79" t="s">
        <v>213</v>
      </c>
      <c r="I1165" s="97" t="s">
        <v>714</v>
      </c>
      <c r="J1165" s="73">
        <f t="shared" si="116"/>
        <v>1</v>
      </c>
      <c r="K1165" s="74" t="s">
        <v>204</v>
      </c>
      <c r="N1165" s="76" t="s">
        <v>17</v>
      </c>
      <c r="Q1165" s="76" t="s">
        <v>2076</v>
      </c>
      <c r="R1165" s="73">
        <f t="shared" si="117"/>
        <v>1</v>
      </c>
      <c r="S1165" s="260" t="s">
        <v>1976</v>
      </c>
      <c r="T1165" s="260"/>
      <c r="U1165" s="260"/>
      <c r="V1165" s="260"/>
      <c r="W1165" s="260"/>
      <c r="X1165" s="260"/>
      <c r="Y1165" s="565"/>
      <c r="Z1165" s="565"/>
      <c r="AA1165" s="566">
        <f t="shared" si="118"/>
        <v>0</v>
      </c>
      <c r="AB1165" s="699"/>
    </row>
    <row r="1166" spans="1:28" ht="15" customHeight="1" x14ac:dyDescent="0.3">
      <c r="A1166" s="79" t="s">
        <v>4362</v>
      </c>
      <c r="C1166" s="81">
        <v>43853</v>
      </c>
      <c r="D1166" s="109">
        <v>43889</v>
      </c>
      <c r="E1166" s="560"/>
      <c r="F1166" s="86" t="s">
        <v>4363</v>
      </c>
      <c r="G1166" s="86" t="s">
        <v>189</v>
      </c>
      <c r="H1166" s="96" t="s">
        <v>213</v>
      </c>
      <c r="I1166" s="97" t="s">
        <v>714</v>
      </c>
      <c r="J1166" s="73">
        <f t="shared" si="116"/>
        <v>1</v>
      </c>
      <c r="K1166" s="74" t="s">
        <v>204</v>
      </c>
      <c r="L1166" s="97" t="s">
        <v>4408</v>
      </c>
      <c r="N1166" s="76" t="s">
        <v>17</v>
      </c>
      <c r="Q1166" s="76" t="s">
        <v>2076</v>
      </c>
      <c r="R1166" s="73">
        <f t="shared" si="117"/>
        <v>1</v>
      </c>
      <c r="S1166" s="260" t="s">
        <v>1976</v>
      </c>
      <c r="T1166" s="260"/>
      <c r="U1166" s="260"/>
      <c r="V1166" s="260"/>
      <c r="W1166" s="260"/>
      <c r="X1166" s="260"/>
      <c r="Y1166" s="565"/>
      <c r="Z1166" s="565"/>
      <c r="AA1166" s="566">
        <f t="shared" si="118"/>
        <v>0</v>
      </c>
      <c r="AB1166" s="699"/>
    </row>
    <row r="1167" spans="1:28" ht="15" customHeight="1" x14ac:dyDescent="0.3">
      <c r="A1167" s="79" t="s">
        <v>4364</v>
      </c>
      <c r="C1167" s="81">
        <v>43853</v>
      </c>
      <c r="D1167" s="109">
        <v>43889</v>
      </c>
      <c r="E1167" s="560"/>
      <c r="F1167" s="86" t="s">
        <v>4365</v>
      </c>
      <c r="G1167" s="86" t="s">
        <v>156</v>
      </c>
      <c r="H1167" s="96" t="s">
        <v>213</v>
      </c>
      <c r="I1167" s="97" t="s">
        <v>714</v>
      </c>
      <c r="J1167" s="73">
        <f t="shared" si="116"/>
        <v>1</v>
      </c>
      <c r="K1167" s="74" t="s">
        <v>204</v>
      </c>
      <c r="L1167" s="97" t="s">
        <v>4407</v>
      </c>
      <c r="N1167" s="76" t="s">
        <v>18</v>
      </c>
      <c r="Q1167" s="76" t="s">
        <v>2076</v>
      </c>
      <c r="R1167" s="73">
        <f t="shared" si="117"/>
        <v>1</v>
      </c>
      <c r="S1167" s="260" t="s">
        <v>1976</v>
      </c>
      <c r="T1167" s="260"/>
      <c r="U1167" s="260"/>
      <c r="V1167" s="260"/>
      <c r="W1167" s="260"/>
      <c r="X1167" s="260"/>
      <c r="Y1167" s="565"/>
      <c r="Z1167" s="565"/>
      <c r="AA1167" s="566">
        <f t="shared" si="118"/>
        <v>0</v>
      </c>
      <c r="AB1167" s="699"/>
    </row>
    <row r="1168" spans="1:28" ht="15" customHeight="1" x14ac:dyDescent="0.3">
      <c r="A1168" s="79" t="s">
        <v>4366</v>
      </c>
      <c r="C1168" s="81">
        <v>43861</v>
      </c>
      <c r="D1168" s="109">
        <v>43886</v>
      </c>
      <c r="E1168" s="560"/>
      <c r="F1168" s="86" t="s">
        <v>4367</v>
      </c>
      <c r="G1168" s="86" t="s">
        <v>152</v>
      </c>
      <c r="H1168" s="79" t="s">
        <v>213</v>
      </c>
      <c r="I1168" s="97" t="s">
        <v>649</v>
      </c>
      <c r="J1168" s="73">
        <f t="shared" si="116"/>
        <v>1</v>
      </c>
      <c r="K1168" s="74" t="s">
        <v>204</v>
      </c>
      <c r="N1168" s="76" t="s">
        <v>17</v>
      </c>
      <c r="Q1168" s="76" t="s">
        <v>2076</v>
      </c>
      <c r="R1168" s="73">
        <f t="shared" si="117"/>
        <v>1</v>
      </c>
      <c r="S1168" s="260" t="s">
        <v>1976</v>
      </c>
      <c r="T1168" s="260"/>
      <c r="U1168" s="260"/>
      <c r="V1168" s="260"/>
      <c r="W1168" s="260"/>
      <c r="X1168" s="260"/>
      <c r="Y1168" s="565"/>
      <c r="Z1168" s="565"/>
      <c r="AA1168" s="566">
        <f t="shared" si="118"/>
        <v>0</v>
      </c>
      <c r="AB1168" s="699"/>
    </row>
    <row r="1169" spans="1:28" ht="15" customHeight="1" x14ac:dyDescent="0.3">
      <c r="A1169" s="79" t="s">
        <v>4370</v>
      </c>
      <c r="C1169" s="81">
        <v>43864</v>
      </c>
      <c r="D1169" s="81">
        <v>43887</v>
      </c>
      <c r="E1169" s="560"/>
      <c r="F1169" s="86" t="s">
        <v>4371</v>
      </c>
      <c r="G1169" s="86" t="s">
        <v>156</v>
      </c>
      <c r="H1169" s="79" t="s">
        <v>213</v>
      </c>
      <c r="J1169" s="73">
        <f t="shared" si="116"/>
        <v>1</v>
      </c>
      <c r="K1169" s="74" t="s">
        <v>204</v>
      </c>
      <c r="Q1169" s="76" t="s">
        <v>2076</v>
      </c>
      <c r="R1169" s="73">
        <f t="shared" si="117"/>
        <v>1</v>
      </c>
      <c r="S1169" s="260" t="s">
        <v>1976</v>
      </c>
      <c r="T1169" s="260"/>
      <c r="U1169" s="260"/>
      <c r="V1169" s="260"/>
      <c r="W1169" s="260"/>
      <c r="X1169" s="260"/>
      <c r="Y1169" s="565"/>
      <c r="Z1169" s="565"/>
      <c r="AA1169" s="566">
        <f t="shared" si="118"/>
        <v>0</v>
      </c>
      <c r="AB1169" s="699"/>
    </row>
    <row r="1170" spans="1:28" ht="15" customHeight="1" x14ac:dyDescent="0.3">
      <c r="A1170" s="79" t="s">
        <v>4374</v>
      </c>
      <c r="C1170" s="81">
        <v>43864</v>
      </c>
      <c r="D1170" s="109">
        <v>43887</v>
      </c>
      <c r="E1170" s="560"/>
      <c r="F1170" s="86" t="s">
        <v>4375</v>
      </c>
      <c r="G1170" s="86" t="s">
        <v>152</v>
      </c>
      <c r="H1170" s="79" t="s">
        <v>213</v>
      </c>
      <c r="I1170" s="97" t="s">
        <v>2478</v>
      </c>
      <c r="J1170" s="73">
        <f t="shared" si="116"/>
        <v>1</v>
      </c>
      <c r="K1170" s="74" t="s">
        <v>204</v>
      </c>
      <c r="N1170" s="76" t="s">
        <v>17</v>
      </c>
      <c r="Q1170" s="76" t="s">
        <v>2076</v>
      </c>
      <c r="R1170" s="73">
        <f t="shared" si="117"/>
        <v>1</v>
      </c>
      <c r="S1170" s="260" t="s">
        <v>1976</v>
      </c>
      <c r="T1170" s="260"/>
      <c r="U1170" s="260"/>
      <c r="V1170" s="260"/>
      <c r="W1170" s="260"/>
      <c r="X1170" s="260"/>
      <c r="Y1170" s="565"/>
      <c r="Z1170" s="565"/>
      <c r="AA1170" s="566">
        <f t="shared" si="118"/>
        <v>0</v>
      </c>
      <c r="AB1170" s="699"/>
    </row>
    <row r="1171" spans="1:28" ht="15" customHeight="1" x14ac:dyDescent="0.3">
      <c r="A1171" s="79" t="s">
        <v>4378</v>
      </c>
      <c r="C1171" s="81">
        <v>43865</v>
      </c>
      <c r="D1171" s="109">
        <v>43888</v>
      </c>
      <c r="E1171" s="560"/>
      <c r="F1171" s="86" t="s">
        <v>4379</v>
      </c>
      <c r="G1171" s="86" t="s">
        <v>156</v>
      </c>
      <c r="H1171" s="79" t="s">
        <v>213</v>
      </c>
      <c r="I1171" s="97" t="s">
        <v>4397</v>
      </c>
      <c r="J1171" s="73">
        <f t="shared" si="116"/>
        <v>1</v>
      </c>
      <c r="K1171" s="74" t="s">
        <v>204</v>
      </c>
      <c r="L1171" s="97" t="s">
        <v>4396</v>
      </c>
      <c r="N1171" s="76" t="s">
        <v>17</v>
      </c>
      <c r="Q1171" s="76" t="s">
        <v>2076</v>
      </c>
      <c r="R1171" s="73">
        <f t="shared" si="117"/>
        <v>1</v>
      </c>
      <c r="S1171" s="260" t="s">
        <v>1976</v>
      </c>
      <c r="T1171" s="260"/>
      <c r="U1171" s="260"/>
      <c r="V1171" s="260"/>
      <c r="W1171" s="260"/>
      <c r="X1171" s="260"/>
      <c r="Y1171" s="565"/>
      <c r="Z1171" s="565"/>
      <c r="AA1171" s="566">
        <f t="shared" si="118"/>
        <v>0</v>
      </c>
      <c r="AB1171" s="699"/>
    </row>
    <row r="1172" spans="1:28" ht="15" customHeight="1" x14ac:dyDescent="0.3">
      <c r="A1172" s="79" t="s">
        <v>4382</v>
      </c>
      <c r="C1172" s="81">
        <v>43865</v>
      </c>
      <c r="D1172" s="109">
        <v>43888</v>
      </c>
      <c r="E1172" s="560"/>
      <c r="F1172" s="86" t="s">
        <v>4383</v>
      </c>
      <c r="G1172" s="86" t="s">
        <v>150</v>
      </c>
      <c r="H1172" s="79" t="s">
        <v>213</v>
      </c>
      <c r="I1172" s="97" t="s">
        <v>2478</v>
      </c>
      <c r="J1172" s="73">
        <f t="shared" si="116"/>
        <v>1</v>
      </c>
      <c r="K1172" s="74" t="s">
        <v>204</v>
      </c>
      <c r="N1172" s="76" t="s">
        <v>17</v>
      </c>
      <c r="Q1172" s="76" t="s">
        <v>2076</v>
      </c>
      <c r="R1172" s="73">
        <f t="shared" si="117"/>
        <v>1</v>
      </c>
      <c r="S1172" s="260" t="s">
        <v>1976</v>
      </c>
      <c r="T1172" s="260"/>
      <c r="U1172" s="260"/>
      <c r="V1172" s="260"/>
      <c r="W1172" s="260"/>
      <c r="X1172" s="260"/>
      <c r="Y1172" s="565"/>
      <c r="Z1172" s="565"/>
      <c r="AA1172" s="566">
        <f t="shared" si="118"/>
        <v>0</v>
      </c>
      <c r="AB1172" s="699"/>
    </row>
    <row r="1173" spans="1:28" ht="15" customHeight="1" x14ac:dyDescent="0.3">
      <c r="A1173" s="96" t="s">
        <v>3634</v>
      </c>
      <c r="C1173" s="115">
        <v>43839</v>
      </c>
      <c r="D1173" s="312">
        <v>43892</v>
      </c>
      <c r="E1173" s="560"/>
      <c r="F1173" s="252" t="s">
        <v>3635</v>
      </c>
      <c r="G1173" s="86" t="s">
        <v>181</v>
      </c>
      <c r="H1173" s="96" t="s">
        <v>213</v>
      </c>
      <c r="I1173" s="97" t="s">
        <v>642</v>
      </c>
      <c r="J1173" s="73">
        <f t="shared" si="116"/>
        <v>1</v>
      </c>
      <c r="K1173" s="74" t="s">
        <v>204</v>
      </c>
      <c r="M1173" s="79">
        <v>1</v>
      </c>
      <c r="N1173" s="76" t="s">
        <v>17</v>
      </c>
      <c r="Q1173" s="76" t="s">
        <v>2417</v>
      </c>
      <c r="R1173" s="73">
        <f t="shared" si="117"/>
        <v>1</v>
      </c>
      <c r="S1173" s="260" t="s">
        <v>1976</v>
      </c>
      <c r="T1173" s="260"/>
      <c r="U1173" s="260"/>
      <c r="V1173" s="260"/>
      <c r="W1173" s="260"/>
      <c r="X1173" s="260"/>
      <c r="Y1173" s="565"/>
      <c r="Z1173" s="565"/>
      <c r="AA1173" s="566">
        <f t="shared" si="118"/>
        <v>0</v>
      </c>
      <c r="AB1173" s="699"/>
    </row>
    <row r="1174" spans="1:28" ht="15" customHeight="1" x14ac:dyDescent="0.3">
      <c r="A1174" s="96" t="s">
        <v>4409</v>
      </c>
      <c r="C1174" s="115">
        <v>43843</v>
      </c>
      <c r="D1174" s="312">
        <v>43893</v>
      </c>
      <c r="E1174" s="560"/>
      <c r="F1174" s="86" t="s">
        <v>4494</v>
      </c>
      <c r="G1174" s="86" t="s">
        <v>158</v>
      </c>
      <c r="H1174" s="96" t="s">
        <v>213</v>
      </c>
      <c r="I1174" s="97" t="s">
        <v>645</v>
      </c>
      <c r="J1174" s="73">
        <f t="shared" si="116"/>
        <v>1</v>
      </c>
      <c r="K1174" s="74" t="s">
        <v>204</v>
      </c>
      <c r="N1174" s="76" t="s">
        <v>18</v>
      </c>
      <c r="Q1174" s="76" t="s">
        <v>2037</v>
      </c>
      <c r="R1174" s="73">
        <f t="shared" si="117"/>
        <v>1</v>
      </c>
      <c r="S1174" s="260" t="s">
        <v>1976</v>
      </c>
      <c r="T1174" s="260"/>
      <c r="U1174" s="260"/>
      <c r="V1174" s="260"/>
      <c r="W1174" s="260"/>
      <c r="X1174" s="260"/>
      <c r="Y1174" s="565"/>
      <c r="Z1174" s="565"/>
      <c r="AA1174" s="566">
        <f t="shared" si="118"/>
        <v>0</v>
      </c>
      <c r="AB1174" s="699"/>
    </row>
    <row r="1175" spans="1:28" ht="15" customHeight="1" x14ac:dyDescent="0.3">
      <c r="A1175" s="79" t="s">
        <v>4411</v>
      </c>
      <c r="C1175" s="115">
        <v>43847</v>
      </c>
      <c r="D1175" s="312">
        <v>43893</v>
      </c>
      <c r="E1175" s="560"/>
      <c r="F1175" s="86" t="s">
        <v>4496</v>
      </c>
      <c r="G1175" s="86" t="s">
        <v>152</v>
      </c>
      <c r="H1175" s="96" t="s">
        <v>213</v>
      </c>
      <c r="I1175" s="97" t="s">
        <v>4582</v>
      </c>
      <c r="J1175" s="73">
        <f t="shared" si="116"/>
        <v>1</v>
      </c>
      <c r="K1175" s="74" t="s">
        <v>204</v>
      </c>
      <c r="N1175" s="76" t="s">
        <v>17</v>
      </c>
      <c r="Q1175" s="301" t="s">
        <v>2076</v>
      </c>
      <c r="R1175" s="73">
        <f t="shared" si="117"/>
        <v>1</v>
      </c>
      <c r="S1175" s="260" t="s">
        <v>1976</v>
      </c>
      <c r="T1175" s="260"/>
      <c r="U1175" s="260"/>
      <c r="V1175" s="260"/>
      <c r="W1175" s="260"/>
      <c r="X1175" s="260"/>
      <c r="Y1175" s="565"/>
      <c r="Z1175" s="565"/>
      <c r="AA1175" s="566">
        <f t="shared" si="118"/>
        <v>0</v>
      </c>
      <c r="AB1175" s="699"/>
    </row>
    <row r="1176" spans="1:28" ht="15" customHeight="1" x14ac:dyDescent="0.3">
      <c r="A1176" s="96" t="s">
        <v>3925</v>
      </c>
      <c r="C1176" s="115">
        <v>43853</v>
      </c>
      <c r="D1176" s="312">
        <v>43892</v>
      </c>
      <c r="E1176" s="560"/>
      <c r="F1176" s="86" t="s">
        <v>3926</v>
      </c>
      <c r="G1176" s="86" t="s">
        <v>158</v>
      </c>
      <c r="H1176" s="96" t="s">
        <v>213</v>
      </c>
      <c r="I1176" s="97" t="s">
        <v>714</v>
      </c>
      <c r="J1176" s="73">
        <f t="shared" si="116"/>
        <v>1</v>
      </c>
      <c r="K1176" s="74" t="s">
        <v>204</v>
      </c>
      <c r="N1176" s="76" t="s">
        <v>17</v>
      </c>
      <c r="Q1176" s="76" t="s">
        <v>2037</v>
      </c>
      <c r="R1176" s="73">
        <f t="shared" si="117"/>
        <v>1</v>
      </c>
      <c r="S1176" s="260" t="s">
        <v>1976</v>
      </c>
      <c r="T1176" s="260"/>
      <c r="U1176" s="260"/>
      <c r="V1176" s="260"/>
      <c r="W1176" s="260"/>
      <c r="X1176" s="260"/>
      <c r="Y1176" s="565"/>
      <c r="Z1176" s="565"/>
      <c r="AA1176" s="566">
        <f t="shared" si="118"/>
        <v>0</v>
      </c>
      <c r="AB1176" s="699"/>
    </row>
    <row r="1177" spans="1:28" ht="15" customHeight="1" x14ac:dyDescent="0.3">
      <c r="A1177" s="79" t="s">
        <v>3927</v>
      </c>
      <c r="C1177" s="115">
        <v>43853</v>
      </c>
      <c r="D1177" s="312">
        <v>43892</v>
      </c>
      <c r="E1177" s="560"/>
      <c r="F1177" s="86" t="s">
        <v>3928</v>
      </c>
      <c r="G1177" s="86" t="s">
        <v>158</v>
      </c>
      <c r="H1177" s="96" t="s">
        <v>213</v>
      </c>
      <c r="I1177" s="97" t="s">
        <v>714</v>
      </c>
      <c r="J1177" s="73">
        <f t="shared" si="116"/>
        <v>1</v>
      </c>
      <c r="K1177" s="74" t="s">
        <v>204</v>
      </c>
      <c r="N1177" s="76" t="s">
        <v>17</v>
      </c>
      <c r="Q1177" s="76" t="s">
        <v>2037</v>
      </c>
      <c r="R1177" s="73">
        <f t="shared" si="117"/>
        <v>1</v>
      </c>
      <c r="S1177" s="260" t="s">
        <v>1976</v>
      </c>
      <c r="T1177" s="260"/>
      <c r="U1177" s="260"/>
      <c r="V1177" s="260"/>
      <c r="W1177" s="260"/>
      <c r="X1177" s="260"/>
      <c r="Y1177" s="565"/>
      <c r="Z1177" s="565"/>
      <c r="AA1177" s="566">
        <f t="shared" si="118"/>
        <v>0</v>
      </c>
      <c r="AB1177" s="699"/>
    </row>
    <row r="1178" spans="1:28" ht="15" customHeight="1" x14ac:dyDescent="0.3">
      <c r="A1178" s="96" t="s">
        <v>4412</v>
      </c>
      <c r="C1178" s="115">
        <v>43854</v>
      </c>
      <c r="D1178" s="312">
        <v>43893</v>
      </c>
      <c r="E1178" s="560"/>
      <c r="F1178" s="86" t="s">
        <v>4497</v>
      </c>
      <c r="G1178" s="86" t="s">
        <v>157</v>
      </c>
      <c r="H1178" s="96" t="s">
        <v>213</v>
      </c>
      <c r="I1178" s="97" t="s">
        <v>4584</v>
      </c>
      <c r="J1178" s="73">
        <f t="shared" ref="J1178:J1232" si="119">IF(OR(K1178="Документы готовы",K1178="Запрос в ФО",K1178="ЭЗ",K1178="РЕШ",K1178="РЕШ шаблон"),0.1,IF(OR(K1178="ЭЗ согласование",K1178="РЕШ согласование"),0.3,IF(OR(K1178="ЭЗ согласовано",K1178="РЕШ согласовано",K1178="РЕШ подписано"),0.6,IF(OR(K1178="ЭЗ ПР согласование",K1178="РЕШ УВ согласование"),0.9,IF(OR(K1178="ЭЗ ПР DONE",K1178="РЕШ УВ DONE"),1,0)))))</f>
        <v>1</v>
      </c>
      <c r="K1178" s="74" t="s">
        <v>204</v>
      </c>
      <c r="L1178" s="97" t="s">
        <v>4585</v>
      </c>
      <c r="N1178" s="76" t="s">
        <v>18</v>
      </c>
      <c r="Q1178" s="76" t="s">
        <v>2037</v>
      </c>
      <c r="R1178" s="73">
        <f t="shared" ref="R1178:R1232" si="120">IF(S1178="В работе",0.3,IF(S1178="Отписано",0.6,IF(S1178="На доработку",0.9,IF(S1178="Согласовано",1,0))))</f>
        <v>1</v>
      </c>
      <c r="S1178" s="260" t="s">
        <v>1976</v>
      </c>
      <c r="T1178" s="260"/>
      <c r="U1178" s="260"/>
      <c r="V1178" s="260"/>
      <c r="W1178" s="260"/>
      <c r="X1178" s="260"/>
      <c r="Y1178" s="565"/>
      <c r="Z1178" s="565"/>
      <c r="AA1178" s="566">
        <f t="shared" si="118"/>
        <v>0</v>
      </c>
      <c r="AB1178" s="699"/>
    </row>
    <row r="1179" spans="1:28" ht="15" customHeight="1" x14ac:dyDescent="0.3">
      <c r="A1179" s="79" t="s">
        <v>3892</v>
      </c>
      <c r="C1179" s="115">
        <v>43854</v>
      </c>
      <c r="D1179" s="312">
        <v>43892</v>
      </c>
      <c r="E1179" s="560"/>
      <c r="F1179" s="86" t="s">
        <v>3893</v>
      </c>
      <c r="G1179" s="86" t="s">
        <v>152</v>
      </c>
      <c r="H1179" s="96" t="s">
        <v>213</v>
      </c>
      <c r="I1179" s="97" t="s">
        <v>714</v>
      </c>
      <c r="J1179" s="73">
        <f t="shared" si="119"/>
        <v>1</v>
      </c>
      <c r="K1179" s="74" t="s">
        <v>204</v>
      </c>
      <c r="N1179" s="76" t="s">
        <v>17</v>
      </c>
      <c r="Q1179" s="76" t="s">
        <v>2076</v>
      </c>
      <c r="R1179" s="73">
        <f t="shared" si="120"/>
        <v>1</v>
      </c>
      <c r="S1179" s="260" t="s">
        <v>1976</v>
      </c>
      <c r="T1179" s="260"/>
      <c r="U1179" s="260"/>
      <c r="V1179" s="260"/>
      <c r="W1179" s="260"/>
      <c r="X1179" s="260"/>
      <c r="Y1179" s="565"/>
      <c r="Z1179" s="565"/>
      <c r="AA1179" s="566">
        <f t="shared" si="118"/>
        <v>0</v>
      </c>
      <c r="AB1179" s="699"/>
    </row>
    <row r="1180" spans="1:28" ht="15" customHeight="1" x14ac:dyDescent="0.3">
      <c r="A1180" s="79" t="s">
        <v>3894</v>
      </c>
      <c r="C1180" s="115">
        <v>43854</v>
      </c>
      <c r="D1180" s="312">
        <v>43892</v>
      </c>
      <c r="E1180" s="560"/>
      <c r="F1180" s="86" t="s">
        <v>3895</v>
      </c>
      <c r="G1180" s="86" t="s">
        <v>147</v>
      </c>
      <c r="H1180" s="96" t="s">
        <v>213</v>
      </c>
      <c r="I1180" s="97" t="s">
        <v>714</v>
      </c>
      <c r="J1180" s="73">
        <f t="shared" si="119"/>
        <v>1</v>
      </c>
      <c r="K1180" s="74" t="s">
        <v>204</v>
      </c>
      <c r="N1180" s="76" t="s">
        <v>17</v>
      </c>
      <c r="Q1180" s="76" t="s">
        <v>2076</v>
      </c>
      <c r="R1180" s="73">
        <f t="shared" si="120"/>
        <v>1</v>
      </c>
      <c r="S1180" s="260" t="s">
        <v>1976</v>
      </c>
      <c r="T1180" s="260"/>
      <c r="U1180" s="260"/>
      <c r="V1180" s="260"/>
      <c r="W1180" s="260"/>
      <c r="X1180" s="260"/>
      <c r="Y1180" s="565"/>
      <c r="Z1180" s="565"/>
      <c r="AA1180" s="566">
        <f t="shared" si="118"/>
        <v>0</v>
      </c>
      <c r="AB1180" s="699"/>
    </row>
    <row r="1181" spans="1:28" ht="15" customHeight="1" x14ac:dyDescent="0.3">
      <c r="A1181" s="96" t="s">
        <v>3993</v>
      </c>
      <c r="C1181" s="115">
        <v>43854</v>
      </c>
      <c r="D1181" s="312">
        <v>43892</v>
      </c>
      <c r="E1181" s="560"/>
      <c r="F1181" s="86" t="s">
        <v>3994</v>
      </c>
      <c r="G1181" s="86" t="s">
        <v>156</v>
      </c>
      <c r="H1181" s="96" t="s">
        <v>213</v>
      </c>
      <c r="I1181" s="97" t="s">
        <v>714</v>
      </c>
      <c r="J1181" s="73">
        <f t="shared" si="119"/>
        <v>1</v>
      </c>
      <c r="K1181" s="74" t="s">
        <v>204</v>
      </c>
      <c r="N1181" s="76" t="s">
        <v>18</v>
      </c>
      <c r="Q1181" s="76" t="s">
        <v>2142</v>
      </c>
      <c r="R1181" s="73">
        <f t="shared" si="120"/>
        <v>1</v>
      </c>
      <c r="S1181" s="260" t="s">
        <v>1976</v>
      </c>
      <c r="T1181" s="260"/>
      <c r="U1181" s="260"/>
      <c r="V1181" s="260"/>
      <c r="W1181" s="260"/>
      <c r="X1181" s="260"/>
      <c r="Y1181" s="565"/>
      <c r="Z1181" s="565"/>
      <c r="AA1181" s="566">
        <f t="shared" si="118"/>
        <v>0</v>
      </c>
      <c r="AB1181" s="699"/>
    </row>
    <row r="1182" spans="1:28" ht="15" customHeight="1" x14ac:dyDescent="0.3">
      <c r="A1182" s="96" t="s">
        <v>4153</v>
      </c>
      <c r="C1182" s="115">
        <v>43854</v>
      </c>
      <c r="D1182" s="312">
        <v>43893</v>
      </c>
      <c r="E1182" s="560"/>
      <c r="F1182" s="86" t="s">
        <v>4154</v>
      </c>
      <c r="G1182" s="86" t="s">
        <v>158</v>
      </c>
      <c r="H1182" s="96" t="s">
        <v>213</v>
      </c>
      <c r="I1182" s="97" t="s">
        <v>642</v>
      </c>
      <c r="J1182" s="73">
        <f t="shared" si="119"/>
        <v>1</v>
      </c>
      <c r="K1182" s="74" t="s">
        <v>204</v>
      </c>
      <c r="N1182" s="76" t="s">
        <v>18</v>
      </c>
      <c r="Q1182" s="76" t="s">
        <v>2142</v>
      </c>
      <c r="R1182" s="73">
        <f t="shared" si="120"/>
        <v>1</v>
      </c>
      <c r="S1182" s="260" t="s">
        <v>1976</v>
      </c>
      <c r="T1182" s="260"/>
      <c r="U1182" s="260"/>
      <c r="V1182" s="260"/>
      <c r="W1182" s="260"/>
      <c r="X1182" s="260"/>
      <c r="Y1182" s="565"/>
      <c r="Z1182" s="565"/>
      <c r="AA1182" s="566">
        <f t="shared" si="118"/>
        <v>0</v>
      </c>
      <c r="AB1182" s="699"/>
    </row>
    <row r="1183" spans="1:28" ht="15" customHeight="1" x14ac:dyDescent="0.3">
      <c r="A1183" s="96" t="s">
        <v>3995</v>
      </c>
      <c r="C1183" s="115">
        <v>43854</v>
      </c>
      <c r="D1183" s="312">
        <v>43892</v>
      </c>
      <c r="E1183" s="560"/>
      <c r="F1183" s="86" t="s">
        <v>3996</v>
      </c>
      <c r="G1183" s="86" t="s">
        <v>2104</v>
      </c>
      <c r="H1183" s="96" t="s">
        <v>213</v>
      </c>
      <c r="I1183" s="97" t="s">
        <v>714</v>
      </c>
      <c r="J1183" s="73">
        <f t="shared" si="119"/>
        <v>1</v>
      </c>
      <c r="K1183" s="74" t="s">
        <v>204</v>
      </c>
      <c r="L1183" s="97" t="s">
        <v>4579</v>
      </c>
      <c r="N1183" s="76" t="s">
        <v>17</v>
      </c>
      <c r="Q1183" s="76" t="s">
        <v>2142</v>
      </c>
      <c r="R1183" s="73">
        <f t="shared" si="120"/>
        <v>1</v>
      </c>
      <c r="S1183" s="260" t="s">
        <v>1976</v>
      </c>
      <c r="T1183" s="260"/>
      <c r="U1183" s="260"/>
      <c r="V1183" s="260"/>
      <c r="W1183" s="260"/>
      <c r="X1183" s="260"/>
      <c r="Y1183" s="565"/>
      <c r="Z1183" s="565"/>
      <c r="AA1183" s="566">
        <f t="shared" si="118"/>
        <v>0</v>
      </c>
      <c r="AB1183" s="699"/>
    </row>
    <row r="1184" spans="1:28" ht="15" customHeight="1" x14ac:dyDescent="0.3">
      <c r="A1184" s="79" t="s">
        <v>3961</v>
      </c>
      <c r="C1184" s="115">
        <v>43854</v>
      </c>
      <c r="D1184" s="312">
        <v>43892</v>
      </c>
      <c r="E1184" s="560"/>
      <c r="F1184" s="86" t="s">
        <v>3962</v>
      </c>
      <c r="G1184" s="86" t="s">
        <v>158</v>
      </c>
      <c r="H1184" s="96" t="s">
        <v>213</v>
      </c>
      <c r="I1184" s="97" t="s">
        <v>714</v>
      </c>
      <c r="J1184" s="73">
        <f t="shared" si="119"/>
        <v>1</v>
      </c>
      <c r="K1184" s="74" t="s">
        <v>204</v>
      </c>
      <c r="N1184" s="76" t="s">
        <v>17</v>
      </c>
      <c r="Q1184" s="76" t="s">
        <v>2109</v>
      </c>
      <c r="R1184" s="73">
        <f t="shared" si="120"/>
        <v>1</v>
      </c>
      <c r="S1184" s="260" t="s">
        <v>1976</v>
      </c>
      <c r="T1184" s="260"/>
      <c r="U1184" s="260"/>
      <c r="V1184" s="260"/>
      <c r="W1184" s="260"/>
      <c r="X1184" s="260"/>
      <c r="Y1184" s="565"/>
      <c r="Z1184" s="565"/>
      <c r="AA1184" s="566">
        <f t="shared" si="118"/>
        <v>0</v>
      </c>
      <c r="AB1184" s="699"/>
    </row>
    <row r="1185" spans="1:28" ht="15" customHeight="1" x14ac:dyDescent="0.3">
      <c r="A1185" s="79" t="s">
        <v>3963</v>
      </c>
      <c r="C1185" s="115">
        <v>43854</v>
      </c>
      <c r="D1185" s="312">
        <v>43892</v>
      </c>
      <c r="E1185" s="560"/>
      <c r="F1185" s="86" t="s">
        <v>3964</v>
      </c>
      <c r="G1185" s="86" t="s">
        <v>147</v>
      </c>
      <c r="H1185" s="96" t="s">
        <v>213</v>
      </c>
      <c r="I1185" s="97" t="s">
        <v>714</v>
      </c>
      <c r="J1185" s="73">
        <f t="shared" si="119"/>
        <v>1</v>
      </c>
      <c r="K1185" s="74" t="s">
        <v>204</v>
      </c>
      <c r="N1185" s="76" t="s">
        <v>17</v>
      </c>
      <c r="Q1185" s="76" t="s">
        <v>2109</v>
      </c>
      <c r="R1185" s="73">
        <f t="shared" si="120"/>
        <v>1</v>
      </c>
      <c r="S1185" s="260" t="s">
        <v>1976</v>
      </c>
      <c r="T1185" s="260"/>
      <c r="U1185" s="260"/>
      <c r="V1185" s="260"/>
      <c r="W1185" s="260"/>
      <c r="X1185" s="260"/>
      <c r="Y1185" s="565"/>
      <c r="Z1185" s="565"/>
      <c r="AA1185" s="566">
        <f t="shared" si="118"/>
        <v>0</v>
      </c>
      <c r="AB1185" s="699"/>
    </row>
    <row r="1186" spans="1:28" ht="15" customHeight="1" x14ac:dyDescent="0.3">
      <c r="A1186" s="96" t="s">
        <v>4413</v>
      </c>
      <c r="C1186" s="115">
        <v>43854</v>
      </c>
      <c r="D1186" s="312">
        <v>43893</v>
      </c>
      <c r="E1186" s="560"/>
      <c r="F1186" s="86" t="s">
        <v>4498</v>
      </c>
      <c r="G1186" s="86" t="s">
        <v>152</v>
      </c>
      <c r="H1186" s="96" t="s">
        <v>213</v>
      </c>
      <c r="I1186" s="97" t="s">
        <v>1635</v>
      </c>
      <c r="J1186" s="73">
        <f t="shared" si="119"/>
        <v>1</v>
      </c>
      <c r="K1186" s="74" t="s">
        <v>204</v>
      </c>
      <c r="L1186" s="97" t="s">
        <v>4580</v>
      </c>
      <c r="M1186" s="79">
        <v>1</v>
      </c>
      <c r="N1186" s="76" t="s">
        <v>18</v>
      </c>
      <c r="Q1186" s="76" t="s">
        <v>2417</v>
      </c>
      <c r="R1186" s="73">
        <f t="shared" si="120"/>
        <v>1</v>
      </c>
      <c r="S1186" s="260" t="s">
        <v>1976</v>
      </c>
      <c r="T1186" s="260"/>
      <c r="U1186" s="260"/>
      <c r="V1186" s="260"/>
      <c r="W1186" s="260"/>
      <c r="X1186" s="260"/>
      <c r="Y1186" s="565"/>
      <c r="Z1186" s="565"/>
      <c r="AA1186" s="566">
        <f t="shared" si="118"/>
        <v>0</v>
      </c>
      <c r="AB1186" s="699"/>
    </row>
    <row r="1187" spans="1:28" ht="15" customHeight="1" x14ac:dyDescent="0.3">
      <c r="A1187" s="96" t="s">
        <v>4117</v>
      </c>
      <c r="C1187" s="115">
        <v>43854</v>
      </c>
      <c r="D1187" s="312">
        <v>43893</v>
      </c>
      <c r="E1187" s="560"/>
      <c r="F1187" s="86" t="s">
        <v>4118</v>
      </c>
      <c r="G1187" s="86" t="s">
        <v>156</v>
      </c>
      <c r="H1187" s="96" t="s">
        <v>213</v>
      </c>
      <c r="I1187" s="97" t="s">
        <v>714</v>
      </c>
      <c r="J1187" s="73">
        <f t="shared" si="119"/>
        <v>1</v>
      </c>
      <c r="K1187" s="74" t="s">
        <v>204</v>
      </c>
      <c r="N1187" s="76" t="s">
        <v>17</v>
      </c>
      <c r="Q1187" s="76" t="s">
        <v>2109</v>
      </c>
      <c r="R1187" s="73">
        <f t="shared" si="120"/>
        <v>1</v>
      </c>
      <c r="S1187" s="260" t="s">
        <v>1976</v>
      </c>
      <c r="T1187" s="260"/>
      <c r="U1187" s="260"/>
      <c r="V1187" s="260"/>
      <c r="W1187" s="260"/>
      <c r="X1187" s="260"/>
      <c r="Y1187" s="565"/>
      <c r="Z1187" s="565"/>
      <c r="AA1187" s="566">
        <f t="shared" si="118"/>
        <v>0</v>
      </c>
      <c r="AB1187" s="699"/>
    </row>
    <row r="1188" spans="1:28" ht="15" customHeight="1" x14ac:dyDescent="0.3">
      <c r="A1188" s="79" t="s">
        <v>4204</v>
      </c>
      <c r="C1188" s="115">
        <v>43854</v>
      </c>
      <c r="D1188" s="312">
        <v>43893</v>
      </c>
      <c r="E1188" s="560"/>
      <c r="F1188" s="86" t="s">
        <v>4205</v>
      </c>
      <c r="G1188" s="86" t="s">
        <v>158</v>
      </c>
      <c r="H1188" s="96" t="s">
        <v>213</v>
      </c>
      <c r="I1188" s="97" t="s">
        <v>714</v>
      </c>
      <c r="J1188" s="73">
        <f t="shared" si="119"/>
        <v>1</v>
      </c>
      <c r="K1188" s="74" t="s">
        <v>204</v>
      </c>
      <c r="N1188" s="76" t="s">
        <v>17</v>
      </c>
      <c r="Q1188" s="76" t="s">
        <v>2076</v>
      </c>
      <c r="R1188" s="73">
        <f t="shared" si="120"/>
        <v>1</v>
      </c>
      <c r="S1188" s="260" t="s">
        <v>1976</v>
      </c>
      <c r="T1188" s="260"/>
      <c r="U1188" s="260"/>
      <c r="V1188" s="260"/>
      <c r="W1188" s="260"/>
      <c r="X1188" s="260"/>
      <c r="Y1188" s="565"/>
      <c r="Z1188" s="565"/>
      <c r="AA1188" s="566">
        <f t="shared" si="118"/>
        <v>0</v>
      </c>
      <c r="AB1188" s="699"/>
    </row>
    <row r="1189" spans="1:28" ht="15" customHeight="1" x14ac:dyDescent="0.3">
      <c r="A1189" s="96" t="s">
        <v>4414</v>
      </c>
      <c r="C1189" s="115">
        <v>43854</v>
      </c>
      <c r="D1189" s="312">
        <v>43893</v>
      </c>
      <c r="E1189" s="560"/>
      <c r="F1189" s="86" t="s">
        <v>4499</v>
      </c>
      <c r="G1189" s="86" t="s">
        <v>147</v>
      </c>
      <c r="H1189" s="96" t="s">
        <v>213</v>
      </c>
      <c r="I1189" s="97" t="s">
        <v>645</v>
      </c>
      <c r="J1189" s="73">
        <f t="shared" si="119"/>
        <v>1</v>
      </c>
      <c r="K1189" s="74" t="s">
        <v>204</v>
      </c>
      <c r="M1189" s="79">
        <v>1</v>
      </c>
      <c r="N1189" s="76" t="s">
        <v>18</v>
      </c>
      <c r="Q1189" s="76" t="s">
        <v>2417</v>
      </c>
      <c r="R1189" s="73">
        <f t="shared" si="120"/>
        <v>1</v>
      </c>
      <c r="S1189" s="260" t="s">
        <v>1976</v>
      </c>
      <c r="T1189" s="260"/>
      <c r="U1189" s="260"/>
      <c r="V1189" s="260"/>
      <c r="W1189" s="260"/>
      <c r="X1189" s="260"/>
      <c r="Y1189" s="565"/>
      <c r="Z1189" s="565"/>
      <c r="AA1189" s="566">
        <f t="shared" si="118"/>
        <v>0</v>
      </c>
      <c r="AB1189" s="699"/>
    </row>
    <row r="1190" spans="1:28" ht="15" customHeight="1" x14ac:dyDescent="0.3">
      <c r="A1190" s="96" t="s">
        <v>4033</v>
      </c>
      <c r="C1190" s="115">
        <v>43854</v>
      </c>
      <c r="D1190" s="312">
        <v>43892</v>
      </c>
      <c r="E1190" s="560"/>
      <c r="F1190" s="86" t="s">
        <v>4034</v>
      </c>
      <c r="G1190" s="86" t="s">
        <v>156</v>
      </c>
      <c r="H1190" s="96" t="s">
        <v>213</v>
      </c>
      <c r="I1190" s="97" t="s">
        <v>642</v>
      </c>
      <c r="J1190" s="73">
        <f t="shared" si="119"/>
        <v>1</v>
      </c>
      <c r="K1190" s="74" t="s">
        <v>204</v>
      </c>
      <c r="M1190" s="79">
        <v>1</v>
      </c>
      <c r="N1190" s="76" t="s">
        <v>18</v>
      </c>
      <c r="Q1190" s="76" t="s">
        <v>2417</v>
      </c>
      <c r="R1190" s="73">
        <f t="shared" si="120"/>
        <v>1</v>
      </c>
      <c r="S1190" s="260" t="s">
        <v>1976</v>
      </c>
      <c r="T1190" s="260"/>
      <c r="U1190" s="260"/>
      <c r="V1190" s="260"/>
      <c r="W1190" s="260"/>
      <c r="X1190" s="260"/>
      <c r="Y1190" s="565"/>
      <c r="Z1190" s="565"/>
      <c r="AA1190" s="566">
        <f t="shared" si="118"/>
        <v>0</v>
      </c>
      <c r="AB1190" s="699"/>
    </row>
    <row r="1191" spans="1:28" ht="15" customHeight="1" x14ac:dyDescent="0.3">
      <c r="A1191" s="96" t="s">
        <v>4035</v>
      </c>
      <c r="C1191" s="115">
        <v>43854</v>
      </c>
      <c r="D1191" s="312">
        <v>43892</v>
      </c>
      <c r="E1191" s="560"/>
      <c r="F1191" s="86" t="s">
        <v>4036</v>
      </c>
      <c r="G1191" s="86" t="s">
        <v>147</v>
      </c>
      <c r="H1191" s="96" t="s">
        <v>213</v>
      </c>
      <c r="I1191" s="97" t="s">
        <v>755</v>
      </c>
      <c r="J1191" s="73">
        <f t="shared" si="119"/>
        <v>1</v>
      </c>
      <c r="K1191" s="74" t="s">
        <v>204</v>
      </c>
      <c r="M1191" s="79">
        <v>1</v>
      </c>
      <c r="N1191" s="76" t="s">
        <v>17</v>
      </c>
      <c r="Q1191" s="76" t="s">
        <v>2417</v>
      </c>
      <c r="R1191" s="73">
        <f t="shared" si="120"/>
        <v>1</v>
      </c>
      <c r="S1191" s="260" t="s">
        <v>1976</v>
      </c>
      <c r="T1191" s="260"/>
      <c r="U1191" s="260"/>
      <c r="V1191" s="260"/>
      <c r="W1191" s="260"/>
      <c r="X1191" s="260"/>
      <c r="Y1191" s="565"/>
      <c r="Z1191" s="565"/>
      <c r="AA1191" s="566">
        <f t="shared" si="118"/>
        <v>0</v>
      </c>
      <c r="AB1191" s="699"/>
    </row>
    <row r="1192" spans="1:28" ht="15" customHeight="1" x14ac:dyDescent="0.3">
      <c r="A1192" s="96" t="s">
        <v>4119</v>
      </c>
      <c r="C1192" s="115">
        <v>43857</v>
      </c>
      <c r="D1192" s="312">
        <v>43894</v>
      </c>
      <c r="E1192" s="560"/>
      <c r="F1192" s="86" t="s">
        <v>4120</v>
      </c>
      <c r="G1192" s="86" t="s">
        <v>150</v>
      </c>
      <c r="H1192" s="96" t="s">
        <v>213</v>
      </c>
      <c r="I1192" s="97" t="s">
        <v>714</v>
      </c>
      <c r="J1192" s="73">
        <f t="shared" si="119"/>
        <v>1</v>
      </c>
      <c r="K1192" s="74" t="s">
        <v>204</v>
      </c>
      <c r="N1192" s="76" t="s">
        <v>17</v>
      </c>
      <c r="Q1192" s="76" t="s">
        <v>2109</v>
      </c>
      <c r="R1192" s="73">
        <f t="shared" si="120"/>
        <v>1</v>
      </c>
      <c r="S1192" s="260" t="s">
        <v>1976</v>
      </c>
      <c r="T1192" s="260"/>
      <c r="U1192" s="260"/>
      <c r="V1192" s="260"/>
      <c r="W1192" s="260"/>
      <c r="X1192" s="260"/>
      <c r="Y1192" s="565"/>
      <c r="Z1192" s="565"/>
      <c r="AA1192" s="566">
        <f t="shared" si="118"/>
        <v>0</v>
      </c>
      <c r="AB1192" s="699"/>
    </row>
    <row r="1193" spans="1:28" ht="15" customHeight="1" x14ac:dyDescent="0.3">
      <c r="A1193" s="96" t="s">
        <v>4415</v>
      </c>
      <c r="C1193" s="115">
        <v>43857</v>
      </c>
      <c r="D1193" s="312">
        <v>43894</v>
      </c>
      <c r="E1193" s="560"/>
      <c r="F1193" s="86" t="s">
        <v>4500</v>
      </c>
      <c r="G1193" s="86" t="s">
        <v>147</v>
      </c>
      <c r="H1193" s="96" t="s">
        <v>213</v>
      </c>
      <c r="I1193" s="97" t="s">
        <v>642</v>
      </c>
      <c r="J1193" s="73">
        <f t="shared" si="119"/>
        <v>1</v>
      </c>
      <c r="K1193" s="74" t="s">
        <v>204</v>
      </c>
      <c r="N1193" s="76" t="s">
        <v>18</v>
      </c>
      <c r="Q1193" s="76" t="s">
        <v>2037</v>
      </c>
      <c r="R1193" s="73">
        <f t="shared" si="120"/>
        <v>1</v>
      </c>
      <c r="S1193" s="260" t="s">
        <v>1976</v>
      </c>
      <c r="T1193" s="260"/>
      <c r="U1193" s="260"/>
      <c r="V1193" s="260"/>
      <c r="W1193" s="260"/>
      <c r="X1193" s="260"/>
      <c r="Y1193" s="565"/>
      <c r="Z1193" s="565"/>
      <c r="AA1193" s="566">
        <f t="shared" si="118"/>
        <v>0</v>
      </c>
      <c r="AB1193" s="699"/>
    </row>
    <row r="1194" spans="1:28" ht="15" customHeight="1" x14ac:dyDescent="0.3">
      <c r="A1194" s="96" t="s">
        <v>4155</v>
      </c>
      <c r="C1194" s="115">
        <v>43857</v>
      </c>
      <c r="D1194" s="312">
        <v>43893</v>
      </c>
      <c r="E1194" s="560"/>
      <c r="F1194" s="86" t="s">
        <v>4156</v>
      </c>
      <c r="G1194" s="86" t="s">
        <v>152</v>
      </c>
      <c r="H1194" s="96" t="s">
        <v>213</v>
      </c>
      <c r="I1194" s="97" t="s">
        <v>714</v>
      </c>
      <c r="J1194" s="73">
        <f t="shared" si="119"/>
        <v>1</v>
      </c>
      <c r="K1194" s="74" t="s">
        <v>204</v>
      </c>
      <c r="N1194" s="76" t="s">
        <v>17</v>
      </c>
      <c r="Q1194" s="76" t="s">
        <v>2142</v>
      </c>
      <c r="R1194" s="73">
        <f t="shared" si="120"/>
        <v>1</v>
      </c>
      <c r="S1194" s="260" t="s">
        <v>1976</v>
      </c>
      <c r="T1194" s="260"/>
      <c r="U1194" s="260"/>
      <c r="V1194" s="260"/>
      <c r="W1194" s="260"/>
      <c r="X1194" s="260"/>
      <c r="Y1194" s="565"/>
      <c r="Z1194" s="565"/>
      <c r="AA1194" s="566">
        <f t="shared" si="118"/>
        <v>0</v>
      </c>
      <c r="AB1194" s="699"/>
    </row>
    <row r="1195" spans="1:28" ht="15" customHeight="1" x14ac:dyDescent="0.3">
      <c r="A1195" s="79" t="s">
        <v>4206</v>
      </c>
      <c r="C1195" s="115">
        <v>43857</v>
      </c>
      <c r="D1195" s="312">
        <v>43893</v>
      </c>
      <c r="E1195" s="560"/>
      <c r="F1195" s="86" t="s">
        <v>4207</v>
      </c>
      <c r="G1195" s="86" t="s">
        <v>189</v>
      </c>
      <c r="H1195" s="96" t="s">
        <v>213</v>
      </c>
      <c r="I1195" s="97" t="s">
        <v>714</v>
      </c>
      <c r="J1195" s="73">
        <f t="shared" si="119"/>
        <v>1</v>
      </c>
      <c r="K1195" s="74" t="s">
        <v>204</v>
      </c>
      <c r="N1195" s="76" t="s">
        <v>17</v>
      </c>
      <c r="Q1195" s="76" t="s">
        <v>2076</v>
      </c>
      <c r="R1195" s="73">
        <f t="shared" si="120"/>
        <v>1</v>
      </c>
      <c r="S1195" s="260" t="s">
        <v>1976</v>
      </c>
      <c r="T1195" s="260"/>
      <c r="U1195" s="260"/>
      <c r="V1195" s="260"/>
      <c r="W1195" s="260"/>
      <c r="X1195" s="260"/>
      <c r="Y1195" s="565"/>
      <c r="Z1195" s="565"/>
      <c r="AA1195" s="566">
        <f t="shared" si="118"/>
        <v>0</v>
      </c>
      <c r="AB1195" s="699"/>
    </row>
    <row r="1196" spans="1:28" ht="15" customHeight="1" x14ac:dyDescent="0.3">
      <c r="A1196" s="96" t="s">
        <v>4157</v>
      </c>
      <c r="C1196" s="115">
        <v>43857</v>
      </c>
      <c r="D1196" s="312">
        <v>43894</v>
      </c>
      <c r="E1196" s="560"/>
      <c r="F1196" s="86" t="s">
        <v>4158</v>
      </c>
      <c r="G1196" s="86" t="s">
        <v>1384</v>
      </c>
      <c r="H1196" s="96" t="s">
        <v>213</v>
      </c>
      <c r="I1196" s="97" t="s">
        <v>714</v>
      </c>
      <c r="J1196" s="73">
        <f t="shared" si="119"/>
        <v>1</v>
      </c>
      <c r="K1196" s="74" t="s">
        <v>204</v>
      </c>
      <c r="N1196" s="76" t="s">
        <v>18</v>
      </c>
      <c r="Q1196" s="76" t="s">
        <v>2142</v>
      </c>
      <c r="R1196" s="73">
        <f t="shared" si="120"/>
        <v>1</v>
      </c>
      <c r="S1196" s="260" t="s">
        <v>1976</v>
      </c>
      <c r="T1196" s="260"/>
      <c r="U1196" s="260"/>
      <c r="V1196" s="260"/>
      <c r="W1196" s="260"/>
      <c r="X1196" s="260"/>
      <c r="Y1196" s="565"/>
      <c r="Z1196" s="565"/>
      <c r="AA1196" s="566">
        <f t="shared" si="118"/>
        <v>0</v>
      </c>
      <c r="AB1196" s="699"/>
    </row>
    <row r="1197" spans="1:28" ht="15" customHeight="1" x14ac:dyDescent="0.3">
      <c r="A1197" s="96" t="s">
        <v>4121</v>
      </c>
      <c r="C1197" s="115">
        <v>43857</v>
      </c>
      <c r="D1197" s="312">
        <v>43893</v>
      </c>
      <c r="E1197" s="560"/>
      <c r="F1197" s="86" t="s">
        <v>4122</v>
      </c>
      <c r="G1197" s="86" t="s">
        <v>152</v>
      </c>
      <c r="H1197" s="96" t="s">
        <v>213</v>
      </c>
      <c r="I1197" s="97" t="s">
        <v>722</v>
      </c>
      <c r="J1197" s="73">
        <f t="shared" si="119"/>
        <v>1</v>
      </c>
      <c r="K1197" s="74" t="s">
        <v>204</v>
      </c>
      <c r="N1197" s="76" t="s">
        <v>17</v>
      </c>
      <c r="Q1197" s="76" t="s">
        <v>2109</v>
      </c>
      <c r="R1197" s="73">
        <f t="shared" si="120"/>
        <v>1</v>
      </c>
      <c r="S1197" s="260" t="s">
        <v>1976</v>
      </c>
      <c r="T1197" s="260"/>
      <c r="U1197" s="260"/>
      <c r="V1197" s="260"/>
      <c r="W1197" s="260"/>
      <c r="X1197" s="260"/>
      <c r="Y1197" s="565"/>
      <c r="Z1197" s="565"/>
      <c r="AA1197" s="566">
        <f t="shared" si="118"/>
        <v>0</v>
      </c>
      <c r="AB1197" s="699"/>
    </row>
    <row r="1198" spans="1:28" ht="15" customHeight="1" x14ac:dyDescent="0.3">
      <c r="A1198" s="96" t="s">
        <v>4159</v>
      </c>
      <c r="C1198" s="115">
        <v>43857</v>
      </c>
      <c r="D1198" s="312">
        <v>43893</v>
      </c>
      <c r="E1198" s="560"/>
      <c r="F1198" s="86" t="s">
        <v>4160</v>
      </c>
      <c r="G1198" s="86" t="s">
        <v>158</v>
      </c>
      <c r="H1198" s="96" t="s">
        <v>213</v>
      </c>
      <c r="I1198" s="97" t="s">
        <v>714</v>
      </c>
      <c r="J1198" s="73">
        <f t="shared" si="119"/>
        <v>1</v>
      </c>
      <c r="K1198" s="74" t="s">
        <v>204</v>
      </c>
      <c r="N1198" s="76" t="s">
        <v>17</v>
      </c>
      <c r="Q1198" s="76" t="s">
        <v>2142</v>
      </c>
      <c r="R1198" s="73">
        <f t="shared" si="120"/>
        <v>1</v>
      </c>
      <c r="S1198" s="260" t="s">
        <v>1976</v>
      </c>
      <c r="T1198" s="260"/>
      <c r="U1198" s="260"/>
      <c r="V1198" s="260"/>
      <c r="W1198" s="260"/>
      <c r="X1198" s="260"/>
      <c r="Y1198" s="565"/>
      <c r="Z1198" s="565"/>
      <c r="AA1198" s="566">
        <f t="shared" si="118"/>
        <v>0</v>
      </c>
      <c r="AB1198" s="699"/>
    </row>
    <row r="1199" spans="1:28" ht="15" customHeight="1" x14ac:dyDescent="0.3">
      <c r="A1199" s="79" t="s">
        <v>4123</v>
      </c>
      <c r="C1199" s="115">
        <v>43857</v>
      </c>
      <c r="D1199" s="312">
        <v>43893</v>
      </c>
      <c r="E1199" s="560"/>
      <c r="F1199" s="86" t="s">
        <v>4124</v>
      </c>
      <c r="G1199" s="86" t="s">
        <v>410</v>
      </c>
      <c r="H1199" s="96" t="s">
        <v>213</v>
      </c>
      <c r="I1199" s="97" t="s">
        <v>642</v>
      </c>
      <c r="J1199" s="73">
        <f t="shared" si="119"/>
        <v>1</v>
      </c>
      <c r="K1199" s="74" t="s">
        <v>204</v>
      </c>
      <c r="N1199" s="76" t="s">
        <v>18</v>
      </c>
      <c r="Q1199" s="76" t="s">
        <v>2109</v>
      </c>
      <c r="R1199" s="73">
        <f t="shared" si="120"/>
        <v>1</v>
      </c>
      <c r="S1199" s="260" t="s">
        <v>1976</v>
      </c>
      <c r="T1199" s="260"/>
      <c r="U1199" s="260"/>
      <c r="V1199" s="260"/>
      <c r="W1199" s="260"/>
      <c r="X1199" s="260"/>
      <c r="Y1199" s="565"/>
      <c r="Z1199" s="565"/>
      <c r="AA1199" s="566">
        <f t="shared" si="118"/>
        <v>0</v>
      </c>
      <c r="AB1199" s="699"/>
    </row>
    <row r="1200" spans="1:28" ht="15" customHeight="1" x14ac:dyDescent="0.3">
      <c r="A1200" s="79" t="s">
        <v>4208</v>
      </c>
      <c r="C1200" s="115">
        <v>43857</v>
      </c>
      <c r="D1200" s="312">
        <v>43894</v>
      </c>
      <c r="E1200" s="560"/>
      <c r="F1200" s="86" t="s">
        <v>4209</v>
      </c>
      <c r="G1200" s="86" t="s">
        <v>147</v>
      </c>
      <c r="H1200" s="96" t="s">
        <v>213</v>
      </c>
      <c r="I1200" s="97" t="s">
        <v>642</v>
      </c>
      <c r="J1200" s="73">
        <f t="shared" si="119"/>
        <v>1</v>
      </c>
      <c r="K1200" s="74" t="s">
        <v>204</v>
      </c>
      <c r="N1200" s="76" t="s">
        <v>18</v>
      </c>
      <c r="Q1200" s="76" t="s">
        <v>2076</v>
      </c>
      <c r="R1200" s="73">
        <f t="shared" si="120"/>
        <v>1</v>
      </c>
      <c r="S1200" s="260" t="s">
        <v>1976</v>
      </c>
      <c r="T1200" s="260"/>
      <c r="U1200" s="260"/>
      <c r="V1200" s="260"/>
      <c r="W1200" s="260"/>
      <c r="X1200" s="260"/>
      <c r="Y1200" s="565"/>
      <c r="Z1200" s="565"/>
      <c r="AA1200" s="566">
        <f t="shared" si="118"/>
        <v>0</v>
      </c>
      <c r="AB1200" s="699"/>
    </row>
    <row r="1201" spans="1:28" ht="15" customHeight="1" x14ac:dyDescent="0.3">
      <c r="A1201" s="79" t="s">
        <v>4188</v>
      </c>
      <c r="C1201" s="115">
        <v>43857</v>
      </c>
      <c r="D1201" s="312">
        <v>43894</v>
      </c>
      <c r="E1201" s="560"/>
      <c r="F1201" s="86" t="s">
        <v>4189</v>
      </c>
      <c r="G1201" s="86" t="s">
        <v>154</v>
      </c>
      <c r="H1201" s="96" t="s">
        <v>213</v>
      </c>
      <c r="I1201" s="97" t="s">
        <v>4589</v>
      </c>
      <c r="J1201" s="73">
        <f t="shared" si="119"/>
        <v>1</v>
      </c>
      <c r="K1201" s="74" t="s">
        <v>204</v>
      </c>
      <c r="L1201" s="97" t="s">
        <v>4588</v>
      </c>
      <c r="N1201" s="76" t="s">
        <v>17</v>
      </c>
      <c r="Q1201" s="301" t="s">
        <v>2037</v>
      </c>
      <c r="R1201" s="73">
        <f t="shared" si="120"/>
        <v>1</v>
      </c>
      <c r="S1201" s="260" t="s">
        <v>1976</v>
      </c>
      <c r="T1201" s="260"/>
      <c r="U1201" s="260"/>
      <c r="V1201" s="260"/>
      <c r="W1201" s="260"/>
      <c r="X1201" s="260"/>
      <c r="Y1201" s="565"/>
      <c r="Z1201" s="565"/>
      <c r="AA1201" s="566">
        <f t="shared" si="118"/>
        <v>0</v>
      </c>
      <c r="AB1201" s="699"/>
    </row>
    <row r="1202" spans="1:28" ht="15" customHeight="1" x14ac:dyDescent="0.3">
      <c r="A1202" s="79" t="s">
        <v>4163</v>
      </c>
      <c r="C1202" s="115">
        <v>43857</v>
      </c>
      <c r="D1202" s="312">
        <v>43894</v>
      </c>
      <c r="E1202" s="560"/>
      <c r="F1202" s="86" t="s">
        <v>4164</v>
      </c>
      <c r="G1202" s="86" t="s">
        <v>150</v>
      </c>
      <c r="H1202" s="96" t="s">
        <v>213</v>
      </c>
      <c r="I1202" s="97" t="s">
        <v>714</v>
      </c>
      <c r="J1202" s="73">
        <f t="shared" si="119"/>
        <v>1</v>
      </c>
      <c r="K1202" s="74" t="s">
        <v>204</v>
      </c>
      <c r="N1202" s="76" t="s">
        <v>18</v>
      </c>
      <c r="Q1202" s="76" t="s">
        <v>2142</v>
      </c>
      <c r="R1202" s="73">
        <f t="shared" si="120"/>
        <v>1</v>
      </c>
      <c r="S1202" s="260" t="s">
        <v>1976</v>
      </c>
      <c r="T1202" s="260"/>
      <c r="U1202" s="260"/>
      <c r="V1202" s="260"/>
      <c r="W1202" s="260"/>
      <c r="X1202" s="260"/>
      <c r="Y1202" s="565"/>
      <c r="Z1202" s="565"/>
      <c r="AA1202" s="566">
        <f t="shared" si="118"/>
        <v>0</v>
      </c>
      <c r="AB1202" s="699"/>
    </row>
    <row r="1203" spans="1:28" ht="15" customHeight="1" x14ac:dyDescent="0.3">
      <c r="A1203" s="96" t="s">
        <v>4165</v>
      </c>
      <c r="C1203" s="115">
        <v>43857</v>
      </c>
      <c r="D1203" s="312">
        <v>43894</v>
      </c>
      <c r="E1203" s="560"/>
      <c r="F1203" s="86" t="s">
        <v>4166</v>
      </c>
      <c r="G1203" s="86" t="s">
        <v>152</v>
      </c>
      <c r="H1203" s="96" t="s">
        <v>213</v>
      </c>
      <c r="I1203" s="97" t="s">
        <v>641</v>
      </c>
      <c r="J1203" s="73">
        <f t="shared" si="119"/>
        <v>1</v>
      </c>
      <c r="K1203" s="74" t="s">
        <v>204</v>
      </c>
      <c r="N1203" s="76" t="s">
        <v>17</v>
      </c>
      <c r="Q1203" s="76" t="s">
        <v>2142</v>
      </c>
      <c r="R1203" s="73">
        <f t="shared" si="120"/>
        <v>1</v>
      </c>
      <c r="S1203" s="260" t="s">
        <v>1976</v>
      </c>
      <c r="T1203" s="260"/>
      <c r="U1203" s="260"/>
      <c r="V1203" s="260"/>
      <c r="W1203" s="260"/>
      <c r="X1203" s="260"/>
      <c r="Y1203" s="565"/>
      <c r="Z1203" s="565"/>
      <c r="AA1203" s="566">
        <f t="shared" si="118"/>
        <v>0</v>
      </c>
      <c r="AB1203" s="699"/>
    </row>
    <row r="1204" spans="1:28" ht="15" customHeight="1" x14ac:dyDescent="0.3">
      <c r="A1204" s="79" t="s">
        <v>4212</v>
      </c>
      <c r="C1204" s="115">
        <v>43857</v>
      </c>
      <c r="D1204" s="312">
        <v>43894</v>
      </c>
      <c r="E1204" s="560"/>
      <c r="F1204" s="86" t="s">
        <v>4213</v>
      </c>
      <c r="G1204" s="86" t="s">
        <v>150</v>
      </c>
      <c r="H1204" s="96" t="s">
        <v>213</v>
      </c>
      <c r="I1204" s="97" t="s">
        <v>714</v>
      </c>
      <c r="J1204" s="73">
        <f t="shared" si="119"/>
        <v>1</v>
      </c>
      <c r="K1204" s="74" t="s">
        <v>204</v>
      </c>
      <c r="N1204" s="76" t="s">
        <v>18</v>
      </c>
      <c r="Q1204" s="76" t="s">
        <v>2076</v>
      </c>
      <c r="R1204" s="73">
        <f t="shared" si="120"/>
        <v>1</v>
      </c>
      <c r="S1204" s="260" t="s">
        <v>1976</v>
      </c>
      <c r="T1204" s="260"/>
      <c r="U1204" s="260"/>
      <c r="V1204" s="260"/>
      <c r="W1204" s="260"/>
      <c r="X1204" s="260"/>
      <c r="Y1204" s="565"/>
      <c r="Z1204" s="565"/>
      <c r="AA1204" s="566">
        <f t="shared" si="118"/>
        <v>0</v>
      </c>
      <c r="AB1204" s="699"/>
    </row>
    <row r="1205" spans="1:28" ht="15" customHeight="1" x14ac:dyDescent="0.3">
      <c r="A1205" s="96" t="s">
        <v>4127</v>
      </c>
      <c r="C1205" s="115">
        <v>43857</v>
      </c>
      <c r="D1205" s="312">
        <v>43894</v>
      </c>
      <c r="E1205" s="560"/>
      <c r="F1205" s="86" t="s">
        <v>4128</v>
      </c>
      <c r="G1205" s="86" t="s">
        <v>150</v>
      </c>
      <c r="H1205" s="96" t="s">
        <v>213</v>
      </c>
      <c r="I1205" s="97" t="s">
        <v>714</v>
      </c>
      <c r="J1205" s="73">
        <f t="shared" si="119"/>
        <v>1</v>
      </c>
      <c r="K1205" s="74" t="s">
        <v>204</v>
      </c>
      <c r="N1205" s="76" t="s">
        <v>17</v>
      </c>
      <c r="Q1205" s="76" t="s">
        <v>2109</v>
      </c>
      <c r="R1205" s="73">
        <f t="shared" si="120"/>
        <v>1</v>
      </c>
      <c r="S1205" s="260" t="s">
        <v>1976</v>
      </c>
      <c r="T1205" s="260"/>
      <c r="U1205" s="260"/>
      <c r="V1205" s="260"/>
      <c r="W1205" s="260"/>
      <c r="X1205" s="260"/>
      <c r="Y1205" s="565"/>
      <c r="Z1205" s="565"/>
      <c r="AA1205" s="566">
        <f t="shared" si="118"/>
        <v>0</v>
      </c>
      <c r="AB1205" s="699"/>
    </row>
    <row r="1206" spans="1:28" ht="15" customHeight="1" x14ac:dyDescent="0.3">
      <c r="A1206" s="79" t="s">
        <v>4083</v>
      </c>
      <c r="C1206" s="115">
        <v>43857</v>
      </c>
      <c r="D1206" s="312">
        <v>43894</v>
      </c>
      <c r="E1206" s="560"/>
      <c r="F1206" s="86" t="s">
        <v>4084</v>
      </c>
      <c r="G1206" s="86" t="s">
        <v>150</v>
      </c>
      <c r="H1206" s="96" t="s">
        <v>213</v>
      </c>
      <c r="J1206" s="73">
        <f t="shared" si="119"/>
        <v>1</v>
      </c>
      <c r="K1206" s="74" t="s">
        <v>204</v>
      </c>
      <c r="Q1206" s="76" t="s">
        <v>2037</v>
      </c>
      <c r="R1206" s="73">
        <f t="shared" si="120"/>
        <v>1</v>
      </c>
      <c r="S1206" s="260" t="s">
        <v>1976</v>
      </c>
      <c r="T1206" s="260"/>
      <c r="U1206" s="260"/>
      <c r="V1206" s="260"/>
      <c r="W1206" s="260"/>
      <c r="X1206" s="260"/>
      <c r="Y1206" s="565"/>
      <c r="Z1206" s="565"/>
      <c r="AA1206" s="566">
        <f t="shared" si="118"/>
        <v>0</v>
      </c>
      <c r="AB1206" s="699"/>
    </row>
    <row r="1207" spans="1:28" ht="15" customHeight="1" x14ac:dyDescent="0.3">
      <c r="A1207" s="96" t="s">
        <v>4129</v>
      </c>
      <c r="C1207" s="115">
        <v>43857</v>
      </c>
      <c r="D1207" s="312">
        <v>43894</v>
      </c>
      <c r="E1207" s="560"/>
      <c r="F1207" s="86" t="s">
        <v>4130</v>
      </c>
      <c r="G1207" s="86" t="s">
        <v>152</v>
      </c>
      <c r="H1207" s="96" t="s">
        <v>213</v>
      </c>
      <c r="I1207" s="97" t="s">
        <v>722</v>
      </c>
      <c r="J1207" s="73">
        <f t="shared" si="119"/>
        <v>1</v>
      </c>
      <c r="K1207" s="74" t="s">
        <v>204</v>
      </c>
      <c r="N1207" s="76" t="s">
        <v>17</v>
      </c>
      <c r="Q1207" s="76" t="s">
        <v>2109</v>
      </c>
      <c r="R1207" s="73">
        <f t="shared" si="120"/>
        <v>1</v>
      </c>
      <c r="S1207" s="260" t="s">
        <v>1976</v>
      </c>
      <c r="T1207" s="260"/>
      <c r="U1207" s="260"/>
      <c r="V1207" s="260"/>
      <c r="W1207" s="260"/>
      <c r="X1207" s="260"/>
      <c r="Y1207" s="565"/>
      <c r="Z1207" s="565"/>
      <c r="AA1207" s="566">
        <f t="shared" si="118"/>
        <v>0</v>
      </c>
      <c r="AB1207" s="699"/>
    </row>
    <row r="1208" spans="1:28" ht="15" customHeight="1" x14ac:dyDescent="0.3">
      <c r="A1208" s="79" t="s">
        <v>4216</v>
      </c>
      <c r="C1208" s="115">
        <v>43858</v>
      </c>
      <c r="D1208" s="312">
        <v>43895</v>
      </c>
      <c r="E1208" s="560"/>
      <c r="F1208" s="86" t="s">
        <v>4217</v>
      </c>
      <c r="G1208" s="86" t="s">
        <v>152</v>
      </c>
      <c r="H1208" s="96" t="s">
        <v>213</v>
      </c>
      <c r="I1208" s="97" t="s">
        <v>642</v>
      </c>
      <c r="J1208" s="73">
        <f t="shared" si="119"/>
        <v>1</v>
      </c>
      <c r="K1208" s="74" t="s">
        <v>204</v>
      </c>
      <c r="N1208" s="76" t="s">
        <v>18</v>
      </c>
      <c r="Q1208" s="76" t="s">
        <v>2076</v>
      </c>
      <c r="R1208" s="73">
        <f t="shared" si="120"/>
        <v>1</v>
      </c>
      <c r="S1208" s="260" t="s">
        <v>1976</v>
      </c>
      <c r="T1208" s="260"/>
      <c r="U1208" s="260"/>
      <c r="V1208" s="260"/>
      <c r="W1208" s="260"/>
      <c r="X1208" s="260"/>
      <c r="Y1208" s="565"/>
      <c r="Z1208" s="565"/>
      <c r="AA1208" s="566">
        <f t="shared" si="118"/>
        <v>0</v>
      </c>
      <c r="AB1208" s="699"/>
    </row>
    <row r="1209" spans="1:28" ht="15" customHeight="1" x14ac:dyDescent="0.3">
      <c r="A1209" s="96" t="s">
        <v>4131</v>
      </c>
      <c r="C1209" s="115">
        <v>43858</v>
      </c>
      <c r="D1209" s="312">
        <v>43895</v>
      </c>
      <c r="E1209" s="560"/>
      <c r="F1209" s="86" t="s">
        <v>4132</v>
      </c>
      <c r="G1209" s="86" t="s">
        <v>154</v>
      </c>
      <c r="H1209" s="96" t="s">
        <v>213</v>
      </c>
      <c r="I1209" s="97" t="s">
        <v>658</v>
      </c>
      <c r="J1209" s="73">
        <f t="shared" si="119"/>
        <v>1</v>
      </c>
      <c r="K1209" s="74" t="s">
        <v>204</v>
      </c>
      <c r="L1209" s="97" t="s">
        <v>4596</v>
      </c>
      <c r="N1209" s="76" t="s">
        <v>17</v>
      </c>
      <c r="Q1209" s="76" t="s">
        <v>2109</v>
      </c>
      <c r="R1209" s="73">
        <f t="shared" si="120"/>
        <v>1</v>
      </c>
      <c r="S1209" s="260" t="s">
        <v>1976</v>
      </c>
      <c r="T1209" s="260"/>
      <c r="U1209" s="260"/>
      <c r="V1209" s="260"/>
      <c r="W1209" s="260"/>
      <c r="X1209" s="260"/>
      <c r="Y1209" s="565"/>
      <c r="Z1209" s="565"/>
      <c r="AA1209" s="566">
        <f t="shared" si="118"/>
        <v>0</v>
      </c>
      <c r="AB1209" s="699"/>
    </row>
    <row r="1210" spans="1:28" ht="15" customHeight="1" x14ac:dyDescent="0.3">
      <c r="A1210" s="79" t="s">
        <v>4218</v>
      </c>
      <c r="C1210" s="115">
        <v>43858</v>
      </c>
      <c r="D1210" s="312">
        <v>43894</v>
      </c>
      <c r="E1210" s="560"/>
      <c r="F1210" s="86" t="s">
        <v>4219</v>
      </c>
      <c r="G1210" s="86" t="s">
        <v>152</v>
      </c>
      <c r="H1210" s="96" t="s">
        <v>213</v>
      </c>
      <c r="I1210" s="97" t="s">
        <v>641</v>
      </c>
      <c r="J1210" s="73">
        <f t="shared" si="119"/>
        <v>1</v>
      </c>
      <c r="K1210" s="74" t="s">
        <v>204</v>
      </c>
      <c r="N1210" s="76" t="s">
        <v>17</v>
      </c>
      <c r="Q1210" s="76" t="s">
        <v>2076</v>
      </c>
      <c r="R1210" s="73">
        <f t="shared" si="120"/>
        <v>1</v>
      </c>
      <c r="S1210" s="260" t="s">
        <v>1976</v>
      </c>
      <c r="T1210" s="260"/>
      <c r="U1210" s="260"/>
      <c r="V1210" s="260"/>
      <c r="W1210" s="260"/>
      <c r="X1210" s="260"/>
      <c r="Y1210" s="565"/>
      <c r="Z1210" s="565"/>
      <c r="AA1210" s="566">
        <f t="shared" si="118"/>
        <v>0</v>
      </c>
      <c r="AB1210" s="699"/>
    </row>
    <row r="1211" spans="1:28" ht="15" customHeight="1" x14ac:dyDescent="0.3">
      <c r="A1211" s="96" t="s">
        <v>4167</v>
      </c>
      <c r="C1211" s="115">
        <v>43858</v>
      </c>
      <c r="D1211" s="312">
        <v>43895</v>
      </c>
      <c r="E1211" s="560"/>
      <c r="F1211" s="86" t="s">
        <v>4168</v>
      </c>
      <c r="G1211" s="86" t="s">
        <v>4169</v>
      </c>
      <c r="H1211" s="79" t="s">
        <v>268</v>
      </c>
      <c r="I1211" s="97" t="s">
        <v>4391</v>
      </c>
      <c r="J1211" s="73">
        <f t="shared" si="119"/>
        <v>1</v>
      </c>
      <c r="K1211" s="74" t="s">
        <v>204</v>
      </c>
      <c r="N1211" s="76" t="s">
        <v>18</v>
      </c>
      <c r="Q1211" s="76" t="s">
        <v>2142</v>
      </c>
      <c r="R1211" s="73">
        <f t="shared" si="120"/>
        <v>1</v>
      </c>
      <c r="S1211" s="260" t="s">
        <v>1976</v>
      </c>
      <c r="T1211" s="260"/>
      <c r="U1211" s="260"/>
      <c r="V1211" s="260"/>
      <c r="W1211" s="260"/>
      <c r="X1211" s="260"/>
      <c r="Y1211" s="565"/>
      <c r="Z1211" s="565"/>
      <c r="AA1211" s="566">
        <f t="shared" si="118"/>
        <v>0</v>
      </c>
      <c r="AB1211" s="699"/>
    </row>
    <row r="1212" spans="1:28" ht="15" customHeight="1" x14ac:dyDescent="0.3">
      <c r="A1212" s="79" t="s">
        <v>4220</v>
      </c>
      <c r="C1212" s="115">
        <v>43858</v>
      </c>
      <c r="D1212" s="312">
        <v>43895</v>
      </c>
      <c r="E1212" s="560"/>
      <c r="F1212" s="86" t="s">
        <v>4221</v>
      </c>
      <c r="G1212" s="86" t="s">
        <v>1328</v>
      </c>
      <c r="H1212" s="96" t="s">
        <v>213</v>
      </c>
      <c r="I1212" s="97" t="s">
        <v>649</v>
      </c>
      <c r="J1212" s="73">
        <f t="shared" si="119"/>
        <v>1</v>
      </c>
      <c r="K1212" s="74" t="s">
        <v>204</v>
      </c>
      <c r="L1212" s="97" t="s">
        <v>4592</v>
      </c>
      <c r="N1212" s="76" t="s">
        <v>17</v>
      </c>
      <c r="Q1212" s="76" t="s">
        <v>2076</v>
      </c>
      <c r="R1212" s="73">
        <f t="shared" si="120"/>
        <v>1</v>
      </c>
      <c r="S1212" s="260" t="s">
        <v>1976</v>
      </c>
      <c r="T1212" s="260"/>
      <c r="U1212" s="260"/>
      <c r="V1212" s="260"/>
      <c r="W1212" s="260"/>
      <c r="X1212" s="260"/>
      <c r="Y1212" s="565"/>
      <c r="Z1212" s="565"/>
      <c r="AA1212" s="566">
        <f t="shared" si="118"/>
        <v>0</v>
      </c>
      <c r="AB1212" s="699"/>
    </row>
    <row r="1213" spans="1:28" ht="15" customHeight="1" x14ac:dyDescent="0.3">
      <c r="A1213" s="96" t="s">
        <v>4194</v>
      </c>
      <c r="C1213" s="115">
        <v>43858</v>
      </c>
      <c r="D1213" s="312">
        <v>43895</v>
      </c>
      <c r="E1213" s="560"/>
      <c r="F1213" s="86" t="s">
        <v>4195</v>
      </c>
      <c r="G1213" s="86" t="s">
        <v>1042</v>
      </c>
      <c r="H1213" s="96" t="s">
        <v>213</v>
      </c>
      <c r="I1213" s="97" t="s">
        <v>722</v>
      </c>
      <c r="J1213" s="73">
        <f t="shared" si="119"/>
        <v>1</v>
      </c>
      <c r="K1213" s="74" t="s">
        <v>204</v>
      </c>
      <c r="N1213" s="76" t="s">
        <v>17</v>
      </c>
      <c r="Q1213" s="301" t="s">
        <v>2037</v>
      </c>
      <c r="R1213" s="73">
        <f t="shared" si="120"/>
        <v>1</v>
      </c>
      <c r="S1213" s="260" t="s">
        <v>1976</v>
      </c>
      <c r="T1213" s="260"/>
      <c r="U1213" s="260"/>
      <c r="V1213" s="260"/>
      <c r="W1213" s="260"/>
      <c r="X1213" s="260"/>
      <c r="Y1213" s="565"/>
      <c r="Z1213" s="565"/>
      <c r="AA1213" s="566">
        <f t="shared" si="118"/>
        <v>0</v>
      </c>
      <c r="AB1213" s="699"/>
    </row>
    <row r="1214" spans="1:28" ht="15" customHeight="1" x14ac:dyDescent="0.3">
      <c r="A1214" s="96" t="s">
        <v>4135</v>
      </c>
      <c r="C1214" s="115">
        <v>43858</v>
      </c>
      <c r="D1214" s="312">
        <v>43895</v>
      </c>
      <c r="E1214" s="560"/>
      <c r="F1214" s="86" t="s">
        <v>4136</v>
      </c>
      <c r="G1214" s="86" t="s">
        <v>156</v>
      </c>
      <c r="H1214" s="96" t="s">
        <v>213</v>
      </c>
      <c r="I1214" s="97" t="s">
        <v>642</v>
      </c>
      <c r="J1214" s="73">
        <f t="shared" si="119"/>
        <v>1</v>
      </c>
      <c r="K1214" s="74" t="s">
        <v>204</v>
      </c>
      <c r="N1214" s="76" t="s">
        <v>18</v>
      </c>
      <c r="Q1214" s="76" t="s">
        <v>2109</v>
      </c>
      <c r="R1214" s="73">
        <f t="shared" si="120"/>
        <v>1</v>
      </c>
      <c r="S1214" s="260" t="s">
        <v>1976</v>
      </c>
      <c r="T1214" s="260"/>
      <c r="U1214" s="260"/>
      <c r="V1214" s="260"/>
      <c r="W1214" s="260"/>
      <c r="X1214" s="260"/>
      <c r="Y1214" s="565"/>
      <c r="Z1214" s="565"/>
      <c r="AA1214" s="566">
        <f t="shared" ref="AA1214:AA1269" si="121">Z1214-Y1214</f>
        <v>0</v>
      </c>
      <c r="AB1214" s="699"/>
    </row>
    <row r="1215" spans="1:28" ht="15" customHeight="1" x14ac:dyDescent="0.3">
      <c r="A1215" s="96" t="s">
        <v>4091</v>
      </c>
      <c r="C1215" s="115">
        <v>43858</v>
      </c>
      <c r="D1215" s="312">
        <v>43895</v>
      </c>
      <c r="E1215" s="560"/>
      <c r="F1215" s="86" t="s">
        <v>4092</v>
      </c>
      <c r="G1215" s="86" t="s">
        <v>3771</v>
      </c>
      <c r="H1215" s="96" t="s">
        <v>213</v>
      </c>
      <c r="I1215" s="97" t="s">
        <v>714</v>
      </c>
      <c r="J1215" s="73">
        <f t="shared" si="119"/>
        <v>1</v>
      </c>
      <c r="K1215" s="74" t="s">
        <v>204</v>
      </c>
      <c r="N1215" s="76" t="s">
        <v>18</v>
      </c>
      <c r="Q1215" s="76" t="s">
        <v>2037</v>
      </c>
      <c r="R1215" s="73">
        <f t="shared" si="120"/>
        <v>1</v>
      </c>
      <c r="S1215" s="260" t="s">
        <v>1976</v>
      </c>
      <c r="T1215" s="260"/>
      <c r="U1215" s="260"/>
      <c r="V1215" s="260"/>
      <c r="W1215" s="260"/>
      <c r="X1215" s="260"/>
      <c r="Y1215" s="565"/>
      <c r="Z1215" s="565"/>
      <c r="AA1215" s="566">
        <f t="shared" si="121"/>
        <v>0</v>
      </c>
      <c r="AB1215" s="699"/>
    </row>
    <row r="1216" spans="1:28" ht="15" customHeight="1" x14ac:dyDescent="0.3">
      <c r="A1216" s="96" t="s">
        <v>4093</v>
      </c>
      <c r="C1216" s="115">
        <v>43859</v>
      </c>
      <c r="D1216" s="312">
        <v>43895</v>
      </c>
      <c r="E1216" s="560"/>
      <c r="F1216" s="86" t="s">
        <v>4094</v>
      </c>
      <c r="G1216" s="86" t="s">
        <v>538</v>
      </c>
      <c r="H1216" s="96" t="s">
        <v>213</v>
      </c>
      <c r="I1216" s="97" t="s">
        <v>714</v>
      </c>
      <c r="J1216" s="73">
        <f t="shared" si="119"/>
        <v>1</v>
      </c>
      <c r="K1216" s="74" t="s">
        <v>204</v>
      </c>
      <c r="N1216" s="76" t="s">
        <v>18</v>
      </c>
      <c r="Q1216" s="76" t="s">
        <v>2037</v>
      </c>
      <c r="R1216" s="73">
        <f t="shared" si="120"/>
        <v>1</v>
      </c>
      <c r="S1216" s="260" t="s">
        <v>1976</v>
      </c>
      <c r="T1216" s="260"/>
      <c r="U1216" s="260"/>
      <c r="V1216" s="260"/>
      <c r="W1216" s="260"/>
      <c r="X1216" s="260"/>
      <c r="Y1216" s="565"/>
      <c r="Z1216" s="565"/>
      <c r="AA1216" s="566">
        <f t="shared" si="121"/>
        <v>0</v>
      </c>
      <c r="AB1216" s="699"/>
    </row>
    <row r="1217" spans="1:28" ht="15" customHeight="1" x14ac:dyDescent="0.3">
      <c r="A1217" s="79" t="s">
        <v>4172</v>
      </c>
      <c r="C1217" s="115">
        <v>43859</v>
      </c>
      <c r="D1217" s="312">
        <v>43895</v>
      </c>
      <c r="E1217" s="560"/>
      <c r="F1217" s="86" t="s">
        <v>4173</v>
      </c>
      <c r="G1217" s="86" t="s">
        <v>152</v>
      </c>
      <c r="H1217" s="96" t="s">
        <v>213</v>
      </c>
      <c r="I1217" s="97" t="s">
        <v>641</v>
      </c>
      <c r="J1217" s="73">
        <f t="shared" si="119"/>
        <v>1</v>
      </c>
      <c r="K1217" s="74" t="s">
        <v>204</v>
      </c>
      <c r="N1217" s="76" t="s">
        <v>17</v>
      </c>
      <c r="Q1217" s="76" t="s">
        <v>2142</v>
      </c>
      <c r="R1217" s="73">
        <f t="shared" si="120"/>
        <v>1</v>
      </c>
      <c r="S1217" s="260" t="s">
        <v>1976</v>
      </c>
      <c r="T1217" s="260"/>
      <c r="U1217" s="260"/>
      <c r="V1217" s="260"/>
      <c r="W1217" s="260"/>
      <c r="X1217" s="260"/>
      <c r="Y1217" s="565"/>
      <c r="Z1217" s="565"/>
      <c r="AA1217" s="566">
        <f t="shared" si="121"/>
        <v>0</v>
      </c>
      <c r="AB1217" s="699"/>
    </row>
    <row r="1218" spans="1:28" ht="15" customHeight="1" x14ac:dyDescent="0.3">
      <c r="A1218" s="79" t="s">
        <v>4222</v>
      </c>
      <c r="C1218" s="115">
        <v>43859</v>
      </c>
      <c r="D1218" s="312">
        <v>43895</v>
      </c>
      <c r="E1218" s="560"/>
      <c r="F1218" s="86" t="s">
        <v>4223</v>
      </c>
      <c r="G1218" s="86" t="s">
        <v>150</v>
      </c>
      <c r="H1218" s="96" t="s">
        <v>213</v>
      </c>
      <c r="I1218" s="97" t="s">
        <v>714</v>
      </c>
      <c r="J1218" s="73">
        <f t="shared" si="119"/>
        <v>1</v>
      </c>
      <c r="K1218" s="74" t="s">
        <v>204</v>
      </c>
      <c r="N1218" s="76" t="s">
        <v>17</v>
      </c>
      <c r="Q1218" s="76" t="s">
        <v>2076</v>
      </c>
      <c r="R1218" s="73">
        <f t="shared" si="120"/>
        <v>1</v>
      </c>
      <c r="S1218" s="260" t="s">
        <v>1976</v>
      </c>
      <c r="T1218" s="260"/>
      <c r="U1218" s="260"/>
      <c r="V1218" s="260"/>
      <c r="W1218" s="260"/>
      <c r="X1218" s="260"/>
      <c r="Y1218" s="565"/>
      <c r="Z1218" s="565"/>
      <c r="AA1218" s="566">
        <f t="shared" si="121"/>
        <v>0</v>
      </c>
      <c r="AB1218" s="699"/>
    </row>
    <row r="1219" spans="1:28" ht="15" customHeight="1" x14ac:dyDescent="0.3">
      <c r="A1219" s="96" t="s">
        <v>4226</v>
      </c>
      <c r="C1219" s="115">
        <v>43859</v>
      </c>
      <c r="D1219" s="312">
        <v>43896</v>
      </c>
      <c r="E1219" s="560"/>
      <c r="F1219" s="86" t="s">
        <v>4227</v>
      </c>
      <c r="G1219" s="86" t="s">
        <v>154</v>
      </c>
      <c r="H1219" s="96" t="s">
        <v>213</v>
      </c>
      <c r="I1219" s="97" t="s">
        <v>642</v>
      </c>
      <c r="J1219" s="73">
        <f t="shared" si="119"/>
        <v>1</v>
      </c>
      <c r="K1219" s="74" t="s">
        <v>204</v>
      </c>
      <c r="N1219" s="76" t="s">
        <v>18</v>
      </c>
      <c r="Q1219" s="76" t="s">
        <v>2076</v>
      </c>
      <c r="R1219" s="73">
        <f t="shared" si="120"/>
        <v>1</v>
      </c>
      <c r="S1219" s="260" t="s">
        <v>1976</v>
      </c>
      <c r="T1219" s="260"/>
      <c r="U1219" s="260"/>
      <c r="V1219" s="260"/>
      <c r="W1219" s="260"/>
      <c r="X1219" s="260"/>
      <c r="Y1219" s="565"/>
      <c r="Z1219" s="565"/>
      <c r="AA1219" s="566">
        <f t="shared" si="121"/>
        <v>0</v>
      </c>
      <c r="AB1219" s="699"/>
    </row>
    <row r="1220" spans="1:28" ht="15" customHeight="1" x14ac:dyDescent="0.3">
      <c r="A1220" s="96" t="s">
        <v>4097</v>
      </c>
      <c r="C1220" s="115">
        <v>43859</v>
      </c>
      <c r="D1220" s="312">
        <v>43896</v>
      </c>
      <c r="E1220" s="560"/>
      <c r="F1220" s="86" t="s">
        <v>4098</v>
      </c>
      <c r="G1220" s="86" t="s">
        <v>158</v>
      </c>
      <c r="H1220" s="96" t="s">
        <v>213</v>
      </c>
      <c r="I1220" s="97" t="s">
        <v>714</v>
      </c>
      <c r="J1220" s="73">
        <f t="shared" si="119"/>
        <v>1</v>
      </c>
      <c r="K1220" s="74" t="s">
        <v>204</v>
      </c>
      <c r="N1220" s="76" t="s">
        <v>17</v>
      </c>
      <c r="Q1220" s="76" t="s">
        <v>2037</v>
      </c>
      <c r="R1220" s="73">
        <f t="shared" si="120"/>
        <v>1</v>
      </c>
      <c r="S1220" s="260" t="s">
        <v>1976</v>
      </c>
      <c r="T1220" s="260"/>
      <c r="U1220" s="260"/>
      <c r="V1220" s="260"/>
      <c r="W1220" s="260"/>
      <c r="X1220" s="260"/>
      <c r="Y1220" s="565"/>
      <c r="Z1220" s="565"/>
      <c r="AA1220" s="566">
        <f t="shared" si="121"/>
        <v>0</v>
      </c>
      <c r="AB1220" s="699"/>
    </row>
    <row r="1221" spans="1:28" ht="15" customHeight="1" x14ac:dyDescent="0.3">
      <c r="A1221" s="96" t="s">
        <v>4176</v>
      </c>
      <c r="C1221" s="115">
        <v>43859</v>
      </c>
      <c r="D1221" s="312">
        <v>43896</v>
      </c>
      <c r="E1221" s="560"/>
      <c r="F1221" s="86" t="s">
        <v>4177</v>
      </c>
      <c r="G1221" s="86" t="s">
        <v>152</v>
      </c>
      <c r="H1221" s="96" t="s">
        <v>213</v>
      </c>
      <c r="I1221" s="97" t="s">
        <v>714</v>
      </c>
      <c r="J1221" s="73">
        <f t="shared" si="119"/>
        <v>1</v>
      </c>
      <c r="K1221" s="74" t="s">
        <v>204</v>
      </c>
      <c r="L1221" s="97" t="s">
        <v>4603</v>
      </c>
      <c r="N1221" s="76" t="s">
        <v>18</v>
      </c>
      <c r="Q1221" s="76" t="s">
        <v>2142</v>
      </c>
      <c r="R1221" s="73">
        <f t="shared" si="120"/>
        <v>1</v>
      </c>
      <c r="S1221" s="260" t="s">
        <v>1976</v>
      </c>
      <c r="T1221" s="260"/>
      <c r="U1221" s="260"/>
      <c r="V1221" s="260"/>
      <c r="W1221" s="260"/>
      <c r="X1221" s="260"/>
      <c r="Y1221" s="565"/>
      <c r="Z1221" s="565"/>
      <c r="AA1221" s="566">
        <f t="shared" si="121"/>
        <v>0</v>
      </c>
      <c r="AB1221" s="699"/>
    </row>
    <row r="1222" spans="1:28" ht="15" customHeight="1" x14ac:dyDescent="0.3">
      <c r="A1222" s="96" t="s">
        <v>4228</v>
      </c>
      <c r="C1222" s="115">
        <v>43859</v>
      </c>
      <c r="D1222" s="312">
        <v>43896</v>
      </c>
      <c r="E1222" s="560"/>
      <c r="F1222" s="86" t="s">
        <v>4229</v>
      </c>
      <c r="G1222" s="86" t="s">
        <v>150</v>
      </c>
      <c r="H1222" s="96" t="s">
        <v>213</v>
      </c>
      <c r="I1222" s="97" t="s">
        <v>714</v>
      </c>
      <c r="J1222" s="73">
        <f t="shared" si="119"/>
        <v>1</v>
      </c>
      <c r="K1222" s="74" t="s">
        <v>204</v>
      </c>
      <c r="N1222" s="76" t="s">
        <v>17</v>
      </c>
      <c r="Q1222" s="76" t="s">
        <v>2076</v>
      </c>
      <c r="R1222" s="73">
        <f t="shared" si="120"/>
        <v>1</v>
      </c>
      <c r="S1222" s="260" t="s">
        <v>1976</v>
      </c>
      <c r="T1222" s="260"/>
      <c r="U1222" s="260"/>
      <c r="V1222" s="260"/>
      <c r="W1222" s="260"/>
      <c r="X1222" s="260"/>
      <c r="Y1222" s="565"/>
      <c r="Z1222" s="565"/>
      <c r="AA1222" s="566">
        <f t="shared" si="121"/>
        <v>0</v>
      </c>
      <c r="AB1222" s="699"/>
    </row>
    <row r="1223" spans="1:28" ht="15" customHeight="1" x14ac:dyDescent="0.3">
      <c r="A1223" s="96" t="s">
        <v>4137</v>
      </c>
      <c r="C1223" s="115">
        <v>43859</v>
      </c>
      <c r="D1223" s="312">
        <v>43896</v>
      </c>
      <c r="E1223" s="560"/>
      <c r="F1223" s="86" t="s">
        <v>4138</v>
      </c>
      <c r="G1223" s="86" t="s">
        <v>189</v>
      </c>
      <c r="H1223" s="96" t="s">
        <v>213</v>
      </c>
      <c r="I1223" s="97" t="s">
        <v>714</v>
      </c>
      <c r="J1223" s="73">
        <f t="shared" si="119"/>
        <v>1</v>
      </c>
      <c r="K1223" s="74" t="s">
        <v>204</v>
      </c>
      <c r="N1223" s="76" t="s">
        <v>18</v>
      </c>
      <c r="Q1223" s="76" t="s">
        <v>2109</v>
      </c>
      <c r="R1223" s="73">
        <f t="shared" si="120"/>
        <v>1</v>
      </c>
      <c r="S1223" s="260" t="s">
        <v>1976</v>
      </c>
      <c r="T1223" s="260"/>
      <c r="U1223" s="260"/>
      <c r="V1223" s="260"/>
      <c r="W1223" s="260"/>
      <c r="X1223" s="260"/>
      <c r="Y1223" s="565"/>
      <c r="Z1223" s="565"/>
      <c r="AA1223" s="566">
        <f t="shared" si="121"/>
        <v>0</v>
      </c>
      <c r="AB1223" s="699"/>
    </row>
    <row r="1224" spans="1:28" ht="15" customHeight="1" x14ac:dyDescent="0.3">
      <c r="A1224" s="96" t="s">
        <v>4099</v>
      </c>
      <c r="C1224" s="115">
        <v>43859</v>
      </c>
      <c r="D1224" s="312">
        <v>43896</v>
      </c>
      <c r="E1224" s="560"/>
      <c r="F1224" s="86" t="s">
        <v>4100</v>
      </c>
      <c r="G1224" s="86" t="s">
        <v>150</v>
      </c>
      <c r="H1224" s="96" t="s">
        <v>213</v>
      </c>
      <c r="I1224" s="97" t="s">
        <v>714</v>
      </c>
      <c r="J1224" s="73">
        <f t="shared" si="119"/>
        <v>1</v>
      </c>
      <c r="K1224" s="74" t="s">
        <v>204</v>
      </c>
      <c r="N1224" s="76" t="s">
        <v>18</v>
      </c>
      <c r="Q1224" s="76" t="s">
        <v>2037</v>
      </c>
      <c r="R1224" s="73">
        <f t="shared" si="120"/>
        <v>1</v>
      </c>
      <c r="S1224" s="260" t="s">
        <v>1976</v>
      </c>
      <c r="T1224" s="260"/>
      <c r="U1224" s="260"/>
      <c r="V1224" s="260"/>
      <c r="W1224" s="260"/>
      <c r="X1224" s="260"/>
      <c r="Y1224" s="565"/>
      <c r="Z1224" s="565"/>
      <c r="AA1224" s="566">
        <f t="shared" si="121"/>
        <v>0</v>
      </c>
      <c r="AB1224" s="699"/>
    </row>
    <row r="1225" spans="1:28" ht="15" customHeight="1" x14ac:dyDescent="0.3">
      <c r="A1225" s="96" t="s">
        <v>4139</v>
      </c>
      <c r="C1225" s="115">
        <v>43859</v>
      </c>
      <c r="D1225" s="312">
        <v>43896</v>
      </c>
      <c r="E1225" s="560"/>
      <c r="F1225" s="86" t="s">
        <v>4140</v>
      </c>
      <c r="G1225" s="86" t="s">
        <v>158</v>
      </c>
      <c r="H1225" s="96" t="s">
        <v>213</v>
      </c>
      <c r="I1225" s="97" t="s">
        <v>714</v>
      </c>
      <c r="J1225" s="73">
        <f t="shared" si="119"/>
        <v>1</v>
      </c>
      <c r="K1225" s="74" t="s">
        <v>204</v>
      </c>
      <c r="N1225" s="76" t="s">
        <v>18</v>
      </c>
      <c r="Q1225" s="76" t="s">
        <v>2109</v>
      </c>
      <c r="R1225" s="73">
        <f t="shared" si="120"/>
        <v>1</v>
      </c>
      <c r="S1225" s="260" t="s">
        <v>1976</v>
      </c>
      <c r="T1225" s="260"/>
      <c r="U1225" s="260"/>
      <c r="V1225" s="260"/>
      <c r="W1225" s="260"/>
      <c r="X1225" s="260"/>
      <c r="Y1225" s="565"/>
      <c r="Z1225" s="565"/>
      <c r="AA1225" s="566">
        <f t="shared" si="121"/>
        <v>0</v>
      </c>
      <c r="AB1225" s="699"/>
    </row>
    <row r="1226" spans="1:28" ht="15" customHeight="1" x14ac:dyDescent="0.3">
      <c r="A1226" s="96" t="s">
        <v>4101</v>
      </c>
      <c r="C1226" s="115">
        <v>43860</v>
      </c>
      <c r="D1226" s="312">
        <v>43896</v>
      </c>
      <c r="E1226" s="560"/>
      <c r="F1226" s="86" t="s">
        <v>4102</v>
      </c>
      <c r="G1226" s="86" t="s">
        <v>172</v>
      </c>
      <c r="H1226" s="96" t="s">
        <v>213</v>
      </c>
      <c r="I1226" s="97" t="s">
        <v>642</v>
      </c>
      <c r="J1226" s="73">
        <f t="shared" si="119"/>
        <v>1</v>
      </c>
      <c r="K1226" s="74" t="s">
        <v>204</v>
      </c>
      <c r="N1226" s="76" t="s">
        <v>18</v>
      </c>
      <c r="Q1226" s="76" t="s">
        <v>2037</v>
      </c>
      <c r="R1226" s="73">
        <f t="shared" si="120"/>
        <v>1</v>
      </c>
      <c r="S1226" s="260" t="s">
        <v>1976</v>
      </c>
      <c r="T1226" s="260"/>
      <c r="U1226" s="260"/>
      <c r="V1226" s="260"/>
      <c r="W1226" s="260"/>
      <c r="X1226" s="260"/>
      <c r="Y1226" s="565"/>
      <c r="Z1226" s="565"/>
      <c r="AA1226" s="566">
        <f t="shared" si="121"/>
        <v>0</v>
      </c>
      <c r="AB1226" s="699"/>
    </row>
    <row r="1227" spans="1:28" ht="15" customHeight="1" x14ac:dyDescent="0.3">
      <c r="A1227" s="96" t="s">
        <v>4143</v>
      </c>
      <c r="C1227" s="115">
        <v>43860</v>
      </c>
      <c r="D1227" s="312">
        <v>43896</v>
      </c>
      <c r="E1227" s="560"/>
      <c r="F1227" s="86" t="s">
        <v>4144</v>
      </c>
      <c r="G1227" s="86" t="s">
        <v>156</v>
      </c>
      <c r="H1227" s="96" t="s">
        <v>213</v>
      </c>
      <c r="I1227" s="97" t="s">
        <v>642</v>
      </c>
      <c r="J1227" s="73">
        <f t="shared" si="119"/>
        <v>1</v>
      </c>
      <c r="K1227" s="74" t="s">
        <v>204</v>
      </c>
      <c r="N1227" s="76" t="s">
        <v>18</v>
      </c>
      <c r="Q1227" s="76" t="s">
        <v>2109</v>
      </c>
      <c r="R1227" s="73">
        <f t="shared" si="120"/>
        <v>1</v>
      </c>
      <c r="S1227" s="260" t="s">
        <v>1976</v>
      </c>
      <c r="T1227" s="260"/>
      <c r="U1227" s="260"/>
      <c r="V1227" s="260"/>
      <c r="W1227" s="260"/>
      <c r="X1227" s="260"/>
      <c r="Y1227" s="565"/>
      <c r="Z1227" s="565"/>
      <c r="AA1227" s="566">
        <f t="shared" si="121"/>
        <v>0</v>
      </c>
      <c r="AB1227" s="699"/>
    </row>
    <row r="1228" spans="1:28" ht="15" customHeight="1" x14ac:dyDescent="0.3">
      <c r="A1228" s="96" t="s">
        <v>4178</v>
      </c>
      <c r="C1228" s="115">
        <v>43860</v>
      </c>
      <c r="D1228" s="312">
        <v>43896</v>
      </c>
      <c r="E1228" s="560"/>
      <c r="F1228" s="86" t="s">
        <v>4179</v>
      </c>
      <c r="G1228" s="86" t="s">
        <v>147</v>
      </c>
      <c r="H1228" s="96" t="s">
        <v>213</v>
      </c>
      <c r="I1228" s="97" t="s">
        <v>714</v>
      </c>
      <c r="J1228" s="73">
        <f t="shared" si="119"/>
        <v>1</v>
      </c>
      <c r="K1228" s="74" t="s">
        <v>204</v>
      </c>
      <c r="N1228" s="76" t="s">
        <v>17</v>
      </c>
      <c r="Q1228" s="76" t="s">
        <v>2142</v>
      </c>
      <c r="R1228" s="73">
        <f t="shared" si="120"/>
        <v>1</v>
      </c>
      <c r="S1228" s="260" t="s">
        <v>1976</v>
      </c>
      <c r="T1228" s="260"/>
      <c r="U1228" s="260"/>
      <c r="V1228" s="260"/>
      <c r="W1228" s="260"/>
      <c r="X1228" s="260"/>
      <c r="Y1228" s="565"/>
      <c r="Z1228" s="565"/>
      <c r="AA1228" s="566">
        <f t="shared" si="121"/>
        <v>0</v>
      </c>
      <c r="AB1228" s="699"/>
    </row>
    <row r="1229" spans="1:28" ht="15" customHeight="1" x14ac:dyDescent="0.3">
      <c r="A1229" s="96" t="s">
        <v>4236</v>
      </c>
      <c r="C1229" s="115">
        <v>43860</v>
      </c>
      <c r="D1229" s="312">
        <v>43896</v>
      </c>
      <c r="E1229" s="560"/>
      <c r="F1229" s="86" t="s">
        <v>4237</v>
      </c>
      <c r="G1229" s="86" t="s">
        <v>152</v>
      </c>
      <c r="H1229" s="96" t="s">
        <v>213</v>
      </c>
      <c r="I1229" s="97" t="s">
        <v>722</v>
      </c>
      <c r="J1229" s="73">
        <f t="shared" si="119"/>
        <v>1</v>
      </c>
      <c r="K1229" s="74" t="s">
        <v>204</v>
      </c>
      <c r="N1229" s="76" t="s">
        <v>17</v>
      </c>
      <c r="Q1229" s="76" t="s">
        <v>2076</v>
      </c>
      <c r="R1229" s="73">
        <f t="shared" si="120"/>
        <v>1</v>
      </c>
      <c r="S1229" s="260" t="s">
        <v>1976</v>
      </c>
      <c r="T1229" s="260"/>
      <c r="U1229" s="260"/>
      <c r="V1229" s="260"/>
      <c r="W1229" s="260"/>
      <c r="X1229" s="260"/>
      <c r="Y1229" s="565"/>
      <c r="Z1229" s="565"/>
      <c r="AA1229" s="566">
        <f t="shared" si="121"/>
        <v>0</v>
      </c>
      <c r="AB1229" s="699"/>
    </row>
    <row r="1230" spans="1:28" ht="15" customHeight="1" x14ac:dyDescent="0.3">
      <c r="A1230" s="79" t="s">
        <v>4416</v>
      </c>
      <c r="C1230" s="115">
        <v>43867</v>
      </c>
      <c r="D1230" s="312">
        <v>43892</v>
      </c>
      <c r="E1230" s="560"/>
      <c r="F1230" s="86" t="s">
        <v>4501</v>
      </c>
      <c r="G1230" s="86" t="s">
        <v>152</v>
      </c>
      <c r="H1230" s="96" t="s">
        <v>213</v>
      </c>
      <c r="I1230" s="97" t="s">
        <v>1204</v>
      </c>
      <c r="J1230" s="73">
        <f t="shared" si="119"/>
        <v>1</v>
      </c>
      <c r="K1230" s="74" t="s">
        <v>204</v>
      </c>
      <c r="N1230" s="76" t="s">
        <v>18</v>
      </c>
      <c r="Q1230" s="76" t="s">
        <v>2037</v>
      </c>
      <c r="R1230" s="73">
        <f t="shared" si="120"/>
        <v>1</v>
      </c>
      <c r="S1230" s="260" t="s">
        <v>1976</v>
      </c>
      <c r="T1230" s="260"/>
      <c r="U1230" s="260"/>
      <c r="V1230" s="260"/>
      <c r="W1230" s="260"/>
      <c r="X1230" s="260"/>
      <c r="Y1230" s="565"/>
      <c r="Z1230" s="565"/>
      <c r="AA1230" s="566">
        <f t="shared" si="121"/>
        <v>0</v>
      </c>
      <c r="AB1230" s="699"/>
    </row>
    <row r="1231" spans="1:28" ht="15" customHeight="1" x14ac:dyDescent="0.3">
      <c r="A1231" s="96" t="s">
        <v>4417</v>
      </c>
      <c r="C1231" s="115">
        <v>43867</v>
      </c>
      <c r="D1231" s="312">
        <v>43892</v>
      </c>
      <c r="E1231" s="560"/>
      <c r="F1231" s="86" t="s">
        <v>4502</v>
      </c>
      <c r="G1231" s="86" t="s">
        <v>152</v>
      </c>
      <c r="H1231" s="96" t="s">
        <v>213</v>
      </c>
      <c r="I1231" s="97" t="s">
        <v>722</v>
      </c>
      <c r="J1231" s="73">
        <f t="shared" si="119"/>
        <v>1</v>
      </c>
      <c r="K1231" s="74" t="s">
        <v>204</v>
      </c>
      <c r="L1231" s="97" t="s">
        <v>4581</v>
      </c>
      <c r="N1231" s="76" t="s">
        <v>18</v>
      </c>
      <c r="Q1231" s="76" t="s">
        <v>2109</v>
      </c>
      <c r="R1231" s="73">
        <f t="shared" si="120"/>
        <v>1</v>
      </c>
      <c r="S1231" s="260" t="s">
        <v>1976</v>
      </c>
      <c r="T1231" s="260"/>
      <c r="U1231" s="260"/>
      <c r="V1231" s="260"/>
      <c r="W1231" s="260"/>
      <c r="X1231" s="260"/>
      <c r="Y1231" s="565"/>
      <c r="Z1231" s="565"/>
      <c r="AA1231" s="566">
        <f t="shared" si="121"/>
        <v>0</v>
      </c>
      <c r="AB1231" s="699"/>
    </row>
    <row r="1232" spans="1:28" ht="15" customHeight="1" x14ac:dyDescent="0.3">
      <c r="A1232" s="79" t="s">
        <v>4419</v>
      </c>
      <c r="C1232" s="115">
        <v>43867</v>
      </c>
      <c r="D1232" s="312">
        <v>43892</v>
      </c>
      <c r="E1232" s="560"/>
      <c r="F1232" s="86" t="s">
        <v>4504</v>
      </c>
      <c r="G1232" s="86" t="s">
        <v>157</v>
      </c>
      <c r="H1232" s="96" t="s">
        <v>213</v>
      </c>
      <c r="I1232" s="97" t="s">
        <v>649</v>
      </c>
      <c r="J1232" s="73">
        <f t="shared" si="119"/>
        <v>1</v>
      </c>
      <c r="K1232" s="74" t="s">
        <v>204</v>
      </c>
      <c r="N1232" s="76" t="s">
        <v>17</v>
      </c>
      <c r="Q1232" s="76" t="s">
        <v>2076</v>
      </c>
      <c r="R1232" s="73">
        <f t="shared" si="120"/>
        <v>1</v>
      </c>
      <c r="S1232" s="260" t="s">
        <v>1976</v>
      </c>
      <c r="T1232" s="260"/>
      <c r="U1232" s="260"/>
      <c r="V1232" s="260"/>
      <c r="W1232" s="260"/>
      <c r="X1232" s="260"/>
      <c r="Y1232" s="565"/>
      <c r="Z1232" s="565"/>
      <c r="AA1232" s="566">
        <f t="shared" si="121"/>
        <v>0</v>
      </c>
      <c r="AB1232" s="699"/>
    </row>
    <row r="1233" spans="1:28" ht="15" customHeight="1" x14ac:dyDescent="0.3">
      <c r="A1233" s="96" t="s">
        <v>4421</v>
      </c>
      <c r="C1233" s="115">
        <v>43867</v>
      </c>
      <c r="D1233" s="312">
        <v>43892</v>
      </c>
      <c r="E1233" s="560"/>
      <c r="F1233" s="86" t="s">
        <v>4506</v>
      </c>
      <c r="G1233" s="86" t="s">
        <v>1042</v>
      </c>
      <c r="H1233" s="96" t="s">
        <v>213</v>
      </c>
      <c r="I1233" s="97" t="s">
        <v>2478</v>
      </c>
      <c r="J1233" s="73">
        <f t="shared" ref="J1233:J1253" si="122">IF(OR(K1233="Документы готовы",K1233="Запрос в ФО",K1233="ЭЗ",K1233="РЕШ",K1233="РЕШ шаблон"),0.1,IF(OR(K1233="ЭЗ согласование",K1233="РЕШ согласование"),0.3,IF(OR(K1233="ЭЗ согласовано",K1233="РЕШ согласовано",K1233="РЕШ подписано"),0.6,IF(OR(K1233="ЭЗ ПР согласование",K1233="РЕШ УВ согласование"),0.9,IF(OR(K1233="ЭЗ ПР DONE",K1233="РЕШ УВ DONE"),1,0)))))</f>
        <v>1</v>
      </c>
      <c r="K1233" s="74" t="s">
        <v>204</v>
      </c>
      <c r="N1233" s="76" t="s">
        <v>17</v>
      </c>
      <c r="Q1233" s="76" t="s">
        <v>2142</v>
      </c>
      <c r="R1233" s="73">
        <f t="shared" ref="R1233:R1253" si="123">IF(S1233="В работе",0.3,IF(S1233="Отписано",0.6,IF(S1233="На доработку",0.9,IF(S1233="Согласовано",1,0))))</f>
        <v>1</v>
      </c>
      <c r="S1233" s="260" t="s">
        <v>1976</v>
      </c>
      <c r="T1233" s="260"/>
      <c r="U1233" s="260"/>
      <c r="V1233" s="260"/>
      <c r="W1233" s="260"/>
      <c r="X1233" s="260"/>
      <c r="Y1233" s="565"/>
      <c r="Z1233" s="565"/>
      <c r="AA1233" s="566">
        <f t="shared" si="121"/>
        <v>0</v>
      </c>
      <c r="AB1233" s="699"/>
    </row>
    <row r="1234" spans="1:28" ht="15" customHeight="1" x14ac:dyDescent="0.3">
      <c r="A1234" s="79" t="s">
        <v>4424</v>
      </c>
      <c r="C1234" s="115">
        <v>43867</v>
      </c>
      <c r="D1234" s="312">
        <v>43892</v>
      </c>
      <c r="E1234" s="560"/>
      <c r="F1234" s="86" t="s">
        <v>4509</v>
      </c>
      <c r="G1234" s="86" t="s">
        <v>150</v>
      </c>
      <c r="H1234" s="96" t="s">
        <v>213</v>
      </c>
      <c r="I1234" s="97" t="s">
        <v>3187</v>
      </c>
      <c r="J1234" s="73">
        <f t="shared" si="122"/>
        <v>1</v>
      </c>
      <c r="K1234" s="74" t="s">
        <v>204</v>
      </c>
      <c r="N1234" s="76" t="s">
        <v>19</v>
      </c>
      <c r="Q1234" s="76" t="s">
        <v>2037</v>
      </c>
      <c r="R1234" s="73">
        <f t="shared" si="123"/>
        <v>1</v>
      </c>
      <c r="S1234" s="260" t="s">
        <v>1976</v>
      </c>
      <c r="T1234" s="260"/>
      <c r="U1234" s="260"/>
      <c r="V1234" s="260"/>
      <c r="W1234" s="260"/>
      <c r="X1234" s="260"/>
      <c r="Y1234" s="565"/>
      <c r="Z1234" s="565"/>
      <c r="AA1234" s="566">
        <f t="shared" si="121"/>
        <v>0</v>
      </c>
      <c r="AB1234" s="699"/>
    </row>
    <row r="1235" spans="1:28" ht="15" customHeight="1" x14ac:dyDescent="0.3">
      <c r="A1235" s="79" t="s">
        <v>4425</v>
      </c>
      <c r="C1235" s="115">
        <v>43867</v>
      </c>
      <c r="D1235" s="312">
        <v>43892</v>
      </c>
      <c r="E1235" s="560"/>
      <c r="F1235" s="86" t="s">
        <v>4510</v>
      </c>
      <c r="G1235" s="86" t="s">
        <v>150</v>
      </c>
      <c r="H1235" s="96" t="s">
        <v>213</v>
      </c>
      <c r="I1235" s="97" t="s">
        <v>973</v>
      </c>
      <c r="J1235" s="73">
        <f t="shared" si="122"/>
        <v>1</v>
      </c>
      <c r="K1235" s="74" t="s">
        <v>204</v>
      </c>
      <c r="N1235" s="76" t="s">
        <v>17</v>
      </c>
      <c r="Q1235" s="76" t="s">
        <v>2417</v>
      </c>
      <c r="R1235" s="73">
        <f t="shared" si="123"/>
        <v>1</v>
      </c>
      <c r="S1235" s="260" t="s">
        <v>1976</v>
      </c>
      <c r="T1235" s="260"/>
      <c r="U1235" s="260"/>
      <c r="V1235" s="260"/>
      <c r="W1235" s="260"/>
      <c r="X1235" s="260"/>
      <c r="Y1235" s="565"/>
      <c r="Z1235" s="565"/>
      <c r="AA1235" s="566">
        <f t="shared" si="121"/>
        <v>0</v>
      </c>
      <c r="AB1235" s="699"/>
    </row>
    <row r="1236" spans="1:28" ht="15" customHeight="1" x14ac:dyDescent="0.3">
      <c r="A1236" s="79" t="s">
        <v>4427</v>
      </c>
      <c r="C1236" s="115">
        <v>43867</v>
      </c>
      <c r="D1236" s="312">
        <v>43892</v>
      </c>
      <c r="E1236" s="560"/>
      <c r="F1236" s="86" t="s">
        <v>4512</v>
      </c>
      <c r="G1236" s="86" t="s">
        <v>152</v>
      </c>
      <c r="H1236" s="96" t="s">
        <v>213</v>
      </c>
      <c r="I1236" s="97" t="s">
        <v>649</v>
      </c>
      <c r="J1236" s="73">
        <f t="shared" si="122"/>
        <v>1</v>
      </c>
      <c r="K1236" s="74" t="s">
        <v>204</v>
      </c>
      <c r="N1236" s="76" t="s">
        <v>17</v>
      </c>
      <c r="Q1236" s="76" t="s">
        <v>2076</v>
      </c>
      <c r="R1236" s="73">
        <f t="shared" si="123"/>
        <v>1</v>
      </c>
      <c r="S1236" s="260" t="s">
        <v>1976</v>
      </c>
      <c r="T1236" s="260"/>
      <c r="U1236" s="260"/>
      <c r="V1236" s="260"/>
      <c r="W1236" s="260"/>
      <c r="X1236" s="260"/>
      <c r="Y1236" s="565"/>
      <c r="Z1236" s="565"/>
      <c r="AA1236" s="566">
        <f t="shared" si="121"/>
        <v>0</v>
      </c>
      <c r="AB1236" s="699"/>
    </row>
    <row r="1237" spans="1:28" ht="15" customHeight="1" x14ac:dyDescent="0.3">
      <c r="A1237" s="79" t="s">
        <v>4430</v>
      </c>
      <c r="C1237" s="115">
        <v>43868</v>
      </c>
      <c r="D1237" s="312">
        <v>43893</v>
      </c>
      <c r="E1237" s="560"/>
      <c r="F1237" s="86" t="s">
        <v>4515</v>
      </c>
      <c r="G1237" s="86" t="s">
        <v>156</v>
      </c>
      <c r="H1237" s="96" t="s">
        <v>213</v>
      </c>
      <c r="I1237" s="97" t="s">
        <v>649</v>
      </c>
      <c r="J1237" s="73">
        <f t="shared" si="122"/>
        <v>1</v>
      </c>
      <c r="K1237" s="74" t="s">
        <v>204</v>
      </c>
      <c r="N1237" s="76" t="s">
        <v>19</v>
      </c>
      <c r="Q1237" s="76" t="s">
        <v>2109</v>
      </c>
      <c r="R1237" s="73">
        <f t="shared" si="123"/>
        <v>1</v>
      </c>
      <c r="S1237" s="260" t="s">
        <v>1976</v>
      </c>
      <c r="T1237" s="260"/>
      <c r="U1237" s="260"/>
      <c r="V1237" s="260"/>
      <c r="W1237" s="260"/>
      <c r="X1237" s="260"/>
      <c r="Y1237" s="565"/>
      <c r="Z1237" s="565"/>
      <c r="AA1237" s="566">
        <f t="shared" si="121"/>
        <v>0</v>
      </c>
      <c r="AB1237" s="699"/>
    </row>
    <row r="1238" spans="1:28" ht="15" customHeight="1" x14ac:dyDescent="0.3">
      <c r="A1238" s="79" t="s">
        <v>4433</v>
      </c>
      <c r="C1238" s="115">
        <v>43868</v>
      </c>
      <c r="D1238" s="312">
        <v>43892</v>
      </c>
      <c r="E1238" s="560"/>
      <c r="F1238" s="86" t="s">
        <v>4518</v>
      </c>
      <c r="G1238" s="86" t="s">
        <v>152</v>
      </c>
      <c r="H1238" s="96" t="s">
        <v>213</v>
      </c>
      <c r="I1238" s="97" t="s">
        <v>1113</v>
      </c>
      <c r="J1238" s="73">
        <f t="shared" si="122"/>
        <v>1</v>
      </c>
      <c r="K1238" s="74" t="s">
        <v>204</v>
      </c>
      <c r="N1238" s="76" t="s">
        <v>18</v>
      </c>
      <c r="Q1238" s="76" t="s">
        <v>2037</v>
      </c>
      <c r="R1238" s="73">
        <f t="shared" si="123"/>
        <v>1</v>
      </c>
      <c r="S1238" s="260" t="s">
        <v>1976</v>
      </c>
      <c r="T1238" s="260"/>
      <c r="U1238" s="260"/>
      <c r="V1238" s="260"/>
      <c r="W1238" s="260"/>
      <c r="X1238" s="260"/>
      <c r="Y1238" s="565"/>
      <c r="Z1238" s="565"/>
      <c r="AA1238" s="566">
        <f t="shared" si="121"/>
        <v>0</v>
      </c>
      <c r="AB1238" s="699"/>
    </row>
    <row r="1239" spans="1:28" ht="15" customHeight="1" x14ac:dyDescent="0.3">
      <c r="A1239" s="96" t="s">
        <v>4434</v>
      </c>
      <c r="C1239" s="115">
        <v>43868</v>
      </c>
      <c r="D1239" s="312">
        <v>43893</v>
      </c>
      <c r="E1239" s="560"/>
      <c r="F1239" s="86" t="s">
        <v>4519</v>
      </c>
      <c r="G1239" s="86" t="s">
        <v>152</v>
      </c>
      <c r="H1239" s="96" t="s">
        <v>213</v>
      </c>
      <c r="I1239" s="97" t="s">
        <v>649</v>
      </c>
      <c r="J1239" s="73">
        <f t="shared" si="122"/>
        <v>1</v>
      </c>
      <c r="K1239" s="74" t="s">
        <v>204</v>
      </c>
      <c r="N1239" s="76" t="s">
        <v>18</v>
      </c>
      <c r="Q1239" s="76" t="s">
        <v>2109</v>
      </c>
      <c r="R1239" s="73">
        <f t="shared" si="123"/>
        <v>1</v>
      </c>
      <c r="S1239" s="260" t="s">
        <v>1976</v>
      </c>
      <c r="T1239" s="260"/>
      <c r="U1239" s="260"/>
      <c r="V1239" s="260"/>
      <c r="W1239" s="260"/>
      <c r="X1239" s="260"/>
      <c r="Y1239" s="565"/>
      <c r="Z1239" s="565"/>
      <c r="AA1239" s="566">
        <f t="shared" si="121"/>
        <v>0</v>
      </c>
      <c r="AB1239" s="699"/>
    </row>
    <row r="1240" spans="1:28" ht="15" customHeight="1" x14ac:dyDescent="0.3">
      <c r="A1240" s="96" t="s">
        <v>4435</v>
      </c>
      <c r="C1240" s="115">
        <v>43868</v>
      </c>
      <c r="D1240" s="312">
        <v>43893</v>
      </c>
      <c r="E1240" s="560"/>
      <c r="F1240" s="86" t="s">
        <v>4520</v>
      </c>
      <c r="G1240" s="86" t="s">
        <v>152</v>
      </c>
      <c r="H1240" s="96" t="s">
        <v>213</v>
      </c>
      <c r="I1240" s="97" t="s">
        <v>649</v>
      </c>
      <c r="J1240" s="73">
        <f t="shared" si="122"/>
        <v>1</v>
      </c>
      <c r="K1240" s="74" t="s">
        <v>204</v>
      </c>
      <c r="N1240" s="76" t="s">
        <v>18</v>
      </c>
      <c r="Q1240" s="76" t="s">
        <v>2142</v>
      </c>
      <c r="R1240" s="73">
        <f t="shared" si="123"/>
        <v>1</v>
      </c>
      <c r="S1240" s="260" t="s">
        <v>1976</v>
      </c>
      <c r="T1240" s="260"/>
      <c r="U1240" s="260"/>
      <c r="V1240" s="260"/>
      <c r="W1240" s="260"/>
      <c r="X1240" s="260"/>
      <c r="Y1240" s="565"/>
      <c r="Z1240" s="565"/>
      <c r="AA1240" s="566">
        <f t="shared" si="121"/>
        <v>0</v>
      </c>
      <c r="AB1240" s="699"/>
    </row>
    <row r="1241" spans="1:28" ht="15" customHeight="1" x14ac:dyDescent="0.3">
      <c r="A1241" s="79" t="s">
        <v>4437</v>
      </c>
      <c r="C1241" s="115">
        <v>43868</v>
      </c>
      <c r="D1241" s="312">
        <v>43893</v>
      </c>
      <c r="E1241" s="560"/>
      <c r="F1241" s="86" t="s">
        <v>4522</v>
      </c>
      <c r="G1241" s="86" t="s">
        <v>152</v>
      </c>
      <c r="H1241" s="96" t="s">
        <v>213</v>
      </c>
      <c r="I1241" s="97" t="s">
        <v>3150</v>
      </c>
      <c r="J1241" s="73">
        <f t="shared" si="122"/>
        <v>1</v>
      </c>
      <c r="K1241" s="74" t="s">
        <v>204</v>
      </c>
      <c r="N1241" s="76" t="s">
        <v>18</v>
      </c>
      <c r="Q1241" s="76" t="s">
        <v>2076</v>
      </c>
      <c r="R1241" s="73">
        <f t="shared" si="123"/>
        <v>1</v>
      </c>
      <c r="S1241" s="260" t="s">
        <v>1976</v>
      </c>
      <c r="T1241" s="260"/>
      <c r="U1241" s="260"/>
      <c r="V1241" s="260"/>
      <c r="W1241" s="260"/>
      <c r="X1241" s="260"/>
      <c r="Y1241" s="565"/>
      <c r="Z1241" s="565"/>
      <c r="AA1241" s="566">
        <f t="shared" si="121"/>
        <v>0</v>
      </c>
      <c r="AB1241" s="699"/>
    </row>
    <row r="1242" spans="1:28" ht="15" customHeight="1" x14ac:dyDescent="0.3">
      <c r="A1242" s="79" t="s">
        <v>4440</v>
      </c>
      <c r="C1242" s="115">
        <v>43868</v>
      </c>
      <c r="D1242" s="312">
        <v>43893</v>
      </c>
      <c r="E1242" s="560"/>
      <c r="F1242" s="86" t="s">
        <v>4525</v>
      </c>
      <c r="G1242" s="86" t="s">
        <v>152</v>
      </c>
      <c r="H1242" s="96" t="s">
        <v>213</v>
      </c>
      <c r="I1242" s="97" t="s">
        <v>649</v>
      </c>
      <c r="J1242" s="73">
        <f t="shared" si="122"/>
        <v>1</v>
      </c>
      <c r="K1242" s="74" t="s">
        <v>204</v>
      </c>
      <c r="M1242" s="79">
        <v>0</v>
      </c>
      <c r="N1242" s="76" t="s">
        <v>18</v>
      </c>
      <c r="Q1242" s="76" t="s">
        <v>2417</v>
      </c>
      <c r="R1242" s="73">
        <f t="shared" si="123"/>
        <v>1</v>
      </c>
      <c r="S1242" s="260" t="s">
        <v>1976</v>
      </c>
      <c r="T1242" s="260"/>
      <c r="U1242" s="260"/>
      <c r="V1242" s="260"/>
      <c r="W1242" s="260"/>
      <c r="X1242" s="260"/>
      <c r="Y1242" s="565"/>
      <c r="Z1242" s="565"/>
      <c r="AA1242" s="566">
        <f t="shared" si="121"/>
        <v>0</v>
      </c>
      <c r="AB1242" s="699"/>
    </row>
    <row r="1243" spans="1:28" ht="15" customHeight="1" x14ac:dyDescent="0.3">
      <c r="A1243" s="96" t="s">
        <v>4448</v>
      </c>
      <c r="C1243" s="115">
        <v>43871</v>
      </c>
      <c r="D1243" s="312">
        <v>43894</v>
      </c>
      <c r="E1243" s="560"/>
      <c r="F1243" s="86" t="s">
        <v>4533</v>
      </c>
      <c r="G1243" s="86" t="s">
        <v>175</v>
      </c>
      <c r="H1243" s="96" t="s">
        <v>213</v>
      </c>
      <c r="I1243" s="97" t="s">
        <v>658</v>
      </c>
      <c r="J1243" s="73">
        <f t="shared" si="122"/>
        <v>1</v>
      </c>
      <c r="K1243" s="74" t="s">
        <v>204</v>
      </c>
      <c r="N1243" s="76" t="s">
        <v>17</v>
      </c>
      <c r="Q1243" s="76" t="s">
        <v>2142</v>
      </c>
      <c r="R1243" s="73">
        <f t="shared" si="123"/>
        <v>1</v>
      </c>
      <c r="S1243" s="260" t="s">
        <v>1976</v>
      </c>
      <c r="T1243" s="260"/>
      <c r="U1243" s="260"/>
      <c r="V1243" s="260"/>
      <c r="W1243" s="260"/>
      <c r="X1243" s="260"/>
      <c r="Y1243" s="565"/>
      <c r="Z1243" s="565"/>
      <c r="AA1243" s="566">
        <f t="shared" si="121"/>
        <v>0</v>
      </c>
      <c r="AB1243" s="699"/>
    </row>
    <row r="1244" spans="1:28" ht="15" customHeight="1" x14ac:dyDescent="0.3">
      <c r="A1244" s="96" t="s">
        <v>4452</v>
      </c>
      <c r="C1244" s="115">
        <v>43871</v>
      </c>
      <c r="D1244" s="312">
        <v>43894</v>
      </c>
      <c r="E1244" s="560"/>
      <c r="F1244" s="86" t="s">
        <v>4537</v>
      </c>
      <c r="G1244" s="86" t="s">
        <v>157</v>
      </c>
      <c r="H1244" s="96" t="s">
        <v>213</v>
      </c>
      <c r="I1244" s="97" t="s">
        <v>2478</v>
      </c>
      <c r="J1244" s="73">
        <f t="shared" si="122"/>
        <v>1</v>
      </c>
      <c r="K1244" s="74" t="s">
        <v>204</v>
      </c>
      <c r="N1244" s="76" t="s">
        <v>17</v>
      </c>
      <c r="Q1244" s="76" t="s">
        <v>2037</v>
      </c>
      <c r="R1244" s="73">
        <f t="shared" si="123"/>
        <v>1</v>
      </c>
      <c r="S1244" s="260" t="s">
        <v>1976</v>
      </c>
      <c r="T1244" s="260"/>
      <c r="U1244" s="260"/>
      <c r="V1244" s="260"/>
      <c r="W1244" s="260"/>
      <c r="X1244" s="260"/>
      <c r="Y1244" s="565"/>
      <c r="Z1244" s="565"/>
      <c r="AA1244" s="566">
        <f t="shared" si="121"/>
        <v>0</v>
      </c>
      <c r="AB1244" s="699"/>
    </row>
    <row r="1245" spans="1:28" ht="15" customHeight="1" x14ac:dyDescent="0.3">
      <c r="A1245" s="79" t="s">
        <v>4454</v>
      </c>
      <c r="C1245" s="115">
        <v>43871</v>
      </c>
      <c r="D1245" s="312">
        <v>43894</v>
      </c>
      <c r="E1245" s="560"/>
      <c r="F1245" s="86" t="s">
        <v>4539</v>
      </c>
      <c r="G1245" s="86" t="s">
        <v>152</v>
      </c>
      <c r="H1245" s="96" t="s">
        <v>213</v>
      </c>
      <c r="I1245" s="97" t="s">
        <v>645</v>
      </c>
      <c r="J1245" s="73">
        <f t="shared" si="122"/>
        <v>1</v>
      </c>
      <c r="K1245" s="74" t="s">
        <v>204</v>
      </c>
      <c r="L1245" s="97" t="s">
        <v>4590</v>
      </c>
      <c r="N1245" s="76" t="s">
        <v>19</v>
      </c>
      <c r="Q1245" s="76" t="s">
        <v>2109</v>
      </c>
      <c r="R1245" s="73">
        <f t="shared" si="123"/>
        <v>1</v>
      </c>
      <c r="S1245" s="260" t="s">
        <v>1976</v>
      </c>
      <c r="T1245" s="260"/>
      <c r="U1245" s="260"/>
      <c r="V1245" s="260"/>
      <c r="W1245" s="260"/>
      <c r="X1245" s="260"/>
      <c r="Y1245" s="565"/>
      <c r="Z1245" s="565"/>
      <c r="AA1245" s="566">
        <f t="shared" si="121"/>
        <v>0</v>
      </c>
      <c r="AB1245" s="699"/>
    </row>
    <row r="1246" spans="1:28" ht="15" customHeight="1" x14ac:dyDescent="0.3">
      <c r="A1246" s="96" t="s">
        <v>4455</v>
      </c>
      <c r="C1246" s="115">
        <v>43871</v>
      </c>
      <c r="D1246" s="312">
        <v>43894</v>
      </c>
      <c r="E1246" s="560"/>
      <c r="F1246" s="86" t="s">
        <v>4540</v>
      </c>
      <c r="G1246" s="86" t="s">
        <v>150</v>
      </c>
      <c r="H1246" s="96" t="s">
        <v>213</v>
      </c>
      <c r="I1246" s="97" t="s">
        <v>649</v>
      </c>
      <c r="J1246" s="73">
        <f t="shared" si="122"/>
        <v>1</v>
      </c>
      <c r="K1246" s="74" t="s">
        <v>204</v>
      </c>
      <c r="N1246" s="76" t="s">
        <v>18</v>
      </c>
      <c r="Q1246" s="76" t="s">
        <v>2037</v>
      </c>
      <c r="R1246" s="73">
        <f t="shared" si="123"/>
        <v>1</v>
      </c>
      <c r="S1246" s="260" t="s">
        <v>1976</v>
      </c>
      <c r="T1246" s="260"/>
      <c r="U1246" s="260"/>
      <c r="V1246" s="260"/>
      <c r="W1246" s="260"/>
      <c r="X1246" s="260"/>
      <c r="Y1246" s="565"/>
      <c r="Z1246" s="565"/>
      <c r="AA1246" s="566">
        <f t="shared" si="121"/>
        <v>0</v>
      </c>
      <c r="AB1246" s="699"/>
    </row>
    <row r="1247" spans="1:28" ht="15" customHeight="1" x14ac:dyDescent="0.3">
      <c r="A1247" s="79" t="s">
        <v>4457</v>
      </c>
      <c r="C1247" s="115">
        <v>43871</v>
      </c>
      <c r="D1247" s="312">
        <v>43894</v>
      </c>
      <c r="E1247" s="560"/>
      <c r="F1247" s="86" t="s">
        <v>4542</v>
      </c>
      <c r="G1247" s="86" t="s">
        <v>538</v>
      </c>
      <c r="H1247" s="96" t="s">
        <v>213</v>
      </c>
      <c r="I1247" s="97" t="s">
        <v>649</v>
      </c>
      <c r="J1247" s="73">
        <f t="shared" si="122"/>
        <v>1</v>
      </c>
      <c r="K1247" s="74" t="s">
        <v>204</v>
      </c>
      <c r="N1247" s="76" t="s">
        <v>17</v>
      </c>
      <c r="Q1247" s="76" t="s">
        <v>2076</v>
      </c>
      <c r="R1247" s="73">
        <f t="shared" si="123"/>
        <v>1</v>
      </c>
      <c r="S1247" s="260" t="s">
        <v>1976</v>
      </c>
      <c r="T1247" s="260"/>
      <c r="U1247" s="260"/>
      <c r="V1247" s="260"/>
      <c r="W1247" s="260"/>
      <c r="X1247" s="260"/>
      <c r="Y1247" s="565"/>
      <c r="Z1247" s="565"/>
      <c r="AA1247" s="566">
        <f t="shared" si="121"/>
        <v>0</v>
      </c>
      <c r="AB1247" s="699"/>
    </row>
    <row r="1248" spans="1:28" ht="15" customHeight="1" x14ac:dyDescent="0.3">
      <c r="A1248" s="79" t="s">
        <v>4461</v>
      </c>
      <c r="C1248" s="115">
        <v>43872</v>
      </c>
      <c r="D1248" s="312">
        <v>43895</v>
      </c>
      <c r="E1248" s="560"/>
      <c r="F1248" s="86" t="s">
        <v>4546</v>
      </c>
      <c r="G1248" s="86" t="s">
        <v>152</v>
      </c>
      <c r="H1248" s="96" t="s">
        <v>213</v>
      </c>
      <c r="I1248" s="97" t="s">
        <v>649</v>
      </c>
      <c r="J1248" s="73">
        <f t="shared" si="122"/>
        <v>1</v>
      </c>
      <c r="K1248" s="74" t="s">
        <v>204</v>
      </c>
      <c r="L1248" s="97" t="s">
        <v>4593</v>
      </c>
      <c r="N1248" s="76" t="s">
        <v>17</v>
      </c>
      <c r="Q1248" s="76" t="s">
        <v>2076</v>
      </c>
      <c r="R1248" s="73">
        <f t="shared" si="123"/>
        <v>1</v>
      </c>
      <c r="S1248" s="260" t="s">
        <v>1976</v>
      </c>
      <c r="T1248" s="260"/>
      <c r="U1248" s="260"/>
      <c r="V1248" s="260"/>
      <c r="W1248" s="260"/>
      <c r="X1248" s="260"/>
      <c r="Y1248" s="565"/>
      <c r="Z1248" s="565"/>
      <c r="AA1248" s="566">
        <f t="shared" si="121"/>
        <v>0</v>
      </c>
      <c r="AB1248" s="699"/>
    </row>
    <row r="1249" spans="1:28" ht="15" customHeight="1" x14ac:dyDescent="0.3">
      <c r="A1249" s="79" t="s">
        <v>4462</v>
      </c>
      <c r="C1249" s="115">
        <v>43872</v>
      </c>
      <c r="D1249" s="312">
        <v>43895</v>
      </c>
      <c r="E1249" s="560"/>
      <c r="F1249" s="86" t="s">
        <v>4547</v>
      </c>
      <c r="G1249" s="86" t="s">
        <v>152</v>
      </c>
      <c r="H1249" s="96" t="s">
        <v>213</v>
      </c>
      <c r="I1249" s="97" t="s">
        <v>4594</v>
      </c>
      <c r="J1249" s="73">
        <f t="shared" si="122"/>
        <v>1</v>
      </c>
      <c r="K1249" s="74" t="s">
        <v>204</v>
      </c>
      <c r="L1249" s="97" t="s">
        <v>4595</v>
      </c>
      <c r="N1249" s="76" t="s">
        <v>18</v>
      </c>
      <c r="Q1249" s="76" t="s">
        <v>2076</v>
      </c>
      <c r="R1249" s="73">
        <f t="shared" si="123"/>
        <v>1</v>
      </c>
      <c r="S1249" s="260" t="s">
        <v>1976</v>
      </c>
      <c r="T1249" s="260"/>
      <c r="U1249" s="260"/>
      <c r="V1249" s="260"/>
      <c r="W1249" s="260"/>
      <c r="X1249" s="260"/>
      <c r="Y1249" s="565"/>
      <c r="Z1249" s="565"/>
      <c r="AA1249" s="566">
        <f t="shared" si="121"/>
        <v>0</v>
      </c>
      <c r="AB1249" s="699"/>
    </row>
    <row r="1250" spans="1:28" ht="15" customHeight="1" x14ac:dyDescent="0.3">
      <c r="A1250" s="79" t="s">
        <v>4463</v>
      </c>
      <c r="C1250" s="115">
        <v>43872</v>
      </c>
      <c r="D1250" s="312">
        <v>43895</v>
      </c>
      <c r="E1250" s="560"/>
      <c r="F1250" s="86" t="s">
        <v>4548</v>
      </c>
      <c r="G1250" s="86" t="s">
        <v>156</v>
      </c>
      <c r="H1250" s="96" t="s">
        <v>213</v>
      </c>
      <c r="I1250" s="97" t="s">
        <v>649</v>
      </c>
      <c r="J1250" s="73">
        <f t="shared" si="122"/>
        <v>1</v>
      </c>
      <c r="K1250" s="74" t="s">
        <v>204</v>
      </c>
      <c r="L1250" s="97" t="s">
        <v>4591</v>
      </c>
      <c r="N1250" s="76" t="s">
        <v>18</v>
      </c>
      <c r="Q1250" s="301" t="s">
        <v>2142</v>
      </c>
      <c r="R1250" s="73">
        <f t="shared" si="123"/>
        <v>1</v>
      </c>
      <c r="S1250" s="260" t="s">
        <v>1976</v>
      </c>
      <c r="T1250" s="260"/>
      <c r="U1250" s="260"/>
      <c r="V1250" s="260"/>
      <c r="W1250" s="260"/>
      <c r="X1250" s="260"/>
      <c r="Y1250" s="565"/>
      <c r="Z1250" s="565"/>
      <c r="AA1250" s="566">
        <f t="shared" si="121"/>
        <v>0</v>
      </c>
      <c r="AB1250" s="699"/>
    </row>
    <row r="1251" spans="1:28" ht="15" customHeight="1" x14ac:dyDescent="0.3">
      <c r="A1251" s="79" t="s">
        <v>4467</v>
      </c>
      <c r="C1251" s="115">
        <v>43872</v>
      </c>
      <c r="D1251" s="312">
        <v>43895</v>
      </c>
      <c r="E1251" s="560"/>
      <c r="F1251" s="86" t="s">
        <v>4552</v>
      </c>
      <c r="G1251" s="86" t="s">
        <v>158</v>
      </c>
      <c r="H1251" s="96" t="s">
        <v>213</v>
      </c>
      <c r="I1251" s="97" t="s">
        <v>649</v>
      </c>
      <c r="J1251" s="73">
        <f t="shared" si="122"/>
        <v>1</v>
      </c>
      <c r="K1251" s="74" t="s">
        <v>204</v>
      </c>
      <c r="L1251" s="97" t="s">
        <v>4598</v>
      </c>
      <c r="N1251" s="76" t="s">
        <v>17</v>
      </c>
      <c r="Q1251" s="76" t="s">
        <v>2142</v>
      </c>
      <c r="R1251" s="73">
        <f t="shared" si="123"/>
        <v>1</v>
      </c>
      <c r="S1251" s="260" t="s">
        <v>1976</v>
      </c>
      <c r="T1251" s="260"/>
      <c r="U1251" s="260"/>
      <c r="V1251" s="260"/>
      <c r="W1251" s="260"/>
      <c r="X1251" s="260"/>
      <c r="Y1251" s="565"/>
      <c r="Z1251" s="565"/>
      <c r="AA1251" s="566">
        <f t="shared" si="121"/>
        <v>0</v>
      </c>
      <c r="AB1251" s="699"/>
    </row>
    <row r="1252" spans="1:28" ht="15" customHeight="1" x14ac:dyDescent="0.3">
      <c r="A1252" s="79" t="s">
        <v>4468</v>
      </c>
      <c r="C1252" s="115">
        <v>43872</v>
      </c>
      <c r="D1252" s="312">
        <v>43894</v>
      </c>
      <c r="E1252" s="560"/>
      <c r="F1252" s="86" t="s">
        <v>4553</v>
      </c>
      <c r="G1252" s="86" t="s">
        <v>156</v>
      </c>
      <c r="H1252" s="96" t="s">
        <v>213</v>
      </c>
      <c r="I1252" s="97" t="s">
        <v>2478</v>
      </c>
      <c r="J1252" s="73">
        <f t="shared" si="122"/>
        <v>1</v>
      </c>
      <c r="K1252" s="74" t="s">
        <v>204</v>
      </c>
      <c r="N1252" s="76" t="s">
        <v>17</v>
      </c>
      <c r="Q1252" s="76" t="s">
        <v>2109</v>
      </c>
      <c r="R1252" s="73">
        <f t="shared" si="123"/>
        <v>1</v>
      </c>
      <c r="S1252" s="260" t="s">
        <v>1976</v>
      </c>
      <c r="T1252" s="260"/>
      <c r="U1252" s="260"/>
      <c r="V1252" s="260"/>
      <c r="W1252" s="260"/>
      <c r="X1252" s="260"/>
      <c r="Y1252" s="565"/>
      <c r="Z1252" s="565"/>
      <c r="AA1252" s="566">
        <f t="shared" si="121"/>
        <v>0</v>
      </c>
      <c r="AB1252" s="699"/>
    </row>
    <row r="1253" spans="1:28" ht="15" customHeight="1" x14ac:dyDescent="0.3">
      <c r="A1253" s="96" t="s">
        <v>4470</v>
      </c>
      <c r="C1253" s="115">
        <v>43872</v>
      </c>
      <c r="D1253" s="312">
        <v>43895</v>
      </c>
      <c r="E1253" s="560"/>
      <c r="F1253" s="86" t="s">
        <v>4555</v>
      </c>
      <c r="G1253" s="86" t="s">
        <v>175</v>
      </c>
      <c r="H1253" s="96" t="s">
        <v>213</v>
      </c>
      <c r="I1253" s="97" t="s">
        <v>722</v>
      </c>
      <c r="J1253" s="73">
        <f t="shared" si="122"/>
        <v>1</v>
      </c>
      <c r="K1253" s="74" t="s">
        <v>204</v>
      </c>
      <c r="N1253" s="76" t="s">
        <v>18</v>
      </c>
      <c r="Q1253" s="76" t="s">
        <v>2037</v>
      </c>
      <c r="R1253" s="73">
        <f t="shared" si="123"/>
        <v>1</v>
      </c>
      <c r="S1253" s="260" t="s">
        <v>1976</v>
      </c>
      <c r="T1253" s="260"/>
      <c r="U1253" s="260"/>
      <c r="V1253" s="260"/>
      <c r="W1253" s="260"/>
      <c r="X1253" s="260"/>
      <c r="Y1253" s="565"/>
      <c r="Z1253" s="565"/>
      <c r="AA1253" s="566">
        <f t="shared" si="121"/>
        <v>0</v>
      </c>
      <c r="AB1253" s="699"/>
    </row>
    <row r="1254" spans="1:28" ht="15" customHeight="1" x14ac:dyDescent="0.3">
      <c r="A1254" s="96" t="s">
        <v>4473</v>
      </c>
      <c r="C1254" s="115">
        <v>43872</v>
      </c>
      <c r="D1254" s="312">
        <v>43895</v>
      </c>
      <c r="E1254" s="560"/>
      <c r="F1254" s="86" t="s">
        <v>4558</v>
      </c>
      <c r="G1254" s="86" t="s">
        <v>150</v>
      </c>
      <c r="H1254" s="96" t="s">
        <v>213</v>
      </c>
      <c r="J1254" s="73">
        <f t="shared" ref="J1254:J1300" si="124">IF(OR(K1254="Документы готовы",K1254="Запрос в ФО",K1254="ЭЗ",K1254="РЕШ",K1254="РЕШ шаблон"),0.1,IF(OR(K1254="ЭЗ согласование",K1254="РЕШ согласование"),0.3,IF(OR(K1254="ЭЗ согласовано",K1254="РЕШ согласовано",K1254="РЕШ подписано"),0.6,IF(OR(K1254="ЭЗ ПР согласование",K1254="РЕШ УВ согласование"),0.9,IF(OR(K1254="ЭЗ ПР DONE",K1254="РЕШ УВ DONE"),1,0)))))</f>
        <v>1</v>
      </c>
      <c r="K1254" s="74" t="s">
        <v>204</v>
      </c>
      <c r="Q1254" s="76" t="s">
        <v>2142</v>
      </c>
      <c r="R1254" s="73">
        <f t="shared" ref="R1254:R1300" si="125">IF(S1254="В работе",0.3,IF(S1254="Отписано",0.6,IF(S1254="На доработку",0.9,IF(S1254="Согласовано",1,0))))</f>
        <v>1</v>
      </c>
      <c r="S1254" s="260" t="s">
        <v>1976</v>
      </c>
      <c r="T1254" s="260"/>
      <c r="U1254" s="260"/>
      <c r="V1254" s="260"/>
      <c r="W1254" s="260"/>
      <c r="X1254" s="260"/>
      <c r="Y1254" s="565"/>
      <c r="Z1254" s="565"/>
      <c r="AA1254" s="566">
        <f t="shared" si="121"/>
        <v>0</v>
      </c>
      <c r="AB1254" s="699"/>
    </row>
    <row r="1255" spans="1:28" ht="15" customHeight="1" x14ac:dyDescent="0.3">
      <c r="A1255" s="96" t="s">
        <v>4475</v>
      </c>
      <c r="C1255" s="115">
        <v>43873</v>
      </c>
      <c r="D1255" s="312">
        <v>43896</v>
      </c>
      <c r="E1255" s="560"/>
      <c r="F1255" s="97" t="s">
        <v>4560</v>
      </c>
      <c r="G1255" s="86" t="s">
        <v>158</v>
      </c>
      <c r="H1255" s="96" t="s">
        <v>213</v>
      </c>
      <c r="I1255" s="97" t="s">
        <v>649</v>
      </c>
      <c r="J1255" s="73">
        <f t="shared" si="124"/>
        <v>1</v>
      </c>
      <c r="K1255" s="74" t="s">
        <v>204</v>
      </c>
      <c r="L1255" s="97" t="s">
        <v>4602</v>
      </c>
      <c r="N1255" s="76" t="s">
        <v>17</v>
      </c>
      <c r="Q1255" s="76" t="s">
        <v>2037</v>
      </c>
      <c r="R1255" s="73">
        <f t="shared" si="125"/>
        <v>1</v>
      </c>
      <c r="S1255" s="260" t="s">
        <v>1976</v>
      </c>
      <c r="T1255" s="260"/>
      <c r="U1255" s="260"/>
      <c r="V1255" s="260"/>
      <c r="W1255" s="260"/>
      <c r="X1255" s="260"/>
      <c r="Y1255" s="565"/>
      <c r="Z1255" s="565"/>
      <c r="AA1255" s="566">
        <f t="shared" si="121"/>
        <v>0</v>
      </c>
      <c r="AB1255" s="699"/>
    </row>
    <row r="1256" spans="1:28" ht="15" customHeight="1" x14ac:dyDescent="0.3">
      <c r="A1256" s="96" t="s">
        <v>4476</v>
      </c>
      <c r="C1256" s="115">
        <v>43872</v>
      </c>
      <c r="D1256" s="312">
        <v>43895</v>
      </c>
      <c r="E1256" s="560"/>
      <c r="F1256" s="86" t="s">
        <v>4561</v>
      </c>
      <c r="G1256" s="86" t="s">
        <v>152</v>
      </c>
      <c r="H1256" s="96" t="s">
        <v>213</v>
      </c>
      <c r="I1256" s="97" t="s">
        <v>4599</v>
      </c>
      <c r="J1256" s="73">
        <f t="shared" si="124"/>
        <v>1</v>
      </c>
      <c r="K1256" s="74" t="s">
        <v>204</v>
      </c>
      <c r="L1256" s="97" t="s">
        <v>4601</v>
      </c>
      <c r="N1256" s="76" t="s">
        <v>17</v>
      </c>
      <c r="Q1256" s="76" t="s">
        <v>2037</v>
      </c>
      <c r="R1256" s="73">
        <f t="shared" si="125"/>
        <v>1</v>
      </c>
      <c r="S1256" s="260" t="s">
        <v>1976</v>
      </c>
      <c r="T1256" s="260"/>
      <c r="U1256" s="260"/>
      <c r="V1256" s="260"/>
      <c r="W1256" s="260"/>
      <c r="X1256" s="260"/>
      <c r="Y1256" s="565"/>
      <c r="Z1256" s="565"/>
      <c r="AA1256" s="566">
        <f t="shared" si="121"/>
        <v>0</v>
      </c>
      <c r="AB1256" s="699"/>
    </row>
    <row r="1257" spans="1:28" ht="15" customHeight="1" x14ac:dyDescent="0.3">
      <c r="A1257" s="96" t="s">
        <v>4480</v>
      </c>
      <c r="C1257" s="115">
        <v>43873</v>
      </c>
      <c r="D1257" s="312">
        <v>43895</v>
      </c>
      <c r="E1257" s="560"/>
      <c r="F1257" s="86" t="s">
        <v>4565</v>
      </c>
      <c r="G1257" s="86" t="s">
        <v>172</v>
      </c>
      <c r="H1257" s="96" t="s">
        <v>213</v>
      </c>
      <c r="I1257" s="97" t="s">
        <v>3187</v>
      </c>
      <c r="J1257" s="73">
        <f t="shared" si="124"/>
        <v>1</v>
      </c>
      <c r="K1257" s="74" t="s">
        <v>204</v>
      </c>
      <c r="L1257" s="97" t="s">
        <v>4597</v>
      </c>
      <c r="N1257" s="76" t="s">
        <v>19</v>
      </c>
      <c r="Q1257" s="76" t="s">
        <v>2109</v>
      </c>
      <c r="R1257" s="73">
        <f t="shared" si="125"/>
        <v>1</v>
      </c>
      <c r="S1257" s="260" t="s">
        <v>1976</v>
      </c>
      <c r="T1257" s="260"/>
      <c r="U1257" s="260"/>
      <c r="V1257" s="260"/>
      <c r="W1257" s="260"/>
      <c r="X1257" s="260"/>
      <c r="Y1257" s="565"/>
      <c r="Z1257" s="565"/>
      <c r="AA1257" s="566">
        <f t="shared" si="121"/>
        <v>0</v>
      </c>
      <c r="AB1257" s="699"/>
    </row>
    <row r="1258" spans="1:28" ht="15" customHeight="1" x14ac:dyDescent="0.3">
      <c r="A1258" s="96" t="s">
        <v>4482</v>
      </c>
      <c r="C1258" s="115">
        <v>43873</v>
      </c>
      <c r="D1258" s="312">
        <v>43896</v>
      </c>
      <c r="E1258" s="560"/>
      <c r="F1258" s="86" t="s">
        <v>4567</v>
      </c>
      <c r="G1258" s="86" t="s">
        <v>152</v>
      </c>
      <c r="H1258" s="96" t="s">
        <v>213</v>
      </c>
      <c r="I1258" s="97" t="s">
        <v>1285</v>
      </c>
      <c r="J1258" s="73">
        <f t="shared" si="124"/>
        <v>1</v>
      </c>
      <c r="K1258" s="74" t="s">
        <v>204</v>
      </c>
      <c r="N1258" s="76" t="s">
        <v>19</v>
      </c>
      <c r="Q1258" s="76" t="s">
        <v>2109</v>
      </c>
      <c r="R1258" s="73">
        <f t="shared" si="125"/>
        <v>1</v>
      </c>
      <c r="S1258" s="260" t="s">
        <v>1976</v>
      </c>
      <c r="T1258" s="260"/>
      <c r="U1258" s="260"/>
      <c r="V1258" s="260"/>
      <c r="W1258" s="260"/>
      <c r="X1258" s="260"/>
      <c r="Y1258" s="565"/>
      <c r="Z1258" s="565"/>
      <c r="AA1258" s="566">
        <f t="shared" si="121"/>
        <v>0</v>
      </c>
      <c r="AB1258" s="699"/>
    </row>
    <row r="1259" spans="1:28" ht="15" customHeight="1" x14ac:dyDescent="0.3">
      <c r="A1259" s="96" t="s">
        <v>4484</v>
      </c>
      <c r="C1259" s="115">
        <v>43873</v>
      </c>
      <c r="D1259" s="312">
        <v>43896</v>
      </c>
      <c r="E1259" s="560"/>
      <c r="F1259" s="86" t="s">
        <v>4569</v>
      </c>
      <c r="G1259" s="86" t="s">
        <v>166</v>
      </c>
      <c r="H1259" s="96" t="s">
        <v>213</v>
      </c>
      <c r="I1259" s="97" t="s">
        <v>658</v>
      </c>
      <c r="J1259" s="73">
        <f t="shared" si="124"/>
        <v>1</v>
      </c>
      <c r="K1259" s="74" t="s">
        <v>204</v>
      </c>
      <c r="N1259" s="76" t="s">
        <v>18</v>
      </c>
      <c r="Q1259" s="76" t="s">
        <v>2142</v>
      </c>
      <c r="R1259" s="73">
        <f t="shared" si="125"/>
        <v>1</v>
      </c>
      <c r="S1259" s="260" t="s">
        <v>1976</v>
      </c>
      <c r="T1259" s="260"/>
      <c r="U1259" s="260"/>
      <c r="V1259" s="260"/>
      <c r="W1259" s="260"/>
      <c r="X1259" s="260"/>
      <c r="Y1259" s="565"/>
      <c r="Z1259" s="565"/>
      <c r="AA1259" s="566">
        <f t="shared" si="121"/>
        <v>0</v>
      </c>
      <c r="AB1259" s="699"/>
    </row>
    <row r="1260" spans="1:28" ht="15" customHeight="1" x14ac:dyDescent="0.3">
      <c r="A1260" s="96" t="s">
        <v>4485</v>
      </c>
      <c r="C1260" s="115">
        <v>43873</v>
      </c>
      <c r="D1260" s="312">
        <v>43896</v>
      </c>
      <c r="E1260" s="560"/>
      <c r="F1260" s="86" t="s">
        <v>4570</v>
      </c>
      <c r="G1260" s="86" t="s">
        <v>177</v>
      </c>
      <c r="H1260" s="96" t="s">
        <v>213</v>
      </c>
      <c r="I1260" s="97" t="s">
        <v>755</v>
      </c>
      <c r="J1260" s="73">
        <f t="shared" si="124"/>
        <v>1</v>
      </c>
      <c r="K1260" s="74" t="s">
        <v>204</v>
      </c>
      <c r="L1260" s="97" t="s">
        <v>5263</v>
      </c>
      <c r="N1260" s="76" t="s">
        <v>18</v>
      </c>
      <c r="Q1260" s="76" t="s">
        <v>2037</v>
      </c>
      <c r="R1260" s="73">
        <f t="shared" si="125"/>
        <v>1</v>
      </c>
      <c r="S1260" s="260" t="s">
        <v>1976</v>
      </c>
      <c r="T1260" s="260"/>
      <c r="U1260" s="260"/>
      <c r="V1260" s="260"/>
      <c r="W1260" s="260"/>
      <c r="X1260" s="260"/>
      <c r="Y1260" s="565"/>
      <c r="Z1260" s="565"/>
      <c r="AA1260" s="566">
        <f t="shared" si="121"/>
        <v>0</v>
      </c>
      <c r="AB1260" s="699"/>
    </row>
    <row r="1261" spans="1:28" ht="15" customHeight="1" x14ac:dyDescent="0.3">
      <c r="A1261" s="96" t="s">
        <v>4487</v>
      </c>
      <c r="C1261" s="115">
        <v>43873</v>
      </c>
      <c r="D1261" s="312">
        <v>43896</v>
      </c>
      <c r="E1261" s="560"/>
      <c r="F1261" s="86" t="s">
        <v>4572</v>
      </c>
      <c r="G1261" s="86" t="s">
        <v>158</v>
      </c>
      <c r="H1261" s="96" t="s">
        <v>213</v>
      </c>
      <c r="I1261" s="97" t="s">
        <v>658</v>
      </c>
      <c r="J1261" s="73">
        <f t="shared" si="124"/>
        <v>1</v>
      </c>
      <c r="K1261" s="74" t="s">
        <v>204</v>
      </c>
      <c r="N1261" s="76" t="s">
        <v>18</v>
      </c>
      <c r="Q1261" s="76" t="s">
        <v>2037</v>
      </c>
      <c r="R1261" s="73">
        <f t="shared" si="125"/>
        <v>1</v>
      </c>
      <c r="S1261" s="260" t="s">
        <v>1976</v>
      </c>
      <c r="T1261" s="260"/>
      <c r="U1261" s="260"/>
      <c r="V1261" s="260"/>
      <c r="W1261" s="260"/>
      <c r="X1261" s="260"/>
      <c r="Y1261" s="565"/>
      <c r="Z1261" s="565"/>
      <c r="AA1261" s="566">
        <f t="shared" si="121"/>
        <v>0</v>
      </c>
      <c r="AB1261" s="699"/>
    </row>
    <row r="1262" spans="1:28" ht="15" customHeight="1" x14ac:dyDescent="0.3">
      <c r="A1262" s="96" t="s">
        <v>4488</v>
      </c>
      <c r="C1262" s="115">
        <v>43874</v>
      </c>
      <c r="D1262" s="312">
        <v>43896</v>
      </c>
      <c r="E1262" s="560"/>
      <c r="F1262" s="86" t="s">
        <v>4573</v>
      </c>
      <c r="G1262" s="86" t="s">
        <v>152</v>
      </c>
      <c r="H1262" s="96" t="s">
        <v>213</v>
      </c>
      <c r="I1262" s="97" t="s">
        <v>1113</v>
      </c>
      <c r="J1262" s="73">
        <f t="shared" si="124"/>
        <v>1</v>
      </c>
      <c r="K1262" s="74" t="s">
        <v>204</v>
      </c>
      <c r="N1262" s="76" t="s">
        <v>18</v>
      </c>
      <c r="Q1262" s="76" t="s">
        <v>2109</v>
      </c>
      <c r="R1262" s="73">
        <f t="shared" si="125"/>
        <v>1</v>
      </c>
      <c r="S1262" s="260" t="s">
        <v>1976</v>
      </c>
      <c r="T1262" s="260"/>
      <c r="U1262" s="260"/>
      <c r="V1262" s="260"/>
      <c r="W1262" s="260"/>
      <c r="X1262" s="260"/>
      <c r="Y1262" s="565"/>
      <c r="Z1262" s="565"/>
      <c r="AA1262" s="566">
        <f t="shared" si="121"/>
        <v>0</v>
      </c>
      <c r="AB1262" s="699"/>
    </row>
    <row r="1263" spans="1:28" ht="15" customHeight="1" x14ac:dyDescent="0.3">
      <c r="A1263" s="96" t="s">
        <v>4492</v>
      </c>
      <c r="C1263" s="115">
        <v>43874</v>
      </c>
      <c r="D1263" s="312">
        <v>43896</v>
      </c>
      <c r="E1263" s="560"/>
      <c r="F1263" s="86" t="s">
        <v>4577</v>
      </c>
      <c r="G1263" s="86" t="s">
        <v>156</v>
      </c>
      <c r="H1263" s="96" t="s">
        <v>213</v>
      </c>
      <c r="I1263" s="97" t="s">
        <v>995</v>
      </c>
      <c r="J1263" s="73">
        <f t="shared" si="124"/>
        <v>1</v>
      </c>
      <c r="K1263" s="74" t="s">
        <v>204</v>
      </c>
      <c r="N1263" s="76" t="s">
        <v>19</v>
      </c>
      <c r="Q1263" s="76" t="s">
        <v>2076</v>
      </c>
      <c r="R1263" s="73">
        <f t="shared" si="125"/>
        <v>1</v>
      </c>
      <c r="S1263" s="260" t="s">
        <v>1976</v>
      </c>
      <c r="T1263" s="260"/>
      <c r="U1263" s="260"/>
      <c r="V1263" s="260"/>
      <c r="W1263" s="260"/>
      <c r="X1263" s="260"/>
      <c r="Y1263" s="565"/>
      <c r="Z1263" s="565"/>
      <c r="AA1263" s="566">
        <f t="shared" si="121"/>
        <v>0</v>
      </c>
      <c r="AB1263" s="699"/>
    </row>
    <row r="1264" spans="1:28" ht="15" customHeight="1" x14ac:dyDescent="0.3">
      <c r="A1264" s="96" t="s">
        <v>4493</v>
      </c>
      <c r="C1264" s="115">
        <v>43874</v>
      </c>
      <c r="D1264" s="312">
        <v>43896</v>
      </c>
      <c r="E1264" s="560"/>
      <c r="F1264" s="86" t="s">
        <v>4578</v>
      </c>
      <c r="G1264" s="86" t="s">
        <v>175</v>
      </c>
      <c r="H1264" s="96" t="s">
        <v>213</v>
      </c>
      <c r="I1264" s="97" t="s">
        <v>649</v>
      </c>
      <c r="J1264" s="73">
        <f t="shared" si="124"/>
        <v>1</v>
      </c>
      <c r="K1264" s="74" t="s">
        <v>204</v>
      </c>
      <c r="L1264" s="97" t="s">
        <v>4604</v>
      </c>
      <c r="N1264" s="76" t="s">
        <v>17</v>
      </c>
      <c r="Q1264" s="301" t="s">
        <v>2109</v>
      </c>
      <c r="R1264" s="73">
        <f t="shared" si="125"/>
        <v>1</v>
      </c>
      <c r="S1264" s="260" t="s">
        <v>1976</v>
      </c>
      <c r="T1264" s="260"/>
      <c r="U1264" s="260"/>
      <c r="V1264" s="260"/>
      <c r="W1264" s="260"/>
      <c r="X1264" s="260"/>
      <c r="Y1264" s="565"/>
      <c r="Z1264" s="565"/>
      <c r="AA1264" s="566">
        <f t="shared" si="121"/>
        <v>0</v>
      </c>
      <c r="AB1264" s="699"/>
    </row>
    <row r="1265" spans="1:28" ht="15" customHeight="1" x14ac:dyDescent="0.3">
      <c r="A1265" s="96" t="s">
        <v>4361</v>
      </c>
      <c r="C1265" s="115">
        <v>43843</v>
      </c>
      <c r="D1265" s="312">
        <v>43902</v>
      </c>
      <c r="E1265" s="560"/>
      <c r="F1265" s="252" t="s">
        <v>2385</v>
      </c>
      <c r="G1265" s="86" t="s">
        <v>150</v>
      </c>
      <c r="H1265" s="96" t="s">
        <v>213</v>
      </c>
      <c r="I1265" s="97" t="s">
        <v>714</v>
      </c>
      <c r="J1265" s="73">
        <f t="shared" si="124"/>
        <v>1</v>
      </c>
      <c r="K1265" s="74" t="s">
        <v>204</v>
      </c>
      <c r="N1265" s="76" t="s">
        <v>18</v>
      </c>
      <c r="Q1265" s="76" t="s">
        <v>2076</v>
      </c>
      <c r="R1265" s="73">
        <f t="shared" si="125"/>
        <v>1</v>
      </c>
      <c r="S1265" s="260" t="s">
        <v>1976</v>
      </c>
      <c r="T1265" s="260"/>
      <c r="U1265" s="260" t="s">
        <v>5283</v>
      </c>
      <c r="V1265" s="260" t="s">
        <v>12713</v>
      </c>
      <c r="W1265" s="260"/>
      <c r="X1265" s="260"/>
      <c r="Y1265" s="565"/>
      <c r="Z1265" s="565"/>
      <c r="AA1265" s="566">
        <f t="shared" si="121"/>
        <v>0</v>
      </c>
      <c r="AB1265" s="699"/>
    </row>
    <row r="1266" spans="1:28" ht="15" customHeight="1" x14ac:dyDescent="0.3">
      <c r="A1266" s="96" t="s">
        <v>3761</v>
      </c>
      <c r="C1266" s="115">
        <v>43847</v>
      </c>
      <c r="D1266" s="312">
        <v>43900</v>
      </c>
      <c r="E1266" s="560"/>
      <c r="F1266" s="86" t="s">
        <v>3762</v>
      </c>
      <c r="G1266" s="86" t="s">
        <v>156</v>
      </c>
      <c r="H1266" s="96" t="s">
        <v>213</v>
      </c>
      <c r="I1266" s="97" t="s">
        <v>641</v>
      </c>
      <c r="J1266" s="73">
        <f t="shared" si="124"/>
        <v>1</v>
      </c>
      <c r="K1266" s="74" t="s">
        <v>204</v>
      </c>
      <c r="N1266" s="76" t="s">
        <v>17</v>
      </c>
      <c r="Q1266" s="76" t="s">
        <v>2037</v>
      </c>
      <c r="R1266" s="73">
        <f t="shared" si="125"/>
        <v>1</v>
      </c>
      <c r="S1266" s="260" t="s">
        <v>1976</v>
      </c>
      <c r="T1266" s="260"/>
      <c r="U1266" s="260"/>
      <c r="V1266" s="260"/>
      <c r="W1266" s="260"/>
      <c r="X1266" s="260"/>
      <c r="Y1266" s="565"/>
      <c r="Z1266" s="565"/>
      <c r="AA1266" s="566">
        <f t="shared" si="121"/>
        <v>0</v>
      </c>
      <c r="AB1266" s="699"/>
    </row>
    <row r="1267" spans="1:28" ht="15" customHeight="1" x14ac:dyDescent="0.3">
      <c r="A1267" s="79" t="s">
        <v>4605</v>
      </c>
      <c r="C1267" s="115">
        <v>43851</v>
      </c>
      <c r="D1267" s="312">
        <v>43903</v>
      </c>
      <c r="E1267" s="560"/>
      <c r="F1267" s="86" t="s">
        <v>4658</v>
      </c>
      <c r="G1267" s="86" t="s">
        <v>150</v>
      </c>
      <c r="H1267" s="96" t="s">
        <v>213</v>
      </c>
      <c r="J1267" s="73">
        <f t="shared" si="124"/>
        <v>1</v>
      </c>
      <c r="K1267" s="74" t="s">
        <v>204</v>
      </c>
      <c r="N1267" s="76" t="s">
        <v>17</v>
      </c>
      <c r="Q1267" s="76" t="s">
        <v>2142</v>
      </c>
      <c r="R1267" s="73">
        <f t="shared" si="125"/>
        <v>1</v>
      </c>
      <c r="S1267" s="260" t="s">
        <v>1976</v>
      </c>
      <c r="T1267" s="260"/>
      <c r="U1267" s="260"/>
      <c r="V1267" s="260"/>
      <c r="W1267" s="260"/>
      <c r="X1267" s="260"/>
      <c r="Y1267" s="565"/>
      <c r="Z1267" s="565"/>
      <c r="AA1267" s="566">
        <f t="shared" si="121"/>
        <v>0</v>
      </c>
      <c r="AB1267" s="699"/>
    </row>
    <row r="1268" spans="1:28" ht="15" customHeight="1" x14ac:dyDescent="0.3">
      <c r="A1268" s="79" t="s">
        <v>3977</v>
      </c>
      <c r="C1268" s="115">
        <v>43851</v>
      </c>
      <c r="D1268" s="312">
        <v>43902</v>
      </c>
      <c r="E1268" s="560"/>
      <c r="F1268" s="86" t="s">
        <v>3978</v>
      </c>
      <c r="G1268" s="86" t="s">
        <v>156</v>
      </c>
      <c r="H1268" s="96" t="s">
        <v>213</v>
      </c>
      <c r="I1268" s="97" t="s">
        <v>714</v>
      </c>
      <c r="J1268" s="73">
        <f t="shared" si="124"/>
        <v>1</v>
      </c>
      <c r="K1268" s="74" t="s">
        <v>204</v>
      </c>
      <c r="N1268" s="76" t="s">
        <v>17</v>
      </c>
      <c r="Q1268" s="76" t="s">
        <v>2142</v>
      </c>
      <c r="R1268" s="73">
        <f t="shared" si="125"/>
        <v>1</v>
      </c>
      <c r="S1268" s="260" t="s">
        <v>1976</v>
      </c>
      <c r="T1268" s="260"/>
      <c r="U1268" s="260"/>
      <c r="V1268" s="260"/>
      <c r="W1268" s="260"/>
      <c r="X1268" s="260"/>
      <c r="Y1268" s="565"/>
      <c r="Z1268" s="565"/>
      <c r="AA1268" s="566">
        <f t="shared" si="121"/>
        <v>0</v>
      </c>
      <c r="AB1268" s="699"/>
    </row>
    <row r="1269" spans="1:28" ht="15" customHeight="1" x14ac:dyDescent="0.3">
      <c r="A1269" s="96" t="s">
        <v>4606</v>
      </c>
      <c r="C1269" s="115">
        <v>43853</v>
      </c>
      <c r="D1269" s="312">
        <v>43900</v>
      </c>
      <c r="E1269" s="560"/>
      <c r="F1269" s="86" t="s">
        <v>4659</v>
      </c>
      <c r="G1269" s="86" t="s">
        <v>152</v>
      </c>
      <c r="H1269" s="96" t="s">
        <v>213</v>
      </c>
      <c r="I1269" s="97" t="s">
        <v>4711</v>
      </c>
      <c r="J1269" s="73">
        <f t="shared" si="124"/>
        <v>1</v>
      </c>
      <c r="K1269" s="74" t="s">
        <v>204</v>
      </c>
      <c r="L1269" s="97" t="s">
        <v>4712</v>
      </c>
      <c r="Q1269" s="76" t="s">
        <v>2142</v>
      </c>
      <c r="R1269" s="73">
        <f t="shared" si="125"/>
        <v>1</v>
      </c>
      <c r="S1269" s="260" t="s">
        <v>1976</v>
      </c>
      <c r="T1269" s="260"/>
      <c r="U1269" s="260" t="s">
        <v>5283</v>
      </c>
      <c r="V1269" s="260" t="s">
        <v>4728</v>
      </c>
      <c r="W1269" s="260"/>
      <c r="X1269" s="260"/>
      <c r="Y1269" s="565"/>
      <c r="Z1269" s="565"/>
      <c r="AA1269" s="566">
        <f t="shared" si="121"/>
        <v>0</v>
      </c>
      <c r="AB1269" s="699"/>
    </row>
    <row r="1270" spans="1:28" ht="15" customHeight="1" x14ac:dyDescent="0.3">
      <c r="A1270" s="96" t="s">
        <v>4230</v>
      </c>
      <c r="C1270" s="115">
        <v>43860</v>
      </c>
      <c r="D1270" s="312">
        <v>43900</v>
      </c>
      <c r="E1270" s="560"/>
      <c r="F1270" s="86" t="s">
        <v>4231</v>
      </c>
      <c r="G1270" s="86" t="s">
        <v>191</v>
      </c>
      <c r="H1270" s="96" t="s">
        <v>213</v>
      </c>
      <c r="I1270" s="97" t="s">
        <v>642</v>
      </c>
      <c r="J1270" s="73">
        <f t="shared" si="124"/>
        <v>1</v>
      </c>
      <c r="K1270" s="74" t="s">
        <v>204</v>
      </c>
      <c r="N1270" s="76" t="s">
        <v>18</v>
      </c>
      <c r="Q1270" s="76" t="s">
        <v>2076</v>
      </c>
      <c r="R1270" s="73">
        <f t="shared" si="125"/>
        <v>1</v>
      </c>
      <c r="S1270" s="260" t="s">
        <v>1976</v>
      </c>
      <c r="T1270" s="260"/>
      <c r="U1270" s="260"/>
      <c r="V1270" s="260"/>
      <c r="W1270" s="260"/>
      <c r="X1270" s="260"/>
      <c r="Y1270" s="565"/>
      <c r="Z1270" s="565"/>
      <c r="AA1270" s="566">
        <f t="shared" ref="AA1270:AA1322" si="126">Z1270-Y1270</f>
        <v>0</v>
      </c>
      <c r="AB1270" s="699"/>
    </row>
    <row r="1271" spans="1:28" ht="15" customHeight="1" x14ac:dyDescent="0.3">
      <c r="A1271" s="96" t="s">
        <v>4105</v>
      </c>
      <c r="C1271" s="115">
        <v>43860</v>
      </c>
      <c r="D1271" s="312">
        <v>43900</v>
      </c>
      <c r="E1271" s="560"/>
      <c r="F1271" s="86" t="s">
        <v>4106</v>
      </c>
      <c r="G1271" s="86" t="s">
        <v>152</v>
      </c>
      <c r="H1271" s="96" t="s">
        <v>213</v>
      </c>
      <c r="I1271" s="97" t="s">
        <v>641</v>
      </c>
      <c r="J1271" s="73">
        <f t="shared" si="124"/>
        <v>1</v>
      </c>
      <c r="K1271" s="74" t="s">
        <v>204</v>
      </c>
      <c r="N1271" s="76" t="s">
        <v>17</v>
      </c>
      <c r="Q1271" s="76" t="s">
        <v>2037</v>
      </c>
      <c r="R1271" s="73">
        <f t="shared" si="125"/>
        <v>1</v>
      </c>
      <c r="S1271" s="260" t="s">
        <v>1976</v>
      </c>
      <c r="T1271" s="260"/>
      <c r="U1271" s="260"/>
      <c r="V1271" s="260"/>
      <c r="W1271" s="260"/>
      <c r="X1271" s="260"/>
      <c r="Y1271" s="565"/>
      <c r="Z1271" s="565"/>
      <c r="AA1271" s="566">
        <f t="shared" si="126"/>
        <v>0</v>
      </c>
      <c r="AB1271" s="699"/>
    </row>
    <row r="1272" spans="1:28" ht="15" customHeight="1" x14ac:dyDescent="0.3">
      <c r="A1272" s="79" t="s">
        <v>4145</v>
      </c>
      <c r="C1272" s="115">
        <v>43860</v>
      </c>
      <c r="D1272" s="312">
        <v>43900</v>
      </c>
      <c r="E1272" s="560"/>
      <c r="F1272" s="86" t="s">
        <v>4146</v>
      </c>
      <c r="G1272" s="86" t="s">
        <v>2104</v>
      </c>
      <c r="H1272" s="96" t="s">
        <v>213</v>
      </c>
      <c r="I1272" s="97" t="s">
        <v>604</v>
      </c>
      <c r="J1272" s="73">
        <f t="shared" si="124"/>
        <v>1</v>
      </c>
      <c r="K1272" s="74" t="s">
        <v>204</v>
      </c>
      <c r="N1272" s="76" t="s">
        <v>19</v>
      </c>
      <c r="Q1272" s="76" t="s">
        <v>2109</v>
      </c>
      <c r="R1272" s="73">
        <f t="shared" si="125"/>
        <v>1</v>
      </c>
      <c r="S1272" s="260" t="s">
        <v>1976</v>
      </c>
      <c r="T1272" s="260"/>
      <c r="U1272" s="260" t="s">
        <v>5283</v>
      </c>
      <c r="V1272" s="260" t="s">
        <v>4742</v>
      </c>
      <c r="W1272" s="260"/>
      <c r="X1272" s="260"/>
      <c r="Y1272" s="565"/>
      <c r="Z1272" s="565"/>
      <c r="AA1272" s="566">
        <f t="shared" si="126"/>
        <v>0</v>
      </c>
      <c r="AB1272" s="699"/>
    </row>
    <row r="1273" spans="1:28" ht="15" customHeight="1" x14ac:dyDescent="0.3">
      <c r="A1273" s="96" t="s">
        <v>4147</v>
      </c>
      <c r="C1273" s="115">
        <v>43860</v>
      </c>
      <c r="D1273" s="312">
        <v>43900</v>
      </c>
      <c r="E1273" s="560"/>
      <c r="F1273" s="86" t="s">
        <v>4148</v>
      </c>
      <c r="G1273" s="86" t="s">
        <v>147</v>
      </c>
      <c r="H1273" s="96" t="s">
        <v>213</v>
      </c>
      <c r="I1273" s="97" t="s">
        <v>1635</v>
      </c>
      <c r="J1273" s="73">
        <f t="shared" si="124"/>
        <v>1</v>
      </c>
      <c r="K1273" s="74" t="s">
        <v>204</v>
      </c>
      <c r="N1273" s="76" t="s">
        <v>18</v>
      </c>
      <c r="Q1273" s="76" t="s">
        <v>2109</v>
      </c>
      <c r="R1273" s="73">
        <f t="shared" si="125"/>
        <v>1</v>
      </c>
      <c r="S1273" s="260" t="s">
        <v>1976</v>
      </c>
      <c r="T1273" s="260"/>
      <c r="U1273" s="260" t="s">
        <v>5283</v>
      </c>
      <c r="V1273" s="260" t="s">
        <v>4743</v>
      </c>
      <c r="W1273" s="260"/>
      <c r="X1273" s="260"/>
      <c r="Y1273" s="565"/>
      <c r="Z1273" s="565"/>
      <c r="AA1273" s="566">
        <f t="shared" si="126"/>
        <v>0</v>
      </c>
      <c r="AB1273" s="699"/>
    </row>
    <row r="1274" spans="1:28" ht="15" customHeight="1" x14ac:dyDescent="0.3">
      <c r="A1274" s="96" t="s">
        <v>4149</v>
      </c>
      <c r="C1274" s="115">
        <v>43860</v>
      </c>
      <c r="D1274" s="312">
        <v>43900</v>
      </c>
      <c r="E1274" s="560"/>
      <c r="F1274" s="86" t="s">
        <v>4150</v>
      </c>
      <c r="G1274" s="86" t="s">
        <v>156</v>
      </c>
      <c r="H1274" s="96" t="s">
        <v>213</v>
      </c>
      <c r="I1274" s="97" t="s">
        <v>657</v>
      </c>
      <c r="J1274" s="73">
        <f t="shared" si="124"/>
        <v>1</v>
      </c>
      <c r="K1274" s="74" t="s">
        <v>204</v>
      </c>
      <c r="N1274" s="76" t="s">
        <v>17</v>
      </c>
      <c r="Q1274" s="76" t="s">
        <v>2142</v>
      </c>
      <c r="R1274" s="73">
        <f t="shared" si="125"/>
        <v>1</v>
      </c>
      <c r="S1274" s="260" t="s">
        <v>1976</v>
      </c>
      <c r="T1274" s="260"/>
      <c r="U1274" s="260"/>
      <c r="V1274" s="260"/>
      <c r="W1274" s="260"/>
      <c r="X1274" s="260"/>
      <c r="Y1274" s="565"/>
      <c r="Z1274" s="565"/>
      <c r="AA1274" s="566">
        <f t="shared" si="126"/>
        <v>0</v>
      </c>
      <c r="AB1274" s="699"/>
    </row>
    <row r="1275" spans="1:28" ht="15" customHeight="1" x14ac:dyDescent="0.3">
      <c r="A1275" s="96" t="s">
        <v>4234</v>
      </c>
      <c r="C1275" s="115">
        <v>43860</v>
      </c>
      <c r="D1275" s="312">
        <v>43900</v>
      </c>
      <c r="E1275" s="560"/>
      <c r="F1275" s="86" t="s">
        <v>4235</v>
      </c>
      <c r="G1275" s="86" t="s">
        <v>154</v>
      </c>
      <c r="H1275" s="96" t="s">
        <v>213</v>
      </c>
      <c r="I1275" s="97" t="s">
        <v>714</v>
      </c>
      <c r="J1275" s="73">
        <f t="shared" si="124"/>
        <v>1</v>
      </c>
      <c r="K1275" s="74" t="s">
        <v>204</v>
      </c>
      <c r="N1275" s="76" t="s">
        <v>18</v>
      </c>
      <c r="Q1275" s="76" t="s">
        <v>2076</v>
      </c>
      <c r="R1275" s="73">
        <f t="shared" si="125"/>
        <v>1</v>
      </c>
      <c r="S1275" s="260" t="s">
        <v>1976</v>
      </c>
      <c r="T1275" s="260"/>
      <c r="U1275" s="260"/>
      <c r="V1275" s="260"/>
      <c r="W1275" s="260"/>
      <c r="X1275" s="260"/>
      <c r="Y1275" s="565"/>
      <c r="Z1275" s="565"/>
      <c r="AA1275" s="566">
        <f t="shared" si="126"/>
        <v>0</v>
      </c>
      <c r="AB1275" s="699"/>
    </row>
    <row r="1276" spans="1:28" ht="15" customHeight="1" x14ac:dyDescent="0.3">
      <c r="A1276" s="79" t="s">
        <v>4248</v>
      </c>
      <c r="C1276" s="115">
        <v>43861</v>
      </c>
      <c r="D1276" s="312">
        <v>43901</v>
      </c>
      <c r="E1276" s="560"/>
      <c r="F1276" s="86" t="s">
        <v>4249</v>
      </c>
      <c r="G1276" s="86" t="s">
        <v>158</v>
      </c>
      <c r="H1276" s="96" t="s">
        <v>213</v>
      </c>
      <c r="I1276" s="97" t="s">
        <v>642</v>
      </c>
      <c r="J1276" s="73">
        <f t="shared" si="124"/>
        <v>1</v>
      </c>
      <c r="K1276" s="260" t="s">
        <v>204</v>
      </c>
      <c r="N1276" s="76" t="s">
        <v>18</v>
      </c>
      <c r="Q1276" s="76" t="s">
        <v>2109</v>
      </c>
      <c r="R1276" s="73">
        <f t="shared" si="125"/>
        <v>1</v>
      </c>
      <c r="S1276" s="260" t="s">
        <v>1976</v>
      </c>
      <c r="T1276" s="260"/>
      <c r="U1276" s="260"/>
      <c r="V1276" s="260"/>
      <c r="W1276" s="260"/>
      <c r="X1276" s="260"/>
      <c r="Y1276" s="565"/>
      <c r="Z1276" s="565"/>
      <c r="AA1276" s="566">
        <f t="shared" si="126"/>
        <v>0</v>
      </c>
      <c r="AB1276" s="699"/>
    </row>
    <row r="1277" spans="1:28" ht="15" customHeight="1" x14ac:dyDescent="0.3">
      <c r="A1277" s="96" t="s">
        <v>4333</v>
      </c>
      <c r="C1277" s="115">
        <v>43861</v>
      </c>
      <c r="D1277" s="312">
        <v>43901</v>
      </c>
      <c r="E1277" s="560"/>
      <c r="F1277" s="86" t="s">
        <v>4334</v>
      </c>
      <c r="G1277" s="86" t="s">
        <v>152</v>
      </c>
      <c r="H1277" s="96" t="s">
        <v>213</v>
      </c>
      <c r="I1277" s="97" t="s">
        <v>642</v>
      </c>
      <c r="J1277" s="73">
        <f t="shared" si="124"/>
        <v>1</v>
      </c>
      <c r="K1277" s="260" t="s">
        <v>204</v>
      </c>
      <c r="L1277" s="97" t="s">
        <v>8108</v>
      </c>
      <c r="N1277" s="76" t="s">
        <v>17</v>
      </c>
      <c r="Q1277" s="76" t="s">
        <v>2037</v>
      </c>
      <c r="R1277" s="73">
        <f t="shared" si="125"/>
        <v>1</v>
      </c>
      <c r="S1277" s="260" t="s">
        <v>1976</v>
      </c>
      <c r="T1277" s="260"/>
      <c r="U1277" s="260"/>
      <c r="V1277" s="260"/>
      <c r="W1277" s="260"/>
      <c r="X1277" s="260"/>
      <c r="Y1277" s="565"/>
      <c r="Z1277" s="565"/>
      <c r="AA1277" s="566">
        <f t="shared" si="126"/>
        <v>0</v>
      </c>
      <c r="AB1277" s="699"/>
    </row>
    <row r="1278" spans="1:28" ht="15" customHeight="1" x14ac:dyDescent="0.3">
      <c r="A1278" s="96" t="s">
        <v>4252</v>
      </c>
      <c r="C1278" s="115">
        <v>43861</v>
      </c>
      <c r="D1278" s="312">
        <v>43901</v>
      </c>
      <c r="E1278" s="560"/>
      <c r="F1278" s="86" t="s">
        <v>4253</v>
      </c>
      <c r="G1278" s="86" t="s">
        <v>410</v>
      </c>
      <c r="H1278" s="96" t="s">
        <v>213</v>
      </c>
      <c r="I1278" s="86" t="s">
        <v>722</v>
      </c>
      <c r="J1278" s="73">
        <f t="shared" si="124"/>
        <v>1</v>
      </c>
      <c r="K1278" s="260" t="s">
        <v>204</v>
      </c>
      <c r="L1278" s="86" t="s">
        <v>4308</v>
      </c>
      <c r="N1278" s="76" t="s">
        <v>18</v>
      </c>
      <c r="Q1278" s="76" t="s">
        <v>2109</v>
      </c>
      <c r="R1278" s="73">
        <f t="shared" si="125"/>
        <v>1</v>
      </c>
      <c r="S1278" s="260" t="s">
        <v>1976</v>
      </c>
      <c r="T1278" s="260"/>
      <c r="U1278" s="260"/>
      <c r="V1278" s="260"/>
      <c r="W1278" s="260"/>
      <c r="X1278" s="260"/>
      <c r="Y1278" s="565"/>
      <c r="Z1278" s="565"/>
      <c r="AA1278" s="566">
        <f t="shared" si="126"/>
        <v>0</v>
      </c>
      <c r="AB1278" s="699"/>
    </row>
    <row r="1279" spans="1:28" ht="15" customHeight="1" x14ac:dyDescent="0.3">
      <c r="A1279" s="79" t="s">
        <v>4186</v>
      </c>
      <c r="C1279" s="115">
        <v>43861</v>
      </c>
      <c r="D1279" s="312">
        <v>43900</v>
      </c>
      <c r="E1279" s="560"/>
      <c r="F1279" s="86" t="s">
        <v>4187</v>
      </c>
      <c r="G1279" s="86" t="s">
        <v>158</v>
      </c>
      <c r="H1279" s="96" t="s">
        <v>213</v>
      </c>
      <c r="I1279" s="97" t="s">
        <v>642</v>
      </c>
      <c r="J1279" s="73">
        <f t="shared" si="124"/>
        <v>1</v>
      </c>
      <c r="K1279" s="74" t="s">
        <v>204</v>
      </c>
      <c r="L1279" s="97" t="s">
        <v>8109</v>
      </c>
      <c r="N1279" s="76" t="s">
        <v>18</v>
      </c>
      <c r="Q1279" s="76" t="s">
        <v>2142</v>
      </c>
      <c r="R1279" s="73">
        <f t="shared" si="125"/>
        <v>1</v>
      </c>
      <c r="S1279" s="260" t="s">
        <v>1976</v>
      </c>
      <c r="T1279" s="260"/>
      <c r="U1279" s="260"/>
      <c r="V1279" s="260"/>
      <c r="W1279" s="260"/>
      <c r="X1279" s="260"/>
      <c r="Y1279" s="565"/>
      <c r="Z1279" s="565"/>
      <c r="AA1279" s="566">
        <f t="shared" si="126"/>
        <v>0</v>
      </c>
      <c r="AB1279" s="699"/>
    </row>
    <row r="1280" spans="1:28" ht="15" customHeight="1" x14ac:dyDescent="0.3">
      <c r="A1280" s="79" t="s">
        <v>4254</v>
      </c>
      <c r="C1280" s="115">
        <v>43861</v>
      </c>
      <c r="D1280" s="312">
        <v>43901</v>
      </c>
      <c r="E1280" s="560"/>
      <c r="F1280" s="86" t="s">
        <v>4255</v>
      </c>
      <c r="G1280" s="86" t="s">
        <v>189</v>
      </c>
      <c r="H1280" s="96" t="s">
        <v>213</v>
      </c>
      <c r="I1280" s="97" t="s">
        <v>641</v>
      </c>
      <c r="J1280" s="73">
        <f t="shared" si="124"/>
        <v>1</v>
      </c>
      <c r="K1280" s="260" t="s">
        <v>204</v>
      </c>
      <c r="N1280" s="76" t="s">
        <v>17</v>
      </c>
      <c r="Q1280" s="76" t="s">
        <v>2109</v>
      </c>
      <c r="R1280" s="73">
        <f t="shared" si="125"/>
        <v>1</v>
      </c>
      <c r="S1280" s="260" t="s">
        <v>1976</v>
      </c>
      <c r="T1280" s="260"/>
      <c r="U1280" s="260"/>
      <c r="V1280" s="260"/>
      <c r="W1280" s="260"/>
      <c r="X1280" s="260"/>
      <c r="Y1280" s="565"/>
      <c r="Z1280" s="565"/>
      <c r="AA1280" s="566">
        <f t="shared" si="126"/>
        <v>0</v>
      </c>
      <c r="AB1280" s="699"/>
    </row>
    <row r="1281" spans="1:28" ht="15" customHeight="1" x14ac:dyDescent="0.3">
      <c r="A1281" s="96" t="s">
        <v>4607</v>
      </c>
      <c r="C1281" s="115">
        <v>43861</v>
      </c>
      <c r="D1281" s="312">
        <v>43901</v>
      </c>
      <c r="E1281" s="560"/>
      <c r="F1281" s="86" t="s">
        <v>4660</v>
      </c>
      <c r="G1281" s="86" t="s">
        <v>162</v>
      </c>
      <c r="H1281" s="96" t="s">
        <v>213</v>
      </c>
      <c r="I1281" s="97" t="s">
        <v>642</v>
      </c>
      <c r="J1281" s="73">
        <f t="shared" si="124"/>
        <v>1</v>
      </c>
      <c r="K1281" s="260" t="s">
        <v>204</v>
      </c>
      <c r="N1281" s="76" t="s">
        <v>18</v>
      </c>
      <c r="Q1281" s="76" t="s">
        <v>2142</v>
      </c>
      <c r="R1281" s="73">
        <f t="shared" si="125"/>
        <v>1</v>
      </c>
      <c r="S1281" s="260" t="s">
        <v>1976</v>
      </c>
      <c r="T1281" s="260"/>
      <c r="U1281" s="260"/>
      <c r="V1281" s="260"/>
      <c r="W1281" s="260"/>
      <c r="X1281" s="260"/>
      <c r="Y1281" s="565"/>
      <c r="Z1281" s="565"/>
      <c r="AA1281" s="566">
        <f t="shared" si="126"/>
        <v>0</v>
      </c>
      <c r="AB1281" s="699"/>
    </row>
    <row r="1282" spans="1:28" ht="15" customHeight="1" x14ac:dyDescent="0.3">
      <c r="A1282" s="79" t="s">
        <v>4282</v>
      </c>
      <c r="C1282" s="115">
        <v>43861</v>
      </c>
      <c r="D1282" s="312">
        <v>43901</v>
      </c>
      <c r="E1282" s="560"/>
      <c r="F1282" s="86" t="s">
        <v>4283</v>
      </c>
      <c r="G1282" s="86" t="s">
        <v>172</v>
      </c>
      <c r="H1282" s="96" t="s">
        <v>213</v>
      </c>
      <c r="I1282" s="97" t="s">
        <v>642</v>
      </c>
      <c r="J1282" s="73">
        <f t="shared" si="124"/>
        <v>1</v>
      </c>
      <c r="K1282" s="260" t="s">
        <v>204</v>
      </c>
      <c r="N1282" s="76" t="s">
        <v>18</v>
      </c>
      <c r="Q1282" s="76" t="s">
        <v>2142</v>
      </c>
      <c r="R1282" s="73">
        <f t="shared" si="125"/>
        <v>1</v>
      </c>
      <c r="S1282" s="260" t="s">
        <v>1976</v>
      </c>
      <c r="T1282" s="260"/>
      <c r="U1282" s="260"/>
      <c r="V1282" s="260"/>
      <c r="W1282" s="260"/>
      <c r="X1282" s="260"/>
      <c r="Y1282" s="565"/>
      <c r="Z1282" s="565"/>
      <c r="AA1282" s="566">
        <f t="shared" si="126"/>
        <v>0</v>
      </c>
      <c r="AB1282" s="699"/>
    </row>
    <row r="1283" spans="1:28" ht="15" customHeight="1" x14ac:dyDescent="0.3">
      <c r="A1283" s="96" t="s">
        <v>4608</v>
      </c>
      <c r="C1283" s="115">
        <v>43861</v>
      </c>
      <c r="D1283" s="312">
        <v>43901</v>
      </c>
      <c r="E1283" s="560"/>
      <c r="F1283" s="86" t="s">
        <v>4661</v>
      </c>
      <c r="G1283" s="86" t="s">
        <v>150</v>
      </c>
      <c r="H1283" s="96" t="s">
        <v>213</v>
      </c>
      <c r="I1283" s="97" t="s">
        <v>642</v>
      </c>
      <c r="J1283" s="73">
        <f t="shared" si="124"/>
        <v>1</v>
      </c>
      <c r="K1283" s="260" t="s">
        <v>204</v>
      </c>
      <c r="N1283" s="76" t="s">
        <v>18</v>
      </c>
      <c r="Q1283" s="76" t="s">
        <v>2076</v>
      </c>
      <c r="R1283" s="73">
        <f t="shared" si="125"/>
        <v>1</v>
      </c>
      <c r="S1283" s="260" t="s">
        <v>1976</v>
      </c>
      <c r="T1283" s="260"/>
      <c r="U1283" s="260"/>
      <c r="V1283" s="260"/>
      <c r="W1283" s="260"/>
      <c r="X1283" s="260"/>
      <c r="Y1283" s="565"/>
      <c r="Z1283" s="565"/>
      <c r="AA1283" s="566">
        <f t="shared" si="126"/>
        <v>0</v>
      </c>
      <c r="AB1283" s="699"/>
    </row>
    <row r="1284" spans="1:28" ht="15" customHeight="1" x14ac:dyDescent="0.3">
      <c r="A1284" s="96" t="s">
        <v>4335</v>
      </c>
      <c r="C1284" s="115">
        <v>43861</v>
      </c>
      <c r="D1284" s="312">
        <v>43901</v>
      </c>
      <c r="E1284" s="560"/>
      <c r="F1284" s="86" t="s">
        <v>4336</v>
      </c>
      <c r="G1284" s="86" t="s">
        <v>181</v>
      </c>
      <c r="H1284" s="96" t="s">
        <v>213</v>
      </c>
      <c r="I1284" s="97" t="s">
        <v>641</v>
      </c>
      <c r="J1284" s="73">
        <f t="shared" si="124"/>
        <v>1</v>
      </c>
      <c r="K1284" s="260" t="s">
        <v>204</v>
      </c>
      <c r="N1284" s="76" t="s">
        <v>18</v>
      </c>
      <c r="Q1284" s="76" t="s">
        <v>2037</v>
      </c>
      <c r="R1284" s="73">
        <f t="shared" si="125"/>
        <v>1</v>
      </c>
      <c r="S1284" s="260" t="s">
        <v>1976</v>
      </c>
      <c r="T1284" s="260"/>
      <c r="U1284" s="260"/>
      <c r="V1284" s="260"/>
      <c r="W1284" s="260"/>
      <c r="X1284" s="260"/>
      <c r="Y1284" s="565"/>
      <c r="Z1284" s="565"/>
      <c r="AA1284" s="566">
        <f t="shared" si="126"/>
        <v>0</v>
      </c>
      <c r="AB1284" s="699"/>
    </row>
    <row r="1285" spans="1:28" ht="15" customHeight="1" x14ac:dyDescent="0.3">
      <c r="A1285" s="79" t="s">
        <v>4284</v>
      </c>
      <c r="C1285" s="115">
        <v>43861</v>
      </c>
      <c r="D1285" s="312">
        <v>43901</v>
      </c>
      <c r="E1285" s="560"/>
      <c r="F1285" s="86" t="s">
        <v>4285</v>
      </c>
      <c r="G1285" s="86" t="s">
        <v>1328</v>
      </c>
      <c r="H1285" s="96" t="s">
        <v>213</v>
      </c>
      <c r="I1285" s="97" t="s">
        <v>995</v>
      </c>
      <c r="J1285" s="73">
        <f t="shared" si="124"/>
        <v>1</v>
      </c>
      <c r="K1285" s="260" t="s">
        <v>204</v>
      </c>
      <c r="N1285" s="76" t="s">
        <v>19</v>
      </c>
      <c r="Q1285" s="76" t="s">
        <v>2142</v>
      </c>
      <c r="R1285" s="73">
        <f t="shared" si="125"/>
        <v>1</v>
      </c>
      <c r="S1285" s="260" t="s">
        <v>1976</v>
      </c>
      <c r="T1285" s="260"/>
      <c r="U1285" s="260"/>
      <c r="V1285" s="260"/>
      <c r="W1285" s="260"/>
      <c r="X1285" s="260"/>
      <c r="Y1285" s="565"/>
      <c r="Z1285" s="565"/>
      <c r="AA1285" s="566">
        <f t="shared" si="126"/>
        <v>0</v>
      </c>
      <c r="AB1285" s="699"/>
    </row>
    <row r="1286" spans="1:28" ht="15" customHeight="1" x14ac:dyDescent="0.3">
      <c r="A1286" s="96" t="s">
        <v>4368</v>
      </c>
      <c r="C1286" s="115">
        <v>43861</v>
      </c>
      <c r="D1286" s="312">
        <v>43901</v>
      </c>
      <c r="E1286" s="560"/>
      <c r="F1286" s="86" t="s">
        <v>4369</v>
      </c>
      <c r="G1286" s="86" t="s">
        <v>158</v>
      </c>
      <c r="H1286" s="96" t="s">
        <v>213</v>
      </c>
      <c r="I1286" s="97" t="s">
        <v>642</v>
      </c>
      <c r="J1286" s="73">
        <f t="shared" si="124"/>
        <v>1</v>
      </c>
      <c r="K1286" s="260" t="s">
        <v>204</v>
      </c>
      <c r="N1286" s="76" t="s">
        <v>18</v>
      </c>
      <c r="Q1286" s="76" t="s">
        <v>2076</v>
      </c>
      <c r="R1286" s="73">
        <f t="shared" si="125"/>
        <v>1</v>
      </c>
      <c r="S1286" s="260" t="s">
        <v>1976</v>
      </c>
      <c r="T1286" s="260"/>
      <c r="U1286" s="260" t="s">
        <v>5283</v>
      </c>
      <c r="V1286" s="260" t="s">
        <v>4746</v>
      </c>
      <c r="W1286" s="260"/>
      <c r="X1286" s="260"/>
      <c r="Y1286" s="565"/>
      <c r="Z1286" s="565"/>
      <c r="AA1286" s="566">
        <f t="shared" si="126"/>
        <v>0</v>
      </c>
      <c r="AB1286" s="699"/>
    </row>
    <row r="1287" spans="1:28" ht="15" customHeight="1" x14ac:dyDescent="0.3">
      <c r="A1287" s="96" t="s">
        <v>4286</v>
      </c>
      <c r="C1287" s="115">
        <v>43864</v>
      </c>
      <c r="D1287" s="312">
        <v>43902</v>
      </c>
      <c r="E1287" s="560"/>
      <c r="F1287" s="86" t="s">
        <v>4287</v>
      </c>
      <c r="G1287" s="86" t="s">
        <v>158</v>
      </c>
      <c r="H1287" s="96" t="s">
        <v>213</v>
      </c>
      <c r="I1287" s="97" t="s">
        <v>1299</v>
      </c>
      <c r="J1287" s="73">
        <f t="shared" si="124"/>
        <v>1</v>
      </c>
      <c r="K1287" s="74" t="s">
        <v>204</v>
      </c>
      <c r="N1287" s="76" t="s">
        <v>18</v>
      </c>
      <c r="Q1287" s="76" t="s">
        <v>2142</v>
      </c>
      <c r="R1287" s="73">
        <f t="shared" si="125"/>
        <v>1</v>
      </c>
      <c r="S1287" s="260" t="s">
        <v>1976</v>
      </c>
      <c r="T1287" s="260"/>
      <c r="U1287" s="260"/>
      <c r="V1287" s="260"/>
      <c r="W1287" s="260"/>
      <c r="X1287" s="260"/>
      <c r="Y1287" s="565"/>
      <c r="Z1287" s="565"/>
      <c r="AA1287" s="566">
        <f t="shared" si="126"/>
        <v>0</v>
      </c>
      <c r="AB1287" s="699"/>
    </row>
    <row r="1288" spans="1:28" ht="15" customHeight="1" x14ac:dyDescent="0.3">
      <c r="A1288" s="96" t="s">
        <v>4337</v>
      </c>
      <c r="C1288" s="115">
        <v>43864</v>
      </c>
      <c r="D1288" s="312">
        <v>43902</v>
      </c>
      <c r="E1288" s="560"/>
      <c r="F1288" s="86" t="s">
        <v>4338</v>
      </c>
      <c r="G1288" s="86" t="s">
        <v>154</v>
      </c>
      <c r="H1288" s="96" t="s">
        <v>213</v>
      </c>
      <c r="I1288" s="97" t="s">
        <v>714</v>
      </c>
      <c r="J1288" s="73">
        <f t="shared" si="124"/>
        <v>1</v>
      </c>
      <c r="K1288" s="74" t="s">
        <v>204</v>
      </c>
      <c r="N1288" s="76" t="s">
        <v>18</v>
      </c>
      <c r="Q1288" s="76" t="s">
        <v>2037</v>
      </c>
      <c r="R1288" s="73">
        <f t="shared" si="125"/>
        <v>1</v>
      </c>
      <c r="S1288" s="260" t="s">
        <v>1976</v>
      </c>
      <c r="T1288" s="260"/>
      <c r="U1288" s="260"/>
      <c r="V1288" s="260"/>
      <c r="W1288" s="260"/>
      <c r="X1288" s="260"/>
      <c r="Y1288" s="565"/>
      <c r="Z1288" s="565"/>
      <c r="AA1288" s="566">
        <f t="shared" si="126"/>
        <v>0</v>
      </c>
      <c r="AB1288" s="699"/>
    </row>
    <row r="1289" spans="1:28" ht="15" customHeight="1" x14ac:dyDescent="0.3">
      <c r="A1289" s="96" t="s">
        <v>4609</v>
      </c>
      <c r="C1289" s="115">
        <v>43864</v>
      </c>
      <c r="D1289" s="312">
        <v>43902</v>
      </c>
      <c r="E1289" s="560"/>
      <c r="F1289" s="86" t="s">
        <v>4662</v>
      </c>
      <c r="G1289" s="86" t="s">
        <v>147</v>
      </c>
      <c r="H1289" s="96" t="s">
        <v>213</v>
      </c>
      <c r="I1289" s="97" t="s">
        <v>714</v>
      </c>
      <c r="J1289" s="73">
        <f t="shared" si="124"/>
        <v>1</v>
      </c>
      <c r="K1289" s="74" t="s">
        <v>204</v>
      </c>
      <c r="N1289" s="76" t="s">
        <v>18</v>
      </c>
      <c r="Q1289" s="76" t="s">
        <v>2109</v>
      </c>
      <c r="R1289" s="73">
        <f t="shared" si="125"/>
        <v>1</v>
      </c>
      <c r="S1289" s="260" t="s">
        <v>1976</v>
      </c>
      <c r="T1289" s="260"/>
      <c r="U1289" s="260"/>
      <c r="V1289" s="260"/>
      <c r="W1289" s="260"/>
      <c r="X1289" s="260"/>
      <c r="Y1289" s="565"/>
      <c r="Z1289" s="565"/>
      <c r="AA1289" s="566">
        <f t="shared" si="126"/>
        <v>0</v>
      </c>
      <c r="AB1289" s="699"/>
    </row>
    <row r="1290" spans="1:28" ht="15" customHeight="1" x14ac:dyDescent="0.3">
      <c r="A1290" s="96" t="s">
        <v>4372</v>
      </c>
      <c r="C1290" s="115">
        <v>43864</v>
      </c>
      <c r="D1290" s="312">
        <v>43902</v>
      </c>
      <c r="E1290" s="560"/>
      <c r="F1290" s="86" t="s">
        <v>4373</v>
      </c>
      <c r="G1290" s="86" t="s">
        <v>150</v>
      </c>
      <c r="H1290" s="96" t="s">
        <v>213</v>
      </c>
      <c r="I1290" s="97" t="s">
        <v>642</v>
      </c>
      <c r="J1290" s="73">
        <f t="shared" si="124"/>
        <v>1</v>
      </c>
      <c r="K1290" s="74" t="s">
        <v>204</v>
      </c>
      <c r="N1290" s="76" t="s">
        <v>18</v>
      </c>
      <c r="Q1290" s="76" t="s">
        <v>2076</v>
      </c>
      <c r="R1290" s="73">
        <f t="shared" si="125"/>
        <v>1</v>
      </c>
      <c r="S1290" s="260" t="s">
        <v>1976</v>
      </c>
      <c r="T1290" s="260"/>
      <c r="U1290" s="260"/>
      <c r="V1290" s="260"/>
      <c r="W1290" s="260"/>
      <c r="X1290" s="260"/>
      <c r="Y1290" s="565"/>
      <c r="Z1290" s="565"/>
      <c r="AA1290" s="566">
        <f t="shared" si="126"/>
        <v>0</v>
      </c>
      <c r="AB1290" s="699"/>
    </row>
    <row r="1291" spans="1:28" ht="15" customHeight="1" x14ac:dyDescent="0.3">
      <c r="A1291" s="96" t="s">
        <v>4290</v>
      </c>
      <c r="C1291" s="115">
        <v>43864</v>
      </c>
      <c r="D1291" s="312">
        <v>43902</v>
      </c>
      <c r="E1291" s="560"/>
      <c r="F1291" s="86" t="s">
        <v>4291</v>
      </c>
      <c r="G1291" s="86" t="s">
        <v>156</v>
      </c>
      <c r="H1291" s="96" t="s">
        <v>213</v>
      </c>
      <c r="I1291" s="97" t="s">
        <v>642</v>
      </c>
      <c r="J1291" s="73">
        <f t="shared" si="124"/>
        <v>1</v>
      </c>
      <c r="K1291" s="74" t="s">
        <v>204</v>
      </c>
      <c r="N1291" s="76" t="s">
        <v>18</v>
      </c>
      <c r="Q1291" s="76" t="s">
        <v>2142</v>
      </c>
      <c r="R1291" s="73">
        <f t="shared" si="125"/>
        <v>1</v>
      </c>
      <c r="S1291" s="260" t="s">
        <v>1976</v>
      </c>
      <c r="T1291" s="260"/>
      <c r="U1291" s="260"/>
      <c r="V1291" s="260"/>
      <c r="W1291" s="260"/>
      <c r="X1291" s="260"/>
      <c r="Y1291" s="565"/>
      <c r="Z1291" s="565"/>
      <c r="AA1291" s="566">
        <f t="shared" si="126"/>
        <v>0</v>
      </c>
      <c r="AB1291" s="699"/>
    </row>
    <row r="1292" spans="1:28" ht="15" customHeight="1" x14ac:dyDescent="0.3">
      <c r="A1292" s="96" t="s">
        <v>4339</v>
      </c>
      <c r="C1292" s="115">
        <v>43864</v>
      </c>
      <c r="D1292" s="312">
        <v>43902</v>
      </c>
      <c r="E1292" s="560"/>
      <c r="F1292" s="86" t="s">
        <v>4340</v>
      </c>
      <c r="G1292" s="86" t="s">
        <v>154</v>
      </c>
      <c r="H1292" s="96" t="s">
        <v>213</v>
      </c>
      <c r="I1292" s="97" t="s">
        <v>1371</v>
      </c>
      <c r="J1292" s="73">
        <f t="shared" si="124"/>
        <v>1</v>
      </c>
      <c r="K1292" s="74" t="s">
        <v>204</v>
      </c>
      <c r="L1292" s="97" t="s">
        <v>12733</v>
      </c>
      <c r="N1292" s="76" t="s">
        <v>19</v>
      </c>
      <c r="Q1292" s="76" t="s">
        <v>2037</v>
      </c>
      <c r="R1292" s="73">
        <f t="shared" si="125"/>
        <v>1</v>
      </c>
      <c r="S1292" s="260" t="s">
        <v>1976</v>
      </c>
      <c r="T1292" s="260"/>
      <c r="U1292" s="260" t="s">
        <v>5283</v>
      </c>
      <c r="V1292" s="260" t="s">
        <v>12712</v>
      </c>
      <c r="W1292" s="260" t="s">
        <v>4752</v>
      </c>
      <c r="X1292" s="260"/>
      <c r="Y1292" s="565"/>
      <c r="Z1292" s="565"/>
      <c r="AA1292" s="566">
        <f t="shared" si="126"/>
        <v>0</v>
      </c>
      <c r="AB1292" s="699"/>
    </row>
    <row r="1293" spans="1:28" ht="15" customHeight="1" x14ac:dyDescent="0.3">
      <c r="A1293" s="79" t="s">
        <v>4610</v>
      </c>
      <c r="C1293" s="115">
        <v>43864</v>
      </c>
      <c r="D1293" s="312">
        <v>43902</v>
      </c>
      <c r="E1293" s="560"/>
      <c r="F1293" s="86" t="s">
        <v>4663</v>
      </c>
      <c r="G1293" s="86" t="s">
        <v>158</v>
      </c>
      <c r="H1293" s="96" t="s">
        <v>213</v>
      </c>
      <c r="I1293" s="97" t="s">
        <v>722</v>
      </c>
      <c r="J1293" s="73">
        <f t="shared" si="124"/>
        <v>1</v>
      </c>
      <c r="K1293" s="74" t="s">
        <v>204</v>
      </c>
      <c r="L1293" s="97" t="s">
        <v>4757</v>
      </c>
      <c r="N1293" s="76" t="s">
        <v>17</v>
      </c>
      <c r="Q1293" s="76" t="s">
        <v>2109</v>
      </c>
      <c r="R1293" s="73">
        <f t="shared" si="125"/>
        <v>1</v>
      </c>
      <c r="S1293" s="260" t="s">
        <v>1976</v>
      </c>
      <c r="T1293" s="260"/>
      <c r="U1293" s="260" t="s">
        <v>5283</v>
      </c>
      <c r="V1293" s="260" t="s">
        <v>12711</v>
      </c>
      <c r="W1293" s="260"/>
      <c r="X1293" s="260"/>
      <c r="Y1293" s="565"/>
      <c r="Z1293" s="565"/>
      <c r="AA1293" s="566">
        <f t="shared" si="126"/>
        <v>0</v>
      </c>
      <c r="AB1293" s="699"/>
    </row>
    <row r="1294" spans="1:28" ht="15" customHeight="1" x14ac:dyDescent="0.3">
      <c r="A1294" s="79" t="s">
        <v>4376</v>
      </c>
      <c r="C1294" s="115">
        <v>43864</v>
      </c>
      <c r="D1294" s="312">
        <v>43902</v>
      </c>
      <c r="E1294" s="560"/>
      <c r="F1294" s="86" t="s">
        <v>4377</v>
      </c>
      <c r="G1294" s="86" t="s">
        <v>538</v>
      </c>
      <c r="H1294" s="96" t="s">
        <v>213</v>
      </c>
      <c r="I1294" s="97" t="s">
        <v>995</v>
      </c>
      <c r="J1294" s="73">
        <f t="shared" si="124"/>
        <v>1</v>
      </c>
      <c r="K1294" s="74" t="s">
        <v>204</v>
      </c>
      <c r="N1294" s="76" t="s">
        <v>19</v>
      </c>
      <c r="Q1294" s="76" t="s">
        <v>2076</v>
      </c>
      <c r="R1294" s="73">
        <f t="shared" si="125"/>
        <v>1</v>
      </c>
      <c r="S1294" s="260" t="s">
        <v>1976</v>
      </c>
      <c r="T1294" s="260"/>
      <c r="U1294" s="260"/>
      <c r="V1294" s="260"/>
      <c r="W1294" s="260"/>
      <c r="X1294" s="260"/>
      <c r="Y1294" s="565"/>
      <c r="Z1294" s="565"/>
      <c r="AA1294" s="566">
        <f t="shared" si="126"/>
        <v>0</v>
      </c>
      <c r="AB1294" s="699"/>
    </row>
    <row r="1295" spans="1:28" ht="15" customHeight="1" x14ac:dyDescent="0.3">
      <c r="A1295" s="96" t="s">
        <v>4262</v>
      </c>
      <c r="C1295" s="115">
        <v>43864</v>
      </c>
      <c r="D1295" s="312">
        <v>43902</v>
      </c>
      <c r="E1295" s="560"/>
      <c r="F1295" s="86" t="s">
        <v>4263</v>
      </c>
      <c r="G1295" s="86" t="s">
        <v>158</v>
      </c>
      <c r="H1295" s="96" t="s">
        <v>213</v>
      </c>
      <c r="I1295" s="97" t="s">
        <v>714</v>
      </c>
      <c r="J1295" s="73">
        <f t="shared" si="124"/>
        <v>1</v>
      </c>
      <c r="K1295" s="74" t="s">
        <v>204</v>
      </c>
      <c r="N1295" s="76" t="s">
        <v>18</v>
      </c>
      <c r="Q1295" s="76" t="s">
        <v>2109</v>
      </c>
      <c r="R1295" s="73">
        <f t="shared" si="125"/>
        <v>1</v>
      </c>
      <c r="S1295" s="260" t="s">
        <v>1976</v>
      </c>
      <c r="T1295" s="260"/>
      <c r="U1295" s="260"/>
      <c r="V1295" s="260"/>
      <c r="W1295" s="260"/>
      <c r="X1295" s="260"/>
      <c r="Y1295" s="565"/>
      <c r="Z1295" s="565"/>
      <c r="AA1295" s="566">
        <f t="shared" si="126"/>
        <v>0</v>
      </c>
      <c r="AB1295" s="699"/>
    </row>
    <row r="1296" spans="1:28" ht="15" customHeight="1" x14ac:dyDescent="0.3">
      <c r="A1296" s="96" t="s">
        <v>4345</v>
      </c>
      <c r="C1296" s="115">
        <v>43865</v>
      </c>
      <c r="D1296" s="312">
        <v>43902</v>
      </c>
      <c r="E1296" s="560"/>
      <c r="F1296" s="86" t="s">
        <v>3895</v>
      </c>
      <c r="G1296" s="86" t="s">
        <v>152</v>
      </c>
      <c r="H1296" s="96" t="s">
        <v>213</v>
      </c>
      <c r="I1296" s="97" t="s">
        <v>995</v>
      </c>
      <c r="J1296" s="73">
        <f t="shared" si="124"/>
        <v>1</v>
      </c>
      <c r="K1296" s="74" t="s">
        <v>204</v>
      </c>
      <c r="L1296" s="97" t="s">
        <v>4745</v>
      </c>
      <c r="N1296" s="76" t="s">
        <v>19</v>
      </c>
      <c r="Q1296" s="76" t="s">
        <v>2037</v>
      </c>
      <c r="R1296" s="73">
        <f t="shared" si="125"/>
        <v>1</v>
      </c>
      <c r="S1296" s="260" t="s">
        <v>1976</v>
      </c>
      <c r="T1296" s="260"/>
      <c r="U1296" s="260"/>
      <c r="V1296" s="260"/>
      <c r="W1296" s="260"/>
      <c r="X1296" s="260"/>
      <c r="Y1296" s="565"/>
      <c r="Z1296" s="565"/>
      <c r="AA1296" s="566">
        <f t="shared" si="126"/>
        <v>0</v>
      </c>
      <c r="AB1296" s="699"/>
    </row>
    <row r="1297" spans="1:28" ht="15" customHeight="1" x14ac:dyDescent="0.3">
      <c r="A1297" s="96" t="s">
        <v>4346</v>
      </c>
      <c r="C1297" s="115">
        <v>43865</v>
      </c>
      <c r="D1297" s="312">
        <v>43903</v>
      </c>
      <c r="E1297" s="560"/>
      <c r="F1297" s="86" t="s">
        <v>4347</v>
      </c>
      <c r="G1297" s="86" t="s">
        <v>154</v>
      </c>
      <c r="H1297" s="96" t="s">
        <v>213</v>
      </c>
      <c r="I1297" s="97" t="s">
        <v>722</v>
      </c>
      <c r="J1297" s="73">
        <f t="shared" si="124"/>
        <v>1</v>
      </c>
      <c r="K1297" s="74" t="s">
        <v>204</v>
      </c>
      <c r="N1297" s="76" t="s">
        <v>17</v>
      </c>
      <c r="Q1297" s="76" t="s">
        <v>2037</v>
      </c>
      <c r="R1297" s="73">
        <f t="shared" si="125"/>
        <v>1</v>
      </c>
      <c r="S1297" s="260" t="s">
        <v>1976</v>
      </c>
      <c r="T1297" s="260"/>
      <c r="U1297" s="260"/>
      <c r="V1297" s="260"/>
      <c r="W1297" s="260"/>
      <c r="X1297" s="260"/>
      <c r="Y1297" s="565"/>
      <c r="Z1297" s="565"/>
      <c r="AA1297" s="566">
        <f t="shared" si="126"/>
        <v>0</v>
      </c>
      <c r="AB1297" s="699"/>
    </row>
    <row r="1298" spans="1:28" ht="15" customHeight="1" x14ac:dyDescent="0.3">
      <c r="A1298" s="96" t="s">
        <v>4611</v>
      </c>
      <c r="C1298" s="115">
        <v>43865</v>
      </c>
      <c r="D1298" s="312">
        <v>43903</v>
      </c>
      <c r="E1298" s="560"/>
      <c r="F1298" s="86" t="s">
        <v>4664</v>
      </c>
      <c r="G1298" s="86" t="s">
        <v>164</v>
      </c>
      <c r="H1298" s="96" t="s">
        <v>213</v>
      </c>
      <c r="I1298" s="97" t="s">
        <v>714</v>
      </c>
      <c r="J1298" s="73">
        <f t="shared" si="124"/>
        <v>1</v>
      </c>
      <c r="K1298" s="74" t="s">
        <v>204</v>
      </c>
      <c r="N1298" s="76" t="s">
        <v>18</v>
      </c>
      <c r="Q1298" s="76" t="s">
        <v>2142</v>
      </c>
      <c r="R1298" s="73">
        <f t="shared" si="125"/>
        <v>1</v>
      </c>
      <c r="S1298" s="260" t="s">
        <v>1976</v>
      </c>
      <c r="T1298" s="260"/>
      <c r="U1298" s="260"/>
      <c r="V1298" s="260"/>
      <c r="W1298" s="260"/>
      <c r="X1298" s="260"/>
      <c r="Y1298" s="565"/>
      <c r="Z1298" s="565"/>
      <c r="AA1298" s="566">
        <f t="shared" si="126"/>
        <v>0</v>
      </c>
      <c r="AB1298" s="699"/>
    </row>
    <row r="1299" spans="1:28" ht="15" customHeight="1" x14ac:dyDescent="0.3">
      <c r="A1299" s="79" t="s">
        <v>4380</v>
      </c>
      <c r="C1299" s="115">
        <v>43865</v>
      </c>
      <c r="D1299" s="312">
        <v>43903</v>
      </c>
      <c r="E1299" s="560"/>
      <c r="F1299" s="86" t="s">
        <v>4381</v>
      </c>
      <c r="G1299" s="86" t="s">
        <v>147</v>
      </c>
      <c r="H1299" s="79" t="s">
        <v>268</v>
      </c>
      <c r="I1299" s="97" t="s">
        <v>4751</v>
      </c>
      <c r="J1299" s="73">
        <f t="shared" si="124"/>
        <v>1</v>
      </c>
      <c r="K1299" s="74" t="s">
        <v>204</v>
      </c>
      <c r="N1299" s="76" t="s">
        <v>18</v>
      </c>
      <c r="Q1299" s="76" t="s">
        <v>2076</v>
      </c>
      <c r="R1299" s="73">
        <f t="shared" si="125"/>
        <v>1</v>
      </c>
      <c r="S1299" s="260" t="s">
        <v>1976</v>
      </c>
      <c r="T1299" s="260"/>
      <c r="U1299" s="260"/>
      <c r="V1299" s="260"/>
      <c r="W1299" s="260"/>
      <c r="X1299" s="260"/>
      <c r="Y1299" s="565"/>
      <c r="Z1299" s="565"/>
      <c r="AA1299" s="566">
        <f t="shared" si="126"/>
        <v>0</v>
      </c>
      <c r="AB1299" s="699"/>
    </row>
    <row r="1300" spans="1:28" ht="15" customHeight="1" x14ac:dyDescent="0.3">
      <c r="A1300" s="96" t="s">
        <v>4384</v>
      </c>
      <c r="C1300" s="115">
        <v>43865</v>
      </c>
      <c r="D1300" s="312">
        <v>43903</v>
      </c>
      <c r="E1300" s="560"/>
      <c r="F1300" s="86" t="s">
        <v>4385</v>
      </c>
      <c r="G1300" s="86" t="s">
        <v>172</v>
      </c>
      <c r="H1300" s="96" t="s">
        <v>213</v>
      </c>
      <c r="I1300" s="97" t="s">
        <v>642</v>
      </c>
      <c r="J1300" s="73">
        <f t="shared" si="124"/>
        <v>1</v>
      </c>
      <c r="K1300" s="74" t="s">
        <v>204</v>
      </c>
      <c r="N1300" s="76" t="s">
        <v>18</v>
      </c>
      <c r="Q1300" s="76" t="s">
        <v>2076</v>
      </c>
      <c r="R1300" s="73">
        <f t="shared" si="125"/>
        <v>1</v>
      </c>
      <c r="S1300" s="260" t="s">
        <v>1976</v>
      </c>
      <c r="T1300" s="260"/>
      <c r="U1300" s="260"/>
      <c r="V1300" s="260"/>
      <c r="W1300" s="260"/>
      <c r="X1300" s="260"/>
      <c r="Y1300" s="565"/>
      <c r="Z1300" s="565"/>
      <c r="AA1300" s="566">
        <f t="shared" si="126"/>
        <v>0</v>
      </c>
      <c r="AB1300" s="699"/>
    </row>
    <row r="1301" spans="1:28" ht="15" customHeight="1" x14ac:dyDescent="0.3">
      <c r="A1301" s="96" t="s">
        <v>4270</v>
      </c>
      <c r="C1301" s="115">
        <v>43866</v>
      </c>
      <c r="D1301" s="312">
        <v>43903</v>
      </c>
      <c r="E1301" s="560"/>
      <c r="F1301" s="86" t="s">
        <v>4271</v>
      </c>
      <c r="G1301" s="86" t="s">
        <v>410</v>
      </c>
      <c r="H1301" s="96" t="s">
        <v>213</v>
      </c>
      <c r="I1301" s="97" t="s">
        <v>642</v>
      </c>
      <c r="J1301" s="73">
        <f t="shared" ref="J1301:J1328" si="127">IF(OR(K1301="Документы готовы",K1301="Запрос в ФО",K1301="ЭЗ",K1301="РЕШ",K1301="РЕШ шаблон"),0.1,IF(OR(K1301="ЭЗ согласование",K1301="РЕШ согласование"),0.3,IF(OR(K1301="ЭЗ согласовано",K1301="РЕШ согласовано",K1301="РЕШ подписано"),0.6,IF(OR(K1301="ЭЗ ПР согласование",K1301="РЕШ УВ согласование"),0.9,IF(OR(K1301="ЭЗ ПР DONE",K1301="РЕШ УВ DONE"),1,0)))))</f>
        <v>1</v>
      </c>
      <c r="K1301" s="74" t="s">
        <v>204</v>
      </c>
      <c r="N1301" s="76" t="s">
        <v>18</v>
      </c>
      <c r="Q1301" s="76" t="s">
        <v>2109</v>
      </c>
      <c r="R1301" s="73">
        <f t="shared" ref="R1301:R1328" si="128">IF(S1301="В работе",0.3,IF(S1301="Отписано",0.6,IF(S1301="На доработку",0.9,IF(S1301="Согласовано",1,0))))</f>
        <v>1</v>
      </c>
      <c r="S1301" s="260" t="s">
        <v>1976</v>
      </c>
      <c r="T1301" s="260"/>
      <c r="U1301" s="260"/>
      <c r="V1301" s="260"/>
      <c r="W1301" s="260"/>
      <c r="X1301" s="260"/>
      <c r="Y1301" s="565"/>
      <c r="Z1301" s="565"/>
      <c r="AA1301" s="566">
        <f t="shared" si="126"/>
        <v>0</v>
      </c>
      <c r="AB1301" s="699"/>
    </row>
    <row r="1302" spans="1:28" ht="15" customHeight="1" x14ac:dyDescent="0.3">
      <c r="A1302" s="79" t="s">
        <v>4302</v>
      </c>
      <c r="C1302" s="115">
        <v>43866</v>
      </c>
      <c r="D1302" s="312">
        <v>43903</v>
      </c>
      <c r="E1302" s="560"/>
      <c r="F1302" s="86" t="s">
        <v>4303</v>
      </c>
      <c r="G1302" s="86" t="s">
        <v>158</v>
      </c>
      <c r="H1302" s="96" t="s">
        <v>213</v>
      </c>
      <c r="I1302" s="97" t="s">
        <v>642</v>
      </c>
      <c r="J1302" s="73">
        <f t="shared" si="127"/>
        <v>1</v>
      </c>
      <c r="K1302" s="74" t="s">
        <v>204</v>
      </c>
      <c r="N1302" s="76" t="s">
        <v>18</v>
      </c>
      <c r="Q1302" s="76" t="s">
        <v>2142</v>
      </c>
      <c r="R1302" s="73">
        <f t="shared" si="128"/>
        <v>1</v>
      </c>
      <c r="S1302" s="260" t="s">
        <v>1976</v>
      </c>
      <c r="T1302" s="260"/>
      <c r="U1302" s="260"/>
      <c r="V1302" s="260"/>
      <c r="W1302" s="260"/>
      <c r="X1302" s="260"/>
      <c r="Y1302" s="565"/>
      <c r="Z1302" s="565"/>
      <c r="AA1302" s="566">
        <f t="shared" si="126"/>
        <v>0</v>
      </c>
      <c r="AB1302" s="699"/>
    </row>
    <row r="1303" spans="1:28" ht="15" customHeight="1" x14ac:dyDescent="0.3">
      <c r="A1303" s="96" t="s">
        <v>4350</v>
      </c>
      <c r="C1303" s="115">
        <v>43866</v>
      </c>
      <c r="D1303" s="312">
        <v>43903</v>
      </c>
      <c r="E1303" s="560"/>
      <c r="F1303" s="86" t="s">
        <v>4351</v>
      </c>
      <c r="G1303" s="86" t="s">
        <v>154</v>
      </c>
      <c r="H1303" s="96" t="s">
        <v>213</v>
      </c>
      <c r="I1303" s="97" t="s">
        <v>995</v>
      </c>
      <c r="J1303" s="73">
        <f t="shared" si="127"/>
        <v>1</v>
      </c>
      <c r="K1303" s="74" t="s">
        <v>204</v>
      </c>
      <c r="N1303" s="76" t="s">
        <v>19</v>
      </c>
      <c r="Q1303" s="76" t="s">
        <v>2037</v>
      </c>
      <c r="R1303" s="73">
        <f t="shared" si="128"/>
        <v>1</v>
      </c>
      <c r="S1303" s="260" t="s">
        <v>1976</v>
      </c>
      <c r="T1303" s="260"/>
      <c r="U1303" s="260"/>
      <c r="V1303" s="260"/>
      <c r="W1303" s="260"/>
      <c r="X1303" s="260"/>
      <c r="Y1303" s="565"/>
      <c r="Z1303" s="565"/>
      <c r="AA1303" s="566">
        <f t="shared" si="126"/>
        <v>0</v>
      </c>
      <c r="AB1303" s="699"/>
    </row>
    <row r="1304" spans="1:28" ht="15" customHeight="1" x14ac:dyDescent="0.3">
      <c r="A1304" s="79" t="s">
        <v>4613</v>
      </c>
      <c r="C1304" s="115">
        <v>43874</v>
      </c>
      <c r="D1304" s="312">
        <v>43900</v>
      </c>
      <c r="E1304" s="560"/>
      <c r="F1304" s="86" t="s">
        <v>4666</v>
      </c>
      <c r="G1304" s="86" t="s">
        <v>152</v>
      </c>
      <c r="H1304" s="96" t="s">
        <v>213</v>
      </c>
      <c r="I1304" s="97" t="s">
        <v>645</v>
      </c>
      <c r="J1304" s="73">
        <f t="shared" si="127"/>
        <v>1</v>
      </c>
      <c r="K1304" s="74" t="s">
        <v>204</v>
      </c>
      <c r="L1304" s="97" t="s">
        <v>456</v>
      </c>
      <c r="N1304" s="76" t="s">
        <v>17</v>
      </c>
      <c r="Q1304" s="76" t="s">
        <v>2076</v>
      </c>
      <c r="R1304" s="73">
        <f t="shared" si="128"/>
        <v>1</v>
      </c>
      <c r="S1304" s="260" t="s">
        <v>1976</v>
      </c>
      <c r="T1304" s="260"/>
      <c r="U1304" s="260"/>
      <c r="V1304" s="260"/>
      <c r="W1304" s="260"/>
      <c r="X1304" s="260"/>
      <c r="Y1304" s="565"/>
      <c r="Z1304" s="565"/>
      <c r="AA1304" s="566">
        <f t="shared" si="126"/>
        <v>0</v>
      </c>
      <c r="AB1304" s="699"/>
    </row>
    <row r="1305" spans="1:28" ht="15" customHeight="1" x14ac:dyDescent="0.3">
      <c r="A1305" s="96" t="s">
        <v>4614</v>
      </c>
      <c r="C1305" s="115">
        <v>43874</v>
      </c>
      <c r="D1305" s="312">
        <v>43900</v>
      </c>
      <c r="E1305" s="560"/>
      <c r="F1305" s="86" t="s">
        <v>4667</v>
      </c>
      <c r="G1305" s="86" t="s">
        <v>152</v>
      </c>
      <c r="H1305" s="96" t="s">
        <v>213</v>
      </c>
      <c r="J1305" s="73">
        <f t="shared" si="127"/>
        <v>1</v>
      </c>
      <c r="K1305" s="74" t="s">
        <v>204</v>
      </c>
      <c r="N1305" s="76" t="s">
        <v>17</v>
      </c>
      <c r="Q1305" s="76" t="s">
        <v>2142</v>
      </c>
      <c r="R1305" s="73">
        <f t="shared" si="128"/>
        <v>1</v>
      </c>
      <c r="S1305" s="260" t="s">
        <v>1976</v>
      </c>
      <c r="T1305" s="260"/>
      <c r="U1305" s="260"/>
      <c r="V1305" s="260"/>
      <c r="W1305" s="260"/>
      <c r="X1305" s="260"/>
      <c r="Y1305" s="565"/>
      <c r="Z1305" s="565"/>
      <c r="AA1305" s="566">
        <f t="shared" si="126"/>
        <v>0</v>
      </c>
      <c r="AB1305" s="699"/>
    </row>
    <row r="1306" spans="1:28" ht="15" customHeight="1" x14ac:dyDescent="0.3">
      <c r="A1306" s="79" t="s">
        <v>4616</v>
      </c>
      <c r="C1306" s="115">
        <v>43874</v>
      </c>
      <c r="D1306" s="312">
        <v>43900</v>
      </c>
      <c r="E1306" s="560"/>
      <c r="F1306" s="86" t="s">
        <v>4669</v>
      </c>
      <c r="G1306" s="86" t="s">
        <v>152</v>
      </c>
      <c r="H1306" s="96" t="s">
        <v>213</v>
      </c>
      <c r="I1306" s="97" t="s">
        <v>645</v>
      </c>
      <c r="J1306" s="73">
        <f t="shared" si="127"/>
        <v>1</v>
      </c>
      <c r="K1306" s="74" t="s">
        <v>204</v>
      </c>
      <c r="L1306" s="97" t="s">
        <v>12741</v>
      </c>
      <c r="N1306" s="76" t="s">
        <v>17</v>
      </c>
      <c r="Q1306" s="76" t="s">
        <v>2076</v>
      </c>
      <c r="R1306" s="73">
        <f t="shared" si="128"/>
        <v>1</v>
      </c>
      <c r="S1306" s="260" t="s">
        <v>1976</v>
      </c>
      <c r="T1306" s="260"/>
      <c r="U1306" s="260" t="s">
        <v>5283</v>
      </c>
      <c r="V1306" s="260" t="s">
        <v>12710</v>
      </c>
      <c r="W1306" s="260"/>
      <c r="X1306" s="260"/>
      <c r="Y1306" s="565"/>
      <c r="Z1306" s="565"/>
      <c r="AA1306" s="566">
        <f t="shared" si="126"/>
        <v>0</v>
      </c>
      <c r="AB1306" s="699"/>
    </row>
    <row r="1307" spans="1:28" ht="15" customHeight="1" x14ac:dyDescent="0.3">
      <c r="A1307" s="79" t="s">
        <v>4617</v>
      </c>
      <c r="C1307" s="115">
        <v>43875</v>
      </c>
      <c r="D1307" s="312">
        <v>43901</v>
      </c>
      <c r="E1307" s="560"/>
      <c r="F1307" s="86" t="s">
        <v>4670</v>
      </c>
      <c r="G1307" s="86" t="s">
        <v>410</v>
      </c>
      <c r="H1307" s="96" t="s">
        <v>213</v>
      </c>
      <c r="I1307" s="97" t="s">
        <v>649</v>
      </c>
      <c r="J1307" s="73">
        <f t="shared" si="127"/>
        <v>1</v>
      </c>
      <c r="K1307" s="260" t="s">
        <v>204</v>
      </c>
      <c r="N1307" s="76" t="s">
        <v>17</v>
      </c>
      <c r="Q1307" s="76" t="s">
        <v>2076</v>
      </c>
      <c r="R1307" s="73">
        <f t="shared" si="128"/>
        <v>1</v>
      </c>
      <c r="S1307" s="260" t="s">
        <v>1976</v>
      </c>
      <c r="T1307" s="260"/>
      <c r="U1307" s="260"/>
      <c r="V1307" s="260"/>
      <c r="W1307" s="260"/>
      <c r="X1307" s="260"/>
      <c r="Y1307" s="565"/>
      <c r="Z1307" s="565"/>
      <c r="AA1307" s="566">
        <f t="shared" si="126"/>
        <v>0</v>
      </c>
      <c r="AB1307" s="699"/>
    </row>
    <row r="1308" spans="1:28" ht="15" customHeight="1" x14ac:dyDescent="0.3">
      <c r="A1308" s="96" t="s">
        <v>4618</v>
      </c>
      <c r="C1308" s="115">
        <v>43874</v>
      </c>
      <c r="D1308" s="312">
        <v>43900</v>
      </c>
      <c r="E1308" s="560"/>
      <c r="F1308" s="86" t="s">
        <v>4671</v>
      </c>
      <c r="G1308" s="86" t="s">
        <v>186</v>
      </c>
      <c r="H1308" s="96" t="s">
        <v>213</v>
      </c>
      <c r="I1308" s="97" t="s">
        <v>755</v>
      </c>
      <c r="J1308" s="73">
        <f t="shared" si="127"/>
        <v>1</v>
      </c>
      <c r="K1308" s="74" t="s">
        <v>204</v>
      </c>
      <c r="N1308" s="76" t="s">
        <v>18</v>
      </c>
      <c r="Q1308" s="76" t="s">
        <v>2037</v>
      </c>
      <c r="R1308" s="73">
        <f t="shared" si="128"/>
        <v>1</v>
      </c>
      <c r="S1308" s="260" t="s">
        <v>1976</v>
      </c>
      <c r="T1308" s="260"/>
      <c r="U1308" s="260"/>
      <c r="V1308" s="260"/>
      <c r="W1308" s="260"/>
      <c r="X1308" s="260"/>
      <c r="Y1308" s="565"/>
      <c r="Z1308" s="565"/>
      <c r="AA1308" s="566">
        <f t="shared" si="126"/>
        <v>0</v>
      </c>
      <c r="AB1308" s="699"/>
    </row>
    <row r="1309" spans="1:28" ht="15" customHeight="1" x14ac:dyDescent="0.3">
      <c r="A1309" s="96" t="s">
        <v>4625</v>
      </c>
      <c r="C1309" s="115">
        <v>43875</v>
      </c>
      <c r="D1309" s="312">
        <v>43901</v>
      </c>
      <c r="E1309" s="560"/>
      <c r="F1309" s="86" t="s">
        <v>4678</v>
      </c>
      <c r="G1309" s="86" t="s">
        <v>166</v>
      </c>
      <c r="H1309" s="96" t="s">
        <v>213</v>
      </c>
      <c r="I1309" s="97" t="s">
        <v>3475</v>
      </c>
      <c r="J1309" s="73">
        <f t="shared" si="127"/>
        <v>1</v>
      </c>
      <c r="K1309" s="260" t="s">
        <v>204</v>
      </c>
      <c r="N1309" s="76" t="s">
        <v>19</v>
      </c>
      <c r="Q1309" s="76" t="s">
        <v>2037</v>
      </c>
      <c r="R1309" s="73">
        <f t="shared" si="128"/>
        <v>1</v>
      </c>
      <c r="S1309" s="260" t="s">
        <v>1976</v>
      </c>
      <c r="T1309" s="260"/>
      <c r="U1309" s="260"/>
      <c r="V1309" s="260"/>
      <c r="W1309" s="260"/>
      <c r="X1309" s="260"/>
      <c r="Y1309" s="565"/>
      <c r="Z1309" s="565"/>
      <c r="AA1309" s="566">
        <f t="shared" si="126"/>
        <v>0</v>
      </c>
      <c r="AB1309" s="699"/>
    </row>
    <row r="1310" spans="1:28" ht="15" customHeight="1" x14ac:dyDescent="0.3">
      <c r="A1310" s="79" t="s">
        <v>4626</v>
      </c>
      <c r="C1310" s="115">
        <v>43875</v>
      </c>
      <c r="D1310" s="312">
        <v>43901</v>
      </c>
      <c r="E1310" s="560"/>
      <c r="F1310" s="86" t="s">
        <v>4679</v>
      </c>
      <c r="G1310" s="86" t="s">
        <v>150</v>
      </c>
      <c r="H1310" s="96" t="s">
        <v>213</v>
      </c>
      <c r="I1310" s="97" t="s">
        <v>649</v>
      </c>
      <c r="J1310" s="73">
        <f t="shared" si="127"/>
        <v>1</v>
      </c>
      <c r="K1310" s="260" t="s">
        <v>204</v>
      </c>
      <c r="N1310" s="76" t="s">
        <v>17</v>
      </c>
      <c r="Q1310" s="76" t="s">
        <v>2109</v>
      </c>
      <c r="R1310" s="73">
        <f t="shared" si="128"/>
        <v>1</v>
      </c>
      <c r="S1310" s="260" t="s">
        <v>1976</v>
      </c>
      <c r="T1310" s="260"/>
      <c r="U1310" s="260"/>
      <c r="V1310" s="260"/>
      <c r="W1310" s="260"/>
      <c r="X1310" s="260"/>
      <c r="Y1310" s="565"/>
      <c r="Z1310" s="565"/>
      <c r="AA1310" s="566">
        <f t="shared" si="126"/>
        <v>0</v>
      </c>
      <c r="AB1310" s="699"/>
    </row>
    <row r="1311" spans="1:28" ht="15" customHeight="1" x14ac:dyDescent="0.3">
      <c r="A1311" s="96" t="s">
        <v>4628</v>
      </c>
      <c r="C1311" s="115">
        <v>43875</v>
      </c>
      <c r="D1311" s="312">
        <v>43901</v>
      </c>
      <c r="E1311" s="560"/>
      <c r="F1311" s="86" t="s">
        <v>3457</v>
      </c>
      <c r="G1311" s="86" t="s">
        <v>1328</v>
      </c>
      <c r="H1311" s="96" t="s">
        <v>213</v>
      </c>
      <c r="I1311" s="97" t="s">
        <v>649</v>
      </c>
      <c r="J1311" s="73">
        <f t="shared" si="127"/>
        <v>1</v>
      </c>
      <c r="K1311" s="260" t="s">
        <v>204</v>
      </c>
      <c r="N1311" s="76" t="s">
        <v>17</v>
      </c>
      <c r="Q1311" s="76" t="s">
        <v>2109</v>
      </c>
      <c r="R1311" s="73">
        <f t="shared" si="128"/>
        <v>1</v>
      </c>
      <c r="S1311" s="260" t="s">
        <v>1976</v>
      </c>
      <c r="T1311" s="260"/>
      <c r="U1311" s="260"/>
      <c r="V1311" s="260"/>
      <c r="W1311" s="260"/>
      <c r="X1311" s="260"/>
      <c r="Y1311" s="565"/>
      <c r="Z1311" s="565"/>
      <c r="AA1311" s="566">
        <f t="shared" si="126"/>
        <v>0</v>
      </c>
      <c r="AB1311" s="699"/>
    </row>
    <row r="1312" spans="1:28" ht="15" customHeight="1" x14ac:dyDescent="0.3">
      <c r="A1312" s="96" t="s">
        <v>4629</v>
      </c>
      <c r="C1312" s="115">
        <v>43875</v>
      </c>
      <c r="D1312" s="312">
        <v>43901</v>
      </c>
      <c r="E1312" s="560"/>
      <c r="F1312" s="86" t="s">
        <v>4681</v>
      </c>
      <c r="G1312" s="86" t="s">
        <v>410</v>
      </c>
      <c r="H1312" s="96" t="s">
        <v>213</v>
      </c>
      <c r="I1312" s="97" t="s">
        <v>649</v>
      </c>
      <c r="J1312" s="73">
        <f t="shared" si="127"/>
        <v>1</v>
      </c>
      <c r="K1312" s="260" t="s">
        <v>204</v>
      </c>
      <c r="N1312" s="76" t="s">
        <v>17</v>
      </c>
      <c r="Q1312" s="76" t="s">
        <v>2109</v>
      </c>
      <c r="R1312" s="73">
        <f t="shared" si="128"/>
        <v>1</v>
      </c>
      <c r="S1312" s="260" t="s">
        <v>1976</v>
      </c>
      <c r="T1312" s="260"/>
      <c r="U1312" s="260"/>
      <c r="V1312" s="260"/>
      <c r="W1312" s="260"/>
      <c r="X1312" s="260"/>
      <c r="Y1312" s="565"/>
      <c r="Z1312" s="565"/>
      <c r="AA1312" s="566">
        <f t="shared" si="126"/>
        <v>0</v>
      </c>
      <c r="AB1312" s="699"/>
    </row>
    <row r="1313" spans="1:28" ht="15" customHeight="1" x14ac:dyDescent="0.3">
      <c r="A1313" s="96" t="s">
        <v>4630</v>
      </c>
      <c r="C1313" s="115">
        <v>43875</v>
      </c>
      <c r="D1313" s="312">
        <v>43901</v>
      </c>
      <c r="E1313" s="560"/>
      <c r="F1313" s="86" t="s">
        <v>4682</v>
      </c>
      <c r="G1313" s="86" t="s">
        <v>158</v>
      </c>
      <c r="H1313" s="96" t="s">
        <v>213</v>
      </c>
      <c r="I1313" s="97" t="s">
        <v>4594</v>
      </c>
      <c r="J1313" s="73">
        <f t="shared" si="127"/>
        <v>1</v>
      </c>
      <c r="K1313" s="260" t="s">
        <v>204</v>
      </c>
      <c r="L1313" s="97" t="s">
        <v>4744</v>
      </c>
      <c r="N1313" s="76" t="s">
        <v>18</v>
      </c>
      <c r="Q1313" s="76" t="s">
        <v>2037</v>
      </c>
      <c r="R1313" s="73">
        <f t="shared" si="128"/>
        <v>1</v>
      </c>
      <c r="S1313" s="260" t="s">
        <v>1976</v>
      </c>
      <c r="T1313" s="260"/>
      <c r="U1313" s="260"/>
      <c r="V1313" s="260"/>
      <c r="W1313" s="260"/>
      <c r="X1313" s="260"/>
      <c r="Y1313" s="565"/>
      <c r="Z1313" s="565"/>
      <c r="AA1313" s="566">
        <f t="shared" si="126"/>
        <v>0</v>
      </c>
      <c r="AB1313" s="699"/>
    </row>
    <row r="1314" spans="1:28" ht="15" customHeight="1" x14ac:dyDescent="0.3">
      <c r="A1314" s="79" t="s">
        <v>4632</v>
      </c>
      <c r="C1314" s="115">
        <v>43878</v>
      </c>
      <c r="D1314" s="312">
        <v>43902</v>
      </c>
      <c r="E1314" s="560"/>
      <c r="F1314" s="86" t="s">
        <v>4684</v>
      </c>
      <c r="G1314" s="86" t="s">
        <v>152</v>
      </c>
      <c r="H1314" s="96" t="s">
        <v>213</v>
      </c>
      <c r="I1314" s="97" t="s">
        <v>2478</v>
      </c>
      <c r="J1314" s="73">
        <f t="shared" si="127"/>
        <v>1</v>
      </c>
      <c r="K1314" s="74" t="s">
        <v>204</v>
      </c>
      <c r="L1314" s="97" t="s">
        <v>4748</v>
      </c>
      <c r="N1314" s="76" t="s">
        <v>18</v>
      </c>
      <c r="Q1314" s="76" t="s">
        <v>2076</v>
      </c>
      <c r="R1314" s="73">
        <f t="shared" si="128"/>
        <v>1</v>
      </c>
      <c r="S1314" s="260" t="s">
        <v>1976</v>
      </c>
      <c r="T1314" s="260"/>
      <c r="U1314" s="260"/>
      <c r="V1314" s="260"/>
      <c r="W1314" s="260"/>
      <c r="X1314" s="260"/>
      <c r="Y1314" s="565"/>
      <c r="Z1314" s="565"/>
      <c r="AA1314" s="566">
        <f t="shared" si="126"/>
        <v>0</v>
      </c>
      <c r="AB1314" s="699"/>
    </row>
    <row r="1315" spans="1:28" ht="15" customHeight="1" x14ac:dyDescent="0.3">
      <c r="A1315" s="96" t="s">
        <v>4634</v>
      </c>
      <c r="C1315" s="115">
        <v>43878</v>
      </c>
      <c r="D1315" s="312">
        <v>43901</v>
      </c>
      <c r="E1315" s="560"/>
      <c r="F1315" s="86" t="s">
        <v>4687</v>
      </c>
      <c r="G1315" s="86" t="s">
        <v>189</v>
      </c>
      <c r="H1315" s="96" t="s">
        <v>213</v>
      </c>
      <c r="I1315" s="97" t="s">
        <v>755</v>
      </c>
      <c r="J1315" s="73">
        <f t="shared" si="127"/>
        <v>1</v>
      </c>
      <c r="K1315" s="260" t="s">
        <v>204</v>
      </c>
      <c r="L1315" s="97" t="s">
        <v>5264</v>
      </c>
      <c r="N1315" s="76" t="s">
        <v>18</v>
      </c>
      <c r="Q1315" s="76" t="s">
        <v>2037</v>
      </c>
      <c r="R1315" s="73">
        <f t="shared" si="128"/>
        <v>1</v>
      </c>
      <c r="S1315" s="260" t="s">
        <v>1976</v>
      </c>
      <c r="T1315" s="260"/>
      <c r="U1315" s="260"/>
      <c r="V1315" s="260"/>
      <c r="W1315" s="260"/>
      <c r="X1315" s="260"/>
      <c r="Y1315" s="565"/>
      <c r="Z1315" s="565"/>
      <c r="AA1315" s="566">
        <f t="shared" si="126"/>
        <v>0</v>
      </c>
      <c r="AB1315" s="699"/>
    </row>
    <row r="1316" spans="1:28" ht="15" customHeight="1" x14ac:dyDescent="0.3">
      <c r="A1316" s="96" t="s">
        <v>4636</v>
      </c>
      <c r="C1316" s="115">
        <v>43878</v>
      </c>
      <c r="D1316" s="312">
        <v>43902</v>
      </c>
      <c r="E1316" s="560"/>
      <c r="F1316" s="86" t="s">
        <v>4689</v>
      </c>
      <c r="G1316" s="86" t="s">
        <v>156</v>
      </c>
      <c r="H1316" s="96" t="s">
        <v>213</v>
      </c>
      <c r="I1316" s="97" t="s">
        <v>995</v>
      </c>
      <c r="J1316" s="73">
        <f t="shared" si="127"/>
        <v>1</v>
      </c>
      <c r="K1316" s="74" t="s">
        <v>204</v>
      </c>
      <c r="L1316" s="97" t="s">
        <v>1745</v>
      </c>
      <c r="N1316" s="76" t="s">
        <v>19</v>
      </c>
      <c r="Q1316" s="76" t="s">
        <v>2109</v>
      </c>
      <c r="R1316" s="73">
        <f t="shared" si="128"/>
        <v>1</v>
      </c>
      <c r="S1316" s="260" t="s">
        <v>1976</v>
      </c>
      <c r="T1316" s="260"/>
      <c r="U1316" s="260"/>
      <c r="V1316" s="260"/>
      <c r="W1316" s="260"/>
      <c r="X1316" s="260"/>
      <c r="Y1316" s="565"/>
      <c r="Z1316" s="565"/>
      <c r="AA1316" s="566">
        <f t="shared" si="126"/>
        <v>0</v>
      </c>
      <c r="AB1316" s="699"/>
    </row>
    <row r="1317" spans="1:28" ht="15" customHeight="1" x14ac:dyDescent="0.3">
      <c r="A1317" s="96" t="s">
        <v>4637</v>
      </c>
      <c r="C1317" s="115">
        <v>43878</v>
      </c>
      <c r="D1317" s="312">
        <v>43901</v>
      </c>
      <c r="E1317" s="560"/>
      <c r="F1317" s="86" t="s">
        <v>4690</v>
      </c>
      <c r="G1317" s="86" t="s">
        <v>189</v>
      </c>
      <c r="H1317" s="96" t="s">
        <v>213</v>
      </c>
      <c r="I1317" s="97" t="s">
        <v>995</v>
      </c>
      <c r="J1317" s="73">
        <f t="shared" si="127"/>
        <v>1</v>
      </c>
      <c r="K1317" s="260" t="s">
        <v>204</v>
      </c>
      <c r="N1317" s="76" t="s">
        <v>19</v>
      </c>
      <c r="Q1317" s="76" t="s">
        <v>2076</v>
      </c>
      <c r="R1317" s="73">
        <f t="shared" si="128"/>
        <v>1</v>
      </c>
      <c r="S1317" s="260" t="s">
        <v>1976</v>
      </c>
      <c r="T1317" s="260"/>
      <c r="U1317" s="260"/>
      <c r="V1317" s="260"/>
      <c r="W1317" s="260"/>
      <c r="X1317" s="260"/>
      <c r="Y1317" s="565"/>
      <c r="Z1317" s="565"/>
      <c r="AA1317" s="566">
        <f t="shared" si="126"/>
        <v>0</v>
      </c>
      <c r="AB1317" s="699"/>
    </row>
    <row r="1318" spans="1:28" ht="15" customHeight="1" x14ac:dyDescent="0.3">
      <c r="A1318" s="96" t="s">
        <v>4638</v>
      </c>
      <c r="C1318" s="115">
        <v>43878</v>
      </c>
      <c r="D1318" s="312">
        <v>43902</v>
      </c>
      <c r="E1318" s="560"/>
      <c r="F1318" s="86" t="s">
        <v>4691</v>
      </c>
      <c r="G1318" s="86" t="s">
        <v>150</v>
      </c>
      <c r="H1318" s="96" t="s">
        <v>213</v>
      </c>
      <c r="I1318" s="97" t="s">
        <v>1371</v>
      </c>
      <c r="J1318" s="73">
        <f t="shared" si="127"/>
        <v>1</v>
      </c>
      <c r="K1318" s="74" t="s">
        <v>204</v>
      </c>
      <c r="N1318" s="76" t="s">
        <v>19</v>
      </c>
      <c r="Q1318" s="76" t="s">
        <v>2037</v>
      </c>
      <c r="R1318" s="73">
        <f t="shared" si="128"/>
        <v>1</v>
      </c>
      <c r="S1318" s="260" t="s">
        <v>1976</v>
      </c>
      <c r="T1318" s="260"/>
      <c r="U1318" s="260"/>
      <c r="V1318" s="260"/>
      <c r="W1318" s="260"/>
      <c r="X1318" s="260"/>
      <c r="Y1318" s="565"/>
      <c r="Z1318" s="565"/>
      <c r="AA1318" s="566">
        <f t="shared" si="126"/>
        <v>0</v>
      </c>
      <c r="AB1318" s="699"/>
    </row>
    <row r="1319" spans="1:28" ht="15" customHeight="1" x14ac:dyDescent="0.3">
      <c r="A1319" s="96" t="s">
        <v>4645</v>
      </c>
      <c r="C1319" s="115">
        <v>43878</v>
      </c>
      <c r="D1319" s="312">
        <v>43902</v>
      </c>
      <c r="E1319" s="560"/>
      <c r="F1319" s="86" t="s">
        <v>4698</v>
      </c>
      <c r="G1319" s="86" t="s">
        <v>158</v>
      </c>
      <c r="H1319" s="96" t="s">
        <v>213</v>
      </c>
      <c r="I1319" s="97" t="s">
        <v>1113</v>
      </c>
      <c r="J1319" s="73">
        <f t="shared" si="127"/>
        <v>1</v>
      </c>
      <c r="K1319" s="74" t="s">
        <v>204</v>
      </c>
      <c r="Q1319" s="76" t="s">
        <v>2037</v>
      </c>
      <c r="R1319" s="73">
        <f t="shared" si="128"/>
        <v>1</v>
      </c>
      <c r="S1319" s="260" t="s">
        <v>1976</v>
      </c>
      <c r="T1319" s="260"/>
      <c r="U1319" s="260"/>
      <c r="V1319" s="260"/>
      <c r="W1319" s="260"/>
      <c r="X1319" s="260"/>
      <c r="Y1319" s="565"/>
      <c r="Z1319" s="565"/>
      <c r="AA1319" s="566">
        <f t="shared" si="126"/>
        <v>0</v>
      </c>
      <c r="AB1319" s="699"/>
    </row>
    <row r="1320" spans="1:28" ht="15" customHeight="1" x14ac:dyDescent="0.3">
      <c r="A1320" s="96" t="s">
        <v>4648</v>
      </c>
      <c r="C1320" s="115">
        <v>43879</v>
      </c>
      <c r="D1320" s="312">
        <v>43903</v>
      </c>
      <c r="E1320" s="560"/>
      <c r="F1320" s="86" t="s">
        <v>4701</v>
      </c>
      <c r="G1320" s="86" t="s">
        <v>154</v>
      </c>
      <c r="H1320" s="79" t="s">
        <v>268</v>
      </c>
      <c r="I1320" s="97" t="s">
        <v>4391</v>
      </c>
      <c r="J1320" s="73">
        <f t="shared" si="127"/>
        <v>1</v>
      </c>
      <c r="K1320" s="74" t="s">
        <v>204</v>
      </c>
      <c r="N1320" s="76" t="s">
        <v>18</v>
      </c>
      <c r="Q1320" s="76" t="s">
        <v>2142</v>
      </c>
      <c r="R1320" s="73">
        <f t="shared" si="128"/>
        <v>1</v>
      </c>
      <c r="S1320" s="260" t="s">
        <v>1976</v>
      </c>
      <c r="T1320" s="260"/>
      <c r="U1320" s="260" t="s">
        <v>5283</v>
      </c>
      <c r="V1320" s="260" t="s">
        <v>12709</v>
      </c>
      <c r="W1320" s="260"/>
      <c r="X1320" s="260"/>
      <c r="Y1320" s="565"/>
      <c r="Z1320" s="565"/>
      <c r="AA1320" s="566">
        <f t="shared" si="126"/>
        <v>0</v>
      </c>
      <c r="AB1320" s="699"/>
    </row>
    <row r="1321" spans="1:28" ht="15" customHeight="1" x14ac:dyDescent="0.3">
      <c r="A1321" s="96" t="s">
        <v>4649</v>
      </c>
      <c r="C1321" s="115">
        <v>43879</v>
      </c>
      <c r="D1321" s="312">
        <v>43903</v>
      </c>
      <c r="E1321" s="560"/>
      <c r="F1321" s="86" t="s">
        <v>4702</v>
      </c>
      <c r="G1321" s="86" t="s">
        <v>152</v>
      </c>
      <c r="H1321" s="96" t="s">
        <v>213</v>
      </c>
      <c r="I1321" s="97" t="s">
        <v>2478</v>
      </c>
      <c r="J1321" s="73">
        <f t="shared" si="127"/>
        <v>1</v>
      </c>
      <c r="K1321" s="74" t="s">
        <v>204</v>
      </c>
      <c r="L1321" s="97" t="s">
        <v>4750</v>
      </c>
      <c r="N1321" s="76" t="s">
        <v>17</v>
      </c>
      <c r="Q1321" s="76" t="s">
        <v>2109</v>
      </c>
      <c r="R1321" s="73">
        <f t="shared" si="128"/>
        <v>1</v>
      </c>
      <c r="S1321" s="260" t="s">
        <v>1976</v>
      </c>
      <c r="T1321" s="260"/>
      <c r="U1321" s="260"/>
      <c r="V1321" s="260"/>
      <c r="W1321" s="260"/>
      <c r="X1321" s="260"/>
      <c r="Y1321" s="565"/>
      <c r="Z1321" s="565"/>
      <c r="AA1321" s="566">
        <f t="shared" si="126"/>
        <v>0</v>
      </c>
      <c r="AB1321" s="699"/>
    </row>
    <row r="1322" spans="1:28" ht="15" customHeight="1" x14ac:dyDescent="0.3">
      <c r="A1322" s="79" t="s">
        <v>4650</v>
      </c>
      <c r="C1322" s="115">
        <v>43879</v>
      </c>
      <c r="D1322" s="312">
        <v>43903</v>
      </c>
      <c r="E1322" s="560"/>
      <c r="F1322" s="86" t="s">
        <v>4703</v>
      </c>
      <c r="G1322" s="86" t="s">
        <v>152</v>
      </c>
      <c r="H1322" s="96" t="s">
        <v>213</v>
      </c>
      <c r="I1322" s="97" t="s">
        <v>4756</v>
      </c>
      <c r="J1322" s="73">
        <f t="shared" si="127"/>
        <v>1</v>
      </c>
      <c r="K1322" s="74" t="s">
        <v>204</v>
      </c>
      <c r="L1322" s="97" t="s">
        <v>12733</v>
      </c>
      <c r="N1322" s="76" t="s">
        <v>18</v>
      </c>
      <c r="Q1322" s="76" t="s">
        <v>2037</v>
      </c>
      <c r="R1322" s="73">
        <f t="shared" si="128"/>
        <v>1</v>
      </c>
      <c r="S1322" s="260" t="s">
        <v>1976</v>
      </c>
      <c r="T1322" s="260"/>
      <c r="U1322" s="260" t="s">
        <v>5283</v>
      </c>
      <c r="V1322" s="260" t="s">
        <v>12703</v>
      </c>
      <c r="W1322" s="260"/>
      <c r="X1322" s="260"/>
      <c r="Y1322" s="565"/>
      <c r="Z1322" s="565"/>
      <c r="AA1322" s="566">
        <f t="shared" si="126"/>
        <v>0</v>
      </c>
      <c r="AB1322" s="699"/>
    </row>
    <row r="1323" spans="1:28" ht="15" customHeight="1" x14ac:dyDescent="0.3">
      <c r="A1323" s="96" t="s">
        <v>4651</v>
      </c>
      <c r="C1323" s="115">
        <v>43879</v>
      </c>
      <c r="D1323" s="312">
        <v>43903</v>
      </c>
      <c r="E1323" s="560"/>
      <c r="F1323" s="86" t="s">
        <v>4704</v>
      </c>
      <c r="G1323" s="86" t="s">
        <v>147</v>
      </c>
      <c r="H1323" s="96" t="s">
        <v>213</v>
      </c>
      <c r="I1323" s="97" t="s">
        <v>972</v>
      </c>
      <c r="J1323" s="73">
        <f t="shared" si="127"/>
        <v>1</v>
      </c>
      <c r="K1323" s="74" t="s">
        <v>204</v>
      </c>
      <c r="L1323" s="97" t="s">
        <v>4753</v>
      </c>
      <c r="N1323" s="76" t="s">
        <v>18</v>
      </c>
      <c r="Q1323" s="76" t="s">
        <v>2037</v>
      </c>
      <c r="R1323" s="73">
        <f t="shared" si="128"/>
        <v>1</v>
      </c>
      <c r="S1323" s="260" t="s">
        <v>1976</v>
      </c>
      <c r="T1323" s="260"/>
      <c r="U1323" s="260"/>
      <c r="V1323" s="260"/>
      <c r="W1323" s="260"/>
      <c r="X1323" s="260"/>
      <c r="Y1323" s="565"/>
      <c r="Z1323" s="565"/>
      <c r="AA1323" s="566">
        <f t="shared" ref="AA1323:AA1382" si="129">Z1323-Y1323</f>
        <v>0</v>
      </c>
      <c r="AB1323" s="699"/>
    </row>
    <row r="1324" spans="1:28" ht="15" customHeight="1" x14ac:dyDescent="0.3">
      <c r="A1324" s="96" t="s">
        <v>4652</v>
      </c>
      <c r="C1324" s="115">
        <v>43879</v>
      </c>
      <c r="D1324" s="312">
        <v>43903</v>
      </c>
      <c r="E1324" s="560"/>
      <c r="F1324" s="86" t="s">
        <v>4705</v>
      </c>
      <c r="G1324" s="86" t="s">
        <v>164</v>
      </c>
      <c r="H1324" s="96" t="s">
        <v>213</v>
      </c>
      <c r="I1324" s="97" t="s">
        <v>3475</v>
      </c>
      <c r="J1324" s="73">
        <f t="shared" si="127"/>
        <v>1</v>
      </c>
      <c r="K1324" s="74" t="s">
        <v>204</v>
      </c>
      <c r="L1324" s="97" t="s">
        <v>2189</v>
      </c>
      <c r="N1324" s="76" t="s">
        <v>19</v>
      </c>
      <c r="Q1324" s="76" t="s">
        <v>2037</v>
      </c>
      <c r="R1324" s="73">
        <f t="shared" si="128"/>
        <v>1</v>
      </c>
      <c r="S1324" s="260" t="s">
        <v>1976</v>
      </c>
      <c r="T1324" s="260"/>
      <c r="U1324" s="260"/>
      <c r="V1324" s="260"/>
      <c r="W1324" s="260"/>
      <c r="X1324" s="260"/>
      <c r="Y1324" s="565"/>
      <c r="Z1324" s="565"/>
      <c r="AA1324" s="566">
        <f t="shared" si="129"/>
        <v>0</v>
      </c>
      <c r="AB1324" s="699"/>
    </row>
    <row r="1325" spans="1:28" ht="15" customHeight="1" x14ac:dyDescent="0.3">
      <c r="A1325" s="79" t="s">
        <v>4653</v>
      </c>
      <c r="C1325" s="115">
        <v>43879</v>
      </c>
      <c r="D1325" s="312">
        <v>43903</v>
      </c>
      <c r="E1325" s="560"/>
      <c r="F1325" s="86" t="s">
        <v>4706</v>
      </c>
      <c r="G1325" s="86" t="s">
        <v>156</v>
      </c>
      <c r="H1325" s="96" t="s">
        <v>213</v>
      </c>
      <c r="I1325" s="97" t="s">
        <v>3475</v>
      </c>
      <c r="J1325" s="73">
        <f t="shared" si="127"/>
        <v>1</v>
      </c>
      <c r="K1325" s="74" t="s">
        <v>204</v>
      </c>
      <c r="L1325" s="97" t="s">
        <v>2189</v>
      </c>
      <c r="N1325" s="76" t="s">
        <v>19</v>
      </c>
      <c r="Q1325" s="76" t="s">
        <v>2142</v>
      </c>
      <c r="R1325" s="73">
        <f t="shared" si="128"/>
        <v>1</v>
      </c>
      <c r="S1325" s="260" t="s">
        <v>1976</v>
      </c>
      <c r="T1325" s="260"/>
      <c r="U1325" s="260" t="s">
        <v>5283</v>
      </c>
      <c r="V1325" s="260" t="s">
        <v>12704</v>
      </c>
      <c r="W1325" s="260"/>
      <c r="X1325" s="260"/>
      <c r="Y1325" s="565"/>
      <c r="Z1325" s="565"/>
      <c r="AA1325" s="566">
        <f t="shared" si="129"/>
        <v>0</v>
      </c>
      <c r="AB1325" s="699"/>
    </row>
    <row r="1326" spans="1:28" ht="15" customHeight="1" x14ac:dyDescent="0.3">
      <c r="A1326" s="96" t="s">
        <v>4656</v>
      </c>
      <c r="C1326" s="115">
        <v>43879</v>
      </c>
      <c r="D1326" s="312">
        <v>43903</v>
      </c>
      <c r="E1326" s="560"/>
      <c r="F1326" s="86" t="s">
        <v>4709</v>
      </c>
      <c r="G1326" s="86" t="s">
        <v>156</v>
      </c>
      <c r="H1326" s="96" t="s">
        <v>213</v>
      </c>
      <c r="I1326" s="97" t="s">
        <v>2479</v>
      </c>
      <c r="J1326" s="73">
        <f t="shared" si="127"/>
        <v>1</v>
      </c>
      <c r="K1326" s="74" t="s">
        <v>204</v>
      </c>
      <c r="N1326" s="76" t="s">
        <v>18</v>
      </c>
      <c r="Q1326" s="76" t="s">
        <v>2109</v>
      </c>
      <c r="R1326" s="73">
        <f t="shared" si="128"/>
        <v>1</v>
      </c>
      <c r="S1326" s="260" t="s">
        <v>1976</v>
      </c>
      <c r="T1326" s="260"/>
      <c r="U1326" s="260"/>
      <c r="V1326" s="260"/>
      <c r="W1326" s="260"/>
      <c r="X1326" s="260"/>
      <c r="Y1326" s="565"/>
      <c r="Z1326" s="565"/>
      <c r="AA1326" s="566">
        <f t="shared" si="129"/>
        <v>0</v>
      </c>
      <c r="AB1326" s="699"/>
    </row>
    <row r="1327" spans="1:28" ht="15" customHeight="1" x14ac:dyDescent="0.3">
      <c r="A1327" s="96" t="s">
        <v>4657</v>
      </c>
      <c r="C1327" s="115">
        <v>43880</v>
      </c>
      <c r="D1327" s="312">
        <v>43903</v>
      </c>
      <c r="E1327" s="560"/>
      <c r="F1327" s="86" t="s">
        <v>4710</v>
      </c>
      <c r="G1327" s="86" t="s">
        <v>147</v>
      </c>
      <c r="H1327" s="96" t="s">
        <v>213</v>
      </c>
      <c r="I1327" s="97" t="s">
        <v>2478</v>
      </c>
      <c r="J1327" s="73">
        <f t="shared" si="127"/>
        <v>1</v>
      </c>
      <c r="K1327" s="74" t="s">
        <v>204</v>
      </c>
      <c r="L1327" s="97" t="s">
        <v>12733</v>
      </c>
      <c r="N1327" s="76" t="s">
        <v>17</v>
      </c>
      <c r="Q1327" s="76" t="s">
        <v>2076</v>
      </c>
      <c r="R1327" s="73">
        <f t="shared" si="128"/>
        <v>1</v>
      </c>
      <c r="S1327" s="260" t="s">
        <v>1976</v>
      </c>
      <c r="T1327" s="260"/>
      <c r="U1327" s="260" t="s">
        <v>5283</v>
      </c>
      <c r="V1327" s="260" t="s">
        <v>12705</v>
      </c>
      <c r="W1327" s="260"/>
      <c r="X1327" s="260"/>
      <c r="Y1327" s="565"/>
      <c r="Z1327" s="565"/>
      <c r="AA1327" s="566">
        <f t="shared" si="129"/>
        <v>0</v>
      </c>
      <c r="AB1327" s="699"/>
    </row>
    <row r="1328" spans="1:28" ht="15" customHeight="1" x14ac:dyDescent="0.3">
      <c r="A1328" s="96" t="s">
        <v>4754</v>
      </c>
      <c r="C1328" s="81">
        <v>43879</v>
      </c>
      <c r="D1328" s="109">
        <v>43903</v>
      </c>
      <c r="E1328" s="560"/>
      <c r="F1328" s="97" t="s">
        <v>4755</v>
      </c>
      <c r="G1328" s="97" t="s">
        <v>147</v>
      </c>
      <c r="H1328" s="96" t="s">
        <v>213</v>
      </c>
      <c r="I1328" s="97" t="s">
        <v>1635</v>
      </c>
      <c r="J1328" s="73">
        <f t="shared" si="127"/>
        <v>1</v>
      </c>
      <c r="K1328" s="74" t="s">
        <v>204</v>
      </c>
      <c r="L1328" s="97" t="s">
        <v>4749</v>
      </c>
      <c r="N1328" s="76" t="s">
        <v>18</v>
      </c>
      <c r="Q1328" s="301" t="s">
        <v>2037</v>
      </c>
      <c r="R1328" s="73">
        <f t="shared" si="128"/>
        <v>1</v>
      </c>
      <c r="S1328" s="260" t="s">
        <v>1976</v>
      </c>
      <c r="T1328" s="260"/>
      <c r="U1328" s="260"/>
      <c r="V1328" s="260"/>
      <c r="W1328" s="260"/>
      <c r="X1328" s="260"/>
      <c r="Y1328" s="565"/>
      <c r="Z1328" s="565"/>
      <c r="AA1328" s="566">
        <f t="shared" si="129"/>
        <v>0</v>
      </c>
      <c r="AB1328" s="699"/>
    </row>
    <row r="1329" spans="1:28" ht="15" customHeight="1" x14ac:dyDescent="0.3">
      <c r="A1329" s="79" t="s">
        <v>4410</v>
      </c>
      <c r="C1329" s="115">
        <v>43847</v>
      </c>
      <c r="D1329" s="312">
        <v>43908</v>
      </c>
      <c r="E1329" s="560"/>
      <c r="F1329" s="252" t="s">
        <v>4495</v>
      </c>
      <c r="G1329" s="86" t="s">
        <v>147</v>
      </c>
      <c r="H1329" s="96" t="s">
        <v>213</v>
      </c>
      <c r="I1329" s="97" t="s">
        <v>714</v>
      </c>
      <c r="J1329" s="73">
        <f t="shared" ref="J1329:J1379" si="130">IF(OR(K1329="Документы готовы",K1329="Запрос в ФО",K1329="ЭЗ",K1329="РЕШ",K1329="РЕШ шаблон"),0.1,IF(OR(K1329="ЭЗ согласование",K1329="РЕШ согласование"),0.3,IF(OR(K1329="ЭЗ согласовано",K1329="РЕШ согласовано",K1329="РЕШ подписано"),0.6,IF(OR(K1329="ЭЗ ПР согласование",K1329="РЕШ УВ согласование"),0.9,IF(OR(K1329="ЭЗ ПР DONE",K1329="РЕШ УВ DONE"),1,0)))))</f>
        <v>1</v>
      </c>
      <c r="K1329" s="74" t="s">
        <v>204</v>
      </c>
      <c r="L1329" s="97" t="s">
        <v>4957</v>
      </c>
      <c r="N1329" s="76" t="s">
        <v>17</v>
      </c>
      <c r="Q1329" s="76" t="s">
        <v>2109</v>
      </c>
      <c r="R1329" s="73">
        <f t="shared" ref="R1329:R1379" si="131">IF(S1329="В работе",0.3,IF(S1329="Отписано",0.6,IF(S1329="На доработку",0.9,IF(S1329="Согласовано",1,0))))</f>
        <v>1</v>
      </c>
      <c r="S1329" s="260" t="s">
        <v>1976</v>
      </c>
      <c r="T1329" s="260"/>
      <c r="U1329" s="260" t="s">
        <v>5283</v>
      </c>
      <c r="V1329" s="260" t="s">
        <v>12706</v>
      </c>
      <c r="W1329" s="260"/>
      <c r="X1329" s="260"/>
      <c r="Y1329" s="565"/>
      <c r="Z1329" s="565"/>
      <c r="AA1329" s="566">
        <f t="shared" si="129"/>
        <v>0</v>
      </c>
      <c r="AB1329" s="699"/>
    </row>
    <row r="1330" spans="1:28" ht="15" customHeight="1" x14ac:dyDescent="0.3">
      <c r="A1330" s="79" t="s">
        <v>4758</v>
      </c>
      <c r="C1330" s="115">
        <v>43854</v>
      </c>
      <c r="D1330" s="312">
        <v>43907</v>
      </c>
      <c r="E1330" s="560"/>
      <c r="F1330" s="86" t="s">
        <v>4834</v>
      </c>
      <c r="G1330" s="86" t="s">
        <v>152</v>
      </c>
      <c r="H1330" s="96" t="s">
        <v>213</v>
      </c>
      <c r="I1330" s="97" t="s">
        <v>714</v>
      </c>
      <c r="J1330" s="73">
        <f t="shared" si="130"/>
        <v>1</v>
      </c>
      <c r="K1330" s="74" t="s">
        <v>204</v>
      </c>
      <c r="N1330" s="76" t="s">
        <v>17</v>
      </c>
      <c r="Q1330" s="76" t="s">
        <v>2109</v>
      </c>
      <c r="R1330" s="73">
        <f t="shared" si="131"/>
        <v>1</v>
      </c>
      <c r="S1330" s="260" t="s">
        <v>1976</v>
      </c>
      <c r="T1330" s="260"/>
      <c r="U1330" s="260"/>
      <c r="V1330" s="260"/>
      <c r="W1330" s="260"/>
      <c r="X1330" s="260"/>
      <c r="Y1330" s="565"/>
      <c r="Z1330" s="565"/>
      <c r="AA1330" s="566">
        <f t="shared" si="129"/>
        <v>0</v>
      </c>
      <c r="AB1330" s="699"/>
    </row>
    <row r="1331" spans="1:28" ht="15" customHeight="1" x14ac:dyDescent="0.3">
      <c r="A1331" s="79" t="s">
        <v>4300</v>
      </c>
      <c r="C1331" s="115">
        <v>43866</v>
      </c>
      <c r="D1331" s="312">
        <v>43906</v>
      </c>
      <c r="E1331" s="560"/>
      <c r="F1331" s="86" t="s">
        <v>4301</v>
      </c>
      <c r="G1331" s="86" t="s">
        <v>147</v>
      </c>
      <c r="H1331" s="96" t="s">
        <v>213</v>
      </c>
      <c r="I1331" s="97" t="s">
        <v>854</v>
      </c>
      <c r="J1331" s="73">
        <f t="shared" si="130"/>
        <v>1</v>
      </c>
      <c r="K1331" s="74" t="s">
        <v>204</v>
      </c>
      <c r="L1331" s="97" t="s">
        <v>3228</v>
      </c>
      <c r="N1331" s="76" t="s">
        <v>17</v>
      </c>
      <c r="Q1331" s="76" t="s">
        <v>2142</v>
      </c>
      <c r="R1331" s="73">
        <f t="shared" si="131"/>
        <v>1</v>
      </c>
      <c r="S1331" s="260" t="s">
        <v>1976</v>
      </c>
      <c r="T1331" s="260"/>
      <c r="U1331" s="260"/>
      <c r="V1331" s="260"/>
      <c r="W1331" s="260"/>
      <c r="X1331" s="260"/>
      <c r="Y1331" s="565"/>
      <c r="Z1331" s="565"/>
      <c r="AA1331" s="566">
        <f t="shared" si="129"/>
        <v>0</v>
      </c>
      <c r="AB1331" s="699"/>
    </row>
    <row r="1332" spans="1:28" ht="15" customHeight="1" x14ac:dyDescent="0.3">
      <c r="A1332" s="79" t="s">
        <v>4272</v>
      </c>
      <c r="C1332" s="115">
        <v>43866</v>
      </c>
      <c r="D1332" s="312">
        <v>43906</v>
      </c>
      <c r="E1332" s="560"/>
      <c r="F1332" s="86" t="s">
        <v>4273</v>
      </c>
      <c r="G1332" s="86" t="s">
        <v>150</v>
      </c>
      <c r="H1332" s="96" t="s">
        <v>213</v>
      </c>
      <c r="I1332" s="97" t="s">
        <v>3651</v>
      </c>
      <c r="J1332" s="73">
        <f t="shared" si="130"/>
        <v>1</v>
      </c>
      <c r="K1332" s="74" t="s">
        <v>204</v>
      </c>
      <c r="N1332" s="76" t="s">
        <v>17</v>
      </c>
      <c r="Q1332" s="76" t="s">
        <v>2109</v>
      </c>
      <c r="R1332" s="73">
        <f t="shared" si="131"/>
        <v>1</v>
      </c>
      <c r="S1332" s="260" t="s">
        <v>1976</v>
      </c>
      <c r="T1332" s="260"/>
      <c r="U1332" s="260" t="s">
        <v>5283</v>
      </c>
      <c r="V1332" s="260" t="s">
        <v>12707</v>
      </c>
      <c r="W1332" s="260"/>
      <c r="X1332" s="260"/>
      <c r="Y1332" s="565"/>
      <c r="Z1332" s="565"/>
      <c r="AA1332" s="566">
        <f t="shared" si="129"/>
        <v>0</v>
      </c>
      <c r="AB1332" s="699"/>
    </row>
    <row r="1333" spans="1:28" ht="15" customHeight="1" x14ac:dyDescent="0.3">
      <c r="A1333" s="96" t="s">
        <v>4386</v>
      </c>
      <c r="C1333" s="115">
        <v>43866</v>
      </c>
      <c r="D1333" s="312">
        <v>43906</v>
      </c>
      <c r="E1333" s="560"/>
      <c r="F1333" s="86" t="s">
        <v>4387</v>
      </c>
      <c r="G1333" s="86" t="s">
        <v>156</v>
      </c>
      <c r="H1333" s="96" t="s">
        <v>213</v>
      </c>
      <c r="I1333" s="97" t="s">
        <v>995</v>
      </c>
      <c r="J1333" s="73">
        <f t="shared" si="130"/>
        <v>1</v>
      </c>
      <c r="K1333" s="74" t="s">
        <v>204</v>
      </c>
      <c r="N1333" s="76" t="s">
        <v>19</v>
      </c>
      <c r="Q1333" s="76" t="s">
        <v>2076</v>
      </c>
      <c r="R1333" s="73">
        <f t="shared" si="131"/>
        <v>1</v>
      </c>
      <c r="S1333" s="260" t="s">
        <v>1976</v>
      </c>
      <c r="T1333" s="260"/>
      <c r="U1333" s="260"/>
      <c r="V1333" s="260"/>
      <c r="W1333" s="260"/>
      <c r="X1333" s="260"/>
      <c r="Y1333" s="565"/>
      <c r="Z1333" s="565"/>
      <c r="AA1333" s="566">
        <f t="shared" si="129"/>
        <v>0</v>
      </c>
      <c r="AB1333" s="699"/>
    </row>
    <row r="1334" spans="1:28" ht="15" customHeight="1" x14ac:dyDescent="0.3">
      <c r="A1334" s="96" t="s">
        <v>4354</v>
      </c>
      <c r="C1334" s="115">
        <v>43866</v>
      </c>
      <c r="D1334" s="312">
        <v>43906</v>
      </c>
      <c r="E1334" s="560"/>
      <c r="F1334" s="86" t="s">
        <v>4355</v>
      </c>
      <c r="G1334" s="86" t="s">
        <v>150</v>
      </c>
      <c r="H1334" s="96" t="s">
        <v>213</v>
      </c>
      <c r="I1334" s="97" t="s">
        <v>714</v>
      </c>
      <c r="J1334" s="73">
        <f t="shared" si="130"/>
        <v>1</v>
      </c>
      <c r="K1334" s="74" t="s">
        <v>204</v>
      </c>
      <c r="N1334" s="76" t="s">
        <v>17</v>
      </c>
      <c r="Q1334" s="76" t="s">
        <v>2037</v>
      </c>
      <c r="R1334" s="73">
        <f t="shared" si="131"/>
        <v>1</v>
      </c>
      <c r="S1334" s="260" t="s">
        <v>1976</v>
      </c>
      <c r="T1334" s="260"/>
      <c r="U1334" s="260" t="s">
        <v>5283</v>
      </c>
      <c r="V1334" s="260" t="s">
        <v>12708</v>
      </c>
      <c r="W1334" s="260"/>
      <c r="X1334" s="260"/>
      <c r="Y1334" s="565"/>
      <c r="Z1334" s="565"/>
      <c r="AA1334" s="566">
        <f t="shared" si="129"/>
        <v>0</v>
      </c>
      <c r="AB1334" s="699"/>
    </row>
    <row r="1335" spans="1:28" ht="15" customHeight="1" x14ac:dyDescent="0.3">
      <c r="A1335" s="79" t="s">
        <v>4306</v>
      </c>
      <c r="C1335" s="115">
        <v>43866</v>
      </c>
      <c r="D1335" s="312">
        <v>43906</v>
      </c>
      <c r="E1335" s="560"/>
      <c r="F1335" s="86" t="s">
        <v>4307</v>
      </c>
      <c r="G1335" s="86" t="s">
        <v>147</v>
      </c>
      <c r="H1335" s="96" t="s">
        <v>213</v>
      </c>
      <c r="I1335" s="97" t="s">
        <v>642</v>
      </c>
      <c r="J1335" s="73">
        <f t="shared" si="130"/>
        <v>1</v>
      </c>
      <c r="K1335" s="74" t="s">
        <v>204</v>
      </c>
      <c r="L1335" s="97" t="s">
        <v>4913</v>
      </c>
      <c r="N1335" s="76" t="s">
        <v>18</v>
      </c>
      <c r="Q1335" s="76" t="s">
        <v>2142</v>
      </c>
      <c r="R1335" s="73">
        <f t="shared" si="131"/>
        <v>1</v>
      </c>
      <c r="S1335" s="260" t="s">
        <v>1976</v>
      </c>
      <c r="T1335" s="260"/>
      <c r="U1335" s="260"/>
      <c r="V1335" s="260"/>
      <c r="W1335" s="260"/>
      <c r="X1335" s="260"/>
      <c r="Y1335" s="565"/>
      <c r="Z1335" s="565"/>
      <c r="AA1335" s="566">
        <f t="shared" si="129"/>
        <v>0</v>
      </c>
      <c r="AB1335" s="699"/>
    </row>
    <row r="1336" spans="1:28" ht="15" customHeight="1" x14ac:dyDescent="0.3">
      <c r="A1336" s="79" t="s">
        <v>4356</v>
      </c>
      <c r="C1336" s="115">
        <v>43866</v>
      </c>
      <c r="D1336" s="312">
        <v>43906</v>
      </c>
      <c r="E1336" s="560"/>
      <c r="F1336" s="86" t="s">
        <v>4357</v>
      </c>
      <c r="G1336" s="86" t="s">
        <v>166</v>
      </c>
      <c r="H1336" s="96" t="s">
        <v>213</v>
      </c>
      <c r="I1336" s="86" t="s">
        <v>4404</v>
      </c>
      <c r="J1336" s="73">
        <f t="shared" si="130"/>
        <v>1</v>
      </c>
      <c r="K1336" s="74" t="s">
        <v>204</v>
      </c>
      <c r="L1336" s="86" t="s">
        <v>4405</v>
      </c>
      <c r="N1336" s="76" t="s">
        <v>17</v>
      </c>
      <c r="Q1336" s="76" t="s">
        <v>2037</v>
      </c>
      <c r="R1336" s="73">
        <f t="shared" si="131"/>
        <v>1</v>
      </c>
      <c r="S1336" s="260" t="s">
        <v>1976</v>
      </c>
      <c r="T1336" s="260"/>
      <c r="U1336" s="260"/>
      <c r="V1336" s="260"/>
      <c r="W1336" s="260"/>
      <c r="X1336" s="260"/>
      <c r="Y1336" s="565"/>
      <c r="Z1336" s="565"/>
      <c r="AA1336" s="566">
        <f t="shared" si="129"/>
        <v>0</v>
      </c>
      <c r="AB1336" s="699"/>
    </row>
    <row r="1337" spans="1:28" ht="15" customHeight="1" x14ac:dyDescent="0.3">
      <c r="A1337" s="79" t="s">
        <v>4274</v>
      </c>
      <c r="C1337" s="115">
        <v>43866</v>
      </c>
      <c r="D1337" s="312">
        <v>43906</v>
      </c>
      <c r="E1337" s="560"/>
      <c r="F1337" s="86" t="s">
        <v>4275</v>
      </c>
      <c r="G1337" s="86" t="s">
        <v>156</v>
      </c>
      <c r="H1337" s="96" t="s">
        <v>213</v>
      </c>
      <c r="I1337" s="97" t="s">
        <v>714</v>
      </c>
      <c r="J1337" s="73">
        <f t="shared" si="130"/>
        <v>1</v>
      </c>
      <c r="K1337" s="74" t="s">
        <v>204</v>
      </c>
      <c r="Q1337" s="76" t="s">
        <v>2109</v>
      </c>
      <c r="R1337" s="73">
        <f t="shared" si="131"/>
        <v>1</v>
      </c>
      <c r="S1337" s="260" t="s">
        <v>1976</v>
      </c>
      <c r="T1337" s="260"/>
      <c r="U1337" s="260"/>
      <c r="V1337" s="260"/>
      <c r="W1337" s="260"/>
      <c r="X1337" s="260"/>
      <c r="Y1337" s="565"/>
      <c r="Z1337" s="565"/>
      <c r="AA1337" s="566">
        <f t="shared" si="129"/>
        <v>0</v>
      </c>
      <c r="AB1337" s="699"/>
    </row>
    <row r="1338" spans="1:28" ht="15" customHeight="1" x14ac:dyDescent="0.3">
      <c r="A1338" s="79" t="s">
        <v>4388</v>
      </c>
      <c r="C1338" s="115">
        <v>43866</v>
      </c>
      <c r="D1338" s="312">
        <v>43906</v>
      </c>
      <c r="E1338" s="560"/>
      <c r="F1338" s="86" t="s">
        <v>4389</v>
      </c>
      <c r="G1338" s="86" t="s">
        <v>158</v>
      </c>
      <c r="H1338" s="96" t="s">
        <v>213</v>
      </c>
      <c r="I1338" s="97" t="s">
        <v>642</v>
      </c>
      <c r="J1338" s="73">
        <f t="shared" si="130"/>
        <v>1</v>
      </c>
      <c r="K1338" s="74" t="s">
        <v>204</v>
      </c>
      <c r="N1338" s="76" t="s">
        <v>18</v>
      </c>
      <c r="Q1338" s="76" t="s">
        <v>2076</v>
      </c>
      <c r="R1338" s="73">
        <f t="shared" si="131"/>
        <v>1</v>
      </c>
      <c r="S1338" s="260" t="s">
        <v>1976</v>
      </c>
      <c r="T1338" s="260"/>
      <c r="U1338" s="260"/>
      <c r="V1338" s="260"/>
      <c r="W1338" s="260"/>
      <c r="X1338" s="260"/>
      <c r="Y1338" s="565"/>
      <c r="Z1338" s="565"/>
      <c r="AA1338" s="566">
        <f t="shared" si="129"/>
        <v>0</v>
      </c>
      <c r="AB1338" s="699"/>
    </row>
    <row r="1339" spans="1:28" ht="15" customHeight="1" x14ac:dyDescent="0.3">
      <c r="A1339" s="79" t="s">
        <v>4759</v>
      </c>
      <c r="C1339" s="115">
        <v>43866</v>
      </c>
      <c r="D1339" s="312">
        <v>43906</v>
      </c>
      <c r="E1339" s="560"/>
      <c r="F1339" s="86" t="s">
        <v>4835</v>
      </c>
      <c r="G1339" s="86" t="s">
        <v>152</v>
      </c>
      <c r="H1339" s="96" t="s">
        <v>213</v>
      </c>
      <c r="I1339" s="97" t="s">
        <v>657</v>
      </c>
      <c r="J1339" s="73">
        <f t="shared" si="130"/>
        <v>1</v>
      </c>
      <c r="K1339" s="74" t="s">
        <v>204</v>
      </c>
      <c r="L1339" s="97" t="s">
        <v>1745</v>
      </c>
      <c r="N1339" s="76" t="s">
        <v>19</v>
      </c>
      <c r="Q1339" s="76" t="s">
        <v>2037</v>
      </c>
      <c r="R1339" s="73">
        <f t="shared" si="131"/>
        <v>1</v>
      </c>
      <c r="S1339" s="260" t="s">
        <v>1976</v>
      </c>
      <c r="T1339" s="260"/>
      <c r="U1339" s="260"/>
      <c r="V1339" s="260"/>
      <c r="W1339" s="260"/>
      <c r="X1339" s="260"/>
      <c r="Y1339" s="565"/>
      <c r="Z1339" s="565"/>
      <c r="AA1339" s="566">
        <f t="shared" si="129"/>
        <v>0</v>
      </c>
      <c r="AB1339" s="699"/>
    </row>
    <row r="1340" spans="1:28" ht="15" customHeight="1" x14ac:dyDescent="0.3">
      <c r="A1340" s="96" t="s">
        <v>4418</v>
      </c>
      <c r="C1340" s="115">
        <v>43867</v>
      </c>
      <c r="D1340" s="312">
        <v>43907</v>
      </c>
      <c r="E1340" s="560"/>
      <c r="F1340" s="86" t="s">
        <v>4503</v>
      </c>
      <c r="G1340" s="86" t="s">
        <v>147</v>
      </c>
      <c r="H1340" s="96" t="s">
        <v>213</v>
      </c>
      <c r="I1340" s="97" t="s">
        <v>714</v>
      </c>
      <c r="J1340" s="73">
        <f t="shared" si="130"/>
        <v>1</v>
      </c>
      <c r="K1340" s="74" t="s">
        <v>204</v>
      </c>
      <c r="N1340" s="76" t="s">
        <v>18</v>
      </c>
      <c r="Q1340" s="76" t="s">
        <v>2109</v>
      </c>
      <c r="R1340" s="73">
        <f t="shared" si="131"/>
        <v>1</v>
      </c>
      <c r="S1340" s="260" t="s">
        <v>1976</v>
      </c>
      <c r="T1340" s="260"/>
      <c r="U1340" s="260"/>
      <c r="V1340" s="260"/>
      <c r="W1340" s="260"/>
      <c r="X1340" s="260"/>
      <c r="Y1340" s="565"/>
      <c r="Z1340" s="565"/>
      <c r="AA1340" s="566">
        <f t="shared" si="129"/>
        <v>0</v>
      </c>
      <c r="AB1340" s="699"/>
    </row>
    <row r="1341" spans="1:28" ht="15" customHeight="1" x14ac:dyDescent="0.3">
      <c r="A1341" s="96" t="s">
        <v>4760</v>
      </c>
      <c r="C1341" s="115">
        <v>43867</v>
      </c>
      <c r="D1341" s="312">
        <v>43907</v>
      </c>
      <c r="E1341" s="560"/>
      <c r="F1341" s="86" t="s">
        <v>4836</v>
      </c>
      <c r="G1341" s="86" t="s">
        <v>152</v>
      </c>
      <c r="H1341" s="79" t="s">
        <v>268</v>
      </c>
      <c r="I1341" s="97" t="s">
        <v>4937</v>
      </c>
      <c r="J1341" s="73">
        <f t="shared" si="130"/>
        <v>1</v>
      </c>
      <c r="K1341" s="74" t="s">
        <v>204</v>
      </c>
      <c r="L1341" s="97" t="s">
        <v>4938</v>
      </c>
      <c r="N1341" s="76" t="s">
        <v>17</v>
      </c>
      <c r="Q1341" s="76" t="s">
        <v>2037</v>
      </c>
      <c r="R1341" s="73">
        <f t="shared" si="131"/>
        <v>1</v>
      </c>
      <c r="S1341" s="260" t="s">
        <v>1976</v>
      </c>
      <c r="T1341" s="260"/>
      <c r="U1341" s="260" t="s">
        <v>5283</v>
      </c>
      <c r="V1341" s="260" t="s">
        <v>12702</v>
      </c>
      <c r="W1341" s="260"/>
      <c r="X1341" s="260"/>
      <c r="Y1341" s="565"/>
      <c r="Z1341" s="565"/>
      <c r="AA1341" s="566">
        <f t="shared" si="129"/>
        <v>0</v>
      </c>
      <c r="AB1341" s="699"/>
    </row>
    <row r="1342" spans="1:28" ht="15" customHeight="1" x14ac:dyDescent="0.3">
      <c r="A1342" s="79" t="s">
        <v>4420</v>
      </c>
      <c r="C1342" s="115">
        <v>43867</v>
      </c>
      <c r="D1342" s="312">
        <v>43907</v>
      </c>
      <c r="E1342" s="560"/>
      <c r="F1342" s="86" t="s">
        <v>4505</v>
      </c>
      <c r="G1342" s="86" t="s">
        <v>179</v>
      </c>
      <c r="H1342" s="96" t="s">
        <v>213</v>
      </c>
      <c r="I1342" s="97" t="s">
        <v>714</v>
      </c>
      <c r="J1342" s="73">
        <f t="shared" si="130"/>
        <v>1</v>
      </c>
      <c r="K1342" s="74" t="s">
        <v>204</v>
      </c>
      <c r="N1342" s="76" t="s">
        <v>18</v>
      </c>
      <c r="Q1342" s="76" t="s">
        <v>2142</v>
      </c>
      <c r="R1342" s="73">
        <f t="shared" si="131"/>
        <v>1</v>
      </c>
      <c r="S1342" s="260" t="s">
        <v>1976</v>
      </c>
      <c r="T1342" s="260"/>
      <c r="U1342" s="260"/>
      <c r="V1342" s="260"/>
      <c r="W1342" s="260"/>
      <c r="X1342" s="260"/>
      <c r="Y1342" s="565"/>
      <c r="Z1342" s="565"/>
      <c r="AA1342" s="566">
        <f t="shared" si="129"/>
        <v>0</v>
      </c>
      <c r="AB1342" s="699"/>
    </row>
    <row r="1343" spans="1:28" ht="15" customHeight="1" x14ac:dyDescent="0.3">
      <c r="A1343" s="96" t="s">
        <v>4422</v>
      </c>
      <c r="C1343" s="115">
        <v>43867</v>
      </c>
      <c r="D1343" s="312">
        <v>43907</v>
      </c>
      <c r="E1343" s="560"/>
      <c r="F1343" s="86" t="s">
        <v>4507</v>
      </c>
      <c r="G1343" s="86" t="s">
        <v>157</v>
      </c>
      <c r="H1343" s="96" t="s">
        <v>213</v>
      </c>
      <c r="I1343" s="97" t="s">
        <v>642</v>
      </c>
      <c r="J1343" s="73">
        <f t="shared" si="130"/>
        <v>1</v>
      </c>
      <c r="K1343" s="74" t="s">
        <v>204</v>
      </c>
      <c r="N1343" s="76" t="s">
        <v>18</v>
      </c>
      <c r="Q1343" s="76" t="s">
        <v>2109</v>
      </c>
      <c r="R1343" s="73">
        <f t="shared" si="131"/>
        <v>1</v>
      </c>
      <c r="S1343" s="260" t="s">
        <v>1976</v>
      </c>
      <c r="T1343" s="260"/>
      <c r="U1343" s="260"/>
      <c r="V1343" s="260"/>
      <c r="W1343" s="260"/>
      <c r="X1343" s="260"/>
      <c r="Y1343" s="565"/>
      <c r="Z1343" s="565"/>
      <c r="AA1343" s="566">
        <f t="shared" si="129"/>
        <v>0</v>
      </c>
      <c r="AB1343" s="699"/>
    </row>
    <row r="1344" spans="1:28" ht="15" customHeight="1" x14ac:dyDescent="0.3">
      <c r="A1344" s="79" t="s">
        <v>4761</v>
      </c>
      <c r="C1344" s="115">
        <v>43867</v>
      </c>
      <c r="D1344" s="312">
        <v>43907</v>
      </c>
      <c r="E1344" s="560"/>
      <c r="F1344" s="86" t="s">
        <v>4837</v>
      </c>
      <c r="G1344" s="86" t="s">
        <v>158</v>
      </c>
      <c r="H1344" s="96" t="s">
        <v>213</v>
      </c>
      <c r="I1344" s="97" t="s">
        <v>714</v>
      </c>
      <c r="J1344" s="73">
        <f t="shared" si="130"/>
        <v>1</v>
      </c>
      <c r="K1344" s="74" t="s">
        <v>204</v>
      </c>
      <c r="N1344" s="76" t="s">
        <v>18</v>
      </c>
      <c r="Q1344" s="76" t="s">
        <v>2142</v>
      </c>
      <c r="R1344" s="73">
        <f t="shared" si="131"/>
        <v>1</v>
      </c>
      <c r="S1344" s="260" t="s">
        <v>1976</v>
      </c>
      <c r="T1344" s="260"/>
      <c r="U1344" s="260"/>
      <c r="V1344" s="260"/>
      <c r="W1344" s="260"/>
      <c r="X1344" s="260"/>
      <c r="Y1344" s="565"/>
      <c r="Z1344" s="565"/>
      <c r="AA1344" s="566">
        <f t="shared" si="129"/>
        <v>0</v>
      </c>
      <c r="AB1344" s="699"/>
    </row>
    <row r="1345" spans="1:28" ht="15" customHeight="1" x14ac:dyDescent="0.3">
      <c r="A1345" s="96" t="s">
        <v>4423</v>
      </c>
      <c r="C1345" s="115">
        <v>43867</v>
      </c>
      <c r="D1345" s="312">
        <v>43907</v>
      </c>
      <c r="E1345" s="560"/>
      <c r="F1345" s="86" t="s">
        <v>4508</v>
      </c>
      <c r="G1345" s="86" t="s">
        <v>189</v>
      </c>
      <c r="H1345" s="96" t="s">
        <v>213</v>
      </c>
      <c r="I1345" s="97" t="s">
        <v>641</v>
      </c>
      <c r="J1345" s="73">
        <f t="shared" si="130"/>
        <v>1</v>
      </c>
      <c r="K1345" s="74" t="s">
        <v>204</v>
      </c>
      <c r="N1345" s="76" t="s">
        <v>17</v>
      </c>
      <c r="Q1345" s="76" t="s">
        <v>2142</v>
      </c>
      <c r="R1345" s="73">
        <f t="shared" si="131"/>
        <v>1</v>
      </c>
      <c r="S1345" s="260" t="s">
        <v>1976</v>
      </c>
      <c r="T1345" s="260"/>
      <c r="U1345" s="260"/>
      <c r="V1345" s="260"/>
      <c r="W1345" s="260"/>
      <c r="X1345" s="260"/>
      <c r="Y1345" s="565"/>
      <c r="Z1345" s="565"/>
      <c r="AA1345" s="566">
        <f t="shared" si="129"/>
        <v>0</v>
      </c>
      <c r="AB1345" s="699"/>
    </row>
    <row r="1346" spans="1:28" ht="15" customHeight="1" x14ac:dyDescent="0.3">
      <c r="A1346" s="96" t="s">
        <v>4428</v>
      </c>
      <c r="C1346" s="115">
        <v>43867</v>
      </c>
      <c r="D1346" s="312">
        <v>43907</v>
      </c>
      <c r="E1346" s="560"/>
      <c r="F1346" s="86" t="s">
        <v>4513</v>
      </c>
      <c r="G1346" s="86" t="s">
        <v>156</v>
      </c>
      <c r="H1346" s="96" t="s">
        <v>213</v>
      </c>
      <c r="I1346" s="97" t="s">
        <v>714</v>
      </c>
      <c r="J1346" s="73">
        <f t="shared" si="130"/>
        <v>1</v>
      </c>
      <c r="K1346" s="74" t="s">
        <v>204</v>
      </c>
      <c r="N1346" s="76" t="s">
        <v>18</v>
      </c>
      <c r="Q1346" s="76" t="s">
        <v>2076</v>
      </c>
      <c r="R1346" s="73">
        <f t="shared" si="131"/>
        <v>1</v>
      </c>
      <c r="S1346" s="260" t="s">
        <v>1976</v>
      </c>
      <c r="T1346" s="260"/>
      <c r="U1346" s="260"/>
      <c r="V1346" s="260"/>
      <c r="W1346" s="260"/>
      <c r="X1346" s="260"/>
      <c r="Y1346" s="565"/>
      <c r="Z1346" s="565"/>
      <c r="AA1346" s="566">
        <f t="shared" si="129"/>
        <v>0</v>
      </c>
      <c r="AB1346" s="699"/>
    </row>
    <row r="1347" spans="1:28" ht="15" customHeight="1" x14ac:dyDescent="0.3">
      <c r="A1347" s="96" t="s">
        <v>4429</v>
      </c>
      <c r="C1347" s="115">
        <v>43868</v>
      </c>
      <c r="D1347" s="312">
        <v>43908</v>
      </c>
      <c r="E1347" s="560"/>
      <c r="F1347" s="86" t="s">
        <v>4514</v>
      </c>
      <c r="G1347" s="86" t="s">
        <v>175</v>
      </c>
      <c r="H1347" s="96" t="s">
        <v>213</v>
      </c>
      <c r="I1347" s="97" t="s">
        <v>714</v>
      </c>
      <c r="J1347" s="73">
        <f t="shared" si="130"/>
        <v>1</v>
      </c>
      <c r="K1347" s="74" t="s">
        <v>204</v>
      </c>
      <c r="N1347" s="76" t="s">
        <v>17</v>
      </c>
      <c r="Q1347" s="76" t="s">
        <v>2037</v>
      </c>
      <c r="R1347" s="73">
        <f t="shared" si="131"/>
        <v>1</v>
      </c>
      <c r="S1347" s="260" t="s">
        <v>1976</v>
      </c>
      <c r="T1347" s="260"/>
      <c r="U1347" s="260" t="s">
        <v>5283</v>
      </c>
      <c r="V1347" s="260" t="s">
        <v>12701</v>
      </c>
      <c r="W1347" s="260"/>
      <c r="X1347" s="260"/>
      <c r="Y1347" s="565"/>
      <c r="Z1347" s="565"/>
      <c r="AA1347" s="566">
        <f t="shared" si="129"/>
        <v>0</v>
      </c>
      <c r="AB1347" s="699"/>
    </row>
    <row r="1348" spans="1:28" ht="15" customHeight="1" x14ac:dyDescent="0.3">
      <c r="A1348" s="96" t="s">
        <v>4431</v>
      </c>
      <c r="C1348" s="115">
        <v>43868</v>
      </c>
      <c r="D1348" s="312">
        <v>43908</v>
      </c>
      <c r="E1348" s="560"/>
      <c r="F1348" s="86" t="s">
        <v>4516</v>
      </c>
      <c r="G1348" s="86" t="s">
        <v>152</v>
      </c>
      <c r="H1348" s="79" t="s">
        <v>268</v>
      </c>
      <c r="I1348" s="97" t="s">
        <v>641</v>
      </c>
      <c r="J1348" s="73">
        <f t="shared" si="130"/>
        <v>1</v>
      </c>
      <c r="K1348" s="74" t="s">
        <v>204</v>
      </c>
      <c r="L1348" s="97" t="s">
        <v>4958</v>
      </c>
      <c r="N1348" s="76" t="s">
        <v>18</v>
      </c>
      <c r="Q1348" s="76" t="s">
        <v>2142</v>
      </c>
      <c r="R1348" s="73">
        <f t="shared" si="131"/>
        <v>1</v>
      </c>
      <c r="S1348" s="260" t="s">
        <v>1976</v>
      </c>
      <c r="T1348" s="260"/>
      <c r="U1348" s="260"/>
      <c r="V1348" s="260"/>
      <c r="W1348" s="260"/>
      <c r="X1348" s="260"/>
      <c r="Y1348" s="565"/>
      <c r="Z1348" s="565"/>
      <c r="AA1348" s="566">
        <f t="shared" si="129"/>
        <v>0</v>
      </c>
      <c r="AB1348" s="699"/>
    </row>
    <row r="1349" spans="1:28" ht="15" customHeight="1" x14ac:dyDescent="0.3">
      <c r="A1349" s="96" t="s">
        <v>4432</v>
      </c>
      <c r="C1349" s="115">
        <v>43868</v>
      </c>
      <c r="D1349" s="312">
        <v>43908</v>
      </c>
      <c r="E1349" s="560"/>
      <c r="F1349" s="86" t="s">
        <v>4517</v>
      </c>
      <c r="G1349" s="86" t="s">
        <v>172</v>
      </c>
      <c r="H1349" s="96" t="s">
        <v>213</v>
      </c>
      <c r="I1349" s="97" t="s">
        <v>714</v>
      </c>
      <c r="J1349" s="73">
        <f t="shared" si="130"/>
        <v>1</v>
      </c>
      <c r="K1349" s="74" t="s">
        <v>204</v>
      </c>
      <c r="N1349" s="76" t="s">
        <v>17</v>
      </c>
      <c r="Q1349" s="76" t="s">
        <v>2076</v>
      </c>
      <c r="R1349" s="73">
        <f t="shared" si="131"/>
        <v>1</v>
      </c>
      <c r="S1349" s="260" t="s">
        <v>1976</v>
      </c>
      <c r="T1349" s="260"/>
      <c r="U1349" s="260" t="s">
        <v>5283</v>
      </c>
      <c r="V1349" s="260" t="s">
        <v>12700</v>
      </c>
      <c r="W1349" s="260"/>
      <c r="X1349" s="260"/>
      <c r="Y1349" s="565"/>
      <c r="Z1349" s="565"/>
      <c r="AA1349" s="566">
        <f t="shared" si="129"/>
        <v>0</v>
      </c>
      <c r="AB1349" s="699"/>
    </row>
    <row r="1350" spans="1:28" ht="15" customHeight="1" x14ac:dyDescent="0.3">
      <c r="A1350" s="96" t="s">
        <v>4762</v>
      </c>
      <c r="C1350" s="115">
        <v>43868</v>
      </c>
      <c r="D1350" s="312">
        <v>43907</v>
      </c>
      <c r="E1350" s="560"/>
      <c r="F1350" s="86" t="s">
        <v>4838</v>
      </c>
      <c r="G1350" s="86" t="s">
        <v>158</v>
      </c>
      <c r="H1350" s="96" t="s">
        <v>213</v>
      </c>
      <c r="I1350" s="97" t="s">
        <v>714</v>
      </c>
      <c r="J1350" s="73">
        <f t="shared" si="130"/>
        <v>1</v>
      </c>
      <c r="K1350" s="74" t="s">
        <v>204</v>
      </c>
      <c r="N1350" s="76" t="s">
        <v>17</v>
      </c>
      <c r="Q1350" s="76" t="s">
        <v>2037</v>
      </c>
      <c r="R1350" s="73">
        <f t="shared" si="131"/>
        <v>1</v>
      </c>
      <c r="S1350" s="260" t="s">
        <v>1976</v>
      </c>
      <c r="T1350" s="260"/>
      <c r="U1350" s="260"/>
      <c r="V1350" s="260"/>
      <c r="W1350" s="260"/>
      <c r="X1350" s="260"/>
      <c r="Y1350" s="565"/>
      <c r="Z1350" s="565"/>
      <c r="AA1350" s="566">
        <f t="shared" si="129"/>
        <v>0</v>
      </c>
      <c r="AB1350" s="699"/>
    </row>
    <row r="1351" spans="1:28" ht="15" customHeight="1" x14ac:dyDescent="0.3">
      <c r="A1351" s="96" t="s">
        <v>4436</v>
      </c>
      <c r="C1351" s="115">
        <v>43868</v>
      </c>
      <c r="D1351" s="312">
        <v>43908</v>
      </c>
      <c r="E1351" s="560"/>
      <c r="F1351" s="86" t="s">
        <v>4521</v>
      </c>
      <c r="G1351" s="86" t="s">
        <v>150</v>
      </c>
      <c r="H1351" s="96" t="s">
        <v>213</v>
      </c>
      <c r="I1351" s="97" t="s">
        <v>722</v>
      </c>
      <c r="J1351" s="73">
        <f t="shared" si="130"/>
        <v>1</v>
      </c>
      <c r="K1351" s="74" t="s">
        <v>204</v>
      </c>
      <c r="L1351" s="86" t="s">
        <v>4583</v>
      </c>
      <c r="N1351" s="76" t="s">
        <v>17</v>
      </c>
      <c r="Q1351" s="76" t="s">
        <v>2142</v>
      </c>
      <c r="R1351" s="73">
        <f t="shared" si="131"/>
        <v>1</v>
      </c>
      <c r="S1351" s="260" t="s">
        <v>1976</v>
      </c>
      <c r="T1351" s="260"/>
      <c r="U1351" s="260"/>
      <c r="V1351" s="260"/>
      <c r="W1351" s="260"/>
      <c r="X1351" s="260"/>
      <c r="Y1351" s="565"/>
      <c r="Z1351" s="565"/>
      <c r="AA1351" s="566">
        <f t="shared" si="129"/>
        <v>0</v>
      </c>
      <c r="AB1351" s="699"/>
    </row>
    <row r="1352" spans="1:28" ht="15" customHeight="1" x14ac:dyDescent="0.3">
      <c r="A1352" s="79" t="s">
        <v>4439</v>
      </c>
      <c r="C1352" s="115">
        <v>43868</v>
      </c>
      <c r="D1352" s="312">
        <v>43908</v>
      </c>
      <c r="E1352" s="560"/>
      <c r="F1352" s="86" t="s">
        <v>4524</v>
      </c>
      <c r="G1352" s="86" t="s">
        <v>158</v>
      </c>
      <c r="H1352" s="96" t="s">
        <v>213</v>
      </c>
      <c r="I1352" s="97" t="s">
        <v>642</v>
      </c>
      <c r="J1352" s="73">
        <f t="shared" si="130"/>
        <v>1</v>
      </c>
      <c r="K1352" s="74" t="s">
        <v>204</v>
      </c>
      <c r="N1352" s="76" t="s">
        <v>18</v>
      </c>
      <c r="Q1352" s="76" t="s">
        <v>2109</v>
      </c>
      <c r="R1352" s="73">
        <f t="shared" si="131"/>
        <v>1</v>
      </c>
      <c r="S1352" s="260" t="s">
        <v>1976</v>
      </c>
      <c r="T1352" s="260"/>
      <c r="U1352" s="260"/>
      <c r="V1352" s="260"/>
      <c r="W1352" s="260"/>
      <c r="X1352" s="260"/>
      <c r="Y1352" s="565"/>
      <c r="Z1352" s="565"/>
      <c r="AA1352" s="566">
        <f t="shared" si="129"/>
        <v>0</v>
      </c>
      <c r="AB1352" s="699"/>
    </row>
    <row r="1353" spans="1:28" ht="15" customHeight="1" x14ac:dyDescent="0.3">
      <c r="A1353" s="96" t="s">
        <v>4441</v>
      </c>
      <c r="C1353" s="115">
        <v>43868</v>
      </c>
      <c r="D1353" s="312">
        <v>43908</v>
      </c>
      <c r="E1353" s="560"/>
      <c r="F1353" s="86" t="s">
        <v>4526</v>
      </c>
      <c r="G1353" s="86" t="s">
        <v>152</v>
      </c>
      <c r="H1353" s="96" t="s">
        <v>213</v>
      </c>
      <c r="I1353" s="97" t="s">
        <v>642</v>
      </c>
      <c r="J1353" s="73">
        <f t="shared" si="130"/>
        <v>1</v>
      </c>
      <c r="K1353" s="74" t="s">
        <v>204</v>
      </c>
      <c r="N1353" s="76" t="s">
        <v>18</v>
      </c>
      <c r="Q1353" s="76" t="s">
        <v>2109</v>
      </c>
      <c r="R1353" s="73">
        <f t="shared" si="131"/>
        <v>1</v>
      </c>
      <c r="S1353" s="260" t="s">
        <v>1976</v>
      </c>
      <c r="T1353" s="260"/>
      <c r="U1353" s="260"/>
      <c r="V1353" s="260"/>
      <c r="W1353" s="260"/>
      <c r="X1353" s="260"/>
      <c r="Y1353" s="565"/>
      <c r="Z1353" s="565"/>
      <c r="AA1353" s="566">
        <f t="shared" si="129"/>
        <v>0</v>
      </c>
      <c r="AB1353" s="699"/>
    </row>
    <row r="1354" spans="1:28" ht="15" customHeight="1" x14ac:dyDescent="0.3">
      <c r="A1354" s="96" t="s">
        <v>4442</v>
      </c>
      <c r="C1354" s="115">
        <v>43868</v>
      </c>
      <c r="D1354" s="312">
        <v>43908</v>
      </c>
      <c r="E1354" s="560"/>
      <c r="F1354" s="86" t="s">
        <v>4527</v>
      </c>
      <c r="G1354" s="86" t="s">
        <v>156</v>
      </c>
      <c r="H1354" s="96" t="s">
        <v>213</v>
      </c>
      <c r="I1354" s="97" t="s">
        <v>714</v>
      </c>
      <c r="J1354" s="73">
        <f t="shared" si="130"/>
        <v>1</v>
      </c>
      <c r="K1354" s="74" t="s">
        <v>204</v>
      </c>
      <c r="N1354" s="76" t="s">
        <v>17</v>
      </c>
      <c r="Q1354" s="76" t="s">
        <v>2076</v>
      </c>
      <c r="R1354" s="73">
        <f t="shared" si="131"/>
        <v>1</v>
      </c>
      <c r="S1354" s="260" t="s">
        <v>1976</v>
      </c>
      <c r="T1354" s="260"/>
      <c r="U1354" s="260" t="s">
        <v>5283</v>
      </c>
      <c r="V1354" s="260" t="s">
        <v>12699</v>
      </c>
      <c r="W1354" s="260"/>
      <c r="X1354" s="260"/>
      <c r="Y1354" s="565"/>
      <c r="Z1354" s="565"/>
      <c r="AA1354" s="566">
        <f t="shared" si="129"/>
        <v>0</v>
      </c>
      <c r="AB1354" s="699"/>
    </row>
    <row r="1355" spans="1:28" ht="15" customHeight="1" x14ac:dyDescent="0.3">
      <c r="A1355" s="96" t="s">
        <v>4443</v>
      </c>
      <c r="C1355" s="115">
        <v>43868</v>
      </c>
      <c r="D1355" s="312">
        <v>43908</v>
      </c>
      <c r="E1355" s="560"/>
      <c r="F1355" s="86" t="s">
        <v>4528</v>
      </c>
      <c r="G1355" s="86" t="s">
        <v>150</v>
      </c>
      <c r="H1355" s="96" t="s">
        <v>213</v>
      </c>
      <c r="I1355" s="97" t="s">
        <v>714</v>
      </c>
      <c r="J1355" s="73">
        <f t="shared" si="130"/>
        <v>1</v>
      </c>
      <c r="K1355" s="74" t="s">
        <v>204</v>
      </c>
      <c r="N1355" s="76" t="s">
        <v>17</v>
      </c>
      <c r="Q1355" s="76" t="s">
        <v>2037</v>
      </c>
      <c r="R1355" s="73">
        <f t="shared" si="131"/>
        <v>1</v>
      </c>
      <c r="S1355" s="260" t="s">
        <v>1976</v>
      </c>
      <c r="T1355" s="260"/>
      <c r="U1355" s="260"/>
      <c r="V1355" s="260"/>
      <c r="W1355" s="260"/>
      <c r="X1355" s="260"/>
      <c r="Y1355" s="565"/>
      <c r="Z1355" s="565"/>
      <c r="AA1355" s="566">
        <f t="shared" si="129"/>
        <v>0</v>
      </c>
      <c r="AB1355" s="699"/>
    </row>
    <row r="1356" spans="1:28" ht="15" customHeight="1" x14ac:dyDescent="0.3">
      <c r="A1356" s="96" t="s">
        <v>4444</v>
      </c>
      <c r="C1356" s="115">
        <v>43871</v>
      </c>
      <c r="D1356" s="312">
        <v>43909</v>
      </c>
      <c r="E1356" s="560"/>
      <c r="F1356" s="86" t="s">
        <v>4529</v>
      </c>
      <c r="G1356" s="86" t="s">
        <v>154</v>
      </c>
      <c r="H1356" s="96" t="s">
        <v>213</v>
      </c>
      <c r="I1356" s="97" t="s">
        <v>641</v>
      </c>
      <c r="J1356" s="73">
        <f t="shared" si="130"/>
        <v>1</v>
      </c>
      <c r="K1356" s="74" t="s">
        <v>204</v>
      </c>
      <c r="N1356" s="76" t="s">
        <v>17</v>
      </c>
      <c r="Q1356" s="76" t="s">
        <v>2037</v>
      </c>
      <c r="R1356" s="73">
        <f t="shared" si="131"/>
        <v>1</v>
      </c>
      <c r="S1356" s="260" t="s">
        <v>1976</v>
      </c>
      <c r="T1356" s="260" t="s">
        <v>924</v>
      </c>
      <c r="U1356" s="260" t="s">
        <v>5283</v>
      </c>
      <c r="V1356" s="260" t="s">
        <v>12698</v>
      </c>
      <c r="W1356" s="260"/>
      <c r="X1356" s="260"/>
      <c r="Y1356" s="565"/>
      <c r="Z1356" s="565"/>
      <c r="AA1356" s="566">
        <f t="shared" si="129"/>
        <v>0</v>
      </c>
      <c r="AB1356" s="699"/>
    </row>
    <row r="1357" spans="1:28" ht="15" customHeight="1" x14ac:dyDescent="0.3">
      <c r="A1357" s="96" t="s">
        <v>4445</v>
      </c>
      <c r="C1357" s="115">
        <v>43871</v>
      </c>
      <c r="D1357" s="312">
        <v>43909</v>
      </c>
      <c r="E1357" s="560"/>
      <c r="F1357" s="86" t="s">
        <v>4530</v>
      </c>
      <c r="G1357" s="86" t="s">
        <v>156</v>
      </c>
      <c r="H1357" s="96" t="s">
        <v>213</v>
      </c>
      <c r="I1357" s="97" t="s">
        <v>642</v>
      </c>
      <c r="J1357" s="73">
        <f t="shared" si="130"/>
        <v>1</v>
      </c>
      <c r="K1357" s="74" t="s">
        <v>204</v>
      </c>
      <c r="L1357" s="97" t="s">
        <v>4959</v>
      </c>
      <c r="N1357" s="76" t="s">
        <v>18</v>
      </c>
      <c r="Q1357" s="76" t="s">
        <v>2076</v>
      </c>
      <c r="R1357" s="73">
        <f t="shared" si="131"/>
        <v>1</v>
      </c>
      <c r="S1357" s="260" t="s">
        <v>1976</v>
      </c>
      <c r="T1357" s="260" t="s">
        <v>923</v>
      </c>
      <c r="U1357" s="260"/>
      <c r="V1357" s="260"/>
      <c r="W1357" s="260"/>
      <c r="X1357" s="260"/>
      <c r="Y1357" s="565"/>
      <c r="Z1357" s="565"/>
      <c r="AA1357" s="566">
        <f t="shared" si="129"/>
        <v>0</v>
      </c>
      <c r="AB1357" s="699"/>
    </row>
    <row r="1358" spans="1:28" ht="15" customHeight="1" x14ac:dyDescent="0.3">
      <c r="A1358" s="79" t="s">
        <v>4446</v>
      </c>
      <c r="C1358" s="115">
        <v>43871</v>
      </c>
      <c r="D1358" s="312">
        <v>43908</v>
      </c>
      <c r="E1358" s="560"/>
      <c r="F1358" s="86" t="s">
        <v>4531</v>
      </c>
      <c r="G1358" s="86" t="s">
        <v>157</v>
      </c>
      <c r="H1358" s="96" t="s">
        <v>213</v>
      </c>
      <c r="I1358" s="97" t="s">
        <v>642</v>
      </c>
      <c r="J1358" s="73">
        <f t="shared" si="130"/>
        <v>1</v>
      </c>
      <c r="K1358" s="74" t="s">
        <v>204</v>
      </c>
      <c r="N1358" s="76" t="s">
        <v>17</v>
      </c>
      <c r="Q1358" s="76" t="s">
        <v>2142</v>
      </c>
      <c r="R1358" s="73">
        <f t="shared" si="131"/>
        <v>1</v>
      </c>
      <c r="S1358" s="260" t="s">
        <v>1976</v>
      </c>
      <c r="T1358" s="260"/>
      <c r="U1358" s="260"/>
      <c r="V1358" s="260"/>
      <c r="W1358" s="260"/>
      <c r="X1358" s="260"/>
      <c r="Y1358" s="565"/>
      <c r="Z1358" s="565"/>
      <c r="AA1358" s="566">
        <f t="shared" si="129"/>
        <v>0</v>
      </c>
      <c r="AB1358" s="699"/>
    </row>
    <row r="1359" spans="1:28" ht="15" customHeight="1" x14ac:dyDescent="0.3">
      <c r="A1359" s="96" t="s">
        <v>4447</v>
      </c>
      <c r="C1359" s="115">
        <v>43871</v>
      </c>
      <c r="D1359" s="312">
        <v>43909</v>
      </c>
      <c r="E1359" s="560"/>
      <c r="F1359" s="86" t="s">
        <v>4532</v>
      </c>
      <c r="G1359" s="86" t="s">
        <v>150</v>
      </c>
      <c r="H1359" s="96" t="s">
        <v>213</v>
      </c>
      <c r="I1359" s="97" t="s">
        <v>642</v>
      </c>
      <c r="J1359" s="73">
        <f t="shared" si="130"/>
        <v>1</v>
      </c>
      <c r="K1359" s="74" t="s">
        <v>204</v>
      </c>
      <c r="N1359" s="76" t="s">
        <v>17</v>
      </c>
      <c r="Q1359" s="76" t="s">
        <v>2109</v>
      </c>
      <c r="R1359" s="73">
        <f t="shared" si="131"/>
        <v>1</v>
      </c>
      <c r="S1359" s="260" t="s">
        <v>1976</v>
      </c>
      <c r="T1359" s="260" t="s">
        <v>925</v>
      </c>
      <c r="U1359" s="260"/>
      <c r="V1359" s="260"/>
      <c r="W1359" s="260"/>
      <c r="X1359" s="260"/>
      <c r="Y1359" s="565"/>
      <c r="Z1359" s="565"/>
      <c r="AA1359" s="566">
        <f t="shared" si="129"/>
        <v>0</v>
      </c>
      <c r="AB1359" s="699"/>
    </row>
    <row r="1360" spans="1:28" ht="15" customHeight="1" x14ac:dyDescent="0.3">
      <c r="A1360" s="79" t="s">
        <v>4449</v>
      </c>
      <c r="C1360" s="115">
        <v>43871</v>
      </c>
      <c r="D1360" s="312">
        <v>43909</v>
      </c>
      <c r="E1360" s="560"/>
      <c r="F1360" s="86" t="s">
        <v>4534</v>
      </c>
      <c r="G1360" s="86" t="s">
        <v>410</v>
      </c>
      <c r="H1360" s="96" t="s">
        <v>213</v>
      </c>
      <c r="I1360" s="97" t="s">
        <v>714</v>
      </c>
      <c r="J1360" s="73">
        <f t="shared" si="130"/>
        <v>1</v>
      </c>
      <c r="K1360" s="74" t="s">
        <v>204</v>
      </c>
      <c r="N1360" s="76" t="s">
        <v>18</v>
      </c>
      <c r="Q1360" s="76" t="s">
        <v>2142</v>
      </c>
      <c r="R1360" s="73">
        <f t="shared" si="131"/>
        <v>1</v>
      </c>
      <c r="S1360" s="260" t="s">
        <v>1976</v>
      </c>
      <c r="T1360" s="260" t="s">
        <v>923</v>
      </c>
      <c r="U1360" s="260" t="s">
        <v>5283</v>
      </c>
      <c r="V1360" s="260" t="s">
        <v>12697</v>
      </c>
      <c r="W1360" s="260"/>
      <c r="X1360" s="260"/>
      <c r="Y1360" s="565"/>
      <c r="Z1360" s="565"/>
      <c r="AA1360" s="566">
        <f t="shared" si="129"/>
        <v>0</v>
      </c>
      <c r="AB1360" s="699"/>
    </row>
    <row r="1361" spans="1:28" ht="15" customHeight="1" x14ac:dyDescent="0.3">
      <c r="A1361" s="96" t="s">
        <v>4450</v>
      </c>
      <c r="C1361" s="115">
        <v>43871</v>
      </c>
      <c r="D1361" s="312">
        <v>43909</v>
      </c>
      <c r="E1361" s="560"/>
      <c r="F1361" s="86" t="s">
        <v>4535</v>
      </c>
      <c r="G1361" s="86" t="s">
        <v>152</v>
      </c>
      <c r="H1361" s="96" t="s">
        <v>213</v>
      </c>
      <c r="I1361" s="97" t="s">
        <v>641</v>
      </c>
      <c r="J1361" s="73">
        <f t="shared" si="130"/>
        <v>1</v>
      </c>
      <c r="K1361" s="74" t="s">
        <v>204</v>
      </c>
      <c r="N1361" s="76" t="s">
        <v>17</v>
      </c>
      <c r="Q1361" s="76" t="s">
        <v>2037</v>
      </c>
      <c r="R1361" s="73">
        <f t="shared" si="131"/>
        <v>1</v>
      </c>
      <c r="S1361" s="260" t="s">
        <v>1976</v>
      </c>
      <c r="T1361" s="260" t="s">
        <v>924</v>
      </c>
      <c r="U1361" s="260"/>
      <c r="V1361" s="260"/>
      <c r="W1361" s="260"/>
      <c r="X1361" s="260"/>
      <c r="Y1361" s="565"/>
      <c r="Z1361" s="565"/>
      <c r="AA1361" s="566">
        <f t="shared" si="129"/>
        <v>0</v>
      </c>
      <c r="AB1361" s="699"/>
    </row>
    <row r="1362" spans="1:28" ht="15" customHeight="1" x14ac:dyDescent="0.3">
      <c r="A1362" s="79" t="s">
        <v>4451</v>
      </c>
      <c r="C1362" s="115">
        <v>43871</v>
      </c>
      <c r="D1362" s="312">
        <v>43909</v>
      </c>
      <c r="E1362" s="560"/>
      <c r="F1362" s="86" t="s">
        <v>4536</v>
      </c>
      <c r="G1362" s="86" t="s">
        <v>152</v>
      </c>
      <c r="H1362" s="79" t="s">
        <v>268</v>
      </c>
      <c r="I1362" s="97" t="s">
        <v>714</v>
      </c>
      <c r="J1362" s="73">
        <f t="shared" si="130"/>
        <v>1</v>
      </c>
      <c r="K1362" s="74" t="s">
        <v>204</v>
      </c>
      <c r="N1362" s="76" t="s">
        <v>17</v>
      </c>
      <c r="Q1362" s="76" t="s">
        <v>2142</v>
      </c>
      <c r="R1362" s="73">
        <f t="shared" si="131"/>
        <v>1</v>
      </c>
      <c r="S1362" s="260" t="s">
        <v>1976</v>
      </c>
      <c r="T1362" s="260" t="s">
        <v>925</v>
      </c>
      <c r="U1362" s="260"/>
      <c r="V1362" s="260"/>
      <c r="W1362" s="260"/>
      <c r="X1362" s="260"/>
      <c r="Y1362" s="565"/>
      <c r="Z1362" s="565"/>
      <c r="AA1362" s="566">
        <f t="shared" si="129"/>
        <v>0</v>
      </c>
      <c r="AB1362" s="699"/>
    </row>
    <row r="1363" spans="1:28" ht="15" customHeight="1" x14ac:dyDescent="0.3">
      <c r="A1363" s="96" t="s">
        <v>4453</v>
      </c>
      <c r="C1363" s="115">
        <v>43871</v>
      </c>
      <c r="D1363" s="312">
        <v>43909</v>
      </c>
      <c r="E1363" s="560"/>
      <c r="F1363" s="86" t="s">
        <v>4538</v>
      </c>
      <c r="G1363" s="86" t="s">
        <v>189</v>
      </c>
      <c r="H1363" s="96" t="s">
        <v>213</v>
      </c>
      <c r="I1363" s="97" t="s">
        <v>714</v>
      </c>
      <c r="J1363" s="73">
        <f t="shared" si="130"/>
        <v>1</v>
      </c>
      <c r="K1363" s="74" t="s">
        <v>204</v>
      </c>
      <c r="N1363" s="76" t="s">
        <v>18</v>
      </c>
      <c r="Q1363" s="76" t="s">
        <v>2076</v>
      </c>
      <c r="R1363" s="73">
        <f t="shared" si="131"/>
        <v>1</v>
      </c>
      <c r="S1363" s="260" t="s">
        <v>1976</v>
      </c>
      <c r="T1363" s="260" t="s">
        <v>924</v>
      </c>
      <c r="U1363" s="260"/>
      <c r="V1363" s="260"/>
      <c r="W1363" s="260"/>
      <c r="X1363" s="260"/>
      <c r="Y1363" s="565"/>
      <c r="Z1363" s="565"/>
      <c r="AA1363" s="566">
        <f t="shared" si="129"/>
        <v>0</v>
      </c>
      <c r="AB1363" s="699"/>
    </row>
    <row r="1364" spans="1:28" ht="15" customHeight="1" x14ac:dyDescent="0.3">
      <c r="A1364" s="96" t="s">
        <v>4763</v>
      </c>
      <c r="C1364" s="115">
        <v>43871</v>
      </c>
      <c r="D1364" s="312">
        <v>43909</v>
      </c>
      <c r="E1364" s="560"/>
      <c r="F1364" s="86" t="s">
        <v>4839</v>
      </c>
      <c r="G1364" s="86" t="s">
        <v>164</v>
      </c>
      <c r="H1364" s="96" t="s">
        <v>213</v>
      </c>
      <c r="I1364" s="97" t="s">
        <v>755</v>
      </c>
      <c r="J1364" s="73">
        <f t="shared" si="130"/>
        <v>1</v>
      </c>
      <c r="K1364" s="74" t="s">
        <v>204</v>
      </c>
      <c r="N1364" s="76" t="s">
        <v>18</v>
      </c>
      <c r="Q1364" s="76" t="s">
        <v>2109</v>
      </c>
      <c r="R1364" s="73">
        <f t="shared" si="131"/>
        <v>1</v>
      </c>
      <c r="S1364" s="260" t="s">
        <v>1976</v>
      </c>
      <c r="T1364" s="260" t="s">
        <v>923</v>
      </c>
      <c r="U1364" s="260"/>
      <c r="V1364" s="260"/>
      <c r="W1364" s="260"/>
      <c r="X1364" s="260"/>
      <c r="Y1364" s="565"/>
      <c r="Z1364" s="565"/>
      <c r="AA1364" s="566">
        <f t="shared" si="129"/>
        <v>0</v>
      </c>
      <c r="AB1364" s="699"/>
    </row>
    <row r="1365" spans="1:28" ht="15" customHeight="1" x14ac:dyDescent="0.3">
      <c r="A1365" s="96" t="s">
        <v>4456</v>
      </c>
      <c r="C1365" s="115">
        <v>43871</v>
      </c>
      <c r="D1365" s="312">
        <v>43909</v>
      </c>
      <c r="E1365" s="560"/>
      <c r="F1365" s="86" t="s">
        <v>4541</v>
      </c>
      <c r="G1365" s="86" t="s">
        <v>158</v>
      </c>
      <c r="H1365" s="96" t="s">
        <v>213</v>
      </c>
      <c r="J1365" s="73">
        <f t="shared" si="130"/>
        <v>1</v>
      </c>
      <c r="K1365" s="74" t="s">
        <v>204</v>
      </c>
      <c r="N1365" s="76" t="s">
        <v>18</v>
      </c>
      <c r="Q1365" s="76" t="s">
        <v>2109</v>
      </c>
      <c r="R1365" s="73">
        <f t="shared" si="131"/>
        <v>1</v>
      </c>
      <c r="S1365" s="260" t="s">
        <v>1976</v>
      </c>
      <c r="T1365" s="260" t="s">
        <v>923</v>
      </c>
      <c r="U1365" s="260"/>
      <c r="V1365" s="260"/>
      <c r="W1365" s="260"/>
      <c r="X1365" s="260"/>
      <c r="Y1365" s="565"/>
      <c r="Z1365" s="565"/>
      <c r="AA1365" s="566">
        <f t="shared" si="129"/>
        <v>0</v>
      </c>
      <c r="AB1365" s="699"/>
    </row>
    <row r="1366" spans="1:28" ht="15" customHeight="1" x14ac:dyDescent="0.3">
      <c r="A1366" s="79" t="s">
        <v>4458</v>
      </c>
      <c r="C1366" s="115">
        <v>43871</v>
      </c>
      <c r="D1366" s="312">
        <v>43908</v>
      </c>
      <c r="E1366" s="560"/>
      <c r="F1366" s="86" t="s">
        <v>4543</v>
      </c>
      <c r="G1366" s="86" t="s">
        <v>150</v>
      </c>
      <c r="H1366" s="96" t="s">
        <v>213</v>
      </c>
      <c r="I1366" s="97" t="s">
        <v>657</v>
      </c>
      <c r="J1366" s="73">
        <f t="shared" si="130"/>
        <v>1</v>
      </c>
      <c r="K1366" s="74" t="s">
        <v>204</v>
      </c>
      <c r="Q1366" s="76" t="s">
        <v>2076</v>
      </c>
      <c r="R1366" s="73">
        <f t="shared" si="131"/>
        <v>1</v>
      </c>
      <c r="S1366" s="260" t="s">
        <v>1976</v>
      </c>
      <c r="T1366" s="260"/>
      <c r="U1366" s="260" t="s">
        <v>5283</v>
      </c>
      <c r="V1366" s="260" t="s">
        <v>792</v>
      </c>
      <c r="W1366" s="260"/>
      <c r="X1366" s="260"/>
      <c r="Y1366" s="565"/>
      <c r="Z1366" s="565"/>
      <c r="AA1366" s="566">
        <f t="shared" si="129"/>
        <v>0</v>
      </c>
      <c r="AB1366" s="699"/>
    </row>
    <row r="1367" spans="1:28" ht="15" customHeight="1" x14ac:dyDescent="0.3">
      <c r="A1367" s="96" t="s">
        <v>4459</v>
      </c>
      <c r="C1367" s="115">
        <v>43872</v>
      </c>
      <c r="D1367" s="312">
        <v>43910</v>
      </c>
      <c r="E1367" s="560"/>
      <c r="F1367" s="86" t="s">
        <v>4544</v>
      </c>
      <c r="G1367" s="86" t="s">
        <v>150</v>
      </c>
      <c r="H1367" s="96" t="s">
        <v>213</v>
      </c>
      <c r="I1367" s="97" t="s">
        <v>657</v>
      </c>
      <c r="J1367" s="73">
        <f t="shared" si="130"/>
        <v>1</v>
      </c>
      <c r="K1367" s="74" t="s">
        <v>204</v>
      </c>
      <c r="N1367" s="76" t="s">
        <v>17</v>
      </c>
      <c r="Q1367" s="76" t="s">
        <v>2109</v>
      </c>
      <c r="R1367" s="73">
        <f t="shared" si="131"/>
        <v>1</v>
      </c>
      <c r="S1367" s="260" t="s">
        <v>1976</v>
      </c>
      <c r="T1367" s="260" t="s">
        <v>924</v>
      </c>
      <c r="U1367" s="260" t="s">
        <v>5283</v>
      </c>
      <c r="V1367" s="260" t="s">
        <v>12696</v>
      </c>
      <c r="W1367" s="260"/>
      <c r="X1367" s="260"/>
      <c r="Y1367" s="565"/>
      <c r="Z1367" s="565"/>
      <c r="AA1367" s="566">
        <f t="shared" si="129"/>
        <v>0</v>
      </c>
      <c r="AB1367" s="699"/>
    </row>
    <row r="1368" spans="1:28" ht="15" customHeight="1" x14ac:dyDescent="0.3">
      <c r="A1368" s="96" t="s">
        <v>4460</v>
      </c>
      <c r="C1368" s="115">
        <v>43872</v>
      </c>
      <c r="D1368" s="312">
        <v>43910</v>
      </c>
      <c r="E1368" s="560"/>
      <c r="F1368" s="86" t="s">
        <v>4545</v>
      </c>
      <c r="G1368" s="86" t="s">
        <v>410</v>
      </c>
      <c r="H1368" s="96" t="s">
        <v>213</v>
      </c>
      <c r="I1368" s="97" t="s">
        <v>722</v>
      </c>
      <c r="J1368" s="73">
        <f t="shared" si="130"/>
        <v>1</v>
      </c>
      <c r="K1368" s="74" t="s">
        <v>204</v>
      </c>
      <c r="N1368" s="76" t="s">
        <v>18</v>
      </c>
      <c r="Q1368" s="76" t="s">
        <v>2109</v>
      </c>
      <c r="R1368" s="73">
        <f t="shared" si="131"/>
        <v>1</v>
      </c>
      <c r="S1368" s="260" t="s">
        <v>1976</v>
      </c>
      <c r="T1368" s="260" t="s">
        <v>924</v>
      </c>
      <c r="U1368" s="260"/>
      <c r="V1368" s="260"/>
      <c r="W1368" s="260"/>
      <c r="X1368" s="260"/>
      <c r="Y1368" s="565"/>
      <c r="Z1368" s="565"/>
      <c r="AA1368" s="566">
        <f t="shared" si="129"/>
        <v>0</v>
      </c>
      <c r="AB1368" s="699"/>
    </row>
    <row r="1369" spans="1:28" ht="15" customHeight="1" x14ac:dyDescent="0.3">
      <c r="A1369" s="79" t="s">
        <v>4464</v>
      </c>
      <c r="C1369" s="115">
        <v>43872</v>
      </c>
      <c r="D1369" s="312">
        <v>43910</v>
      </c>
      <c r="E1369" s="560"/>
      <c r="F1369" s="86" t="s">
        <v>4549</v>
      </c>
      <c r="G1369" s="86" t="s">
        <v>2718</v>
      </c>
      <c r="H1369" s="96" t="s">
        <v>213</v>
      </c>
      <c r="I1369" s="97" t="s">
        <v>641</v>
      </c>
      <c r="J1369" s="73">
        <f t="shared" si="130"/>
        <v>1</v>
      </c>
      <c r="K1369" s="74" t="s">
        <v>204</v>
      </c>
      <c r="N1369" s="76" t="s">
        <v>18</v>
      </c>
      <c r="Q1369" s="76" t="s">
        <v>2037</v>
      </c>
      <c r="R1369" s="73">
        <f t="shared" si="131"/>
        <v>1</v>
      </c>
      <c r="S1369" s="260" t="s">
        <v>1976</v>
      </c>
      <c r="T1369" s="260" t="s">
        <v>924</v>
      </c>
      <c r="U1369" s="260"/>
      <c r="V1369" s="260"/>
      <c r="W1369" s="260"/>
      <c r="X1369" s="260"/>
      <c r="Y1369" s="565"/>
      <c r="Z1369" s="565"/>
      <c r="AA1369" s="566">
        <f t="shared" si="129"/>
        <v>0</v>
      </c>
      <c r="AB1369" s="699"/>
    </row>
    <row r="1370" spans="1:28" ht="15" customHeight="1" x14ac:dyDescent="0.3">
      <c r="A1370" s="79" t="s">
        <v>4465</v>
      </c>
      <c r="C1370" s="115">
        <v>43872</v>
      </c>
      <c r="D1370" s="312">
        <v>43909</v>
      </c>
      <c r="E1370" s="560"/>
      <c r="F1370" s="86" t="s">
        <v>4550</v>
      </c>
      <c r="G1370" s="86" t="s">
        <v>147</v>
      </c>
      <c r="H1370" s="96" t="s">
        <v>213</v>
      </c>
      <c r="I1370" s="97" t="s">
        <v>714</v>
      </c>
      <c r="J1370" s="73">
        <f t="shared" si="130"/>
        <v>1</v>
      </c>
      <c r="K1370" s="74" t="s">
        <v>204</v>
      </c>
      <c r="L1370" s="97"/>
      <c r="N1370" s="76" t="s">
        <v>17</v>
      </c>
      <c r="Q1370" s="76" t="s">
        <v>2037</v>
      </c>
      <c r="R1370" s="73">
        <f t="shared" si="131"/>
        <v>1</v>
      </c>
      <c r="S1370" s="260" t="s">
        <v>1976</v>
      </c>
      <c r="T1370" s="260" t="s">
        <v>923</v>
      </c>
      <c r="U1370" s="260"/>
      <c r="V1370" s="260"/>
      <c r="W1370" s="260"/>
      <c r="X1370" s="260"/>
      <c r="Y1370" s="565"/>
      <c r="Z1370" s="565"/>
      <c r="AA1370" s="566">
        <f t="shared" si="129"/>
        <v>0</v>
      </c>
      <c r="AB1370" s="699"/>
    </row>
    <row r="1371" spans="1:28" ht="15" customHeight="1" x14ac:dyDescent="0.3">
      <c r="A1371" s="96" t="s">
        <v>4466</v>
      </c>
      <c r="C1371" s="115">
        <v>43872</v>
      </c>
      <c r="D1371" s="312">
        <v>43910</v>
      </c>
      <c r="E1371" s="560"/>
      <c r="F1371" s="86" t="s">
        <v>4551</v>
      </c>
      <c r="G1371" s="86" t="s">
        <v>154</v>
      </c>
      <c r="H1371" s="96" t="s">
        <v>213</v>
      </c>
      <c r="I1371" s="97" t="s">
        <v>714</v>
      </c>
      <c r="J1371" s="73">
        <f t="shared" si="130"/>
        <v>1</v>
      </c>
      <c r="K1371" s="74" t="s">
        <v>204</v>
      </c>
      <c r="L1371" s="97" t="s">
        <v>4970</v>
      </c>
      <c r="N1371" s="76" t="s">
        <v>17</v>
      </c>
      <c r="Q1371" s="76" t="s">
        <v>2142</v>
      </c>
      <c r="R1371" s="73">
        <f t="shared" si="131"/>
        <v>1</v>
      </c>
      <c r="S1371" s="260" t="s">
        <v>1976</v>
      </c>
      <c r="T1371" s="260" t="s">
        <v>923</v>
      </c>
      <c r="U1371" s="260"/>
      <c r="V1371" s="260"/>
      <c r="W1371" s="260"/>
      <c r="X1371" s="260"/>
      <c r="Y1371" s="565"/>
      <c r="Z1371" s="565"/>
      <c r="AA1371" s="566">
        <f t="shared" si="129"/>
        <v>0</v>
      </c>
      <c r="AB1371" s="699"/>
    </row>
    <row r="1372" spans="1:28" ht="15" customHeight="1" x14ac:dyDescent="0.3">
      <c r="A1372" s="96" t="s">
        <v>4764</v>
      </c>
      <c r="C1372" s="115">
        <v>43872</v>
      </c>
      <c r="D1372" s="312">
        <v>43910</v>
      </c>
      <c r="E1372" s="560"/>
      <c r="F1372" s="86" t="s">
        <v>4840</v>
      </c>
      <c r="G1372" s="86" t="s">
        <v>150</v>
      </c>
      <c r="H1372" s="96" t="s">
        <v>213</v>
      </c>
      <c r="I1372" s="97" t="s">
        <v>642</v>
      </c>
      <c r="J1372" s="73">
        <f t="shared" si="130"/>
        <v>1</v>
      </c>
      <c r="K1372" s="74" t="s">
        <v>204</v>
      </c>
      <c r="N1372" s="76" t="s">
        <v>18</v>
      </c>
      <c r="Q1372" s="76" t="s">
        <v>2037</v>
      </c>
      <c r="R1372" s="73">
        <f t="shared" si="131"/>
        <v>1</v>
      </c>
      <c r="S1372" s="260" t="s">
        <v>1976</v>
      </c>
      <c r="T1372" s="260" t="s">
        <v>924</v>
      </c>
      <c r="U1372" s="260"/>
      <c r="V1372" s="260"/>
      <c r="W1372" s="260"/>
      <c r="X1372" s="260"/>
      <c r="Y1372" s="565"/>
      <c r="Z1372" s="565"/>
      <c r="AA1372" s="566">
        <f t="shared" si="129"/>
        <v>0</v>
      </c>
      <c r="AB1372" s="699"/>
    </row>
    <row r="1373" spans="1:28" ht="15" customHeight="1" x14ac:dyDescent="0.3">
      <c r="A1373" s="96" t="s">
        <v>4765</v>
      </c>
      <c r="C1373" s="115">
        <v>43872</v>
      </c>
      <c r="D1373" s="312">
        <v>43910</v>
      </c>
      <c r="E1373" s="560"/>
      <c r="F1373" s="86" t="s">
        <v>4841</v>
      </c>
      <c r="G1373" s="86" t="s">
        <v>147</v>
      </c>
      <c r="H1373" s="96" t="s">
        <v>213</v>
      </c>
      <c r="I1373" s="97" t="s">
        <v>3479</v>
      </c>
      <c r="J1373" s="73">
        <f t="shared" si="130"/>
        <v>1</v>
      </c>
      <c r="K1373" s="74" t="s">
        <v>204</v>
      </c>
      <c r="N1373" s="76" t="s">
        <v>18</v>
      </c>
      <c r="Q1373" s="76" t="s">
        <v>2076</v>
      </c>
      <c r="R1373" s="73">
        <f t="shared" si="131"/>
        <v>1</v>
      </c>
      <c r="S1373" s="260" t="s">
        <v>1976</v>
      </c>
      <c r="T1373" s="260" t="s">
        <v>924</v>
      </c>
      <c r="U1373" s="260"/>
      <c r="V1373" s="260"/>
      <c r="W1373" s="260"/>
      <c r="X1373" s="260"/>
      <c r="Y1373" s="565"/>
      <c r="Z1373" s="565"/>
      <c r="AA1373" s="566">
        <f t="shared" si="129"/>
        <v>0</v>
      </c>
      <c r="AB1373" s="699"/>
    </row>
    <row r="1374" spans="1:28" ht="15" customHeight="1" x14ac:dyDescent="0.3">
      <c r="A1374" s="96" t="s">
        <v>4469</v>
      </c>
      <c r="C1374" s="115">
        <v>43872</v>
      </c>
      <c r="D1374" s="312">
        <v>43909</v>
      </c>
      <c r="E1374" s="560"/>
      <c r="F1374" s="86" t="s">
        <v>4554</v>
      </c>
      <c r="G1374" s="86" t="s">
        <v>158</v>
      </c>
      <c r="H1374" s="96" t="s">
        <v>213</v>
      </c>
      <c r="I1374" s="97" t="s">
        <v>641</v>
      </c>
      <c r="J1374" s="73">
        <f t="shared" si="130"/>
        <v>1</v>
      </c>
      <c r="K1374" s="74" t="s">
        <v>204</v>
      </c>
      <c r="N1374" s="76" t="s">
        <v>17</v>
      </c>
      <c r="Q1374" s="76" t="s">
        <v>2142</v>
      </c>
      <c r="R1374" s="73">
        <f t="shared" si="131"/>
        <v>1</v>
      </c>
      <c r="S1374" s="260" t="s">
        <v>1976</v>
      </c>
      <c r="T1374" s="260" t="s">
        <v>923</v>
      </c>
      <c r="U1374" s="260"/>
      <c r="V1374" s="260"/>
      <c r="W1374" s="260"/>
      <c r="X1374" s="260"/>
      <c r="Y1374" s="565"/>
      <c r="Z1374" s="565"/>
      <c r="AA1374" s="566">
        <f t="shared" si="129"/>
        <v>0</v>
      </c>
      <c r="AB1374" s="699"/>
    </row>
    <row r="1375" spans="1:28" ht="15" customHeight="1" x14ac:dyDescent="0.3">
      <c r="A1375" s="79" t="s">
        <v>4472</v>
      </c>
      <c r="C1375" s="115">
        <v>43872</v>
      </c>
      <c r="D1375" s="312">
        <v>43910</v>
      </c>
      <c r="E1375" s="560"/>
      <c r="F1375" s="86" t="s">
        <v>4557</v>
      </c>
      <c r="G1375" s="86" t="s">
        <v>1682</v>
      </c>
      <c r="H1375" s="96" t="s">
        <v>213</v>
      </c>
      <c r="I1375" s="97" t="s">
        <v>714</v>
      </c>
      <c r="J1375" s="73">
        <f t="shared" si="130"/>
        <v>1</v>
      </c>
      <c r="K1375" s="74" t="s">
        <v>204</v>
      </c>
      <c r="N1375" s="76" t="s">
        <v>18</v>
      </c>
      <c r="Q1375" s="76" t="s">
        <v>2142</v>
      </c>
      <c r="R1375" s="73">
        <f t="shared" si="131"/>
        <v>1</v>
      </c>
      <c r="S1375" s="260" t="s">
        <v>1976</v>
      </c>
      <c r="T1375" s="260" t="s">
        <v>924</v>
      </c>
      <c r="U1375" s="260"/>
      <c r="V1375" s="260"/>
      <c r="W1375" s="260"/>
      <c r="X1375" s="260"/>
      <c r="Y1375" s="565"/>
      <c r="Z1375" s="565"/>
      <c r="AA1375" s="566">
        <f t="shared" si="129"/>
        <v>0</v>
      </c>
      <c r="AB1375" s="699"/>
    </row>
    <row r="1376" spans="1:28" ht="15" customHeight="1" x14ac:dyDescent="0.3">
      <c r="A1376" s="79" t="s">
        <v>4477</v>
      </c>
      <c r="C1376" s="115">
        <v>43873</v>
      </c>
      <c r="D1376" s="312">
        <v>43910</v>
      </c>
      <c r="E1376" s="560"/>
      <c r="F1376" s="86" t="s">
        <v>4562</v>
      </c>
      <c r="G1376" s="86" t="s">
        <v>150</v>
      </c>
      <c r="H1376" s="96" t="s">
        <v>213</v>
      </c>
      <c r="I1376" s="97" t="s">
        <v>714</v>
      </c>
      <c r="J1376" s="73">
        <f t="shared" si="130"/>
        <v>1</v>
      </c>
      <c r="K1376" s="74" t="s">
        <v>204</v>
      </c>
      <c r="N1376" s="76" t="s">
        <v>18</v>
      </c>
      <c r="Q1376" s="76" t="s">
        <v>2037</v>
      </c>
      <c r="R1376" s="73">
        <f t="shared" si="131"/>
        <v>1</v>
      </c>
      <c r="S1376" s="260" t="s">
        <v>1976</v>
      </c>
      <c r="T1376" s="260" t="s">
        <v>924</v>
      </c>
      <c r="U1376" s="260"/>
      <c r="V1376" s="260"/>
      <c r="W1376" s="260"/>
      <c r="X1376" s="260"/>
      <c r="Y1376" s="565"/>
      <c r="Z1376" s="565"/>
      <c r="AA1376" s="566">
        <f t="shared" si="129"/>
        <v>0</v>
      </c>
      <c r="AB1376" s="699"/>
    </row>
    <row r="1377" spans="1:28" ht="15" customHeight="1" x14ac:dyDescent="0.3">
      <c r="A1377" s="79" t="s">
        <v>4767</v>
      </c>
      <c r="C1377" s="115">
        <v>43880</v>
      </c>
      <c r="D1377" s="312">
        <v>43906</v>
      </c>
      <c r="E1377" s="560"/>
      <c r="F1377" s="86" t="s">
        <v>4843</v>
      </c>
      <c r="G1377" s="86" t="s">
        <v>156</v>
      </c>
      <c r="H1377" s="96" t="s">
        <v>213</v>
      </c>
      <c r="I1377" s="97" t="s">
        <v>622</v>
      </c>
      <c r="J1377" s="73">
        <f t="shared" si="130"/>
        <v>1</v>
      </c>
      <c r="K1377" s="74" t="s">
        <v>204</v>
      </c>
      <c r="L1377" s="97" t="s">
        <v>4910</v>
      </c>
      <c r="N1377" s="76" t="s">
        <v>19</v>
      </c>
      <c r="Q1377" s="76" t="s">
        <v>2076</v>
      </c>
      <c r="R1377" s="73">
        <f t="shared" si="131"/>
        <v>1</v>
      </c>
      <c r="S1377" s="260" t="s">
        <v>1976</v>
      </c>
      <c r="T1377" s="260"/>
      <c r="U1377" s="260"/>
      <c r="V1377" s="260"/>
      <c r="W1377" s="260"/>
      <c r="X1377" s="260"/>
      <c r="Y1377" s="565"/>
      <c r="Z1377" s="565"/>
      <c r="AA1377" s="566">
        <f t="shared" si="129"/>
        <v>0</v>
      </c>
      <c r="AB1377" s="699"/>
    </row>
    <row r="1378" spans="1:28" ht="15" customHeight="1" x14ac:dyDescent="0.3">
      <c r="A1378" s="96" t="s">
        <v>4768</v>
      </c>
      <c r="C1378" s="115">
        <v>43880</v>
      </c>
      <c r="D1378" s="312">
        <v>43906</v>
      </c>
      <c r="E1378" s="560"/>
      <c r="F1378" s="86" t="s">
        <v>4844</v>
      </c>
      <c r="G1378" s="86" t="s">
        <v>150</v>
      </c>
      <c r="H1378" s="96" t="s">
        <v>213</v>
      </c>
      <c r="I1378" s="97" t="s">
        <v>3475</v>
      </c>
      <c r="J1378" s="73">
        <f t="shared" si="130"/>
        <v>1</v>
      </c>
      <c r="K1378" s="74" t="s">
        <v>204</v>
      </c>
      <c r="L1378" s="97" t="s">
        <v>2189</v>
      </c>
      <c r="N1378" s="76" t="s">
        <v>19</v>
      </c>
      <c r="Q1378" s="76" t="s">
        <v>2109</v>
      </c>
      <c r="R1378" s="73">
        <f t="shared" si="131"/>
        <v>1</v>
      </c>
      <c r="S1378" s="260" t="s">
        <v>1976</v>
      </c>
      <c r="T1378" s="260"/>
      <c r="U1378" s="260"/>
      <c r="V1378" s="260"/>
      <c r="W1378" s="260"/>
      <c r="X1378" s="260"/>
      <c r="Y1378" s="565"/>
      <c r="Z1378" s="565"/>
      <c r="AA1378" s="566">
        <f t="shared" si="129"/>
        <v>0</v>
      </c>
      <c r="AB1378" s="699"/>
    </row>
    <row r="1379" spans="1:28" ht="15" customHeight="1" x14ac:dyDescent="0.3">
      <c r="A1379" s="79" t="s">
        <v>4775</v>
      </c>
      <c r="C1379" s="115">
        <v>43880</v>
      </c>
      <c r="D1379" s="312">
        <v>43906</v>
      </c>
      <c r="E1379" s="560"/>
      <c r="F1379" s="86" t="s">
        <v>4851</v>
      </c>
      <c r="G1379" s="86" t="s">
        <v>152</v>
      </c>
      <c r="H1379" s="96" t="s">
        <v>213</v>
      </c>
      <c r="I1379" s="97" t="s">
        <v>3187</v>
      </c>
      <c r="J1379" s="73">
        <f t="shared" si="130"/>
        <v>1</v>
      </c>
      <c r="K1379" s="74" t="s">
        <v>204</v>
      </c>
      <c r="N1379" s="76" t="s">
        <v>19</v>
      </c>
      <c r="Q1379" s="76" t="s">
        <v>2037</v>
      </c>
      <c r="R1379" s="73">
        <f t="shared" si="131"/>
        <v>1</v>
      </c>
      <c r="S1379" s="260" t="s">
        <v>1976</v>
      </c>
      <c r="T1379" s="260"/>
      <c r="U1379" s="260"/>
      <c r="V1379" s="260"/>
      <c r="W1379" s="260"/>
      <c r="X1379" s="260"/>
      <c r="Y1379" s="565"/>
      <c r="Z1379" s="565"/>
      <c r="AA1379" s="566">
        <f t="shared" si="129"/>
        <v>0</v>
      </c>
      <c r="AB1379" s="699"/>
    </row>
    <row r="1380" spans="1:28" ht="15" customHeight="1" x14ac:dyDescent="0.3">
      <c r="A1380" s="96" t="s">
        <v>4776</v>
      </c>
      <c r="C1380" s="115">
        <v>43880</v>
      </c>
      <c r="D1380" s="312">
        <v>43906</v>
      </c>
      <c r="E1380" s="560"/>
      <c r="F1380" s="86" t="s">
        <v>4852</v>
      </c>
      <c r="G1380" s="86" t="s">
        <v>152</v>
      </c>
      <c r="H1380" s="96" t="s">
        <v>213</v>
      </c>
      <c r="I1380" s="97" t="s">
        <v>2478</v>
      </c>
      <c r="J1380" s="73">
        <f t="shared" ref="J1380:J1403" si="132">IF(OR(K1380="Документы готовы",K1380="Запрос в ФО",K1380="ЭЗ",K1380="РЕШ",K1380="РЕШ шаблон"),0.1,IF(OR(K1380="ЭЗ согласование",K1380="РЕШ согласование"),0.3,IF(OR(K1380="ЭЗ согласовано",K1380="РЕШ согласовано",K1380="РЕШ подписано"),0.6,IF(OR(K1380="ЭЗ ПР согласование",K1380="РЕШ УВ согласование"),0.9,IF(OR(K1380="ЭЗ ПР DONE",K1380="РЕШ УВ DONE"),1,0)))))</f>
        <v>1</v>
      </c>
      <c r="K1380" s="74" t="s">
        <v>204</v>
      </c>
      <c r="N1380" s="76" t="s">
        <v>17</v>
      </c>
      <c r="Q1380" s="76" t="s">
        <v>2109</v>
      </c>
      <c r="R1380" s="73">
        <f t="shared" ref="R1380:R1403" si="133">IF(S1380="В работе",0.3,IF(S1380="Отписано",0.6,IF(S1380="На доработку",0.9,IF(S1380="Согласовано",1,0))))</f>
        <v>1</v>
      </c>
      <c r="S1380" s="260" t="s">
        <v>1976</v>
      </c>
      <c r="T1380" s="260"/>
      <c r="U1380" s="260"/>
      <c r="V1380" s="260"/>
      <c r="W1380" s="260" t="s">
        <v>4934</v>
      </c>
      <c r="X1380" s="260"/>
      <c r="Y1380" s="565"/>
      <c r="Z1380" s="565"/>
      <c r="AA1380" s="566">
        <f t="shared" si="129"/>
        <v>0</v>
      </c>
      <c r="AB1380" s="699"/>
    </row>
    <row r="1381" spans="1:28" ht="15" customHeight="1" x14ac:dyDescent="0.3">
      <c r="A1381" s="79" t="s">
        <v>4779</v>
      </c>
      <c r="C1381" s="115">
        <v>43880</v>
      </c>
      <c r="D1381" s="312">
        <v>43906</v>
      </c>
      <c r="E1381" s="560"/>
      <c r="F1381" s="86" t="s">
        <v>4855</v>
      </c>
      <c r="G1381" s="86" t="s">
        <v>158</v>
      </c>
      <c r="H1381" s="96" t="s">
        <v>213</v>
      </c>
      <c r="I1381" s="97" t="s">
        <v>2478</v>
      </c>
      <c r="J1381" s="73">
        <f t="shared" si="132"/>
        <v>1</v>
      </c>
      <c r="K1381" s="74" t="s">
        <v>204</v>
      </c>
      <c r="N1381" s="76" t="s">
        <v>17</v>
      </c>
      <c r="Q1381" s="76" t="s">
        <v>2076</v>
      </c>
      <c r="R1381" s="73">
        <f t="shared" si="133"/>
        <v>1</v>
      </c>
      <c r="S1381" s="260" t="s">
        <v>1976</v>
      </c>
      <c r="T1381" s="260"/>
      <c r="U1381" s="260"/>
      <c r="V1381" s="260"/>
      <c r="W1381" s="260"/>
      <c r="X1381" s="260"/>
      <c r="Y1381" s="565"/>
      <c r="Z1381" s="565"/>
      <c r="AA1381" s="566">
        <f t="shared" si="129"/>
        <v>0</v>
      </c>
      <c r="AB1381" s="699"/>
    </row>
    <row r="1382" spans="1:28" ht="15" customHeight="1" x14ac:dyDescent="0.3">
      <c r="A1382" s="96" t="s">
        <v>4782</v>
      </c>
      <c r="C1382" s="115">
        <v>43881</v>
      </c>
      <c r="D1382" s="312">
        <v>43907</v>
      </c>
      <c r="E1382" s="560"/>
      <c r="F1382" s="86" t="s">
        <v>4858</v>
      </c>
      <c r="G1382" s="86" t="s">
        <v>156</v>
      </c>
      <c r="H1382" s="96" t="s">
        <v>213</v>
      </c>
      <c r="I1382" s="97" t="s">
        <v>649</v>
      </c>
      <c r="J1382" s="73">
        <f t="shared" si="132"/>
        <v>1</v>
      </c>
      <c r="K1382" s="74" t="s">
        <v>204</v>
      </c>
      <c r="L1382" s="97" t="s">
        <v>4927</v>
      </c>
      <c r="N1382" s="76" t="s">
        <v>18</v>
      </c>
      <c r="Q1382" s="76" t="s">
        <v>2037</v>
      </c>
      <c r="R1382" s="73">
        <f t="shared" si="133"/>
        <v>1</v>
      </c>
      <c r="S1382" s="260" t="s">
        <v>1976</v>
      </c>
      <c r="T1382" s="260"/>
      <c r="U1382" s="260"/>
      <c r="V1382" s="260"/>
      <c r="W1382" s="260"/>
      <c r="X1382" s="260"/>
      <c r="Y1382" s="565"/>
      <c r="Z1382" s="565"/>
      <c r="AA1382" s="566">
        <f t="shared" si="129"/>
        <v>0</v>
      </c>
      <c r="AB1382" s="699"/>
    </row>
    <row r="1383" spans="1:28" ht="15" customHeight="1" x14ac:dyDescent="0.3">
      <c r="A1383" s="79" t="s">
        <v>4783</v>
      </c>
      <c r="C1383" s="115">
        <v>43881</v>
      </c>
      <c r="D1383" s="312">
        <v>43907</v>
      </c>
      <c r="E1383" s="560"/>
      <c r="F1383" s="86" t="s">
        <v>4859</v>
      </c>
      <c r="G1383" s="86" t="s">
        <v>172</v>
      </c>
      <c r="H1383" s="96" t="s">
        <v>213</v>
      </c>
      <c r="I1383" s="97" t="s">
        <v>995</v>
      </c>
      <c r="J1383" s="73">
        <f t="shared" si="132"/>
        <v>1</v>
      </c>
      <c r="K1383" s="74" t="s">
        <v>204</v>
      </c>
      <c r="L1383" s="97" t="s">
        <v>1745</v>
      </c>
      <c r="N1383" s="76" t="s">
        <v>19</v>
      </c>
      <c r="Q1383" s="76" t="s">
        <v>2076</v>
      </c>
      <c r="R1383" s="73">
        <f t="shared" si="133"/>
        <v>1</v>
      </c>
      <c r="S1383" s="260" t="s">
        <v>1976</v>
      </c>
      <c r="T1383" s="260"/>
      <c r="U1383" s="260"/>
      <c r="V1383" s="260"/>
      <c r="W1383" s="260"/>
      <c r="X1383" s="260"/>
      <c r="Y1383" s="565"/>
      <c r="Z1383" s="565"/>
      <c r="AA1383" s="566">
        <f t="shared" ref="AA1383:AA1437" si="134">Z1383-Y1383</f>
        <v>0</v>
      </c>
      <c r="AB1383" s="699"/>
    </row>
    <row r="1384" spans="1:28" ht="15" customHeight="1" x14ac:dyDescent="0.3">
      <c r="A1384" s="79" t="s">
        <v>4784</v>
      </c>
      <c r="C1384" s="115">
        <v>43881</v>
      </c>
      <c r="D1384" s="312">
        <v>43907</v>
      </c>
      <c r="E1384" s="560"/>
      <c r="F1384" s="86" t="s">
        <v>4860</v>
      </c>
      <c r="G1384" s="86" t="s">
        <v>189</v>
      </c>
      <c r="H1384" s="96" t="s">
        <v>213</v>
      </c>
      <c r="J1384" s="73">
        <f t="shared" si="132"/>
        <v>1</v>
      </c>
      <c r="K1384" s="74" t="s">
        <v>204</v>
      </c>
      <c r="Q1384" s="76" t="s">
        <v>2076</v>
      </c>
      <c r="R1384" s="73">
        <f t="shared" si="133"/>
        <v>1</v>
      </c>
      <c r="S1384" s="260" t="s">
        <v>1976</v>
      </c>
      <c r="T1384" s="260"/>
      <c r="U1384" s="260"/>
      <c r="V1384" s="260"/>
      <c r="W1384" s="260"/>
      <c r="X1384" s="260"/>
      <c r="Y1384" s="565"/>
      <c r="Z1384" s="565"/>
      <c r="AA1384" s="566">
        <f t="shared" si="134"/>
        <v>0</v>
      </c>
      <c r="AB1384" s="699"/>
    </row>
    <row r="1385" spans="1:28" ht="15" customHeight="1" x14ac:dyDescent="0.3">
      <c r="A1385" s="79" t="s">
        <v>4785</v>
      </c>
      <c r="C1385" s="115">
        <v>43881</v>
      </c>
      <c r="D1385" s="312">
        <v>43907</v>
      </c>
      <c r="E1385" s="560"/>
      <c r="F1385" s="86" t="s">
        <v>4861</v>
      </c>
      <c r="G1385" s="86" t="s">
        <v>150</v>
      </c>
      <c r="H1385" s="96" t="s">
        <v>213</v>
      </c>
      <c r="I1385" s="97" t="s">
        <v>649</v>
      </c>
      <c r="J1385" s="73">
        <f t="shared" si="132"/>
        <v>1</v>
      </c>
      <c r="K1385" s="74" t="s">
        <v>204</v>
      </c>
      <c r="N1385" s="76" t="s">
        <v>18</v>
      </c>
      <c r="Q1385" s="76" t="s">
        <v>2037</v>
      </c>
      <c r="R1385" s="73">
        <f t="shared" si="133"/>
        <v>1</v>
      </c>
      <c r="S1385" s="260" t="s">
        <v>1976</v>
      </c>
      <c r="T1385" s="260"/>
      <c r="U1385" s="260"/>
      <c r="V1385" s="260"/>
      <c r="W1385" s="260"/>
      <c r="X1385" s="260"/>
      <c r="Y1385" s="565"/>
      <c r="Z1385" s="565"/>
      <c r="AA1385" s="566">
        <f t="shared" si="134"/>
        <v>0</v>
      </c>
      <c r="AB1385" s="699"/>
    </row>
    <row r="1386" spans="1:28" ht="15" customHeight="1" x14ac:dyDescent="0.3">
      <c r="A1386" s="79" t="s">
        <v>4787</v>
      </c>
      <c r="C1386" s="115">
        <v>43881</v>
      </c>
      <c r="D1386" s="312">
        <v>43907</v>
      </c>
      <c r="E1386" s="560"/>
      <c r="F1386" s="86" t="s">
        <v>4863</v>
      </c>
      <c r="G1386" s="86" t="s">
        <v>156</v>
      </c>
      <c r="H1386" s="96" t="s">
        <v>213</v>
      </c>
      <c r="I1386" s="97" t="s">
        <v>649</v>
      </c>
      <c r="J1386" s="73">
        <f t="shared" si="132"/>
        <v>1</v>
      </c>
      <c r="K1386" s="74" t="s">
        <v>204</v>
      </c>
      <c r="N1386" s="76" t="s">
        <v>18</v>
      </c>
      <c r="Q1386" s="76" t="s">
        <v>2037</v>
      </c>
      <c r="R1386" s="73">
        <f t="shared" si="133"/>
        <v>1</v>
      </c>
      <c r="S1386" s="260" t="s">
        <v>1976</v>
      </c>
      <c r="T1386" s="260"/>
      <c r="U1386" s="260"/>
      <c r="V1386" s="260"/>
      <c r="W1386" s="260"/>
      <c r="X1386" s="260"/>
      <c r="Y1386" s="565"/>
      <c r="Z1386" s="565"/>
      <c r="AA1386" s="566">
        <f t="shared" si="134"/>
        <v>0</v>
      </c>
      <c r="AB1386" s="699"/>
    </row>
    <row r="1387" spans="1:28" ht="15" customHeight="1" x14ac:dyDescent="0.3">
      <c r="A1387" s="96" t="s">
        <v>4791</v>
      </c>
      <c r="C1387" s="115">
        <v>43882</v>
      </c>
      <c r="D1387" s="312">
        <v>43908</v>
      </c>
      <c r="E1387" s="560"/>
      <c r="F1387" s="86" t="s">
        <v>4867</v>
      </c>
      <c r="G1387" s="86" t="s">
        <v>150</v>
      </c>
      <c r="H1387" s="96" t="s">
        <v>213</v>
      </c>
      <c r="I1387" s="97" t="s">
        <v>722</v>
      </c>
      <c r="J1387" s="73">
        <f t="shared" si="132"/>
        <v>1</v>
      </c>
      <c r="K1387" s="74" t="s">
        <v>204</v>
      </c>
      <c r="N1387" s="76" t="s">
        <v>18</v>
      </c>
      <c r="Q1387" s="76" t="s">
        <v>2142</v>
      </c>
      <c r="R1387" s="73">
        <f t="shared" si="133"/>
        <v>1</v>
      </c>
      <c r="S1387" s="260" t="s">
        <v>1976</v>
      </c>
      <c r="T1387" s="260"/>
      <c r="U1387" s="260"/>
      <c r="V1387" s="260"/>
      <c r="W1387" s="260"/>
      <c r="X1387" s="260"/>
      <c r="Y1387" s="565"/>
      <c r="Z1387" s="565"/>
      <c r="AA1387" s="566">
        <f t="shared" si="134"/>
        <v>0</v>
      </c>
      <c r="AB1387" s="699"/>
    </row>
    <row r="1388" spans="1:28" ht="15" customHeight="1" x14ac:dyDescent="0.3">
      <c r="A1388" s="96" t="s">
        <v>4794</v>
      </c>
      <c r="C1388" s="115">
        <v>43882</v>
      </c>
      <c r="D1388" s="312">
        <v>43908</v>
      </c>
      <c r="E1388" s="560"/>
      <c r="F1388" s="86" t="s">
        <v>4870</v>
      </c>
      <c r="G1388" s="86" t="s">
        <v>181</v>
      </c>
      <c r="H1388" s="96" t="s">
        <v>213</v>
      </c>
      <c r="I1388" s="97" t="s">
        <v>622</v>
      </c>
      <c r="J1388" s="73">
        <f t="shared" si="132"/>
        <v>1</v>
      </c>
      <c r="K1388" s="74" t="s">
        <v>204</v>
      </c>
      <c r="N1388" s="76" t="s">
        <v>19</v>
      </c>
      <c r="Q1388" s="76" t="s">
        <v>2109</v>
      </c>
      <c r="R1388" s="73">
        <f t="shared" si="133"/>
        <v>1</v>
      </c>
      <c r="S1388" s="260" t="s">
        <v>1976</v>
      </c>
      <c r="T1388" s="260"/>
      <c r="U1388" s="260" t="s">
        <v>5283</v>
      </c>
      <c r="V1388" s="260" t="s">
        <v>12695</v>
      </c>
      <c r="W1388" s="260"/>
      <c r="X1388" s="260"/>
      <c r="Y1388" s="565"/>
      <c r="Z1388" s="565"/>
      <c r="AA1388" s="566">
        <f t="shared" si="134"/>
        <v>0</v>
      </c>
      <c r="AB1388" s="699"/>
    </row>
    <row r="1389" spans="1:28" ht="15" customHeight="1" x14ac:dyDescent="0.3">
      <c r="A1389" s="96" t="s">
        <v>4796</v>
      </c>
      <c r="C1389" s="115">
        <v>43882</v>
      </c>
      <c r="D1389" s="312">
        <v>43908</v>
      </c>
      <c r="E1389" s="560"/>
      <c r="F1389" s="86" t="s">
        <v>4872</v>
      </c>
      <c r="G1389" s="86" t="s">
        <v>152</v>
      </c>
      <c r="H1389" s="96" t="s">
        <v>213</v>
      </c>
      <c r="I1389" s="97" t="s">
        <v>1113</v>
      </c>
      <c r="J1389" s="73">
        <f t="shared" si="132"/>
        <v>1</v>
      </c>
      <c r="K1389" s="74" t="s">
        <v>204</v>
      </c>
      <c r="N1389" s="76" t="s">
        <v>18</v>
      </c>
      <c r="Q1389" s="76" t="s">
        <v>2037</v>
      </c>
      <c r="R1389" s="73">
        <f t="shared" si="133"/>
        <v>1</v>
      </c>
      <c r="S1389" s="260" t="s">
        <v>1976</v>
      </c>
      <c r="T1389" s="260"/>
      <c r="U1389" s="260"/>
      <c r="V1389" s="260"/>
      <c r="W1389" s="260"/>
      <c r="X1389" s="260"/>
      <c r="Y1389" s="565"/>
      <c r="Z1389" s="565"/>
      <c r="AA1389" s="566">
        <f t="shared" si="134"/>
        <v>0</v>
      </c>
      <c r="AB1389" s="699"/>
    </row>
    <row r="1390" spans="1:28" ht="15" customHeight="1" x14ac:dyDescent="0.3">
      <c r="A1390" s="96" t="s">
        <v>4799</v>
      </c>
      <c r="C1390" s="115">
        <v>43882</v>
      </c>
      <c r="D1390" s="312">
        <v>43908</v>
      </c>
      <c r="E1390" s="560"/>
      <c r="F1390" s="86" t="s">
        <v>4875</v>
      </c>
      <c r="G1390" s="86" t="s">
        <v>152</v>
      </c>
      <c r="H1390" s="96" t="s">
        <v>213</v>
      </c>
      <c r="I1390" s="97" t="s">
        <v>3187</v>
      </c>
      <c r="J1390" s="73">
        <f t="shared" si="132"/>
        <v>1</v>
      </c>
      <c r="K1390" s="74" t="s">
        <v>204</v>
      </c>
      <c r="L1390" s="97" t="s">
        <v>5707</v>
      </c>
      <c r="N1390" s="76" t="s">
        <v>19</v>
      </c>
      <c r="Q1390" s="76" t="s">
        <v>2037</v>
      </c>
      <c r="R1390" s="73">
        <f t="shared" si="133"/>
        <v>1</v>
      </c>
      <c r="S1390" s="260" t="s">
        <v>1976</v>
      </c>
      <c r="T1390" s="260"/>
      <c r="U1390" s="260" t="s">
        <v>5283</v>
      </c>
      <c r="V1390" s="260" t="s">
        <v>12694</v>
      </c>
      <c r="W1390" s="260"/>
      <c r="X1390" s="260"/>
      <c r="Y1390" s="565"/>
      <c r="Z1390" s="565"/>
      <c r="AA1390" s="566">
        <f t="shared" si="134"/>
        <v>0</v>
      </c>
      <c r="AB1390" s="699"/>
    </row>
    <row r="1391" spans="1:28" ht="15" customHeight="1" x14ac:dyDescent="0.3">
      <c r="A1391" s="79" t="s">
        <v>4800</v>
      </c>
      <c r="C1391" s="115">
        <v>43882</v>
      </c>
      <c r="D1391" s="312">
        <v>43908</v>
      </c>
      <c r="E1391" s="560"/>
      <c r="F1391" s="86" t="s">
        <v>4876</v>
      </c>
      <c r="G1391" s="86" t="s">
        <v>189</v>
      </c>
      <c r="H1391" s="96" t="s">
        <v>213</v>
      </c>
      <c r="I1391" s="97" t="s">
        <v>3794</v>
      </c>
      <c r="J1391" s="73">
        <f t="shared" si="132"/>
        <v>1</v>
      </c>
      <c r="K1391" s="74" t="s">
        <v>204</v>
      </c>
      <c r="N1391" s="76" t="s">
        <v>18</v>
      </c>
      <c r="Q1391" s="76" t="s">
        <v>2076</v>
      </c>
      <c r="R1391" s="73">
        <f t="shared" si="133"/>
        <v>1</v>
      </c>
      <c r="S1391" s="260" t="s">
        <v>1976</v>
      </c>
      <c r="T1391" s="260"/>
      <c r="U1391" s="260"/>
      <c r="V1391" s="260"/>
      <c r="W1391" s="260"/>
      <c r="X1391" s="260"/>
      <c r="Y1391" s="565"/>
      <c r="Z1391" s="565"/>
      <c r="AA1391" s="566">
        <f t="shared" si="134"/>
        <v>0</v>
      </c>
      <c r="AB1391" s="699"/>
    </row>
    <row r="1392" spans="1:28" ht="15" customHeight="1" x14ac:dyDescent="0.3">
      <c r="A1392" s="96" t="s">
        <v>4801</v>
      </c>
      <c r="C1392" s="115">
        <v>43882</v>
      </c>
      <c r="D1392" s="312">
        <v>43908</v>
      </c>
      <c r="E1392" s="560"/>
      <c r="F1392" s="86" t="s">
        <v>4877</v>
      </c>
      <c r="G1392" s="86" t="s">
        <v>152</v>
      </c>
      <c r="H1392" s="96" t="s">
        <v>213</v>
      </c>
      <c r="I1392" s="97" t="s">
        <v>2478</v>
      </c>
      <c r="J1392" s="73">
        <f t="shared" si="132"/>
        <v>1</v>
      </c>
      <c r="K1392" s="74" t="s">
        <v>204</v>
      </c>
      <c r="N1392" s="76" t="s">
        <v>18</v>
      </c>
      <c r="Q1392" s="76" t="s">
        <v>2109</v>
      </c>
      <c r="R1392" s="73">
        <f t="shared" si="133"/>
        <v>1</v>
      </c>
      <c r="S1392" s="260" t="s">
        <v>1976</v>
      </c>
      <c r="T1392" s="260"/>
      <c r="U1392" s="260" t="s">
        <v>5283</v>
      </c>
      <c r="V1392" s="260" t="s">
        <v>12693</v>
      </c>
      <c r="W1392" s="260"/>
      <c r="X1392" s="260"/>
      <c r="Y1392" s="565"/>
      <c r="Z1392" s="565"/>
      <c r="AA1392" s="566">
        <f t="shared" si="134"/>
        <v>0</v>
      </c>
      <c r="AB1392" s="699"/>
    </row>
    <row r="1393" spans="1:28" ht="15" customHeight="1" x14ac:dyDescent="0.3">
      <c r="A1393" s="96" t="s">
        <v>4802</v>
      </c>
      <c r="C1393" s="115">
        <v>43886</v>
      </c>
      <c r="D1393" s="312">
        <v>43909</v>
      </c>
      <c r="E1393" s="560"/>
      <c r="F1393" s="86" t="s">
        <v>4878</v>
      </c>
      <c r="G1393" s="86" t="s">
        <v>152</v>
      </c>
      <c r="H1393" s="96" t="s">
        <v>213</v>
      </c>
      <c r="I1393" s="97" t="s">
        <v>1113</v>
      </c>
      <c r="J1393" s="73">
        <f t="shared" si="132"/>
        <v>1</v>
      </c>
      <c r="K1393" s="74" t="s">
        <v>204</v>
      </c>
      <c r="N1393" s="76" t="s">
        <v>18</v>
      </c>
      <c r="Q1393" s="76" t="s">
        <v>2076</v>
      </c>
      <c r="R1393" s="73">
        <f t="shared" si="133"/>
        <v>1</v>
      </c>
      <c r="S1393" s="260" t="s">
        <v>1976</v>
      </c>
      <c r="T1393" s="260" t="s">
        <v>925</v>
      </c>
      <c r="U1393" s="260"/>
      <c r="V1393" s="260"/>
      <c r="W1393" s="260"/>
      <c r="X1393" s="260"/>
      <c r="Y1393" s="565"/>
      <c r="Z1393" s="565"/>
      <c r="AA1393" s="566">
        <f t="shared" si="134"/>
        <v>0</v>
      </c>
      <c r="AB1393" s="699"/>
    </row>
    <row r="1394" spans="1:28" ht="15" customHeight="1" x14ac:dyDescent="0.3">
      <c r="A1394" s="96" t="s">
        <v>4804</v>
      </c>
      <c r="C1394" s="115">
        <v>43886</v>
      </c>
      <c r="D1394" s="312">
        <v>43909</v>
      </c>
      <c r="E1394" s="560"/>
      <c r="F1394" s="86" t="s">
        <v>4880</v>
      </c>
      <c r="G1394" s="86" t="s">
        <v>410</v>
      </c>
      <c r="H1394" s="96" t="s">
        <v>213</v>
      </c>
      <c r="I1394" s="97" t="s">
        <v>649</v>
      </c>
      <c r="J1394" s="73">
        <f t="shared" si="132"/>
        <v>1</v>
      </c>
      <c r="K1394" s="74" t="s">
        <v>204</v>
      </c>
      <c r="N1394" s="76" t="s">
        <v>17</v>
      </c>
      <c r="Q1394" s="76" t="s">
        <v>2037</v>
      </c>
      <c r="R1394" s="73">
        <f t="shared" si="133"/>
        <v>1</v>
      </c>
      <c r="S1394" s="260" t="s">
        <v>1976</v>
      </c>
      <c r="T1394" s="260" t="s">
        <v>925</v>
      </c>
      <c r="U1394" s="260"/>
      <c r="V1394" s="260"/>
      <c r="W1394" s="260"/>
      <c r="X1394" s="260"/>
      <c r="Y1394" s="565"/>
      <c r="Z1394" s="565"/>
      <c r="AA1394" s="566">
        <f t="shared" si="134"/>
        <v>0</v>
      </c>
      <c r="AB1394" s="699"/>
    </row>
    <row r="1395" spans="1:28" ht="15" customHeight="1" x14ac:dyDescent="0.3">
      <c r="A1395" s="79" t="s">
        <v>4806</v>
      </c>
      <c r="C1395" s="115">
        <v>43886</v>
      </c>
      <c r="D1395" s="312">
        <v>43909</v>
      </c>
      <c r="E1395" s="560"/>
      <c r="F1395" s="86" t="s">
        <v>4882</v>
      </c>
      <c r="G1395" s="86" t="s">
        <v>152</v>
      </c>
      <c r="H1395" s="96" t="s">
        <v>213</v>
      </c>
      <c r="I1395" s="97" t="s">
        <v>1284</v>
      </c>
      <c r="J1395" s="73">
        <f t="shared" si="132"/>
        <v>1</v>
      </c>
      <c r="K1395" s="74" t="s">
        <v>204</v>
      </c>
      <c r="N1395" s="76" t="s">
        <v>19</v>
      </c>
      <c r="Q1395" s="76" t="s">
        <v>2142</v>
      </c>
      <c r="R1395" s="73">
        <f t="shared" si="133"/>
        <v>1</v>
      </c>
      <c r="S1395" s="260" t="s">
        <v>1976</v>
      </c>
      <c r="T1395" s="260" t="s">
        <v>924</v>
      </c>
      <c r="U1395" s="260"/>
      <c r="V1395" s="260"/>
      <c r="W1395" s="260"/>
      <c r="X1395" s="260"/>
      <c r="Y1395" s="565"/>
      <c r="Z1395" s="565"/>
      <c r="AA1395" s="566">
        <f t="shared" si="134"/>
        <v>0</v>
      </c>
      <c r="AB1395" s="699"/>
    </row>
    <row r="1396" spans="1:28" ht="15" customHeight="1" x14ac:dyDescent="0.3">
      <c r="A1396" s="96" t="s">
        <v>4808</v>
      </c>
      <c r="C1396" s="115">
        <v>43886</v>
      </c>
      <c r="D1396" s="312">
        <v>43909</v>
      </c>
      <c r="E1396" s="560"/>
      <c r="F1396" s="86" t="s">
        <v>4884</v>
      </c>
      <c r="G1396" s="86" t="s">
        <v>154</v>
      </c>
      <c r="H1396" s="96" t="s">
        <v>213</v>
      </c>
      <c r="I1396" s="97" t="s">
        <v>4961</v>
      </c>
      <c r="J1396" s="73">
        <f t="shared" si="132"/>
        <v>1</v>
      </c>
      <c r="K1396" s="74" t="s">
        <v>204</v>
      </c>
      <c r="N1396" s="76" t="s">
        <v>17</v>
      </c>
      <c r="Q1396" s="76" t="s">
        <v>2076</v>
      </c>
      <c r="R1396" s="73">
        <f t="shared" si="133"/>
        <v>1</v>
      </c>
      <c r="S1396" s="260" t="s">
        <v>1976</v>
      </c>
      <c r="T1396" s="260" t="s">
        <v>925</v>
      </c>
      <c r="U1396" s="260"/>
      <c r="V1396" s="260"/>
      <c r="W1396" s="260"/>
      <c r="X1396" s="260"/>
      <c r="Y1396" s="565"/>
      <c r="Z1396" s="565"/>
      <c r="AA1396" s="566">
        <f t="shared" si="134"/>
        <v>0</v>
      </c>
      <c r="AB1396" s="699"/>
    </row>
    <row r="1397" spans="1:28" ht="15" customHeight="1" x14ac:dyDescent="0.3">
      <c r="A1397" s="96" t="s">
        <v>4813</v>
      </c>
      <c r="C1397" s="115">
        <v>43886</v>
      </c>
      <c r="D1397" s="312">
        <v>43908</v>
      </c>
      <c r="E1397" s="560"/>
      <c r="F1397" s="86" t="s">
        <v>4889</v>
      </c>
      <c r="G1397" s="86" t="s">
        <v>172</v>
      </c>
      <c r="H1397" s="96" t="s">
        <v>213</v>
      </c>
      <c r="I1397" s="97" t="s">
        <v>1113</v>
      </c>
      <c r="J1397" s="73">
        <f t="shared" si="132"/>
        <v>1</v>
      </c>
      <c r="K1397" s="74" t="s">
        <v>204</v>
      </c>
      <c r="N1397" s="76" t="s">
        <v>18</v>
      </c>
      <c r="Q1397" s="76" t="s">
        <v>2037</v>
      </c>
      <c r="R1397" s="73">
        <f t="shared" si="133"/>
        <v>1</v>
      </c>
      <c r="S1397" s="260" t="s">
        <v>1976</v>
      </c>
      <c r="T1397" s="260"/>
      <c r="U1397" s="260"/>
      <c r="V1397" s="260"/>
      <c r="W1397" s="260"/>
      <c r="X1397" s="260"/>
      <c r="Y1397" s="565"/>
      <c r="Z1397" s="565"/>
      <c r="AA1397" s="566">
        <f t="shared" si="134"/>
        <v>0</v>
      </c>
      <c r="AB1397" s="699"/>
    </row>
    <row r="1398" spans="1:28" ht="15" customHeight="1" x14ac:dyDescent="0.3">
      <c r="A1398" s="96" t="s">
        <v>4814</v>
      </c>
      <c r="C1398" s="115">
        <v>43886</v>
      </c>
      <c r="D1398" s="312">
        <v>43909</v>
      </c>
      <c r="E1398" s="560"/>
      <c r="F1398" s="86" t="s">
        <v>4890</v>
      </c>
      <c r="G1398" s="86" t="s">
        <v>172</v>
      </c>
      <c r="H1398" s="96" t="s">
        <v>213</v>
      </c>
      <c r="I1398" s="97" t="s">
        <v>1113</v>
      </c>
      <c r="J1398" s="73">
        <f t="shared" si="132"/>
        <v>1</v>
      </c>
      <c r="K1398" s="74" t="s">
        <v>204</v>
      </c>
      <c r="N1398" s="76" t="s">
        <v>18</v>
      </c>
      <c r="Q1398" s="76" t="s">
        <v>2142</v>
      </c>
      <c r="R1398" s="73">
        <f t="shared" si="133"/>
        <v>1</v>
      </c>
      <c r="S1398" s="260" t="s">
        <v>1976</v>
      </c>
      <c r="T1398" s="260" t="s">
        <v>925</v>
      </c>
      <c r="U1398" s="260"/>
      <c r="V1398" s="260"/>
      <c r="W1398" s="260"/>
      <c r="X1398" s="260"/>
      <c r="Y1398" s="565"/>
      <c r="Z1398" s="565"/>
      <c r="AA1398" s="566">
        <f t="shared" si="134"/>
        <v>0</v>
      </c>
      <c r="AB1398" s="699"/>
    </row>
    <row r="1399" spans="1:28" ht="15" customHeight="1" x14ac:dyDescent="0.3">
      <c r="A1399" s="96" t="s">
        <v>4815</v>
      </c>
      <c r="C1399" s="115">
        <v>43886</v>
      </c>
      <c r="D1399" s="312">
        <v>43909</v>
      </c>
      <c r="E1399" s="560"/>
      <c r="F1399" s="86" t="s">
        <v>4891</v>
      </c>
      <c r="G1399" s="86" t="s">
        <v>166</v>
      </c>
      <c r="H1399" s="96" t="s">
        <v>213</v>
      </c>
      <c r="I1399" s="97" t="s">
        <v>658</v>
      </c>
      <c r="J1399" s="73">
        <f t="shared" si="132"/>
        <v>1</v>
      </c>
      <c r="K1399" s="74" t="s">
        <v>204</v>
      </c>
      <c r="N1399" s="76" t="s">
        <v>18</v>
      </c>
      <c r="Q1399" s="76" t="s">
        <v>2142</v>
      </c>
      <c r="R1399" s="73">
        <f t="shared" si="133"/>
        <v>1</v>
      </c>
      <c r="S1399" s="260" t="s">
        <v>1976</v>
      </c>
      <c r="T1399" s="260" t="s">
        <v>924</v>
      </c>
      <c r="U1399" s="260"/>
      <c r="V1399" s="260"/>
      <c r="W1399" s="260"/>
      <c r="X1399" s="260"/>
      <c r="Y1399" s="565"/>
      <c r="Z1399" s="565"/>
      <c r="AA1399" s="566">
        <f t="shared" si="134"/>
        <v>0</v>
      </c>
      <c r="AB1399" s="699"/>
    </row>
    <row r="1400" spans="1:28" ht="15" customHeight="1" x14ac:dyDescent="0.3">
      <c r="A1400" s="96" t="s">
        <v>4816</v>
      </c>
      <c r="C1400" s="115">
        <v>43886</v>
      </c>
      <c r="D1400" s="312">
        <v>43909</v>
      </c>
      <c r="E1400" s="560"/>
      <c r="F1400" s="86" t="s">
        <v>4892</v>
      </c>
      <c r="G1400" s="86" t="s">
        <v>152</v>
      </c>
      <c r="H1400" s="96" t="s">
        <v>213</v>
      </c>
      <c r="I1400" s="97" t="s">
        <v>1113</v>
      </c>
      <c r="J1400" s="73">
        <f t="shared" si="132"/>
        <v>1</v>
      </c>
      <c r="K1400" s="74" t="s">
        <v>204</v>
      </c>
      <c r="N1400" s="76" t="s">
        <v>18</v>
      </c>
      <c r="Q1400" s="76" t="s">
        <v>2109</v>
      </c>
      <c r="R1400" s="73">
        <f t="shared" si="133"/>
        <v>1</v>
      </c>
      <c r="S1400" s="260" t="s">
        <v>1976</v>
      </c>
      <c r="T1400" s="260" t="s">
        <v>924</v>
      </c>
      <c r="U1400" s="260"/>
      <c r="V1400" s="260"/>
      <c r="W1400" s="260"/>
      <c r="X1400" s="260"/>
      <c r="Y1400" s="565"/>
      <c r="Z1400" s="565"/>
      <c r="AA1400" s="566">
        <f t="shared" si="134"/>
        <v>0</v>
      </c>
      <c r="AB1400" s="699"/>
    </row>
    <row r="1401" spans="1:28" ht="15" customHeight="1" x14ac:dyDescent="0.3">
      <c r="A1401" s="96" t="s">
        <v>4820</v>
      </c>
      <c r="C1401" s="115">
        <v>43886</v>
      </c>
      <c r="D1401" s="312">
        <v>43909</v>
      </c>
      <c r="E1401" s="560"/>
      <c r="F1401" s="86" t="s">
        <v>4896</v>
      </c>
      <c r="G1401" s="86" t="s">
        <v>152</v>
      </c>
      <c r="H1401" s="96" t="s">
        <v>213</v>
      </c>
      <c r="I1401" s="97" t="s">
        <v>649</v>
      </c>
      <c r="J1401" s="73">
        <f t="shared" si="132"/>
        <v>1</v>
      </c>
      <c r="K1401" s="74" t="s">
        <v>204</v>
      </c>
      <c r="N1401" s="76" t="s">
        <v>18</v>
      </c>
      <c r="Q1401" s="76" t="s">
        <v>2037</v>
      </c>
      <c r="R1401" s="73">
        <f t="shared" si="133"/>
        <v>1</v>
      </c>
      <c r="S1401" s="260" t="s">
        <v>1976</v>
      </c>
      <c r="T1401" s="260" t="s">
        <v>924</v>
      </c>
      <c r="U1401" s="260"/>
      <c r="V1401" s="260"/>
      <c r="W1401" s="260"/>
      <c r="X1401" s="260"/>
      <c r="Y1401" s="565"/>
      <c r="Z1401" s="565"/>
      <c r="AA1401" s="566">
        <f t="shared" si="134"/>
        <v>0</v>
      </c>
      <c r="AB1401" s="699"/>
    </row>
    <row r="1402" spans="1:28" ht="15" customHeight="1" x14ac:dyDescent="0.3">
      <c r="A1402" s="96" t="s">
        <v>4827</v>
      </c>
      <c r="C1402" s="115">
        <v>43887</v>
      </c>
      <c r="D1402" s="312">
        <v>43910</v>
      </c>
      <c r="E1402" s="560"/>
      <c r="F1402" s="86" t="s">
        <v>4903</v>
      </c>
      <c r="G1402" s="86" t="s">
        <v>152</v>
      </c>
      <c r="H1402" s="96" t="s">
        <v>213</v>
      </c>
      <c r="I1402" s="97" t="s">
        <v>2478</v>
      </c>
      <c r="J1402" s="73">
        <f t="shared" si="132"/>
        <v>1</v>
      </c>
      <c r="K1402" s="74" t="s">
        <v>204</v>
      </c>
      <c r="N1402" s="76" t="s">
        <v>18</v>
      </c>
      <c r="Q1402" s="76" t="s">
        <v>2076</v>
      </c>
      <c r="R1402" s="73">
        <f t="shared" si="133"/>
        <v>1</v>
      </c>
      <c r="S1402" s="260" t="s">
        <v>1976</v>
      </c>
      <c r="T1402" s="260" t="s">
        <v>925</v>
      </c>
      <c r="U1402" s="260"/>
      <c r="V1402" s="260"/>
      <c r="W1402" s="260"/>
      <c r="X1402" s="260"/>
      <c r="Y1402" s="565"/>
      <c r="Z1402" s="565"/>
      <c r="AA1402" s="566">
        <f t="shared" si="134"/>
        <v>0</v>
      </c>
      <c r="AB1402" s="699"/>
    </row>
    <row r="1403" spans="1:28" ht="15" customHeight="1" x14ac:dyDescent="0.3">
      <c r="A1403" s="79" t="s">
        <v>4828</v>
      </c>
      <c r="C1403" s="115">
        <v>43887</v>
      </c>
      <c r="D1403" s="312">
        <v>43910</v>
      </c>
      <c r="E1403" s="560"/>
      <c r="F1403" s="86" t="s">
        <v>4904</v>
      </c>
      <c r="G1403" s="86" t="s">
        <v>154</v>
      </c>
      <c r="H1403" s="96" t="s">
        <v>213</v>
      </c>
      <c r="I1403" s="97" t="s">
        <v>4963</v>
      </c>
      <c r="J1403" s="73">
        <f t="shared" si="132"/>
        <v>1</v>
      </c>
      <c r="K1403" s="74" t="s">
        <v>204</v>
      </c>
      <c r="L1403" s="97" t="s">
        <v>4962</v>
      </c>
      <c r="N1403" s="76" t="s">
        <v>19</v>
      </c>
      <c r="Q1403" s="76" t="s">
        <v>2037</v>
      </c>
      <c r="R1403" s="73">
        <f t="shared" si="133"/>
        <v>1</v>
      </c>
      <c r="S1403" s="260" t="s">
        <v>1976</v>
      </c>
      <c r="T1403" s="260" t="s">
        <v>923</v>
      </c>
      <c r="U1403" s="260"/>
      <c r="V1403" s="260"/>
      <c r="W1403" s="260"/>
      <c r="X1403" s="260"/>
      <c r="Y1403" s="565"/>
      <c r="Z1403" s="565"/>
      <c r="AA1403" s="566">
        <f t="shared" si="134"/>
        <v>0</v>
      </c>
      <c r="AB1403" s="699"/>
    </row>
    <row r="1404" spans="1:28" ht="15" customHeight="1" x14ac:dyDescent="0.3">
      <c r="A1404" s="96" t="s">
        <v>4929</v>
      </c>
      <c r="C1404" s="81">
        <v>43881</v>
      </c>
      <c r="D1404" s="109">
        <v>43907</v>
      </c>
      <c r="E1404" s="560"/>
      <c r="F1404" s="97" t="s">
        <v>4930</v>
      </c>
      <c r="G1404" s="97" t="s">
        <v>152</v>
      </c>
      <c r="H1404" s="96" t="s">
        <v>213</v>
      </c>
      <c r="I1404" s="97" t="s">
        <v>4939</v>
      </c>
      <c r="J1404" s="73">
        <f t="shared" ref="J1404:J1459" si="135">IF(OR(K1404="Документы готовы",K1404="Запрос в ФО",K1404="ЭЗ",K1404="РЕШ",K1404="РЕШ шаблон"),0.1,IF(OR(K1404="ЭЗ согласование",K1404="РЕШ согласование"),0.3,IF(OR(K1404="ЭЗ согласовано",K1404="РЕШ согласовано",K1404="РЕШ подписано"),0.6,IF(OR(K1404="ЭЗ ПР согласование",K1404="РЕШ УВ согласование"),0.9,IF(OR(K1404="ЭЗ ПР DONE",K1404="РЕШ УВ DONE"),1,0)))))</f>
        <v>1</v>
      </c>
      <c r="K1404" s="74" t="s">
        <v>204</v>
      </c>
      <c r="N1404" s="76" t="s">
        <v>19</v>
      </c>
      <c r="Q1404" s="301" t="s">
        <v>2037</v>
      </c>
      <c r="R1404" s="73">
        <f t="shared" ref="R1404:R1459" si="136">IF(S1404="В работе",0.3,IF(S1404="Отписано",0.6,IF(S1404="На доработку",0.9,IF(S1404="Согласовано",1,0))))</f>
        <v>1</v>
      </c>
      <c r="S1404" s="260" t="s">
        <v>1976</v>
      </c>
      <c r="T1404" s="260"/>
      <c r="U1404" s="260"/>
      <c r="V1404" s="260"/>
      <c r="W1404" s="260"/>
      <c r="X1404" s="260"/>
      <c r="Y1404" s="565"/>
      <c r="Z1404" s="565"/>
      <c r="AA1404" s="566">
        <f t="shared" si="134"/>
        <v>0</v>
      </c>
      <c r="AB1404" s="699"/>
    </row>
    <row r="1405" spans="1:28" ht="15" customHeight="1" x14ac:dyDescent="0.3">
      <c r="A1405" s="96" t="s">
        <v>4931</v>
      </c>
      <c r="C1405" s="81">
        <v>43880</v>
      </c>
      <c r="D1405" s="109">
        <v>43906</v>
      </c>
      <c r="E1405" s="560"/>
      <c r="F1405" s="97" t="s">
        <v>4932</v>
      </c>
      <c r="G1405" s="97" t="s">
        <v>181</v>
      </c>
      <c r="H1405" s="96" t="s">
        <v>213</v>
      </c>
      <c r="I1405" s="97" t="s">
        <v>649</v>
      </c>
      <c r="J1405" s="73">
        <f t="shared" si="135"/>
        <v>1</v>
      </c>
      <c r="K1405" s="74" t="s">
        <v>204</v>
      </c>
      <c r="N1405" s="76" t="s">
        <v>17</v>
      </c>
      <c r="Q1405" s="301" t="s">
        <v>2142</v>
      </c>
      <c r="R1405" s="73">
        <f t="shared" si="136"/>
        <v>1</v>
      </c>
      <c r="S1405" s="260" t="s">
        <v>1976</v>
      </c>
      <c r="T1405" s="260"/>
      <c r="U1405" s="260"/>
      <c r="V1405" s="260"/>
      <c r="W1405" s="260"/>
      <c r="X1405" s="260"/>
      <c r="Y1405" s="565"/>
      <c r="Z1405" s="565"/>
      <c r="AA1405" s="566">
        <f t="shared" si="134"/>
        <v>0</v>
      </c>
      <c r="AB1405" s="699"/>
    </row>
    <row r="1406" spans="1:28" ht="15" customHeight="1" x14ac:dyDescent="0.3">
      <c r="A1406" s="96" t="s">
        <v>4935</v>
      </c>
      <c r="C1406" s="81">
        <v>43881</v>
      </c>
      <c r="D1406" s="109">
        <v>43907</v>
      </c>
      <c r="E1406" s="560"/>
      <c r="F1406" s="124" t="s">
        <v>4936</v>
      </c>
      <c r="G1406" s="97" t="s">
        <v>152</v>
      </c>
      <c r="H1406" s="96" t="s">
        <v>213</v>
      </c>
      <c r="I1406" s="97" t="s">
        <v>1285</v>
      </c>
      <c r="J1406" s="73">
        <f t="shared" si="135"/>
        <v>1</v>
      </c>
      <c r="K1406" s="74" t="s">
        <v>204</v>
      </c>
      <c r="L1406" s="97" t="s">
        <v>4940</v>
      </c>
      <c r="N1406" s="76" t="s">
        <v>19</v>
      </c>
      <c r="Q1406" s="301" t="s">
        <v>2109</v>
      </c>
      <c r="R1406" s="73">
        <f t="shared" si="136"/>
        <v>1</v>
      </c>
      <c r="S1406" s="260" t="s">
        <v>1976</v>
      </c>
      <c r="T1406" s="260"/>
      <c r="U1406" s="260"/>
      <c r="V1406" s="260"/>
      <c r="W1406" s="260"/>
      <c r="X1406" s="260"/>
      <c r="Y1406" s="565"/>
      <c r="Z1406" s="565"/>
      <c r="AA1406" s="566">
        <f t="shared" si="134"/>
        <v>0</v>
      </c>
      <c r="AB1406" s="699"/>
    </row>
    <row r="1407" spans="1:28" ht="15" customHeight="1" x14ac:dyDescent="0.3">
      <c r="A1407" s="96" t="s">
        <v>4103</v>
      </c>
      <c r="C1407" s="115">
        <v>43860</v>
      </c>
      <c r="D1407" s="312">
        <v>43914</v>
      </c>
      <c r="E1407" s="560"/>
      <c r="F1407" s="252" t="s">
        <v>4104</v>
      </c>
      <c r="G1407" s="86" t="s">
        <v>156</v>
      </c>
      <c r="H1407" s="96" t="s">
        <v>213</v>
      </c>
      <c r="I1407" s="97" t="s">
        <v>722</v>
      </c>
      <c r="J1407" s="73">
        <f t="shared" si="135"/>
        <v>1</v>
      </c>
      <c r="K1407" s="74" t="s">
        <v>204</v>
      </c>
      <c r="L1407" s="97" t="s">
        <v>5265</v>
      </c>
      <c r="N1407" s="76" t="s">
        <v>17</v>
      </c>
      <c r="Q1407" s="76" t="s">
        <v>2037</v>
      </c>
      <c r="R1407" s="73">
        <f t="shared" si="136"/>
        <v>1</v>
      </c>
      <c r="S1407" s="260" t="s">
        <v>1976</v>
      </c>
      <c r="T1407" s="260" t="s">
        <v>923</v>
      </c>
      <c r="U1407" s="260"/>
      <c r="V1407" s="260"/>
      <c r="W1407" s="260"/>
      <c r="X1407" s="260"/>
      <c r="Y1407" s="565"/>
      <c r="Z1407" s="565"/>
      <c r="AA1407" s="566">
        <f t="shared" si="134"/>
        <v>0</v>
      </c>
      <c r="AB1407" s="699"/>
    </row>
    <row r="1408" spans="1:28" ht="15" customHeight="1" x14ac:dyDescent="0.3">
      <c r="A1408" s="96" t="s">
        <v>4971</v>
      </c>
      <c r="C1408" s="115">
        <v>43860</v>
      </c>
      <c r="D1408" s="312">
        <v>43914</v>
      </c>
      <c r="E1408" s="560"/>
      <c r="F1408" s="86" t="s">
        <v>5083</v>
      </c>
      <c r="G1408" s="86" t="s">
        <v>152</v>
      </c>
      <c r="H1408" s="96" t="s">
        <v>213</v>
      </c>
      <c r="I1408" s="97" t="s">
        <v>722</v>
      </c>
      <c r="J1408" s="73">
        <f t="shared" si="135"/>
        <v>1</v>
      </c>
      <c r="K1408" s="74" t="s">
        <v>204</v>
      </c>
      <c r="L1408" s="97" t="s">
        <v>5266</v>
      </c>
      <c r="N1408" s="76" t="s">
        <v>17</v>
      </c>
      <c r="Q1408" s="301" t="s">
        <v>5193</v>
      </c>
      <c r="R1408" s="73">
        <f t="shared" si="136"/>
        <v>1</v>
      </c>
      <c r="S1408" s="260" t="s">
        <v>1976</v>
      </c>
      <c r="T1408" s="260" t="s">
        <v>924</v>
      </c>
      <c r="U1408" s="260"/>
      <c r="V1408" s="260"/>
      <c r="W1408" s="260"/>
      <c r="X1408" s="260"/>
      <c r="Y1408" s="565"/>
      <c r="Z1408" s="565"/>
      <c r="AA1408" s="566">
        <f t="shared" si="134"/>
        <v>0</v>
      </c>
      <c r="AB1408" s="699"/>
    </row>
    <row r="1409" spans="1:28" ht="15" customHeight="1" x14ac:dyDescent="0.3">
      <c r="A1409" s="96" t="s">
        <v>4972</v>
      </c>
      <c r="C1409" s="115">
        <v>43864</v>
      </c>
      <c r="D1409" s="312">
        <v>43915</v>
      </c>
      <c r="E1409" s="560"/>
      <c r="F1409" s="86" t="s">
        <v>5084</v>
      </c>
      <c r="G1409" s="86" t="s">
        <v>156</v>
      </c>
      <c r="H1409" s="96" t="s">
        <v>213</v>
      </c>
      <c r="I1409" s="97" t="s">
        <v>714</v>
      </c>
      <c r="J1409" s="73">
        <f t="shared" si="135"/>
        <v>1</v>
      </c>
      <c r="K1409" s="74" t="s">
        <v>204</v>
      </c>
      <c r="N1409" s="76" t="s">
        <v>18</v>
      </c>
      <c r="Q1409" s="76" t="s">
        <v>2109</v>
      </c>
      <c r="R1409" s="73">
        <f t="shared" si="136"/>
        <v>1</v>
      </c>
      <c r="S1409" s="260" t="s">
        <v>1976</v>
      </c>
      <c r="T1409" s="260" t="s">
        <v>924</v>
      </c>
      <c r="U1409" s="260"/>
      <c r="V1409" s="260"/>
      <c r="W1409" s="260"/>
      <c r="X1409" s="260"/>
      <c r="Y1409" s="565"/>
      <c r="Z1409" s="565"/>
      <c r="AA1409" s="566">
        <f t="shared" si="134"/>
        <v>0</v>
      </c>
      <c r="AB1409" s="699"/>
    </row>
    <row r="1410" spans="1:28" ht="15" customHeight="1" x14ac:dyDescent="0.3">
      <c r="A1410" s="96" t="s">
        <v>4266</v>
      </c>
      <c r="C1410" s="115">
        <v>43865</v>
      </c>
      <c r="D1410" s="312">
        <v>43917</v>
      </c>
      <c r="E1410" s="560"/>
      <c r="F1410" s="86" t="s">
        <v>4267</v>
      </c>
      <c r="G1410" s="86" t="s">
        <v>158</v>
      </c>
      <c r="H1410" s="79" t="s">
        <v>268</v>
      </c>
      <c r="I1410" s="97" t="s">
        <v>642</v>
      </c>
      <c r="J1410" s="73">
        <f t="shared" si="135"/>
        <v>1</v>
      </c>
      <c r="K1410" s="74" t="s">
        <v>204</v>
      </c>
      <c r="L1410" s="97" t="s">
        <v>12740</v>
      </c>
      <c r="N1410" s="76" t="s">
        <v>19</v>
      </c>
      <c r="Q1410" s="76" t="s">
        <v>2109</v>
      </c>
      <c r="R1410" s="73">
        <f t="shared" si="136"/>
        <v>1</v>
      </c>
      <c r="S1410" s="260" t="s">
        <v>1976</v>
      </c>
      <c r="T1410" s="260" t="s">
        <v>924</v>
      </c>
      <c r="U1410" s="260" t="s">
        <v>5283</v>
      </c>
      <c r="V1410" s="260" t="s">
        <v>5308</v>
      </c>
      <c r="W1410" s="260"/>
      <c r="X1410" s="260"/>
      <c r="Y1410" s="565"/>
      <c r="Z1410" s="565"/>
      <c r="AA1410" s="566">
        <f t="shared" si="134"/>
        <v>0</v>
      </c>
      <c r="AB1410" s="699"/>
    </row>
    <row r="1411" spans="1:28" ht="15" customHeight="1" x14ac:dyDescent="0.3">
      <c r="A1411" s="96" t="s">
        <v>4268</v>
      </c>
      <c r="C1411" s="115">
        <v>43865</v>
      </c>
      <c r="D1411" s="312">
        <v>43917</v>
      </c>
      <c r="E1411" s="560"/>
      <c r="F1411" s="86" t="s">
        <v>4269</v>
      </c>
      <c r="G1411" s="86" t="s">
        <v>156</v>
      </c>
      <c r="H1411" s="96" t="s">
        <v>213</v>
      </c>
      <c r="I1411" s="97" t="s">
        <v>714</v>
      </c>
      <c r="J1411" s="73">
        <f t="shared" si="135"/>
        <v>1</v>
      </c>
      <c r="K1411" s="74" t="s">
        <v>204</v>
      </c>
      <c r="N1411" s="76" t="s">
        <v>17</v>
      </c>
      <c r="Q1411" s="76" t="s">
        <v>2109</v>
      </c>
      <c r="R1411" s="73">
        <f t="shared" si="136"/>
        <v>1</v>
      </c>
      <c r="S1411" s="260" t="s">
        <v>1976</v>
      </c>
      <c r="T1411" s="260" t="s">
        <v>925</v>
      </c>
      <c r="U1411" s="260" t="s">
        <v>5283</v>
      </c>
      <c r="V1411" s="260" t="s">
        <v>5309</v>
      </c>
      <c r="W1411" s="260"/>
      <c r="X1411" s="260"/>
      <c r="Y1411" s="565"/>
      <c r="Z1411" s="565"/>
      <c r="AA1411" s="566">
        <f t="shared" si="134"/>
        <v>0</v>
      </c>
      <c r="AB1411" s="699"/>
    </row>
    <row r="1412" spans="1:28" ht="15" customHeight="1" x14ac:dyDescent="0.3">
      <c r="A1412" s="79" t="s">
        <v>4975</v>
      </c>
      <c r="C1412" s="115">
        <v>43873</v>
      </c>
      <c r="D1412" s="312">
        <v>43913</v>
      </c>
      <c r="E1412" s="560"/>
      <c r="F1412" s="86" t="s">
        <v>5086</v>
      </c>
      <c r="G1412" s="86" t="s">
        <v>172</v>
      </c>
      <c r="H1412" s="96" t="s">
        <v>213</v>
      </c>
      <c r="I1412" s="97" t="s">
        <v>722</v>
      </c>
      <c r="J1412" s="73">
        <f t="shared" si="135"/>
        <v>1</v>
      </c>
      <c r="K1412" s="74" t="s">
        <v>204</v>
      </c>
      <c r="N1412" s="76" t="s">
        <v>17</v>
      </c>
      <c r="Q1412" s="76" t="s">
        <v>5193</v>
      </c>
      <c r="R1412" s="73">
        <f t="shared" si="136"/>
        <v>1</v>
      </c>
      <c r="S1412" s="260" t="s">
        <v>1976</v>
      </c>
      <c r="T1412" s="260" t="s">
        <v>923</v>
      </c>
      <c r="U1412" s="260"/>
      <c r="V1412" s="260"/>
      <c r="W1412" s="260"/>
      <c r="X1412" s="260"/>
      <c r="Y1412" s="565"/>
      <c r="Z1412" s="565"/>
      <c r="AA1412" s="566">
        <f t="shared" si="134"/>
        <v>0</v>
      </c>
      <c r="AB1412" s="699"/>
    </row>
    <row r="1413" spans="1:28" ht="15" customHeight="1" x14ac:dyDescent="0.3">
      <c r="A1413" s="96" t="s">
        <v>4474</v>
      </c>
      <c r="C1413" s="115">
        <v>43873</v>
      </c>
      <c r="D1413" s="312">
        <v>43913</v>
      </c>
      <c r="E1413" s="560"/>
      <c r="F1413" s="86" t="s">
        <v>4559</v>
      </c>
      <c r="G1413" s="86" t="s">
        <v>152</v>
      </c>
      <c r="H1413" s="96" t="s">
        <v>213</v>
      </c>
      <c r="I1413" s="97" t="s">
        <v>755</v>
      </c>
      <c r="J1413" s="73">
        <f t="shared" si="135"/>
        <v>1</v>
      </c>
      <c r="K1413" s="74" t="s">
        <v>204</v>
      </c>
      <c r="L1413" s="97" t="s">
        <v>5244</v>
      </c>
      <c r="N1413" s="76" t="s">
        <v>17</v>
      </c>
      <c r="Q1413" s="76" t="s">
        <v>2142</v>
      </c>
      <c r="R1413" s="73">
        <f t="shared" si="136"/>
        <v>1</v>
      </c>
      <c r="S1413" s="260" t="s">
        <v>1976</v>
      </c>
      <c r="T1413" s="260" t="s">
        <v>923</v>
      </c>
      <c r="U1413" s="260" t="s">
        <v>5283</v>
      </c>
      <c r="V1413" s="260" t="s">
        <v>5302</v>
      </c>
      <c r="W1413" s="260"/>
      <c r="X1413" s="260"/>
      <c r="Y1413" s="565"/>
      <c r="Z1413" s="565"/>
      <c r="AA1413" s="566">
        <f t="shared" si="134"/>
        <v>0</v>
      </c>
      <c r="AB1413" s="699"/>
    </row>
    <row r="1414" spans="1:28" ht="15" customHeight="1" x14ac:dyDescent="0.3">
      <c r="A1414" s="96" t="s">
        <v>4976</v>
      </c>
      <c r="C1414" s="115">
        <v>43873</v>
      </c>
      <c r="D1414" s="312">
        <v>43913</v>
      </c>
      <c r="E1414" s="560"/>
      <c r="F1414" s="86" t="s">
        <v>5087</v>
      </c>
      <c r="G1414" s="86" t="s">
        <v>150</v>
      </c>
      <c r="H1414" s="96" t="s">
        <v>213</v>
      </c>
      <c r="I1414" s="97" t="s">
        <v>995</v>
      </c>
      <c r="J1414" s="73">
        <f t="shared" si="135"/>
        <v>1</v>
      </c>
      <c r="K1414" s="74" t="s">
        <v>204</v>
      </c>
      <c r="N1414" s="76" t="s">
        <v>19</v>
      </c>
      <c r="Q1414" s="76" t="s">
        <v>2109</v>
      </c>
      <c r="R1414" s="73">
        <f t="shared" si="136"/>
        <v>1</v>
      </c>
      <c r="S1414" s="260" t="s">
        <v>1976</v>
      </c>
      <c r="T1414" s="260" t="s">
        <v>925</v>
      </c>
      <c r="U1414" s="260"/>
      <c r="V1414" s="260"/>
      <c r="W1414" s="260"/>
      <c r="X1414" s="260"/>
      <c r="Y1414" s="565"/>
      <c r="Z1414" s="565"/>
      <c r="AA1414" s="566">
        <f t="shared" si="134"/>
        <v>0</v>
      </c>
      <c r="AB1414" s="699"/>
    </row>
    <row r="1415" spans="1:28" ht="15" customHeight="1" x14ac:dyDescent="0.3">
      <c r="A1415" s="96" t="s">
        <v>4478</v>
      </c>
      <c r="C1415" s="115">
        <v>43873</v>
      </c>
      <c r="D1415" s="312">
        <v>43913</v>
      </c>
      <c r="E1415" s="560"/>
      <c r="F1415" s="86" t="s">
        <v>4563</v>
      </c>
      <c r="G1415" s="86" t="s">
        <v>158</v>
      </c>
      <c r="H1415" s="96" t="s">
        <v>213</v>
      </c>
      <c r="I1415" s="97" t="s">
        <v>642</v>
      </c>
      <c r="J1415" s="73">
        <f t="shared" si="135"/>
        <v>1</v>
      </c>
      <c r="K1415" s="74" t="s">
        <v>204</v>
      </c>
      <c r="N1415" s="76" t="s">
        <v>18</v>
      </c>
      <c r="Q1415" s="301" t="s">
        <v>2109</v>
      </c>
      <c r="R1415" s="73">
        <f t="shared" si="136"/>
        <v>1</v>
      </c>
      <c r="S1415" s="260" t="s">
        <v>1976</v>
      </c>
      <c r="T1415" s="260" t="s">
        <v>925</v>
      </c>
      <c r="U1415" s="260"/>
      <c r="V1415" s="260"/>
      <c r="W1415" s="260"/>
      <c r="X1415" s="260"/>
      <c r="Y1415" s="565"/>
      <c r="Z1415" s="565"/>
      <c r="AA1415" s="566">
        <f t="shared" si="134"/>
        <v>0</v>
      </c>
      <c r="AB1415" s="699"/>
    </row>
    <row r="1416" spans="1:28" ht="15" customHeight="1" x14ac:dyDescent="0.3">
      <c r="A1416" s="96" t="s">
        <v>4479</v>
      </c>
      <c r="C1416" s="115">
        <v>43873</v>
      </c>
      <c r="D1416" s="312">
        <v>43913</v>
      </c>
      <c r="E1416" s="560"/>
      <c r="F1416" s="86" t="s">
        <v>4564</v>
      </c>
      <c r="G1416" s="86" t="s">
        <v>156</v>
      </c>
      <c r="H1416" s="96" t="s">
        <v>213</v>
      </c>
      <c r="I1416" s="97" t="s">
        <v>642</v>
      </c>
      <c r="J1416" s="73">
        <f t="shared" si="135"/>
        <v>1</v>
      </c>
      <c r="K1416" s="74" t="s">
        <v>204</v>
      </c>
      <c r="N1416" s="76" t="s">
        <v>17</v>
      </c>
      <c r="Q1416" s="301" t="s">
        <v>2076</v>
      </c>
      <c r="R1416" s="73">
        <f t="shared" si="136"/>
        <v>1</v>
      </c>
      <c r="S1416" s="260" t="s">
        <v>1976</v>
      </c>
      <c r="T1416" s="260" t="s">
        <v>923</v>
      </c>
      <c r="U1416" s="260"/>
      <c r="V1416" s="260"/>
      <c r="W1416" s="260"/>
      <c r="X1416" s="260"/>
      <c r="Y1416" s="565"/>
      <c r="Z1416" s="565"/>
      <c r="AA1416" s="566">
        <f t="shared" si="134"/>
        <v>0</v>
      </c>
      <c r="AB1416" s="699"/>
    </row>
    <row r="1417" spans="1:28" ht="15" customHeight="1" x14ac:dyDescent="0.3">
      <c r="A1417" s="79" t="s">
        <v>4977</v>
      </c>
      <c r="C1417" s="115">
        <v>43873</v>
      </c>
      <c r="D1417" s="312">
        <v>43913</v>
      </c>
      <c r="E1417" s="560"/>
      <c r="F1417" s="86" t="s">
        <v>5088</v>
      </c>
      <c r="G1417" s="86" t="s">
        <v>172</v>
      </c>
      <c r="H1417" s="96" t="s">
        <v>213</v>
      </c>
      <c r="I1417" s="97" t="s">
        <v>714</v>
      </c>
      <c r="J1417" s="73">
        <f t="shared" si="135"/>
        <v>1</v>
      </c>
      <c r="K1417" s="74" t="s">
        <v>204</v>
      </c>
      <c r="N1417" s="76" t="s">
        <v>18</v>
      </c>
      <c r="Q1417" s="76" t="s">
        <v>5193</v>
      </c>
      <c r="R1417" s="73">
        <f t="shared" si="136"/>
        <v>1</v>
      </c>
      <c r="S1417" s="260" t="s">
        <v>1976</v>
      </c>
      <c r="T1417" s="260" t="s">
        <v>924</v>
      </c>
      <c r="U1417" s="260"/>
      <c r="V1417" s="260"/>
      <c r="W1417" s="260"/>
      <c r="X1417" s="260"/>
      <c r="Y1417" s="565"/>
      <c r="Z1417" s="565"/>
      <c r="AA1417" s="566">
        <f t="shared" si="134"/>
        <v>0</v>
      </c>
      <c r="AB1417" s="699"/>
    </row>
    <row r="1418" spans="1:28" ht="15" customHeight="1" x14ac:dyDescent="0.3">
      <c r="A1418" s="96" t="s">
        <v>4481</v>
      </c>
      <c r="C1418" s="115">
        <v>43873</v>
      </c>
      <c r="D1418" s="312">
        <v>43913</v>
      </c>
      <c r="E1418" s="560"/>
      <c r="F1418" s="86" t="s">
        <v>4566</v>
      </c>
      <c r="G1418" s="86" t="s">
        <v>150</v>
      </c>
      <c r="H1418" s="96" t="s">
        <v>213</v>
      </c>
      <c r="I1418" s="97" t="s">
        <v>722</v>
      </c>
      <c r="J1418" s="73">
        <f t="shared" si="135"/>
        <v>1</v>
      </c>
      <c r="K1418" s="74" t="s">
        <v>204</v>
      </c>
      <c r="N1418" s="76" t="s">
        <v>18</v>
      </c>
      <c r="Q1418" s="301" t="s">
        <v>2037</v>
      </c>
      <c r="R1418" s="73">
        <f t="shared" si="136"/>
        <v>1</v>
      </c>
      <c r="S1418" s="260" t="s">
        <v>1976</v>
      </c>
      <c r="T1418" s="260" t="s">
        <v>925</v>
      </c>
      <c r="U1418" s="260"/>
      <c r="V1418" s="260"/>
      <c r="W1418" s="260"/>
      <c r="X1418" s="260"/>
      <c r="Y1418" s="565"/>
      <c r="Z1418" s="565"/>
      <c r="AA1418" s="566">
        <f t="shared" si="134"/>
        <v>0</v>
      </c>
      <c r="AB1418" s="699"/>
    </row>
    <row r="1419" spans="1:28" ht="15" customHeight="1" x14ac:dyDescent="0.3">
      <c r="A1419" s="96" t="s">
        <v>4978</v>
      </c>
      <c r="C1419" s="115">
        <v>43873</v>
      </c>
      <c r="D1419" s="312">
        <v>43913</v>
      </c>
      <c r="E1419" s="560"/>
      <c r="F1419" s="86" t="s">
        <v>5089</v>
      </c>
      <c r="G1419" s="86" t="s">
        <v>158</v>
      </c>
      <c r="H1419" s="96" t="s">
        <v>213</v>
      </c>
      <c r="I1419" s="97" t="s">
        <v>714</v>
      </c>
      <c r="J1419" s="73">
        <f t="shared" si="135"/>
        <v>1</v>
      </c>
      <c r="K1419" s="74" t="s">
        <v>204</v>
      </c>
      <c r="N1419" s="76" t="s">
        <v>18</v>
      </c>
      <c r="Q1419" s="76" t="s">
        <v>2037</v>
      </c>
      <c r="R1419" s="73">
        <f t="shared" si="136"/>
        <v>1</v>
      </c>
      <c r="S1419" s="260" t="s">
        <v>1976</v>
      </c>
      <c r="T1419" s="260" t="s">
        <v>924</v>
      </c>
      <c r="U1419" s="260"/>
      <c r="V1419" s="260"/>
      <c r="W1419" s="260"/>
      <c r="X1419" s="260"/>
      <c r="Y1419" s="565"/>
      <c r="Z1419" s="565"/>
      <c r="AA1419" s="566">
        <f t="shared" si="134"/>
        <v>0</v>
      </c>
      <c r="AB1419" s="699"/>
    </row>
    <row r="1420" spans="1:28" ht="15" customHeight="1" x14ac:dyDescent="0.3">
      <c r="A1420" s="79" t="s">
        <v>4979</v>
      </c>
      <c r="C1420" s="115">
        <v>43873</v>
      </c>
      <c r="D1420" s="312">
        <v>43913</v>
      </c>
      <c r="E1420" s="560"/>
      <c r="F1420" s="86" t="s">
        <v>5090</v>
      </c>
      <c r="G1420" s="86" t="s">
        <v>152</v>
      </c>
      <c r="H1420" s="96" t="s">
        <v>213</v>
      </c>
      <c r="I1420" s="97" t="s">
        <v>755</v>
      </c>
      <c r="J1420" s="73">
        <f t="shared" si="135"/>
        <v>1</v>
      </c>
      <c r="K1420" s="74" t="s">
        <v>204</v>
      </c>
      <c r="N1420" s="76" t="s">
        <v>18</v>
      </c>
      <c r="Q1420" s="301" t="s">
        <v>5193</v>
      </c>
      <c r="R1420" s="73">
        <f t="shared" si="136"/>
        <v>1</v>
      </c>
      <c r="S1420" s="260" t="s">
        <v>1976</v>
      </c>
      <c r="T1420" s="260" t="s">
        <v>925</v>
      </c>
      <c r="U1420" s="260"/>
      <c r="V1420" s="260"/>
      <c r="W1420" s="260"/>
      <c r="X1420" s="260"/>
      <c r="Y1420" s="565"/>
      <c r="Z1420" s="565"/>
      <c r="AA1420" s="566">
        <f t="shared" si="134"/>
        <v>0</v>
      </c>
      <c r="AB1420" s="699"/>
    </row>
    <row r="1421" spans="1:28" ht="15" customHeight="1" x14ac:dyDescent="0.3">
      <c r="A1421" s="96" t="s">
        <v>4483</v>
      </c>
      <c r="C1421" s="115">
        <v>43874</v>
      </c>
      <c r="D1421" s="312">
        <v>43913</v>
      </c>
      <c r="E1421" s="560"/>
      <c r="F1421" s="86" t="s">
        <v>4568</v>
      </c>
      <c r="G1421" s="86" t="s">
        <v>158</v>
      </c>
      <c r="H1421" s="96" t="s">
        <v>213</v>
      </c>
      <c r="I1421" s="97" t="s">
        <v>641</v>
      </c>
      <c r="J1421" s="73">
        <f t="shared" si="135"/>
        <v>1</v>
      </c>
      <c r="K1421" s="74" t="s">
        <v>204</v>
      </c>
      <c r="N1421" s="76" t="s">
        <v>18</v>
      </c>
      <c r="Q1421" s="76" t="s">
        <v>2142</v>
      </c>
      <c r="R1421" s="73">
        <f t="shared" si="136"/>
        <v>1</v>
      </c>
      <c r="S1421" s="260" t="s">
        <v>1976</v>
      </c>
      <c r="T1421" s="260" t="s">
        <v>924</v>
      </c>
      <c r="U1421" s="260"/>
      <c r="V1421" s="260"/>
      <c r="W1421" s="260"/>
      <c r="X1421" s="260"/>
      <c r="Y1421" s="565"/>
      <c r="Z1421" s="565"/>
      <c r="AA1421" s="566">
        <f t="shared" si="134"/>
        <v>0</v>
      </c>
      <c r="AB1421" s="699"/>
    </row>
    <row r="1422" spans="1:28" ht="15" customHeight="1" x14ac:dyDescent="0.3">
      <c r="A1422" s="96" t="s">
        <v>4486</v>
      </c>
      <c r="C1422" s="115">
        <v>43874</v>
      </c>
      <c r="D1422" s="312">
        <v>43913</v>
      </c>
      <c r="E1422" s="560"/>
      <c r="F1422" s="86" t="s">
        <v>4571</v>
      </c>
      <c r="G1422" s="86" t="s">
        <v>152</v>
      </c>
      <c r="H1422" s="96" t="s">
        <v>213</v>
      </c>
      <c r="I1422" s="97" t="s">
        <v>642</v>
      </c>
      <c r="J1422" s="73">
        <f t="shared" si="135"/>
        <v>1</v>
      </c>
      <c r="K1422" s="74" t="s">
        <v>204</v>
      </c>
      <c r="N1422" s="76" t="s">
        <v>18</v>
      </c>
      <c r="Q1422" s="76" t="s">
        <v>2076</v>
      </c>
      <c r="R1422" s="73">
        <f t="shared" si="136"/>
        <v>1</v>
      </c>
      <c r="S1422" s="260" t="s">
        <v>1976</v>
      </c>
      <c r="T1422" s="260" t="s">
        <v>923</v>
      </c>
      <c r="U1422" s="260" t="s">
        <v>5283</v>
      </c>
      <c r="V1422" s="260" t="s">
        <v>5287</v>
      </c>
      <c r="W1422" s="260"/>
      <c r="X1422" s="260"/>
      <c r="Y1422" s="565"/>
      <c r="Z1422" s="565"/>
      <c r="AA1422" s="566">
        <f t="shared" si="134"/>
        <v>0</v>
      </c>
      <c r="AB1422" s="699"/>
    </row>
    <row r="1423" spans="1:28" ht="15" customHeight="1" x14ac:dyDescent="0.3">
      <c r="A1423" s="96" t="s">
        <v>4980</v>
      </c>
      <c r="C1423" s="115">
        <v>43874</v>
      </c>
      <c r="D1423" s="312">
        <v>43914</v>
      </c>
      <c r="E1423" s="560"/>
      <c r="F1423" s="86" t="s">
        <v>5091</v>
      </c>
      <c r="G1423" s="86" t="s">
        <v>156</v>
      </c>
      <c r="H1423" s="96" t="s">
        <v>213</v>
      </c>
      <c r="I1423" s="97" t="s">
        <v>642</v>
      </c>
      <c r="J1423" s="73">
        <f t="shared" si="135"/>
        <v>1</v>
      </c>
      <c r="K1423" s="74" t="s">
        <v>204</v>
      </c>
      <c r="N1423" s="76" t="s">
        <v>17</v>
      </c>
      <c r="Q1423" s="76" t="s">
        <v>2142</v>
      </c>
      <c r="R1423" s="73">
        <f t="shared" si="136"/>
        <v>1</v>
      </c>
      <c r="S1423" s="260" t="s">
        <v>1976</v>
      </c>
      <c r="T1423" s="260" t="s">
        <v>923</v>
      </c>
      <c r="U1423" s="260"/>
      <c r="V1423" s="260"/>
      <c r="W1423" s="260"/>
      <c r="X1423" s="260"/>
      <c r="Y1423" s="565"/>
      <c r="Z1423" s="565"/>
      <c r="AA1423" s="566">
        <f t="shared" si="134"/>
        <v>0</v>
      </c>
      <c r="AB1423" s="699"/>
    </row>
    <row r="1424" spans="1:28" ht="15" customHeight="1" x14ac:dyDescent="0.3">
      <c r="A1424" s="96" t="s">
        <v>4489</v>
      </c>
      <c r="C1424" s="115">
        <v>43874</v>
      </c>
      <c r="D1424" s="312">
        <v>43913</v>
      </c>
      <c r="E1424" s="560"/>
      <c r="F1424" s="86" t="s">
        <v>4574</v>
      </c>
      <c r="G1424" s="86" t="s">
        <v>168</v>
      </c>
      <c r="H1424" s="96" t="s">
        <v>213</v>
      </c>
      <c r="I1424" s="97" t="s">
        <v>995</v>
      </c>
      <c r="J1424" s="73">
        <f t="shared" si="135"/>
        <v>1</v>
      </c>
      <c r="K1424" s="74" t="s">
        <v>204</v>
      </c>
      <c r="N1424" s="76" t="s">
        <v>19</v>
      </c>
      <c r="Q1424" s="301" t="s">
        <v>2142</v>
      </c>
      <c r="R1424" s="73">
        <f t="shared" si="136"/>
        <v>1</v>
      </c>
      <c r="S1424" s="260" t="s">
        <v>1976</v>
      </c>
      <c r="T1424" s="260" t="s">
        <v>925</v>
      </c>
      <c r="U1424" s="260"/>
      <c r="V1424" s="260"/>
      <c r="W1424" s="260"/>
      <c r="X1424" s="260"/>
      <c r="Y1424" s="565"/>
      <c r="Z1424" s="565"/>
      <c r="AA1424" s="566">
        <f t="shared" si="134"/>
        <v>0</v>
      </c>
      <c r="AB1424" s="699"/>
    </row>
    <row r="1425" spans="1:28" ht="15" customHeight="1" x14ac:dyDescent="0.3">
      <c r="A1425" s="96" t="s">
        <v>4490</v>
      </c>
      <c r="C1425" s="115">
        <v>43874</v>
      </c>
      <c r="D1425" s="312">
        <v>43913</v>
      </c>
      <c r="E1425" s="560"/>
      <c r="F1425" s="86" t="s">
        <v>4575</v>
      </c>
      <c r="G1425" s="86" t="s">
        <v>166</v>
      </c>
      <c r="H1425" s="96" t="s">
        <v>213</v>
      </c>
      <c r="I1425" s="97" t="s">
        <v>658</v>
      </c>
      <c r="J1425" s="73">
        <f t="shared" si="135"/>
        <v>1</v>
      </c>
      <c r="K1425" s="74" t="s">
        <v>204</v>
      </c>
      <c r="N1425" s="76" t="s">
        <v>18</v>
      </c>
      <c r="Q1425" s="76" t="s">
        <v>2076</v>
      </c>
      <c r="R1425" s="73">
        <f t="shared" si="136"/>
        <v>1</v>
      </c>
      <c r="S1425" s="260" t="s">
        <v>1976</v>
      </c>
      <c r="T1425" s="260" t="s">
        <v>924</v>
      </c>
      <c r="U1425" s="260" t="s">
        <v>5283</v>
      </c>
      <c r="V1425" s="260" t="s">
        <v>5285</v>
      </c>
      <c r="W1425" s="260"/>
      <c r="X1425" s="260"/>
      <c r="Y1425" s="565"/>
      <c r="Z1425" s="565"/>
      <c r="AA1425" s="566">
        <f t="shared" si="134"/>
        <v>0</v>
      </c>
      <c r="AB1425" s="699"/>
    </row>
    <row r="1426" spans="1:28" ht="15" customHeight="1" x14ac:dyDescent="0.3">
      <c r="A1426" s="96" t="s">
        <v>4612</v>
      </c>
      <c r="C1426" s="115">
        <v>43874</v>
      </c>
      <c r="D1426" s="312">
        <v>43914</v>
      </c>
      <c r="E1426" s="560"/>
      <c r="F1426" s="86" t="s">
        <v>4665</v>
      </c>
      <c r="G1426" s="86" t="s">
        <v>3280</v>
      </c>
      <c r="H1426" s="96" t="s">
        <v>213</v>
      </c>
      <c r="I1426" s="97" t="s">
        <v>714</v>
      </c>
      <c r="J1426" s="73">
        <f t="shared" si="135"/>
        <v>1</v>
      </c>
      <c r="K1426" s="74" t="s">
        <v>204</v>
      </c>
      <c r="N1426" s="76" t="s">
        <v>18</v>
      </c>
      <c r="Q1426" s="76" t="s">
        <v>2109</v>
      </c>
      <c r="R1426" s="73">
        <f t="shared" si="136"/>
        <v>1</v>
      </c>
      <c r="S1426" s="260" t="s">
        <v>1976</v>
      </c>
      <c r="T1426" s="260" t="s">
        <v>925</v>
      </c>
      <c r="U1426" s="260"/>
      <c r="V1426" s="260"/>
      <c r="W1426" s="260"/>
      <c r="X1426" s="260"/>
      <c r="Y1426" s="565"/>
      <c r="Z1426" s="565"/>
      <c r="AA1426" s="566">
        <f t="shared" si="134"/>
        <v>0</v>
      </c>
      <c r="AB1426" s="699"/>
    </row>
    <row r="1427" spans="1:28" ht="15" customHeight="1" x14ac:dyDescent="0.3">
      <c r="A1427" s="96" t="s">
        <v>4491</v>
      </c>
      <c r="C1427" s="115">
        <v>43874</v>
      </c>
      <c r="D1427" s="312">
        <v>43913</v>
      </c>
      <c r="E1427" s="560"/>
      <c r="F1427" s="86" t="s">
        <v>4576</v>
      </c>
      <c r="G1427" s="86" t="s">
        <v>147</v>
      </c>
      <c r="H1427" s="96" t="s">
        <v>213</v>
      </c>
      <c r="I1427" s="97" t="s">
        <v>714</v>
      </c>
      <c r="J1427" s="73">
        <f t="shared" si="135"/>
        <v>1</v>
      </c>
      <c r="K1427" s="74" t="s">
        <v>204</v>
      </c>
      <c r="N1427" s="76" t="s">
        <v>18</v>
      </c>
      <c r="Q1427" s="76" t="s">
        <v>2109</v>
      </c>
      <c r="R1427" s="73">
        <f t="shared" si="136"/>
        <v>1</v>
      </c>
      <c r="S1427" s="260" t="s">
        <v>1976</v>
      </c>
      <c r="T1427" s="260" t="s">
        <v>923</v>
      </c>
      <c r="U1427" s="260"/>
      <c r="V1427" s="260"/>
      <c r="W1427" s="260"/>
      <c r="X1427" s="260"/>
      <c r="Y1427" s="565"/>
      <c r="Z1427" s="565"/>
      <c r="AA1427" s="566">
        <f t="shared" si="134"/>
        <v>0</v>
      </c>
      <c r="AB1427" s="699"/>
    </row>
    <row r="1428" spans="1:28" ht="15" customHeight="1" x14ac:dyDescent="0.3">
      <c r="A1428" s="96" t="s">
        <v>4981</v>
      </c>
      <c r="C1428" s="115">
        <v>43874</v>
      </c>
      <c r="D1428" s="312">
        <v>43913</v>
      </c>
      <c r="E1428" s="560"/>
      <c r="F1428" s="86" t="s">
        <v>5092</v>
      </c>
      <c r="G1428" s="86" t="s">
        <v>164</v>
      </c>
      <c r="H1428" s="96" t="s">
        <v>213</v>
      </c>
      <c r="I1428" s="97" t="s">
        <v>645</v>
      </c>
      <c r="J1428" s="73">
        <f t="shared" si="135"/>
        <v>1</v>
      </c>
      <c r="K1428" s="74" t="s">
        <v>204</v>
      </c>
      <c r="N1428" s="76" t="s">
        <v>17</v>
      </c>
      <c r="Q1428" s="76" t="s">
        <v>2109</v>
      </c>
      <c r="R1428" s="73">
        <f t="shared" si="136"/>
        <v>1</v>
      </c>
      <c r="S1428" s="260" t="s">
        <v>1976</v>
      </c>
      <c r="T1428" s="260" t="s">
        <v>924</v>
      </c>
      <c r="U1428" s="260"/>
      <c r="V1428" s="260"/>
      <c r="W1428" s="260"/>
      <c r="X1428" s="260"/>
      <c r="Y1428" s="565"/>
      <c r="Z1428" s="565"/>
      <c r="AA1428" s="566">
        <f t="shared" si="134"/>
        <v>0</v>
      </c>
      <c r="AB1428" s="699"/>
    </row>
    <row r="1429" spans="1:28" ht="15" customHeight="1" x14ac:dyDescent="0.3">
      <c r="A1429" s="96" t="s">
        <v>4982</v>
      </c>
      <c r="C1429" s="115">
        <v>43874</v>
      </c>
      <c r="D1429" s="312">
        <v>43913</v>
      </c>
      <c r="E1429" s="560"/>
      <c r="F1429" s="86" t="s">
        <v>5093</v>
      </c>
      <c r="G1429" s="86" t="s">
        <v>3771</v>
      </c>
      <c r="H1429" s="96" t="s">
        <v>213</v>
      </c>
      <c r="I1429" s="97" t="s">
        <v>854</v>
      </c>
      <c r="J1429" s="73">
        <f t="shared" si="135"/>
        <v>1</v>
      </c>
      <c r="K1429" s="74" t="s">
        <v>204</v>
      </c>
      <c r="L1429" s="97" t="s">
        <v>5194</v>
      </c>
      <c r="N1429" s="76" t="s">
        <v>17</v>
      </c>
      <c r="Q1429" s="76" t="s">
        <v>2037</v>
      </c>
      <c r="R1429" s="73">
        <f t="shared" si="136"/>
        <v>1</v>
      </c>
      <c r="S1429" s="260" t="s">
        <v>1976</v>
      </c>
      <c r="T1429" s="260" t="s">
        <v>923</v>
      </c>
      <c r="U1429" s="260"/>
      <c r="V1429" s="260"/>
      <c r="W1429" s="260"/>
      <c r="X1429" s="260"/>
      <c r="Y1429" s="565"/>
      <c r="Z1429" s="565"/>
      <c r="AA1429" s="566">
        <f t="shared" si="134"/>
        <v>0</v>
      </c>
      <c r="AB1429" s="699"/>
    </row>
    <row r="1430" spans="1:28" ht="15" customHeight="1" x14ac:dyDescent="0.3">
      <c r="A1430" s="96" t="s">
        <v>4615</v>
      </c>
      <c r="C1430" s="115">
        <v>43874</v>
      </c>
      <c r="D1430" s="312">
        <v>43914</v>
      </c>
      <c r="E1430" s="560"/>
      <c r="F1430" s="86" t="s">
        <v>4668</v>
      </c>
      <c r="G1430" s="86" t="s">
        <v>150</v>
      </c>
      <c r="H1430" s="96" t="s">
        <v>213</v>
      </c>
      <c r="J1430" s="73">
        <f t="shared" si="135"/>
        <v>1</v>
      </c>
      <c r="K1430" s="74" t="s">
        <v>204</v>
      </c>
      <c r="Q1430" s="76" t="s">
        <v>2076</v>
      </c>
      <c r="R1430" s="73">
        <f t="shared" si="136"/>
        <v>1</v>
      </c>
      <c r="S1430" s="260" t="s">
        <v>1976</v>
      </c>
      <c r="T1430" s="260" t="s">
        <v>925</v>
      </c>
      <c r="U1430" s="260" t="s">
        <v>5283</v>
      </c>
      <c r="V1430" s="260" t="s">
        <v>5286</v>
      </c>
      <c r="W1430" s="260"/>
      <c r="X1430" s="260"/>
      <c r="Y1430" s="565"/>
      <c r="Z1430" s="565"/>
      <c r="AA1430" s="566">
        <f t="shared" si="134"/>
        <v>0</v>
      </c>
      <c r="AB1430" s="699"/>
    </row>
    <row r="1431" spans="1:28" ht="15" customHeight="1" x14ac:dyDescent="0.3">
      <c r="A1431" s="96" t="s">
        <v>4619</v>
      </c>
      <c r="C1431" s="115">
        <v>43875</v>
      </c>
      <c r="D1431" s="312">
        <v>43914</v>
      </c>
      <c r="E1431" s="560"/>
      <c r="F1431" s="86" t="s">
        <v>4672</v>
      </c>
      <c r="G1431" s="86" t="s">
        <v>147</v>
      </c>
      <c r="H1431" s="96" t="s">
        <v>213</v>
      </c>
      <c r="I1431" s="97" t="s">
        <v>642</v>
      </c>
      <c r="J1431" s="73">
        <f t="shared" si="135"/>
        <v>1</v>
      </c>
      <c r="K1431" s="74" t="s">
        <v>204</v>
      </c>
      <c r="N1431" s="76" t="s">
        <v>18</v>
      </c>
      <c r="Q1431" s="76" t="s">
        <v>2142</v>
      </c>
      <c r="R1431" s="73">
        <f t="shared" si="136"/>
        <v>1</v>
      </c>
      <c r="S1431" s="260" t="s">
        <v>1976</v>
      </c>
      <c r="T1431" s="260" t="s">
        <v>924</v>
      </c>
      <c r="U1431" s="260"/>
      <c r="V1431" s="260"/>
      <c r="W1431" s="260"/>
      <c r="X1431" s="260"/>
      <c r="Y1431" s="565"/>
      <c r="Z1431" s="565"/>
      <c r="AA1431" s="566">
        <f t="shared" si="134"/>
        <v>0</v>
      </c>
      <c r="AB1431" s="699"/>
    </row>
    <row r="1432" spans="1:28" ht="15" customHeight="1" x14ac:dyDescent="0.3">
      <c r="A1432" s="79" t="s">
        <v>4983</v>
      </c>
      <c r="C1432" s="115">
        <v>43875</v>
      </c>
      <c r="D1432" s="312">
        <v>43915</v>
      </c>
      <c r="E1432" s="560"/>
      <c r="F1432" s="86" t="s">
        <v>5094</v>
      </c>
      <c r="G1432" s="86" t="s">
        <v>156</v>
      </c>
      <c r="H1432" s="96" t="s">
        <v>213</v>
      </c>
      <c r="I1432" s="97" t="s">
        <v>714</v>
      </c>
      <c r="J1432" s="73">
        <f t="shared" si="135"/>
        <v>1</v>
      </c>
      <c r="K1432" s="74" t="s">
        <v>204</v>
      </c>
      <c r="N1432" s="76" t="s">
        <v>17</v>
      </c>
      <c r="Q1432" s="76" t="s">
        <v>5193</v>
      </c>
      <c r="R1432" s="73">
        <f t="shared" si="136"/>
        <v>1</v>
      </c>
      <c r="S1432" s="260" t="s">
        <v>1976</v>
      </c>
      <c r="T1432" s="260" t="s">
        <v>925</v>
      </c>
      <c r="U1432" s="260"/>
      <c r="V1432" s="260"/>
      <c r="W1432" s="260"/>
      <c r="X1432" s="260"/>
      <c r="Y1432" s="565"/>
      <c r="Z1432" s="565"/>
      <c r="AA1432" s="566">
        <f t="shared" si="134"/>
        <v>0</v>
      </c>
      <c r="AB1432" s="699"/>
    </row>
    <row r="1433" spans="1:28" ht="15" customHeight="1" x14ac:dyDescent="0.3">
      <c r="A1433" s="96" t="s">
        <v>4620</v>
      </c>
      <c r="C1433" s="115">
        <v>43875</v>
      </c>
      <c r="D1433" s="312">
        <v>43915</v>
      </c>
      <c r="E1433" s="560"/>
      <c r="F1433" s="86" t="s">
        <v>4673</v>
      </c>
      <c r="G1433" s="86" t="s">
        <v>162</v>
      </c>
      <c r="H1433" s="96" t="s">
        <v>213</v>
      </c>
      <c r="I1433" s="97" t="s">
        <v>714</v>
      </c>
      <c r="J1433" s="73">
        <f t="shared" si="135"/>
        <v>1</v>
      </c>
      <c r="K1433" s="74" t="s">
        <v>204</v>
      </c>
      <c r="N1433" s="76" t="s">
        <v>18</v>
      </c>
      <c r="Q1433" s="76" t="s">
        <v>2142</v>
      </c>
      <c r="R1433" s="73">
        <f t="shared" si="136"/>
        <v>1</v>
      </c>
      <c r="S1433" s="260" t="s">
        <v>1976</v>
      </c>
      <c r="T1433" s="260" t="s">
        <v>923</v>
      </c>
      <c r="U1433" s="260"/>
      <c r="V1433" s="260"/>
      <c r="W1433" s="260"/>
      <c r="X1433" s="260"/>
      <c r="Y1433" s="565"/>
      <c r="Z1433" s="565"/>
      <c r="AA1433" s="566">
        <f t="shared" si="134"/>
        <v>0</v>
      </c>
      <c r="AB1433" s="699"/>
    </row>
    <row r="1434" spans="1:28" ht="15" customHeight="1" x14ac:dyDescent="0.3">
      <c r="A1434" s="96" t="s">
        <v>4621</v>
      </c>
      <c r="C1434" s="115">
        <v>43875</v>
      </c>
      <c r="D1434" s="312">
        <v>43915</v>
      </c>
      <c r="E1434" s="560"/>
      <c r="F1434" s="86" t="s">
        <v>4674</v>
      </c>
      <c r="G1434" s="86" t="s">
        <v>935</v>
      </c>
      <c r="H1434" s="96" t="s">
        <v>213</v>
      </c>
      <c r="I1434" s="97" t="s">
        <v>5272</v>
      </c>
      <c r="J1434" s="73">
        <f t="shared" si="135"/>
        <v>1</v>
      </c>
      <c r="K1434" s="74" t="s">
        <v>204</v>
      </c>
      <c r="L1434" s="97" t="s">
        <v>5271</v>
      </c>
      <c r="N1434" s="76" t="s">
        <v>17</v>
      </c>
      <c r="Q1434" s="76" t="s">
        <v>2076</v>
      </c>
      <c r="R1434" s="73">
        <f t="shared" si="136"/>
        <v>1</v>
      </c>
      <c r="S1434" s="260" t="s">
        <v>1976</v>
      </c>
      <c r="T1434" s="260" t="s">
        <v>924</v>
      </c>
      <c r="U1434" s="260"/>
      <c r="V1434" s="260"/>
      <c r="W1434" s="260"/>
      <c r="X1434" s="260"/>
      <c r="Y1434" s="565"/>
      <c r="Z1434" s="565"/>
      <c r="AA1434" s="566">
        <f t="shared" si="134"/>
        <v>0</v>
      </c>
      <c r="AB1434" s="699"/>
    </row>
    <row r="1435" spans="1:28" ht="15" customHeight="1" x14ac:dyDescent="0.3">
      <c r="A1435" s="96" t="s">
        <v>4622</v>
      </c>
      <c r="C1435" s="115">
        <v>43875</v>
      </c>
      <c r="D1435" s="312">
        <v>43915</v>
      </c>
      <c r="E1435" s="560"/>
      <c r="F1435" s="86" t="s">
        <v>4675</v>
      </c>
      <c r="G1435" s="86" t="s">
        <v>410</v>
      </c>
      <c r="H1435" s="96" t="s">
        <v>213</v>
      </c>
      <c r="I1435" s="97" t="s">
        <v>714</v>
      </c>
      <c r="J1435" s="73">
        <f t="shared" si="135"/>
        <v>1</v>
      </c>
      <c r="K1435" s="74" t="s">
        <v>204</v>
      </c>
      <c r="N1435" s="76" t="s">
        <v>18</v>
      </c>
      <c r="Q1435" s="76" t="s">
        <v>2142</v>
      </c>
      <c r="R1435" s="73">
        <f t="shared" si="136"/>
        <v>1</v>
      </c>
      <c r="S1435" s="260" t="s">
        <v>1976</v>
      </c>
      <c r="T1435" s="260" t="s">
        <v>924</v>
      </c>
      <c r="U1435" s="260"/>
      <c r="V1435" s="260"/>
      <c r="W1435" s="260"/>
      <c r="X1435" s="260"/>
      <c r="Y1435" s="565"/>
      <c r="Z1435" s="565"/>
      <c r="AA1435" s="566">
        <f t="shared" si="134"/>
        <v>0</v>
      </c>
      <c r="AB1435" s="699"/>
    </row>
    <row r="1436" spans="1:28" ht="15" customHeight="1" x14ac:dyDescent="0.3">
      <c r="A1436" s="96" t="s">
        <v>4623</v>
      </c>
      <c r="C1436" s="115">
        <v>43875</v>
      </c>
      <c r="D1436" s="312">
        <v>43914</v>
      </c>
      <c r="E1436" s="560"/>
      <c r="F1436" s="86" t="s">
        <v>4676</v>
      </c>
      <c r="G1436" s="86" t="s">
        <v>158</v>
      </c>
      <c r="H1436" s="96" t="s">
        <v>213</v>
      </c>
      <c r="I1436" s="97" t="s">
        <v>3187</v>
      </c>
      <c r="J1436" s="73">
        <f t="shared" si="135"/>
        <v>1</v>
      </c>
      <c r="K1436" s="74" t="s">
        <v>204</v>
      </c>
      <c r="N1436" s="76" t="s">
        <v>19</v>
      </c>
      <c r="Q1436" s="76" t="s">
        <v>2109</v>
      </c>
      <c r="R1436" s="73">
        <f t="shared" si="136"/>
        <v>1</v>
      </c>
      <c r="S1436" s="260" t="s">
        <v>1976</v>
      </c>
      <c r="T1436" s="260" t="s">
        <v>924</v>
      </c>
      <c r="U1436" s="260" t="s">
        <v>5283</v>
      </c>
      <c r="V1436" s="260" t="s">
        <v>5288</v>
      </c>
      <c r="W1436" s="260"/>
      <c r="X1436" s="260"/>
      <c r="Y1436" s="565"/>
      <c r="Z1436" s="565"/>
      <c r="AA1436" s="566">
        <f t="shared" si="134"/>
        <v>0</v>
      </c>
      <c r="AB1436" s="699"/>
    </row>
    <row r="1437" spans="1:28" ht="15" customHeight="1" x14ac:dyDescent="0.3">
      <c r="A1437" s="96" t="s">
        <v>4624</v>
      </c>
      <c r="C1437" s="115">
        <v>43875</v>
      </c>
      <c r="D1437" s="312">
        <v>43915</v>
      </c>
      <c r="E1437" s="560"/>
      <c r="F1437" s="86" t="s">
        <v>4677</v>
      </c>
      <c r="G1437" s="86" t="s">
        <v>154</v>
      </c>
      <c r="H1437" s="96" t="s">
        <v>213</v>
      </c>
      <c r="I1437" s="97" t="s">
        <v>645</v>
      </c>
      <c r="J1437" s="73">
        <f t="shared" si="135"/>
        <v>1</v>
      </c>
      <c r="K1437" s="74" t="s">
        <v>204</v>
      </c>
      <c r="N1437" s="76" t="s">
        <v>17</v>
      </c>
      <c r="Q1437" s="76" t="s">
        <v>2037</v>
      </c>
      <c r="R1437" s="73">
        <f t="shared" si="136"/>
        <v>1</v>
      </c>
      <c r="S1437" s="260" t="s">
        <v>1976</v>
      </c>
      <c r="T1437" s="260" t="s">
        <v>924</v>
      </c>
      <c r="U1437" s="260"/>
      <c r="V1437" s="260"/>
      <c r="W1437" s="260"/>
      <c r="X1437" s="260"/>
      <c r="Y1437" s="565"/>
      <c r="Z1437" s="565"/>
      <c r="AA1437" s="566">
        <f t="shared" si="134"/>
        <v>0</v>
      </c>
      <c r="AB1437" s="699"/>
    </row>
    <row r="1438" spans="1:28" ht="15" customHeight="1" x14ac:dyDescent="0.3">
      <c r="A1438" s="96" t="s">
        <v>4984</v>
      </c>
      <c r="C1438" s="115">
        <v>43875</v>
      </c>
      <c r="D1438" s="312">
        <v>43915</v>
      </c>
      <c r="E1438" s="560"/>
      <c r="F1438" s="86" t="s">
        <v>5095</v>
      </c>
      <c r="G1438" s="86" t="s">
        <v>410</v>
      </c>
      <c r="H1438" s="96" t="s">
        <v>213</v>
      </c>
      <c r="I1438" s="97" t="s">
        <v>722</v>
      </c>
      <c r="J1438" s="73">
        <f t="shared" si="135"/>
        <v>1</v>
      </c>
      <c r="K1438" s="74" t="s">
        <v>204</v>
      </c>
      <c r="N1438" s="76" t="s">
        <v>18</v>
      </c>
      <c r="Q1438" s="76" t="s">
        <v>5193</v>
      </c>
      <c r="R1438" s="73">
        <f t="shared" si="136"/>
        <v>1</v>
      </c>
      <c r="S1438" s="260" t="s">
        <v>1976</v>
      </c>
      <c r="T1438" s="260" t="s">
        <v>924</v>
      </c>
      <c r="U1438" s="260"/>
      <c r="V1438" s="260"/>
      <c r="W1438" s="260"/>
      <c r="X1438" s="260"/>
      <c r="Y1438" s="565"/>
      <c r="Z1438" s="565"/>
      <c r="AA1438" s="566">
        <f t="shared" ref="AA1438:AA1488" si="137">Z1438-Y1438</f>
        <v>0</v>
      </c>
      <c r="AB1438" s="699"/>
    </row>
    <row r="1439" spans="1:28" ht="15" customHeight="1" x14ac:dyDescent="0.3">
      <c r="A1439" s="96" t="s">
        <v>4985</v>
      </c>
      <c r="C1439" s="115">
        <v>43875</v>
      </c>
      <c r="D1439" s="312">
        <v>43915</v>
      </c>
      <c r="E1439" s="560"/>
      <c r="F1439" s="86" t="s">
        <v>5096</v>
      </c>
      <c r="G1439" s="86" t="s">
        <v>152</v>
      </c>
      <c r="H1439" s="96" t="s">
        <v>213</v>
      </c>
      <c r="I1439" s="97" t="s">
        <v>5268</v>
      </c>
      <c r="J1439" s="73">
        <f t="shared" si="135"/>
        <v>1</v>
      </c>
      <c r="K1439" s="74" t="s">
        <v>204</v>
      </c>
      <c r="L1439" s="97" t="s">
        <v>5270</v>
      </c>
      <c r="N1439" s="76" t="s">
        <v>17</v>
      </c>
      <c r="Q1439" s="76" t="s">
        <v>2037</v>
      </c>
      <c r="R1439" s="73">
        <f t="shared" si="136"/>
        <v>1</v>
      </c>
      <c r="S1439" s="260" t="s">
        <v>1976</v>
      </c>
      <c r="T1439" s="260" t="s">
        <v>925</v>
      </c>
      <c r="U1439" s="260"/>
      <c r="V1439" s="260"/>
      <c r="W1439" s="260"/>
      <c r="X1439" s="260"/>
      <c r="Y1439" s="565"/>
      <c r="Z1439" s="565"/>
      <c r="AA1439" s="566">
        <f t="shared" si="137"/>
        <v>0</v>
      </c>
      <c r="AB1439" s="699"/>
    </row>
    <row r="1440" spans="1:28" ht="15" customHeight="1" x14ac:dyDescent="0.3">
      <c r="A1440" s="96" t="s">
        <v>4986</v>
      </c>
      <c r="C1440" s="115">
        <v>43875</v>
      </c>
      <c r="D1440" s="312">
        <v>43915</v>
      </c>
      <c r="E1440" s="560"/>
      <c r="F1440" s="86" t="s">
        <v>5097</v>
      </c>
      <c r="G1440" s="86" t="s">
        <v>157</v>
      </c>
      <c r="H1440" s="96" t="s">
        <v>213</v>
      </c>
      <c r="I1440" s="97" t="s">
        <v>642</v>
      </c>
      <c r="J1440" s="73">
        <f t="shared" si="135"/>
        <v>1</v>
      </c>
      <c r="K1440" s="74" t="s">
        <v>204</v>
      </c>
      <c r="N1440" s="76" t="s">
        <v>18</v>
      </c>
      <c r="Q1440" s="76" t="s">
        <v>2109</v>
      </c>
      <c r="R1440" s="73">
        <f t="shared" si="136"/>
        <v>1</v>
      </c>
      <c r="S1440" s="260" t="s">
        <v>1976</v>
      </c>
      <c r="T1440" s="260" t="s">
        <v>925</v>
      </c>
      <c r="U1440" s="260"/>
      <c r="V1440" s="260"/>
      <c r="W1440" s="260"/>
      <c r="X1440" s="260"/>
      <c r="Y1440" s="565"/>
      <c r="Z1440" s="565"/>
      <c r="AA1440" s="566">
        <f t="shared" si="137"/>
        <v>0</v>
      </c>
      <c r="AB1440" s="699"/>
    </row>
    <row r="1441" spans="1:28" ht="15" customHeight="1" x14ac:dyDescent="0.3">
      <c r="A1441" s="96" t="s">
        <v>4627</v>
      </c>
      <c r="C1441" s="115">
        <v>43875</v>
      </c>
      <c r="D1441" s="312">
        <v>43915</v>
      </c>
      <c r="E1441" s="560"/>
      <c r="F1441" s="86" t="s">
        <v>4680</v>
      </c>
      <c r="G1441" s="86" t="s">
        <v>181</v>
      </c>
      <c r="H1441" s="96" t="s">
        <v>213</v>
      </c>
      <c r="I1441" s="97" t="s">
        <v>714</v>
      </c>
      <c r="J1441" s="73">
        <f t="shared" si="135"/>
        <v>1</v>
      </c>
      <c r="K1441" s="74" t="s">
        <v>204</v>
      </c>
      <c r="N1441" s="76" t="s">
        <v>17</v>
      </c>
      <c r="Q1441" s="76" t="s">
        <v>2142</v>
      </c>
      <c r="R1441" s="73">
        <f t="shared" si="136"/>
        <v>1</v>
      </c>
      <c r="S1441" s="260" t="s">
        <v>1976</v>
      </c>
      <c r="T1441" s="260" t="s">
        <v>925</v>
      </c>
      <c r="U1441" s="260"/>
      <c r="V1441" s="260"/>
      <c r="W1441" s="260"/>
      <c r="X1441" s="260"/>
      <c r="Y1441" s="565"/>
      <c r="Z1441" s="565"/>
      <c r="AA1441" s="566">
        <f t="shared" si="137"/>
        <v>0</v>
      </c>
      <c r="AB1441" s="699"/>
    </row>
    <row r="1442" spans="1:28" ht="15" customHeight="1" x14ac:dyDescent="0.3">
      <c r="A1442" s="96" t="s">
        <v>4987</v>
      </c>
      <c r="C1442" s="115">
        <v>43875</v>
      </c>
      <c r="D1442" s="312">
        <v>43915</v>
      </c>
      <c r="E1442" s="560"/>
      <c r="F1442" s="86" t="s">
        <v>5098</v>
      </c>
      <c r="G1442" s="86" t="s">
        <v>147</v>
      </c>
      <c r="H1442" s="96" t="s">
        <v>213</v>
      </c>
      <c r="I1442" s="97" t="s">
        <v>755</v>
      </c>
      <c r="J1442" s="73">
        <f t="shared" si="135"/>
        <v>1</v>
      </c>
      <c r="K1442" s="74" t="s">
        <v>204</v>
      </c>
      <c r="N1442" s="76" t="s">
        <v>18</v>
      </c>
      <c r="Q1442" s="76" t="s">
        <v>2109</v>
      </c>
      <c r="R1442" s="73">
        <f t="shared" si="136"/>
        <v>1</v>
      </c>
      <c r="S1442" s="260" t="s">
        <v>1976</v>
      </c>
      <c r="T1442" s="260" t="s">
        <v>924</v>
      </c>
      <c r="U1442" s="260"/>
      <c r="V1442" s="260"/>
      <c r="W1442" s="260"/>
      <c r="X1442" s="260"/>
      <c r="Y1442" s="565"/>
      <c r="Z1442" s="565"/>
      <c r="AA1442" s="566">
        <f t="shared" si="137"/>
        <v>0</v>
      </c>
      <c r="AB1442" s="699"/>
    </row>
    <row r="1443" spans="1:28" ht="15" customHeight="1" x14ac:dyDescent="0.3">
      <c r="A1443" s="79" t="s">
        <v>4988</v>
      </c>
      <c r="C1443" s="115">
        <v>43878</v>
      </c>
      <c r="D1443" s="312">
        <v>43916</v>
      </c>
      <c r="E1443" s="560"/>
      <c r="F1443" s="86" t="s">
        <v>5099</v>
      </c>
      <c r="G1443" s="86" t="s">
        <v>164</v>
      </c>
      <c r="H1443" s="96" t="s">
        <v>213</v>
      </c>
      <c r="I1443" s="97" t="s">
        <v>642</v>
      </c>
      <c r="J1443" s="73">
        <f t="shared" si="135"/>
        <v>1</v>
      </c>
      <c r="K1443" s="74" t="s">
        <v>204</v>
      </c>
      <c r="N1443" s="76" t="s">
        <v>17</v>
      </c>
      <c r="Q1443" s="76" t="s">
        <v>5193</v>
      </c>
      <c r="R1443" s="73">
        <f t="shared" si="136"/>
        <v>1</v>
      </c>
      <c r="S1443" s="260" t="s">
        <v>1976</v>
      </c>
      <c r="T1443" s="260" t="s">
        <v>925</v>
      </c>
      <c r="U1443" s="260"/>
      <c r="V1443" s="260"/>
      <c r="W1443" s="260"/>
      <c r="X1443" s="260"/>
      <c r="Y1443" s="565"/>
      <c r="Z1443" s="565"/>
      <c r="AA1443" s="566">
        <f t="shared" si="137"/>
        <v>0</v>
      </c>
      <c r="AB1443" s="699"/>
    </row>
    <row r="1444" spans="1:28" ht="15" customHeight="1" x14ac:dyDescent="0.3">
      <c r="A1444" s="96" t="s">
        <v>4631</v>
      </c>
      <c r="C1444" s="115">
        <v>43878</v>
      </c>
      <c r="D1444" s="312">
        <v>43916</v>
      </c>
      <c r="E1444" s="560"/>
      <c r="F1444" s="86" t="s">
        <v>4683</v>
      </c>
      <c r="G1444" s="86" t="s">
        <v>168</v>
      </c>
      <c r="H1444" s="96" t="s">
        <v>213</v>
      </c>
      <c r="I1444" s="97" t="s">
        <v>714</v>
      </c>
      <c r="J1444" s="73">
        <f t="shared" si="135"/>
        <v>1</v>
      </c>
      <c r="K1444" s="74" t="s">
        <v>204</v>
      </c>
      <c r="L1444" s="97" t="s">
        <v>5278</v>
      </c>
      <c r="N1444" s="76" t="s">
        <v>17</v>
      </c>
      <c r="Q1444" s="76" t="s">
        <v>2076</v>
      </c>
      <c r="R1444" s="73">
        <f t="shared" si="136"/>
        <v>1</v>
      </c>
      <c r="S1444" s="260" t="s">
        <v>1976</v>
      </c>
      <c r="T1444" s="260" t="s">
        <v>923</v>
      </c>
      <c r="U1444" s="260" t="s">
        <v>5283</v>
      </c>
      <c r="V1444" s="260" t="s">
        <v>5289</v>
      </c>
      <c r="W1444" s="260"/>
      <c r="X1444" s="260"/>
      <c r="Y1444" s="565"/>
      <c r="Z1444" s="565"/>
      <c r="AA1444" s="566">
        <f t="shared" si="137"/>
        <v>0</v>
      </c>
      <c r="AB1444" s="699"/>
    </row>
    <row r="1445" spans="1:28" ht="15" customHeight="1" x14ac:dyDescent="0.3">
      <c r="A1445" s="96" t="s">
        <v>4633</v>
      </c>
      <c r="C1445" s="115">
        <v>43878</v>
      </c>
      <c r="D1445" s="312">
        <v>43916</v>
      </c>
      <c r="E1445" s="560"/>
      <c r="F1445" s="86" t="s">
        <v>4685</v>
      </c>
      <c r="G1445" s="86" t="s">
        <v>4686</v>
      </c>
      <c r="H1445" s="96" t="s">
        <v>213</v>
      </c>
      <c r="I1445" s="97" t="s">
        <v>642</v>
      </c>
      <c r="J1445" s="73">
        <f t="shared" si="135"/>
        <v>1</v>
      </c>
      <c r="K1445" s="74" t="s">
        <v>204</v>
      </c>
      <c r="N1445" s="76" t="s">
        <v>18</v>
      </c>
      <c r="Q1445" s="76" t="s">
        <v>2076</v>
      </c>
      <c r="R1445" s="73">
        <f t="shared" si="136"/>
        <v>1</v>
      </c>
      <c r="S1445" s="260" t="s">
        <v>1976</v>
      </c>
      <c r="T1445" s="260" t="s">
        <v>925</v>
      </c>
      <c r="U1445" s="260" t="s">
        <v>5283</v>
      </c>
      <c r="V1445" s="260" t="s">
        <v>5290</v>
      </c>
      <c r="W1445" s="260"/>
      <c r="X1445" s="260"/>
      <c r="Y1445" s="565"/>
      <c r="Z1445" s="565"/>
      <c r="AA1445" s="566">
        <f t="shared" si="137"/>
        <v>0</v>
      </c>
      <c r="AB1445" s="699"/>
    </row>
    <row r="1446" spans="1:28" ht="15" customHeight="1" x14ac:dyDescent="0.3">
      <c r="A1446" s="79" t="s">
        <v>4989</v>
      </c>
      <c r="C1446" s="115">
        <v>43878</v>
      </c>
      <c r="D1446" s="312">
        <v>43916</v>
      </c>
      <c r="E1446" s="560"/>
      <c r="F1446" s="86" t="s">
        <v>5100</v>
      </c>
      <c r="G1446" s="86" t="s">
        <v>152</v>
      </c>
      <c r="H1446" s="96" t="s">
        <v>213</v>
      </c>
      <c r="I1446" s="97" t="s">
        <v>714</v>
      </c>
      <c r="J1446" s="73">
        <f t="shared" si="135"/>
        <v>1</v>
      </c>
      <c r="K1446" s="74" t="s">
        <v>204</v>
      </c>
      <c r="N1446" s="76" t="s">
        <v>18</v>
      </c>
      <c r="Q1446" s="76" t="s">
        <v>5193</v>
      </c>
      <c r="R1446" s="73">
        <f t="shared" si="136"/>
        <v>1</v>
      </c>
      <c r="S1446" s="260" t="s">
        <v>1976</v>
      </c>
      <c r="T1446" s="260" t="s">
        <v>924</v>
      </c>
      <c r="U1446" s="260" t="s">
        <v>5283</v>
      </c>
      <c r="V1446" s="260" t="s">
        <v>5291</v>
      </c>
      <c r="W1446" s="260"/>
      <c r="X1446" s="260"/>
      <c r="Y1446" s="565"/>
      <c r="Z1446" s="565"/>
      <c r="AA1446" s="566">
        <f t="shared" si="137"/>
        <v>0</v>
      </c>
      <c r="AB1446" s="699"/>
    </row>
    <row r="1447" spans="1:28" ht="15" customHeight="1" x14ac:dyDescent="0.3">
      <c r="A1447" s="96" t="s">
        <v>4635</v>
      </c>
      <c r="C1447" s="115">
        <v>43878</v>
      </c>
      <c r="D1447" s="312">
        <v>43916</v>
      </c>
      <c r="E1447" s="560"/>
      <c r="F1447" s="86" t="s">
        <v>4688</v>
      </c>
      <c r="G1447" s="86" t="s">
        <v>158</v>
      </c>
      <c r="H1447" s="96" t="s">
        <v>213</v>
      </c>
      <c r="I1447" s="97" t="s">
        <v>642</v>
      </c>
      <c r="J1447" s="73">
        <f t="shared" si="135"/>
        <v>1</v>
      </c>
      <c r="K1447" s="74" t="s">
        <v>204</v>
      </c>
      <c r="N1447" s="76" t="s">
        <v>18</v>
      </c>
      <c r="Q1447" s="76" t="s">
        <v>2142</v>
      </c>
      <c r="R1447" s="73">
        <f t="shared" si="136"/>
        <v>1</v>
      </c>
      <c r="S1447" s="260" t="s">
        <v>1976</v>
      </c>
      <c r="T1447" s="260" t="s">
        <v>923</v>
      </c>
      <c r="U1447" s="260"/>
      <c r="V1447" s="260"/>
      <c r="W1447" s="260"/>
      <c r="X1447" s="260"/>
      <c r="Y1447" s="565"/>
      <c r="Z1447" s="565"/>
      <c r="AA1447" s="566">
        <f t="shared" si="137"/>
        <v>0</v>
      </c>
      <c r="AB1447" s="699"/>
    </row>
    <row r="1448" spans="1:28" ht="15" customHeight="1" x14ac:dyDescent="0.3">
      <c r="A1448" s="96" t="s">
        <v>4990</v>
      </c>
      <c r="C1448" s="115">
        <v>43878</v>
      </c>
      <c r="D1448" s="312">
        <v>43915</v>
      </c>
      <c r="E1448" s="560"/>
      <c r="F1448" s="86" t="s">
        <v>5101</v>
      </c>
      <c r="G1448" s="86" t="s">
        <v>150</v>
      </c>
      <c r="H1448" s="96" t="s">
        <v>213</v>
      </c>
      <c r="I1448" s="97" t="s">
        <v>642</v>
      </c>
      <c r="J1448" s="73">
        <f t="shared" si="135"/>
        <v>1</v>
      </c>
      <c r="K1448" s="74" t="s">
        <v>204</v>
      </c>
      <c r="N1448" s="76" t="s">
        <v>18</v>
      </c>
      <c r="Q1448" s="76" t="s">
        <v>2037</v>
      </c>
      <c r="R1448" s="73">
        <f t="shared" si="136"/>
        <v>1</v>
      </c>
      <c r="S1448" s="260" t="s">
        <v>1976</v>
      </c>
      <c r="T1448" s="260" t="s">
        <v>923</v>
      </c>
      <c r="U1448" s="260"/>
      <c r="V1448" s="260"/>
      <c r="W1448" s="260"/>
      <c r="X1448" s="260"/>
      <c r="Y1448" s="565"/>
      <c r="Z1448" s="565"/>
      <c r="AA1448" s="566">
        <f t="shared" si="137"/>
        <v>0</v>
      </c>
      <c r="AB1448" s="699"/>
    </row>
    <row r="1449" spans="1:28" ht="15" customHeight="1" x14ac:dyDescent="0.3">
      <c r="A1449" s="96" t="s">
        <v>4639</v>
      </c>
      <c r="C1449" s="115">
        <v>43878</v>
      </c>
      <c r="D1449" s="312">
        <v>43916</v>
      </c>
      <c r="E1449" s="560"/>
      <c r="F1449" s="86" t="s">
        <v>4692</v>
      </c>
      <c r="G1449" s="86" t="s">
        <v>172</v>
      </c>
      <c r="H1449" s="96" t="s">
        <v>213</v>
      </c>
      <c r="I1449" s="97" t="s">
        <v>714</v>
      </c>
      <c r="J1449" s="73">
        <f t="shared" si="135"/>
        <v>1</v>
      </c>
      <c r="K1449" s="74" t="s">
        <v>204</v>
      </c>
      <c r="L1449" s="97" t="s">
        <v>693</v>
      </c>
      <c r="N1449" s="76" t="s">
        <v>17</v>
      </c>
      <c r="Q1449" s="76" t="s">
        <v>2037</v>
      </c>
      <c r="R1449" s="73">
        <f t="shared" si="136"/>
        <v>1</v>
      </c>
      <c r="S1449" s="260" t="s">
        <v>1976</v>
      </c>
      <c r="T1449" s="260" t="s">
        <v>924</v>
      </c>
      <c r="U1449" s="260"/>
      <c r="V1449" s="260"/>
      <c r="W1449" s="260"/>
      <c r="X1449" s="260"/>
      <c r="Y1449" s="565"/>
      <c r="Z1449" s="565"/>
      <c r="AA1449" s="566">
        <f t="shared" si="137"/>
        <v>0</v>
      </c>
      <c r="AB1449" s="699"/>
    </row>
    <row r="1450" spans="1:28" ht="15" customHeight="1" x14ac:dyDescent="0.3">
      <c r="A1450" s="96" t="s">
        <v>4640</v>
      </c>
      <c r="C1450" s="115">
        <v>43878</v>
      </c>
      <c r="D1450" s="312">
        <v>43916</v>
      </c>
      <c r="E1450" s="560"/>
      <c r="F1450" s="86" t="s">
        <v>4693</v>
      </c>
      <c r="G1450" s="86" t="s">
        <v>154</v>
      </c>
      <c r="H1450" s="96" t="s">
        <v>213</v>
      </c>
      <c r="I1450" s="97" t="s">
        <v>645</v>
      </c>
      <c r="J1450" s="73">
        <f t="shared" si="135"/>
        <v>1</v>
      </c>
      <c r="K1450" s="74" t="s">
        <v>204</v>
      </c>
      <c r="L1450" s="97" t="s">
        <v>5275</v>
      </c>
      <c r="N1450" s="76" t="s">
        <v>17</v>
      </c>
      <c r="Q1450" s="76" t="s">
        <v>2142</v>
      </c>
      <c r="R1450" s="73">
        <f t="shared" si="136"/>
        <v>1</v>
      </c>
      <c r="S1450" s="260" t="s">
        <v>1976</v>
      </c>
      <c r="T1450" s="260" t="s">
        <v>924</v>
      </c>
      <c r="U1450" s="260"/>
      <c r="V1450" s="260"/>
      <c r="W1450" s="260"/>
      <c r="X1450" s="260"/>
      <c r="Y1450" s="565"/>
      <c r="Z1450" s="565"/>
      <c r="AA1450" s="566">
        <f t="shared" si="137"/>
        <v>0</v>
      </c>
      <c r="AB1450" s="699"/>
    </row>
    <row r="1451" spans="1:28" ht="15" customHeight="1" x14ac:dyDescent="0.3">
      <c r="A1451" s="96" t="s">
        <v>4641</v>
      </c>
      <c r="C1451" s="115">
        <v>43878</v>
      </c>
      <c r="D1451" s="312">
        <v>43916</v>
      </c>
      <c r="E1451" s="560"/>
      <c r="F1451" s="86" t="s">
        <v>4694</v>
      </c>
      <c r="G1451" s="86" t="s">
        <v>189</v>
      </c>
      <c r="H1451" s="96" t="s">
        <v>213</v>
      </c>
      <c r="I1451" s="97" t="s">
        <v>714</v>
      </c>
      <c r="J1451" s="73">
        <f t="shared" si="135"/>
        <v>1</v>
      </c>
      <c r="K1451" s="74" t="s">
        <v>204</v>
      </c>
      <c r="N1451" s="76" t="s">
        <v>17</v>
      </c>
      <c r="Q1451" s="76" t="s">
        <v>2037</v>
      </c>
      <c r="R1451" s="73">
        <f t="shared" si="136"/>
        <v>1</v>
      </c>
      <c r="S1451" s="260" t="s">
        <v>1976</v>
      </c>
      <c r="T1451" s="260" t="s">
        <v>923</v>
      </c>
      <c r="U1451" s="260" t="s">
        <v>5283</v>
      </c>
      <c r="V1451" s="260" t="s">
        <v>5292</v>
      </c>
      <c r="W1451" s="260"/>
      <c r="X1451" s="260" t="s">
        <v>5310</v>
      </c>
      <c r="Y1451" s="565"/>
      <c r="Z1451" s="565"/>
      <c r="AA1451" s="566">
        <f t="shared" si="137"/>
        <v>0</v>
      </c>
      <c r="AB1451" s="699"/>
    </row>
    <row r="1452" spans="1:28" ht="15" customHeight="1" x14ac:dyDescent="0.3">
      <c r="A1452" s="96" t="s">
        <v>4642</v>
      </c>
      <c r="C1452" s="115">
        <v>43878</v>
      </c>
      <c r="D1452" s="312">
        <v>43916</v>
      </c>
      <c r="E1452" s="560"/>
      <c r="F1452" s="86" t="s">
        <v>4695</v>
      </c>
      <c r="G1452" s="86" t="s">
        <v>538</v>
      </c>
      <c r="H1452" s="96" t="s">
        <v>213</v>
      </c>
      <c r="I1452" s="97" t="s">
        <v>714</v>
      </c>
      <c r="J1452" s="73">
        <f t="shared" si="135"/>
        <v>1</v>
      </c>
      <c r="K1452" s="74" t="s">
        <v>204</v>
      </c>
      <c r="N1452" s="76" t="s">
        <v>17</v>
      </c>
      <c r="Q1452" s="76" t="s">
        <v>2142</v>
      </c>
      <c r="R1452" s="73">
        <f t="shared" si="136"/>
        <v>1</v>
      </c>
      <c r="S1452" s="260" t="s">
        <v>1976</v>
      </c>
      <c r="T1452" s="260" t="s">
        <v>925</v>
      </c>
      <c r="U1452" s="260"/>
      <c r="V1452" s="260"/>
      <c r="W1452" s="260"/>
      <c r="X1452" s="260"/>
      <c r="Y1452" s="565"/>
      <c r="Z1452" s="565"/>
      <c r="AA1452" s="566">
        <f t="shared" si="137"/>
        <v>0</v>
      </c>
      <c r="AB1452" s="699"/>
    </row>
    <row r="1453" spans="1:28" ht="15" customHeight="1" x14ac:dyDescent="0.3">
      <c r="A1453" s="96" t="s">
        <v>4991</v>
      </c>
      <c r="C1453" s="115">
        <v>43878</v>
      </c>
      <c r="D1453" s="312">
        <v>43916</v>
      </c>
      <c r="E1453" s="560"/>
      <c r="F1453" s="86" t="s">
        <v>5102</v>
      </c>
      <c r="G1453" s="86" t="s">
        <v>152</v>
      </c>
      <c r="H1453" s="96" t="s">
        <v>213</v>
      </c>
      <c r="I1453" s="97" t="s">
        <v>714</v>
      </c>
      <c r="J1453" s="73">
        <f t="shared" si="135"/>
        <v>1</v>
      </c>
      <c r="K1453" s="74" t="s">
        <v>204</v>
      </c>
      <c r="N1453" s="76" t="s">
        <v>17</v>
      </c>
      <c r="Q1453" s="76" t="s">
        <v>2109</v>
      </c>
      <c r="R1453" s="73">
        <f t="shared" si="136"/>
        <v>1</v>
      </c>
      <c r="S1453" s="260" t="s">
        <v>1976</v>
      </c>
      <c r="T1453" s="260" t="s">
        <v>923</v>
      </c>
      <c r="U1453" s="260" t="s">
        <v>5283</v>
      </c>
      <c r="V1453" s="260" t="s">
        <v>5293</v>
      </c>
      <c r="W1453" s="260"/>
      <c r="X1453" s="260"/>
      <c r="Y1453" s="565"/>
      <c r="Z1453" s="565"/>
      <c r="AA1453" s="566">
        <f t="shared" si="137"/>
        <v>0</v>
      </c>
      <c r="AB1453" s="699"/>
    </row>
    <row r="1454" spans="1:28" ht="15" customHeight="1" x14ac:dyDescent="0.3">
      <c r="A1454" s="79" t="s">
        <v>4992</v>
      </c>
      <c r="C1454" s="115">
        <v>43878</v>
      </c>
      <c r="D1454" s="312">
        <v>43916</v>
      </c>
      <c r="E1454" s="560"/>
      <c r="F1454" s="86" t="s">
        <v>5103</v>
      </c>
      <c r="G1454" s="86" t="s">
        <v>150</v>
      </c>
      <c r="H1454" s="96" t="s">
        <v>3612</v>
      </c>
      <c r="I1454" s="97" t="s">
        <v>642</v>
      </c>
      <c r="J1454" s="73">
        <f t="shared" si="135"/>
        <v>1</v>
      </c>
      <c r="K1454" s="74" t="s">
        <v>204</v>
      </c>
      <c r="N1454" s="76" t="s">
        <v>18</v>
      </c>
      <c r="Q1454" s="76" t="s">
        <v>5193</v>
      </c>
      <c r="R1454" s="73">
        <f t="shared" si="136"/>
        <v>1</v>
      </c>
      <c r="S1454" s="260" t="s">
        <v>1976</v>
      </c>
      <c r="T1454" s="260" t="s">
        <v>923</v>
      </c>
      <c r="U1454" s="260"/>
      <c r="V1454" s="260"/>
      <c r="W1454" s="260"/>
      <c r="X1454" s="260"/>
      <c r="Y1454" s="565"/>
      <c r="Z1454" s="565"/>
      <c r="AA1454" s="566">
        <f t="shared" si="137"/>
        <v>0</v>
      </c>
      <c r="AB1454" s="699"/>
    </row>
    <row r="1455" spans="1:28" ht="15" customHeight="1" x14ac:dyDescent="0.3">
      <c r="A1455" s="96" t="s">
        <v>4643</v>
      </c>
      <c r="C1455" s="115">
        <v>43878</v>
      </c>
      <c r="D1455" s="312">
        <v>43916</v>
      </c>
      <c r="E1455" s="560"/>
      <c r="F1455" s="86" t="s">
        <v>4696</v>
      </c>
      <c r="G1455" s="86" t="s">
        <v>156</v>
      </c>
      <c r="H1455" s="96" t="s">
        <v>213</v>
      </c>
      <c r="I1455" s="97" t="s">
        <v>755</v>
      </c>
      <c r="J1455" s="73">
        <f t="shared" si="135"/>
        <v>1</v>
      </c>
      <c r="K1455" s="74" t="s">
        <v>204</v>
      </c>
      <c r="L1455" s="97" t="s">
        <v>5279</v>
      </c>
      <c r="N1455" s="76" t="s">
        <v>18</v>
      </c>
      <c r="Q1455" s="76" t="s">
        <v>2109</v>
      </c>
      <c r="R1455" s="73">
        <f t="shared" si="136"/>
        <v>1</v>
      </c>
      <c r="S1455" s="260" t="s">
        <v>1976</v>
      </c>
      <c r="T1455" s="260" t="s">
        <v>924</v>
      </c>
      <c r="U1455" s="260" t="s">
        <v>5283</v>
      </c>
      <c r="V1455" s="260" t="s">
        <v>5294</v>
      </c>
      <c r="W1455" s="260"/>
      <c r="X1455" s="260"/>
      <c r="Y1455" s="565"/>
      <c r="Z1455" s="565"/>
      <c r="AA1455" s="566">
        <f t="shared" si="137"/>
        <v>0</v>
      </c>
      <c r="AB1455" s="699"/>
    </row>
    <row r="1456" spans="1:28" ht="15" customHeight="1" x14ac:dyDescent="0.3">
      <c r="A1456" s="96" t="s">
        <v>4644</v>
      </c>
      <c r="C1456" s="115">
        <v>43878</v>
      </c>
      <c r="D1456" s="312">
        <v>43916</v>
      </c>
      <c r="E1456" s="560"/>
      <c r="F1456" s="86" t="s">
        <v>4697</v>
      </c>
      <c r="G1456" s="86" t="s">
        <v>172</v>
      </c>
      <c r="H1456" s="96" t="s">
        <v>213</v>
      </c>
      <c r="I1456" s="97" t="s">
        <v>641</v>
      </c>
      <c r="J1456" s="73">
        <f t="shared" si="135"/>
        <v>1</v>
      </c>
      <c r="K1456" s="74" t="s">
        <v>204</v>
      </c>
      <c r="N1456" s="76" t="s">
        <v>17</v>
      </c>
      <c r="Q1456" s="76" t="s">
        <v>2109</v>
      </c>
      <c r="R1456" s="73">
        <f t="shared" si="136"/>
        <v>1</v>
      </c>
      <c r="S1456" s="260" t="s">
        <v>1976</v>
      </c>
      <c r="T1456" s="260" t="s">
        <v>923</v>
      </c>
      <c r="U1456" s="260" t="s">
        <v>5283</v>
      </c>
      <c r="V1456" s="260" t="s">
        <v>5295</v>
      </c>
      <c r="W1456" s="260"/>
      <c r="X1456" s="260"/>
      <c r="Y1456" s="565"/>
      <c r="Z1456" s="565"/>
      <c r="AA1456" s="566">
        <f t="shared" si="137"/>
        <v>0</v>
      </c>
      <c r="AB1456" s="699"/>
    </row>
    <row r="1457" spans="1:28" ht="15" customHeight="1" x14ac:dyDescent="0.3">
      <c r="A1457" s="96" t="s">
        <v>4646</v>
      </c>
      <c r="C1457" s="115">
        <v>43879</v>
      </c>
      <c r="D1457" s="312">
        <v>43917</v>
      </c>
      <c r="E1457" s="560"/>
      <c r="F1457" s="86" t="s">
        <v>4699</v>
      </c>
      <c r="G1457" s="86" t="s">
        <v>158</v>
      </c>
      <c r="H1457" s="79" t="s">
        <v>268</v>
      </c>
      <c r="I1457" s="97" t="s">
        <v>642</v>
      </c>
      <c r="J1457" s="73">
        <f t="shared" si="135"/>
        <v>1</v>
      </c>
      <c r="K1457" s="74" t="s">
        <v>204</v>
      </c>
      <c r="L1457" s="97" t="s">
        <v>8110</v>
      </c>
      <c r="N1457" s="76" t="s">
        <v>18</v>
      </c>
      <c r="Q1457" s="76" t="s">
        <v>2076</v>
      </c>
      <c r="R1457" s="73">
        <f t="shared" si="136"/>
        <v>1</v>
      </c>
      <c r="S1457" s="260" t="s">
        <v>1976</v>
      </c>
      <c r="T1457" s="260"/>
      <c r="U1457" s="260" t="s">
        <v>5283</v>
      </c>
      <c r="V1457" s="260" t="s">
        <v>5313</v>
      </c>
      <c r="W1457" s="260"/>
      <c r="X1457" s="260"/>
      <c r="Y1457" s="565"/>
      <c r="Z1457" s="565"/>
      <c r="AA1457" s="566">
        <f t="shared" si="137"/>
        <v>0</v>
      </c>
      <c r="AB1457" s="699"/>
    </row>
    <row r="1458" spans="1:28" ht="15" customHeight="1" x14ac:dyDescent="0.3">
      <c r="A1458" s="96" t="s">
        <v>4647</v>
      </c>
      <c r="C1458" s="115">
        <v>43879</v>
      </c>
      <c r="D1458" s="312">
        <v>43917</v>
      </c>
      <c r="E1458" s="560"/>
      <c r="F1458" s="86" t="s">
        <v>4700</v>
      </c>
      <c r="G1458" s="86" t="s">
        <v>147</v>
      </c>
      <c r="H1458" s="96" t="s">
        <v>213</v>
      </c>
      <c r="I1458" s="97" t="s">
        <v>714</v>
      </c>
      <c r="J1458" s="73">
        <f t="shared" si="135"/>
        <v>1</v>
      </c>
      <c r="K1458" s="74" t="s">
        <v>204</v>
      </c>
      <c r="N1458" s="76" t="s">
        <v>17</v>
      </c>
      <c r="Q1458" s="76" t="s">
        <v>2037</v>
      </c>
      <c r="R1458" s="73">
        <f t="shared" si="136"/>
        <v>1</v>
      </c>
      <c r="S1458" s="260" t="s">
        <v>1976</v>
      </c>
      <c r="T1458" s="260" t="s">
        <v>924</v>
      </c>
      <c r="U1458" s="260" t="s">
        <v>5283</v>
      </c>
      <c r="V1458" s="260" t="s">
        <v>5311</v>
      </c>
      <c r="W1458" s="260"/>
      <c r="X1458" s="260"/>
      <c r="Y1458" s="565"/>
      <c r="Z1458" s="565"/>
      <c r="AA1458" s="566">
        <f t="shared" si="137"/>
        <v>0</v>
      </c>
      <c r="AB1458" s="699"/>
    </row>
    <row r="1459" spans="1:28" ht="15" customHeight="1" x14ac:dyDescent="0.3">
      <c r="A1459" s="96" t="s">
        <v>4993</v>
      </c>
      <c r="C1459" s="115">
        <v>43879</v>
      </c>
      <c r="D1459" s="312">
        <v>43917</v>
      </c>
      <c r="E1459" s="560"/>
      <c r="F1459" s="86" t="s">
        <v>5104</v>
      </c>
      <c r="G1459" s="86" t="s">
        <v>181</v>
      </c>
      <c r="H1459" s="96" t="s">
        <v>213</v>
      </c>
      <c r="I1459" s="97" t="s">
        <v>5268</v>
      </c>
      <c r="J1459" s="73">
        <f t="shared" si="135"/>
        <v>1</v>
      </c>
      <c r="K1459" s="74" t="s">
        <v>204</v>
      </c>
      <c r="L1459" s="97" t="s">
        <v>5312</v>
      </c>
      <c r="N1459" s="76" t="s">
        <v>18</v>
      </c>
      <c r="Q1459" s="76" t="s">
        <v>2142</v>
      </c>
      <c r="R1459" s="73">
        <f t="shared" si="136"/>
        <v>1</v>
      </c>
      <c r="S1459" s="260" t="s">
        <v>1976</v>
      </c>
      <c r="T1459" s="260" t="s">
        <v>923</v>
      </c>
      <c r="U1459" s="260"/>
      <c r="V1459" s="260"/>
      <c r="W1459" s="260"/>
      <c r="X1459" s="260"/>
      <c r="Y1459" s="565"/>
      <c r="Z1459" s="565"/>
      <c r="AA1459" s="566">
        <f t="shared" si="137"/>
        <v>0</v>
      </c>
      <c r="AB1459" s="699"/>
    </row>
    <row r="1460" spans="1:28" ht="15" customHeight="1" x14ac:dyDescent="0.3">
      <c r="A1460" s="79" t="s">
        <v>4994</v>
      </c>
      <c r="C1460" s="115">
        <v>43879</v>
      </c>
      <c r="D1460" s="312">
        <v>43917</v>
      </c>
      <c r="E1460" s="560"/>
      <c r="F1460" s="86" t="s">
        <v>5105</v>
      </c>
      <c r="G1460" s="86" t="s">
        <v>152</v>
      </c>
      <c r="H1460" s="96" t="s">
        <v>213</v>
      </c>
      <c r="I1460" s="97" t="s">
        <v>714</v>
      </c>
      <c r="J1460" s="73">
        <f t="shared" ref="J1460:J1492" si="138">IF(OR(K1460="Документы готовы",K1460="Запрос в ФО",K1460="ЭЗ",K1460="РЕШ",K1460="РЕШ шаблон"),0.1,IF(OR(K1460="ЭЗ согласование",K1460="РЕШ согласование"),0.3,IF(OR(K1460="ЭЗ согласовано",K1460="РЕШ согласовано",K1460="РЕШ подписано"),0.6,IF(OR(K1460="ЭЗ ПР согласование",K1460="РЕШ УВ согласование"),0.9,IF(OR(K1460="ЭЗ ПР DONE",K1460="РЕШ УВ DONE"),1,0)))))</f>
        <v>1</v>
      </c>
      <c r="K1460" s="74" t="s">
        <v>204</v>
      </c>
      <c r="N1460" s="76" t="s">
        <v>17</v>
      </c>
      <c r="Q1460" s="76" t="s">
        <v>5193</v>
      </c>
      <c r="R1460" s="73">
        <f t="shared" ref="R1460:R1492" si="139">IF(S1460="В работе",0.3,IF(S1460="Отписано",0.6,IF(S1460="На доработку",0.9,IF(S1460="Согласовано",1,0))))</f>
        <v>1</v>
      </c>
      <c r="S1460" s="260" t="s">
        <v>1976</v>
      </c>
      <c r="T1460" s="260" t="s">
        <v>924</v>
      </c>
      <c r="U1460" s="260"/>
      <c r="V1460" s="260"/>
      <c r="W1460" s="260"/>
      <c r="X1460" s="260"/>
      <c r="Y1460" s="565"/>
      <c r="Z1460" s="565"/>
      <c r="AA1460" s="566">
        <f t="shared" si="137"/>
        <v>0</v>
      </c>
      <c r="AB1460" s="699"/>
    </row>
    <row r="1461" spans="1:28" ht="15" customHeight="1" x14ac:dyDescent="0.3">
      <c r="A1461" s="96" t="s">
        <v>4995</v>
      </c>
      <c r="C1461" s="115">
        <v>43879</v>
      </c>
      <c r="D1461" s="312">
        <v>43917</v>
      </c>
      <c r="E1461" s="560"/>
      <c r="F1461" s="86" t="s">
        <v>5106</v>
      </c>
      <c r="G1461" s="86" t="s">
        <v>147</v>
      </c>
      <c r="H1461" s="96" t="s">
        <v>213</v>
      </c>
      <c r="I1461" s="97" t="s">
        <v>642</v>
      </c>
      <c r="J1461" s="73">
        <f t="shared" si="138"/>
        <v>1</v>
      </c>
      <c r="K1461" s="74" t="s">
        <v>204</v>
      </c>
      <c r="N1461" s="76" t="s">
        <v>18</v>
      </c>
      <c r="Q1461" s="76" t="s">
        <v>2037</v>
      </c>
      <c r="R1461" s="73">
        <f t="shared" si="139"/>
        <v>1</v>
      </c>
      <c r="S1461" s="260" t="s">
        <v>1976</v>
      </c>
      <c r="T1461" s="260" t="s">
        <v>925</v>
      </c>
      <c r="U1461" s="260"/>
      <c r="V1461" s="260"/>
      <c r="W1461" s="260"/>
      <c r="X1461" s="260"/>
      <c r="Y1461" s="565"/>
      <c r="Z1461" s="565"/>
      <c r="AA1461" s="566">
        <f t="shared" si="137"/>
        <v>0</v>
      </c>
      <c r="AB1461" s="699"/>
    </row>
    <row r="1462" spans="1:28" ht="15" customHeight="1" x14ac:dyDescent="0.3">
      <c r="A1462" s="79" t="s">
        <v>4996</v>
      </c>
      <c r="C1462" s="115">
        <v>43879</v>
      </c>
      <c r="D1462" s="312">
        <v>43917</v>
      </c>
      <c r="E1462" s="560"/>
      <c r="F1462" s="86" t="s">
        <v>5107</v>
      </c>
      <c r="G1462" s="86" t="s">
        <v>410</v>
      </c>
      <c r="H1462" s="96" t="s">
        <v>213</v>
      </c>
      <c r="I1462" s="97" t="s">
        <v>722</v>
      </c>
      <c r="J1462" s="73">
        <f t="shared" si="138"/>
        <v>1</v>
      </c>
      <c r="K1462" s="74" t="s">
        <v>204</v>
      </c>
      <c r="N1462" s="76" t="s">
        <v>17</v>
      </c>
      <c r="Q1462" s="76" t="s">
        <v>2037</v>
      </c>
      <c r="R1462" s="73">
        <f t="shared" si="139"/>
        <v>1</v>
      </c>
      <c r="S1462" s="260" t="s">
        <v>1976</v>
      </c>
      <c r="T1462" s="260" t="s">
        <v>925</v>
      </c>
      <c r="U1462" s="260"/>
      <c r="V1462" s="260"/>
      <c r="W1462" s="260"/>
      <c r="X1462" s="260"/>
      <c r="Y1462" s="565"/>
      <c r="Z1462" s="565"/>
      <c r="AA1462" s="566">
        <f t="shared" si="137"/>
        <v>0</v>
      </c>
      <c r="AB1462" s="699"/>
    </row>
    <row r="1463" spans="1:28" ht="15" customHeight="1" x14ac:dyDescent="0.3">
      <c r="A1463" s="96" t="s">
        <v>4997</v>
      </c>
      <c r="C1463" s="115">
        <v>43879</v>
      </c>
      <c r="D1463" s="312">
        <v>43916</v>
      </c>
      <c r="E1463" s="560"/>
      <c r="F1463" s="86" t="s">
        <v>5108</v>
      </c>
      <c r="G1463" s="86" t="s">
        <v>158</v>
      </c>
      <c r="H1463" s="96" t="s">
        <v>213</v>
      </c>
      <c r="I1463" s="97" t="s">
        <v>714</v>
      </c>
      <c r="J1463" s="73">
        <f t="shared" si="138"/>
        <v>1</v>
      </c>
      <c r="K1463" s="74" t="s">
        <v>204</v>
      </c>
      <c r="N1463" s="76" t="s">
        <v>17</v>
      </c>
      <c r="Q1463" s="76" t="s">
        <v>2037</v>
      </c>
      <c r="R1463" s="73">
        <f t="shared" si="139"/>
        <v>1</v>
      </c>
      <c r="S1463" s="260" t="s">
        <v>1976</v>
      </c>
      <c r="T1463" s="260" t="s">
        <v>925</v>
      </c>
      <c r="U1463" s="260"/>
      <c r="V1463" s="260"/>
      <c r="W1463" s="260"/>
      <c r="X1463" s="260"/>
      <c r="Y1463" s="565"/>
      <c r="Z1463" s="565"/>
      <c r="AA1463" s="566">
        <f t="shared" si="137"/>
        <v>0</v>
      </c>
      <c r="AB1463" s="699"/>
    </row>
    <row r="1464" spans="1:28" ht="15" customHeight="1" x14ac:dyDescent="0.3">
      <c r="A1464" s="96" t="s">
        <v>4654</v>
      </c>
      <c r="C1464" s="115">
        <v>43879</v>
      </c>
      <c r="D1464" s="312">
        <v>43917</v>
      </c>
      <c r="E1464" s="560"/>
      <c r="F1464" s="86" t="s">
        <v>4707</v>
      </c>
      <c r="G1464" s="86" t="s">
        <v>150</v>
      </c>
      <c r="H1464" s="96" t="s">
        <v>213</v>
      </c>
      <c r="I1464" s="97" t="s">
        <v>854</v>
      </c>
      <c r="J1464" s="73">
        <f t="shared" si="138"/>
        <v>1</v>
      </c>
      <c r="K1464" s="74" t="s">
        <v>204</v>
      </c>
      <c r="N1464" s="76" t="s">
        <v>17</v>
      </c>
      <c r="Q1464" s="76" t="s">
        <v>2142</v>
      </c>
      <c r="R1464" s="73">
        <f t="shared" si="139"/>
        <v>1</v>
      </c>
      <c r="S1464" s="260" t="s">
        <v>1976</v>
      </c>
      <c r="T1464" s="260" t="s">
        <v>924</v>
      </c>
      <c r="U1464" s="260"/>
      <c r="V1464" s="260"/>
      <c r="W1464" s="260"/>
      <c r="X1464" s="260"/>
      <c r="Y1464" s="565"/>
      <c r="Z1464" s="565"/>
      <c r="AA1464" s="566">
        <f t="shared" si="137"/>
        <v>0</v>
      </c>
      <c r="AB1464" s="699"/>
    </row>
    <row r="1465" spans="1:28" ht="15" customHeight="1" x14ac:dyDescent="0.3">
      <c r="A1465" s="96" t="s">
        <v>4655</v>
      </c>
      <c r="C1465" s="115">
        <v>43879</v>
      </c>
      <c r="D1465" s="312">
        <v>43917</v>
      </c>
      <c r="E1465" s="560"/>
      <c r="F1465" s="86" t="s">
        <v>4708</v>
      </c>
      <c r="G1465" s="86" t="s">
        <v>158</v>
      </c>
      <c r="H1465" s="96" t="s">
        <v>213</v>
      </c>
      <c r="I1465" s="97" t="s">
        <v>714</v>
      </c>
      <c r="J1465" s="73">
        <f t="shared" si="138"/>
        <v>1</v>
      </c>
      <c r="K1465" s="74" t="s">
        <v>204</v>
      </c>
      <c r="N1465" s="76" t="s">
        <v>18</v>
      </c>
      <c r="Q1465" s="76" t="s">
        <v>2076</v>
      </c>
      <c r="R1465" s="73">
        <f t="shared" si="139"/>
        <v>1</v>
      </c>
      <c r="S1465" s="260" t="s">
        <v>1976</v>
      </c>
      <c r="T1465" s="260" t="s">
        <v>923</v>
      </c>
      <c r="U1465" s="260"/>
      <c r="V1465" s="260"/>
      <c r="W1465" s="260"/>
      <c r="X1465" s="260"/>
      <c r="Y1465" s="565"/>
      <c r="Z1465" s="565"/>
      <c r="AA1465" s="566">
        <f t="shared" si="137"/>
        <v>0</v>
      </c>
      <c r="AB1465" s="699"/>
    </row>
    <row r="1466" spans="1:28" ht="15" customHeight="1" x14ac:dyDescent="0.3">
      <c r="A1466" s="96" t="s">
        <v>4998</v>
      </c>
      <c r="C1466" s="115">
        <v>43879</v>
      </c>
      <c r="D1466" s="312">
        <v>43917</v>
      </c>
      <c r="E1466" s="560"/>
      <c r="F1466" s="86" t="s">
        <v>5109</v>
      </c>
      <c r="G1466" s="86" t="s">
        <v>150</v>
      </c>
      <c r="H1466" s="96" t="s">
        <v>213</v>
      </c>
      <c r="I1466" s="97" t="s">
        <v>714</v>
      </c>
      <c r="J1466" s="73">
        <f t="shared" si="138"/>
        <v>1</v>
      </c>
      <c r="K1466" s="74" t="s">
        <v>204</v>
      </c>
      <c r="L1466" s="97" t="s">
        <v>5307</v>
      </c>
      <c r="Q1466" s="76" t="s">
        <v>5193</v>
      </c>
      <c r="R1466" s="73">
        <f t="shared" si="139"/>
        <v>1</v>
      </c>
      <c r="S1466" s="260" t="s">
        <v>1976</v>
      </c>
      <c r="T1466" s="260" t="s">
        <v>925</v>
      </c>
      <c r="U1466" s="260" t="s">
        <v>5283</v>
      </c>
      <c r="V1466" s="260" t="s">
        <v>12739</v>
      </c>
      <c r="W1466" s="260"/>
      <c r="X1466" s="260"/>
      <c r="Y1466" s="565"/>
      <c r="Z1466" s="565"/>
      <c r="AA1466" s="566">
        <f t="shared" si="137"/>
        <v>0</v>
      </c>
      <c r="AB1466" s="699"/>
    </row>
    <row r="1467" spans="1:28" ht="15" customHeight="1" x14ac:dyDescent="0.3">
      <c r="A1467" s="96" t="s">
        <v>5000</v>
      </c>
      <c r="C1467" s="115">
        <v>43888</v>
      </c>
      <c r="D1467" s="312">
        <v>43913</v>
      </c>
      <c r="E1467" s="560"/>
      <c r="F1467" s="86" t="s">
        <v>5111</v>
      </c>
      <c r="G1467" s="86" t="s">
        <v>158</v>
      </c>
      <c r="H1467" s="96" t="s">
        <v>213</v>
      </c>
      <c r="I1467" s="97" t="s">
        <v>3187</v>
      </c>
      <c r="J1467" s="73">
        <f t="shared" si="138"/>
        <v>1</v>
      </c>
      <c r="K1467" s="74" t="s">
        <v>204</v>
      </c>
      <c r="N1467" s="76" t="s">
        <v>19</v>
      </c>
      <c r="Q1467" s="76" t="s">
        <v>5193</v>
      </c>
      <c r="R1467" s="73">
        <f t="shared" si="139"/>
        <v>1</v>
      </c>
      <c r="S1467" s="260" t="s">
        <v>1976</v>
      </c>
      <c r="T1467" s="260" t="s">
        <v>924</v>
      </c>
      <c r="U1467" s="260"/>
      <c r="V1467" s="260"/>
      <c r="W1467" s="260"/>
      <c r="X1467" s="260"/>
      <c r="Y1467" s="565"/>
      <c r="Z1467" s="565"/>
      <c r="AA1467" s="566">
        <f t="shared" si="137"/>
        <v>0</v>
      </c>
      <c r="AB1467" s="699"/>
    </row>
    <row r="1468" spans="1:28" ht="15" customHeight="1" x14ac:dyDescent="0.3">
      <c r="A1468" s="79" t="s">
        <v>5001</v>
      </c>
      <c r="C1468" s="115">
        <v>43888</v>
      </c>
      <c r="D1468" s="312">
        <v>43913</v>
      </c>
      <c r="E1468" s="560"/>
      <c r="F1468" s="86" t="s">
        <v>5112</v>
      </c>
      <c r="G1468" s="86" t="s">
        <v>152</v>
      </c>
      <c r="H1468" s="96" t="s">
        <v>213</v>
      </c>
      <c r="I1468" s="97" t="s">
        <v>3150</v>
      </c>
      <c r="J1468" s="73">
        <f t="shared" si="138"/>
        <v>1</v>
      </c>
      <c r="K1468" s="74" t="s">
        <v>204</v>
      </c>
      <c r="N1468" s="76" t="s">
        <v>18</v>
      </c>
      <c r="Q1468" s="76" t="s">
        <v>5193</v>
      </c>
      <c r="R1468" s="73">
        <f t="shared" si="139"/>
        <v>1</v>
      </c>
      <c r="S1468" s="260" t="s">
        <v>1976</v>
      </c>
      <c r="T1468" s="260" t="s">
        <v>924</v>
      </c>
      <c r="U1468" s="260"/>
      <c r="V1468" s="260"/>
      <c r="W1468" s="260"/>
      <c r="X1468" s="260"/>
      <c r="Y1468" s="565"/>
      <c r="Z1468" s="565"/>
      <c r="AA1468" s="566">
        <f t="shared" si="137"/>
        <v>0</v>
      </c>
      <c r="AB1468" s="699"/>
    </row>
    <row r="1469" spans="1:28" ht="15" customHeight="1" x14ac:dyDescent="0.3">
      <c r="A1469" s="96" t="s">
        <v>5002</v>
      </c>
      <c r="C1469" s="115">
        <v>43888</v>
      </c>
      <c r="D1469" s="312">
        <v>43913</v>
      </c>
      <c r="E1469" s="560"/>
      <c r="F1469" s="86" t="s">
        <v>5113</v>
      </c>
      <c r="G1469" s="86" t="s">
        <v>158</v>
      </c>
      <c r="H1469" s="96" t="s">
        <v>213</v>
      </c>
      <c r="I1469" s="97" t="s">
        <v>649</v>
      </c>
      <c r="J1469" s="73">
        <f t="shared" si="138"/>
        <v>1</v>
      </c>
      <c r="K1469" s="74" t="s">
        <v>204</v>
      </c>
      <c r="N1469" s="76" t="s">
        <v>17</v>
      </c>
      <c r="Q1469" s="76" t="s">
        <v>2142</v>
      </c>
      <c r="R1469" s="73">
        <f t="shared" si="139"/>
        <v>1</v>
      </c>
      <c r="S1469" s="260" t="s">
        <v>1976</v>
      </c>
      <c r="T1469" s="260" t="s">
        <v>923</v>
      </c>
      <c r="U1469" s="260"/>
      <c r="V1469" s="260"/>
      <c r="W1469" s="260"/>
      <c r="X1469" s="260"/>
      <c r="Y1469" s="565"/>
      <c r="Z1469" s="565"/>
      <c r="AA1469" s="566">
        <f t="shared" si="137"/>
        <v>0</v>
      </c>
      <c r="AB1469" s="699"/>
    </row>
    <row r="1470" spans="1:28" ht="15" customHeight="1" x14ac:dyDescent="0.3">
      <c r="A1470" s="96" t="s">
        <v>5003</v>
      </c>
      <c r="C1470" s="115">
        <v>43888</v>
      </c>
      <c r="D1470" s="312">
        <v>43913</v>
      </c>
      <c r="E1470" s="560"/>
      <c r="F1470" s="86" t="s">
        <v>5114</v>
      </c>
      <c r="G1470" s="86" t="s">
        <v>156</v>
      </c>
      <c r="H1470" s="96" t="s">
        <v>213</v>
      </c>
      <c r="I1470" s="97" t="s">
        <v>649</v>
      </c>
      <c r="J1470" s="73">
        <f t="shared" si="138"/>
        <v>1</v>
      </c>
      <c r="K1470" s="74" t="s">
        <v>204</v>
      </c>
      <c r="N1470" s="76" t="s">
        <v>17</v>
      </c>
      <c r="Q1470" s="76" t="s">
        <v>2142</v>
      </c>
      <c r="R1470" s="73">
        <f t="shared" si="139"/>
        <v>1</v>
      </c>
      <c r="S1470" s="260" t="s">
        <v>1976</v>
      </c>
      <c r="T1470" s="260" t="s">
        <v>924</v>
      </c>
      <c r="U1470" s="260"/>
      <c r="V1470" s="260"/>
      <c r="W1470" s="260"/>
      <c r="X1470" s="260"/>
      <c r="Y1470" s="565"/>
      <c r="Z1470" s="565"/>
      <c r="AA1470" s="566">
        <f t="shared" si="137"/>
        <v>0</v>
      </c>
      <c r="AB1470" s="699"/>
    </row>
    <row r="1471" spans="1:28" ht="15" customHeight="1" x14ac:dyDescent="0.3">
      <c r="A1471" s="79" t="s">
        <v>5004</v>
      </c>
      <c r="C1471" s="115">
        <v>43888</v>
      </c>
      <c r="D1471" s="312">
        <v>43913</v>
      </c>
      <c r="E1471" s="560"/>
      <c r="F1471" s="86" t="s">
        <v>5115</v>
      </c>
      <c r="G1471" s="86" t="s">
        <v>152</v>
      </c>
      <c r="H1471" s="96" t="s">
        <v>213</v>
      </c>
      <c r="I1471" s="97" t="s">
        <v>3187</v>
      </c>
      <c r="J1471" s="73">
        <f t="shared" si="138"/>
        <v>1</v>
      </c>
      <c r="K1471" s="74" t="s">
        <v>204</v>
      </c>
      <c r="N1471" s="76" t="s">
        <v>19</v>
      </c>
      <c r="Q1471" s="76" t="s">
        <v>5193</v>
      </c>
      <c r="R1471" s="73">
        <f t="shared" si="139"/>
        <v>1</v>
      </c>
      <c r="S1471" s="260" t="s">
        <v>1976</v>
      </c>
      <c r="T1471" s="260" t="s">
        <v>925</v>
      </c>
      <c r="U1471" s="260" t="s">
        <v>5283</v>
      </c>
      <c r="V1471" s="260" t="s">
        <v>5296</v>
      </c>
      <c r="W1471" s="260"/>
      <c r="X1471" s="260"/>
      <c r="Y1471" s="565"/>
      <c r="Z1471" s="565"/>
      <c r="AA1471" s="566">
        <f t="shared" si="137"/>
        <v>0</v>
      </c>
      <c r="AB1471" s="699"/>
    </row>
    <row r="1472" spans="1:28" ht="15" customHeight="1" x14ac:dyDescent="0.3">
      <c r="A1472" s="79" t="s">
        <v>5006</v>
      </c>
      <c r="C1472" s="115">
        <v>43888</v>
      </c>
      <c r="D1472" s="312">
        <v>43913</v>
      </c>
      <c r="E1472" s="560"/>
      <c r="F1472" s="86" t="s">
        <v>5117</v>
      </c>
      <c r="G1472" s="86" t="s">
        <v>164</v>
      </c>
      <c r="H1472" s="96" t="s">
        <v>213</v>
      </c>
      <c r="I1472" s="97" t="s">
        <v>649</v>
      </c>
      <c r="J1472" s="73">
        <f t="shared" si="138"/>
        <v>1</v>
      </c>
      <c r="K1472" s="74" t="s">
        <v>204</v>
      </c>
      <c r="N1472" s="76" t="s">
        <v>17</v>
      </c>
      <c r="Q1472" s="76" t="s">
        <v>5193</v>
      </c>
      <c r="R1472" s="73">
        <f t="shared" si="139"/>
        <v>1</v>
      </c>
      <c r="S1472" s="260" t="s">
        <v>1976</v>
      </c>
      <c r="T1472" s="260" t="s">
        <v>923</v>
      </c>
      <c r="U1472" s="260"/>
      <c r="V1472" s="260"/>
      <c r="W1472" s="260"/>
      <c r="X1472" s="260"/>
      <c r="Y1472" s="565"/>
      <c r="Z1472" s="565"/>
      <c r="AA1472" s="566">
        <f t="shared" si="137"/>
        <v>0</v>
      </c>
      <c r="AB1472" s="699"/>
    </row>
    <row r="1473" spans="1:28" ht="15" customHeight="1" x14ac:dyDescent="0.3">
      <c r="A1473" s="96" t="s">
        <v>5008</v>
      </c>
      <c r="C1473" s="115">
        <v>43888</v>
      </c>
      <c r="D1473" s="312">
        <v>43913</v>
      </c>
      <c r="E1473" s="560"/>
      <c r="F1473" s="86" t="s">
        <v>5119</v>
      </c>
      <c r="G1473" s="86" t="s">
        <v>147</v>
      </c>
      <c r="H1473" s="96" t="s">
        <v>213</v>
      </c>
      <c r="I1473" s="97" t="s">
        <v>658</v>
      </c>
      <c r="J1473" s="73">
        <f t="shared" si="138"/>
        <v>1</v>
      </c>
      <c r="K1473" s="74" t="s">
        <v>204</v>
      </c>
      <c r="N1473" s="76" t="s">
        <v>18</v>
      </c>
      <c r="Q1473" s="76" t="s">
        <v>2076</v>
      </c>
      <c r="R1473" s="73">
        <f t="shared" si="139"/>
        <v>1</v>
      </c>
      <c r="S1473" s="260" t="s">
        <v>1976</v>
      </c>
      <c r="T1473" s="260" t="s">
        <v>924</v>
      </c>
      <c r="U1473" s="260"/>
      <c r="V1473" s="260"/>
      <c r="W1473" s="260"/>
      <c r="X1473" s="260"/>
      <c r="Y1473" s="565"/>
      <c r="Z1473" s="565"/>
      <c r="AA1473" s="566">
        <f t="shared" si="137"/>
        <v>0</v>
      </c>
      <c r="AB1473" s="699"/>
    </row>
    <row r="1474" spans="1:28" ht="15" customHeight="1" x14ac:dyDescent="0.3">
      <c r="A1474" s="96" t="s">
        <v>5012</v>
      </c>
      <c r="C1474" s="115">
        <v>43888</v>
      </c>
      <c r="D1474" s="312">
        <v>43913</v>
      </c>
      <c r="E1474" s="560"/>
      <c r="F1474" s="86" t="s">
        <v>5123</v>
      </c>
      <c r="G1474" s="86" t="s">
        <v>147</v>
      </c>
      <c r="H1474" s="96" t="s">
        <v>213</v>
      </c>
      <c r="I1474" s="97" t="s">
        <v>722</v>
      </c>
      <c r="J1474" s="73">
        <f t="shared" si="138"/>
        <v>1</v>
      </c>
      <c r="K1474" s="74" t="s">
        <v>204</v>
      </c>
      <c r="N1474" s="76" t="s">
        <v>18</v>
      </c>
      <c r="Q1474" s="76" t="s">
        <v>2076</v>
      </c>
      <c r="R1474" s="73">
        <f t="shared" si="139"/>
        <v>1</v>
      </c>
      <c r="S1474" s="260" t="s">
        <v>1976</v>
      </c>
      <c r="T1474" s="260" t="s">
        <v>925</v>
      </c>
      <c r="U1474" s="260"/>
      <c r="V1474" s="260"/>
      <c r="W1474" s="260"/>
      <c r="X1474" s="260"/>
      <c r="Y1474" s="565"/>
      <c r="Z1474" s="565"/>
      <c r="AA1474" s="566">
        <f t="shared" si="137"/>
        <v>0</v>
      </c>
      <c r="AB1474" s="699"/>
    </row>
    <row r="1475" spans="1:28" ht="15" customHeight="1" x14ac:dyDescent="0.3">
      <c r="A1475" s="96" t="s">
        <v>5013</v>
      </c>
      <c r="C1475" s="115">
        <v>43888</v>
      </c>
      <c r="D1475" s="312">
        <v>43965</v>
      </c>
      <c r="E1475" s="560">
        <v>43930</v>
      </c>
      <c r="F1475" s="86" t="s">
        <v>5124</v>
      </c>
      <c r="G1475" s="86" t="s">
        <v>150</v>
      </c>
      <c r="H1475" s="96" t="s">
        <v>213</v>
      </c>
      <c r="I1475" s="97" t="s">
        <v>854</v>
      </c>
      <c r="J1475" s="73">
        <f t="shared" si="138"/>
        <v>1</v>
      </c>
      <c r="K1475" s="74" t="s">
        <v>204</v>
      </c>
      <c r="N1475" s="76" t="s">
        <v>17</v>
      </c>
      <c r="Q1475" s="76" t="s">
        <v>2109</v>
      </c>
      <c r="R1475" s="73">
        <f t="shared" si="139"/>
        <v>1</v>
      </c>
      <c r="S1475" s="260" t="s">
        <v>1976</v>
      </c>
      <c r="T1475" s="260" t="s">
        <v>923</v>
      </c>
      <c r="U1475" s="260"/>
      <c r="V1475" s="260"/>
      <c r="W1475" s="260"/>
      <c r="X1475" s="260"/>
      <c r="Y1475" s="565">
        <v>0.57935185185185178</v>
      </c>
      <c r="Z1475" s="565">
        <v>0.5863194444444445</v>
      </c>
      <c r="AA1475" s="566">
        <f t="shared" si="137"/>
        <v>6.9675925925927196E-3</v>
      </c>
      <c r="AB1475" s="699"/>
    </row>
    <row r="1476" spans="1:28" ht="15" customHeight="1" x14ac:dyDescent="0.3">
      <c r="A1476" s="96" t="s">
        <v>5014</v>
      </c>
      <c r="C1476" s="115">
        <v>43888</v>
      </c>
      <c r="D1476" s="312">
        <v>43913</v>
      </c>
      <c r="E1476" s="560"/>
      <c r="F1476" s="97" t="s">
        <v>5125</v>
      </c>
      <c r="G1476" s="97" t="s">
        <v>158</v>
      </c>
      <c r="H1476" s="96" t="s">
        <v>213</v>
      </c>
      <c r="I1476" s="97" t="s">
        <v>649</v>
      </c>
      <c r="J1476" s="73">
        <f>IF(OR(K1476="Документы готовы",K1476="Запрос в ФО",K1476="ЭЗ",K1476="РЕШ",K1476="РЕШ шаблон"),0.1,IF(OR(K1476="ЭЗ согласование",K1476="РЕШ согласование"),0.3,IF(OR(K1476="ЭЗ согласовано",K1476="РЕШ согласовано",K1476="РЕШ подписано"),0.6,IF(OR(K1476="ЭЗ ПР согласование",K1476="РЕШ УВ согласование"),0.9,IF(OR(K1476="ЭЗ ПР DONE",K1476="РЕШ УВ DONE"),1,0)))))</f>
        <v>1</v>
      </c>
      <c r="K1476" s="74" t="s">
        <v>204</v>
      </c>
      <c r="N1476" s="76" t="s">
        <v>17</v>
      </c>
      <c r="Q1476" s="76" t="s">
        <v>2142</v>
      </c>
      <c r="R1476" s="73">
        <f t="shared" si="139"/>
        <v>1</v>
      </c>
      <c r="S1476" s="260" t="s">
        <v>1976</v>
      </c>
      <c r="T1476" s="260" t="s">
        <v>925</v>
      </c>
      <c r="U1476" s="260"/>
      <c r="V1476" s="260"/>
      <c r="W1476" s="260"/>
      <c r="X1476" s="260"/>
      <c r="Y1476" s="565"/>
      <c r="Z1476" s="565"/>
      <c r="AA1476" s="566">
        <f t="shared" si="137"/>
        <v>0</v>
      </c>
      <c r="AB1476" s="699"/>
    </row>
    <row r="1477" spans="1:28" ht="15" customHeight="1" x14ac:dyDescent="0.3">
      <c r="A1477" s="96" t="s">
        <v>5016</v>
      </c>
      <c r="C1477" s="115">
        <v>43889</v>
      </c>
      <c r="D1477" s="312">
        <v>43914</v>
      </c>
      <c r="E1477" s="560"/>
      <c r="F1477" s="86" t="s">
        <v>5127</v>
      </c>
      <c r="G1477" s="86" t="s">
        <v>152</v>
      </c>
      <c r="H1477" s="96" t="s">
        <v>213</v>
      </c>
      <c r="I1477" s="97" t="s">
        <v>2478</v>
      </c>
      <c r="J1477" s="73">
        <f t="shared" si="138"/>
        <v>1</v>
      </c>
      <c r="K1477" s="74" t="s">
        <v>204</v>
      </c>
      <c r="N1477" s="76" t="s">
        <v>17</v>
      </c>
      <c r="Q1477" s="76" t="s">
        <v>2142</v>
      </c>
      <c r="R1477" s="73">
        <f t="shared" si="139"/>
        <v>1</v>
      </c>
      <c r="S1477" s="260" t="s">
        <v>1976</v>
      </c>
      <c r="T1477" s="260" t="s">
        <v>925</v>
      </c>
      <c r="U1477" s="260"/>
      <c r="V1477" s="260"/>
      <c r="W1477" s="260"/>
      <c r="X1477" s="260"/>
      <c r="Y1477" s="565"/>
      <c r="Z1477" s="565"/>
      <c r="AA1477" s="566">
        <f t="shared" si="137"/>
        <v>0</v>
      </c>
      <c r="AB1477" s="699"/>
    </row>
    <row r="1478" spans="1:28" ht="15" customHeight="1" x14ac:dyDescent="0.3">
      <c r="A1478" s="96" t="s">
        <v>5017</v>
      </c>
      <c r="C1478" s="115">
        <v>43889</v>
      </c>
      <c r="D1478" s="312">
        <v>43913</v>
      </c>
      <c r="E1478" s="560"/>
      <c r="F1478" s="86" t="s">
        <v>5128</v>
      </c>
      <c r="G1478" s="86" t="s">
        <v>152</v>
      </c>
      <c r="H1478" s="96" t="s">
        <v>213</v>
      </c>
      <c r="I1478" s="97" t="s">
        <v>3150</v>
      </c>
      <c r="J1478" s="73">
        <f t="shared" si="138"/>
        <v>1</v>
      </c>
      <c r="K1478" s="74" t="s">
        <v>204</v>
      </c>
      <c r="N1478" s="76" t="s">
        <v>17</v>
      </c>
      <c r="Q1478" s="76" t="s">
        <v>2037</v>
      </c>
      <c r="R1478" s="73">
        <f t="shared" si="139"/>
        <v>1</v>
      </c>
      <c r="S1478" s="260" t="s">
        <v>1976</v>
      </c>
      <c r="T1478" s="260" t="s">
        <v>923</v>
      </c>
      <c r="U1478" s="260"/>
      <c r="V1478" s="260"/>
      <c r="W1478" s="260"/>
      <c r="X1478" s="260"/>
      <c r="Y1478" s="565"/>
      <c r="Z1478" s="565"/>
      <c r="AA1478" s="566">
        <f t="shared" si="137"/>
        <v>0</v>
      </c>
      <c r="AB1478" s="699"/>
    </row>
    <row r="1479" spans="1:28" ht="15" customHeight="1" x14ac:dyDescent="0.3">
      <c r="A1479" s="96" t="s">
        <v>5020</v>
      </c>
      <c r="C1479" s="115">
        <v>43889</v>
      </c>
      <c r="D1479" s="312">
        <v>43914</v>
      </c>
      <c r="E1479" s="560"/>
      <c r="F1479" s="86" t="s">
        <v>5131</v>
      </c>
      <c r="G1479" s="86" t="s">
        <v>154</v>
      </c>
      <c r="H1479" s="96" t="s">
        <v>213</v>
      </c>
      <c r="I1479" s="97" t="s">
        <v>3150</v>
      </c>
      <c r="J1479" s="73">
        <f t="shared" si="138"/>
        <v>1</v>
      </c>
      <c r="K1479" s="74" t="s">
        <v>204</v>
      </c>
      <c r="N1479" s="76" t="s">
        <v>17</v>
      </c>
      <c r="Q1479" s="76" t="s">
        <v>5193</v>
      </c>
      <c r="R1479" s="73">
        <f t="shared" si="139"/>
        <v>1</v>
      </c>
      <c r="S1479" s="260" t="s">
        <v>1976</v>
      </c>
      <c r="T1479" s="260" t="s">
        <v>923</v>
      </c>
      <c r="U1479" s="260"/>
      <c r="V1479" s="260"/>
      <c r="W1479" s="260"/>
      <c r="X1479" s="260"/>
      <c r="Y1479" s="565"/>
      <c r="Z1479" s="565"/>
      <c r="AA1479" s="566">
        <f t="shared" si="137"/>
        <v>0</v>
      </c>
      <c r="AB1479" s="699"/>
    </row>
    <row r="1480" spans="1:28" ht="15" customHeight="1" x14ac:dyDescent="0.3">
      <c r="A1480" s="96" t="s">
        <v>5022</v>
      </c>
      <c r="C1480" s="115">
        <v>43889</v>
      </c>
      <c r="D1480" s="312">
        <v>43914</v>
      </c>
      <c r="E1480" s="560"/>
      <c r="F1480" s="86" t="s">
        <v>5133</v>
      </c>
      <c r="G1480" s="86" t="s">
        <v>152</v>
      </c>
      <c r="H1480" s="96" t="s">
        <v>213</v>
      </c>
      <c r="I1480" s="97" t="s">
        <v>2478</v>
      </c>
      <c r="J1480" s="73">
        <f t="shared" si="138"/>
        <v>1</v>
      </c>
      <c r="K1480" s="74" t="s">
        <v>204</v>
      </c>
      <c r="N1480" s="76" t="s">
        <v>18</v>
      </c>
      <c r="Q1480" s="76" t="s">
        <v>2037</v>
      </c>
      <c r="R1480" s="73">
        <f t="shared" si="139"/>
        <v>1</v>
      </c>
      <c r="S1480" s="260" t="s">
        <v>1976</v>
      </c>
      <c r="T1480" s="260" t="s">
        <v>923</v>
      </c>
      <c r="U1480" s="260"/>
      <c r="V1480" s="260"/>
      <c r="W1480" s="260"/>
      <c r="X1480" s="260"/>
      <c r="Y1480" s="565"/>
      <c r="Z1480" s="565"/>
      <c r="AA1480" s="566">
        <f t="shared" si="137"/>
        <v>0</v>
      </c>
      <c r="AB1480" s="699"/>
    </row>
    <row r="1481" spans="1:28" ht="15" customHeight="1" x14ac:dyDescent="0.3">
      <c r="A1481" s="96" t="s">
        <v>5023</v>
      </c>
      <c r="C1481" s="115">
        <v>43889</v>
      </c>
      <c r="D1481" s="312">
        <v>43914</v>
      </c>
      <c r="E1481" s="560"/>
      <c r="F1481" s="86" t="s">
        <v>5134</v>
      </c>
      <c r="G1481" s="86" t="s">
        <v>172</v>
      </c>
      <c r="H1481" s="96" t="s">
        <v>213</v>
      </c>
      <c r="I1481" s="97" t="s">
        <v>995</v>
      </c>
      <c r="J1481" s="73">
        <f t="shared" si="138"/>
        <v>1</v>
      </c>
      <c r="K1481" s="74" t="s">
        <v>204</v>
      </c>
      <c r="N1481" s="76" t="s">
        <v>19</v>
      </c>
      <c r="Q1481" s="76" t="s">
        <v>2076</v>
      </c>
      <c r="R1481" s="73">
        <f t="shared" si="139"/>
        <v>1</v>
      </c>
      <c r="S1481" s="260" t="s">
        <v>1976</v>
      </c>
      <c r="T1481" s="260" t="s">
        <v>923</v>
      </c>
      <c r="U1481" s="260"/>
      <c r="V1481" s="260"/>
      <c r="W1481" s="260"/>
      <c r="X1481" s="260"/>
      <c r="Y1481" s="565"/>
      <c r="Z1481" s="565"/>
      <c r="AA1481" s="566">
        <f t="shared" si="137"/>
        <v>0</v>
      </c>
      <c r="AB1481" s="699"/>
    </row>
    <row r="1482" spans="1:28" ht="15" customHeight="1" x14ac:dyDescent="0.3">
      <c r="A1482" s="96" t="s">
        <v>5024</v>
      </c>
      <c r="C1482" s="115">
        <v>43889</v>
      </c>
      <c r="D1482" s="312">
        <v>43914</v>
      </c>
      <c r="E1482" s="560"/>
      <c r="F1482" s="86" t="s">
        <v>5135</v>
      </c>
      <c r="G1482" s="86" t="s">
        <v>147</v>
      </c>
      <c r="H1482" s="96" t="s">
        <v>213</v>
      </c>
      <c r="I1482" s="97" t="s">
        <v>972</v>
      </c>
      <c r="J1482" s="73">
        <f t="shared" si="138"/>
        <v>1</v>
      </c>
      <c r="K1482" s="74" t="s">
        <v>204</v>
      </c>
      <c r="L1482" s="97" t="s">
        <v>8118</v>
      </c>
      <c r="N1482" s="76" t="s">
        <v>18</v>
      </c>
      <c r="Q1482" s="76" t="s">
        <v>2037</v>
      </c>
      <c r="R1482" s="73">
        <f t="shared" si="139"/>
        <v>1</v>
      </c>
      <c r="S1482" s="260" t="s">
        <v>1976</v>
      </c>
      <c r="T1482" s="260" t="s">
        <v>925</v>
      </c>
      <c r="U1482" s="260" t="s">
        <v>5283</v>
      </c>
      <c r="V1482" s="260" t="s">
        <v>5297</v>
      </c>
      <c r="W1482" s="260"/>
      <c r="X1482" s="260"/>
      <c r="Y1482" s="565"/>
      <c r="Z1482" s="565"/>
      <c r="AA1482" s="566">
        <f t="shared" si="137"/>
        <v>0</v>
      </c>
      <c r="AB1482" s="699"/>
    </row>
    <row r="1483" spans="1:28" ht="15" customHeight="1" x14ac:dyDescent="0.3">
      <c r="A1483" s="96" t="s">
        <v>5027</v>
      </c>
      <c r="C1483" s="115">
        <v>43889</v>
      </c>
      <c r="D1483" s="312">
        <v>43914</v>
      </c>
      <c r="E1483" s="560"/>
      <c r="F1483" s="86" t="s">
        <v>5138</v>
      </c>
      <c r="G1483" s="86" t="s">
        <v>152</v>
      </c>
      <c r="H1483" s="96" t="s">
        <v>213</v>
      </c>
      <c r="I1483" s="97" t="s">
        <v>5268</v>
      </c>
      <c r="J1483" s="73">
        <f t="shared" si="138"/>
        <v>1</v>
      </c>
      <c r="K1483" s="74" t="s">
        <v>204</v>
      </c>
      <c r="L1483" s="97" t="s">
        <v>5267</v>
      </c>
      <c r="N1483" s="76" t="s">
        <v>17</v>
      </c>
      <c r="Q1483" s="76" t="s">
        <v>5193</v>
      </c>
      <c r="R1483" s="73">
        <f t="shared" si="139"/>
        <v>1</v>
      </c>
      <c r="S1483" s="260" t="s">
        <v>1976</v>
      </c>
      <c r="T1483" s="260" t="s">
        <v>923</v>
      </c>
      <c r="U1483" s="260"/>
      <c r="V1483" s="260"/>
      <c r="W1483" s="260"/>
      <c r="X1483" s="260"/>
      <c r="Y1483" s="565"/>
      <c r="Z1483" s="565"/>
      <c r="AA1483" s="566">
        <f t="shared" si="137"/>
        <v>0</v>
      </c>
      <c r="AB1483" s="699"/>
    </row>
    <row r="1484" spans="1:28" ht="15" customHeight="1" x14ac:dyDescent="0.3">
      <c r="A1484" s="96" t="s">
        <v>5028</v>
      </c>
      <c r="C1484" s="115">
        <v>43892</v>
      </c>
      <c r="D1484" s="312">
        <v>43915</v>
      </c>
      <c r="E1484" s="560"/>
      <c r="F1484" s="86" t="s">
        <v>5139</v>
      </c>
      <c r="G1484" s="86" t="s">
        <v>173</v>
      </c>
      <c r="H1484" s="96" t="s">
        <v>213</v>
      </c>
      <c r="I1484" s="97" t="s">
        <v>995</v>
      </c>
      <c r="J1484" s="73">
        <f t="shared" si="138"/>
        <v>1</v>
      </c>
      <c r="K1484" s="74" t="s">
        <v>204</v>
      </c>
      <c r="N1484" s="76" t="s">
        <v>19</v>
      </c>
      <c r="Q1484" s="76" t="s">
        <v>2142</v>
      </c>
      <c r="R1484" s="73">
        <f t="shared" si="139"/>
        <v>1</v>
      </c>
      <c r="S1484" s="260" t="s">
        <v>1976</v>
      </c>
      <c r="T1484" s="260" t="s">
        <v>923</v>
      </c>
      <c r="U1484" s="260"/>
      <c r="V1484" s="260"/>
      <c r="W1484" s="260"/>
      <c r="X1484" s="260"/>
      <c r="Y1484" s="565"/>
      <c r="Z1484" s="565"/>
      <c r="AA1484" s="566">
        <f t="shared" si="137"/>
        <v>0</v>
      </c>
      <c r="AB1484" s="699"/>
    </row>
    <row r="1485" spans="1:28" ht="15" customHeight="1" x14ac:dyDescent="0.3">
      <c r="A1485" s="96" t="s">
        <v>5029</v>
      </c>
      <c r="C1485" s="115">
        <v>43892</v>
      </c>
      <c r="D1485" s="312">
        <v>43914</v>
      </c>
      <c r="E1485" s="560"/>
      <c r="F1485" s="86" t="s">
        <v>5140</v>
      </c>
      <c r="G1485" s="86" t="s">
        <v>152</v>
      </c>
      <c r="H1485" s="96" t="s">
        <v>213</v>
      </c>
      <c r="I1485" s="97" t="s">
        <v>649</v>
      </c>
      <c r="J1485" s="73">
        <f t="shared" si="138"/>
        <v>1</v>
      </c>
      <c r="K1485" s="74" t="s">
        <v>204</v>
      </c>
      <c r="L1485" s="97" t="s">
        <v>5269</v>
      </c>
      <c r="N1485" s="76" t="s">
        <v>17</v>
      </c>
      <c r="Q1485" s="76" t="s">
        <v>2076</v>
      </c>
      <c r="R1485" s="73">
        <f t="shared" si="139"/>
        <v>1</v>
      </c>
      <c r="S1485" s="260" t="s">
        <v>1976</v>
      </c>
      <c r="T1485" s="260" t="s">
        <v>925</v>
      </c>
      <c r="U1485" s="260" t="s">
        <v>5283</v>
      </c>
      <c r="V1485" s="260" t="s">
        <v>5298</v>
      </c>
      <c r="W1485" s="260"/>
      <c r="X1485" s="260"/>
      <c r="Y1485" s="565"/>
      <c r="Z1485" s="565"/>
      <c r="AA1485" s="566">
        <f t="shared" si="137"/>
        <v>0</v>
      </c>
      <c r="AB1485" s="699"/>
    </row>
    <row r="1486" spans="1:28" ht="15" customHeight="1" x14ac:dyDescent="0.3">
      <c r="A1486" s="79" t="s">
        <v>5030</v>
      </c>
      <c r="C1486" s="115">
        <v>43892</v>
      </c>
      <c r="D1486" s="312">
        <v>43915</v>
      </c>
      <c r="E1486" s="560"/>
      <c r="F1486" s="86" t="s">
        <v>5141</v>
      </c>
      <c r="G1486" s="86" t="s">
        <v>158</v>
      </c>
      <c r="H1486" s="79" t="s">
        <v>268</v>
      </c>
      <c r="I1486" s="97" t="s">
        <v>5273</v>
      </c>
      <c r="J1486" s="73">
        <f t="shared" si="138"/>
        <v>1</v>
      </c>
      <c r="K1486" s="74" t="s">
        <v>204</v>
      </c>
      <c r="L1486" s="97" t="s">
        <v>4066</v>
      </c>
      <c r="N1486" s="76" t="s">
        <v>17</v>
      </c>
      <c r="Q1486" s="76" t="s">
        <v>5193</v>
      </c>
      <c r="R1486" s="73">
        <f t="shared" si="139"/>
        <v>1</v>
      </c>
      <c r="S1486" s="260" t="s">
        <v>1976</v>
      </c>
      <c r="T1486" s="260" t="s">
        <v>925</v>
      </c>
      <c r="U1486" s="260"/>
      <c r="V1486" s="260"/>
      <c r="W1486" s="260"/>
      <c r="X1486" s="260"/>
      <c r="Y1486" s="565"/>
      <c r="Z1486" s="565"/>
      <c r="AA1486" s="566">
        <f t="shared" si="137"/>
        <v>0</v>
      </c>
      <c r="AB1486" s="699"/>
    </row>
    <row r="1487" spans="1:28" ht="15" customHeight="1" x14ac:dyDescent="0.3">
      <c r="A1487" s="96" t="s">
        <v>5031</v>
      </c>
      <c r="C1487" s="115">
        <v>43892</v>
      </c>
      <c r="D1487" s="312">
        <v>43915</v>
      </c>
      <c r="E1487" s="560"/>
      <c r="F1487" s="86" t="s">
        <v>5142</v>
      </c>
      <c r="G1487" s="86" t="s">
        <v>152</v>
      </c>
      <c r="H1487" s="96" t="s">
        <v>213</v>
      </c>
      <c r="I1487" s="97" t="s">
        <v>649</v>
      </c>
      <c r="J1487" s="73">
        <f t="shared" si="138"/>
        <v>1</v>
      </c>
      <c r="K1487" s="74" t="s">
        <v>204</v>
      </c>
      <c r="N1487" s="76" t="s">
        <v>17</v>
      </c>
      <c r="Q1487" s="76" t="s">
        <v>2109</v>
      </c>
      <c r="R1487" s="73">
        <f t="shared" si="139"/>
        <v>1</v>
      </c>
      <c r="S1487" s="260" t="s">
        <v>1976</v>
      </c>
      <c r="T1487" s="260" t="s">
        <v>925</v>
      </c>
      <c r="U1487" s="260"/>
      <c r="V1487" s="260"/>
      <c r="W1487" s="260"/>
      <c r="X1487" s="260"/>
      <c r="Y1487" s="565"/>
      <c r="Z1487" s="565"/>
      <c r="AA1487" s="566">
        <f t="shared" si="137"/>
        <v>0</v>
      </c>
      <c r="AB1487" s="699"/>
    </row>
    <row r="1488" spans="1:28" ht="15" customHeight="1" x14ac:dyDescent="0.3">
      <c r="A1488" s="96" t="s">
        <v>5032</v>
      </c>
      <c r="C1488" s="115">
        <v>43892</v>
      </c>
      <c r="D1488" s="312">
        <v>43915</v>
      </c>
      <c r="E1488" s="560"/>
      <c r="F1488" s="86" t="s">
        <v>5143</v>
      </c>
      <c r="G1488" s="86" t="s">
        <v>157</v>
      </c>
      <c r="H1488" s="96" t="s">
        <v>213</v>
      </c>
      <c r="I1488" s="97" t="s">
        <v>2478</v>
      </c>
      <c r="J1488" s="73">
        <f t="shared" si="138"/>
        <v>1</v>
      </c>
      <c r="K1488" s="74" t="s">
        <v>204</v>
      </c>
      <c r="N1488" s="76" t="s">
        <v>17</v>
      </c>
      <c r="Q1488" s="76" t="s">
        <v>2076</v>
      </c>
      <c r="R1488" s="73">
        <f t="shared" si="139"/>
        <v>1</v>
      </c>
      <c r="S1488" s="260" t="s">
        <v>1976</v>
      </c>
      <c r="T1488" s="260" t="s">
        <v>924</v>
      </c>
      <c r="U1488" s="260"/>
      <c r="V1488" s="260"/>
      <c r="W1488" s="260"/>
      <c r="X1488" s="260"/>
      <c r="Y1488" s="565"/>
      <c r="Z1488" s="565"/>
      <c r="AA1488" s="566">
        <f t="shared" si="137"/>
        <v>0</v>
      </c>
      <c r="AB1488" s="699"/>
    </row>
    <row r="1489" spans="1:28" ht="15" customHeight="1" x14ac:dyDescent="0.3">
      <c r="A1489" s="79" t="s">
        <v>5038</v>
      </c>
      <c r="C1489" s="115">
        <v>43892</v>
      </c>
      <c r="D1489" s="312">
        <v>43915</v>
      </c>
      <c r="E1489" s="560"/>
      <c r="F1489" s="86" t="s">
        <v>2902</v>
      </c>
      <c r="G1489" s="86" t="s">
        <v>154</v>
      </c>
      <c r="H1489" s="96" t="s">
        <v>213</v>
      </c>
      <c r="I1489" s="97" t="s">
        <v>755</v>
      </c>
      <c r="J1489" s="73">
        <f t="shared" si="138"/>
        <v>1</v>
      </c>
      <c r="K1489" s="74" t="s">
        <v>204</v>
      </c>
      <c r="L1489" s="97" t="s">
        <v>5274</v>
      </c>
      <c r="N1489" s="76" t="s">
        <v>18</v>
      </c>
      <c r="Q1489" s="76" t="s">
        <v>5193</v>
      </c>
      <c r="R1489" s="73">
        <f t="shared" si="139"/>
        <v>1</v>
      </c>
      <c r="S1489" s="260" t="s">
        <v>1976</v>
      </c>
      <c r="T1489" s="260" t="s">
        <v>923</v>
      </c>
      <c r="U1489" s="260"/>
      <c r="V1489" s="260"/>
      <c r="W1489" s="260"/>
      <c r="X1489" s="260"/>
      <c r="Y1489" s="565"/>
      <c r="Z1489" s="565"/>
      <c r="AA1489" s="566">
        <f t="shared" ref="AA1489:AA1510" si="140">Z1489-Y1489</f>
        <v>0</v>
      </c>
      <c r="AB1489" s="699"/>
    </row>
    <row r="1490" spans="1:28" ht="15" customHeight="1" x14ac:dyDescent="0.3">
      <c r="A1490" s="79" t="s">
        <v>5042</v>
      </c>
      <c r="C1490" s="115">
        <v>43892</v>
      </c>
      <c r="D1490" s="312">
        <v>43915</v>
      </c>
      <c r="E1490" s="560"/>
      <c r="F1490" s="86" t="s">
        <v>5152</v>
      </c>
      <c r="G1490" s="86" t="s">
        <v>181</v>
      </c>
      <c r="H1490" s="96" t="s">
        <v>213</v>
      </c>
      <c r="I1490" s="97" t="s">
        <v>3475</v>
      </c>
      <c r="J1490" s="73">
        <f t="shared" si="138"/>
        <v>1</v>
      </c>
      <c r="K1490" s="74" t="s">
        <v>204</v>
      </c>
      <c r="N1490" s="76" t="s">
        <v>19</v>
      </c>
      <c r="Q1490" s="76" t="s">
        <v>2037</v>
      </c>
      <c r="R1490" s="73">
        <f t="shared" si="139"/>
        <v>1</v>
      </c>
      <c r="S1490" s="260" t="s">
        <v>1976</v>
      </c>
      <c r="T1490" s="260" t="s">
        <v>923</v>
      </c>
      <c r="U1490" s="260"/>
      <c r="V1490" s="260"/>
      <c r="W1490" s="260"/>
      <c r="X1490" s="260"/>
      <c r="Y1490" s="565"/>
      <c r="Z1490" s="565"/>
      <c r="AA1490" s="566">
        <f t="shared" si="140"/>
        <v>0</v>
      </c>
      <c r="AB1490" s="699"/>
    </row>
    <row r="1491" spans="1:28" ht="15" customHeight="1" x14ac:dyDescent="0.3">
      <c r="A1491" s="96" t="s">
        <v>5043</v>
      </c>
      <c r="C1491" s="115">
        <v>43892</v>
      </c>
      <c r="D1491" s="312">
        <v>43915</v>
      </c>
      <c r="E1491" s="560"/>
      <c r="F1491" s="86" t="s">
        <v>5153</v>
      </c>
      <c r="G1491" s="86" t="s">
        <v>152</v>
      </c>
      <c r="H1491" s="96" t="s">
        <v>213</v>
      </c>
      <c r="I1491" s="97" t="s">
        <v>722</v>
      </c>
      <c r="J1491" s="73">
        <f t="shared" si="138"/>
        <v>1</v>
      </c>
      <c r="K1491" s="74" t="s">
        <v>204</v>
      </c>
      <c r="N1491" s="76" t="s">
        <v>18</v>
      </c>
      <c r="Q1491" s="76" t="s">
        <v>2109</v>
      </c>
      <c r="R1491" s="73">
        <f t="shared" si="139"/>
        <v>1</v>
      </c>
      <c r="S1491" s="260" t="s">
        <v>1976</v>
      </c>
      <c r="T1491" s="260" t="s">
        <v>924</v>
      </c>
      <c r="U1491" s="260" t="s">
        <v>5283</v>
      </c>
      <c r="V1491" s="260" t="s">
        <v>5299</v>
      </c>
      <c r="W1491" s="260"/>
      <c r="X1491" s="260"/>
      <c r="Y1491" s="565"/>
      <c r="Z1491" s="565"/>
      <c r="AA1491" s="566">
        <f t="shared" si="140"/>
        <v>0</v>
      </c>
      <c r="AB1491" s="699"/>
    </row>
    <row r="1492" spans="1:28" ht="15" customHeight="1" x14ac:dyDescent="0.3">
      <c r="A1492" s="79" t="s">
        <v>5044</v>
      </c>
      <c r="C1492" s="115">
        <v>43892</v>
      </c>
      <c r="D1492" s="312">
        <v>43969</v>
      </c>
      <c r="E1492" s="560">
        <v>43929</v>
      </c>
      <c r="F1492" s="86" t="s">
        <v>5154</v>
      </c>
      <c r="G1492" s="86" t="s">
        <v>172</v>
      </c>
      <c r="H1492" s="96" t="s">
        <v>213</v>
      </c>
      <c r="I1492" s="97" t="s">
        <v>642</v>
      </c>
      <c r="J1492" s="73">
        <f t="shared" si="138"/>
        <v>1</v>
      </c>
      <c r="K1492" s="74" t="s">
        <v>204</v>
      </c>
      <c r="N1492" s="76" t="s">
        <v>18</v>
      </c>
      <c r="Q1492" s="76" t="s">
        <v>2037</v>
      </c>
      <c r="R1492" s="73">
        <f t="shared" si="139"/>
        <v>1</v>
      </c>
      <c r="S1492" s="260" t="s">
        <v>1976</v>
      </c>
      <c r="T1492" s="260" t="s">
        <v>923</v>
      </c>
      <c r="U1492" s="260"/>
      <c r="V1492" s="260"/>
      <c r="W1492" s="260"/>
      <c r="X1492" s="260"/>
      <c r="Y1492" s="565">
        <v>0.6118055555555556</v>
      </c>
      <c r="Z1492" s="565">
        <v>0.61805555555555558</v>
      </c>
      <c r="AA1492" s="566">
        <f t="shared" si="140"/>
        <v>6.2499999999999778E-3</v>
      </c>
      <c r="AB1492" s="699"/>
    </row>
    <row r="1493" spans="1:28" ht="15" customHeight="1" x14ac:dyDescent="0.3">
      <c r="A1493" s="96" t="s">
        <v>5046</v>
      </c>
      <c r="C1493" s="115">
        <v>43892</v>
      </c>
      <c r="D1493" s="312">
        <v>43914</v>
      </c>
      <c r="E1493" s="560"/>
      <c r="F1493" s="86" t="s">
        <v>5156</v>
      </c>
      <c r="G1493" s="86" t="s">
        <v>152</v>
      </c>
      <c r="H1493" s="96" t="s">
        <v>213</v>
      </c>
      <c r="I1493" s="97" t="s">
        <v>684</v>
      </c>
      <c r="J1493" s="73">
        <f t="shared" ref="J1493:J1508" si="141">IF(OR(K1493="Документы готовы",K1493="Запрос в ФО",K1493="ЭЗ",K1493="РЕШ",K1493="РЕШ шаблон"),0.1,IF(OR(K1493="ЭЗ согласование",K1493="РЕШ согласование"),0.3,IF(OR(K1493="ЭЗ согласовано",K1493="РЕШ согласовано",K1493="РЕШ подписано"),0.6,IF(OR(K1493="ЭЗ ПР согласование",K1493="РЕШ УВ согласование"),0.9,IF(OR(K1493="ЭЗ ПР DONE",K1493="РЕШ УВ DONE"),1,0)))))</f>
        <v>1</v>
      </c>
      <c r="K1493" s="74" t="s">
        <v>204</v>
      </c>
      <c r="N1493" s="76" t="s">
        <v>18</v>
      </c>
      <c r="Q1493" s="76" t="s">
        <v>2076</v>
      </c>
      <c r="R1493" s="73">
        <f t="shared" ref="R1493:R1508" si="142">IF(S1493="В работе",0.3,IF(S1493="Отписано",0.6,IF(S1493="На доработку",0.9,IF(S1493="Согласовано",1,0))))</f>
        <v>1</v>
      </c>
      <c r="S1493" s="260" t="s">
        <v>1976</v>
      </c>
      <c r="T1493" s="260" t="s">
        <v>924</v>
      </c>
      <c r="U1493" s="260"/>
      <c r="V1493" s="260"/>
      <c r="W1493" s="260"/>
      <c r="X1493" s="260"/>
      <c r="Y1493" s="565"/>
      <c r="Z1493" s="565"/>
      <c r="AA1493" s="566">
        <f t="shared" si="140"/>
        <v>0</v>
      </c>
      <c r="AB1493" s="699"/>
    </row>
    <row r="1494" spans="1:28" ht="15" customHeight="1" x14ac:dyDescent="0.3">
      <c r="A1494" s="96" t="s">
        <v>5047</v>
      </c>
      <c r="C1494" s="115">
        <v>43892</v>
      </c>
      <c r="D1494" s="312">
        <v>43915</v>
      </c>
      <c r="E1494" s="560"/>
      <c r="F1494" s="86" t="s">
        <v>5157</v>
      </c>
      <c r="G1494" s="86" t="s">
        <v>156</v>
      </c>
      <c r="H1494" s="96" t="s">
        <v>213</v>
      </c>
      <c r="I1494" s="97" t="s">
        <v>645</v>
      </c>
      <c r="J1494" s="73">
        <f t="shared" si="141"/>
        <v>1</v>
      </c>
      <c r="K1494" s="74" t="s">
        <v>204</v>
      </c>
      <c r="L1494" s="97" t="s">
        <v>12738</v>
      </c>
      <c r="N1494" s="76" t="s">
        <v>18</v>
      </c>
      <c r="Q1494" s="76" t="s">
        <v>2037</v>
      </c>
      <c r="R1494" s="73">
        <f t="shared" si="142"/>
        <v>1</v>
      </c>
      <c r="S1494" s="260" t="s">
        <v>1976</v>
      </c>
      <c r="T1494" s="260" t="s">
        <v>924</v>
      </c>
      <c r="U1494" s="260" t="s">
        <v>5283</v>
      </c>
      <c r="V1494" s="260" t="s">
        <v>5300</v>
      </c>
      <c r="W1494" s="260"/>
      <c r="X1494" s="260"/>
      <c r="Y1494" s="565"/>
      <c r="Z1494" s="565"/>
      <c r="AA1494" s="566">
        <f t="shared" si="140"/>
        <v>0</v>
      </c>
      <c r="AB1494" s="699"/>
    </row>
    <row r="1495" spans="1:28" ht="15" customHeight="1" x14ac:dyDescent="0.3">
      <c r="A1495" s="79" t="s">
        <v>5049</v>
      </c>
      <c r="C1495" s="115">
        <v>43892</v>
      </c>
      <c r="D1495" s="312">
        <v>43915</v>
      </c>
      <c r="E1495" s="560"/>
      <c r="F1495" s="86" t="s">
        <v>5159</v>
      </c>
      <c r="G1495" s="86" t="s">
        <v>172</v>
      </c>
      <c r="H1495" s="96" t="s">
        <v>213</v>
      </c>
      <c r="I1495" s="97" t="s">
        <v>2478</v>
      </c>
      <c r="J1495" s="73">
        <f t="shared" si="141"/>
        <v>1</v>
      </c>
      <c r="K1495" s="74" t="s">
        <v>204</v>
      </c>
      <c r="N1495" s="76" t="s">
        <v>17</v>
      </c>
      <c r="Q1495" s="76" t="s">
        <v>5193</v>
      </c>
      <c r="R1495" s="73">
        <f t="shared" si="142"/>
        <v>1</v>
      </c>
      <c r="S1495" s="260" t="s">
        <v>1976</v>
      </c>
      <c r="T1495" s="260" t="s">
        <v>924</v>
      </c>
      <c r="U1495" s="260"/>
      <c r="V1495" s="260"/>
      <c r="W1495" s="260"/>
      <c r="X1495" s="260"/>
      <c r="Y1495" s="565"/>
      <c r="Z1495" s="565"/>
      <c r="AA1495" s="566">
        <f t="shared" si="140"/>
        <v>0</v>
      </c>
      <c r="AB1495" s="699"/>
    </row>
    <row r="1496" spans="1:28" ht="15" customHeight="1" x14ac:dyDescent="0.3">
      <c r="A1496" s="79" t="s">
        <v>5050</v>
      </c>
      <c r="C1496" s="115">
        <v>43892</v>
      </c>
      <c r="D1496" s="312">
        <v>43915</v>
      </c>
      <c r="E1496" s="560"/>
      <c r="F1496" s="86" t="s">
        <v>5160</v>
      </c>
      <c r="G1496" s="86" t="s">
        <v>157</v>
      </c>
      <c r="H1496" s="96" t="s">
        <v>213</v>
      </c>
      <c r="I1496" s="97" t="s">
        <v>995</v>
      </c>
      <c r="J1496" s="73">
        <f t="shared" si="141"/>
        <v>1</v>
      </c>
      <c r="K1496" s="74" t="s">
        <v>204</v>
      </c>
      <c r="N1496" s="76" t="s">
        <v>19</v>
      </c>
      <c r="Q1496" s="76" t="s">
        <v>5193</v>
      </c>
      <c r="R1496" s="73">
        <f t="shared" si="142"/>
        <v>1</v>
      </c>
      <c r="S1496" s="260" t="s">
        <v>1976</v>
      </c>
      <c r="T1496" s="260" t="s">
        <v>923</v>
      </c>
      <c r="U1496" s="260"/>
      <c r="V1496" s="260"/>
      <c r="W1496" s="260"/>
      <c r="X1496" s="260"/>
      <c r="Y1496" s="565"/>
      <c r="Z1496" s="565"/>
      <c r="AA1496" s="566">
        <f t="shared" si="140"/>
        <v>0</v>
      </c>
      <c r="AB1496" s="699"/>
    </row>
    <row r="1497" spans="1:28" ht="15" customHeight="1" x14ac:dyDescent="0.3">
      <c r="A1497" s="96" t="s">
        <v>5053</v>
      </c>
      <c r="C1497" s="115">
        <v>43892</v>
      </c>
      <c r="D1497" s="312">
        <v>43915</v>
      </c>
      <c r="E1497" s="560"/>
      <c r="F1497" s="86" t="s">
        <v>5163</v>
      </c>
      <c r="G1497" s="86" t="s">
        <v>158</v>
      </c>
      <c r="H1497" s="96" t="s">
        <v>213</v>
      </c>
      <c r="I1497" s="97" t="s">
        <v>2478</v>
      </c>
      <c r="J1497" s="73">
        <f t="shared" si="141"/>
        <v>1</v>
      </c>
      <c r="K1497" s="74" t="s">
        <v>204</v>
      </c>
      <c r="N1497" s="76" t="s">
        <v>17</v>
      </c>
      <c r="Q1497" s="76" t="s">
        <v>2076</v>
      </c>
      <c r="R1497" s="73">
        <f t="shared" si="142"/>
        <v>1</v>
      </c>
      <c r="S1497" s="260" t="s">
        <v>1976</v>
      </c>
      <c r="T1497" s="260" t="s">
        <v>923</v>
      </c>
      <c r="U1497" s="260"/>
      <c r="V1497" s="260"/>
      <c r="W1497" s="260"/>
      <c r="X1497" s="260"/>
      <c r="Y1497" s="565"/>
      <c r="Z1497" s="565"/>
      <c r="AA1497" s="566">
        <f t="shared" si="140"/>
        <v>0</v>
      </c>
      <c r="AB1497" s="699"/>
    </row>
    <row r="1498" spans="1:28" ht="15" customHeight="1" x14ac:dyDescent="0.3">
      <c r="A1498" s="79" t="s">
        <v>5059</v>
      </c>
      <c r="C1498" s="115">
        <v>43893</v>
      </c>
      <c r="D1498" s="115">
        <v>43916</v>
      </c>
      <c r="E1498" s="560"/>
      <c r="F1498" s="86" t="s">
        <v>5169</v>
      </c>
      <c r="G1498" s="86" t="s">
        <v>156</v>
      </c>
      <c r="H1498" s="96" t="s">
        <v>213</v>
      </c>
      <c r="J1498" s="73">
        <f t="shared" si="141"/>
        <v>1</v>
      </c>
      <c r="K1498" s="74" t="s">
        <v>204</v>
      </c>
      <c r="Q1498" s="76" t="s">
        <v>2037</v>
      </c>
      <c r="R1498" s="73">
        <f t="shared" si="142"/>
        <v>1</v>
      </c>
      <c r="S1498" s="260" t="s">
        <v>1976</v>
      </c>
      <c r="T1498" s="260"/>
      <c r="U1498" s="260" t="s">
        <v>5282</v>
      </c>
      <c r="V1498" s="260"/>
      <c r="W1498" s="260"/>
      <c r="X1498" s="260"/>
      <c r="Y1498" s="565"/>
      <c r="Z1498" s="565"/>
      <c r="AA1498" s="566">
        <f t="shared" si="140"/>
        <v>0</v>
      </c>
      <c r="AB1498" s="699"/>
    </row>
    <row r="1499" spans="1:28" ht="15" customHeight="1" x14ac:dyDescent="0.3">
      <c r="A1499" s="96" t="s">
        <v>5062</v>
      </c>
      <c r="C1499" s="115">
        <v>43893</v>
      </c>
      <c r="D1499" s="312">
        <v>43916</v>
      </c>
      <c r="E1499" s="560"/>
      <c r="F1499" s="86" t="s">
        <v>5172</v>
      </c>
      <c r="G1499" s="86" t="s">
        <v>152</v>
      </c>
      <c r="H1499" s="96" t="s">
        <v>213</v>
      </c>
      <c r="J1499" s="73">
        <f t="shared" si="141"/>
        <v>1</v>
      </c>
      <c r="K1499" s="74" t="s">
        <v>204</v>
      </c>
      <c r="Q1499" s="76" t="s">
        <v>2076</v>
      </c>
      <c r="R1499" s="73">
        <f t="shared" si="142"/>
        <v>1</v>
      </c>
      <c r="S1499" s="260" t="s">
        <v>1976</v>
      </c>
      <c r="T1499" s="260" t="s">
        <v>924</v>
      </c>
      <c r="U1499" s="260" t="s">
        <v>5283</v>
      </c>
      <c r="V1499" s="260" t="s">
        <v>5301</v>
      </c>
      <c r="W1499" s="260"/>
      <c r="X1499" s="260"/>
      <c r="Y1499" s="565"/>
      <c r="Z1499" s="565"/>
      <c r="AA1499" s="566">
        <f t="shared" si="140"/>
        <v>0</v>
      </c>
      <c r="AB1499" s="699"/>
    </row>
    <row r="1500" spans="1:28" ht="15" customHeight="1" x14ac:dyDescent="0.3">
      <c r="A1500" s="79" t="s">
        <v>5065</v>
      </c>
      <c r="C1500" s="115">
        <v>43893</v>
      </c>
      <c r="D1500" s="312">
        <v>43916</v>
      </c>
      <c r="E1500" s="560"/>
      <c r="F1500" s="86" t="s">
        <v>5175</v>
      </c>
      <c r="G1500" s="86" t="s">
        <v>152</v>
      </c>
      <c r="H1500" s="96" t="s">
        <v>213</v>
      </c>
      <c r="I1500" s="97" t="s">
        <v>4963</v>
      </c>
      <c r="J1500" s="73">
        <f t="shared" si="141"/>
        <v>1</v>
      </c>
      <c r="K1500" s="74" t="s">
        <v>204</v>
      </c>
      <c r="N1500" s="76" t="s">
        <v>19</v>
      </c>
      <c r="Q1500" s="76" t="s">
        <v>5193</v>
      </c>
      <c r="R1500" s="73">
        <f t="shared" si="142"/>
        <v>1</v>
      </c>
      <c r="S1500" s="260" t="s">
        <v>1976</v>
      </c>
      <c r="T1500" s="260" t="s">
        <v>925</v>
      </c>
      <c r="U1500" s="260"/>
      <c r="V1500" s="260"/>
      <c r="W1500" s="260"/>
      <c r="X1500" s="260"/>
      <c r="Y1500" s="565"/>
      <c r="Z1500" s="565"/>
      <c r="AA1500" s="566">
        <f t="shared" si="140"/>
        <v>0</v>
      </c>
      <c r="AB1500" s="699"/>
    </row>
    <row r="1501" spans="1:28" ht="15" customHeight="1" x14ac:dyDescent="0.3">
      <c r="A1501" s="96" t="s">
        <v>5067</v>
      </c>
      <c r="C1501" s="115">
        <v>43893</v>
      </c>
      <c r="D1501" s="312">
        <v>43916</v>
      </c>
      <c r="E1501" s="560"/>
      <c r="F1501" s="86" t="s">
        <v>5177</v>
      </c>
      <c r="G1501" s="86" t="s">
        <v>158</v>
      </c>
      <c r="H1501" s="96" t="s">
        <v>213</v>
      </c>
      <c r="I1501" s="124" t="s">
        <v>972</v>
      </c>
      <c r="J1501" s="73">
        <f t="shared" si="141"/>
        <v>1</v>
      </c>
      <c r="K1501" s="74" t="s">
        <v>204</v>
      </c>
      <c r="L1501" s="97" t="s">
        <v>5304</v>
      </c>
      <c r="N1501" s="76" t="s">
        <v>17</v>
      </c>
      <c r="Q1501" s="76" t="s">
        <v>2037</v>
      </c>
      <c r="R1501" s="73">
        <f t="shared" si="142"/>
        <v>1</v>
      </c>
      <c r="S1501" s="260" t="s">
        <v>1976</v>
      </c>
      <c r="T1501" s="260" t="s">
        <v>925</v>
      </c>
      <c r="U1501" s="260" t="s">
        <v>5283</v>
      </c>
      <c r="V1501" s="260" t="s">
        <v>5303</v>
      </c>
      <c r="W1501" s="260" t="s">
        <v>5306</v>
      </c>
      <c r="X1501" s="260"/>
      <c r="Y1501" s="565"/>
      <c r="Z1501" s="565"/>
      <c r="AA1501" s="566">
        <f t="shared" si="140"/>
        <v>0</v>
      </c>
      <c r="AB1501" s="699"/>
    </row>
    <row r="1502" spans="1:28" ht="15" customHeight="1" x14ac:dyDescent="0.3">
      <c r="A1502" s="96" t="s">
        <v>5069</v>
      </c>
      <c r="C1502" s="115">
        <v>43894</v>
      </c>
      <c r="D1502" s="312">
        <v>43917</v>
      </c>
      <c r="E1502" s="560"/>
      <c r="F1502" s="86" t="s">
        <v>5179</v>
      </c>
      <c r="G1502" s="86" t="s">
        <v>175</v>
      </c>
      <c r="H1502" s="96" t="s">
        <v>213</v>
      </c>
      <c r="I1502" s="97" t="s">
        <v>684</v>
      </c>
      <c r="J1502" s="73">
        <f t="shared" si="141"/>
        <v>1</v>
      </c>
      <c r="K1502" s="74" t="s">
        <v>204</v>
      </c>
      <c r="N1502" s="76" t="s">
        <v>17</v>
      </c>
      <c r="Q1502" s="76" t="s">
        <v>2142</v>
      </c>
      <c r="R1502" s="73">
        <f t="shared" si="142"/>
        <v>1</v>
      </c>
      <c r="S1502" s="260" t="s">
        <v>1976</v>
      </c>
      <c r="T1502" s="260" t="s">
        <v>925</v>
      </c>
      <c r="U1502" s="260"/>
      <c r="V1502" s="260"/>
      <c r="W1502" s="260"/>
      <c r="X1502" s="260"/>
      <c r="Y1502" s="565"/>
      <c r="Z1502" s="565"/>
      <c r="AA1502" s="566">
        <f t="shared" si="140"/>
        <v>0</v>
      </c>
      <c r="AB1502" s="699"/>
    </row>
    <row r="1503" spans="1:28" ht="15" customHeight="1" x14ac:dyDescent="0.3">
      <c r="A1503" s="79" t="s">
        <v>5072</v>
      </c>
      <c r="C1503" s="115">
        <v>43894</v>
      </c>
      <c r="D1503" s="115">
        <v>43916</v>
      </c>
      <c r="E1503" s="560"/>
      <c r="F1503" s="86" t="s">
        <v>5182</v>
      </c>
      <c r="G1503" s="86" t="s">
        <v>152</v>
      </c>
      <c r="H1503" s="96" t="s">
        <v>213</v>
      </c>
      <c r="I1503" s="97" t="s">
        <v>5280</v>
      </c>
      <c r="J1503" s="73">
        <f t="shared" si="141"/>
        <v>1</v>
      </c>
      <c r="K1503" s="74" t="s">
        <v>204</v>
      </c>
      <c r="N1503" s="76" t="s">
        <v>19</v>
      </c>
      <c r="Q1503" s="76" t="s">
        <v>2109</v>
      </c>
      <c r="R1503" s="73">
        <f t="shared" si="142"/>
        <v>1</v>
      </c>
      <c r="S1503" s="260" t="s">
        <v>1976</v>
      </c>
      <c r="T1503" s="260" t="s">
        <v>923</v>
      </c>
      <c r="U1503" s="260"/>
      <c r="V1503" s="260"/>
      <c r="W1503" s="260"/>
      <c r="X1503" s="260"/>
      <c r="Y1503" s="565"/>
      <c r="Z1503" s="565"/>
      <c r="AA1503" s="566">
        <f t="shared" si="140"/>
        <v>0</v>
      </c>
      <c r="AB1503" s="699"/>
    </row>
    <row r="1504" spans="1:28" ht="15" customHeight="1" x14ac:dyDescent="0.3">
      <c r="A1504" s="96" t="s">
        <v>5074</v>
      </c>
      <c r="C1504" s="115">
        <v>43894</v>
      </c>
      <c r="D1504" s="312">
        <v>43917</v>
      </c>
      <c r="E1504" s="560"/>
      <c r="F1504" s="86" t="s">
        <v>5184</v>
      </c>
      <c r="G1504" s="86" t="s">
        <v>150</v>
      </c>
      <c r="H1504" s="96" t="s">
        <v>213</v>
      </c>
      <c r="I1504" s="97" t="s">
        <v>722</v>
      </c>
      <c r="J1504" s="73">
        <f t="shared" si="141"/>
        <v>1</v>
      </c>
      <c r="K1504" s="74" t="s">
        <v>204</v>
      </c>
      <c r="N1504" s="76" t="s">
        <v>18</v>
      </c>
      <c r="Q1504" s="76" t="s">
        <v>2142</v>
      </c>
      <c r="R1504" s="73">
        <f t="shared" si="142"/>
        <v>1</v>
      </c>
      <c r="S1504" s="260" t="s">
        <v>1976</v>
      </c>
      <c r="T1504" s="260" t="s">
        <v>923</v>
      </c>
      <c r="U1504" s="260"/>
      <c r="V1504" s="260"/>
      <c r="W1504" s="260"/>
      <c r="X1504" s="260"/>
      <c r="Y1504" s="565"/>
      <c r="Z1504" s="565"/>
      <c r="AA1504" s="566">
        <f t="shared" si="140"/>
        <v>0</v>
      </c>
      <c r="AB1504" s="699"/>
    </row>
    <row r="1505" spans="1:28" ht="15" customHeight="1" x14ac:dyDescent="0.3">
      <c r="A1505" s="96" t="s">
        <v>5075</v>
      </c>
      <c r="C1505" s="115">
        <v>43894</v>
      </c>
      <c r="D1505" s="312">
        <v>43917</v>
      </c>
      <c r="E1505" s="560"/>
      <c r="F1505" s="86" t="s">
        <v>5185</v>
      </c>
      <c r="G1505" s="86" t="s">
        <v>168</v>
      </c>
      <c r="H1505" s="79" t="s">
        <v>268</v>
      </c>
      <c r="I1505" s="97" t="s">
        <v>6065</v>
      </c>
      <c r="J1505" s="73">
        <f t="shared" si="141"/>
        <v>1</v>
      </c>
      <c r="K1505" s="74" t="s">
        <v>204</v>
      </c>
      <c r="L1505" s="97" t="s">
        <v>6068</v>
      </c>
      <c r="N1505" s="76" t="s">
        <v>19</v>
      </c>
      <c r="Q1505" s="76" t="s">
        <v>2142</v>
      </c>
      <c r="R1505" s="73">
        <f t="shared" si="142"/>
        <v>1</v>
      </c>
      <c r="S1505" s="260" t="s">
        <v>1976</v>
      </c>
      <c r="T1505" s="260" t="s">
        <v>924</v>
      </c>
      <c r="U1505" s="260"/>
      <c r="V1505" s="260"/>
      <c r="W1505" s="260"/>
      <c r="X1505" s="260"/>
      <c r="Y1505" s="565"/>
      <c r="Z1505" s="565"/>
      <c r="AA1505" s="566">
        <f t="shared" si="140"/>
        <v>0</v>
      </c>
      <c r="AB1505" s="699"/>
    </row>
    <row r="1506" spans="1:28" ht="15" customHeight="1" x14ac:dyDescent="0.3">
      <c r="A1506" s="96" t="s">
        <v>5076</v>
      </c>
      <c r="C1506" s="115">
        <v>43894</v>
      </c>
      <c r="D1506" s="312">
        <v>43917</v>
      </c>
      <c r="E1506" s="560"/>
      <c r="F1506" s="86" t="s">
        <v>5186</v>
      </c>
      <c r="G1506" s="86" t="s">
        <v>152</v>
      </c>
      <c r="H1506" s="96" t="s">
        <v>213</v>
      </c>
      <c r="I1506" s="97" t="s">
        <v>645</v>
      </c>
      <c r="J1506" s="73">
        <f t="shared" si="141"/>
        <v>1</v>
      </c>
      <c r="K1506" s="74" t="s">
        <v>204</v>
      </c>
      <c r="L1506" s="97" t="s">
        <v>456</v>
      </c>
      <c r="N1506" s="76" t="s">
        <v>18</v>
      </c>
      <c r="Q1506" s="76" t="s">
        <v>2037</v>
      </c>
      <c r="R1506" s="73">
        <f t="shared" si="142"/>
        <v>1</v>
      </c>
      <c r="S1506" s="260" t="s">
        <v>1976</v>
      </c>
      <c r="T1506" s="260" t="s">
        <v>923</v>
      </c>
      <c r="U1506" s="260"/>
      <c r="V1506" s="260"/>
      <c r="W1506" s="260"/>
      <c r="X1506" s="260"/>
      <c r="Y1506" s="565"/>
      <c r="Z1506" s="565"/>
      <c r="AA1506" s="566">
        <f t="shared" si="140"/>
        <v>0</v>
      </c>
      <c r="AB1506" s="699"/>
    </row>
    <row r="1507" spans="1:28" ht="15" customHeight="1" x14ac:dyDescent="0.3">
      <c r="A1507" s="96" t="s">
        <v>5077</v>
      </c>
      <c r="C1507" s="115">
        <v>43894</v>
      </c>
      <c r="D1507" s="312">
        <v>43916</v>
      </c>
      <c r="E1507" s="560"/>
      <c r="F1507" s="86" t="s">
        <v>5187</v>
      </c>
      <c r="G1507" s="86" t="s">
        <v>152</v>
      </c>
      <c r="H1507" s="96" t="s">
        <v>213</v>
      </c>
      <c r="I1507" s="97" t="s">
        <v>683</v>
      </c>
      <c r="J1507" s="73">
        <f t="shared" si="141"/>
        <v>1</v>
      </c>
      <c r="K1507" s="74" t="s">
        <v>204</v>
      </c>
      <c r="N1507" s="76" t="s">
        <v>19</v>
      </c>
      <c r="Q1507" s="76" t="s">
        <v>2142</v>
      </c>
      <c r="R1507" s="73">
        <f t="shared" si="142"/>
        <v>1</v>
      </c>
      <c r="S1507" s="260" t="s">
        <v>1976</v>
      </c>
      <c r="T1507" s="260" t="s">
        <v>923</v>
      </c>
      <c r="U1507" s="260"/>
      <c r="V1507" s="260"/>
      <c r="W1507" s="260"/>
      <c r="X1507" s="260"/>
      <c r="Y1507" s="565"/>
      <c r="Z1507" s="565"/>
      <c r="AA1507" s="566">
        <f t="shared" si="140"/>
        <v>0</v>
      </c>
      <c r="AB1507" s="699"/>
    </row>
    <row r="1508" spans="1:28" ht="15" customHeight="1" x14ac:dyDescent="0.3">
      <c r="A1508" s="96" t="s">
        <v>5079</v>
      </c>
      <c r="C1508" s="115">
        <v>43894</v>
      </c>
      <c r="D1508" s="312">
        <v>43917</v>
      </c>
      <c r="E1508" s="560"/>
      <c r="F1508" s="86" t="s">
        <v>5189</v>
      </c>
      <c r="G1508" s="86" t="s">
        <v>154</v>
      </c>
      <c r="H1508" s="96" t="s">
        <v>213</v>
      </c>
      <c r="I1508" s="97" t="s">
        <v>657</v>
      </c>
      <c r="J1508" s="73">
        <f t="shared" si="141"/>
        <v>1</v>
      </c>
      <c r="K1508" s="74" t="s">
        <v>204</v>
      </c>
      <c r="L1508" s="97" t="s">
        <v>622</v>
      </c>
      <c r="N1508" s="76" t="s">
        <v>19</v>
      </c>
      <c r="Q1508" s="76" t="s">
        <v>2037</v>
      </c>
      <c r="R1508" s="73">
        <f t="shared" si="142"/>
        <v>1</v>
      </c>
      <c r="S1508" s="260" t="s">
        <v>1976</v>
      </c>
      <c r="T1508" s="260" t="s">
        <v>923</v>
      </c>
      <c r="U1508" s="260"/>
      <c r="V1508" s="260"/>
      <c r="W1508" s="260"/>
      <c r="X1508" s="260"/>
      <c r="Y1508" s="565"/>
      <c r="Z1508" s="565"/>
      <c r="AA1508" s="566">
        <f t="shared" si="140"/>
        <v>0</v>
      </c>
      <c r="AB1508" s="699"/>
    </row>
    <row r="1509" spans="1:28" x14ac:dyDescent="0.3">
      <c r="A1509" s="96" t="s">
        <v>4426</v>
      </c>
      <c r="C1509" s="115">
        <v>43867</v>
      </c>
      <c r="D1509" s="312">
        <v>43928</v>
      </c>
      <c r="E1509" s="560"/>
      <c r="F1509" s="252" t="s">
        <v>4511</v>
      </c>
      <c r="G1509" s="86" t="s">
        <v>156</v>
      </c>
      <c r="H1509" s="96" t="s">
        <v>213</v>
      </c>
      <c r="I1509" s="97" t="s">
        <v>642</v>
      </c>
      <c r="J1509" s="73">
        <f t="shared" ref="J1509" si="143">IF(OR(K1509="Документы готовы",K1509="Запрос в ФО",K1509="ЭЗ",K1509="РЕШ",K1509="РЕШ шаблон"),0.1,IF(OR(K1509="ЭЗ согласование",K1509="РЕШ согласование"),0.3,IF(OR(K1509="ЭЗ согласовано",K1509="РЕШ согласовано",K1509="РЕШ подписано"),0.6,IF(OR(K1509="ЭЗ ПР согласование",K1509="РЕШ УВ согласование"),0.9,IF(OR(K1509="ЭЗ ПР DONE",K1509="РЕШ УВ DONE"),1,0)))))</f>
        <v>1</v>
      </c>
      <c r="K1509" s="74" t="s">
        <v>204</v>
      </c>
      <c r="N1509" s="76" t="s">
        <v>18</v>
      </c>
      <c r="Q1509" s="76" t="s">
        <v>2076</v>
      </c>
      <c r="R1509" s="73">
        <f t="shared" ref="R1509" si="144">IF(S1509="В работе",0.3,IF(S1509="Отписано",0.6,IF(S1509="На доработку",0.9,IF(S1509="Согласовано",1,0))))</f>
        <v>1</v>
      </c>
      <c r="S1509" s="260" t="s">
        <v>1976</v>
      </c>
      <c r="T1509" s="260" t="s">
        <v>925</v>
      </c>
      <c r="AA1509" s="566">
        <f t="shared" si="140"/>
        <v>0</v>
      </c>
      <c r="AB1509" s="699"/>
    </row>
    <row r="1510" spans="1:28" x14ac:dyDescent="0.3">
      <c r="A1510" s="79" t="s">
        <v>5314</v>
      </c>
      <c r="C1510" s="115">
        <v>43867</v>
      </c>
      <c r="D1510" s="312">
        <v>43928</v>
      </c>
      <c r="E1510" s="560"/>
      <c r="F1510" s="86" t="s">
        <v>5440</v>
      </c>
      <c r="G1510" s="86" t="s">
        <v>157</v>
      </c>
      <c r="H1510" s="96" t="s">
        <v>213</v>
      </c>
      <c r="I1510" s="97" t="s">
        <v>642</v>
      </c>
      <c r="J1510" s="73">
        <f t="shared" ref="J1510:J1552" si="145">IF(OR(K1510="Документы готовы",K1510="Запрос в ФО",K1510="ЭЗ",K1510="РЕШ",K1510="РЕШ шаблон"),0.1,IF(OR(K1510="ЭЗ согласование",K1510="РЕШ согласование"),0.3,IF(OR(K1510="ЭЗ согласовано",K1510="РЕШ согласовано",K1510="РЕШ подписано"),0.6,IF(OR(K1510="ЭЗ ПР согласование",K1510="РЕШ УВ согласование"),0.9,IF(OR(K1510="ЭЗ ПР DONE",K1510="РЕШ УВ DONE"),1,0)))))</f>
        <v>1</v>
      </c>
      <c r="K1510" s="74" t="s">
        <v>204</v>
      </c>
      <c r="L1510" s="97" t="s">
        <v>1745</v>
      </c>
      <c r="N1510" s="76" t="s">
        <v>19</v>
      </c>
      <c r="Q1510" s="301" t="s">
        <v>2417</v>
      </c>
      <c r="R1510" s="73">
        <f t="shared" ref="R1510:R1552" si="146">IF(S1510="В работе",0.3,IF(S1510="Отписано",0.6,IF(S1510="На доработку",0.9,IF(S1510="Согласовано",1,0))))</f>
        <v>1</v>
      </c>
      <c r="S1510" s="260" t="s">
        <v>1976</v>
      </c>
      <c r="T1510" s="260" t="s">
        <v>923</v>
      </c>
      <c r="U1510" s="76" t="s">
        <v>5283</v>
      </c>
      <c r="V1510" s="76" t="s">
        <v>5667</v>
      </c>
      <c r="AA1510" s="566">
        <f t="shared" si="140"/>
        <v>0</v>
      </c>
      <c r="AB1510" s="699"/>
    </row>
    <row r="1511" spans="1:28" x14ac:dyDescent="0.3">
      <c r="A1511" s="96" t="s">
        <v>5315</v>
      </c>
      <c r="C1511" s="115">
        <v>43868</v>
      </c>
      <c r="D1511" s="312">
        <v>43929</v>
      </c>
      <c r="E1511" s="560"/>
      <c r="F1511" s="86" t="s">
        <v>5441</v>
      </c>
      <c r="G1511" s="86" t="s">
        <v>177</v>
      </c>
      <c r="H1511" s="79" t="s">
        <v>268</v>
      </c>
      <c r="I1511" s="97" t="s">
        <v>722</v>
      </c>
      <c r="J1511" s="73">
        <f t="shared" si="145"/>
        <v>1</v>
      </c>
      <c r="K1511" s="74" t="s">
        <v>204</v>
      </c>
      <c r="L1511" s="97" t="s">
        <v>5702</v>
      </c>
      <c r="N1511" s="76" t="s">
        <v>17</v>
      </c>
      <c r="Q1511" s="76" t="s">
        <v>2142</v>
      </c>
      <c r="R1511" s="73">
        <f t="shared" si="146"/>
        <v>1</v>
      </c>
      <c r="S1511" s="260" t="s">
        <v>1976</v>
      </c>
      <c r="T1511" s="260" t="s">
        <v>923</v>
      </c>
      <c r="AA1511" s="566">
        <f t="shared" ref="AA1511:AA1568" si="147">Z1511-Y1511</f>
        <v>0</v>
      </c>
      <c r="AB1511" s="699"/>
    </row>
    <row r="1512" spans="1:28" x14ac:dyDescent="0.3">
      <c r="A1512" s="96" t="s">
        <v>4438</v>
      </c>
      <c r="C1512" s="115">
        <v>43868</v>
      </c>
      <c r="D1512" s="312">
        <v>43929</v>
      </c>
      <c r="E1512" s="560"/>
      <c r="F1512" s="86" t="s">
        <v>4523</v>
      </c>
      <c r="G1512" s="86" t="s">
        <v>158</v>
      </c>
      <c r="H1512" s="96" t="s">
        <v>213</v>
      </c>
      <c r="I1512" s="97" t="s">
        <v>642</v>
      </c>
      <c r="J1512" s="73">
        <f t="shared" si="145"/>
        <v>1</v>
      </c>
      <c r="K1512" s="74" t="s">
        <v>204</v>
      </c>
      <c r="N1512" s="76" t="s">
        <v>17</v>
      </c>
      <c r="Q1512" s="76" t="s">
        <v>2037</v>
      </c>
      <c r="R1512" s="73">
        <f t="shared" si="146"/>
        <v>1</v>
      </c>
      <c r="S1512" s="260" t="s">
        <v>1976</v>
      </c>
      <c r="T1512" s="260" t="s">
        <v>924</v>
      </c>
      <c r="AA1512" s="566">
        <f t="shared" si="147"/>
        <v>0</v>
      </c>
      <c r="AB1512" s="699"/>
    </row>
    <row r="1513" spans="1:28" x14ac:dyDescent="0.3">
      <c r="A1513" s="96" t="s">
        <v>4769</v>
      </c>
      <c r="C1513" s="115">
        <v>43880</v>
      </c>
      <c r="D1513" s="312">
        <v>43927</v>
      </c>
      <c r="E1513" s="560"/>
      <c r="F1513" s="86" t="s">
        <v>4845</v>
      </c>
      <c r="G1513" s="86" t="s">
        <v>158</v>
      </c>
      <c r="H1513" s="96" t="s">
        <v>213</v>
      </c>
      <c r="I1513" s="97" t="s">
        <v>714</v>
      </c>
      <c r="J1513" s="73">
        <f t="shared" si="145"/>
        <v>1</v>
      </c>
      <c r="K1513" s="74" t="s">
        <v>204</v>
      </c>
      <c r="N1513" s="76" t="s">
        <v>17</v>
      </c>
      <c r="Q1513" s="76" t="s">
        <v>2109</v>
      </c>
      <c r="R1513" s="73">
        <f t="shared" si="146"/>
        <v>1</v>
      </c>
      <c r="S1513" s="260" t="s">
        <v>1976</v>
      </c>
      <c r="T1513" s="260" t="s">
        <v>924</v>
      </c>
      <c r="AA1513" s="566">
        <f t="shared" si="147"/>
        <v>0</v>
      </c>
      <c r="AB1513" s="699"/>
    </row>
    <row r="1514" spans="1:28" x14ac:dyDescent="0.3">
      <c r="A1514" s="96" t="s">
        <v>4770</v>
      </c>
      <c r="C1514" s="115">
        <v>43880</v>
      </c>
      <c r="D1514" s="312">
        <v>43927</v>
      </c>
      <c r="E1514" s="560"/>
      <c r="F1514" s="86" t="s">
        <v>4846</v>
      </c>
      <c r="G1514" s="86" t="s">
        <v>181</v>
      </c>
      <c r="H1514" s="96" t="s">
        <v>213</v>
      </c>
      <c r="I1514" s="97" t="s">
        <v>714</v>
      </c>
      <c r="J1514" s="73">
        <f t="shared" si="145"/>
        <v>1</v>
      </c>
      <c r="K1514" s="74" t="s">
        <v>204</v>
      </c>
      <c r="N1514" s="76" t="s">
        <v>18</v>
      </c>
      <c r="Q1514" s="76" t="s">
        <v>2076</v>
      </c>
      <c r="R1514" s="73">
        <f t="shared" si="146"/>
        <v>1</v>
      </c>
      <c r="S1514" s="260" t="s">
        <v>1976</v>
      </c>
      <c r="T1514" s="260" t="s">
        <v>925</v>
      </c>
      <c r="AA1514" s="566">
        <f t="shared" si="147"/>
        <v>0</v>
      </c>
      <c r="AB1514" s="699"/>
    </row>
    <row r="1515" spans="1:28" x14ac:dyDescent="0.3">
      <c r="A1515" s="96" t="s">
        <v>4771</v>
      </c>
      <c r="C1515" s="115">
        <v>43880</v>
      </c>
      <c r="D1515" s="312">
        <v>43927</v>
      </c>
      <c r="E1515" s="560"/>
      <c r="F1515" s="86" t="s">
        <v>4847</v>
      </c>
      <c r="G1515" s="86" t="s">
        <v>158</v>
      </c>
      <c r="H1515" s="96" t="s">
        <v>213</v>
      </c>
      <c r="I1515" s="97" t="s">
        <v>642</v>
      </c>
      <c r="J1515" s="73">
        <f t="shared" si="145"/>
        <v>1</v>
      </c>
      <c r="K1515" s="74" t="s">
        <v>204</v>
      </c>
      <c r="N1515" s="76" t="s">
        <v>18</v>
      </c>
      <c r="Q1515" s="76" t="s">
        <v>2076</v>
      </c>
      <c r="R1515" s="73">
        <f t="shared" si="146"/>
        <v>1</v>
      </c>
      <c r="S1515" s="260" t="s">
        <v>1976</v>
      </c>
      <c r="T1515" s="260" t="s">
        <v>925</v>
      </c>
      <c r="AA1515" s="566">
        <f t="shared" si="147"/>
        <v>0</v>
      </c>
      <c r="AB1515" s="699"/>
    </row>
    <row r="1516" spans="1:28" x14ac:dyDescent="0.3">
      <c r="A1516" s="96" t="s">
        <v>5317</v>
      </c>
      <c r="C1516" s="115">
        <v>43880</v>
      </c>
      <c r="D1516" s="312">
        <v>43927</v>
      </c>
      <c r="E1516" s="560"/>
      <c r="F1516" s="86" t="s">
        <v>5443</v>
      </c>
      <c r="G1516" s="86" t="s">
        <v>147</v>
      </c>
      <c r="H1516" s="96" t="s">
        <v>213</v>
      </c>
      <c r="I1516" s="97" t="s">
        <v>714</v>
      </c>
      <c r="J1516" s="73">
        <f t="shared" si="145"/>
        <v>1</v>
      </c>
      <c r="K1516" s="74" t="s">
        <v>204</v>
      </c>
      <c r="N1516" s="76" t="s">
        <v>18</v>
      </c>
      <c r="Q1516" s="76" t="s">
        <v>2417</v>
      </c>
      <c r="R1516" s="73">
        <f t="shared" si="146"/>
        <v>1</v>
      </c>
      <c r="S1516" s="260" t="s">
        <v>1976</v>
      </c>
      <c r="T1516" s="260" t="s">
        <v>925</v>
      </c>
      <c r="U1516" s="301"/>
      <c r="AA1516" s="566">
        <f t="shared" si="147"/>
        <v>0</v>
      </c>
      <c r="AB1516" s="699"/>
    </row>
    <row r="1517" spans="1:28" x14ac:dyDescent="0.3">
      <c r="A1517" s="79" t="s">
        <v>5318</v>
      </c>
      <c r="C1517" s="115">
        <v>43880</v>
      </c>
      <c r="D1517" s="312">
        <v>43927</v>
      </c>
      <c r="E1517" s="560"/>
      <c r="F1517" s="86" t="s">
        <v>5444</v>
      </c>
      <c r="G1517" s="86" t="s">
        <v>172</v>
      </c>
      <c r="H1517" s="96" t="s">
        <v>213</v>
      </c>
      <c r="I1517" s="97" t="s">
        <v>642</v>
      </c>
      <c r="J1517" s="73">
        <f t="shared" si="145"/>
        <v>1</v>
      </c>
      <c r="K1517" s="74" t="s">
        <v>204</v>
      </c>
      <c r="N1517" s="76" t="s">
        <v>18</v>
      </c>
      <c r="Q1517" s="76" t="s">
        <v>5193</v>
      </c>
      <c r="R1517" s="73">
        <f t="shared" si="146"/>
        <v>1</v>
      </c>
      <c r="S1517" s="260" t="s">
        <v>1976</v>
      </c>
      <c r="T1517" s="260" t="s">
        <v>924</v>
      </c>
      <c r="AA1517" s="566">
        <f t="shared" si="147"/>
        <v>0</v>
      </c>
      <c r="AB1517" s="699"/>
    </row>
    <row r="1518" spans="1:28" x14ac:dyDescent="0.3">
      <c r="A1518" s="96" t="s">
        <v>4772</v>
      </c>
      <c r="C1518" s="115">
        <v>43880</v>
      </c>
      <c r="D1518" s="312">
        <v>43927</v>
      </c>
      <c r="E1518" s="560"/>
      <c r="F1518" s="86" t="s">
        <v>4848</v>
      </c>
      <c r="G1518" s="86" t="s">
        <v>172</v>
      </c>
      <c r="H1518" s="96" t="s">
        <v>213</v>
      </c>
      <c r="I1518" s="97" t="s">
        <v>714</v>
      </c>
      <c r="J1518" s="73">
        <f t="shared" si="145"/>
        <v>1</v>
      </c>
      <c r="K1518" s="74" t="s">
        <v>204</v>
      </c>
      <c r="N1518" s="76" t="s">
        <v>17</v>
      </c>
      <c r="Q1518" s="76" t="s">
        <v>2076</v>
      </c>
      <c r="R1518" s="73">
        <f t="shared" si="146"/>
        <v>1</v>
      </c>
      <c r="S1518" s="260" t="s">
        <v>1976</v>
      </c>
      <c r="T1518" s="260" t="s">
        <v>923</v>
      </c>
      <c r="AA1518" s="566">
        <f t="shared" si="147"/>
        <v>0</v>
      </c>
      <c r="AB1518" s="699"/>
    </row>
    <row r="1519" spans="1:28" x14ac:dyDescent="0.3">
      <c r="A1519" s="96" t="s">
        <v>4773</v>
      </c>
      <c r="C1519" s="115">
        <v>43880</v>
      </c>
      <c r="D1519" s="312">
        <v>43927</v>
      </c>
      <c r="E1519" s="560"/>
      <c r="F1519" s="86" t="s">
        <v>4849</v>
      </c>
      <c r="G1519" s="86" t="s">
        <v>154</v>
      </c>
      <c r="H1519" s="96" t="s">
        <v>213</v>
      </c>
      <c r="I1519" s="97" t="s">
        <v>714</v>
      </c>
      <c r="J1519" s="73">
        <f t="shared" si="145"/>
        <v>1</v>
      </c>
      <c r="K1519" s="74" t="s">
        <v>204</v>
      </c>
      <c r="L1519" s="97" t="s">
        <v>3861</v>
      </c>
      <c r="N1519" s="76" t="s">
        <v>17</v>
      </c>
      <c r="Q1519" s="76" t="s">
        <v>2142</v>
      </c>
      <c r="R1519" s="73">
        <f>IF(S1519="В работе",0.3,IF(S1519="Отписано",0.6,IF(S1519="На доработку",0.9,IF(S1519="Согласовано",1,0))))</f>
        <v>1</v>
      </c>
      <c r="S1519" s="260" t="s">
        <v>1976</v>
      </c>
      <c r="T1519" s="260" t="s">
        <v>923</v>
      </c>
      <c r="U1519" s="301" t="s">
        <v>5283</v>
      </c>
      <c r="V1519" s="301" t="s">
        <v>5583</v>
      </c>
      <c r="AA1519" s="566">
        <f t="shared" si="147"/>
        <v>0</v>
      </c>
      <c r="AB1519" s="699"/>
    </row>
    <row r="1520" spans="1:28" x14ac:dyDescent="0.3">
      <c r="A1520" s="96" t="s">
        <v>4774</v>
      </c>
      <c r="C1520" s="115">
        <v>43880</v>
      </c>
      <c r="D1520" s="312">
        <v>43927</v>
      </c>
      <c r="E1520" s="560"/>
      <c r="F1520" s="86" t="s">
        <v>4850</v>
      </c>
      <c r="G1520" s="86" t="s">
        <v>158</v>
      </c>
      <c r="H1520" s="96" t="s">
        <v>213</v>
      </c>
      <c r="I1520" s="97" t="s">
        <v>642</v>
      </c>
      <c r="J1520" s="73">
        <f t="shared" si="145"/>
        <v>1</v>
      </c>
      <c r="K1520" s="74" t="s">
        <v>204</v>
      </c>
      <c r="N1520" s="76" t="s">
        <v>18</v>
      </c>
      <c r="Q1520" s="76" t="s">
        <v>2109</v>
      </c>
      <c r="R1520" s="73">
        <f t="shared" si="146"/>
        <v>1</v>
      </c>
      <c r="S1520" s="260" t="s">
        <v>1976</v>
      </c>
      <c r="T1520" s="260" t="s">
        <v>925</v>
      </c>
      <c r="AA1520" s="566">
        <f t="shared" si="147"/>
        <v>0</v>
      </c>
      <c r="AB1520" s="699"/>
    </row>
    <row r="1521" spans="1:28" x14ac:dyDescent="0.3">
      <c r="A1521" s="96" t="s">
        <v>5319</v>
      </c>
      <c r="C1521" s="115">
        <v>43880</v>
      </c>
      <c r="D1521" s="312">
        <v>43927</v>
      </c>
      <c r="E1521" s="560"/>
      <c r="F1521" s="86" t="s">
        <v>5445</v>
      </c>
      <c r="G1521" s="86" t="s">
        <v>147</v>
      </c>
      <c r="H1521" s="96" t="s">
        <v>213</v>
      </c>
      <c r="I1521" s="97" t="s">
        <v>714</v>
      </c>
      <c r="J1521" s="73">
        <f t="shared" si="145"/>
        <v>1</v>
      </c>
      <c r="K1521" s="74" t="s">
        <v>204</v>
      </c>
      <c r="N1521" s="76" t="s">
        <v>18</v>
      </c>
      <c r="Q1521" s="76" t="s">
        <v>2109</v>
      </c>
      <c r="R1521" s="73">
        <f t="shared" si="146"/>
        <v>1</v>
      </c>
      <c r="S1521" s="260" t="s">
        <v>1976</v>
      </c>
      <c r="T1521" s="260" t="s">
        <v>925</v>
      </c>
      <c r="AA1521" s="566">
        <f t="shared" si="147"/>
        <v>0</v>
      </c>
      <c r="AB1521" s="699"/>
    </row>
    <row r="1522" spans="1:28" x14ac:dyDescent="0.3">
      <c r="A1522" s="96" t="s">
        <v>4777</v>
      </c>
      <c r="C1522" s="115">
        <v>43880</v>
      </c>
      <c r="D1522" s="312">
        <v>43927</v>
      </c>
      <c r="E1522" s="560"/>
      <c r="F1522" s="86" t="s">
        <v>4853</v>
      </c>
      <c r="G1522" s="86" t="s">
        <v>158</v>
      </c>
      <c r="H1522" s="96" t="s">
        <v>213</v>
      </c>
      <c r="I1522" s="97" t="s">
        <v>642</v>
      </c>
      <c r="J1522" s="73">
        <f t="shared" si="145"/>
        <v>1</v>
      </c>
      <c r="K1522" s="74" t="s">
        <v>204</v>
      </c>
      <c r="N1522" s="76" t="s">
        <v>18</v>
      </c>
      <c r="Q1522" s="76" t="s">
        <v>2037</v>
      </c>
      <c r="R1522" s="73">
        <f t="shared" si="146"/>
        <v>1</v>
      </c>
      <c r="S1522" s="260" t="s">
        <v>1976</v>
      </c>
      <c r="T1522" s="260" t="s">
        <v>924</v>
      </c>
      <c r="AA1522" s="566">
        <f t="shared" si="147"/>
        <v>0</v>
      </c>
      <c r="AB1522" s="699"/>
    </row>
    <row r="1523" spans="1:28" x14ac:dyDescent="0.3">
      <c r="A1523" s="79" t="s">
        <v>4778</v>
      </c>
      <c r="C1523" s="115">
        <v>43880</v>
      </c>
      <c r="D1523" s="312">
        <v>43927</v>
      </c>
      <c r="E1523" s="560"/>
      <c r="F1523" s="86" t="s">
        <v>4854</v>
      </c>
      <c r="G1523" s="86" t="s">
        <v>158</v>
      </c>
      <c r="H1523" s="96" t="s">
        <v>213</v>
      </c>
      <c r="I1523" s="97" t="s">
        <v>714</v>
      </c>
      <c r="J1523" s="73">
        <f t="shared" si="145"/>
        <v>1</v>
      </c>
      <c r="K1523" s="74" t="s">
        <v>204</v>
      </c>
      <c r="N1523" s="76" t="s">
        <v>17</v>
      </c>
      <c r="Q1523" s="76" t="s">
        <v>2037</v>
      </c>
      <c r="R1523" s="73">
        <f t="shared" si="146"/>
        <v>1</v>
      </c>
      <c r="S1523" s="260" t="s">
        <v>1976</v>
      </c>
      <c r="T1523" s="260" t="s">
        <v>925</v>
      </c>
      <c r="AA1523" s="566">
        <f t="shared" si="147"/>
        <v>0</v>
      </c>
      <c r="AB1523" s="699"/>
    </row>
    <row r="1524" spans="1:28" x14ac:dyDescent="0.3">
      <c r="A1524" s="79" t="s">
        <v>5320</v>
      </c>
      <c r="C1524" s="115">
        <v>43880</v>
      </c>
      <c r="D1524" s="312">
        <v>43927</v>
      </c>
      <c r="E1524" s="560"/>
      <c r="F1524" s="86" t="s">
        <v>5446</v>
      </c>
      <c r="G1524" s="86" t="s">
        <v>164</v>
      </c>
      <c r="H1524" s="96" t="s">
        <v>213</v>
      </c>
      <c r="I1524" s="97" t="s">
        <v>714</v>
      </c>
      <c r="J1524" s="73">
        <f t="shared" si="145"/>
        <v>1</v>
      </c>
      <c r="K1524" s="74" t="s">
        <v>204</v>
      </c>
      <c r="N1524" s="76" t="s">
        <v>18</v>
      </c>
      <c r="Q1524" s="76" t="s">
        <v>5193</v>
      </c>
      <c r="R1524" s="73">
        <f t="shared" si="146"/>
        <v>1</v>
      </c>
      <c r="S1524" s="260" t="s">
        <v>1976</v>
      </c>
      <c r="T1524" s="260" t="s">
        <v>924</v>
      </c>
      <c r="AA1524" s="566">
        <f t="shared" si="147"/>
        <v>0</v>
      </c>
      <c r="AB1524" s="699"/>
    </row>
    <row r="1525" spans="1:28" x14ac:dyDescent="0.3">
      <c r="A1525" s="79" t="s">
        <v>5321</v>
      </c>
      <c r="C1525" s="115">
        <v>43880</v>
      </c>
      <c r="D1525" s="312">
        <v>43927</v>
      </c>
      <c r="E1525" s="560"/>
      <c r="F1525" s="86" t="s">
        <v>5447</v>
      </c>
      <c r="G1525" s="86" t="s">
        <v>175</v>
      </c>
      <c r="H1525" s="96" t="s">
        <v>213</v>
      </c>
      <c r="I1525" s="97" t="s">
        <v>645</v>
      </c>
      <c r="J1525" s="73">
        <f t="shared" si="145"/>
        <v>1</v>
      </c>
      <c r="K1525" s="74" t="s">
        <v>204</v>
      </c>
      <c r="L1525" s="97" t="s">
        <v>5565</v>
      </c>
      <c r="N1525" s="76" t="s">
        <v>18</v>
      </c>
      <c r="Q1525" s="76" t="s">
        <v>2417</v>
      </c>
      <c r="R1525" s="73">
        <f t="shared" si="146"/>
        <v>1</v>
      </c>
      <c r="S1525" s="260" t="s">
        <v>1976</v>
      </c>
      <c r="T1525" s="260" t="s">
        <v>923</v>
      </c>
      <c r="AA1525" s="566">
        <f t="shared" si="147"/>
        <v>0</v>
      </c>
      <c r="AB1525" s="699"/>
    </row>
    <row r="1526" spans="1:28" x14ac:dyDescent="0.3">
      <c r="A1526" s="96" t="s">
        <v>4780</v>
      </c>
      <c r="C1526" s="115">
        <v>43881</v>
      </c>
      <c r="D1526" s="312">
        <v>43928</v>
      </c>
      <c r="E1526" s="560"/>
      <c r="F1526" s="86" t="s">
        <v>4856</v>
      </c>
      <c r="G1526" s="86" t="s">
        <v>150</v>
      </c>
      <c r="H1526" s="96" t="s">
        <v>213</v>
      </c>
      <c r="I1526" s="97" t="s">
        <v>5669</v>
      </c>
      <c r="J1526" s="73">
        <f t="shared" si="145"/>
        <v>1</v>
      </c>
      <c r="K1526" s="74" t="s">
        <v>204</v>
      </c>
      <c r="N1526" s="76" t="s">
        <v>18</v>
      </c>
      <c r="Q1526" s="76" t="s">
        <v>2142</v>
      </c>
      <c r="R1526" s="73">
        <f t="shared" si="146"/>
        <v>1</v>
      </c>
      <c r="S1526" s="260" t="s">
        <v>1976</v>
      </c>
      <c r="T1526" s="260" t="s">
        <v>923</v>
      </c>
      <c r="AA1526" s="566">
        <f t="shared" si="147"/>
        <v>0</v>
      </c>
      <c r="AB1526" s="699"/>
    </row>
    <row r="1527" spans="1:28" x14ac:dyDescent="0.3">
      <c r="A1527" s="79" t="s">
        <v>4781</v>
      </c>
      <c r="C1527" s="115">
        <v>43880</v>
      </c>
      <c r="D1527" s="312">
        <v>43927</v>
      </c>
      <c r="E1527" s="560"/>
      <c r="F1527" s="86" t="s">
        <v>4857</v>
      </c>
      <c r="G1527" s="86" t="s">
        <v>150</v>
      </c>
      <c r="H1527" s="96" t="s">
        <v>213</v>
      </c>
      <c r="I1527" s="97" t="s">
        <v>645</v>
      </c>
      <c r="J1527" s="73">
        <f t="shared" si="145"/>
        <v>1</v>
      </c>
      <c r="K1527" s="74" t="s">
        <v>204</v>
      </c>
      <c r="N1527" s="76" t="s">
        <v>18</v>
      </c>
      <c r="Q1527" s="76" t="s">
        <v>2142</v>
      </c>
      <c r="R1527" s="73">
        <f t="shared" si="146"/>
        <v>1</v>
      </c>
      <c r="S1527" s="260" t="s">
        <v>1976</v>
      </c>
      <c r="T1527" s="260" t="s">
        <v>924</v>
      </c>
      <c r="AA1527" s="566">
        <f t="shared" si="147"/>
        <v>0</v>
      </c>
      <c r="AB1527" s="699"/>
    </row>
    <row r="1528" spans="1:28" x14ac:dyDescent="0.3">
      <c r="A1528" s="96" t="s">
        <v>4786</v>
      </c>
      <c r="C1528" s="115">
        <v>43881</v>
      </c>
      <c r="D1528" s="312">
        <v>43928</v>
      </c>
      <c r="E1528" s="560"/>
      <c r="F1528" s="86" t="s">
        <v>4862</v>
      </c>
      <c r="G1528" s="86" t="s">
        <v>150</v>
      </c>
      <c r="H1528" s="96" t="s">
        <v>213</v>
      </c>
      <c r="I1528" s="97" t="s">
        <v>641</v>
      </c>
      <c r="J1528" s="73">
        <f t="shared" si="145"/>
        <v>1</v>
      </c>
      <c r="K1528" s="74" t="s">
        <v>204</v>
      </c>
      <c r="N1528" s="76" t="s">
        <v>18</v>
      </c>
      <c r="Q1528" s="76" t="s">
        <v>2076</v>
      </c>
      <c r="R1528" s="73">
        <f t="shared" si="146"/>
        <v>1</v>
      </c>
      <c r="S1528" s="260" t="s">
        <v>1976</v>
      </c>
      <c r="T1528" s="260" t="s">
        <v>923</v>
      </c>
      <c r="AA1528" s="566">
        <f t="shared" si="147"/>
        <v>0</v>
      </c>
      <c r="AB1528" s="699"/>
    </row>
    <row r="1529" spans="1:28" x14ac:dyDescent="0.3">
      <c r="A1529" s="96" t="s">
        <v>4788</v>
      </c>
      <c r="C1529" s="115">
        <v>43881</v>
      </c>
      <c r="D1529" s="312">
        <v>43928</v>
      </c>
      <c r="E1529" s="560"/>
      <c r="F1529" s="86" t="s">
        <v>4864</v>
      </c>
      <c r="G1529" s="86" t="s">
        <v>158</v>
      </c>
      <c r="H1529" s="79" t="s">
        <v>268</v>
      </c>
      <c r="I1529" s="97" t="s">
        <v>642</v>
      </c>
      <c r="J1529" s="73">
        <f t="shared" si="145"/>
        <v>1</v>
      </c>
      <c r="K1529" s="74" t="s">
        <v>204</v>
      </c>
      <c r="N1529" s="76" t="s">
        <v>18</v>
      </c>
      <c r="Q1529" s="76" t="s">
        <v>2109</v>
      </c>
      <c r="R1529" s="73">
        <f t="shared" si="146"/>
        <v>1</v>
      </c>
      <c r="S1529" s="260" t="s">
        <v>1976</v>
      </c>
      <c r="T1529" s="260" t="s">
        <v>924</v>
      </c>
      <c r="AA1529" s="566">
        <f t="shared" si="147"/>
        <v>0</v>
      </c>
      <c r="AB1529" s="699"/>
    </row>
    <row r="1530" spans="1:28" x14ac:dyDescent="0.3">
      <c r="A1530" s="96" t="s">
        <v>5322</v>
      </c>
      <c r="C1530" s="115">
        <v>43881</v>
      </c>
      <c r="D1530" s="312">
        <v>43928</v>
      </c>
      <c r="E1530" s="560"/>
      <c r="F1530" s="86" t="s">
        <v>5448</v>
      </c>
      <c r="G1530" s="86" t="s">
        <v>164</v>
      </c>
      <c r="H1530" s="96" t="s">
        <v>213</v>
      </c>
      <c r="I1530" s="97" t="s">
        <v>714</v>
      </c>
      <c r="J1530" s="73">
        <f t="shared" si="145"/>
        <v>1</v>
      </c>
      <c r="K1530" s="74" t="s">
        <v>204</v>
      </c>
      <c r="N1530" s="76" t="s">
        <v>17</v>
      </c>
      <c r="Q1530" s="76" t="s">
        <v>2037</v>
      </c>
      <c r="R1530" s="73">
        <f t="shared" si="146"/>
        <v>1</v>
      </c>
      <c r="S1530" s="260" t="s">
        <v>1976</v>
      </c>
      <c r="T1530" s="260" t="s">
        <v>923</v>
      </c>
      <c r="AA1530" s="566">
        <f t="shared" si="147"/>
        <v>0</v>
      </c>
      <c r="AB1530" s="699"/>
    </row>
    <row r="1531" spans="1:28" x14ac:dyDescent="0.3">
      <c r="A1531" s="96" t="s">
        <v>4789</v>
      </c>
      <c r="C1531" s="115">
        <v>43881</v>
      </c>
      <c r="D1531" s="312">
        <v>43928</v>
      </c>
      <c r="E1531" s="560"/>
      <c r="F1531" s="86" t="s">
        <v>4865</v>
      </c>
      <c r="G1531" s="86" t="s">
        <v>158</v>
      </c>
      <c r="H1531" s="96" t="s">
        <v>213</v>
      </c>
      <c r="I1531" s="97" t="s">
        <v>714</v>
      </c>
      <c r="J1531" s="73">
        <f t="shared" si="145"/>
        <v>1</v>
      </c>
      <c r="K1531" s="74" t="s">
        <v>204</v>
      </c>
      <c r="N1531" s="76" t="s">
        <v>17</v>
      </c>
      <c r="Q1531" s="76" t="s">
        <v>2109</v>
      </c>
      <c r="R1531" s="73">
        <f t="shared" si="146"/>
        <v>1</v>
      </c>
      <c r="S1531" s="260" t="s">
        <v>1976</v>
      </c>
      <c r="T1531" s="260" t="s">
        <v>924</v>
      </c>
      <c r="AA1531" s="566">
        <f t="shared" si="147"/>
        <v>0</v>
      </c>
      <c r="AB1531" s="699"/>
    </row>
    <row r="1532" spans="1:28" x14ac:dyDescent="0.3">
      <c r="A1532" s="79" t="s">
        <v>5323</v>
      </c>
      <c r="C1532" s="115">
        <v>43881</v>
      </c>
      <c r="D1532" s="312">
        <v>43927</v>
      </c>
      <c r="E1532" s="560"/>
      <c r="F1532" s="86" t="s">
        <v>5449</v>
      </c>
      <c r="G1532" s="86" t="s">
        <v>175</v>
      </c>
      <c r="H1532" s="96" t="s">
        <v>213</v>
      </c>
      <c r="I1532" s="97" t="s">
        <v>714</v>
      </c>
      <c r="J1532" s="73">
        <f t="shared" si="145"/>
        <v>1</v>
      </c>
      <c r="K1532" s="74" t="s">
        <v>204</v>
      </c>
      <c r="N1532" s="76" t="s">
        <v>18</v>
      </c>
      <c r="Q1532" s="301" t="s">
        <v>2417</v>
      </c>
      <c r="R1532" s="73">
        <f t="shared" si="146"/>
        <v>1</v>
      </c>
      <c r="S1532" s="260" t="s">
        <v>1976</v>
      </c>
      <c r="T1532" s="260" t="s">
        <v>925</v>
      </c>
      <c r="AA1532" s="566">
        <f t="shared" si="147"/>
        <v>0</v>
      </c>
      <c r="AB1532" s="699"/>
    </row>
    <row r="1533" spans="1:28" x14ac:dyDescent="0.3">
      <c r="A1533" s="79" t="s">
        <v>5324</v>
      </c>
      <c r="C1533" s="115">
        <v>43881</v>
      </c>
      <c r="D1533" s="312">
        <v>43928</v>
      </c>
      <c r="E1533" s="560"/>
      <c r="F1533" s="86" t="s">
        <v>5450</v>
      </c>
      <c r="G1533" s="86" t="s">
        <v>147</v>
      </c>
      <c r="H1533" s="96" t="s">
        <v>213</v>
      </c>
      <c r="I1533" s="97" t="s">
        <v>642</v>
      </c>
      <c r="J1533" s="73">
        <f t="shared" si="145"/>
        <v>1</v>
      </c>
      <c r="K1533" s="74" t="s">
        <v>204</v>
      </c>
      <c r="N1533" s="76" t="s">
        <v>18</v>
      </c>
      <c r="Q1533" s="76" t="s">
        <v>5193</v>
      </c>
      <c r="R1533" s="73">
        <f t="shared" si="146"/>
        <v>1</v>
      </c>
      <c r="S1533" s="260" t="s">
        <v>1976</v>
      </c>
      <c r="T1533" s="260" t="s">
        <v>924</v>
      </c>
      <c r="AA1533" s="566">
        <f t="shared" si="147"/>
        <v>0</v>
      </c>
      <c r="AB1533" s="699"/>
    </row>
    <row r="1534" spans="1:28" x14ac:dyDescent="0.3">
      <c r="A1534" s="96" t="s">
        <v>4790</v>
      </c>
      <c r="C1534" s="115">
        <v>43881</v>
      </c>
      <c r="D1534" s="312">
        <v>43928</v>
      </c>
      <c r="E1534" s="560"/>
      <c r="F1534" s="86" t="s">
        <v>4866</v>
      </c>
      <c r="G1534" s="86" t="s">
        <v>156</v>
      </c>
      <c r="H1534" s="96" t="s">
        <v>213</v>
      </c>
      <c r="I1534" s="97" t="s">
        <v>714</v>
      </c>
      <c r="J1534" s="73">
        <f t="shared" si="145"/>
        <v>1</v>
      </c>
      <c r="K1534" s="74" t="s">
        <v>204</v>
      </c>
      <c r="N1534" s="76" t="s">
        <v>17</v>
      </c>
      <c r="Q1534" s="76" t="s">
        <v>2142</v>
      </c>
      <c r="R1534" s="73">
        <f t="shared" si="146"/>
        <v>1</v>
      </c>
      <c r="S1534" s="260" t="s">
        <v>1976</v>
      </c>
      <c r="T1534" s="260" t="s">
        <v>924</v>
      </c>
      <c r="AA1534" s="566">
        <f t="shared" si="147"/>
        <v>0</v>
      </c>
      <c r="AB1534" s="699"/>
    </row>
    <row r="1535" spans="1:28" x14ac:dyDescent="0.3">
      <c r="A1535" s="96" t="s">
        <v>5325</v>
      </c>
      <c r="C1535" s="115">
        <v>43881</v>
      </c>
      <c r="D1535" s="312">
        <v>43928</v>
      </c>
      <c r="E1535" s="560"/>
      <c r="F1535" s="86" t="s">
        <v>5451</v>
      </c>
      <c r="G1535" s="86" t="s">
        <v>156</v>
      </c>
      <c r="H1535" s="96" t="s">
        <v>213</v>
      </c>
      <c r="I1535" s="97" t="s">
        <v>995</v>
      </c>
      <c r="J1535" s="73">
        <f t="shared" si="145"/>
        <v>1</v>
      </c>
      <c r="K1535" s="74" t="s">
        <v>204</v>
      </c>
      <c r="N1535" s="76" t="s">
        <v>19</v>
      </c>
      <c r="Q1535" s="76" t="s">
        <v>2037</v>
      </c>
      <c r="R1535" s="73">
        <f t="shared" si="146"/>
        <v>1</v>
      </c>
      <c r="S1535" s="260" t="s">
        <v>1976</v>
      </c>
      <c r="T1535" s="260" t="s">
        <v>925</v>
      </c>
      <c r="AA1535" s="566">
        <f t="shared" si="147"/>
        <v>0</v>
      </c>
      <c r="AB1535" s="699"/>
    </row>
    <row r="1536" spans="1:28" x14ac:dyDescent="0.3">
      <c r="A1536" s="79" t="s">
        <v>5326</v>
      </c>
      <c r="C1536" s="115">
        <v>43882</v>
      </c>
      <c r="D1536" s="312">
        <v>43928</v>
      </c>
      <c r="E1536" s="560"/>
      <c r="F1536" s="86" t="s">
        <v>5452</v>
      </c>
      <c r="G1536" s="86" t="s">
        <v>150</v>
      </c>
      <c r="H1536" s="96" t="s">
        <v>213</v>
      </c>
      <c r="I1536" s="97" t="s">
        <v>657</v>
      </c>
      <c r="J1536" s="73">
        <f t="shared" si="145"/>
        <v>1</v>
      </c>
      <c r="K1536" s="74" t="s">
        <v>204</v>
      </c>
      <c r="N1536" s="76" t="s">
        <v>17</v>
      </c>
      <c r="Q1536" s="76" t="s">
        <v>2417</v>
      </c>
      <c r="R1536" s="73">
        <f t="shared" si="146"/>
        <v>1</v>
      </c>
      <c r="S1536" s="260" t="s">
        <v>1976</v>
      </c>
      <c r="T1536" s="260" t="s">
        <v>925</v>
      </c>
      <c r="U1536" s="301" t="s">
        <v>5283</v>
      </c>
      <c r="V1536" s="301" t="s">
        <v>5668</v>
      </c>
      <c r="AA1536" s="566">
        <f t="shared" si="147"/>
        <v>0</v>
      </c>
      <c r="AB1536" s="699"/>
    </row>
    <row r="1537" spans="1:28" x14ac:dyDescent="0.3">
      <c r="A1537" s="349" t="s">
        <v>4792</v>
      </c>
      <c r="C1537" s="115">
        <v>43882</v>
      </c>
      <c r="D1537" s="312">
        <v>43959</v>
      </c>
      <c r="E1537" s="560">
        <v>43927</v>
      </c>
      <c r="F1537" s="86" t="s">
        <v>4868</v>
      </c>
      <c r="G1537" s="86" t="s">
        <v>410</v>
      </c>
      <c r="H1537" s="96" t="s">
        <v>213</v>
      </c>
      <c r="I1537" s="97" t="s">
        <v>714</v>
      </c>
      <c r="J1537" s="73">
        <f t="shared" si="145"/>
        <v>1</v>
      </c>
      <c r="K1537" s="74" t="s">
        <v>204</v>
      </c>
      <c r="L1537" s="97" t="s">
        <v>5809</v>
      </c>
      <c r="N1537" s="76" t="s">
        <v>17</v>
      </c>
      <c r="Q1537" s="76" t="s">
        <v>2109</v>
      </c>
      <c r="R1537" s="73">
        <f t="shared" si="146"/>
        <v>1</v>
      </c>
      <c r="S1537" s="260" t="s">
        <v>1976</v>
      </c>
      <c r="T1537" s="260" t="s">
        <v>923</v>
      </c>
      <c r="Y1537" s="566">
        <v>0.70416666666666661</v>
      </c>
      <c r="Z1537" s="566">
        <v>0.71597222222222223</v>
      </c>
      <c r="AA1537" s="566">
        <f t="shared" si="147"/>
        <v>1.1805555555555625E-2</v>
      </c>
      <c r="AB1537" s="699"/>
    </row>
    <row r="1538" spans="1:28" x14ac:dyDescent="0.3">
      <c r="A1538" s="96" t="s">
        <v>4793</v>
      </c>
      <c r="C1538" s="115">
        <v>43882</v>
      </c>
      <c r="D1538" s="312">
        <v>43929</v>
      </c>
      <c r="E1538" s="560"/>
      <c r="F1538" s="86" t="s">
        <v>4869</v>
      </c>
      <c r="G1538" s="86" t="s">
        <v>154</v>
      </c>
      <c r="H1538" s="96" t="s">
        <v>213</v>
      </c>
      <c r="I1538" s="97" t="s">
        <v>714</v>
      </c>
      <c r="J1538" s="73">
        <f t="shared" si="145"/>
        <v>1</v>
      </c>
      <c r="K1538" s="74" t="s">
        <v>204</v>
      </c>
      <c r="N1538" s="76" t="s">
        <v>18</v>
      </c>
      <c r="Q1538" s="76" t="s">
        <v>2142</v>
      </c>
      <c r="R1538" s="73">
        <f t="shared" si="146"/>
        <v>1</v>
      </c>
      <c r="S1538" s="260" t="s">
        <v>1976</v>
      </c>
      <c r="T1538" s="260" t="s">
        <v>924</v>
      </c>
      <c r="AA1538" s="566">
        <f t="shared" si="147"/>
        <v>0</v>
      </c>
      <c r="AB1538" s="699"/>
    </row>
    <row r="1539" spans="1:28" x14ac:dyDescent="0.3">
      <c r="A1539" s="79" t="s">
        <v>5327</v>
      </c>
      <c r="C1539" s="115">
        <v>43882</v>
      </c>
      <c r="D1539" s="312">
        <v>43929</v>
      </c>
      <c r="E1539" s="560"/>
      <c r="F1539" s="86" t="s">
        <v>5453</v>
      </c>
      <c r="G1539" s="86" t="s">
        <v>156</v>
      </c>
      <c r="H1539" s="96" t="s">
        <v>213</v>
      </c>
      <c r="I1539" s="97" t="s">
        <v>722</v>
      </c>
      <c r="J1539" s="73">
        <f t="shared" si="145"/>
        <v>1</v>
      </c>
      <c r="K1539" s="74" t="s">
        <v>204</v>
      </c>
      <c r="Q1539" s="76" t="s">
        <v>2417</v>
      </c>
      <c r="R1539" s="73">
        <f t="shared" si="146"/>
        <v>1</v>
      </c>
      <c r="S1539" s="260" t="s">
        <v>1976</v>
      </c>
      <c r="T1539" s="260" t="s">
        <v>925</v>
      </c>
      <c r="AA1539" s="566">
        <f t="shared" si="147"/>
        <v>0</v>
      </c>
      <c r="AB1539" s="699"/>
    </row>
    <row r="1540" spans="1:28" x14ac:dyDescent="0.3">
      <c r="A1540" s="96" t="s">
        <v>4795</v>
      </c>
      <c r="C1540" s="115">
        <v>43882</v>
      </c>
      <c r="D1540" s="312">
        <v>43929</v>
      </c>
      <c r="E1540" s="560"/>
      <c r="F1540" s="86" t="s">
        <v>4871</v>
      </c>
      <c r="G1540" s="86" t="s">
        <v>177</v>
      </c>
      <c r="H1540" s="96" t="s">
        <v>213</v>
      </c>
      <c r="I1540" s="97" t="s">
        <v>714</v>
      </c>
      <c r="J1540" s="73">
        <f t="shared" si="145"/>
        <v>1</v>
      </c>
      <c r="K1540" s="74" t="s">
        <v>204</v>
      </c>
      <c r="N1540" s="76" t="s">
        <v>18</v>
      </c>
      <c r="Q1540" s="76" t="s">
        <v>2142</v>
      </c>
      <c r="R1540" s="73">
        <f t="shared" si="146"/>
        <v>1</v>
      </c>
      <c r="S1540" s="260" t="s">
        <v>1976</v>
      </c>
      <c r="T1540" s="260" t="s">
        <v>925</v>
      </c>
      <c r="AA1540" s="566">
        <f t="shared" si="147"/>
        <v>0</v>
      </c>
      <c r="AB1540" s="699"/>
    </row>
    <row r="1541" spans="1:28" x14ac:dyDescent="0.3">
      <c r="A1541" s="96" t="s">
        <v>4797</v>
      </c>
      <c r="C1541" s="115">
        <v>43882</v>
      </c>
      <c r="D1541" s="312">
        <v>43929</v>
      </c>
      <c r="E1541" s="560"/>
      <c r="F1541" s="86" t="s">
        <v>4873</v>
      </c>
      <c r="G1541" s="86" t="s">
        <v>158</v>
      </c>
      <c r="H1541" s="96" t="s">
        <v>213</v>
      </c>
      <c r="I1541" s="97" t="s">
        <v>714</v>
      </c>
      <c r="J1541" s="73">
        <f t="shared" si="145"/>
        <v>1</v>
      </c>
      <c r="K1541" s="74" t="s">
        <v>204</v>
      </c>
      <c r="N1541" s="76" t="s">
        <v>18</v>
      </c>
      <c r="Q1541" s="76" t="s">
        <v>2037</v>
      </c>
      <c r="R1541" s="73">
        <f t="shared" si="146"/>
        <v>1</v>
      </c>
      <c r="S1541" s="260" t="s">
        <v>1976</v>
      </c>
      <c r="T1541" s="260" t="s">
        <v>923</v>
      </c>
      <c r="AA1541" s="566">
        <f t="shared" si="147"/>
        <v>0</v>
      </c>
      <c r="AB1541" s="699"/>
    </row>
    <row r="1542" spans="1:28" x14ac:dyDescent="0.3">
      <c r="A1542" s="79" t="s">
        <v>5328</v>
      </c>
      <c r="C1542" s="115">
        <v>43882</v>
      </c>
      <c r="D1542" s="312">
        <v>43928</v>
      </c>
      <c r="E1542" s="560"/>
      <c r="F1542" s="86" t="s">
        <v>5454</v>
      </c>
      <c r="G1542" s="86" t="s">
        <v>166</v>
      </c>
      <c r="H1542" s="96" t="s">
        <v>213</v>
      </c>
      <c r="I1542" s="97" t="s">
        <v>722</v>
      </c>
      <c r="J1542" s="73">
        <f t="shared" si="145"/>
        <v>1</v>
      </c>
      <c r="K1542" s="74" t="s">
        <v>204</v>
      </c>
      <c r="N1542" s="76" t="s">
        <v>17</v>
      </c>
      <c r="Q1542" s="76" t="s">
        <v>5193</v>
      </c>
      <c r="R1542" s="73">
        <f t="shared" si="146"/>
        <v>1</v>
      </c>
      <c r="S1542" s="260" t="s">
        <v>1976</v>
      </c>
      <c r="T1542" s="260" t="s">
        <v>925</v>
      </c>
      <c r="AA1542" s="566">
        <f t="shared" si="147"/>
        <v>0</v>
      </c>
      <c r="AB1542" s="699"/>
    </row>
    <row r="1543" spans="1:28" x14ac:dyDescent="0.3">
      <c r="A1543" s="79" t="s">
        <v>5329</v>
      </c>
      <c r="C1543" s="115">
        <v>43882</v>
      </c>
      <c r="D1543" s="312">
        <v>43929</v>
      </c>
      <c r="E1543" s="560"/>
      <c r="F1543" s="86" t="s">
        <v>5455</v>
      </c>
      <c r="G1543" s="86" t="s">
        <v>156</v>
      </c>
      <c r="H1543" s="96" t="s">
        <v>213</v>
      </c>
      <c r="I1543" s="97" t="s">
        <v>641</v>
      </c>
      <c r="J1543" s="73">
        <f t="shared" si="145"/>
        <v>1</v>
      </c>
      <c r="K1543" s="74" t="s">
        <v>204</v>
      </c>
      <c r="N1543" s="76" t="s">
        <v>17</v>
      </c>
      <c r="Q1543" s="76" t="s">
        <v>2417</v>
      </c>
      <c r="R1543" s="73">
        <f t="shared" si="146"/>
        <v>1</v>
      </c>
      <c r="S1543" s="260" t="s">
        <v>1976</v>
      </c>
      <c r="T1543" s="260" t="s">
        <v>925</v>
      </c>
      <c r="AA1543" s="566">
        <f t="shared" si="147"/>
        <v>0</v>
      </c>
      <c r="AB1543" s="699"/>
    </row>
    <row r="1544" spans="1:28" x14ac:dyDescent="0.3">
      <c r="A1544" s="79" t="s">
        <v>5330</v>
      </c>
      <c r="C1544" s="115">
        <v>43882</v>
      </c>
      <c r="D1544" s="312">
        <v>43929</v>
      </c>
      <c r="E1544" s="560"/>
      <c r="F1544" s="86" t="s">
        <v>5456</v>
      </c>
      <c r="G1544" s="86" t="s">
        <v>156</v>
      </c>
      <c r="H1544" s="96" t="s">
        <v>213</v>
      </c>
      <c r="I1544" s="97" t="s">
        <v>714</v>
      </c>
      <c r="J1544" s="73">
        <f t="shared" si="145"/>
        <v>1</v>
      </c>
      <c r="K1544" s="74" t="s">
        <v>204</v>
      </c>
      <c r="N1544" s="76" t="s">
        <v>17</v>
      </c>
      <c r="Q1544" s="76" t="s">
        <v>5193</v>
      </c>
      <c r="R1544" s="73">
        <f t="shared" si="146"/>
        <v>1</v>
      </c>
      <c r="S1544" s="260" t="s">
        <v>1976</v>
      </c>
      <c r="T1544" s="260" t="s">
        <v>925</v>
      </c>
      <c r="AA1544" s="566">
        <f t="shared" si="147"/>
        <v>0</v>
      </c>
      <c r="AB1544" s="699"/>
    </row>
    <row r="1545" spans="1:28" x14ac:dyDescent="0.3">
      <c r="A1545" s="79" t="s">
        <v>5331</v>
      </c>
      <c r="C1545" s="115">
        <v>43882</v>
      </c>
      <c r="D1545" s="312">
        <v>43929</v>
      </c>
      <c r="E1545" s="560"/>
      <c r="F1545" s="86" t="s">
        <v>5457</v>
      </c>
      <c r="G1545" s="86" t="s">
        <v>1042</v>
      </c>
      <c r="H1545" s="96" t="s">
        <v>213</v>
      </c>
      <c r="I1545" s="97" t="s">
        <v>722</v>
      </c>
      <c r="J1545" s="73">
        <f t="shared" si="145"/>
        <v>1</v>
      </c>
      <c r="K1545" s="74" t="s">
        <v>204</v>
      </c>
      <c r="N1545" s="76" t="s">
        <v>18</v>
      </c>
      <c r="Q1545" s="76" t="s">
        <v>5193</v>
      </c>
      <c r="R1545" s="73">
        <f t="shared" si="146"/>
        <v>1</v>
      </c>
      <c r="S1545" s="260" t="s">
        <v>1976</v>
      </c>
      <c r="T1545" s="260" t="s">
        <v>923</v>
      </c>
      <c r="U1545" s="301" t="s">
        <v>5283</v>
      </c>
      <c r="V1545" s="301" t="s">
        <v>5695</v>
      </c>
      <c r="AA1545" s="566">
        <f t="shared" si="147"/>
        <v>0</v>
      </c>
      <c r="AB1545" s="699"/>
    </row>
    <row r="1546" spans="1:28" x14ac:dyDescent="0.3">
      <c r="A1546" s="96" t="s">
        <v>4807</v>
      </c>
      <c r="C1546" s="115">
        <v>43886</v>
      </c>
      <c r="D1546" s="312">
        <v>43930</v>
      </c>
      <c r="E1546" s="560"/>
      <c r="F1546" s="86" t="s">
        <v>4883</v>
      </c>
      <c r="G1546" s="86" t="s">
        <v>166</v>
      </c>
      <c r="H1546" s="96" t="s">
        <v>213</v>
      </c>
      <c r="I1546" s="97" t="s">
        <v>645</v>
      </c>
      <c r="J1546" s="73">
        <f t="shared" si="145"/>
        <v>1</v>
      </c>
      <c r="K1546" s="74" t="s">
        <v>204</v>
      </c>
      <c r="N1546" s="76" t="s">
        <v>18</v>
      </c>
      <c r="Q1546" s="76" t="s">
        <v>2109</v>
      </c>
      <c r="R1546" s="73">
        <f t="shared" si="146"/>
        <v>1</v>
      </c>
      <c r="S1546" s="260" t="s">
        <v>1976</v>
      </c>
      <c r="T1546" s="260" t="s">
        <v>924</v>
      </c>
      <c r="AA1546" s="566">
        <f t="shared" si="147"/>
        <v>0</v>
      </c>
      <c r="AB1546" s="699"/>
    </row>
    <row r="1547" spans="1:28" x14ac:dyDescent="0.3">
      <c r="A1547" s="96" t="s">
        <v>4809</v>
      </c>
      <c r="C1547" s="115">
        <v>43886</v>
      </c>
      <c r="D1547" s="312">
        <v>43963</v>
      </c>
      <c r="E1547" s="560"/>
      <c r="F1547" s="86" t="s">
        <v>4885</v>
      </c>
      <c r="G1547" s="86" t="s">
        <v>150</v>
      </c>
      <c r="H1547" s="96" t="s">
        <v>213</v>
      </c>
      <c r="I1547" s="97" t="s">
        <v>714</v>
      </c>
      <c r="J1547" s="73">
        <f t="shared" si="145"/>
        <v>1</v>
      </c>
      <c r="K1547" s="74" t="s">
        <v>204</v>
      </c>
      <c r="N1547" s="76" t="s">
        <v>18</v>
      </c>
      <c r="Q1547" s="76" t="s">
        <v>2037</v>
      </c>
      <c r="R1547" s="73">
        <f t="shared" si="146"/>
        <v>1</v>
      </c>
      <c r="S1547" s="260" t="s">
        <v>1976</v>
      </c>
      <c r="T1547" s="260" t="s">
        <v>923</v>
      </c>
      <c r="U1547" s="301" t="s">
        <v>5283</v>
      </c>
      <c r="V1547" s="301" t="s">
        <v>5705</v>
      </c>
      <c r="AA1547" s="566">
        <f t="shared" si="147"/>
        <v>0</v>
      </c>
      <c r="AB1547" s="699"/>
    </row>
    <row r="1548" spans="1:28" x14ac:dyDescent="0.3">
      <c r="A1548" s="96" t="s">
        <v>4810</v>
      </c>
      <c r="C1548" s="115">
        <v>43886</v>
      </c>
      <c r="D1548" s="312">
        <v>43963</v>
      </c>
      <c r="E1548" s="560">
        <v>43927</v>
      </c>
      <c r="F1548" s="86" t="s">
        <v>4886</v>
      </c>
      <c r="G1548" s="86" t="s">
        <v>156</v>
      </c>
      <c r="H1548" s="96" t="s">
        <v>213</v>
      </c>
      <c r="I1548" s="97" t="s">
        <v>1299</v>
      </c>
      <c r="J1548" s="73">
        <f t="shared" si="145"/>
        <v>1</v>
      </c>
      <c r="K1548" s="74" t="s">
        <v>204</v>
      </c>
      <c r="N1548" s="76" t="s">
        <v>18</v>
      </c>
      <c r="Q1548" s="76" t="s">
        <v>2109</v>
      </c>
      <c r="R1548" s="73">
        <f t="shared" si="146"/>
        <v>1</v>
      </c>
      <c r="S1548" s="260" t="s">
        <v>1976</v>
      </c>
      <c r="T1548" s="260" t="s">
        <v>924</v>
      </c>
      <c r="U1548" s="301" t="s">
        <v>5283</v>
      </c>
      <c r="V1548" s="301" t="s">
        <v>3223</v>
      </c>
      <c r="Y1548" s="566">
        <v>0.66597222222222219</v>
      </c>
      <c r="Z1548" s="566">
        <v>0.67013888888888884</v>
      </c>
      <c r="AA1548" s="566">
        <f t="shared" si="147"/>
        <v>4.1666666666666519E-3</v>
      </c>
      <c r="AB1548" s="699"/>
    </row>
    <row r="1549" spans="1:28" x14ac:dyDescent="0.3">
      <c r="A1549" s="96" t="s">
        <v>4811</v>
      </c>
      <c r="C1549" s="115">
        <v>43886</v>
      </c>
      <c r="D1549" s="312">
        <v>43963</v>
      </c>
      <c r="E1549" s="560"/>
      <c r="F1549" s="86" t="s">
        <v>4887</v>
      </c>
      <c r="G1549" s="86" t="s">
        <v>538</v>
      </c>
      <c r="H1549" s="96" t="s">
        <v>213</v>
      </c>
      <c r="I1549" s="97" t="s">
        <v>714</v>
      </c>
      <c r="J1549" s="73">
        <f t="shared" si="145"/>
        <v>1</v>
      </c>
      <c r="K1549" s="74" t="s">
        <v>204</v>
      </c>
      <c r="N1549" s="76" t="s">
        <v>17</v>
      </c>
      <c r="Q1549" s="76" t="s">
        <v>2142</v>
      </c>
      <c r="R1549" s="73">
        <f t="shared" si="146"/>
        <v>1</v>
      </c>
      <c r="S1549" s="260" t="s">
        <v>1976</v>
      </c>
      <c r="T1549" s="260" t="s">
        <v>923</v>
      </c>
      <c r="AA1549" s="566">
        <f t="shared" si="147"/>
        <v>0</v>
      </c>
      <c r="AB1549" s="699"/>
    </row>
    <row r="1550" spans="1:28" x14ac:dyDescent="0.3">
      <c r="A1550" s="96" t="s">
        <v>4812</v>
      </c>
      <c r="C1550" s="115">
        <v>43886</v>
      </c>
      <c r="D1550" s="312">
        <v>43963</v>
      </c>
      <c r="E1550" s="560">
        <v>43927</v>
      </c>
      <c r="F1550" s="86" t="s">
        <v>4888</v>
      </c>
      <c r="G1550" s="86" t="s">
        <v>152</v>
      </c>
      <c r="H1550" s="96" t="s">
        <v>213</v>
      </c>
      <c r="I1550" s="97" t="s">
        <v>3187</v>
      </c>
      <c r="J1550" s="73">
        <f t="shared" si="145"/>
        <v>1</v>
      </c>
      <c r="K1550" s="74" t="s">
        <v>204</v>
      </c>
      <c r="L1550" s="97" t="s">
        <v>5708</v>
      </c>
      <c r="N1550" s="76" t="s">
        <v>19</v>
      </c>
      <c r="Q1550" s="76" t="s">
        <v>2109</v>
      </c>
      <c r="R1550" s="73">
        <f t="shared" si="146"/>
        <v>1</v>
      </c>
      <c r="S1550" s="260" t="s">
        <v>1976</v>
      </c>
      <c r="T1550" s="260" t="s">
        <v>925</v>
      </c>
      <c r="U1550" s="301" t="s">
        <v>5283</v>
      </c>
      <c r="V1550" s="301" t="s">
        <v>12732</v>
      </c>
      <c r="Y1550" s="566">
        <v>0.65833333333333333</v>
      </c>
      <c r="Z1550" s="566">
        <v>0.66388888888888886</v>
      </c>
      <c r="AA1550" s="566">
        <f t="shared" si="147"/>
        <v>5.5555555555555358E-3</v>
      </c>
      <c r="AB1550" s="699"/>
    </row>
    <row r="1551" spans="1:28" x14ac:dyDescent="0.3">
      <c r="A1551" s="96" t="s">
        <v>4821</v>
      </c>
      <c r="C1551" s="115">
        <v>43886</v>
      </c>
      <c r="D1551" s="312">
        <v>43930</v>
      </c>
      <c r="E1551" s="560"/>
      <c r="F1551" s="86" t="s">
        <v>4897</v>
      </c>
      <c r="G1551" s="86" t="s">
        <v>156</v>
      </c>
      <c r="H1551" s="96" t="s">
        <v>213</v>
      </c>
      <c r="I1551" s="97" t="s">
        <v>995</v>
      </c>
      <c r="J1551" s="73">
        <f t="shared" si="145"/>
        <v>1</v>
      </c>
      <c r="K1551" s="74" t="s">
        <v>204</v>
      </c>
      <c r="N1551" s="76" t="s">
        <v>19</v>
      </c>
      <c r="Q1551" s="76" t="s">
        <v>2037</v>
      </c>
      <c r="R1551" s="73">
        <f t="shared" si="146"/>
        <v>1</v>
      </c>
      <c r="S1551" s="260" t="s">
        <v>1976</v>
      </c>
      <c r="T1551" s="260" t="s">
        <v>925</v>
      </c>
      <c r="AA1551" s="566">
        <f t="shared" si="147"/>
        <v>0</v>
      </c>
      <c r="AB1551" s="699"/>
    </row>
    <row r="1552" spans="1:28" x14ac:dyDescent="0.3">
      <c r="A1552" s="96" t="s">
        <v>4822</v>
      </c>
      <c r="C1552" s="115">
        <v>43886</v>
      </c>
      <c r="D1552" s="312">
        <v>43963</v>
      </c>
      <c r="E1552" s="560">
        <v>43927</v>
      </c>
      <c r="F1552" s="86" t="s">
        <v>4898</v>
      </c>
      <c r="G1552" s="86" t="s">
        <v>172</v>
      </c>
      <c r="H1552" s="96" t="s">
        <v>213</v>
      </c>
      <c r="I1552" s="97" t="s">
        <v>1299</v>
      </c>
      <c r="J1552" s="73">
        <f t="shared" si="145"/>
        <v>1</v>
      </c>
      <c r="K1552" s="74" t="s">
        <v>204</v>
      </c>
      <c r="N1552" s="76" t="s">
        <v>18</v>
      </c>
      <c r="Q1552" s="76" t="s">
        <v>2037</v>
      </c>
      <c r="R1552" s="73">
        <f t="shared" si="146"/>
        <v>1</v>
      </c>
      <c r="S1552" s="260" t="s">
        <v>1976</v>
      </c>
      <c r="T1552" s="260" t="s">
        <v>924</v>
      </c>
      <c r="X1552" s="301" t="s">
        <v>5808</v>
      </c>
      <c r="Y1552" s="566">
        <v>0.67152777777777783</v>
      </c>
      <c r="Z1552" s="566">
        <v>0.67986111111111114</v>
      </c>
      <c r="AA1552" s="566">
        <f t="shared" si="147"/>
        <v>8.3333333333333037E-3</v>
      </c>
      <c r="AB1552" s="699"/>
    </row>
    <row r="1553" spans="1:28" x14ac:dyDescent="0.3">
      <c r="A1553" s="96" t="s">
        <v>5338</v>
      </c>
      <c r="C1553" s="115">
        <v>43895</v>
      </c>
      <c r="D1553" s="312">
        <v>43927</v>
      </c>
      <c r="E1553" s="560"/>
      <c r="F1553" s="86" t="s">
        <v>5464</v>
      </c>
      <c r="G1553" s="86" t="s">
        <v>150</v>
      </c>
      <c r="H1553" s="96" t="s">
        <v>213</v>
      </c>
      <c r="I1553" s="97" t="s">
        <v>649</v>
      </c>
      <c r="J1553" s="73">
        <f t="shared" ref="J1553:J1576" si="148">IF(OR(K1553="Документы готовы",K1553="Запрос в ФО",K1553="ЭЗ",K1553="РЕШ",K1553="РЕШ шаблон"),0.1,IF(OR(K1553="ЭЗ согласование",K1553="РЕШ согласование"),0.3,IF(OR(K1553="ЭЗ согласовано",K1553="РЕШ согласовано",K1553="РЕШ подписано"),0.6,IF(OR(K1553="ЭЗ ПР согласование",K1553="РЕШ УВ согласование"),0.9,IF(OR(K1553="ЭЗ ПР DONE",K1553="РЕШ УВ DONE"),1,0)))))</f>
        <v>1</v>
      </c>
      <c r="K1553" s="74" t="s">
        <v>204</v>
      </c>
      <c r="N1553" s="76" t="s">
        <v>17</v>
      </c>
      <c r="Q1553" s="76" t="s">
        <v>2142</v>
      </c>
      <c r="R1553" s="73">
        <f t="shared" ref="R1553:R1576" si="149">IF(S1553="В работе",0.3,IF(S1553="Отписано",0.6,IF(S1553="На доработку",0.9,IF(S1553="Согласовано",1,0))))</f>
        <v>1</v>
      </c>
      <c r="S1553" s="260" t="s">
        <v>1976</v>
      </c>
      <c r="T1553" s="260" t="s">
        <v>925</v>
      </c>
      <c r="AA1553" s="566">
        <f t="shared" si="147"/>
        <v>0</v>
      </c>
      <c r="AB1553" s="699"/>
    </row>
    <row r="1554" spans="1:28" x14ac:dyDescent="0.3">
      <c r="A1554" s="559" t="s">
        <v>5339</v>
      </c>
      <c r="C1554" s="115">
        <v>43895</v>
      </c>
      <c r="D1554" s="312">
        <v>43957</v>
      </c>
      <c r="E1554" s="560"/>
      <c r="F1554" s="86" t="s">
        <v>5465</v>
      </c>
      <c r="G1554" s="86" t="s">
        <v>152</v>
      </c>
      <c r="H1554" s="96" t="s">
        <v>213</v>
      </c>
      <c r="I1554" s="97" t="s">
        <v>684</v>
      </c>
      <c r="J1554" s="73">
        <f t="shared" si="148"/>
        <v>1</v>
      </c>
      <c r="K1554" s="74" t="s">
        <v>204</v>
      </c>
      <c r="N1554" s="76" t="s">
        <v>18</v>
      </c>
      <c r="Q1554" s="76" t="s">
        <v>2076</v>
      </c>
      <c r="R1554" s="73">
        <f t="shared" si="149"/>
        <v>1</v>
      </c>
      <c r="S1554" s="260" t="s">
        <v>1976</v>
      </c>
      <c r="T1554" s="260" t="s">
        <v>925</v>
      </c>
      <c r="U1554" s="301" t="s">
        <v>5283</v>
      </c>
      <c r="V1554" s="301" t="s">
        <v>5666</v>
      </c>
      <c r="AA1554" s="566">
        <f t="shared" si="147"/>
        <v>0</v>
      </c>
      <c r="AB1554" s="699"/>
    </row>
    <row r="1555" spans="1:28" x14ac:dyDescent="0.3">
      <c r="A1555" s="79" t="s">
        <v>5340</v>
      </c>
      <c r="C1555" s="115">
        <v>43895</v>
      </c>
      <c r="D1555" s="312">
        <v>43927</v>
      </c>
      <c r="E1555" s="560"/>
      <c r="F1555" s="86" t="s">
        <v>5466</v>
      </c>
      <c r="G1555" s="86" t="s">
        <v>1682</v>
      </c>
      <c r="H1555" s="96" t="s">
        <v>213</v>
      </c>
      <c r="I1555" s="97" t="s">
        <v>1204</v>
      </c>
      <c r="J1555" s="73">
        <f t="shared" si="148"/>
        <v>1</v>
      </c>
      <c r="K1555" s="74" t="s">
        <v>204</v>
      </c>
      <c r="N1555" s="76" t="s">
        <v>18</v>
      </c>
      <c r="Q1555" s="76" t="s">
        <v>2417</v>
      </c>
      <c r="R1555" s="73">
        <f t="shared" si="149"/>
        <v>1</v>
      </c>
      <c r="S1555" s="260" t="s">
        <v>1976</v>
      </c>
      <c r="T1555" s="260" t="s">
        <v>925</v>
      </c>
      <c r="U1555" s="79"/>
      <c r="AA1555" s="566">
        <f t="shared" si="147"/>
        <v>0</v>
      </c>
      <c r="AB1555" s="699"/>
    </row>
    <row r="1556" spans="1:28" x14ac:dyDescent="0.3">
      <c r="A1556" s="349" t="s">
        <v>5342</v>
      </c>
      <c r="C1556" s="115">
        <v>43895</v>
      </c>
      <c r="D1556" s="312">
        <v>43957</v>
      </c>
      <c r="E1556" s="560"/>
      <c r="F1556" s="86" t="s">
        <v>5468</v>
      </c>
      <c r="G1556" s="86" t="s">
        <v>152</v>
      </c>
      <c r="H1556" s="96" t="s">
        <v>213</v>
      </c>
      <c r="I1556" s="97" t="s">
        <v>714</v>
      </c>
      <c r="J1556" s="73">
        <f t="shared" si="148"/>
        <v>1</v>
      </c>
      <c r="K1556" s="74" t="s">
        <v>204</v>
      </c>
      <c r="N1556" s="76" t="s">
        <v>18</v>
      </c>
      <c r="Q1556" s="76" t="s">
        <v>2417</v>
      </c>
      <c r="R1556" s="73">
        <f t="shared" si="149"/>
        <v>1</v>
      </c>
      <c r="S1556" s="260" t="s">
        <v>1976</v>
      </c>
      <c r="T1556" s="260" t="s">
        <v>923</v>
      </c>
      <c r="AA1556" s="566">
        <f t="shared" si="147"/>
        <v>0</v>
      </c>
      <c r="AB1556" s="699"/>
    </row>
    <row r="1557" spans="1:28" x14ac:dyDescent="0.3">
      <c r="A1557" s="96" t="s">
        <v>5343</v>
      </c>
      <c r="C1557" s="115">
        <v>43895</v>
      </c>
      <c r="D1557" s="312">
        <v>43927</v>
      </c>
      <c r="E1557" s="560"/>
      <c r="F1557" s="86" t="s">
        <v>5469</v>
      </c>
      <c r="G1557" s="86" t="s">
        <v>158</v>
      </c>
      <c r="H1557" s="96" t="s">
        <v>213</v>
      </c>
      <c r="I1557" s="97" t="s">
        <v>1113</v>
      </c>
      <c r="J1557" s="73">
        <f t="shared" si="148"/>
        <v>1</v>
      </c>
      <c r="K1557" s="74" t="s">
        <v>204</v>
      </c>
      <c r="N1557" s="76" t="s">
        <v>18</v>
      </c>
      <c r="Q1557" s="76" t="s">
        <v>2037</v>
      </c>
      <c r="R1557" s="73">
        <f t="shared" si="149"/>
        <v>1</v>
      </c>
      <c r="S1557" s="260" t="s">
        <v>1976</v>
      </c>
      <c r="T1557" s="260" t="s">
        <v>924</v>
      </c>
      <c r="AA1557" s="566">
        <f t="shared" si="147"/>
        <v>0</v>
      </c>
      <c r="AB1557" s="699"/>
    </row>
    <row r="1558" spans="1:28" x14ac:dyDescent="0.3">
      <c r="A1558" s="79" t="s">
        <v>5345</v>
      </c>
      <c r="C1558" s="115">
        <v>43895</v>
      </c>
      <c r="D1558" s="312">
        <v>43927</v>
      </c>
      <c r="E1558" s="560"/>
      <c r="F1558" s="86" t="s">
        <v>5471</v>
      </c>
      <c r="G1558" s="86" t="s">
        <v>158</v>
      </c>
      <c r="H1558" s="96" t="s">
        <v>213</v>
      </c>
      <c r="I1558" s="97" t="s">
        <v>755</v>
      </c>
      <c r="J1558" s="73">
        <f t="shared" si="148"/>
        <v>1</v>
      </c>
      <c r="K1558" s="74" t="s">
        <v>204</v>
      </c>
      <c r="N1558" s="76" t="s">
        <v>18</v>
      </c>
      <c r="Q1558" s="76" t="s">
        <v>5193</v>
      </c>
      <c r="R1558" s="73">
        <f t="shared" si="149"/>
        <v>1</v>
      </c>
      <c r="S1558" s="260" t="s">
        <v>1976</v>
      </c>
      <c r="T1558" s="260" t="s">
        <v>923</v>
      </c>
      <c r="AA1558" s="566">
        <f t="shared" si="147"/>
        <v>0</v>
      </c>
      <c r="AB1558" s="699"/>
    </row>
    <row r="1559" spans="1:28" x14ac:dyDescent="0.3">
      <c r="A1559" s="96" t="s">
        <v>5346</v>
      </c>
      <c r="C1559" s="115">
        <v>43895</v>
      </c>
      <c r="D1559" s="312">
        <v>43927</v>
      </c>
      <c r="E1559" s="560"/>
      <c r="F1559" s="86" t="s">
        <v>5472</v>
      </c>
      <c r="G1559" s="86" t="s">
        <v>175</v>
      </c>
      <c r="H1559" s="96" t="s">
        <v>213</v>
      </c>
      <c r="I1559" s="97" t="s">
        <v>649</v>
      </c>
      <c r="J1559" s="73">
        <f t="shared" si="148"/>
        <v>1</v>
      </c>
      <c r="K1559" s="74" t="s">
        <v>204</v>
      </c>
      <c r="L1559" s="97" t="s">
        <v>12737</v>
      </c>
      <c r="N1559" s="76" t="s">
        <v>18</v>
      </c>
      <c r="Q1559" s="76" t="s">
        <v>2037</v>
      </c>
      <c r="R1559" s="73">
        <f t="shared" si="149"/>
        <v>1</v>
      </c>
      <c r="S1559" s="260" t="s">
        <v>1976</v>
      </c>
      <c r="T1559" s="260" t="s">
        <v>923</v>
      </c>
      <c r="U1559" s="301" t="s">
        <v>5283</v>
      </c>
      <c r="V1559" s="301" t="s">
        <v>12736</v>
      </c>
      <c r="AA1559" s="566">
        <f t="shared" si="147"/>
        <v>0</v>
      </c>
      <c r="AB1559" s="699"/>
    </row>
    <row r="1560" spans="1:28" x14ac:dyDescent="0.3">
      <c r="A1560" s="349" t="s">
        <v>5349</v>
      </c>
      <c r="C1560" s="115">
        <v>43895</v>
      </c>
      <c r="D1560" s="312">
        <v>43957</v>
      </c>
      <c r="E1560" s="560">
        <v>43928</v>
      </c>
      <c r="F1560" s="86" t="s">
        <v>5475</v>
      </c>
      <c r="G1560" s="86" t="s">
        <v>152</v>
      </c>
      <c r="H1560" s="96" t="s">
        <v>213</v>
      </c>
      <c r="I1560" s="97" t="s">
        <v>2478</v>
      </c>
      <c r="J1560" s="73">
        <f t="shared" si="148"/>
        <v>1</v>
      </c>
      <c r="K1560" s="74" t="s">
        <v>204</v>
      </c>
      <c r="L1560" s="97" t="s">
        <v>12735</v>
      </c>
      <c r="N1560" s="76" t="s">
        <v>17</v>
      </c>
      <c r="Q1560" s="76" t="s">
        <v>2109</v>
      </c>
      <c r="R1560" s="73">
        <f t="shared" si="149"/>
        <v>1</v>
      </c>
      <c r="S1560" s="260" t="s">
        <v>1976</v>
      </c>
      <c r="T1560" s="260" t="s">
        <v>924</v>
      </c>
      <c r="U1560" s="301" t="s">
        <v>5283</v>
      </c>
      <c r="V1560" s="301" t="s">
        <v>12734</v>
      </c>
      <c r="X1560" s="301" t="s">
        <v>5959</v>
      </c>
      <c r="Y1560" s="566">
        <v>0.3659722222222222</v>
      </c>
      <c r="Z1560" s="566">
        <v>0.3979166666666667</v>
      </c>
      <c r="AA1560" s="566">
        <f t="shared" si="147"/>
        <v>3.1944444444444497E-2</v>
      </c>
      <c r="AB1560" s="699"/>
    </row>
    <row r="1561" spans="1:28" x14ac:dyDescent="0.3">
      <c r="A1561" s="79" t="s">
        <v>5351</v>
      </c>
      <c r="C1561" s="115">
        <v>43895</v>
      </c>
      <c r="D1561" s="312">
        <v>43927</v>
      </c>
      <c r="E1561" s="560"/>
      <c r="F1561" s="86" t="s">
        <v>5477</v>
      </c>
      <c r="G1561" s="86" t="s">
        <v>172</v>
      </c>
      <c r="H1561" s="96" t="s">
        <v>213</v>
      </c>
      <c r="I1561" s="97" t="s">
        <v>995</v>
      </c>
      <c r="J1561" s="73">
        <f t="shared" si="148"/>
        <v>1</v>
      </c>
      <c r="K1561" s="74" t="s">
        <v>204</v>
      </c>
      <c r="L1561" s="97" t="s">
        <v>5566</v>
      </c>
      <c r="N1561" s="76" t="s">
        <v>19</v>
      </c>
      <c r="Q1561" s="76" t="s">
        <v>2417</v>
      </c>
      <c r="R1561" s="73">
        <f t="shared" si="149"/>
        <v>1</v>
      </c>
      <c r="S1561" s="260" t="s">
        <v>1976</v>
      </c>
      <c r="T1561" s="260" t="s">
        <v>923</v>
      </c>
      <c r="AA1561" s="566">
        <f t="shared" si="147"/>
        <v>0</v>
      </c>
      <c r="AB1561" s="699"/>
    </row>
    <row r="1562" spans="1:28" x14ac:dyDescent="0.3">
      <c r="A1562" s="349" t="s">
        <v>5352</v>
      </c>
      <c r="C1562" s="115">
        <v>43895</v>
      </c>
      <c r="D1562" s="312">
        <v>43957</v>
      </c>
      <c r="E1562" s="560">
        <v>43927</v>
      </c>
      <c r="F1562" s="86" t="s">
        <v>5478</v>
      </c>
      <c r="G1562" s="86" t="s">
        <v>156</v>
      </c>
      <c r="H1562" s="96" t="s">
        <v>213</v>
      </c>
      <c r="I1562" s="97" t="s">
        <v>2478</v>
      </c>
      <c r="J1562" s="73">
        <f t="shared" si="148"/>
        <v>1</v>
      </c>
      <c r="K1562" s="74" t="s">
        <v>204</v>
      </c>
      <c r="L1562" s="97"/>
      <c r="N1562" s="76" t="s">
        <v>17</v>
      </c>
      <c r="Q1562" s="76" t="s">
        <v>2037</v>
      </c>
      <c r="R1562" s="73">
        <f t="shared" si="149"/>
        <v>1</v>
      </c>
      <c r="S1562" s="260" t="s">
        <v>1976</v>
      </c>
      <c r="T1562" s="260" t="s">
        <v>923</v>
      </c>
      <c r="Y1562" s="566">
        <v>0.6875</v>
      </c>
      <c r="Z1562" s="566">
        <v>0.70208333333333339</v>
      </c>
      <c r="AA1562" s="566">
        <f t="shared" si="147"/>
        <v>1.4583333333333393E-2</v>
      </c>
      <c r="AB1562" s="699"/>
    </row>
    <row r="1563" spans="1:28" x14ac:dyDescent="0.3">
      <c r="A1563" s="96" t="s">
        <v>5354</v>
      </c>
      <c r="C1563" s="115">
        <v>43896</v>
      </c>
      <c r="D1563" s="312">
        <v>43928</v>
      </c>
      <c r="E1563" s="560"/>
      <c r="F1563" s="86" t="s">
        <v>5480</v>
      </c>
      <c r="G1563" s="86" t="s">
        <v>3771</v>
      </c>
      <c r="H1563" s="96" t="s">
        <v>213</v>
      </c>
      <c r="I1563" s="97" t="s">
        <v>649</v>
      </c>
      <c r="J1563" s="73">
        <f t="shared" si="148"/>
        <v>1</v>
      </c>
      <c r="K1563" s="74" t="s">
        <v>204</v>
      </c>
      <c r="N1563" s="76" t="s">
        <v>17</v>
      </c>
      <c r="Q1563" s="76" t="s">
        <v>2142</v>
      </c>
      <c r="R1563" s="73">
        <f t="shared" si="149"/>
        <v>1</v>
      </c>
      <c r="S1563" s="260" t="s">
        <v>1976</v>
      </c>
      <c r="T1563" s="260" t="s">
        <v>925</v>
      </c>
      <c r="AA1563" s="566">
        <f t="shared" si="147"/>
        <v>0</v>
      </c>
      <c r="AB1563" s="699"/>
    </row>
    <row r="1564" spans="1:28" x14ac:dyDescent="0.3">
      <c r="A1564" s="96" t="s">
        <v>5357</v>
      </c>
      <c r="C1564" s="115">
        <v>43896</v>
      </c>
      <c r="D1564" s="312">
        <v>43928</v>
      </c>
      <c r="E1564" s="560"/>
      <c r="F1564" s="86" t="s">
        <v>5483</v>
      </c>
      <c r="G1564" s="86" t="s">
        <v>166</v>
      </c>
      <c r="H1564" s="96" t="s">
        <v>213</v>
      </c>
      <c r="I1564" s="97" t="s">
        <v>649</v>
      </c>
      <c r="J1564" s="73">
        <f t="shared" si="148"/>
        <v>1</v>
      </c>
      <c r="K1564" s="74" t="s">
        <v>204</v>
      </c>
      <c r="N1564" s="76" t="s">
        <v>17</v>
      </c>
      <c r="Q1564" s="76" t="s">
        <v>2109</v>
      </c>
      <c r="R1564" s="73">
        <f t="shared" si="149"/>
        <v>1</v>
      </c>
      <c r="S1564" s="260" t="s">
        <v>1976</v>
      </c>
      <c r="T1564" s="260" t="s">
        <v>923</v>
      </c>
      <c r="AA1564" s="566">
        <f t="shared" si="147"/>
        <v>0</v>
      </c>
      <c r="AB1564" s="699"/>
    </row>
    <row r="1565" spans="1:28" x14ac:dyDescent="0.3">
      <c r="A1565" s="96" t="s">
        <v>5358</v>
      </c>
      <c r="C1565" s="115">
        <v>43896</v>
      </c>
      <c r="D1565" s="312">
        <v>43928</v>
      </c>
      <c r="E1565" s="560"/>
      <c r="F1565" s="86" t="s">
        <v>5484</v>
      </c>
      <c r="G1565" s="86" t="s">
        <v>147</v>
      </c>
      <c r="H1565" s="96" t="s">
        <v>213</v>
      </c>
      <c r="I1565" s="97" t="s">
        <v>5672</v>
      </c>
      <c r="J1565" s="73">
        <f t="shared" si="148"/>
        <v>1</v>
      </c>
      <c r="K1565" s="74" t="s">
        <v>204</v>
      </c>
      <c r="L1565" s="97" t="s">
        <v>5671</v>
      </c>
      <c r="N1565" s="76" t="s">
        <v>18</v>
      </c>
      <c r="Q1565" s="76" t="s">
        <v>2142</v>
      </c>
      <c r="R1565" s="73">
        <f t="shared" si="149"/>
        <v>1</v>
      </c>
      <c r="S1565" s="260" t="s">
        <v>1976</v>
      </c>
      <c r="T1565" s="260" t="s">
        <v>923</v>
      </c>
      <c r="AA1565" s="566">
        <f t="shared" si="147"/>
        <v>0</v>
      </c>
      <c r="AB1565" s="699"/>
    </row>
    <row r="1566" spans="1:28" x14ac:dyDescent="0.3">
      <c r="A1566" s="96" t="s">
        <v>5360</v>
      </c>
      <c r="C1566" s="115">
        <v>43896</v>
      </c>
      <c r="D1566" s="312">
        <v>43928</v>
      </c>
      <c r="E1566" s="560"/>
      <c r="F1566" s="86" t="s">
        <v>5486</v>
      </c>
      <c r="G1566" s="86" t="s">
        <v>150</v>
      </c>
      <c r="H1566" s="96" t="s">
        <v>213</v>
      </c>
      <c r="I1566" s="97" t="s">
        <v>3479</v>
      </c>
      <c r="J1566" s="73">
        <f t="shared" si="148"/>
        <v>1</v>
      </c>
      <c r="K1566" s="74" t="s">
        <v>204</v>
      </c>
      <c r="N1566" s="76" t="s">
        <v>18</v>
      </c>
      <c r="Q1566" s="76" t="s">
        <v>2076</v>
      </c>
      <c r="R1566" s="73">
        <f t="shared" si="149"/>
        <v>1</v>
      </c>
      <c r="S1566" s="260" t="s">
        <v>1976</v>
      </c>
      <c r="T1566" s="260" t="s">
        <v>924</v>
      </c>
      <c r="AA1566" s="566">
        <f t="shared" si="147"/>
        <v>0</v>
      </c>
      <c r="AB1566" s="699"/>
    </row>
    <row r="1567" spans="1:28" x14ac:dyDescent="0.3">
      <c r="A1567" s="79" t="s">
        <v>5368</v>
      </c>
      <c r="C1567" s="115">
        <v>43896</v>
      </c>
      <c r="D1567" s="312">
        <v>43927</v>
      </c>
      <c r="E1567" s="560"/>
      <c r="F1567" s="86" t="s">
        <v>5494</v>
      </c>
      <c r="G1567" s="86" t="s">
        <v>410</v>
      </c>
      <c r="H1567" s="96" t="s">
        <v>213</v>
      </c>
      <c r="I1567" s="97" t="s">
        <v>972</v>
      </c>
      <c r="J1567" s="73">
        <f t="shared" si="148"/>
        <v>1</v>
      </c>
      <c r="K1567" s="74" t="s">
        <v>204</v>
      </c>
      <c r="L1567" s="97" t="s">
        <v>456</v>
      </c>
      <c r="N1567" s="76" t="s">
        <v>17</v>
      </c>
      <c r="Q1567" s="76" t="s">
        <v>2142</v>
      </c>
      <c r="R1567" s="73">
        <f t="shared" si="149"/>
        <v>1</v>
      </c>
      <c r="S1567" s="260" t="s">
        <v>1976</v>
      </c>
      <c r="T1567" s="260" t="s">
        <v>924</v>
      </c>
      <c r="AA1567" s="566">
        <f t="shared" si="147"/>
        <v>0</v>
      </c>
      <c r="AB1567" s="699"/>
    </row>
    <row r="1568" spans="1:28" x14ac:dyDescent="0.3">
      <c r="A1568" s="79" t="s">
        <v>5369</v>
      </c>
      <c r="C1568" s="115">
        <v>43896</v>
      </c>
      <c r="D1568" s="312">
        <v>43927</v>
      </c>
      <c r="E1568" s="560"/>
      <c r="F1568" s="86" t="s">
        <v>5495</v>
      </c>
      <c r="G1568" s="86" t="s">
        <v>181</v>
      </c>
      <c r="H1568" s="96" t="s">
        <v>213</v>
      </c>
      <c r="I1568" s="97" t="s">
        <v>722</v>
      </c>
      <c r="J1568" s="73">
        <f t="shared" si="148"/>
        <v>1</v>
      </c>
      <c r="K1568" s="74" t="s">
        <v>204</v>
      </c>
      <c r="N1568" s="76" t="s">
        <v>18</v>
      </c>
      <c r="Q1568" s="76" t="s">
        <v>2417</v>
      </c>
      <c r="R1568" s="73">
        <f t="shared" si="149"/>
        <v>1</v>
      </c>
      <c r="S1568" s="260" t="s">
        <v>1976</v>
      </c>
      <c r="T1568" s="260" t="s">
        <v>925</v>
      </c>
      <c r="AA1568" s="566">
        <f t="shared" si="147"/>
        <v>0</v>
      </c>
      <c r="AB1568" s="699"/>
    </row>
    <row r="1569" spans="1:28" x14ac:dyDescent="0.3">
      <c r="A1569" s="79" t="s">
        <v>5370</v>
      </c>
      <c r="C1569" s="115">
        <v>43896</v>
      </c>
      <c r="D1569" s="312">
        <v>43927</v>
      </c>
      <c r="E1569" s="560"/>
      <c r="F1569" s="86" t="s">
        <v>5496</v>
      </c>
      <c r="G1569" s="86" t="s">
        <v>158</v>
      </c>
      <c r="H1569" s="96" t="s">
        <v>213</v>
      </c>
      <c r="I1569" s="97" t="s">
        <v>649</v>
      </c>
      <c r="J1569" s="73">
        <f t="shared" si="148"/>
        <v>1</v>
      </c>
      <c r="K1569" s="74" t="s">
        <v>204</v>
      </c>
      <c r="N1569" s="76" t="s">
        <v>17</v>
      </c>
      <c r="Q1569" s="76" t="s">
        <v>2417</v>
      </c>
      <c r="R1569" s="73">
        <f t="shared" si="149"/>
        <v>1</v>
      </c>
      <c r="S1569" s="260" t="s">
        <v>1976</v>
      </c>
      <c r="T1569" s="260" t="s">
        <v>924</v>
      </c>
      <c r="AA1569" s="566">
        <f t="shared" ref="AA1569:AA1625" si="150">Z1569-Y1569</f>
        <v>0</v>
      </c>
      <c r="AB1569" s="699"/>
    </row>
    <row r="1570" spans="1:28" x14ac:dyDescent="0.3">
      <c r="A1570" s="96" t="s">
        <v>5371</v>
      </c>
      <c r="C1570" s="115">
        <v>43896</v>
      </c>
      <c r="D1570" s="312">
        <v>43928</v>
      </c>
      <c r="E1570" s="560"/>
      <c r="F1570" s="86" t="s">
        <v>5497</v>
      </c>
      <c r="G1570" s="86" t="s">
        <v>158</v>
      </c>
      <c r="H1570" s="96" t="s">
        <v>213</v>
      </c>
      <c r="I1570" s="97" t="s">
        <v>3150</v>
      </c>
      <c r="J1570" s="73">
        <f t="shared" si="148"/>
        <v>1</v>
      </c>
      <c r="K1570" s="74" t="s">
        <v>204</v>
      </c>
      <c r="N1570" s="76" t="s">
        <v>17</v>
      </c>
      <c r="Q1570" s="76" t="s">
        <v>5193</v>
      </c>
      <c r="R1570" s="73">
        <f t="shared" si="149"/>
        <v>1</v>
      </c>
      <c r="S1570" s="260" t="s">
        <v>1976</v>
      </c>
      <c r="T1570" s="260" t="s">
        <v>923</v>
      </c>
      <c r="AA1570" s="566">
        <f t="shared" si="150"/>
        <v>0</v>
      </c>
      <c r="AB1570" s="699"/>
    </row>
    <row r="1571" spans="1:28" x14ac:dyDescent="0.3">
      <c r="A1571" s="349" t="s">
        <v>5372</v>
      </c>
      <c r="C1571" s="115">
        <v>43896</v>
      </c>
      <c r="D1571" s="312">
        <v>43958</v>
      </c>
      <c r="E1571" s="560"/>
      <c r="F1571" s="86" t="s">
        <v>5498</v>
      </c>
      <c r="G1571" s="86" t="s">
        <v>157</v>
      </c>
      <c r="H1571" s="96" t="s">
        <v>213</v>
      </c>
      <c r="I1571" s="97" t="s">
        <v>642</v>
      </c>
      <c r="J1571" s="73">
        <f t="shared" si="148"/>
        <v>1</v>
      </c>
      <c r="K1571" s="74" t="s">
        <v>204</v>
      </c>
      <c r="N1571" s="76" t="s">
        <v>18</v>
      </c>
      <c r="Q1571" s="76" t="s">
        <v>2417</v>
      </c>
      <c r="R1571" s="73">
        <f t="shared" si="149"/>
        <v>1</v>
      </c>
      <c r="S1571" s="260" t="s">
        <v>1976</v>
      </c>
      <c r="T1571" s="260" t="s">
        <v>925</v>
      </c>
      <c r="AA1571" s="566">
        <f t="shared" si="150"/>
        <v>0</v>
      </c>
      <c r="AB1571" s="699"/>
    </row>
    <row r="1572" spans="1:28" x14ac:dyDescent="0.3">
      <c r="A1572" s="79" t="s">
        <v>5373</v>
      </c>
      <c r="C1572" s="115">
        <v>43900</v>
      </c>
      <c r="D1572" s="312">
        <v>43928</v>
      </c>
      <c r="E1572" s="560"/>
      <c r="F1572" s="86" t="s">
        <v>5499</v>
      </c>
      <c r="G1572" s="86" t="s">
        <v>156</v>
      </c>
      <c r="H1572" s="96" t="s">
        <v>213</v>
      </c>
      <c r="I1572" s="97" t="s">
        <v>649</v>
      </c>
      <c r="J1572" s="73">
        <f t="shared" si="148"/>
        <v>1</v>
      </c>
      <c r="K1572" s="74" t="s">
        <v>204</v>
      </c>
      <c r="N1572" s="76" t="s">
        <v>18</v>
      </c>
      <c r="Q1572" s="76" t="s">
        <v>5193</v>
      </c>
      <c r="R1572" s="73">
        <f t="shared" si="149"/>
        <v>1</v>
      </c>
      <c r="S1572" s="260" t="s">
        <v>1976</v>
      </c>
      <c r="T1572" s="260" t="s">
        <v>923</v>
      </c>
      <c r="AA1572" s="566">
        <f t="shared" si="150"/>
        <v>0</v>
      </c>
      <c r="AB1572" s="699"/>
    </row>
    <row r="1573" spans="1:28" x14ac:dyDescent="0.3">
      <c r="A1573" s="79" t="s">
        <v>5374</v>
      </c>
      <c r="C1573" s="115">
        <v>43896</v>
      </c>
      <c r="D1573" s="312">
        <v>43928</v>
      </c>
      <c r="E1573" s="560"/>
      <c r="F1573" s="86" t="s">
        <v>5500</v>
      </c>
      <c r="G1573" s="86" t="s">
        <v>150</v>
      </c>
      <c r="H1573" s="96" t="s">
        <v>213</v>
      </c>
      <c r="I1573" s="97" t="s">
        <v>649</v>
      </c>
      <c r="J1573" s="73">
        <f t="shared" si="148"/>
        <v>1</v>
      </c>
      <c r="K1573" s="74" t="s">
        <v>204</v>
      </c>
      <c r="Q1573" s="76" t="s">
        <v>5193</v>
      </c>
      <c r="R1573" s="73">
        <f t="shared" si="149"/>
        <v>1</v>
      </c>
      <c r="S1573" s="260" t="s">
        <v>1976</v>
      </c>
      <c r="T1573" s="260" t="s">
        <v>925</v>
      </c>
      <c r="AA1573" s="566">
        <f t="shared" si="150"/>
        <v>0</v>
      </c>
      <c r="AB1573" s="699"/>
    </row>
    <row r="1574" spans="1:28" x14ac:dyDescent="0.3">
      <c r="A1574" s="79" t="s">
        <v>5378</v>
      </c>
      <c r="C1574" s="115">
        <v>43900</v>
      </c>
      <c r="D1574" s="312">
        <v>43928</v>
      </c>
      <c r="E1574" s="560"/>
      <c r="F1574" s="86" t="s">
        <v>5504</v>
      </c>
      <c r="G1574" s="86" t="s">
        <v>152</v>
      </c>
      <c r="H1574" s="96" t="s">
        <v>213</v>
      </c>
      <c r="I1574" s="97" t="s">
        <v>3475</v>
      </c>
      <c r="J1574" s="73">
        <f t="shared" si="148"/>
        <v>1</v>
      </c>
      <c r="K1574" s="74" t="s">
        <v>204</v>
      </c>
      <c r="Q1574" s="76" t="s">
        <v>2142</v>
      </c>
      <c r="R1574" s="73">
        <f t="shared" si="149"/>
        <v>1</v>
      </c>
      <c r="S1574" s="260" t="s">
        <v>1976</v>
      </c>
      <c r="T1574" s="260" t="s">
        <v>924</v>
      </c>
      <c r="AA1574" s="566">
        <f t="shared" si="150"/>
        <v>0</v>
      </c>
      <c r="AB1574" s="699"/>
    </row>
    <row r="1575" spans="1:28" x14ac:dyDescent="0.3">
      <c r="A1575" s="96" t="s">
        <v>5379</v>
      </c>
      <c r="C1575" s="115">
        <v>43900</v>
      </c>
      <c r="D1575" s="312">
        <v>43929</v>
      </c>
      <c r="E1575" s="560"/>
      <c r="F1575" s="86" t="s">
        <v>5505</v>
      </c>
      <c r="G1575" s="86" t="s">
        <v>158</v>
      </c>
      <c r="H1575" s="96" t="s">
        <v>213</v>
      </c>
      <c r="I1575" s="97" t="s">
        <v>5704</v>
      </c>
      <c r="J1575" s="73">
        <f t="shared" si="148"/>
        <v>1</v>
      </c>
      <c r="K1575" s="74" t="s">
        <v>204</v>
      </c>
      <c r="N1575" s="76" t="s">
        <v>18</v>
      </c>
      <c r="Q1575" s="76" t="s">
        <v>2142</v>
      </c>
      <c r="R1575" s="73">
        <f t="shared" si="149"/>
        <v>1</v>
      </c>
      <c r="S1575" s="260" t="s">
        <v>1976</v>
      </c>
      <c r="T1575" s="260" t="s">
        <v>923</v>
      </c>
      <c r="AA1575" s="566">
        <f t="shared" si="150"/>
        <v>0</v>
      </c>
      <c r="AB1575" s="699"/>
    </row>
    <row r="1576" spans="1:28" x14ac:dyDescent="0.3">
      <c r="A1576" s="96" t="s">
        <v>5380</v>
      </c>
      <c r="C1576" s="115">
        <v>43900</v>
      </c>
      <c r="D1576" s="312">
        <v>43929</v>
      </c>
      <c r="E1576" s="560"/>
      <c r="F1576" s="86" t="s">
        <v>5506</v>
      </c>
      <c r="G1576" s="86" t="s">
        <v>152</v>
      </c>
      <c r="H1576" s="96" t="s">
        <v>213</v>
      </c>
      <c r="I1576" s="97" t="s">
        <v>2478</v>
      </c>
      <c r="J1576" s="73">
        <f t="shared" si="148"/>
        <v>1</v>
      </c>
      <c r="K1576" s="74" t="s">
        <v>204</v>
      </c>
      <c r="N1576" s="76" t="s">
        <v>17</v>
      </c>
      <c r="Q1576" s="76" t="s">
        <v>2037</v>
      </c>
      <c r="R1576" s="73">
        <f t="shared" si="149"/>
        <v>1</v>
      </c>
      <c r="S1576" s="260" t="s">
        <v>1976</v>
      </c>
      <c r="T1576" s="260" t="s">
        <v>925</v>
      </c>
      <c r="AA1576" s="566">
        <f t="shared" si="150"/>
        <v>0</v>
      </c>
      <c r="AB1576" s="699"/>
    </row>
    <row r="1577" spans="1:28" x14ac:dyDescent="0.3">
      <c r="A1577" s="96" t="s">
        <v>5383</v>
      </c>
      <c r="C1577" s="115">
        <v>43900</v>
      </c>
      <c r="D1577" s="312">
        <v>43928</v>
      </c>
      <c r="E1577" s="560"/>
      <c r="F1577" s="86" t="s">
        <v>5509</v>
      </c>
      <c r="G1577" s="86" t="s">
        <v>157</v>
      </c>
      <c r="H1577" s="96" t="s">
        <v>213</v>
      </c>
      <c r="I1577" s="97" t="s">
        <v>755</v>
      </c>
      <c r="J1577" s="73">
        <f t="shared" ref="J1577:J1588" si="151">IF(OR(K1577="Документы готовы",K1577="Запрос в ФО",K1577="ЭЗ",K1577="РЕШ",K1577="РЕШ шаблон"),0.1,IF(OR(K1577="ЭЗ согласование",K1577="РЕШ согласование"),0.3,IF(OR(K1577="ЭЗ согласовано",K1577="РЕШ согласовано",K1577="РЕШ подписано"),0.6,IF(OR(K1577="ЭЗ ПР согласование",K1577="РЕШ УВ согласование"),0.9,IF(OR(K1577="ЭЗ ПР DONE",K1577="РЕШ УВ DONE"),1,0)))))</f>
        <v>1</v>
      </c>
      <c r="K1577" s="74" t="s">
        <v>204</v>
      </c>
      <c r="Q1577" s="76" t="s">
        <v>2109</v>
      </c>
      <c r="R1577" s="73">
        <f t="shared" ref="R1577:R1588" si="152">IF(S1577="В работе",0.3,IF(S1577="Отписано",0.6,IF(S1577="На доработку",0.9,IF(S1577="Согласовано",1,0))))</f>
        <v>1</v>
      </c>
      <c r="S1577" s="260" t="s">
        <v>1976</v>
      </c>
      <c r="T1577" s="260" t="s">
        <v>924</v>
      </c>
      <c r="AA1577" s="566">
        <f t="shared" si="150"/>
        <v>0</v>
      </c>
      <c r="AB1577" s="699"/>
    </row>
    <row r="1578" spans="1:28" x14ac:dyDescent="0.3">
      <c r="A1578" s="79" t="s">
        <v>5385</v>
      </c>
      <c r="C1578" s="115">
        <v>43900</v>
      </c>
      <c r="D1578" s="312">
        <v>43929</v>
      </c>
      <c r="E1578" s="560"/>
      <c r="F1578" s="86" t="s">
        <v>5511</v>
      </c>
      <c r="G1578" s="86" t="s">
        <v>147</v>
      </c>
      <c r="H1578" s="96" t="s">
        <v>213</v>
      </c>
      <c r="I1578" s="97" t="s">
        <v>5731</v>
      </c>
      <c r="J1578" s="73">
        <f t="shared" si="151"/>
        <v>1</v>
      </c>
      <c r="K1578" s="74" t="s">
        <v>204</v>
      </c>
      <c r="N1578" s="76" t="s">
        <v>18</v>
      </c>
      <c r="Q1578" s="76" t="s">
        <v>2142</v>
      </c>
      <c r="R1578" s="73">
        <f t="shared" si="152"/>
        <v>1</v>
      </c>
      <c r="S1578" s="260" t="s">
        <v>1976</v>
      </c>
      <c r="T1578" s="260" t="s">
        <v>924</v>
      </c>
      <c r="AA1578" s="566">
        <f t="shared" si="150"/>
        <v>0</v>
      </c>
      <c r="AB1578" s="699"/>
    </row>
    <row r="1579" spans="1:28" x14ac:dyDescent="0.3">
      <c r="A1579" s="79" t="s">
        <v>5387</v>
      </c>
      <c r="C1579" s="115">
        <v>43900</v>
      </c>
      <c r="D1579" s="312">
        <v>43929</v>
      </c>
      <c r="E1579" s="560"/>
      <c r="F1579" s="86" t="s">
        <v>5513</v>
      </c>
      <c r="G1579" s="86" t="s">
        <v>150</v>
      </c>
      <c r="H1579" s="96" t="s">
        <v>213</v>
      </c>
      <c r="I1579" s="97" t="s">
        <v>3479</v>
      </c>
      <c r="J1579" s="73">
        <f t="shared" si="151"/>
        <v>1</v>
      </c>
      <c r="K1579" s="74" t="s">
        <v>204</v>
      </c>
      <c r="Q1579" s="76" t="s">
        <v>2109</v>
      </c>
      <c r="R1579" s="73">
        <f t="shared" si="152"/>
        <v>1</v>
      </c>
      <c r="S1579" s="260" t="s">
        <v>1976</v>
      </c>
      <c r="T1579" s="260" t="s">
        <v>925</v>
      </c>
      <c r="AA1579" s="566">
        <f t="shared" si="150"/>
        <v>0</v>
      </c>
      <c r="AB1579" s="699"/>
    </row>
    <row r="1580" spans="1:28" x14ac:dyDescent="0.3">
      <c r="A1580" s="79" t="s">
        <v>5388</v>
      </c>
      <c r="C1580" s="115">
        <v>43900</v>
      </c>
      <c r="D1580" s="312">
        <v>43929</v>
      </c>
      <c r="E1580" s="560"/>
      <c r="F1580" s="86" t="s">
        <v>5514</v>
      </c>
      <c r="G1580" s="86" t="s">
        <v>152</v>
      </c>
      <c r="H1580" s="96" t="s">
        <v>213</v>
      </c>
      <c r="I1580" s="97" t="s">
        <v>649</v>
      </c>
      <c r="J1580" s="73">
        <f t="shared" si="151"/>
        <v>1</v>
      </c>
      <c r="K1580" s="74" t="s">
        <v>204</v>
      </c>
      <c r="Q1580" s="76" t="s">
        <v>2417</v>
      </c>
      <c r="R1580" s="73">
        <f t="shared" si="152"/>
        <v>1</v>
      </c>
      <c r="S1580" s="260" t="s">
        <v>1976</v>
      </c>
      <c r="T1580" s="260" t="s">
        <v>924</v>
      </c>
      <c r="U1580" s="301" t="s">
        <v>5283</v>
      </c>
      <c r="V1580" s="301" t="s">
        <v>5693</v>
      </c>
      <c r="AA1580" s="566">
        <f t="shared" si="150"/>
        <v>0</v>
      </c>
      <c r="AB1580" s="699"/>
    </row>
    <row r="1581" spans="1:28" x14ac:dyDescent="0.3">
      <c r="A1581" s="96" t="s">
        <v>5390</v>
      </c>
      <c r="C1581" s="115">
        <v>43900</v>
      </c>
      <c r="D1581" s="312">
        <v>43929</v>
      </c>
      <c r="E1581" s="560"/>
      <c r="F1581" s="86" t="s">
        <v>5516</v>
      </c>
      <c r="G1581" s="86" t="s">
        <v>152</v>
      </c>
      <c r="H1581" s="96" t="s">
        <v>213</v>
      </c>
      <c r="I1581" s="97" t="s">
        <v>645</v>
      </c>
      <c r="J1581" s="73">
        <f t="shared" si="151"/>
        <v>1</v>
      </c>
      <c r="K1581" s="74" t="s">
        <v>204</v>
      </c>
      <c r="L1581" s="97" t="s">
        <v>456</v>
      </c>
      <c r="N1581" s="76" t="s">
        <v>17</v>
      </c>
      <c r="Q1581" s="76" t="s">
        <v>2037</v>
      </c>
      <c r="R1581" s="73">
        <f t="shared" si="152"/>
        <v>1</v>
      </c>
      <c r="S1581" s="260" t="s">
        <v>1976</v>
      </c>
      <c r="T1581" s="260" t="s">
        <v>924</v>
      </c>
      <c r="AA1581" s="566">
        <f t="shared" si="150"/>
        <v>0</v>
      </c>
      <c r="AB1581" s="699"/>
    </row>
    <row r="1582" spans="1:28" x14ac:dyDescent="0.3">
      <c r="A1582" s="79" t="s">
        <v>5392</v>
      </c>
      <c r="C1582" s="115">
        <v>43900</v>
      </c>
      <c r="D1582" s="312">
        <v>43929</v>
      </c>
      <c r="E1582" s="560"/>
      <c r="F1582" s="86" t="s">
        <v>5518</v>
      </c>
      <c r="G1582" s="86" t="s">
        <v>150</v>
      </c>
      <c r="H1582" s="96" t="s">
        <v>213</v>
      </c>
      <c r="I1582" s="97" t="s">
        <v>722</v>
      </c>
      <c r="J1582" s="73">
        <f t="shared" si="151"/>
        <v>1</v>
      </c>
      <c r="K1582" s="74" t="s">
        <v>204</v>
      </c>
      <c r="Q1582" s="76" t="s">
        <v>2417</v>
      </c>
      <c r="R1582" s="73">
        <f t="shared" si="152"/>
        <v>1</v>
      </c>
      <c r="S1582" s="260" t="s">
        <v>1976</v>
      </c>
      <c r="T1582" s="260" t="s">
        <v>925</v>
      </c>
      <c r="AA1582" s="566">
        <f t="shared" si="150"/>
        <v>0</v>
      </c>
      <c r="AB1582" s="699"/>
    </row>
    <row r="1583" spans="1:28" x14ac:dyDescent="0.3">
      <c r="A1583" s="96" t="s">
        <v>5393</v>
      </c>
      <c r="C1583" s="115">
        <v>43900</v>
      </c>
      <c r="D1583" s="312">
        <v>43958</v>
      </c>
      <c r="E1583" s="560"/>
      <c r="F1583" s="86" t="s">
        <v>5519</v>
      </c>
      <c r="G1583" s="86" t="s">
        <v>172</v>
      </c>
      <c r="H1583" s="96" t="s">
        <v>213</v>
      </c>
      <c r="I1583" s="97" t="s">
        <v>658</v>
      </c>
      <c r="J1583" s="73">
        <f t="shared" si="151"/>
        <v>1</v>
      </c>
      <c r="K1583" s="74" t="s">
        <v>204</v>
      </c>
      <c r="L1583" s="97" t="s">
        <v>5673</v>
      </c>
      <c r="N1583" s="76" t="s">
        <v>18</v>
      </c>
      <c r="Q1583" s="76" t="s">
        <v>2076</v>
      </c>
      <c r="R1583" s="73">
        <f t="shared" si="152"/>
        <v>1</v>
      </c>
      <c r="S1583" s="260" t="s">
        <v>1976</v>
      </c>
      <c r="T1583" s="260" t="s">
        <v>925</v>
      </c>
      <c r="U1583" s="301" t="s">
        <v>5283</v>
      </c>
      <c r="V1583" s="301" t="s">
        <v>5674</v>
      </c>
      <c r="AA1583" s="566">
        <f t="shared" si="150"/>
        <v>0</v>
      </c>
      <c r="AB1583" s="699"/>
    </row>
    <row r="1584" spans="1:28" x14ac:dyDescent="0.3">
      <c r="A1584" s="79" t="s">
        <v>5401</v>
      </c>
      <c r="C1584" s="115">
        <v>43901</v>
      </c>
      <c r="D1584" s="312">
        <v>43929</v>
      </c>
      <c r="E1584" s="560"/>
      <c r="F1584" s="86" t="s">
        <v>5526</v>
      </c>
      <c r="G1584" s="86" t="s">
        <v>152</v>
      </c>
      <c r="H1584" s="96" t="s">
        <v>213</v>
      </c>
      <c r="I1584" s="97" t="s">
        <v>4963</v>
      </c>
      <c r="J1584" s="73">
        <f t="shared" si="151"/>
        <v>1</v>
      </c>
      <c r="K1584" s="74" t="s">
        <v>204</v>
      </c>
      <c r="N1584" s="76" t="s">
        <v>19</v>
      </c>
      <c r="Q1584" s="76" t="s">
        <v>2142</v>
      </c>
      <c r="R1584" s="73">
        <f t="shared" si="152"/>
        <v>1</v>
      </c>
      <c r="S1584" s="260" t="s">
        <v>1976</v>
      </c>
      <c r="T1584" s="260" t="s">
        <v>925</v>
      </c>
      <c r="AA1584" s="566">
        <f t="shared" si="150"/>
        <v>0</v>
      </c>
      <c r="AB1584" s="699"/>
    </row>
    <row r="1585" spans="1:28" x14ac:dyDescent="0.3">
      <c r="A1585" s="96" t="s">
        <v>5402</v>
      </c>
      <c r="C1585" s="115">
        <v>43901</v>
      </c>
      <c r="D1585" s="312">
        <v>43929</v>
      </c>
      <c r="E1585" s="560"/>
      <c r="F1585" s="86" t="s">
        <v>5527</v>
      </c>
      <c r="G1585" s="86" t="s">
        <v>175</v>
      </c>
      <c r="H1585" s="96" t="s">
        <v>213</v>
      </c>
      <c r="I1585" s="97" t="s">
        <v>649</v>
      </c>
      <c r="J1585" s="73">
        <f t="shared" si="151"/>
        <v>1</v>
      </c>
      <c r="K1585" s="74" t="s">
        <v>204</v>
      </c>
      <c r="N1585" s="76" t="s">
        <v>18</v>
      </c>
      <c r="Q1585" s="76" t="s">
        <v>2037</v>
      </c>
      <c r="R1585" s="73">
        <f t="shared" si="152"/>
        <v>1</v>
      </c>
      <c r="S1585" s="260" t="s">
        <v>1976</v>
      </c>
      <c r="T1585" s="260" t="s">
        <v>924</v>
      </c>
      <c r="U1585" s="301" t="s">
        <v>5283</v>
      </c>
      <c r="V1585" s="301" t="s">
        <v>5694</v>
      </c>
      <c r="AA1585" s="566">
        <f t="shared" si="150"/>
        <v>0</v>
      </c>
      <c r="AB1585" s="699"/>
    </row>
    <row r="1586" spans="1:28" x14ac:dyDescent="0.3">
      <c r="A1586" s="96" t="s">
        <v>5404</v>
      </c>
      <c r="C1586" s="115">
        <v>43901</v>
      </c>
      <c r="D1586" s="312">
        <v>43930</v>
      </c>
      <c r="E1586" s="560"/>
      <c r="F1586" s="86" t="s">
        <v>5529</v>
      </c>
      <c r="G1586" s="86" t="s">
        <v>152</v>
      </c>
      <c r="H1586" s="96" t="s">
        <v>213</v>
      </c>
      <c r="I1586" s="97" t="s">
        <v>3187</v>
      </c>
      <c r="J1586" s="73">
        <f t="shared" si="151"/>
        <v>1</v>
      </c>
      <c r="K1586" s="74" t="s">
        <v>204</v>
      </c>
      <c r="L1586" t="s">
        <v>5710</v>
      </c>
      <c r="N1586" s="76" t="s">
        <v>19</v>
      </c>
      <c r="Q1586" s="76" t="s">
        <v>2417</v>
      </c>
      <c r="R1586" s="73">
        <f t="shared" si="152"/>
        <v>1</v>
      </c>
      <c r="S1586" s="260" t="s">
        <v>1976</v>
      </c>
      <c r="T1586" s="260" t="s">
        <v>924</v>
      </c>
      <c r="U1586" s="301" t="s">
        <v>5283</v>
      </c>
      <c r="V1586" s="301" t="s">
        <v>5706</v>
      </c>
      <c r="AA1586" s="566">
        <f t="shared" si="150"/>
        <v>0</v>
      </c>
      <c r="AB1586" s="699"/>
    </row>
    <row r="1587" spans="1:28" x14ac:dyDescent="0.3">
      <c r="A1587" s="96" t="s">
        <v>5405</v>
      </c>
      <c r="C1587" s="115">
        <v>43901</v>
      </c>
      <c r="D1587" s="312">
        <v>43930</v>
      </c>
      <c r="E1587" s="560"/>
      <c r="F1587" s="86" t="s">
        <v>5530</v>
      </c>
      <c r="G1587" s="86" t="s">
        <v>152</v>
      </c>
      <c r="H1587" s="96" t="s">
        <v>213</v>
      </c>
      <c r="I1587" s="97" t="s">
        <v>722</v>
      </c>
      <c r="J1587" s="73">
        <f t="shared" si="151"/>
        <v>1</v>
      </c>
      <c r="K1587" s="74" t="s">
        <v>204</v>
      </c>
      <c r="N1587" s="76" t="s">
        <v>18</v>
      </c>
      <c r="Q1587" s="76" t="s">
        <v>2109</v>
      </c>
      <c r="R1587" s="73">
        <f t="shared" si="152"/>
        <v>1</v>
      </c>
      <c r="S1587" s="260" t="s">
        <v>1976</v>
      </c>
      <c r="T1587" s="260" t="s">
        <v>924</v>
      </c>
      <c r="AA1587" s="566">
        <f t="shared" si="150"/>
        <v>0</v>
      </c>
      <c r="AB1587" s="699"/>
    </row>
    <row r="1588" spans="1:28" x14ac:dyDescent="0.3">
      <c r="A1588" s="79" t="s">
        <v>5419</v>
      </c>
      <c r="C1588" s="115">
        <v>43902</v>
      </c>
      <c r="D1588" s="312">
        <v>43930</v>
      </c>
      <c r="E1588" s="560"/>
      <c r="F1588" s="86" t="s">
        <v>5544</v>
      </c>
      <c r="G1588" s="86" t="s">
        <v>175</v>
      </c>
      <c r="H1588" s="96" t="s">
        <v>213</v>
      </c>
      <c r="I1588" s="97" t="s">
        <v>649</v>
      </c>
      <c r="J1588" s="73">
        <f t="shared" si="151"/>
        <v>1</v>
      </c>
      <c r="K1588" s="74" t="s">
        <v>204</v>
      </c>
      <c r="N1588" s="76" t="s">
        <v>18</v>
      </c>
      <c r="Q1588" s="76" t="s">
        <v>2417</v>
      </c>
      <c r="R1588" s="73">
        <f t="shared" si="152"/>
        <v>1</v>
      </c>
      <c r="S1588" s="260" t="s">
        <v>1976</v>
      </c>
      <c r="T1588" s="260"/>
      <c r="AA1588" s="566">
        <f t="shared" si="150"/>
        <v>0</v>
      </c>
      <c r="AB1588" s="699"/>
    </row>
    <row r="1589" spans="1:28" x14ac:dyDescent="0.3">
      <c r="A1589" s="96" t="s">
        <v>5696</v>
      </c>
      <c r="C1589" s="81">
        <v>43881</v>
      </c>
      <c r="D1589" s="109">
        <v>43928</v>
      </c>
      <c r="E1589" s="560"/>
      <c r="F1589" s="97" t="s">
        <v>5697</v>
      </c>
      <c r="G1589" s="97" t="s">
        <v>152</v>
      </c>
      <c r="H1589" s="96" t="s">
        <v>213</v>
      </c>
      <c r="I1589" s="97" t="s">
        <v>642</v>
      </c>
      <c r="J1589" s="73">
        <f t="shared" ref="J1589:J1623" si="153">IF(OR(K1589="Документы готовы",K1589="Запрос в ФО",K1589="ЭЗ",K1589="РЕШ",K1589="РЕШ шаблон"),0.1,IF(OR(K1589="ЭЗ согласование",K1589="РЕШ согласование"),0.3,IF(OR(K1589="ЭЗ согласовано",K1589="РЕШ согласовано",K1589="РЕШ подписано"),0.6,IF(OR(K1589="ЭЗ ПР согласование",K1589="РЕШ УВ согласование"),0.9,IF(OR(K1589="ЭЗ ПР DONE",K1589="РЕШ УВ DONE"),1,0)))))</f>
        <v>1</v>
      </c>
      <c r="K1589" s="74" t="s">
        <v>204</v>
      </c>
      <c r="N1589" s="76" t="s">
        <v>17</v>
      </c>
      <c r="Q1589" s="301" t="s">
        <v>2142</v>
      </c>
      <c r="R1589" s="73">
        <f t="shared" ref="R1589:R1623" si="154">IF(S1589="В работе",0.3,IF(S1589="Отписано",0.6,IF(S1589="На доработку",0.9,IF(S1589="Согласовано",1,0))))</f>
        <v>1</v>
      </c>
      <c r="S1589" s="260" t="s">
        <v>1976</v>
      </c>
      <c r="T1589" s="260" t="s">
        <v>925</v>
      </c>
      <c r="AA1589" s="566">
        <f t="shared" si="150"/>
        <v>0</v>
      </c>
      <c r="AB1589" s="699"/>
    </row>
    <row r="1590" spans="1:28" x14ac:dyDescent="0.3">
      <c r="A1590" s="346" t="s">
        <v>5699</v>
      </c>
      <c r="C1590" s="81">
        <v>43880</v>
      </c>
      <c r="D1590" s="109">
        <v>43927</v>
      </c>
      <c r="E1590" s="560"/>
      <c r="F1590" s="97" t="s">
        <v>5698</v>
      </c>
      <c r="G1590" s="97" t="s">
        <v>164</v>
      </c>
      <c r="H1590" s="96" t="s">
        <v>213</v>
      </c>
      <c r="I1590" s="97" t="s">
        <v>714</v>
      </c>
      <c r="J1590" s="73">
        <f t="shared" si="153"/>
        <v>1</v>
      </c>
      <c r="K1590" s="74" t="s">
        <v>204</v>
      </c>
      <c r="N1590" s="76" t="s">
        <v>17</v>
      </c>
      <c r="Q1590" s="301" t="s">
        <v>5193</v>
      </c>
      <c r="R1590" s="73">
        <f t="shared" si="154"/>
        <v>1</v>
      </c>
      <c r="S1590" s="260" t="s">
        <v>1976</v>
      </c>
      <c r="T1590" s="260" t="s">
        <v>925</v>
      </c>
      <c r="AA1590" s="566">
        <f t="shared" si="150"/>
        <v>0</v>
      </c>
      <c r="AB1590" s="699"/>
    </row>
    <row r="1591" spans="1:28" x14ac:dyDescent="0.3">
      <c r="A1591" s="96" t="s">
        <v>5700</v>
      </c>
      <c r="C1591" s="81">
        <v>43880</v>
      </c>
      <c r="D1591" s="109">
        <v>43927</v>
      </c>
      <c r="E1591" s="560"/>
      <c r="F1591" s="86" t="s">
        <v>5701</v>
      </c>
      <c r="G1591" s="86" t="s">
        <v>179</v>
      </c>
      <c r="H1591" s="96" t="s">
        <v>213</v>
      </c>
      <c r="I1591" s="97" t="s">
        <v>645</v>
      </c>
      <c r="J1591" s="73">
        <f t="shared" si="153"/>
        <v>1</v>
      </c>
      <c r="K1591" s="74" t="s">
        <v>204</v>
      </c>
      <c r="L1591" s="97" t="s">
        <v>12733</v>
      </c>
      <c r="N1591" s="76" t="s">
        <v>17</v>
      </c>
      <c r="Q1591" s="301" t="s">
        <v>2076</v>
      </c>
      <c r="R1591" s="73">
        <f t="shared" si="154"/>
        <v>1</v>
      </c>
      <c r="S1591" s="260" t="s">
        <v>1976</v>
      </c>
      <c r="T1591" s="260" t="s">
        <v>924</v>
      </c>
      <c r="U1591" s="301" t="s">
        <v>5283</v>
      </c>
      <c r="V1591" s="301" t="s">
        <v>5703</v>
      </c>
      <c r="AA1591" s="566">
        <f t="shared" si="150"/>
        <v>0</v>
      </c>
      <c r="AB1591" s="699"/>
    </row>
    <row r="1592" spans="1:28" x14ac:dyDescent="0.3">
      <c r="A1592" s="96" t="s">
        <v>5732</v>
      </c>
      <c r="C1592" s="81">
        <v>43882</v>
      </c>
      <c r="D1592" s="109">
        <v>43929</v>
      </c>
      <c r="E1592" s="560"/>
      <c r="F1592" s="97" t="s">
        <v>5733</v>
      </c>
      <c r="G1592" s="97" t="s">
        <v>410</v>
      </c>
      <c r="H1592" s="96" t="s">
        <v>213</v>
      </c>
      <c r="I1592" s="97" t="s">
        <v>642</v>
      </c>
      <c r="J1592" s="73">
        <f t="shared" si="153"/>
        <v>1</v>
      </c>
      <c r="K1592" s="74" t="s">
        <v>204</v>
      </c>
      <c r="N1592" s="76" t="s">
        <v>18</v>
      </c>
      <c r="Q1592" s="301" t="s">
        <v>2037</v>
      </c>
      <c r="R1592" s="73">
        <f t="shared" si="154"/>
        <v>1</v>
      </c>
      <c r="S1592" s="260" t="s">
        <v>1976</v>
      </c>
      <c r="T1592" s="260" t="s">
        <v>924</v>
      </c>
      <c r="AA1592" s="566">
        <f t="shared" si="150"/>
        <v>0</v>
      </c>
      <c r="AB1592" s="699"/>
    </row>
    <row r="1593" spans="1:28" x14ac:dyDescent="0.3">
      <c r="A1593" s="96" t="s">
        <v>4973</v>
      </c>
      <c r="C1593" s="115">
        <v>43867</v>
      </c>
      <c r="D1593" s="312">
        <v>43966</v>
      </c>
      <c r="E1593" s="81">
        <v>43929</v>
      </c>
      <c r="F1593" s="252" t="s">
        <v>5085</v>
      </c>
      <c r="G1593" s="86" t="s">
        <v>168</v>
      </c>
      <c r="H1593" s="96" t="s">
        <v>213</v>
      </c>
      <c r="I1593" s="97" t="s">
        <v>995</v>
      </c>
      <c r="J1593" s="73">
        <f t="shared" si="153"/>
        <v>1</v>
      </c>
      <c r="K1593" s="74" t="s">
        <v>204</v>
      </c>
      <c r="N1593" s="76" t="s">
        <v>19</v>
      </c>
      <c r="Q1593" s="76" t="s">
        <v>2037</v>
      </c>
      <c r="R1593" s="73">
        <f t="shared" si="154"/>
        <v>1</v>
      </c>
      <c r="S1593" s="260" t="s">
        <v>1976</v>
      </c>
      <c r="T1593" s="260" t="s">
        <v>923</v>
      </c>
      <c r="Y1593" s="566">
        <v>0.64861111111111114</v>
      </c>
      <c r="Z1593" s="566">
        <v>0.66388888888888886</v>
      </c>
      <c r="AA1593" s="566">
        <f t="shared" si="150"/>
        <v>1.5277777777777724E-2</v>
      </c>
      <c r="AB1593" s="699"/>
    </row>
    <row r="1594" spans="1:28" x14ac:dyDescent="0.3">
      <c r="A1594" s="79" t="s">
        <v>4471</v>
      </c>
      <c r="C1594" s="115">
        <v>43872</v>
      </c>
      <c r="D1594" s="312">
        <v>43964</v>
      </c>
      <c r="E1594" s="81">
        <v>43930</v>
      </c>
      <c r="F1594" s="86" t="s">
        <v>4556</v>
      </c>
      <c r="G1594" s="86" t="s">
        <v>156</v>
      </c>
      <c r="H1594" s="96" t="s">
        <v>213</v>
      </c>
      <c r="I1594" s="97" t="s">
        <v>642</v>
      </c>
      <c r="J1594" s="73">
        <f t="shared" si="153"/>
        <v>1</v>
      </c>
      <c r="K1594" s="74" t="s">
        <v>204</v>
      </c>
      <c r="N1594" s="76" t="s">
        <v>18</v>
      </c>
      <c r="Q1594" s="76" t="s">
        <v>2076</v>
      </c>
      <c r="R1594" s="73">
        <f t="shared" si="154"/>
        <v>1</v>
      </c>
      <c r="S1594" s="260" t="s">
        <v>1976</v>
      </c>
      <c r="T1594" s="260" t="s">
        <v>925</v>
      </c>
      <c r="Y1594" s="566">
        <v>0.45526620370370369</v>
      </c>
      <c r="Z1594" s="566">
        <v>0.46218749999999997</v>
      </c>
      <c r="AA1594" s="566">
        <f t="shared" si="150"/>
        <v>6.9212962962962865E-3</v>
      </c>
      <c r="AB1594" s="699"/>
    </row>
    <row r="1595" spans="1:28" x14ac:dyDescent="0.3">
      <c r="A1595" s="96" t="s">
        <v>5316</v>
      </c>
      <c r="C1595" s="115">
        <v>43879</v>
      </c>
      <c r="D1595" s="312">
        <v>43964</v>
      </c>
      <c r="E1595" s="81">
        <v>43928</v>
      </c>
      <c r="F1595" s="86" t="s">
        <v>5442</v>
      </c>
      <c r="G1595" s="86" t="s">
        <v>152</v>
      </c>
      <c r="H1595" s="96" t="s">
        <v>213</v>
      </c>
      <c r="I1595" s="97" t="s">
        <v>3475</v>
      </c>
      <c r="J1595" s="73">
        <f t="shared" si="153"/>
        <v>1</v>
      </c>
      <c r="K1595" s="74" t="s">
        <v>204</v>
      </c>
      <c r="L1595" s="97" t="s">
        <v>5813</v>
      </c>
      <c r="N1595" s="76" t="s">
        <v>19</v>
      </c>
      <c r="Q1595" s="76" t="s">
        <v>2142</v>
      </c>
      <c r="R1595" s="73">
        <f t="shared" si="154"/>
        <v>1</v>
      </c>
      <c r="S1595" s="260" t="s">
        <v>1976</v>
      </c>
      <c r="T1595" s="260" t="s">
        <v>923</v>
      </c>
      <c r="Y1595" s="566">
        <v>0.50555555555555554</v>
      </c>
      <c r="Z1595" s="566">
        <v>0.51527777777777783</v>
      </c>
      <c r="AA1595" s="566">
        <f t="shared" si="150"/>
        <v>9.7222222222222987E-3</v>
      </c>
      <c r="AB1595" s="699"/>
    </row>
    <row r="1596" spans="1:28" x14ac:dyDescent="0.3">
      <c r="A1596" s="79" t="s">
        <v>4805</v>
      </c>
      <c r="C1596" s="115">
        <v>43886</v>
      </c>
      <c r="D1596" s="312">
        <v>43963</v>
      </c>
      <c r="E1596" s="81">
        <v>43928</v>
      </c>
      <c r="F1596" s="86" t="s">
        <v>4881</v>
      </c>
      <c r="G1596" s="86" t="s">
        <v>152</v>
      </c>
      <c r="H1596" s="96" t="s">
        <v>213</v>
      </c>
      <c r="I1596" s="97" t="s">
        <v>5812</v>
      </c>
      <c r="J1596" s="73">
        <f t="shared" si="153"/>
        <v>1</v>
      </c>
      <c r="K1596" s="74" t="s">
        <v>204</v>
      </c>
      <c r="L1596" s="97" t="s">
        <v>12733</v>
      </c>
      <c r="N1596" s="76" t="s">
        <v>18</v>
      </c>
      <c r="Q1596" s="76" t="s">
        <v>2076</v>
      </c>
      <c r="R1596" s="73">
        <f t="shared" si="154"/>
        <v>1</v>
      </c>
      <c r="S1596" s="260" t="s">
        <v>1976</v>
      </c>
      <c r="T1596" s="260" t="s">
        <v>923</v>
      </c>
      <c r="U1596" s="301" t="s">
        <v>5283</v>
      </c>
      <c r="V1596" s="301" t="s">
        <v>5821</v>
      </c>
      <c r="Y1596" s="566">
        <v>0.47361111111111115</v>
      </c>
      <c r="Z1596" s="566">
        <v>0.50069444444444444</v>
      </c>
      <c r="AA1596" s="566">
        <f t="shared" si="150"/>
        <v>2.7083333333333293E-2</v>
      </c>
      <c r="AB1596" s="699"/>
    </row>
    <row r="1597" spans="1:28" x14ac:dyDescent="0.3">
      <c r="A1597" s="79" t="s">
        <v>5332</v>
      </c>
      <c r="C1597" s="115">
        <v>43886</v>
      </c>
      <c r="D1597" s="312">
        <v>43963</v>
      </c>
      <c r="E1597" s="81">
        <v>43928</v>
      </c>
      <c r="F1597" s="86" t="s">
        <v>5458</v>
      </c>
      <c r="G1597" s="86" t="s">
        <v>173</v>
      </c>
      <c r="H1597" s="96" t="s">
        <v>213</v>
      </c>
      <c r="I1597" s="97" t="s">
        <v>714</v>
      </c>
      <c r="J1597" s="73">
        <f t="shared" si="153"/>
        <v>1</v>
      </c>
      <c r="K1597" s="74" t="s">
        <v>204</v>
      </c>
      <c r="N1597" s="76" t="s">
        <v>17</v>
      </c>
      <c r="Q1597" s="76" t="s">
        <v>2417</v>
      </c>
      <c r="R1597" s="73">
        <f t="shared" si="154"/>
        <v>1</v>
      </c>
      <c r="S1597" s="260" t="s">
        <v>1976</v>
      </c>
      <c r="T1597" s="260" t="s">
        <v>925</v>
      </c>
      <c r="Y1597" s="566">
        <v>0.74652777777777779</v>
      </c>
      <c r="Z1597" s="566">
        <v>0.75486111111111109</v>
      </c>
      <c r="AA1597" s="566">
        <f t="shared" si="150"/>
        <v>8.3333333333333037E-3</v>
      </c>
      <c r="AB1597" s="699"/>
    </row>
    <row r="1598" spans="1:28" x14ac:dyDescent="0.3">
      <c r="A1598" s="79" t="s">
        <v>4817</v>
      </c>
      <c r="C1598" s="115">
        <v>43886</v>
      </c>
      <c r="D1598" s="312">
        <v>43963</v>
      </c>
      <c r="E1598" s="81">
        <v>43929</v>
      </c>
      <c r="F1598" s="86" t="s">
        <v>4893</v>
      </c>
      <c r="G1598" s="86" t="s">
        <v>156</v>
      </c>
      <c r="H1598" s="96" t="s">
        <v>213</v>
      </c>
      <c r="I1598" s="97" t="s">
        <v>642</v>
      </c>
      <c r="J1598" s="73">
        <f t="shared" si="153"/>
        <v>1</v>
      </c>
      <c r="K1598" s="74" t="s">
        <v>204</v>
      </c>
      <c r="N1598" s="76" t="s">
        <v>18</v>
      </c>
      <c r="Q1598" s="76" t="s">
        <v>2076</v>
      </c>
      <c r="R1598" s="73">
        <f t="shared" si="154"/>
        <v>1</v>
      </c>
      <c r="S1598" s="260" t="s">
        <v>1976</v>
      </c>
      <c r="T1598" s="260" t="s">
        <v>925</v>
      </c>
      <c r="Y1598" s="566">
        <v>0.4055555555555555</v>
      </c>
      <c r="Z1598" s="566">
        <v>0.41180555555555554</v>
      </c>
      <c r="AA1598" s="566">
        <f t="shared" si="150"/>
        <v>6.2500000000000333E-3</v>
      </c>
      <c r="AB1598" s="699"/>
    </row>
    <row r="1599" spans="1:28" x14ac:dyDescent="0.3">
      <c r="A1599" s="96" t="s">
        <v>4818</v>
      </c>
      <c r="C1599" s="115">
        <v>43886</v>
      </c>
      <c r="D1599" s="312">
        <v>43963</v>
      </c>
      <c r="E1599" s="81">
        <v>43927</v>
      </c>
      <c r="F1599" s="86" t="s">
        <v>4894</v>
      </c>
      <c r="G1599" s="86" t="s">
        <v>172</v>
      </c>
      <c r="H1599" s="96" t="s">
        <v>213</v>
      </c>
      <c r="I1599" s="97" t="s">
        <v>642</v>
      </c>
      <c r="J1599" s="73">
        <f t="shared" si="153"/>
        <v>1</v>
      </c>
      <c r="K1599" s="74" t="s">
        <v>204</v>
      </c>
      <c r="N1599" s="76" t="s">
        <v>18</v>
      </c>
      <c r="Q1599" s="76" t="s">
        <v>2142</v>
      </c>
      <c r="R1599" s="73">
        <f t="shared" si="154"/>
        <v>1</v>
      </c>
      <c r="S1599" s="260" t="s">
        <v>1976</v>
      </c>
      <c r="T1599" s="260" t="s">
        <v>925</v>
      </c>
      <c r="Y1599" s="566">
        <v>0.64930555555555558</v>
      </c>
      <c r="Z1599" s="566">
        <v>0.65625</v>
      </c>
      <c r="AA1599" s="566">
        <f t="shared" si="150"/>
        <v>6.9444444444444198E-3</v>
      </c>
      <c r="AB1599" s="699"/>
    </row>
    <row r="1600" spans="1:28" x14ac:dyDescent="0.3">
      <c r="A1600" s="79" t="s">
        <v>4819</v>
      </c>
      <c r="C1600" s="115">
        <v>43886</v>
      </c>
      <c r="D1600" s="312">
        <v>43963</v>
      </c>
      <c r="E1600" s="81">
        <v>43929</v>
      </c>
      <c r="F1600" s="86" t="s">
        <v>4895</v>
      </c>
      <c r="G1600" s="86" t="s">
        <v>175</v>
      </c>
      <c r="H1600" s="96" t="s">
        <v>213</v>
      </c>
      <c r="I1600" s="97" t="s">
        <v>714</v>
      </c>
      <c r="J1600" s="73">
        <f t="shared" si="153"/>
        <v>1</v>
      </c>
      <c r="K1600" s="74" t="s">
        <v>204</v>
      </c>
      <c r="N1600" s="76" t="s">
        <v>17</v>
      </c>
      <c r="Q1600" s="76" t="s">
        <v>2076</v>
      </c>
      <c r="R1600" s="73">
        <f t="shared" si="154"/>
        <v>1</v>
      </c>
      <c r="S1600" s="260" t="s">
        <v>1976</v>
      </c>
      <c r="T1600" s="260" t="s">
        <v>924</v>
      </c>
      <c r="Y1600" s="566">
        <v>0.43958333333333338</v>
      </c>
      <c r="Z1600" s="566">
        <v>0.45208333333333334</v>
      </c>
      <c r="AA1600" s="566">
        <f t="shared" si="150"/>
        <v>1.2499999999999956E-2</v>
      </c>
      <c r="AB1600" s="699"/>
    </row>
    <row r="1601" spans="1:28" x14ac:dyDescent="0.3">
      <c r="A1601" s="79" t="s">
        <v>5333</v>
      </c>
      <c r="C1601" s="115">
        <v>43886</v>
      </c>
      <c r="D1601" s="312">
        <v>43963</v>
      </c>
      <c r="E1601" s="81">
        <v>43928</v>
      </c>
      <c r="F1601" s="86" t="s">
        <v>5459</v>
      </c>
      <c r="G1601" s="86" t="s">
        <v>147</v>
      </c>
      <c r="H1601" s="96" t="s">
        <v>213</v>
      </c>
      <c r="I1601" s="97" t="s">
        <v>641</v>
      </c>
      <c r="J1601" s="73">
        <f t="shared" si="153"/>
        <v>1</v>
      </c>
      <c r="K1601" s="74" t="s">
        <v>204</v>
      </c>
      <c r="N1601" s="76" t="s">
        <v>17</v>
      </c>
      <c r="Q1601" s="76" t="s">
        <v>2417</v>
      </c>
      <c r="R1601" s="73">
        <f t="shared" si="154"/>
        <v>1</v>
      </c>
      <c r="S1601" s="260" t="s">
        <v>1976</v>
      </c>
      <c r="T1601" s="260" t="s">
        <v>923</v>
      </c>
      <c r="Y1601" s="566">
        <v>0.55486111111111114</v>
      </c>
      <c r="Z1601" s="566">
        <v>0.56111111111111112</v>
      </c>
      <c r="AA1601" s="566">
        <f t="shared" si="150"/>
        <v>6.2499999999999778E-3</v>
      </c>
      <c r="AB1601" s="699"/>
    </row>
    <row r="1602" spans="1:28" x14ac:dyDescent="0.3">
      <c r="A1602" s="79" t="s">
        <v>5334</v>
      </c>
      <c r="C1602" s="115">
        <v>43886</v>
      </c>
      <c r="D1602" s="312">
        <v>43963</v>
      </c>
      <c r="E1602" s="81">
        <v>43927</v>
      </c>
      <c r="F1602" s="86" t="s">
        <v>5460</v>
      </c>
      <c r="G1602" s="86" t="s">
        <v>157</v>
      </c>
      <c r="H1602" s="96" t="s">
        <v>213</v>
      </c>
      <c r="I1602" s="97" t="s">
        <v>714</v>
      </c>
      <c r="J1602" s="73">
        <f t="shared" si="153"/>
        <v>1</v>
      </c>
      <c r="K1602" s="74" t="s">
        <v>204</v>
      </c>
      <c r="N1602" s="76" t="s">
        <v>17</v>
      </c>
      <c r="Q1602" s="76" t="s">
        <v>2417</v>
      </c>
      <c r="R1602" s="73">
        <f t="shared" si="154"/>
        <v>1</v>
      </c>
      <c r="S1602" s="260" t="s">
        <v>1976</v>
      </c>
      <c r="T1602" s="260" t="s">
        <v>925</v>
      </c>
      <c r="Y1602" s="566">
        <v>0.63194444444444442</v>
      </c>
      <c r="Z1602" s="566">
        <v>0.6381944444444444</v>
      </c>
      <c r="AA1602" s="566">
        <f t="shared" si="150"/>
        <v>6.2499999999999778E-3</v>
      </c>
      <c r="AB1602" s="699"/>
    </row>
    <row r="1603" spans="1:28" x14ac:dyDescent="0.3">
      <c r="A1603" s="96" t="s">
        <v>4823</v>
      </c>
      <c r="C1603" s="115">
        <v>43887</v>
      </c>
      <c r="D1603" s="312">
        <v>43964</v>
      </c>
      <c r="E1603" s="81">
        <v>43928</v>
      </c>
      <c r="F1603" s="86" t="s">
        <v>4899</v>
      </c>
      <c r="G1603" s="86" t="s">
        <v>156</v>
      </c>
      <c r="H1603" s="96" t="s">
        <v>213</v>
      </c>
      <c r="I1603" s="97" t="s">
        <v>714</v>
      </c>
      <c r="J1603" s="73">
        <f t="shared" si="153"/>
        <v>1</v>
      </c>
      <c r="K1603" s="74" t="s">
        <v>204</v>
      </c>
      <c r="N1603" s="76" t="s">
        <v>17</v>
      </c>
      <c r="Q1603" s="76" t="s">
        <v>2142</v>
      </c>
      <c r="R1603" s="73">
        <f t="shared" si="154"/>
        <v>1</v>
      </c>
      <c r="S1603" s="260" t="s">
        <v>1976</v>
      </c>
      <c r="T1603" s="260" t="s">
        <v>924</v>
      </c>
      <c r="Y1603" s="566">
        <v>0.45555555555555555</v>
      </c>
      <c r="Z1603" s="566">
        <v>0.46875</v>
      </c>
      <c r="AA1603" s="566">
        <f t="shared" si="150"/>
        <v>1.3194444444444453E-2</v>
      </c>
      <c r="AB1603" s="699"/>
    </row>
    <row r="1604" spans="1:28" x14ac:dyDescent="0.3">
      <c r="A1604" s="79" t="s">
        <v>5335</v>
      </c>
      <c r="C1604" s="115">
        <v>43886</v>
      </c>
      <c r="D1604" s="312">
        <v>43963</v>
      </c>
      <c r="E1604" s="81">
        <v>43927</v>
      </c>
      <c r="F1604" s="86" t="s">
        <v>5461</v>
      </c>
      <c r="G1604" s="86" t="s">
        <v>150</v>
      </c>
      <c r="H1604" s="96" t="s">
        <v>213</v>
      </c>
      <c r="I1604" s="97" t="s">
        <v>714</v>
      </c>
      <c r="J1604" s="73">
        <f t="shared" si="153"/>
        <v>1</v>
      </c>
      <c r="K1604" s="74" t="s">
        <v>204</v>
      </c>
      <c r="N1604" s="76" t="s">
        <v>17</v>
      </c>
      <c r="Q1604" s="76" t="s">
        <v>2142</v>
      </c>
      <c r="R1604" s="73">
        <f t="shared" si="154"/>
        <v>1</v>
      </c>
      <c r="S1604" s="260" t="s">
        <v>1976</v>
      </c>
      <c r="T1604" s="260" t="s">
        <v>925</v>
      </c>
      <c r="Y1604" s="566">
        <v>0.56597222222222221</v>
      </c>
      <c r="Z1604" s="566">
        <v>0.57916666666666672</v>
      </c>
      <c r="AA1604" s="566">
        <f t="shared" si="150"/>
        <v>1.3194444444444509E-2</v>
      </c>
      <c r="AB1604" s="699"/>
    </row>
    <row r="1605" spans="1:28" x14ac:dyDescent="0.3">
      <c r="A1605" s="79" t="s">
        <v>5336</v>
      </c>
      <c r="C1605" s="115">
        <v>43887</v>
      </c>
      <c r="D1605" s="312">
        <v>43964</v>
      </c>
      <c r="E1605" s="81">
        <v>43929</v>
      </c>
      <c r="F1605" s="86" t="s">
        <v>5462</v>
      </c>
      <c r="G1605" s="86" t="s">
        <v>156</v>
      </c>
      <c r="H1605" s="96" t="s">
        <v>213</v>
      </c>
      <c r="I1605" s="97" t="s">
        <v>1299</v>
      </c>
      <c r="J1605" s="73">
        <f t="shared" si="153"/>
        <v>1</v>
      </c>
      <c r="K1605" s="74" t="s">
        <v>204</v>
      </c>
      <c r="N1605" s="76" t="s">
        <v>17</v>
      </c>
      <c r="Q1605" s="76" t="s">
        <v>2417</v>
      </c>
      <c r="R1605" s="73">
        <f t="shared" si="154"/>
        <v>1</v>
      </c>
      <c r="S1605" s="260" t="s">
        <v>1976</v>
      </c>
      <c r="T1605" s="260" t="s">
        <v>925</v>
      </c>
      <c r="U1605" s="301" t="s">
        <v>5283</v>
      </c>
      <c r="V1605" s="301" t="s">
        <v>5965</v>
      </c>
      <c r="Y1605" s="566">
        <v>0.72986111111111107</v>
      </c>
      <c r="Z1605" s="566">
        <v>0.75694444444444453</v>
      </c>
      <c r="AA1605" s="566">
        <f t="shared" si="150"/>
        <v>2.7083333333333459E-2</v>
      </c>
      <c r="AB1605" s="699"/>
    </row>
    <row r="1606" spans="1:28" x14ac:dyDescent="0.3">
      <c r="A1606" s="79" t="s">
        <v>4824</v>
      </c>
      <c r="C1606" s="115">
        <v>43887</v>
      </c>
      <c r="D1606" s="312">
        <v>43964</v>
      </c>
      <c r="E1606" s="81">
        <v>43928</v>
      </c>
      <c r="F1606" s="86" t="s">
        <v>4900</v>
      </c>
      <c r="G1606" s="86" t="s">
        <v>150</v>
      </c>
      <c r="H1606" s="96" t="s">
        <v>213</v>
      </c>
      <c r="I1606" s="97" t="s">
        <v>714</v>
      </c>
      <c r="J1606" s="73">
        <f t="shared" si="153"/>
        <v>1</v>
      </c>
      <c r="K1606" s="74" t="s">
        <v>204</v>
      </c>
      <c r="N1606" s="76" t="s">
        <v>18</v>
      </c>
      <c r="Q1606" s="76" t="s">
        <v>2109</v>
      </c>
      <c r="R1606" s="73">
        <f t="shared" si="154"/>
        <v>1</v>
      </c>
      <c r="S1606" s="260" t="s">
        <v>1976</v>
      </c>
      <c r="T1606" s="260" t="s">
        <v>924</v>
      </c>
      <c r="Y1606" s="566">
        <v>0.44236111111111115</v>
      </c>
      <c r="Z1606" s="566">
        <v>0.45277777777777778</v>
      </c>
      <c r="AA1606" s="566">
        <f t="shared" si="150"/>
        <v>1.041666666666663E-2</v>
      </c>
      <c r="AB1606" s="699"/>
    </row>
    <row r="1607" spans="1:28" x14ac:dyDescent="0.3">
      <c r="A1607" s="79" t="s">
        <v>4825</v>
      </c>
      <c r="C1607" s="115">
        <v>43887</v>
      </c>
      <c r="D1607" s="312">
        <v>43964</v>
      </c>
      <c r="E1607" s="81">
        <v>43927</v>
      </c>
      <c r="F1607" s="86" t="s">
        <v>4901</v>
      </c>
      <c r="G1607" s="86" t="s">
        <v>150</v>
      </c>
      <c r="H1607" s="96" t="s">
        <v>213</v>
      </c>
      <c r="I1607" s="97" t="s">
        <v>714</v>
      </c>
      <c r="J1607" s="73">
        <f t="shared" si="153"/>
        <v>1</v>
      </c>
      <c r="K1607" s="74" t="s">
        <v>204</v>
      </c>
      <c r="N1607" s="76" t="s">
        <v>17</v>
      </c>
      <c r="Q1607" s="76" t="s">
        <v>2142</v>
      </c>
      <c r="R1607" s="73">
        <f t="shared" si="154"/>
        <v>1</v>
      </c>
      <c r="S1607" s="260" t="s">
        <v>1976</v>
      </c>
      <c r="T1607" s="260" t="s">
        <v>925</v>
      </c>
      <c r="Y1607" s="566">
        <v>0.84375</v>
      </c>
      <c r="Z1607" s="566">
        <v>0.85</v>
      </c>
      <c r="AA1607" s="566">
        <f t="shared" si="150"/>
        <v>6.2499999999999778E-3</v>
      </c>
      <c r="AB1607" s="699"/>
    </row>
    <row r="1608" spans="1:28" x14ac:dyDescent="0.3">
      <c r="A1608" s="79" t="s">
        <v>4826</v>
      </c>
      <c r="C1608" s="115">
        <v>43887</v>
      </c>
      <c r="D1608" s="312">
        <v>43964</v>
      </c>
      <c r="E1608" s="81">
        <v>43928</v>
      </c>
      <c r="F1608" s="86" t="s">
        <v>4902</v>
      </c>
      <c r="G1608" s="86" t="s">
        <v>154</v>
      </c>
      <c r="H1608" s="96" t="s">
        <v>213</v>
      </c>
      <c r="I1608" s="97" t="s">
        <v>755</v>
      </c>
      <c r="J1608" s="73">
        <f t="shared" si="153"/>
        <v>1</v>
      </c>
      <c r="K1608" s="74" t="s">
        <v>204</v>
      </c>
      <c r="N1608" s="76" t="s">
        <v>18</v>
      </c>
      <c r="Q1608" s="76" t="s">
        <v>2037</v>
      </c>
      <c r="R1608" s="73">
        <f t="shared" si="154"/>
        <v>1</v>
      </c>
      <c r="S1608" s="260" t="s">
        <v>1976</v>
      </c>
      <c r="T1608" s="260" t="s">
        <v>924</v>
      </c>
      <c r="Y1608" s="566">
        <v>0.68888888888888899</v>
      </c>
      <c r="Z1608" s="566">
        <v>0.69930555555555562</v>
      </c>
      <c r="AA1608" s="566">
        <f t="shared" si="150"/>
        <v>1.041666666666663E-2</v>
      </c>
      <c r="AB1608" s="699"/>
    </row>
    <row r="1609" spans="1:28" x14ac:dyDescent="0.3">
      <c r="A1609" s="79" t="s">
        <v>5337</v>
      </c>
      <c r="C1609" s="115">
        <v>43887</v>
      </c>
      <c r="D1609" s="312">
        <v>43964</v>
      </c>
      <c r="E1609" s="81">
        <v>43929</v>
      </c>
      <c r="F1609" s="86" t="s">
        <v>5463</v>
      </c>
      <c r="G1609" s="86" t="s">
        <v>410</v>
      </c>
      <c r="H1609" s="96" t="s">
        <v>213</v>
      </c>
      <c r="I1609" s="97" t="s">
        <v>3187</v>
      </c>
      <c r="J1609" s="73">
        <f t="shared" si="153"/>
        <v>1</v>
      </c>
      <c r="K1609" s="74" t="s">
        <v>204</v>
      </c>
      <c r="L1609" s="97" t="s">
        <v>5827</v>
      </c>
      <c r="N1609" s="76" t="s">
        <v>19</v>
      </c>
      <c r="Q1609" s="76" t="s">
        <v>2417</v>
      </c>
      <c r="R1609" s="73">
        <f t="shared" si="154"/>
        <v>1</v>
      </c>
      <c r="S1609" s="260" t="s">
        <v>1976</v>
      </c>
      <c r="T1609" s="260" t="s">
        <v>923</v>
      </c>
      <c r="Y1609" s="566">
        <v>0.71250000000000002</v>
      </c>
      <c r="Z1609" s="566">
        <v>0.72013888888888899</v>
      </c>
      <c r="AA1609" s="566">
        <f t="shared" si="150"/>
        <v>7.6388888888889728E-3</v>
      </c>
      <c r="AB1609" s="699"/>
    </row>
    <row r="1610" spans="1:28" x14ac:dyDescent="0.3">
      <c r="A1610" s="79" t="s">
        <v>4829</v>
      </c>
      <c r="C1610" s="115">
        <v>43887</v>
      </c>
      <c r="D1610" s="312">
        <v>43964</v>
      </c>
      <c r="E1610" s="81">
        <v>43928</v>
      </c>
      <c r="F1610" s="86" t="s">
        <v>4905</v>
      </c>
      <c r="G1610" s="86" t="s">
        <v>150</v>
      </c>
      <c r="H1610" s="96" t="s">
        <v>213</v>
      </c>
      <c r="I1610" s="97" t="s">
        <v>714</v>
      </c>
      <c r="J1610" s="73">
        <f t="shared" si="153"/>
        <v>1</v>
      </c>
      <c r="K1610" s="74" t="s">
        <v>204</v>
      </c>
      <c r="L1610" s="97" t="s">
        <v>12724</v>
      </c>
      <c r="N1610" s="76" t="s">
        <v>18</v>
      </c>
      <c r="Q1610" s="76" t="s">
        <v>2109</v>
      </c>
      <c r="R1610" s="73">
        <f t="shared" si="154"/>
        <v>1</v>
      </c>
      <c r="S1610" s="260" t="s">
        <v>1976</v>
      </c>
      <c r="T1610" s="260" t="s">
        <v>924</v>
      </c>
      <c r="U1610" s="301" t="s">
        <v>5283</v>
      </c>
      <c r="V1610" s="301" t="s">
        <v>5823</v>
      </c>
      <c r="Y1610" s="566">
        <v>0.75555555555555554</v>
      </c>
      <c r="Z1610" s="566">
        <v>0.77083333333333337</v>
      </c>
      <c r="AA1610" s="566">
        <f t="shared" si="150"/>
        <v>1.5277777777777835E-2</v>
      </c>
      <c r="AB1610" s="699"/>
    </row>
    <row r="1611" spans="1:28" x14ac:dyDescent="0.3">
      <c r="A1611" s="79" t="s">
        <v>4830</v>
      </c>
      <c r="C1611" s="115">
        <v>43887</v>
      </c>
      <c r="D1611" s="312">
        <v>43964</v>
      </c>
      <c r="E1611" s="81">
        <v>43930</v>
      </c>
      <c r="F1611" s="86" t="s">
        <v>4906</v>
      </c>
      <c r="G1611" s="86" t="s">
        <v>147</v>
      </c>
      <c r="H1611" s="96" t="s">
        <v>213</v>
      </c>
      <c r="I1611" s="97" t="s">
        <v>642</v>
      </c>
      <c r="J1611" s="73">
        <f t="shared" si="153"/>
        <v>1</v>
      </c>
      <c r="K1611" s="74" t="s">
        <v>204</v>
      </c>
      <c r="N1611" s="76" t="s">
        <v>18</v>
      </c>
      <c r="Q1611" s="76" t="s">
        <v>2076</v>
      </c>
      <c r="R1611" s="73">
        <f t="shared" si="154"/>
        <v>1</v>
      </c>
      <c r="S1611" s="260" t="s">
        <v>1976</v>
      </c>
      <c r="T1611" s="260" t="s">
        <v>925</v>
      </c>
      <c r="Y1611" s="566">
        <v>0.47601851851851856</v>
      </c>
      <c r="Z1611" s="566">
        <v>0.48958333333333331</v>
      </c>
      <c r="AA1611" s="566">
        <f t="shared" si="150"/>
        <v>1.3564814814814752E-2</v>
      </c>
      <c r="AB1611" s="699"/>
    </row>
    <row r="1612" spans="1:28" x14ac:dyDescent="0.3">
      <c r="A1612" s="79" t="s">
        <v>4831</v>
      </c>
      <c r="C1612" s="115">
        <v>43887</v>
      </c>
      <c r="D1612" s="312">
        <v>43964</v>
      </c>
      <c r="E1612" s="81">
        <v>43927</v>
      </c>
      <c r="F1612" s="86" t="s">
        <v>4907</v>
      </c>
      <c r="G1612" s="86" t="s">
        <v>189</v>
      </c>
      <c r="H1612" s="96" t="s">
        <v>213</v>
      </c>
      <c r="I1612" s="97" t="s">
        <v>642</v>
      </c>
      <c r="J1612" s="73">
        <f t="shared" si="153"/>
        <v>1</v>
      </c>
      <c r="K1612" s="74" t="s">
        <v>204</v>
      </c>
      <c r="N1612" s="76" t="s">
        <v>18</v>
      </c>
      <c r="Q1612" s="76" t="s">
        <v>2109</v>
      </c>
      <c r="R1612" s="73">
        <f t="shared" si="154"/>
        <v>1</v>
      </c>
      <c r="S1612" s="260" t="s">
        <v>1976</v>
      </c>
      <c r="T1612" s="260" t="s">
        <v>925</v>
      </c>
      <c r="Y1612" s="566">
        <v>0.73055555555555562</v>
      </c>
      <c r="Z1612" s="566">
        <v>0.73958333333333337</v>
      </c>
      <c r="AA1612" s="566">
        <f t="shared" si="150"/>
        <v>9.0277777777777457E-3</v>
      </c>
      <c r="AB1612" s="699"/>
    </row>
    <row r="1613" spans="1:28" x14ac:dyDescent="0.3">
      <c r="A1613" s="79" t="s">
        <v>4832</v>
      </c>
      <c r="C1613" s="115">
        <v>43887</v>
      </c>
      <c r="D1613" s="312">
        <v>43964</v>
      </c>
      <c r="E1613" s="81">
        <v>43928</v>
      </c>
      <c r="F1613" s="86" t="s">
        <v>4908</v>
      </c>
      <c r="G1613" s="86" t="s">
        <v>154</v>
      </c>
      <c r="H1613" s="79" t="s">
        <v>268</v>
      </c>
      <c r="I1613" s="97" t="s">
        <v>722</v>
      </c>
      <c r="J1613" s="73">
        <f t="shared" si="153"/>
        <v>1</v>
      </c>
      <c r="K1613" s="74" t="s">
        <v>204</v>
      </c>
      <c r="L1613" s="97" t="s">
        <v>5815</v>
      </c>
      <c r="N1613" s="76" t="s">
        <v>17</v>
      </c>
      <c r="Q1613" s="76" t="s">
        <v>2037</v>
      </c>
      <c r="R1613" s="73">
        <f t="shared" si="154"/>
        <v>1</v>
      </c>
      <c r="S1613" s="260" t="s">
        <v>1976</v>
      </c>
      <c r="T1613" s="260" t="s">
        <v>923</v>
      </c>
      <c r="U1613" s="301" t="s">
        <v>5283</v>
      </c>
      <c r="V1613" s="301" t="s">
        <v>5814</v>
      </c>
      <c r="Y1613" s="566">
        <v>0.51597222222222217</v>
      </c>
      <c r="Z1613" s="566">
        <v>0.5444444444444444</v>
      </c>
      <c r="AA1613" s="566">
        <f t="shared" si="150"/>
        <v>2.8472222222222232E-2</v>
      </c>
      <c r="AB1613" s="699"/>
    </row>
    <row r="1614" spans="1:28" x14ac:dyDescent="0.3">
      <c r="A1614" s="79" t="s">
        <v>4999</v>
      </c>
      <c r="C1614" s="115">
        <v>43888</v>
      </c>
      <c r="D1614" s="312">
        <v>43965</v>
      </c>
      <c r="E1614" s="81">
        <v>43931</v>
      </c>
      <c r="F1614" s="86" t="s">
        <v>5110</v>
      </c>
      <c r="G1614" s="86" t="s">
        <v>156</v>
      </c>
      <c r="H1614" s="96" t="s">
        <v>213</v>
      </c>
      <c r="I1614" s="97" t="s">
        <v>714</v>
      </c>
      <c r="J1614" s="73">
        <f t="shared" si="153"/>
        <v>1</v>
      </c>
      <c r="K1614" s="74" t="s">
        <v>204</v>
      </c>
      <c r="N1614" s="76" t="s">
        <v>18</v>
      </c>
      <c r="Q1614" s="76" t="s">
        <v>2076</v>
      </c>
      <c r="R1614" s="73">
        <f t="shared" si="154"/>
        <v>1</v>
      </c>
      <c r="S1614" s="260" t="s">
        <v>1976</v>
      </c>
      <c r="T1614" s="260" t="s">
        <v>923</v>
      </c>
      <c r="Y1614" s="566">
        <v>0.50325231481481481</v>
      </c>
      <c r="Z1614" s="566">
        <v>0.51359953703703709</v>
      </c>
      <c r="AA1614" s="566">
        <f t="shared" si="150"/>
        <v>1.0347222222222285E-2</v>
      </c>
      <c r="AB1614" s="699"/>
    </row>
    <row r="1615" spans="1:28" x14ac:dyDescent="0.3">
      <c r="A1615" s="79" t="s">
        <v>5737</v>
      </c>
      <c r="C1615" s="115">
        <v>43888</v>
      </c>
      <c r="D1615" s="312">
        <v>43965</v>
      </c>
      <c r="E1615" s="81">
        <v>43929</v>
      </c>
      <c r="F1615" s="86" t="s">
        <v>5767</v>
      </c>
      <c r="G1615" s="86" t="s">
        <v>158</v>
      </c>
      <c r="H1615" s="96" t="s">
        <v>213</v>
      </c>
      <c r="I1615" s="97" t="s">
        <v>642</v>
      </c>
      <c r="J1615" s="73">
        <f t="shared" si="153"/>
        <v>1</v>
      </c>
      <c r="K1615" s="74" t="s">
        <v>204</v>
      </c>
      <c r="L1615" s="97" t="s">
        <v>8109</v>
      </c>
      <c r="N1615" s="76" t="s">
        <v>17</v>
      </c>
      <c r="Q1615" s="76" t="s">
        <v>2037</v>
      </c>
      <c r="R1615" s="73">
        <f t="shared" si="154"/>
        <v>1</v>
      </c>
      <c r="S1615" s="260" t="s">
        <v>1976</v>
      </c>
      <c r="T1615" s="260" t="s">
        <v>924</v>
      </c>
      <c r="Y1615" s="566">
        <v>0.53055555555555556</v>
      </c>
      <c r="Z1615" s="566">
        <v>0.54375000000000007</v>
      </c>
      <c r="AA1615" s="566">
        <f t="shared" si="150"/>
        <v>1.3194444444444509E-2</v>
      </c>
      <c r="AB1615" s="699"/>
    </row>
    <row r="1616" spans="1:28" x14ac:dyDescent="0.3">
      <c r="A1616" s="79" t="s">
        <v>5005</v>
      </c>
      <c r="C1616" s="115">
        <v>43888</v>
      </c>
      <c r="D1616" s="312">
        <v>43965</v>
      </c>
      <c r="E1616" s="81">
        <v>43931</v>
      </c>
      <c r="F1616" s="86" t="s">
        <v>5116</v>
      </c>
      <c r="G1616" s="86" t="s">
        <v>156</v>
      </c>
      <c r="H1616" s="96" t="s">
        <v>213</v>
      </c>
      <c r="I1616" s="97" t="s">
        <v>714</v>
      </c>
      <c r="J1616" s="73">
        <f t="shared" si="153"/>
        <v>1</v>
      </c>
      <c r="K1616" s="74" t="s">
        <v>204</v>
      </c>
      <c r="N1616" s="76" t="s">
        <v>18</v>
      </c>
      <c r="Q1616" s="76" t="s">
        <v>2417</v>
      </c>
      <c r="R1616" s="73">
        <f t="shared" si="154"/>
        <v>1</v>
      </c>
      <c r="S1616" s="260" t="s">
        <v>1976</v>
      </c>
      <c r="T1616" s="260" t="s">
        <v>924</v>
      </c>
      <c r="Y1616" s="566">
        <v>0.39288194444444446</v>
      </c>
      <c r="Z1616" s="566">
        <v>0.40423611111111107</v>
      </c>
      <c r="AA1616" s="566">
        <f t="shared" si="150"/>
        <v>1.135416666666661E-2</v>
      </c>
      <c r="AB1616" s="699"/>
    </row>
    <row r="1617" spans="1:28" x14ac:dyDescent="0.3">
      <c r="A1617" s="79" t="s">
        <v>4833</v>
      </c>
      <c r="C1617" s="115">
        <v>43888</v>
      </c>
      <c r="D1617" s="312">
        <v>43964</v>
      </c>
      <c r="E1617" s="81">
        <v>43927</v>
      </c>
      <c r="F1617" s="86" t="s">
        <v>4909</v>
      </c>
      <c r="G1617" s="86" t="s">
        <v>158</v>
      </c>
      <c r="H1617" s="96" t="s">
        <v>213</v>
      </c>
      <c r="I1617" s="97" t="s">
        <v>714</v>
      </c>
      <c r="J1617" s="73">
        <f t="shared" si="153"/>
        <v>1</v>
      </c>
      <c r="K1617" s="74" t="s">
        <v>204</v>
      </c>
      <c r="N1617" s="76" t="s">
        <v>17</v>
      </c>
      <c r="Q1617" s="76" t="s">
        <v>2142</v>
      </c>
      <c r="R1617" s="73">
        <f t="shared" si="154"/>
        <v>1</v>
      </c>
      <c r="S1617" s="260" t="s">
        <v>1976</v>
      </c>
      <c r="T1617" s="260" t="s">
        <v>924</v>
      </c>
      <c r="Y1617" s="566">
        <v>0.82638888888888884</v>
      </c>
      <c r="Z1617" s="566">
        <v>0.84236111111111101</v>
      </c>
      <c r="AA1617" s="566">
        <f t="shared" si="150"/>
        <v>1.5972222222222165E-2</v>
      </c>
      <c r="AB1617" s="699"/>
    </row>
    <row r="1618" spans="1:28" x14ac:dyDescent="0.3">
      <c r="A1618" s="79" t="s">
        <v>5007</v>
      </c>
      <c r="C1618" s="115">
        <v>43888</v>
      </c>
      <c r="D1618" s="312">
        <v>43965</v>
      </c>
      <c r="E1618" s="81">
        <v>43931</v>
      </c>
      <c r="F1618" s="86" t="s">
        <v>5118</v>
      </c>
      <c r="G1618" s="86" t="s">
        <v>150</v>
      </c>
      <c r="H1618" s="96" t="s">
        <v>213</v>
      </c>
      <c r="I1618" s="97" t="s">
        <v>722</v>
      </c>
      <c r="J1618" s="73">
        <f t="shared" si="153"/>
        <v>1</v>
      </c>
      <c r="K1618" s="74" t="s">
        <v>204</v>
      </c>
      <c r="N1618" s="76" t="s">
        <v>18</v>
      </c>
      <c r="Q1618" s="76" t="s">
        <v>2076</v>
      </c>
      <c r="R1618" s="73">
        <f t="shared" si="154"/>
        <v>1</v>
      </c>
      <c r="S1618" s="260" t="s">
        <v>1976</v>
      </c>
      <c r="T1618" s="260" t="s">
        <v>925</v>
      </c>
      <c r="Y1618" s="566">
        <v>0.46908564814814818</v>
      </c>
      <c r="Z1618" s="566">
        <v>0.48993055555555554</v>
      </c>
      <c r="AA1618" s="566">
        <f t="shared" si="150"/>
        <v>2.0844907407407354E-2</v>
      </c>
      <c r="AB1618" s="699"/>
    </row>
    <row r="1619" spans="1:28" x14ac:dyDescent="0.3">
      <c r="A1619" s="96" t="s">
        <v>5009</v>
      </c>
      <c r="C1619" s="115">
        <v>43888</v>
      </c>
      <c r="D1619" s="312">
        <v>43965</v>
      </c>
      <c r="E1619" s="81">
        <v>43929</v>
      </c>
      <c r="F1619" s="86" t="s">
        <v>5120</v>
      </c>
      <c r="G1619" s="86" t="s">
        <v>158</v>
      </c>
      <c r="H1619" s="96" t="s">
        <v>213</v>
      </c>
      <c r="I1619" s="97" t="s">
        <v>714</v>
      </c>
      <c r="J1619" s="73">
        <f t="shared" si="153"/>
        <v>1</v>
      </c>
      <c r="K1619" s="74" t="s">
        <v>204</v>
      </c>
      <c r="N1619" s="76" t="s">
        <v>17</v>
      </c>
      <c r="Q1619" s="76" t="s">
        <v>2142</v>
      </c>
      <c r="R1619" s="73">
        <f t="shared" si="154"/>
        <v>1</v>
      </c>
      <c r="S1619" s="260" t="s">
        <v>1976</v>
      </c>
      <c r="T1619" s="260" t="s">
        <v>923</v>
      </c>
      <c r="Y1619" s="566">
        <v>0.51944444444444449</v>
      </c>
      <c r="Z1619" s="566">
        <v>0.52986111111111112</v>
      </c>
      <c r="AA1619" s="566">
        <f t="shared" si="150"/>
        <v>1.041666666666663E-2</v>
      </c>
      <c r="AB1619" s="699"/>
    </row>
    <row r="1620" spans="1:28" x14ac:dyDescent="0.3">
      <c r="A1620" s="96" t="s">
        <v>5010</v>
      </c>
      <c r="C1620" s="115">
        <v>43888</v>
      </c>
      <c r="D1620" s="312">
        <v>43965</v>
      </c>
      <c r="E1620" s="81">
        <v>43929</v>
      </c>
      <c r="F1620" s="86" t="s">
        <v>5121</v>
      </c>
      <c r="G1620" s="86" t="s">
        <v>2652</v>
      </c>
      <c r="H1620" s="96" t="s">
        <v>213</v>
      </c>
      <c r="I1620" s="97" t="s">
        <v>722</v>
      </c>
      <c r="J1620" s="73">
        <f t="shared" si="153"/>
        <v>1</v>
      </c>
      <c r="K1620" s="74" t="s">
        <v>204</v>
      </c>
      <c r="N1620" s="76" t="s">
        <v>17</v>
      </c>
      <c r="Q1620" s="76" t="s">
        <v>2142</v>
      </c>
      <c r="R1620" s="73">
        <f t="shared" si="154"/>
        <v>1</v>
      </c>
      <c r="S1620" s="260" t="s">
        <v>1976</v>
      </c>
      <c r="T1620" s="260" t="s">
        <v>924</v>
      </c>
      <c r="Y1620" s="566">
        <v>0.49722222222222223</v>
      </c>
      <c r="Z1620" s="566">
        <v>0.51111111111111118</v>
      </c>
      <c r="AA1620" s="566">
        <f t="shared" si="150"/>
        <v>1.3888888888888951E-2</v>
      </c>
      <c r="AB1620" s="699"/>
    </row>
    <row r="1621" spans="1:28" x14ac:dyDescent="0.3">
      <c r="A1621" s="96" t="s">
        <v>5011</v>
      </c>
      <c r="C1621" s="115">
        <v>43888</v>
      </c>
      <c r="D1621" s="312">
        <v>43965</v>
      </c>
      <c r="E1621" s="81">
        <v>43930</v>
      </c>
      <c r="F1621" s="86" t="s">
        <v>5122</v>
      </c>
      <c r="G1621" s="86" t="s">
        <v>189</v>
      </c>
      <c r="H1621" s="96" t="s">
        <v>213</v>
      </c>
      <c r="I1621" s="97" t="s">
        <v>642</v>
      </c>
      <c r="J1621" s="73">
        <f t="shared" si="153"/>
        <v>1</v>
      </c>
      <c r="K1621" s="74" t="s">
        <v>204</v>
      </c>
      <c r="N1621" s="76" t="s">
        <v>18</v>
      </c>
      <c r="Q1621" s="76" t="s">
        <v>2109</v>
      </c>
      <c r="R1621" s="73">
        <f t="shared" si="154"/>
        <v>1</v>
      </c>
      <c r="S1621" s="260" t="s">
        <v>1976</v>
      </c>
      <c r="T1621" s="260" t="s">
        <v>923</v>
      </c>
      <c r="Y1621" s="566">
        <v>0.46253472222222225</v>
      </c>
      <c r="Z1621" s="566">
        <v>0.46922453703703698</v>
      </c>
      <c r="AA1621" s="566">
        <f t="shared" si="150"/>
        <v>6.6898148148147318E-3</v>
      </c>
      <c r="AB1621" s="699"/>
    </row>
    <row r="1622" spans="1:28" x14ac:dyDescent="0.3">
      <c r="A1622" s="96" t="s">
        <v>5015</v>
      </c>
      <c r="C1622" s="115">
        <v>43888</v>
      </c>
      <c r="D1622" s="312">
        <v>43965</v>
      </c>
      <c r="E1622" s="81">
        <v>43929</v>
      </c>
      <c r="F1622" s="86" t="s">
        <v>5126</v>
      </c>
      <c r="G1622" s="86" t="s">
        <v>158</v>
      </c>
      <c r="H1622" s="96" t="s">
        <v>213</v>
      </c>
      <c r="I1622" s="97" t="s">
        <v>642</v>
      </c>
      <c r="J1622" s="73">
        <f t="shared" si="153"/>
        <v>1</v>
      </c>
      <c r="K1622" s="74" t="s">
        <v>204</v>
      </c>
      <c r="N1622" s="76" t="s">
        <v>18</v>
      </c>
      <c r="Q1622" s="76" t="s">
        <v>2037</v>
      </c>
      <c r="R1622" s="73">
        <f t="shared" si="154"/>
        <v>1</v>
      </c>
      <c r="S1622" s="260" t="s">
        <v>1976</v>
      </c>
      <c r="T1622" s="260" t="s">
        <v>924</v>
      </c>
      <c r="Y1622" s="566">
        <v>0.55486111111111114</v>
      </c>
      <c r="Z1622" s="566">
        <v>0.55902777777777779</v>
      </c>
      <c r="AA1622" s="566">
        <f t="shared" si="150"/>
        <v>4.1666666666666519E-3</v>
      </c>
      <c r="AB1622" s="699"/>
    </row>
    <row r="1623" spans="1:28" x14ac:dyDescent="0.3">
      <c r="A1623" s="79" t="s">
        <v>5738</v>
      </c>
      <c r="C1623" s="115">
        <v>43889</v>
      </c>
      <c r="D1623" s="312">
        <v>43966</v>
      </c>
      <c r="E1623" s="81">
        <v>43932</v>
      </c>
      <c r="F1623" s="86" t="s">
        <v>5768</v>
      </c>
      <c r="G1623" s="86" t="s">
        <v>156</v>
      </c>
      <c r="H1623" s="96" t="s">
        <v>213</v>
      </c>
      <c r="I1623" s="97" t="s">
        <v>1299</v>
      </c>
      <c r="J1623" s="73">
        <f t="shared" si="153"/>
        <v>1</v>
      </c>
      <c r="K1623" s="74" t="s">
        <v>204</v>
      </c>
      <c r="L1623" s="97" t="s">
        <v>5978</v>
      </c>
      <c r="N1623" s="76" t="s">
        <v>18</v>
      </c>
      <c r="Q1623" s="76" t="s">
        <v>2076</v>
      </c>
      <c r="R1623" s="73">
        <f t="shared" si="154"/>
        <v>1</v>
      </c>
      <c r="S1623" s="260" t="s">
        <v>1976</v>
      </c>
      <c r="T1623" s="260" t="s">
        <v>925</v>
      </c>
      <c r="Y1623" s="566">
        <v>0.70108796296296294</v>
      </c>
      <c r="Z1623" s="566">
        <v>0.71158564814814806</v>
      </c>
      <c r="AA1623" s="566">
        <f t="shared" si="150"/>
        <v>1.0497685185185124E-2</v>
      </c>
      <c r="AB1623" s="699"/>
    </row>
    <row r="1624" spans="1:28" x14ac:dyDescent="0.3">
      <c r="A1624" s="79" t="s">
        <v>5018</v>
      </c>
      <c r="C1624" s="115">
        <v>43889</v>
      </c>
      <c r="D1624" s="312">
        <v>43966</v>
      </c>
      <c r="E1624" s="81">
        <v>43932</v>
      </c>
      <c r="F1624" s="86" t="s">
        <v>5129</v>
      </c>
      <c r="G1624" s="86" t="s">
        <v>175</v>
      </c>
      <c r="H1624" s="96" t="s">
        <v>213</v>
      </c>
      <c r="I1624" s="97" t="s">
        <v>714</v>
      </c>
      <c r="J1624" s="73">
        <f t="shared" ref="J1624:J1655" si="155">IF(OR(K1624="Документы готовы",K1624="Запрос в ФО",K1624="ЭЗ",K1624="РЕШ",K1624="РЕШ шаблон"),0.1,IF(OR(K1624="ЭЗ согласование",K1624="РЕШ согласование"),0.3,IF(OR(K1624="ЭЗ согласовано",K1624="РЕШ согласовано",K1624="РЕШ подписано"),0.6,IF(OR(K1624="ЭЗ ПР согласование",K1624="РЕШ УВ согласование"),0.9,IF(OR(K1624="ЭЗ ПР DONE",K1624="РЕШ УВ DONE"),1,0)))))</f>
        <v>1</v>
      </c>
      <c r="K1624" s="74" t="s">
        <v>204</v>
      </c>
      <c r="N1624" s="76" t="s">
        <v>18</v>
      </c>
      <c r="Q1624" s="76" t="s">
        <v>2076</v>
      </c>
      <c r="R1624" s="73">
        <f t="shared" ref="R1624:R1655" si="156">IF(S1624="В работе",0.3,IF(S1624="Отписано",0.6,IF(S1624="На доработку",0.9,IF(S1624="Согласовано",1,0))))</f>
        <v>1</v>
      </c>
      <c r="S1624" s="260" t="s">
        <v>1976</v>
      </c>
      <c r="T1624" s="260" t="s">
        <v>925</v>
      </c>
      <c r="Y1624" s="566">
        <v>0.67371527777777773</v>
      </c>
      <c r="Z1624" s="566">
        <v>0.68515046296296289</v>
      </c>
      <c r="AA1624" s="566">
        <f t="shared" si="150"/>
        <v>1.1435185185185159E-2</v>
      </c>
      <c r="AB1624" s="699"/>
    </row>
    <row r="1625" spans="1:28" x14ac:dyDescent="0.3">
      <c r="A1625" s="79" t="s">
        <v>5019</v>
      </c>
      <c r="C1625" s="115">
        <v>43889</v>
      </c>
      <c r="D1625" s="312">
        <v>43966</v>
      </c>
      <c r="E1625" s="81">
        <v>43930</v>
      </c>
      <c r="F1625" s="86" t="s">
        <v>5130</v>
      </c>
      <c r="G1625" s="86" t="s">
        <v>156</v>
      </c>
      <c r="H1625" s="96" t="s">
        <v>213</v>
      </c>
      <c r="I1625" s="97" t="s">
        <v>714</v>
      </c>
      <c r="J1625" s="73">
        <f t="shared" si="155"/>
        <v>1</v>
      </c>
      <c r="K1625" s="74" t="s">
        <v>204</v>
      </c>
      <c r="N1625" s="76" t="s">
        <v>18</v>
      </c>
      <c r="Q1625" s="76" t="s">
        <v>2109</v>
      </c>
      <c r="R1625" s="73">
        <f t="shared" si="156"/>
        <v>1</v>
      </c>
      <c r="S1625" s="260" t="s">
        <v>1976</v>
      </c>
      <c r="T1625" s="260" t="s">
        <v>923</v>
      </c>
      <c r="Y1625" s="566">
        <v>0.62520833333333337</v>
      </c>
      <c r="Z1625" s="566">
        <v>0.63226851851851851</v>
      </c>
      <c r="AA1625" s="566">
        <f t="shared" si="150"/>
        <v>7.0601851851851416E-3</v>
      </c>
      <c r="AB1625" s="699"/>
    </row>
    <row r="1626" spans="1:28" x14ac:dyDescent="0.3">
      <c r="A1626" s="79" t="s">
        <v>5021</v>
      </c>
      <c r="C1626" s="115">
        <v>43889</v>
      </c>
      <c r="D1626" s="312">
        <v>43971</v>
      </c>
      <c r="E1626" s="81">
        <v>43957</v>
      </c>
      <c r="F1626" s="86" t="s">
        <v>5132</v>
      </c>
      <c r="G1626" s="86" t="s">
        <v>173</v>
      </c>
      <c r="H1626" s="96" t="s">
        <v>213</v>
      </c>
      <c r="I1626" s="97" t="s">
        <v>995</v>
      </c>
      <c r="J1626" s="73">
        <f t="shared" si="155"/>
        <v>1</v>
      </c>
      <c r="K1626" s="260" t="s">
        <v>204</v>
      </c>
      <c r="L1626" s="97" t="s">
        <v>6400</v>
      </c>
      <c r="N1626" s="76" t="s">
        <v>19</v>
      </c>
      <c r="Q1626" s="76" t="s">
        <v>2142</v>
      </c>
      <c r="R1626" s="73">
        <f t="shared" si="156"/>
        <v>1</v>
      </c>
      <c r="S1626" s="260" t="s">
        <v>1976</v>
      </c>
      <c r="T1626" s="260" t="s">
        <v>923</v>
      </c>
      <c r="Y1626" s="566">
        <v>0.38790509259259259</v>
      </c>
      <c r="Z1626" s="566">
        <v>0.39619212962962963</v>
      </c>
      <c r="AA1626" s="566">
        <f t="shared" ref="AA1626:AA1655" si="157">Z1626-Y1626</f>
        <v>8.2870370370370372E-3</v>
      </c>
      <c r="AB1626" s="699"/>
    </row>
    <row r="1627" spans="1:28" x14ac:dyDescent="0.3">
      <c r="A1627" s="79" t="s">
        <v>5739</v>
      </c>
      <c r="C1627" s="115">
        <v>43889</v>
      </c>
      <c r="D1627" s="312">
        <v>43966</v>
      </c>
      <c r="E1627" s="81">
        <v>43931</v>
      </c>
      <c r="F1627" s="86" t="s">
        <v>5769</v>
      </c>
      <c r="G1627" s="86" t="s">
        <v>154</v>
      </c>
      <c r="H1627" s="96" t="s">
        <v>213</v>
      </c>
      <c r="I1627" s="97" t="s">
        <v>714</v>
      </c>
      <c r="J1627" s="73">
        <f t="shared" si="155"/>
        <v>1</v>
      </c>
      <c r="K1627" s="74" t="s">
        <v>204</v>
      </c>
      <c r="N1627" s="76" t="s">
        <v>17</v>
      </c>
      <c r="Q1627" s="76" t="s">
        <v>2417</v>
      </c>
      <c r="R1627" s="73">
        <f t="shared" si="156"/>
        <v>1</v>
      </c>
      <c r="S1627" s="260" t="s">
        <v>1976</v>
      </c>
      <c r="T1627" s="260" t="s">
        <v>924</v>
      </c>
      <c r="Y1627" s="566">
        <v>0.45934027777777775</v>
      </c>
      <c r="Z1627" s="566">
        <v>0.4685185185185185</v>
      </c>
      <c r="AA1627" s="566">
        <f t="shared" si="157"/>
        <v>9.1782407407407507E-3</v>
      </c>
      <c r="AB1627" s="699"/>
    </row>
    <row r="1628" spans="1:28" x14ac:dyDescent="0.3">
      <c r="A1628" s="79" t="s">
        <v>5740</v>
      </c>
      <c r="C1628" s="115">
        <v>43889</v>
      </c>
      <c r="D1628" s="312">
        <v>43966</v>
      </c>
      <c r="E1628" s="81">
        <v>43931</v>
      </c>
      <c r="F1628" s="86" t="s">
        <v>5770</v>
      </c>
      <c r="G1628" s="86" t="s">
        <v>147</v>
      </c>
      <c r="H1628" s="96" t="s">
        <v>213</v>
      </c>
      <c r="I1628" s="97" t="s">
        <v>714</v>
      </c>
      <c r="J1628" s="73">
        <f t="shared" si="155"/>
        <v>1</v>
      </c>
      <c r="K1628" s="74" t="s">
        <v>204</v>
      </c>
      <c r="N1628" s="76" t="s">
        <v>18</v>
      </c>
      <c r="Q1628" s="76" t="s">
        <v>2417</v>
      </c>
      <c r="R1628" s="73">
        <f t="shared" si="156"/>
        <v>1</v>
      </c>
      <c r="S1628" s="260" t="s">
        <v>1976</v>
      </c>
      <c r="T1628" s="260" t="s">
        <v>925</v>
      </c>
      <c r="Y1628" s="566">
        <v>0.65517361111111116</v>
      </c>
      <c r="Z1628" s="566">
        <v>0.66396990740740736</v>
      </c>
      <c r="AA1628" s="566">
        <f t="shared" si="157"/>
        <v>8.796296296296191E-3</v>
      </c>
      <c r="AB1628" s="699"/>
    </row>
    <row r="1629" spans="1:28" x14ac:dyDescent="0.3">
      <c r="A1629" s="79" t="s">
        <v>5741</v>
      </c>
      <c r="C1629" s="115">
        <v>43889</v>
      </c>
      <c r="D1629" s="312">
        <v>43965</v>
      </c>
      <c r="E1629" s="81">
        <v>43930</v>
      </c>
      <c r="F1629" s="86" t="s">
        <v>5771</v>
      </c>
      <c r="G1629" s="86" t="s">
        <v>150</v>
      </c>
      <c r="H1629" s="96" t="s">
        <v>213</v>
      </c>
      <c r="I1629" s="97" t="s">
        <v>722</v>
      </c>
      <c r="J1629" s="73">
        <f t="shared" si="155"/>
        <v>1</v>
      </c>
      <c r="K1629" s="74" t="s">
        <v>204</v>
      </c>
      <c r="N1629" s="76" t="s">
        <v>18</v>
      </c>
      <c r="Q1629" s="76" t="s">
        <v>2417</v>
      </c>
      <c r="R1629" s="73">
        <f t="shared" si="156"/>
        <v>1</v>
      </c>
      <c r="S1629" s="260" t="s">
        <v>1976</v>
      </c>
      <c r="T1629" s="260" t="s">
        <v>925</v>
      </c>
      <c r="Y1629" s="566">
        <v>0.71130787037037047</v>
      </c>
      <c r="Z1629" s="566">
        <v>0.72116898148148145</v>
      </c>
      <c r="AA1629" s="566">
        <f t="shared" si="157"/>
        <v>9.8611111111109873E-3</v>
      </c>
      <c r="AB1629" s="699"/>
    </row>
    <row r="1630" spans="1:28" x14ac:dyDescent="0.3">
      <c r="A1630" s="96" t="s">
        <v>5025</v>
      </c>
      <c r="C1630" s="115">
        <v>43889</v>
      </c>
      <c r="D1630" s="312">
        <v>43966</v>
      </c>
      <c r="E1630" s="81">
        <v>43929</v>
      </c>
      <c r="F1630" s="86" t="s">
        <v>5136</v>
      </c>
      <c r="G1630" s="86" t="s">
        <v>164</v>
      </c>
      <c r="H1630" s="96" t="s">
        <v>213</v>
      </c>
      <c r="I1630" s="97" t="s">
        <v>714</v>
      </c>
      <c r="J1630" s="73">
        <f t="shared" si="155"/>
        <v>1</v>
      </c>
      <c r="K1630" s="74" t="s">
        <v>204</v>
      </c>
      <c r="N1630" s="76" t="s">
        <v>17</v>
      </c>
      <c r="Q1630" s="76" t="s">
        <v>2037</v>
      </c>
      <c r="R1630" s="73">
        <f t="shared" si="156"/>
        <v>1</v>
      </c>
      <c r="S1630" s="260" t="s">
        <v>1976</v>
      </c>
      <c r="T1630" s="260" t="s">
        <v>924</v>
      </c>
      <c r="Y1630" s="566">
        <v>0.63194444444444442</v>
      </c>
      <c r="Z1630" s="566">
        <v>0.63888888888888895</v>
      </c>
      <c r="AA1630" s="566">
        <f t="shared" si="157"/>
        <v>6.9444444444445308E-3</v>
      </c>
      <c r="AB1630" s="699"/>
    </row>
    <row r="1631" spans="1:28" x14ac:dyDescent="0.3">
      <c r="A1631" s="96" t="s">
        <v>5026</v>
      </c>
      <c r="C1631" s="115">
        <v>43889</v>
      </c>
      <c r="D1631" s="312">
        <v>43966</v>
      </c>
      <c r="E1631" s="81">
        <v>43929</v>
      </c>
      <c r="F1631" s="86" t="s">
        <v>5137</v>
      </c>
      <c r="G1631" s="86" t="s">
        <v>150</v>
      </c>
      <c r="H1631" s="96" t="s">
        <v>213</v>
      </c>
      <c r="I1631" s="97" t="s">
        <v>642</v>
      </c>
      <c r="J1631" s="73">
        <f t="shared" si="155"/>
        <v>1</v>
      </c>
      <c r="K1631" s="74" t="s">
        <v>204</v>
      </c>
      <c r="N1631" s="76" t="s">
        <v>18</v>
      </c>
      <c r="Q1631" s="76" t="s">
        <v>2142</v>
      </c>
      <c r="R1631" s="73">
        <f t="shared" si="156"/>
        <v>1</v>
      </c>
      <c r="S1631" s="260" t="s">
        <v>1976</v>
      </c>
      <c r="T1631" s="260" t="s">
        <v>923</v>
      </c>
      <c r="Y1631" s="566">
        <v>0.64027777777777783</v>
      </c>
      <c r="Z1631" s="566">
        <v>0.6479166666666667</v>
      </c>
      <c r="AA1631" s="566">
        <f t="shared" si="157"/>
        <v>7.6388888888888618E-3</v>
      </c>
      <c r="AB1631" s="699"/>
    </row>
    <row r="1632" spans="1:28" x14ac:dyDescent="0.3">
      <c r="A1632" s="96" t="s">
        <v>5045</v>
      </c>
      <c r="C1632" s="115">
        <v>43892</v>
      </c>
      <c r="D1632" s="312">
        <v>43966</v>
      </c>
      <c r="E1632" s="81">
        <v>43930</v>
      </c>
      <c r="F1632" s="86" t="s">
        <v>5155</v>
      </c>
      <c r="G1632" s="86" t="s">
        <v>175</v>
      </c>
      <c r="H1632" s="96" t="s">
        <v>213</v>
      </c>
      <c r="I1632" s="97" t="s">
        <v>641</v>
      </c>
      <c r="J1632" s="73">
        <f t="shared" si="155"/>
        <v>1</v>
      </c>
      <c r="K1632" s="74" t="s">
        <v>204</v>
      </c>
      <c r="N1632" s="76" t="s">
        <v>17</v>
      </c>
      <c r="Q1632" s="76" t="s">
        <v>2109</v>
      </c>
      <c r="R1632" s="73">
        <f t="shared" si="156"/>
        <v>1</v>
      </c>
      <c r="S1632" s="260" t="s">
        <v>1976</v>
      </c>
      <c r="T1632" s="260" t="s">
        <v>924</v>
      </c>
      <c r="Y1632" s="566">
        <v>0.72150462962962969</v>
      </c>
      <c r="Z1632" s="566">
        <v>0.73158564814814808</v>
      </c>
      <c r="AA1632" s="566">
        <f t="shared" si="157"/>
        <v>1.0081018518518392E-2</v>
      </c>
      <c r="AB1632" s="699"/>
    </row>
    <row r="1633" spans="1:28" x14ac:dyDescent="0.3">
      <c r="A1633" s="96" t="s">
        <v>5396</v>
      </c>
      <c r="C1633" s="115">
        <v>43901</v>
      </c>
      <c r="D1633" s="312">
        <v>43963</v>
      </c>
      <c r="E1633" s="81">
        <v>43928</v>
      </c>
      <c r="F1633" s="86" t="s">
        <v>5521</v>
      </c>
      <c r="G1633" s="86" t="s">
        <v>152</v>
      </c>
      <c r="H1633" s="96" t="s">
        <v>213</v>
      </c>
      <c r="I1633" s="97" t="s">
        <v>649</v>
      </c>
      <c r="J1633" s="73">
        <f t="shared" si="155"/>
        <v>1</v>
      </c>
      <c r="K1633" s="74" t="s">
        <v>204</v>
      </c>
      <c r="L1633" s="97" t="s">
        <v>5811</v>
      </c>
      <c r="N1633" s="76" t="s">
        <v>17</v>
      </c>
      <c r="Q1633" s="76" t="s">
        <v>2142</v>
      </c>
      <c r="R1633" s="73">
        <f t="shared" si="156"/>
        <v>1</v>
      </c>
      <c r="S1633" s="260" t="s">
        <v>1976</v>
      </c>
      <c r="T1633" s="260" t="s">
        <v>924</v>
      </c>
      <c r="Y1633" s="566">
        <v>0.41388888888888892</v>
      </c>
      <c r="Z1633" s="566">
        <v>0.42222222222222222</v>
      </c>
      <c r="AA1633" s="566">
        <f t="shared" si="157"/>
        <v>8.3333333333333037E-3</v>
      </c>
      <c r="AB1633" s="699"/>
    </row>
    <row r="1634" spans="1:28" x14ac:dyDescent="0.3">
      <c r="A1634" s="96" t="s">
        <v>5397</v>
      </c>
      <c r="C1634" s="115">
        <v>43901</v>
      </c>
      <c r="D1634" s="312">
        <v>43963</v>
      </c>
      <c r="E1634" s="81">
        <v>43931</v>
      </c>
      <c r="F1634" s="86" t="s">
        <v>5522</v>
      </c>
      <c r="G1634" s="86" t="s">
        <v>150</v>
      </c>
      <c r="H1634" s="96" t="s">
        <v>213</v>
      </c>
      <c r="I1634" s="97" t="s">
        <v>684</v>
      </c>
      <c r="J1634" s="73">
        <f t="shared" si="155"/>
        <v>1</v>
      </c>
      <c r="K1634" s="74" t="s">
        <v>204</v>
      </c>
      <c r="N1634" s="76" t="s">
        <v>17</v>
      </c>
      <c r="Q1634" s="76" t="s">
        <v>2109</v>
      </c>
      <c r="R1634" s="73">
        <f t="shared" si="156"/>
        <v>1</v>
      </c>
      <c r="S1634" s="260" t="s">
        <v>1976</v>
      </c>
      <c r="T1634" s="260" t="s">
        <v>924</v>
      </c>
      <c r="Y1634" s="566">
        <v>0.63094907407407408</v>
      </c>
      <c r="Z1634" s="566">
        <v>0.64440972222222215</v>
      </c>
      <c r="AA1634" s="566">
        <f t="shared" si="157"/>
        <v>1.3460648148148069E-2</v>
      </c>
      <c r="AB1634" s="699"/>
    </row>
    <row r="1635" spans="1:28" x14ac:dyDescent="0.3">
      <c r="A1635" s="79" t="s">
        <v>5398</v>
      </c>
      <c r="C1635" s="115">
        <v>43901</v>
      </c>
      <c r="D1635" s="312">
        <v>43980</v>
      </c>
      <c r="E1635" s="81">
        <v>43959</v>
      </c>
      <c r="F1635" s="86" t="s">
        <v>5523</v>
      </c>
      <c r="G1635" s="86" t="s">
        <v>154</v>
      </c>
      <c r="H1635" s="79" t="s">
        <v>268</v>
      </c>
      <c r="I1635" s="97" t="s">
        <v>6729</v>
      </c>
      <c r="J1635" s="73">
        <f t="shared" si="155"/>
        <v>1</v>
      </c>
      <c r="K1635" s="260" t="s">
        <v>204</v>
      </c>
      <c r="L1635" s="97" t="s">
        <v>6728</v>
      </c>
      <c r="N1635" s="76" t="s">
        <v>17</v>
      </c>
      <c r="Q1635" s="76" t="s">
        <v>2142</v>
      </c>
      <c r="R1635" s="73">
        <f t="shared" si="156"/>
        <v>1</v>
      </c>
      <c r="S1635" s="260" t="s">
        <v>1976</v>
      </c>
      <c r="T1635" s="260" t="s">
        <v>924</v>
      </c>
      <c r="U1635" s="301"/>
      <c r="V1635" s="301"/>
      <c r="Y1635" s="566">
        <v>0.72510416666666666</v>
      </c>
      <c r="Z1635" s="566">
        <v>0.7805671296296296</v>
      </c>
      <c r="AA1635" s="566">
        <f t="shared" si="157"/>
        <v>5.5462962962962936E-2</v>
      </c>
      <c r="AB1635" s="699"/>
    </row>
    <row r="1636" spans="1:28" x14ac:dyDescent="0.3">
      <c r="A1636" s="96" t="s">
        <v>5408</v>
      </c>
      <c r="C1636" s="115">
        <v>43901</v>
      </c>
      <c r="D1636" s="312">
        <v>43963</v>
      </c>
      <c r="E1636" s="81">
        <v>43927</v>
      </c>
      <c r="F1636" s="86" t="s">
        <v>5533</v>
      </c>
      <c r="G1636" s="86" t="s">
        <v>152</v>
      </c>
      <c r="H1636" s="96" t="s">
        <v>213</v>
      </c>
      <c r="I1636" s="97" t="s">
        <v>2478</v>
      </c>
      <c r="J1636" s="73">
        <f t="shared" si="155"/>
        <v>1</v>
      </c>
      <c r="K1636" s="74" t="s">
        <v>204</v>
      </c>
      <c r="L1636" s="97"/>
      <c r="N1636" s="76" t="s">
        <v>18</v>
      </c>
      <c r="Q1636" s="76" t="s">
        <v>2142</v>
      </c>
      <c r="R1636" s="73">
        <f t="shared" si="156"/>
        <v>1</v>
      </c>
      <c r="S1636" s="260" t="s">
        <v>1976</v>
      </c>
      <c r="T1636" s="260" t="s">
        <v>923</v>
      </c>
      <c r="Y1636" s="566">
        <v>0.53541666666666665</v>
      </c>
      <c r="Z1636" s="566">
        <v>0.55069444444444449</v>
      </c>
      <c r="AA1636" s="566">
        <f t="shared" si="157"/>
        <v>1.5277777777777835E-2</v>
      </c>
      <c r="AB1636" s="699"/>
    </row>
    <row r="1637" spans="1:28" x14ac:dyDescent="0.3">
      <c r="A1637" s="79" t="s">
        <v>5409</v>
      </c>
      <c r="C1637" s="115">
        <v>43901</v>
      </c>
      <c r="D1637" s="312">
        <v>43963</v>
      </c>
      <c r="E1637" s="81">
        <v>43928</v>
      </c>
      <c r="F1637" s="86" t="s">
        <v>5534</v>
      </c>
      <c r="G1637" s="86" t="s">
        <v>152</v>
      </c>
      <c r="H1637" s="96" t="s">
        <v>213</v>
      </c>
      <c r="I1637" s="97" t="s">
        <v>684</v>
      </c>
      <c r="J1637" s="73">
        <f t="shared" si="155"/>
        <v>1</v>
      </c>
      <c r="K1637" s="74" t="s">
        <v>204</v>
      </c>
      <c r="N1637" s="76" t="s">
        <v>18</v>
      </c>
      <c r="Q1637" s="76" t="s">
        <v>2076</v>
      </c>
      <c r="R1637" s="73">
        <f t="shared" si="156"/>
        <v>1</v>
      </c>
      <c r="S1637" s="260" t="s">
        <v>1976</v>
      </c>
      <c r="T1637" s="260" t="s">
        <v>924</v>
      </c>
      <c r="Y1637" s="566">
        <v>0.73541666666666661</v>
      </c>
      <c r="Z1637" s="566">
        <v>0.74444444444444446</v>
      </c>
      <c r="AA1637" s="566">
        <f t="shared" si="157"/>
        <v>9.0277777777778567E-3</v>
      </c>
      <c r="AB1637" s="699"/>
    </row>
    <row r="1638" spans="1:28" x14ac:dyDescent="0.3">
      <c r="A1638" s="79" t="s">
        <v>5410</v>
      </c>
      <c r="C1638" s="115">
        <v>43901</v>
      </c>
      <c r="D1638" s="312">
        <v>43963</v>
      </c>
      <c r="E1638" s="81">
        <v>43930</v>
      </c>
      <c r="F1638" s="86" t="s">
        <v>5535</v>
      </c>
      <c r="G1638" s="86" t="s">
        <v>152</v>
      </c>
      <c r="H1638" s="96" t="s">
        <v>213</v>
      </c>
      <c r="I1638" s="97" t="s">
        <v>649</v>
      </c>
      <c r="J1638" s="73">
        <f t="shared" si="155"/>
        <v>1</v>
      </c>
      <c r="K1638" s="74" t="s">
        <v>204</v>
      </c>
      <c r="N1638" s="76" t="s">
        <v>18</v>
      </c>
      <c r="Q1638" s="76" t="s">
        <v>2076</v>
      </c>
      <c r="R1638" s="73">
        <f t="shared" si="156"/>
        <v>1</v>
      </c>
      <c r="S1638" s="260" t="s">
        <v>1976</v>
      </c>
      <c r="T1638" s="260" t="s">
        <v>923</v>
      </c>
      <c r="Y1638" s="566">
        <v>0.59399305555555559</v>
      </c>
      <c r="Z1638" s="566">
        <v>0.60031250000000003</v>
      </c>
      <c r="AA1638" s="566">
        <f t="shared" si="157"/>
        <v>6.3194444444444331E-3</v>
      </c>
      <c r="AB1638" s="699"/>
    </row>
    <row r="1639" spans="1:28" x14ac:dyDescent="0.3">
      <c r="A1639" s="79" t="s">
        <v>5415</v>
      </c>
      <c r="C1639" s="115">
        <v>43902</v>
      </c>
      <c r="D1639" s="312">
        <v>43963</v>
      </c>
      <c r="E1639" s="81">
        <v>43927</v>
      </c>
      <c r="F1639" s="86" t="s">
        <v>5540</v>
      </c>
      <c r="G1639" s="86" t="s">
        <v>410</v>
      </c>
      <c r="H1639" s="96" t="s">
        <v>213</v>
      </c>
      <c r="I1639" s="97" t="s">
        <v>1113</v>
      </c>
      <c r="J1639" s="73">
        <f t="shared" si="155"/>
        <v>1</v>
      </c>
      <c r="K1639" s="74" t="s">
        <v>204</v>
      </c>
      <c r="N1639" s="76" t="s">
        <v>18</v>
      </c>
      <c r="Q1639" s="76" t="s">
        <v>2417</v>
      </c>
      <c r="R1639" s="73">
        <f t="shared" si="156"/>
        <v>1</v>
      </c>
      <c r="S1639" s="260" t="s">
        <v>1976</v>
      </c>
      <c r="T1639" s="260" t="s">
        <v>925</v>
      </c>
      <c r="Y1639" s="570">
        <v>0.63888888888888895</v>
      </c>
      <c r="Z1639" s="566">
        <v>0.6479166666666667</v>
      </c>
      <c r="AA1639" s="566">
        <f t="shared" si="157"/>
        <v>9.0277777777777457E-3</v>
      </c>
      <c r="AB1639" s="699"/>
    </row>
    <row r="1640" spans="1:28" x14ac:dyDescent="0.3">
      <c r="A1640" s="79" t="s">
        <v>5416</v>
      </c>
      <c r="C1640" s="115">
        <v>43902</v>
      </c>
      <c r="D1640" s="312">
        <v>43964</v>
      </c>
      <c r="E1640" s="81">
        <v>43927</v>
      </c>
      <c r="F1640" s="86" t="s">
        <v>5541</v>
      </c>
      <c r="G1640" s="86" t="s">
        <v>150</v>
      </c>
      <c r="H1640" s="96" t="s">
        <v>213</v>
      </c>
      <c r="I1640" s="97" t="s">
        <v>691</v>
      </c>
      <c r="J1640" s="73">
        <f t="shared" si="155"/>
        <v>1</v>
      </c>
      <c r="K1640" s="74" t="s">
        <v>204</v>
      </c>
      <c r="N1640" s="76" t="s">
        <v>19</v>
      </c>
      <c r="Q1640" s="76" t="s">
        <v>2142</v>
      </c>
      <c r="R1640" s="73">
        <f t="shared" si="156"/>
        <v>1</v>
      </c>
      <c r="S1640" s="260" t="s">
        <v>1976</v>
      </c>
      <c r="T1640" s="260" t="s">
        <v>923</v>
      </c>
      <c r="Y1640" s="566">
        <v>0.80763888888888891</v>
      </c>
      <c r="Z1640" s="566">
        <v>0.82500000000000007</v>
      </c>
      <c r="AA1640" s="566">
        <f t="shared" si="157"/>
        <v>1.736111111111116E-2</v>
      </c>
      <c r="AB1640" s="699"/>
    </row>
    <row r="1641" spans="1:28" x14ac:dyDescent="0.3">
      <c r="A1641" s="79" t="s">
        <v>5417</v>
      </c>
      <c r="C1641" s="115">
        <v>43902</v>
      </c>
      <c r="D1641" s="312">
        <v>43964</v>
      </c>
      <c r="E1641" s="81">
        <v>43944</v>
      </c>
      <c r="F1641" s="86" t="s">
        <v>5542</v>
      </c>
      <c r="G1641" s="86" t="s">
        <v>152</v>
      </c>
      <c r="H1641" s="96" t="s">
        <v>213</v>
      </c>
      <c r="I1641" s="97" t="s">
        <v>6384</v>
      </c>
      <c r="J1641" s="73">
        <f t="shared" si="155"/>
        <v>1</v>
      </c>
      <c r="K1641" s="74" t="s">
        <v>204</v>
      </c>
      <c r="L1641" s="97" t="s">
        <v>12731</v>
      </c>
      <c r="N1641" s="76" t="s">
        <v>17</v>
      </c>
      <c r="Q1641" s="76" t="s">
        <v>2142</v>
      </c>
      <c r="R1641" s="73">
        <f t="shared" si="156"/>
        <v>1</v>
      </c>
      <c r="S1641" s="260" t="s">
        <v>1976</v>
      </c>
      <c r="T1641" s="260" t="s">
        <v>923</v>
      </c>
      <c r="U1641" s="301" t="s">
        <v>5283</v>
      </c>
      <c r="V1641" s="301" t="s">
        <v>6383</v>
      </c>
      <c r="Y1641" s="566">
        <v>0.69236111111111109</v>
      </c>
      <c r="Z1641" s="566">
        <v>0.72511574074074081</v>
      </c>
      <c r="AA1641" s="566">
        <f t="shared" si="157"/>
        <v>3.2754629629629717E-2</v>
      </c>
      <c r="AB1641" s="699"/>
    </row>
    <row r="1642" spans="1:28" x14ac:dyDescent="0.3">
      <c r="A1642" s="79" t="s">
        <v>5418</v>
      </c>
      <c r="C1642" s="115">
        <v>43902</v>
      </c>
      <c r="D1642" s="312">
        <v>43963</v>
      </c>
      <c r="E1642" s="81">
        <v>43931</v>
      </c>
      <c r="F1642" s="86" t="s">
        <v>5543</v>
      </c>
      <c r="G1642" s="86" t="s">
        <v>177</v>
      </c>
      <c r="H1642" s="96" t="s">
        <v>213</v>
      </c>
      <c r="I1642" s="97" t="s">
        <v>658</v>
      </c>
      <c r="J1642" s="73">
        <f t="shared" si="155"/>
        <v>1</v>
      </c>
      <c r="K1642" s="74" t="s">
        <v>204</v>
      </c>
      <c r="N1642" s="76" t="s">
        <v>18</v>
      </c>
      <c r="Q1642" s="76" t="s">
        <v>2417</v>
      </c>
      <c r="R1642" s="73">
        <f t="shared" si="156"/>
        <v>1</v>
      </c>
      <c r="S1642" s="260" t="s">
        <v>1976</v>
      </c>
      <c r="T1642" s="260" t="s">
        <v>925</v>
      </c>
      <c r="Y1642" s="566">
        <v>0.41082175925925929</v>
      </c>
      <c r="Z1642" s="566">
        <v>0.42774305555555553</v>
      </c>
      <c r="AA1642" s="566">
        <f t="shared" si="157"/>
        <v>1.692129629629624E-2</v>
      </c>
      <c r="AB1642" s="699"/>
    </row>
    <row r="1643" spans="1:28" x14ac:dyDescent="0.3">
      <c r="A1643" s="79" t="s">
        <v>5421</v>
      </c>
      <c r="C1643" s="115">
        <v>43902</v>
      </c>
      <c r="D1643" s="312">
        <v>43964</v>
      </c>
      <c r="E1643" s="81">
        <v>43928</v>
      </c>
      <c r="F1643" s="86" t="s">
        <v>5546</v>
      </c>
      <c r="G1643" s="86" t="s">
        <v>152</v>
      </c>
      <c r="H1643" s="96" t="s">
        <v>213</v>
      </c>
      <c r="I1643" s="97" t="s">
        <v>3187</v>
      </c>
      <c r="J1643" s="73">
        <f t="shared" si="155"/>
        <v>1</v>
      </c>
      <c r="K1643" s="74" t="s">
        <v>204</v>
      </c>
      <c r="N1643" s="76" t="s">
        <v>19</v>
      </c>
      <c r="Q1643" s="76" t="s">
        <v>2037</v>
      </c>
      <c r="R1643" s="73">
        <f t="shared" si="156"/>
        <v>1</v>
      </c>
      <c r="S1643" s="260" t="s">
        <v>1976</v>
      </c>
      <c r="T1643" s="260" t="s">
        <v>925</v>
      </c>
      <c r="Y1643" s="566">
        <v>0.8881944444444444</v>
      </c>
      <c r="Z1643" s="566">
        <v>0.8965277777777777</v>
      </c>
      <c r="AA1643" s="566">
        <f t="shared" si="157"/>
        <v>8.3333333333333037E-3</v>
      </c>
      <c r="AB1643" s="699"/>
    </row>
    <row r="1644" spans="1:28" x14ac:dyDescent="0.3">
      <c r="A1644" s="79" t="s">
        <v>5423</v>
      </c>
      <c r="C1644" s="115">
        <v>43902</v>
      </c>
      <c r="D1644" s="312">
        <v>43964</v>
      </c>
      <c r="E1644" s="81">
        <v>43928</v>
      </c>
      <c r="F1644" s="86" t="s">
        <v>5548</v>
      </c>
      <c r="G1644" s="86" t="s">
        <v>147</v>
      </c>
      <c r="H1644" s="96" t="s">
        <v>213</v>
      </c>
      <c r="I1644" s="97" t="s">
        <v>2478</v>
      </c>
      <c r="J1644" s="73">
        <f t="shared" si="155"/>
        <v>1</v>
      </c>
      <c r="K1644" s="74" t="s">
        <v>204</v>
      </c>
      <c r="L1644" s="97" t="s">
        <v>12724</v>
      </c>
      <c r="N1644" s="76" t="s">
        <v>17</v>
      </c>
      <c r="Q1644" s="76" t="s">
        <v>2109</v>
      </c>
      <c r="R1644" s="73">
        <f t="shared" si="156"/>
        <v>1</v>
      </c>
      <c r="S1644" s="260" t="s">
        <v>1976</v>
      </c>
      <c r="T1644" s="260" t="s">
        <v>923</v>
      </c>
      <c r="U1644" s="301" t="s">
        <v>5283</v>
      </c>
      <c r="V1644" s="301" t="s">
        <v>5818</v>
      </c>
      <c r="Y1644" s="566">
        <v>0.70000000000000007</v>
      </c>
      <c r="Z1644" s="566">
        <v>0.72083333333333333</v>
      </c>
      <c r="AA1644" s="566">
        <f t="shared" si="157"/>
        <v>2.0833333333333259E-2</v>
      </c>
      <c r="AB1644" s="699"/>
    </row>
    <row r="1645" spans="1:28" x14ac:dyDescent="0.3">
      <c r="A1645" s="79" t="s">
        <v>5424</v>
      </c>
      <c r="C1645" s="115">
        <v>43902</v>
      </c>
      <c r="D1645" s="312">
        <v>43964</v>
      </c>
      <c r="E1645" s="81">
        <v>43928</v>
      </c>
      <c r="F1645" s="86" t="s">
        <v>5549</v>
      </c>
      <c r="G1645" s="86" t="s">
        <v>158</v>
      </c>
      <c r="H1645" s="96" t="s">
        <v>213</v>
      </c>
      <c r="I1645" s="97" t="s">
        <v>972</v>
      </c>
      <c r="J1645" s="73">
        <f t="shared" si="155"/>
        <v>1</v>
      </c>
      <c r="K1645" s="74" t="s">
        <v>204</v>
      </c>
      <c r="L1645" s="97" t="s">
        <v>5966</v>
      </c>
      <c r="N1645" s="76" t="s">
        <v>18</v>
      </c>
      <c r="Q1645" s="76" t="s">
        <v>2037</v>
      </c>
      <c r="R1645" s="73">
        <f t="shared" si="156"/>
        <v>1</v>
      </c>
      <c r="S1645" s="260" t="s">
        <v>1976</v>
      </c>
      <c r="T1645" s="260" t="s">
        <v>925</v>
      </c>
      <c r="U1645" s="301" t="s">
        <v>5283</v>
      </c>
      <c r="V1645" s="301" t="s">
        <v>5819</v>
      </c>
      <c r="Y1645" s="566">
        <v>0.78194444444444444</v>
      </c>
      <c r="Z1645" s="566">
        <v>0.8125</v>
      </c>
      <c r="AA1645" s="566">
        <f t="shared" si="157"/>
        <v>3.0555555555555558E-2</v>
      </c>
      <c r="AB1645" s="699"/>
    </row>
    <row r="1646" spans="1:28" x14ac:dyDescent="0.3">
      <c r="A1646" s="79" t="s">
        <v>5426</v>
      </c>
      <c r="C1646" s="115">
        <v>43902</v>
      </c>
      <c r="D1646" s="115">
        <v>43964</v>
      </c>
      <c r="E1646" s="81">
        <v>43930</v>
      </c>
      <c r="F1646" s="86" t="s">
        <v>5551</v>
      </c>
      <c r="G1646" s="86" t="s">
        <v>157</v>
      </c>
      <c r="H1646" s="96" t="s">
        <v>213</v>
      </c>
      <c r="I1646" s="97" t="s">
        <v>995</v>
      </c>
      <c r="J1646" s="73">
        <f t="shared" si="155"/>
        <v>1</v>
      </c>
      <c r="K1646" s="74" t="s">
        <v>204</v>
      </c>
      <c r="N1646" s="76" t="s">
        <v>19</v>
      </c>
      <c r="Q1646" s="76" t="s">
        <v>2417</v>
      </c>
      <c r="R1646" s="73">
        <f t="shared" si="156"/>
        <v>1</v>
      </c>
      <c r="S1646" s="260" t="s">
        <v>1976</v>
      </c>
      <c r="T1646" s="260" t="s">
        <v>923</v>
      </c>
      <c r="Y1646" s="566">
        <v>0.48958333333333331</v>
      </c>
      <c r="Z1646" s="566">
        <v>0.50347222222222221</v>
      </c>
      <c r="AA1646" s="566">
        <f t="shared" si="157"/>
        <v>1.3888888888888895E-2</v>
      </c>
      <c r="AB1646" s="699"/>
    </row>
    <row r="1647" spans="1:28" x14ac:dyDescent="0.3">
      <c r="A1647" s="96" t="s">
        <v>5430</v>
      </c>
      <c r="C1647" s="115">
        <v>43902</v>
      </c>
      <c r="D1647" s="312">
        <v>43964</v>
      </c>
      <c r="E1647" s="81">
        <v>43928</v>
      </c>
      <c r="F1647" s="86" t="s">
        <v>5555</v>
      </c>
      <c r="G1647" s="86" t="s">
        <v>152</v>
      </c>
      <c r="H1647" s="96" t="s">
        <v>213</v>
      </c>
      <c r="I1647" s="97" t="s">
        <v>3150</v>
      </c>
      <c r="J1647" s="73">
        <f t="shared" si="155"/>
        <v>1</v>
      </c>
      <c r="K1647" s="74" t="s">
        <v>204</v>
      </c>
      <c r="N1647" s="76" t="s">
        <v>17</v>
      </c>
      <c r="Q1647" s="76" t="s">
        <v>2037</v>
      </c>
      <c r="R1647" s="73">
        <f t="shared" si="156"/>
        <v>1</v>
      </c>
      <c r="S1647" s="260" t="s">
        <v>1976</v>
      </c>
      <c r="T1647" s="260" t="s">
        <v>923</v>
      </c>
      <c r="Y1647" s="566">
        <v>0.64652777777777781</v>
      </c>
      <c r="Z1647" s="566">
        <v>0.66180555555555554</v>
      </c>
      <c r="AA1647" s="566">
        <f t="shared" si="157"/>
        <v>1.5277777777777724E-2</v>
      </c>
      <c r="AB1647" s="699"/>
    </row>
    <row r="1648" spans="1:28" x14ac:dyDescent="0.3">
      <c r="A1648" s="96" t="s">
        <v>5434</v>
      </c>
      <c r="C1648" s="115">
        <v>43902</v>
      </c>
      <c r="D1648" s="312">
        <v>43964</v>
      </c>
      <c r="E1648" s="81">
        <v>43930</v>
      </c>
      <c r="F1648" s="86" t="s">
        <v>5559</v>
      </c>
      <c r="G1648" s="86" t="s">
        <v>152</v>
      </c>
      <c r="H1648" s="96" t="s">
        <v>213</v>
      </c>
      <c r="I1648" s="97" t="s">
        <v>722</v>
      </c>
      <c r="J1648" s="73">
        <f t="shared" si="155"/>
        <v>1</v>
      </c>
      <c r="K1648" s="74" t="s">
        <v>204</v>
      </c>
      <c r="L1648" s="97" t="s">
        <v>5962</v>
      </c>
      <c r="N1648" s="76" t="s">
        <v>18</v>
      </c>
      <c r="Q1648" s="76" t="s">
        <v>2417</v>
      </c>
      <c r="R1648" s="73">
        <f t="shared" si="156"/>
        <v>1</v>
      </c>
      <c r="S1648" s="260" t="s">
        <v>1976</v>
      </c>
      <c r="T1648" s="260" t="s">
        <v>925</v>
      </c>
      <c r="Y1648" s="566">
        <v>0.42432870370370374</v>
      </c>
      <c r="Z1648" s="566">
        <v>0.43193287037037037</v>
      </c>
      <c r="AA1648" s="566">
        <f t="shared" si="157"/>
        <v>7.6041666666666341E-3</v>
      </c>
      <c r="AB1648" s="699"/>
    </row>
    <row r="1649" spans="1:28" x14ac:dyDescent="0.3">
      <c r="A1649" s="79" t="s">
        <v>5435</v>
      </c>
      <c r="C1649" s="115">
        <v>43903</v>
      </c>
      <c r="D1649" s="312">
        <v>43964</v>
      </c>
      <c r="E1649" s="81">
        <v>43928</v>
      </c>
      <c r="F1649" s="86" t="s">
        <v>5560</v>
      </c>
      <c r="G1649" s="86" t="s">
        <v>172</v>
      </c>
      <c r="H1649" s="96" t="s">
        <v>213</v>
      </c>
      <c r="I1649" s="97" t="s">
        <v>1113</v>
      </c>
      <c r="J1649" s="73">
        <f t="shared" si="155"/>
        <v>1</v>
      </c>
      <c r="K1649" s="74" t="s">
        <v>204</v>
      </c>
      <c r="N1649" s="76" t="s">
        <v>18</v>
      </c>
      <c r="Q1649" s="76" t="s">
        <v>2037</v>
      </c>
      <c r="R1649" s="73">
        <f t="shared" si="156"/>
        <v>1</v>
      </c>
      <c r="S1649" s="260" t="s">
        <v>1976</v>
      </c>
      <c r="T1649" s="260" t="s">
        <v>923</v>
      </c>
      <c r="U1649" s="301" t="s">
        <v>5283</v>
      </c>
      <c r="V1649" s="301" t="s">
        <v>5816</v>
      </c>
      <c r="Y1649" s="570">
        <v>0.56388888888888888</v>
      </c>
      <c r="Z1649" s="566">
        <v>0.57638888888888895</v>
      </c>
      <c r="AA1649" s="566">
        <f t="shared" si="157"/>
        <v>1.2500000000000067E-2</v>
      </c>
      <c r="AB1649" s="699"/>
    </row>
    <row r="1650" spans="1:28" x14ac:dyDescent="0.3">
      <c r="A1650" s="79" t="s">
        <v>5437</v>
      </c>
      <c r="C1650" s="115">
        <v>43903</v>
      </c>
      <c r="D1650" s="312">
        <v>43964</v>
      </c>
      <c r="E1650" s="81">
        <v>43928</v>
      </c>
      <c r="F1650" s="86" t="s">
        <v>5562</v>
      </c>
      <c r="G1650" s="86" t="s">
        <v>150</v>
      </c>
      <c r="H1650" s="96" t="s">
        <v>213</v>
      </c>
      <c r="I1650" s="97" t="s">
        <v>1113</v>
      </c>
      <c r="J1650" s="73">
        <f t="shared" si="155"/>
        <v>1</v>
      </c>
      <c r="K1650" s="74" t="s">
        <v>204</v>
      </c>
      <c r="N1650" s="76" t="s">
        <v>18</v>
      </c>
      <c r="Q1650" s="76" t="s">
        <v>2109</v>
      </c>
      <c r="R1650" s="73">
        <f t="shared" si="156"/>
        <v>1</v>
      </c>
      <c r="S1650" s="260" t="s">
        <v>1976</v>
      </c>
      <c r="T1650" s="260" t="s">
        <v>924</v>
      </c>
      <c r="Y1650" s="566">
        <v>0.66736111111111107</v>
      </c>
      <c r="Z1650" s="566">
        <v>0.67152777777777783</v>
      </c>
      <c r="AA1650" s="566">
        <f t="shared" si="157"/>
        <v>4.1666666666667629E-3</v>
      </c>
      <c r="AB1650" s="699"/>
    </row>
    <row r="1651" spans="1:28" x14ac:dyDescent="0.3">
      <c r="A1651" s="79" t="s">
        <v>5438</v>
      </c>
      <c r="C1651" s="115">
        <v>43903</v>
      </c>
      <c r="D1651" s="312">
        <v>43964</v>
      </c>
      <c r="E1651" s="81">
        <v>43928</v>
      </c>
      <c r="F1651" s="86" t="s">
        <v>5563</v>
      </c>
      <c r="G1651" s="86" t="s">
        <v>150</v>
      </c>
      <c r="H1651" s="96" t="s">
        <v>213</v>
      </c>
      <c r="I1651" s="97" t="s">
        <v>5817</v>
      </c>
      <c r="J1651" s="73">
        <f t="shared" si="155"/>
        <v>1</v>
      </c>
      <c r="K1651" s="74" t="s">
        <v>204</v>
      </c>
      <c r="N1651" s="76" t="s">
        <v>18</v>
      </c>
      <c r="Q1651" s="76" t="s">
        <v>2109</v>
      </c>
      <c r="R1651" s="73">
        <f t="shared" si="156"/>
        <v>1</v>
      </c>
      <c r="S1651" s="260" t="s">
        <v>1976</v>
      </c>
      <c r="T1651" s="260" t="s">
        <v>923</v>
      </c>
      <c r="Y1651" s="566">
        <v>0.67222222222222217</v>
      </c>
      <c r="Z1651" s="566">
        <v>0.68125000000000002</v>
      </c>
      <c r="AA1651" s="566">
        <f t="shared" si="157"/>
        <v>9.0277777777778567E-3</v>
      </c>
      <c r="AB1651" s="699"/>
    </row>
    <row r="1652" spans="1:28" x14ac:dyDescent="0.3">
      <c r="A1652" s="79" t="s">
        <v>5439</v>
      </c>
      <c r="C1652" s="115">
        <v>43903</v>
      </c>
      <c r="D1652" s="312">
        <v>43964</v>
      </c>
      <c r="E1652" s="81">
        <v>43928</v>
      </c>
      <c r="F1652" s="86" t="s">
        <v>5564</v>
      </c>
      <c r="G1652" s="86" t="s">
        <v>154</v>
      </c>
      <c r="H1652" s="96" t="s">
        <v>213</v>
      </c>
      <c r="I1652" s="97" t="s">
        <v>972</v>
      </c>
      <c r="J1652" s="73">
        <f t="shared" si="155"/>
        <v>1</v>
      </c>
      <c r="K1652" s="74" t="s">
        <v>204</v>
      </c>
      <c r="N1652" s="76" t="s">
        <v>17</v>
      </c>
      <c r="Q1652" s="76" t="s">
        <v>2142</v>
      </c>
      <c r="R1652" s="73">
        <f t="shared" si="156"/>
        <v>1</v>
      </c>
      <c r="S1652" s="260" t="s">
        <v>1976</v>
      </c>
      <c r="T1652" s="260" t="s">
        <v>924</v>
      </c>
      <c r="Y1652" s="566">
        <v>0.42291666666666666</v>
      </c>
      <c r="Z1652" s="566">
        <v>0.43333333333333335</v>
      </c>
      <c r="AA1652" s="566">
        <f t="shared" si="157"/>
        <v>1.0416666666666685E-2</v>
      </c>
      <c r="AB1652" s="699"/>
    </row>
    <row r="1653" spans="1:28" x14ac:dyDescent="0.3">
      <c r="A1653" s="96" t="s">
        <v>5742</v>
      </c>
      <c r="C1653" s="115">
        <v>43903</v>
      </c>
      <c r="D1653" s="312">
        <v>43965</v>
      </c>
      <c r="E1653" s="81">
        <v>43931</v>
      </c>
      <c r="F1653" s="86" t="s">
        <v>5772</v>
      </c>
      <c r="G1653" s="86" t="s">
        <v>154</v>
      </c>
      <c r="H1653" s="96" t="s">
        <v>213</v>
      </c>
      <c r="I1653" s="97" t="s">
        <v>972</v>
      </c>
      <c r="J1653" s="73">
        <f t="shared" si="155"/>
        <v>1</v>
      </c>
      <c r="K1653" s="74" t="s">
        <v>204</v>
      </c>
      <c r="N1653" s="76" t="s">
        <v>17</v>
      </c>
      <c r="Q1653" s="76" t="s">
        <v>2076</v>
      </c>
      <c r="R1653" s="73">
        <f t="shared" si="156"/>
        <v>1</v>
      </c>
      <c r="S1653" s="260" t="s">
        <v>1976</v>
      </c>
      <c r="T1653" s="260" t="s">
        <v>925</v>
      </c>
      <c r="Y1653" s="566">
        <v>0.51446759259259256</v>
      </c>
      <c r="Z1653" s="566">
        <v>0.55033564814814817</v>
      </c>
      <c r="AA1653" s="566">
        <f t="shared" si="157"/>
        <v>3.5868055555555611E-2</v>
      </c>
      <c r="AB1653" s="699"/>
    </row>
    <row r="1654" spans="1:28" x14ac:dyDescent="0.3">
      <c r="A1654" s="79" t="s">
        <v>5744</v>
      </c>
      <c r="C1654" s="115">
        <v>43903</v>
      </c>
      <c r="D1654" s="312">
        <v>43964</v>
      </c>
      <c r="E1654" s="81">
        <v>43929</v>
      </c>
      <c r="F1654" s="86" t="s">
        <v>5774</v>
      </c>
      <c r="G1654" s="86" t="s">
        <v>150</v>
      </c>
      <c r="H1654" s="96" t="s">
        <v>213</v>
      </c>
      <c r="I1654" s="97" t="s">
        <v>3476</v>
      </c>
      <c r="J1654" s="73">
        <f t="shared" si="155"/>
        <v>1</v>
      </c>
      <c r="K1654" s="74" t="s">
        <v>204</v>
      </c>
      <c r="N1654" s="76" t="s">
        <v>18</v>
      </c>
      <c r="Q1654" s="76" t="s">
        <v>2417</v>
      </c>
      <c r="R1654" s="73">
        <f t="shared" si="156"/>
        <v>1</v>
      </c>
      <c r="S1654" s="260" t="s">
        <v>1976</v>
      </c>
      <c r="T1654" s="260" t="s">
        <v>923</v>
      </c>
      <c r="Y1654" s="566">
        <v>0.72083333333333333</v>
      </c>
      <c r="Z1654" s="566">
        <v>0.72916666666666663</v>
      </c>
      <c r="AA1654" s="566">
        <f t="shared" si="157"/>
        <v>8.3333333333333037E-3</v>
      </c>
      <c r="AB1654" s="699"/>
    </row>
    <row r="1655" spans="1:28" x14ac:dyDescent="0.3">
      <c r="A1655" s="96" t="s">
        <v>5746</v>
      </c>
      <c r="C1655" s="115">
        <v>43906</v>
      </c>
      <c r="D1655" s="312">
        <v>43965</v>
      </c>
      <c r="E1655" s="81">
        <v>43929</v>
      </c>
      <c r="F1655" s="86" t="s">
        <v>5776</v>
      </c>
      <c r="G1655" s="86" t="s">
        <v>152</v>
      </c>
      <c r="H1655" s="96" t="s">
        <v>213</v>
      </c>
      <c r="I1655" s="97" t="s">
        <v>1113</v>
      </c>
      <c r="J1655" s="73">
        <f t="shared" si="155"/>
        <v>1</v>
      </c>
      <c r="K1655" s="74" t="s">
        <v>204</v>
      </c>
      <c r="N1655" s="76" t="s">
        <v>18</v>
      </c>
      <c r="Q1655" s="76" t="s">
        <v>2037</v>
      </c>
      <c r="R1655" s="73">
        <f t="shared" si="156"/>
        <v>1</v>
      </c>
      <c r="S1655" s="260" t="s">
        <v>1976</v>
      </c>
      <c r="T1655" s="260" t="s">
        <v>925</v>
      </c>
      <c r="Y1655" s="566">
        <v>0.54722222222222217</v>
      </c>
      <c r="Z1655" s="566">
        <v>0.55277777777777781</v>
      </c>
      <c r="AA1655" s="566">
        <f t="shared" si="157"/>
        <v>5.5555555555556468E-3</v>
      </c>
      <c r="AB1655" s="699"/>
    </row>
    <row r="1656" spans="1:28" x14ac:dyDescent="0.3">
      <c r="A1656" s="79" t="s">
        <v>5747</v>
      </c>
      <c r="C1656" s="115">
        <v>43903</v>
      </c>
      <c r="D1656" s="312">
        <v>43965</v>
      </c>
      <c r="E1656" s="81">
        <v>43929</v>
      </c>
      <c r="F1656" s="86" t="s">
        <v>5777</v>
      </c>
      <c r="G1656" s="86" t="s">
        <v>538</v>
      </c>
      <c r="H1656" s="79" t="s">
        <v>268</v>
      </c>
      <c r="I1656" s="97" t="s">
        <v>5825</v>
      </c>
      <c r="J1656" s="73">
        <f t="shared" ref="J1656:J1670" si="158">IF(OR(K1656="Документы готовы",K1656="Запрос в ФО",K1656="ЭЗ",K1656="РЕШ",K1656="РЕШ шаблон"),0.1,IF(OR(K1656="ЭЗ согласование",K1656="РЕШ согласование"),0.3,IF(OR(K1656="ЭЗ согласовано",K1656="РЕШ согласовано",K1656="РЕШ подписано"),0.6,IF(OR(K1656="ЭЗ ПР согласование",K1656="РЕШ УВ согласование"),0.9,IF(OR(K1656="ЭЗ ПР DONE",K1656="РЕШ УВ DONE"),1,0)))))</f>
        <v>1</v>
      </c>
      <c r="K1656" s="74" t="s">
        <v>204</v>
      </c>
      <c r="N1656" s="76" t="s">
        <v>18</v>
      </c>
      <c r="Q1656" s="76" t="s">
        <v>2142</v>
      </c>
      <c r="R1656" s="73">
        <f t="shared" ref="R1656:R1670" si="159">IF(S1656="В работе",0.3,IF(S1656="Отписано",0.6,IF(S1656="На доработку",0.9,IF(S1656="Согласовано",1,0))))</f>
        <v>1</v>
      </c>
      <c r="S1656" s="260" t="s">
        <v>1976</v>
      </c>
      <c r="T1656" s="260" t="s">
        <v>925</v>
      </c>
      <c r="Y1656" s="566">
        <v>0.48472222222222222</v>
      </c>
      <c r="Z1656" s="566">
        <v>0.49652777777777773</v>
      </c>
      <c r="AA1656" s="566">
        <f t="shared" ref="AA1656:AA1669" si="160">Z1656-Y1656</f>
        <v>1.1805555555555514E-2</v>
      </c>
      <c r="AB1656" s="699"/>
    </row>
    <row r="1657" spans="1:28" x14ac:dyDescent="0.3">
      <c r="A1657" s="79" t="s">
        <v>5750</v>
      </c>
      <c r="C1657" s="115">
        <v>43906</v>
      </c>
      <c r="D1657" s="312">
        <v>43965</v>
      </c>
      <c r="E1657" s="81">
        <v>43929</v>
      </c>
      <c r="F1657" s="86" t="s">
        <v>5780</v>
      </c>
      <c r="G1657" s="86" t="s">
        <v>181</v>
      </c>
      <c r="H1657" s="96" t="s">
        <v>213</v>
      </c>
      <c r="I1657" s="97" t="s">
        <v>5824</v>
      </c>
      <c r="J1657" s="73">
        <f t="shared" si="158"/>
        <v>1</v>
      </c>
      <c r="K1657" s="74" t="s">
        <v>204</v>
      </c>
      <c r="N1657" s="76" t="s">
        <v>18</v>
      </c>
      <c r="Q1657" s="76" t="s">
        <v>2142</v>
      </c>
      <c r="R1657" s="73">
        <f t="shared" si="159"/>
        <v>1</v>
      </c>
      <c r="S1657" s="260" t="s">
        <v>1976</v>
      </c>
      <c r="T1657" s="260" t="s">
        <v>923</v>
      </c>
      <c r="Y1657" s="566">
        <v>0.46249999999999997</v>
      </c>
      <c r="Z1657" s="566">
        <v>0.47013888888888888</v>
      </c>
      <c r="AA1657" s="566">
        <f t="shared" si="160"/>
        <v>7.6388888888889173E-3</v>
      </c>
      <c r="AB1657" s="699"/>
    </row>
    <row r="1658" spans="1:28" x14ac:dyDescent="0.3">
      <c r="A1658" s="79" t="s">
        <v>5752</v>
      </c>
      <c r="C1658" s="115">
        <v>43906</v>
      </c>
      <c r="D1658" s="312">
        <v>43966</v>
      </c>
      <c r="E1658" s="81">
        <v>43932</v>
      </c>
      <c r="F1658" s="86" t="s">
        <v>5782</v>
      </c>
      <c r="G1658" s="86" t="s">
        <v>147</v>
      </c>
      <c r="H1658" s="96" t="s">
        <v>213</v>
      </c>
      <c r="I1658" s="97" t="s">
        <v>2478</v>
      </c>
      <c r="J1658" s="73">
        <f t="shared" si="158"/>
        <v>1</v>
      </c>
      <c r="K1658" s="74" t="s">
        <v>204</v>
      </c>
      <c r="N1658" s="76" t="s">
        <v>17</v>
      </c>
      <c r="Q1658" s="76" t="s">
        <v>2076</v>
      </c>
      <c r="R1658" s="73">
        <f t="shared" si="159"/>
        <v>1</v>
      </c>
      <c r="S1658" s="260" t="s">
        <v>1976</v>
      </c>
      <c r="T1658" s="260" t="s">
        <v>924</v>
      </c>
      <c r="Y1658" s="566">
        <v>0.59201388888888895</v>
      </c>
      <c r="Z1658" s="566">
        <v>0.63343749999999999</v>
      </c>
      <c r="AA1658" s="566">
        <f t="shared" si="160"/>
        <v>4.1423611111111036E-2</v>
      </c>
      <c r="AB1658" s="699"/>
    </row>
    <row r="1659" spans="1:28" x14ac:dyDescent="0.3">
      <c r="A1659" s="79" t="s">
        <v>5754</v>
      </c>
      <c r="C1659" s="115">
        <v>43906</v>
      </c>
      <c r="D1659" s="312">
        <v>43971</v>
      </c>
      <c r="E1659" s="81">
        <v>43959</v>
      </c>
      <c r="F1659" s="86" t="s">
        <v>5784</v>
      </c>
      <c r="G1659" s="86" t="s">
        <v>147</v>
      </c>
      <c r="H1659" s="96" t="s">
        <v>213</v>
      </c>
      <c r="I1659" s="97" t="s">
        <v>755</v>
      </c>
      <c r="J1659" s="73">
        <f t="shared" si="158"/>
        <v>1</v>
      </c>
      <c r="K1659" s="260" t="s">
        <v>204</v>
      </c>
      <c r="L1659" s="97" t="s">
        <v>6401</v>
      </c>
      <c r="N1659" s="76" t="s">
        <v>18</v>
      </c>
      <c r="Q1659" s="76" t="s">
        <v>2109</v>
      </c>
      <c r="R1659" s="73">
        <f t="shared" si="159"/>
        <v>1</v>
      </c>
      <c r="S1659" s="260" t="s">
        <v>1976</v>
      </c>
      <c r="T1659" s="260" t="s">
        <v>923</v>
      </c>
      <c r="U1659" s="301" t="s">
        <v>5283</v>
      </c>
      <c r="V1659" s="301" t="s">
        <v>6727</v>
      </c>
      <c r="Y1659" s="566">
        <v>0.67921296296296296</v>
      </c>
      <c r="Z1659" s="566">
        <v>0.69775462962962964</v>
      </c>
      <c r="AA1659" s="566">
        <f t="shared" si="160"/>
        <v>1.8541666666666679E-2</v>
      </c>
      <c r="AB1659" s="699"/>
    </row>
    <row r="1660" spans="1:28" x14ac:dyDescent="0.3">
      <c r="A1660" s="79" t="s">
        <v>5755</v>
      </c>
      <c r="C1660" s="115">
        <v>43906</v>
      </c>
      <c r="D1660" s="312">
        <v>43966</v>
      </c>
      <c r="E1660" s="81">
        <v>43931</v>
      </c>
      <c r="F1660" s="86" t="s">
        <v>5785</v>
      </c>
      <c r="G1660" s="86" t="s">
        <v>152</v>
      </c>
      <c r="H1660" s="96" t="s">
        <v>213</v>
      </c>
      <c r="I1660" s="97" t="s">
        <v>1284</v>
      </c>
      <c r="J1660" s="73">
        <f t="shared" si="158"/>
        <v>1</v>
      </c>
      <c r="K1660" s="74" t="s">
        <v>204</v>
      </c>
      <c r="N1660" s="76" t="s">
        <v>19</v>
      </c>
      <c r="Q1660" s="76" t="s">
        <v>2109</v>
      </c>
      <c r="R1660" s="73">
        <f t="shared" si="159"/>
        <v>1</v>
      </c>
      <c r="S1660" s="260" t="s">
        <v>1976</v>
      </c>
      <c r="T1660" s="260" t="s">
        <v>925</v>
      </c>
      <c r="Y1660" s="566">
        <v>0.66501157407407407</v>
      </c>
      <c r="Z1660" s="566">
        <v>0.67797453703703703</v>
      </c>
      <c r="AA1660" s="566">
        <f t="shared" si="160"/>
        <v>1.2962962962962954E-2</v>
      </c>
      <c r="AB1660" s="699"/>
    </row>
    <row r="1661" spans="1:28" x14ac:dyDescent="0.3">
      <c r="A1661" s="96" t="s">
        <v>5756</v>
      </c>
      <c r="C1661" s="115">
        <v>43906</v>
      </c>
      <c r="D1661" s="312">
        <v>43966</v>
      </c>
      <c r="E1661" s="81">
        <v>43929</v>
      </c>
      <c r="F1661" s="86" t="s">
        <v>5786</v>
      </c>
      <c r="G1661" s="86" t="s">
        <v>158</v>
      </c>
      <c r="H1661" s="96" t="s">
        <v>213</v>
      </c>
      <c r="I1661" s="97" t="s">
        <v>649</v>
      </c>
      <c r="J1661" s="73">
        <f t="shared" si="158"/>
        <v>1</v>
      </c>
      <c r="K1661" s="74" t="s">
        <v>204</v>
      </c>
      <c r="N1661" s="76" t="s">
        <v>17</v>
      </c>
      <c r="Q1661" s="76" t="s">
        <v>2037</v>
      </c>
      <c r="R1661" s="73">
        <f t="shared" si="159"/>
        <v>1</v>
      </c>
      <c r="S1661" s="260" t="s">
        <v>1976</v>
      </c>
      <c r="T1661" s="260" t="s">
        <v>925</v>
      </c>
      <c r="U1661" s="301" t="s">
        <v>5283</v>
      </c>
      <c r="V1661" s="301" t="s">
        <v>5826</v>
      </c>
      <c r="Y1661" s="566">
        <v>0.61944444444444446</v>
      </c>
      <c r="Z1661" s="566">
        <v>0.63055555555555554</v>
      </c>
      <c r="AA1661" s="566">
        <f t="shared" si="160"/>
        <v>1.1111111111111072E-2</v>
      </c>
      <c r="AB1661" s="699"/>
    </row>
    <row r="1662" spans="1:28" x14ac:dyDescent="0.3">
      <c r="A1662" s="79" t="s">
        <v>5757</v>
      </c>
      <c r="C1662" s="115">
        <v>43906</v>
      </c>
      <c r="D1662" s="115">
        <v>43965</v>
      </c>
      <c r="E1662" s="81">
        <v>43930</v>
      </c>
      <c r="F1662" s="86" t="s">
        <v>5787</v>
      </c>
      <c r="G1662" s="86" t="s">
        <v>150</v>
      </c>
      <c r="H1662" s="96" t="s">
        <v>213</v>
      </c>
      <c r="I1662" s="97" t="s">
        <v>3479</v>
      </c>
      <c r="J1662" s="73">
        <f t="shared" si="158"/>
        <v>1</v>
      </c>
      <c r="K1662" s="74" t="s">
        <v>204</v>
      </c>
      <c r="N1662" s="76" t="s">
        <v>18</v>
      </c>
      <c r="Q1662" s="76" t="s">
        <v>2109</v>
      </c>
      <c r="R1662" s="73">
        <f t="shared" si="159"/>
        <v>1</v>
      </c>
      <c r="S1662" s="260" t="s">
        <v>1976</v>
      </c>
      <c r="T1662" s="260" t="s">
        <v>925</v>
      </c>
      <c r="Y1662" s="566">
        <v>0.55208333333333337</v>
      </c>
      <c r="Z1662" s="566">
        <v>0.55694444444444446</v>
      </c>
      <c r="AA1662" s="566">
        <f t="shared" si="160"/>
        <v>4.8611111111110938E-3</v>
      </c>
      <c r="AB1662" s="699"/>
    </row>
    <row r="1663" spans="1:28" x14ac:dyDescent="0.3">
      <c r="A1663" s="79" t="s">
        <v>5758</v>
      </c>
      <c r="C1663" s="115">
        <v>43906</v>
      </c>
      <c r="D1663" s="312">
        <v>43966</v>
      </c>
      <c r="E1663" s="81">
        <v>43930</v>
      </c>
      <c r="F1663" s="86" t="s">
        <v>5788</v>
      </c>
      <c r="G1663" s="86" t="s">
        <v>154</v>
      </c>
      <c r="H1663" s="96" t="s">
        <v>213</v>
      </c>
      <c r="I1663" s="97" t="s">
        <v>2478</v>
      </c>
      <c r="J1663" s="73">
        <f t="shared" si="158"/>
        <v>1</v>
      </c>
      <c r="K1663" s="74" t="s">
        <v>204</v>
      </c>
      <c r="L1663" s="97" t="s">
        <v>5963</v>
      </c>
      <c r="N1663" s="76" t="s">
        <v>18</v>
      </c>
      <c r="Q1663" s="76" t="s">
        <v>2142</v>
      </c>
      <c r="R1663" s="73">
        <f t="shared" si="159"/>
        <v>1</v>
      </c>
      <c r="S1663" s="260" t="s">
        <v>1976</v>
      </c>
      <c r="T1663" s="260" t="s">
        <v>925</v>
      </c>
      <c r="U1663" s="301" t="s">
        <v>5283</v>
      </c>
      <c r="V1663" s="301" t="s">
        <v>5964</v>
      </c>
      <c r="Y1663" s="566">
        <v>0.43250000000000005</v>
      </c>
      <c r="Z1663" s="566">
        <v>0.47290509259259261</v>
      </c>
      <c r="AA1663" s="566">
        <f t="shared" si="160"/>
        <v>4.0405092592592562E-2</v>
      </c>
      <c r="AB1663" s="699"/>
    </row>
    <row r="1664" spans="1:28" x14ac:dyDescent="0.3">
      <c r="A1664" s="79" t="s">
        <v>5759</v>
      </c>
      <c r="C1664" s="115">
        <v>43906</v>
      </c>
      <c r="D1664" s="312">
        <v>43965</v>
      </c>
      <c r="E1664" s="81">
        <v>43929</v>
      </c>
      <c r="F1664" s="86" t="s">
        <v>5789</v>
      </c>
      <c r="G1664" s="86" t="s">
        <v>172</v>
      </c>
      <c r="H1664" s="96" t="s">
        <v>213</v>
      </c>
      <c r="I1664" s="97" t="s">
        <v>2478</v>
      </c>
      <c r="J1664" s="73">
        <f t="shared" si="158"/>
        <v>1</v>
      </c>
      <c r="K1664" s="74" t="s">
        <v>204</v>
      </c>
      <c r="N1664" s="76" t="s">
        <v>17</v>
      </c>
      <c r="Q1664" s="76" t="s">
        <v>2109</v>
      </c>
      <c r="R1664" s="73">
        <f t="shared" si="159"/>
        <v>1</v>
      </c>
      <c r="S1664" s="260" t="s">
        <v>1976</v>
      </c>
      <c r="T1664" s="260" t="s">
        <v>924</v>
      </c>
      <c r="Y1664" s="566">
        <v>0.70000000000000007</v>
      </c>
      <c r="Z1664" s="566">
        <v>0.71180555555555547</v>
      </c>
      <c r="AA1664" s="566">
        <f t="shared" si="160"/>
        <v>1.1805555555555403E-2</v>
      </c>
      <c r="AB1664" s="699"/>
    </row>
    <row r="1665" spans="1:28" x14ac:dyDescent="0.3">
      <c r="A1665" s="79" t="s">
        <v>5760</v>
      </c>
      <c r="C1665" s="115">
        <v>43906</v>
      </c>
      <c r="D1665" s="312">
        <v>43966</v>
      </c>
      <c r="E1665" s="81">
        <v>43931</v>
      </c>
      <c r="F1665" s="86" t="s">
        <v>5790</v>
      </c>
      <c r="G1665" s="86" t="s">
        <v>147</v>
      </c>
      <c r="H1665" s="96" t="s">
        <v>213</v>
      </c>
      <c r="I1665" s="97" t="s">
        <v>1635</v>
      </c>
      <c r="J1665" s="73">
        <f t="shared" si="158"/>
        <v>1</v>
      </c>
      <c r="K1665" s="74" t="s">
        <v>204</v>
      </c>
      <c r="N1665" s="76" t="s">
        <v>18</v>
      </c>
      <c r="Q1665" s="76" t="s">
        <v>2417</v>
      </c>
      <c r="R1665" s="73">
        <f t="shared" si="159"/>
        <v>1</v>
      </c>
      <c r="S1665" s="260" t="s">
        <v>1976</v>
      </c>
      <c r="T1665" s="260" t="s">
        <v>925</v>
      </c>
      <c r="Y1665" s="566">
        <v>0.64714120370370376</v>
      </c>
      <c r="Z1665" s="566">
        <v>0.65474537037037039</v>
      </c>
      <c r="AA1665" s="566">
        <f t="shared" si="160"/>
        <v>7.6041666666666341E-3</v>
      </c>
      <c r="AB1665" s="699"/>
    </row>
    <row r="1666" spans="1:28" x14ac:dyDescent="0.3">
      <c r="A1666" s="79" t="s">
        <v>5761</v>
      </c>
      <c r="C1666" s="115">
        <v>43906</v>
      </c>
      <c r="D1666" s="312">
        <v>43966</v>
      </c>
      <c r="E1666" s="81">
        <v>43932</v>
      </c>
      <c r="F1666" s="86" t="s">
        <v>5791</v>
      </c>
      <c r="G1666" s="86" t="s">
        <v>156</v>
      </c>
      <c r="H1666" s="96" t="s">
        <v>213</v>
      </c>
      <c r="I1666" s="97" t="s">
        <v>3794</v>
      </c>
      <c r="J1666" s="73">
        <f t="shared" si="158"/>
        <v>1</v>
      </c>
      <c r="K1666" s="74" t="s">
        <v>204</v>
      </c>
      <c r="N1666" s="76" t="s">
        <v>18</v>
      </c>
      <c r="Q1666" s="76" t="s">
        <v>2076</v>
      </c>
      <c r="R1666" s="73">
        <f t="shared" si="159"/>
        <v>1</v>
      </c>
      <c r="S1666" s="260" t="s">
        <v>1976</v>
      </c>
      <c r="T1666" s="260" t="s">
        <v>923</v>
      </c>
      <c r="Y1666" s="566">
        <v>0.66666666666666663</v>
      </c>
      <c r="Z1666" s="566">
        <v>0.67222222222222217</v>
      </c>
      <c r="AA1666" s="566">
        <f t="shared" si="160"/>
        <v>5.5555555555555358E-3</v>
      </c>
      <c r="AB1666" s="699"/>
    </row>
    <row r="1667" spans="1:28" x14ac:dyDescent="0.3">
      <c r="A1667" s="79" t="s">
        <v>5762</v>
      </c>
      <c r="C1667" s="115">
        <v>43906</v>
      </c>
      <c r="D1667" s="629">
        <v>43970</v>
      </c>
      <c r="E1667" s="81">
        <v>43957</v>
      </c>
      <c r="F1667" s="86" t="s">
        <v>5792</v>
      </c>
      <c r="G1667" s="86" t="s">
        <v>156</v>
      </c>
      <c r="H1667" s="96" t="s">
        <v>213</v>
      </c>
      <c r="I1667" s="97" t="s">
        <v>714</v>
      </c>
      <c r="J1667" s="73">
        <f t="shared" si="158"/>
        <v>1</v>
      </c>
      <c r="K1667" s="260" t="s">
        <v>204</v>
      </c>
      <c r="N1667" s="76" t="s">
        <v>17</v>
      </c>
      <c r="Q1667" s="76" t="s">
        <v>2076</v>
      </c>
      <c r="R1667" s="73">
        <f t="shared" si="159"/>
        <v>1</v>
      </c>
      <c r="S1667" s="260" t="s">
        <v>1976</v>
      </c>
      <c r="T1667" s="260" t="s">
        <v>923</v>
      </c>
      <c r="Y1667" s="566">
        <v>0.45291666666666663</v>
      </c>
      <c r="Z1667" s="566">
        <v>0.45962962962962961</v>
      </c>
      <c r="AA1667" s="566">
        <f t="shared" si="160"/>
        <v>6.7129629629629761E-3</v>
      </c>
      <c r="AB1667" s="699"/>
    </row>
    <row r="1668" spans="1:28" x14ac:dyDescent="0.3">
      <c r="A1668" s="96" t="s">
        <v>5763</v>
      </c>
      <c r="C1668" s="115">
        <v>43906</v>
      </c>
      <c r="D1668" s="312">
        <v>43965</v>
      </c>
      <c r="E1668" s="81">
        <v>43931</v>
      </c>
      <c r="F1668" s="86" t="s">
        <v>5793</v>
      </c>
      <c r="G1668" s="86" t="s">
        <v>152</v>
      </c>
      <c r="H1668" s="96" t="s">
        <v>213</v>
      </c>
      <c r="I1668" s="97" t="s">
        <v>649</v>
      </c>
      <c r="J1668" s="73">
        <f t="shared" si="158"/>
        <v>1</v>
      </c>
      <c r="K1668" s="74" t="s">
        <v>204</v>
      </c>
      <c r="N1668" s="76" t="s">
        <v>17</v>
      </c>
      <c r="Q1668" s="76" t="s">
        <v>2076</v>
      </c>
      <c r="R1668" s="73">
        <f t="shared" si="159"/>
        <v>1</v>
      </c>
      <c r="S1668" s="260" t="s">
        <v>1976</v>
      </c>
      <c r="T1668" s="260" t="s">
        <v>924</v>
      </c>
      <c r="Y1668" s="566">
        <v>0.56336805555555558</v>
      </c>
      <c r="Z1668" s="566">
        <v>0.59310185185185182</v>
      </c>
      <c r="AA1668" s="566">
        <f t="shared" si="160"/>
        <v>2.9733796296296244E-2</v>
      </c>
      <c r="AB1668" s="699"/>
    </row>
    <row r="1669" spans="1:28" x14ac:dyDescent="0.3">
      <c r="A1669" s="96" t="s">
        <v>5764</v>
      </c>
      <c r="C1669" s="115">
        <v>43906</v>
      </c>
      <c r="D1669" s="312">
        <v>43965</v>
      </c>
      <c r="E1669" s="81">
        <v>43930</v>
      </c>
      <c r="F1669" s="86" t="s">
        <v>5794</v>
      </c>
      <c r="G1669" s="86" t="s">
        <v>152</v>
      </c>
      <c r="H1669" s="96" t="s">
        <v>213</v>
      </c>
      <c r="I1669" s="97" t="s">
        <v>995</v>
      </c>
      <c r="J1669" s="73">
        <f t="shared" si="158"/>
        <v>1</v>
      </c>
      <c r="K1669" s="74" t="s">
        <v>204</v>
      </c>
      <c r="N1669" s="76" t="s">
        <v>19</v>
      </c>
      <c r="Q1669" s="76" t="s">
        <v>2142</v>
      </c>
      <c r="R1669" s="73">
        <f t="shared" si="159"/>
        <v>1</v>
      </c>
      <c r="S1669" s="260" t="s">
        <v>1976</v>
      </c>
      <c r="T1669" s="260" t="s">
        <v>924</v>
      </c>
      <c r="Y1669" s="566">
        <v>0.63942129629629629</v>
      </c>
      <c r="Z1669" s="566">
        <v>0.65224537037037034</v>
      </c>
      <c r="AA1669" s="566">
        <f t="shared" si="160"/>
        <v>1.2824074074074043E-2</v>
      </c>
      <c r="AB1669" s="699"/>
    </row>
    <row r="1670" spans="1:28" x14ac:dyDescent="0.3">
      <c r="A1670" s="96" t="s">
        <v>5765</v>
      </c>
      <c r="C1670" s="115">
        <v>43907</v>
      </c>
      <c r="D1670" s="312">
        <v>43966</v>
      </c>
      <c r="E1670" s="81">
        <v>43930</v>
      </c>
      <c r="F1670" s="86" t="s">
        <v>5795</v>
      </c>
      <c r="G1670" s="86" t="s">
        <v>158</v>
      </c>
      <c r="H1670" s="96" t="s">
        <v>213</v>
      </c>
      <c r="I1670" s="97" t="s">
        <v>2478</v>
      </c>
      <c r="J1670" s="73">
        <f t="shared" si="158"/>
        <v>1</v>
      </c>
      <c r="K1670" s="74" t="s">
        <v>204</v>
      </c>
      <c r="L1670" s="97" t="s">
        <v>7089</v>
      </c>
      <c r="N1670" s="76" t="s">
        <v>17</v>
      </c>
      <c r="Q1670" s="76" t="s">
        <v>2142</v>
      </c>
      <c r="R1670" s="73">
        <f t="shared" si="159"/>
        <v>1</v>
      </c>
      <c r="S1670" s="260" t="s">
        <v>1976</v>
      </c>
      <c r="T1670" s="260" t="s">
        <v>924</v>
      </c>
      <c r="Y1670" s="566">
        <v>0.41648148148148145</v>
      </c>
      <c r="Z1670" s="566">
        <v>0.42356481481481478</v>
      </c>
      <c r="AA1670" s="566">
        <f t="shared" ref="AA1670" si="161">Z1670-Y1670</f>
        <v>7.0833333333333304E-3</v>
      </c>
      <c r="AB1670" s="699"/>
    </row>
    <row r="1671" spans="1:28" x14ac:dyDescent="0.3">
      <c r="A1671" s="79" t="s">
        <v>5734</v>
      </c>
      <c r="C1671" s="115">
        <v>43881</v>
      </c>
      <c r="D1671" s="312">
        <v>43958</v>
      </c>
      <c r="E1671" s="81">
        <v>43927</v>
      </c>
      <c r="F1671" s="97" t="s">
        <v>5970</v>
      </c>
      <c r="G1671" s="86" t="s">
        <v>177</v>
      </c>
      <c r="H1671" s="96" t="s">
        <v>213</v>
      </c>
      <c r="I1671" s="97" t="s">
        <v>714</v>
      </c>
      <c r="J1671" s="73">
        <f t="shared" ref="J1671:J1679" si="162">IF(OR(K1671="Документы готовы",K1671="Запрос в ФО",K1671="ЭЗ",K1671="РЕШ",K1671="РЕШ шаблон"),0.1,IF(OR(K1671="ЭЗ согласование",K1671="РЕШ согласование"),0.3,IF(OR(K1671="ЭЗ согласовано",K1671="РЕШ согласовано",K1671="РЕШ подписано"),0.6,IF(OR(K1671="ЭЗ ПР согласование",K1671="РЕШ УВ согласование"),0.9,IF(OR(K1671="ЭЗ ПР DONE",K1671="РЕШ УВ DONE"),1,0)))))</f>
        <v>1</v>
      </c>
      <c r="K1671" s="74" t="s">
        <v>204</v>
      </c>
      <c r="N1671" s="76" t="s">
        <v>18</v>
      </c>
      <c r="Q1671" s="76" t="s">
        <v>2109</v>
      </c>
      <c r="R1671" s="73">
        <f t="shared" ref="R1671:R1679" si="163">IF(S1671="В работе",0.3,IF(S1671="Отписано",0.6,IF(S1671="На доработку",0.9,IF(S1671="Согласовано",1,0))))</f>
        <v>1</v>
      </c>
      <c r="S1671" s="260" t="s">
        <v>1976</v>
      </c>
      <c r="T1671" s="260" t="s">
        <v>923</v>
      </c>
      <c r="Y1671" s="566">
        <v>0.44791666666666669</v>
      </c>
      <c r="Z1671" s="566">
        <v>0.46875</v>
      </c>
      <c r="AA1671" s="566">
        <f>Z1671-Y1671</f>
        <v>2.0833333333333315E-2</v>
      </c>
      <c r="AB1671" s="699"/>
    </row>
    <row r="1672" spans="1:28" x14ac:dyDescent="0.3">
      <c r="A1672" s="96" t="s">
        <v>4798</v>
      </c>
      <c r="C1672" s="115">
        <v>43882</v>
      </c>
      <c r="D1672" s="312">
        <v>43959</v>
      </c>
      <c r="E1672" s="81">
        <v>43930</v>
      </c>
      <c r="F1672" s="86" t="s">
        <v>4874</v>
      </c>
      <c r="G1672" s="86" t="s">
        <v>189</v>
      </c>
      <c r="H1672" s="96" t="s">
        <v>213</v>
      </c>
      <c r="I1672" s="97" t="s">
        <v>714</v>
      </c>
      <c r="J1672" s="73">
        <f t="shared" si="162"/>
        <v>1</v>
      </c>
      <c r="K1672" s="74" t="s">
        <v>204</v>
      </c>
      <c r="N1672" s="76" t="s">
        <v>17</v>
      </c>
      <c r="Q1672" s="76" t="s">
        <v>2109</v>
      </c>
      <c r="R1672" s="73">
        <f t="shared" si="163"/>
        <v>1</v>
      </c>
      <c r="S1672" s="260" t="s">
        <v>1976</v>
      </c>
      <c r="T1672" s="260" t="s">
        <v>924</v>
      </c>
      <c r="Y1672" s="566">
        <v>0.65968749999999998</v>
      </c>
      <c r="Z1672" s="566">
        <v>0.67018518518518511</v>
      </c>
      <c r="AA1672" s="566">
        <f t="shared" ref="AA1672:AA1681" si="164">Z1672-Y1672</f>
        <v>1.0497685185185124E-2</v>
      </c>
      <c r="AB1672" s="699"/>
    </row>
    <row r="1673" spans="1:28" x14ac:dyDescent="0.3">
      <c r="A1673" s="79" t="s">
        <v>4803</v>
      </c>
      <c r="C1673" s="115">
        <v>43882</v>
      </c>
      <c r="D1673" s="312">
        <v>43959</v>
      </c>
      <c r="E1673" s="81">
        <v>43927</v>
      </c>
      <c r="F1673" s="86" t="s">
        <v>4879</v>
      </c>
      <c r="G1673" s="86" t="s">
        <v>158</v>
      </c>
      <c r="H1673" s="96" t="s">
        <v>213</v>
      </c>
      <c r="I1673" s="97" t="s">
        <v>714</v>
      </c>
      <c r="J1673" s="73">
        <f t="shared" si="162"/>
        <v>1</v>
      </c>
      <c r="K1673" s="74" t="s">
        <v>204</v>
      </c>
      <c r="N1673" s="76" t="s">
        <v>17</v>
      </c>
      <c r="Q1673" s="76" t="s">
        <v>2076</v>
      </c>
      <c r="R1673" s="73">
        <f t="shared" si="163"/>
        <v>1</v>
      </c>
      <c r="S1673" s="260" t="s">
        <v>1976</v>
      </c>
      <c r="T1673" s="260" t="s">
        <v>923</v>
      </c>
      <c r="U1673" s="301" t="s">
        <v>5283</v>
      </c>
      <c r="V1673" s="301" t="s">
        <v>5803</v>
      </c>
      <c r="Y1673" s="566">
        <v>0.47361111111111115</v>
      </c>
      <c r="Z1673" s="566">
        <v>0.48958333333333331</v>
      </c>
      <c r="AA1673" s="566">
        <f t="shared" si="164"/>
        <v>1.5972222222222165E-2</v>
      </c>
      <c r="AB1673" s="699"/>
    </row>
    <row r="1674" spans="1:28" x14ac:dyDescent="0.3">
      <c r="A1674" s="79" t="s">
        <v>5341</v>
      </c>
      <c r="C1674" s="115">
        <v>43895</v>
      </c>
      <c r="D1674" s="312">
        <v>43957</v>
      </c>
      <c r="E1674" s="81">
        <v>43929</v>
      </c>
      <c r="F1674" s="86" t="s">
        <v>5467</v>
      </c>
      <c r="G1674" s="86" t="s">
        <v>158</v>
      </c>
      <c r="H1674" s="96" t="s">
        <v>213</v>
      </c>
      <c r="I1674" s="97" t="s">
        <v>714</v>
      </c>
      <c r="J1674" s="73">
        <f t="shared" si="162"/>
        <v>1</v>
      </c>
      <c r="K1674" s="74" t="s">
        <v>204</v>
      </c>
      <c r="N1674" s="76" t="s">
        <v>17</v>
      </c>
      <c r="Q1674" s="76" t="s">
        <v>2109</v>
      </c>
      <c r="R1674" s="73">
        <f t="shared" si="163"/>
        <v>1</v>
      </c>
      <c r="S1674" s="260" t="s">
        <v>1976</v>
      </c>
      <c r="T1674" s="260" t="s">
        <v>925</v>
      </c>
      <c r="U1674" s="301" t="s">
        <v>5283</v>
      </c>
      <c r="V1674" s="301" t="s">
        <v>5820</v>
      </c>
      <c r="Y1674" s="566">
        <v>0.41250000000000003</v>
      </c>
      <c r="Z1674" s="566">
        <v>0.42222222222222222</v>
      </c>
      <c r="AA1674" s="566">
        <f t="shared" si="164"/>
        <v>9.7222222222221877E-3</v>
      </c>
      <c r="AB1674" s="699"/>
    </row>
    <row r="1675" spans="1:28" x14ac:dyDescent="0.3">
      <c r="A1675" s="79" t="s">
        <v>5353</v>
      </c>
      <c r="C1675" s="115">
        <v>43896</v>
      </c>
      <c r="D1675" s="312">
        <v>43957</v>
      </c>
      <c r="E1675" s="81">
        <v>43929</v>
      </c>
      <c r="F1675" s="86" t="s">
        <v>5479</v>
      </c>
      <c r="G1675" s="86" t="s">
        <v>175</v>
      </c>
      <c r="H1675" s="96" t="s">
        <v>213</v>
      </c>
      <c r="I1675" s="97" t="s">
        <v>714</v>
      </c>
      <c r="J1675" s="73">
        <f t="shared" si="162"/>
        <v>1</v>
      </c>
      <c r="K1675" s="74" t="s">
        <v>204</v>
      </c>
      <c r="N1675" s="76" t="s">
        <v>17</v>
      </c>
      <c r="Q1675" s="76" t="s">
        <v>2037</v>
      </c>
      <c r="R1675" s="73">
        <f t="shared" si="163"/>
        <v>1</v>
      </c>
      <c r="S1675" s="260" t="s">
        <v>1976</v>
      </c>
      <c r="T1675" s="260" t="s">
        <v>925</v>
      </c>
      <c r="U1675" s="301" t="s">
        <v>5283</v>
      </c>
      <c r="V1675" s="301" t="s">
        <v>5822</v>
      </c>
      <c r="Y1675" s="566">
        <v>0.39513888888888887</v>
      </c>
      <c r="Z1675" s="566">
        <v>0.40486111111111112</v>
      </c>
      <c r="AA1675" s="566">
        <f t="shared" si="164"/>
        <v>9.7222222222222432E-3</v>
      </c>
      <c r="AB1675" s="699"/>
    </row>
    <row r="1676" spans="1:28" x14ac:dyDescent="0.3">
      <c r="A1676" s="79" t="s">
        <v>5355</v>
      </c>
      <c r="C1676" s="115">
        <v>43896</v>
      </c>
      <c r="D1676" s="312">
        <v>43958</v>
      </c>
      <c r="E1676" s="81">
        <v>43927</v>
      </c>
      <c r="F1676" s="86" t="s">
        <v>5481</v>
      </c>
      <c r="G1676" s="86" t="s">
        <v>147</v>
      </c>
      <c r="H1676" s="96" t="s">
        <v>213</v>
      </c>
      <c r="I1676" s="97" t="s">
        <v>714</v>
      </c>
      <c r="J1676" s="73">
        <f t="shared" si="162"/>
        <v>1</v>
      </c>
      <c r="K1676" s="74" t="s">
        <v>204</v>
      </c>
      <c r="N1676" s="76" t="s">
        <v>18</v>
      </c>
      <c r="Q1676" s="76" t="s">
        <v>2417</v>
      </c>
      <c r="R1676" s="73">
        <f t="shared" si="163"/>
        <v>1</v>
      </c>
      <c r="S1676" s="260" t="s">
        <v>1976</v>
      </c>
      <c r="T1676" s="260" t="s">
        <v>925</v>
      </c>
      <c r="Y1676" s="566">
        <v>0.7402777777777777</v>
      </c>
      <c r="Z1676" s="566">
        <v>0.75069444444444444</v>
      </c>
      <c r="AA1676" s="566">
        <f t="shared" si="164"/>
        <v>1.0416666666666741E-2</v>
      </c>
      <c r="AB1676" s="699"/>
    </row>
    <row r="1677" spans="1:28" x14ac:dyDescent="0.3">
      <c r="A1677" s="79" t="s">
        <v>5381</v>
      </c>
      <c r="C1677" s="115">
        <v>43900</v>
      </c>
      <c r="D1677" s="312">
        <v>43959</v>
      </c>
      <c r="E1677" s="81">
        <v>43927</v>
      </c>
      <c r="F1677" s="86" t="s">
        <v>5507</v>
      </c>
      <c r="G1677" s="86" t="s">
        <v>164</v>
      </c>
      <c r="H1677" s="96" t="s">
        <v>213</v>
      </c>
      <c r="I1677" s="97" t="s">
        <v>2478</v>
      </c>
      <c r="J1677" s="73">
        <f t="shared" si="162"/>
        <v>1</v>
      </c>
      <c r="K1677" s="74" t="s">
        <v>204</v>
      </c>
      <c r="L1677" s="97" t="s">
        <v>5804</v>
      </c>
      <c r="N1677" s="76" t="s">
        <v>17</v>
      </c>
      <c r="Q1677" s="76" t="s">
        <v>2076</v>
      </c>
      <c r="R1677" s="73">
        <f t="shared" si="163"/>
        <v>1</v>
      </c>
      <c r="S1677" s="260" t="s">
        <v>1976</v>
      </c>
      <c r="T1677" s="260" t="s">
        <v>924</v>
      </c>
      <c r="Y1677" s="566">
        <v>0.49236111111111108</v>
      </c>
      <c r="Z1677" s="566">
        <v>0.5131944444444444</v>
      </c>
      <c r="AA1677" s="566">
        <f t="shared" si="164"/>
        <v>2.0833333333333315E-2</v>
      </c>
      <c r="AB1677" s="699"/>
    </row>
    <row r="1678" spans="1:28" x14ac:dyDescent="0.3">
      <c r="A1678" s="79" t="s">
        <v>5382</v>
      </c>
      <c r="C1678" s="115">
        <v>43900</v>
      </c>
      <c r="D1678" s="312">
        <v>43959</v>
      </c>
      <c r="E1678" s="81">
        <v>43927</v>
      </c>
      <c r="F1678" s="86" t="s">
        <v>5508</v>
      </c>
      <c r="G1678" s="86" t="s">
        <v>152</v>
      </c>
      <c r="H1678" s="96" t="s">
        <v>213</v>
      </c>
      <c r="I1678" s="97" t="s">
        <v>714</v>
      </c>
      <c r="J1678" s="73">
        <f t="shared" si="162"/>
        <v>1</v>
      </c>
      <c r="K1678" s="74" t="s">
        <v>204</v>
      </c>
      <c r="N1678" s="76" t="s">
        <v>17</v>
      </c>
      <c r="Q1678" s="76" t="s">
        <v>2417</v>
      </c>
      <c r="R1678" s="73">
        <f t="shared" si="163"/>
        <v>1</v>
      </c>
      <c r="S1678" s="260" t="s">
        <v>1976</v>
      </c>
      <c r="T1678" s="260" t="s">
        <v>925</v>
      </c>
      <c r="Y1678" s="566">
        <v>0.51458333333333328</v>
      </c>
      <c r="Z1678" s="566">
        <v>0.53055555555555556</v>
      </c>
      <c r="AA1678" s="566">
        <f t="shared" si="164"/>
        <v>1.5972222222222276E-2</v>
      </c>
      <c r="AB1678" s="699"/>
    </row>
    <row r="1679" spans="1:28" x14ac:dyDescent="0.3">
      <c r="A1679" s="79" t="s">
        <v>5386</v>
      </c>
      <c r="C1679" s="115">
        <v>43900</v>
      </c>
      <c r="D1679" s="312">
        <v>43959</v>
      </c>
      <c r="E1679" s="81">
        <v>43927</v>
      </c>
      <c r="F1679" s="86" t="s">
        <v>5512</v>
      </c>
      <c r="G1679" s="86" t="s">
        <v>152</v>
      </c>
      <c r="H1679" s="96" t="s">
        <v>213</v>
      </c>
      <c r="I1679" s="97" t="s">
        <v>683</v>
      </c>
      <c r="J1679" s="73">
        <f t="shared" si="162"/>
        <v>1</v>
      </c>
      <c r="K1679" s="74" t="s">
        <v>204</v>
      </c>
      <c r="N1679" s="76" t="s">
        <v>19</v>
      </c>
      <c r="Q1679" s="76" t="s">
        <v>2076</v>
      </c>
      <c r="R1679" s="73">
        <f t="shared" si="163"/>
        <v>1</v>
      </c>
      <c r="S1679" s="260" t="s">
        <v>1976</v>
      </c>
      <c r="T1679" s="260" t="s">
        <v>924</v>
      </c>
      <c r="U1679" s="301" t="s">
        <v>5283</v>
      </c>
      <c r="V1679" s="301" t="s">
        <v>5805</v>
      </c>
      <c r="Y1679" s="566">
        <v>0.77708333333333324</v>
      </c>
      <c r="Z1679" s="566">
        <v>0.80208333333333337</v>
      </c>
      <c r="AA1679" s="566">
        <f t="shared" si="164"/>
        <v>2.5000000000000133E-2</v>
      </c>
      <c r="AB1679" s="699"/>
    </row>
    <row r="1680" spans="1:28" x14ac:dyDescent="0.3">
      <c r="A1680" s="96" t="s">
        <v>5033</v>
      </c>
      <c r="C1680" s="115">
        <v>43892</v>
      </c>
      <c r="D1680" s="312">
        <v>43969</v>
      </c>
      <c r="E1680" s="81">
        <v>43931</v>
      </c>
      <c r="F1680" s="86" t="s">
        <v>5144</v>
      </c>
      <c r="G1680" s="86" t="s">
        <v>152</v>
      </c>
      <c r="H1680" s="96" t="s">
        <v>213</v>
      </c>
      <c r="I1680" s="97" t="s">
        <v>641</v>
      </c>
      <c r="J1680" s="73">
        <f t="shared" ref="J1680:J1682" si="165">IF(OR(K1680="Документы готовы",K1680="Запрос в ФО",K1680="ЭЗ",K1680="РЕШ",K1680="РЕШ шаблон"),0.1,IF(OR(K1680="ЭЗ согласование",K1680="РЕШ согласование"),0.3,IF(OR(K1680="ЭЗ согласовано",K1680="РЕШ согласовано",K1680="РЕШ подписано"),0.6,IF(OR(K1680="ЭЗ ПР согласование",K1680="РЕШ УВ согласование"),0.9,IF(OR(K1680="ЭЗ ПР DONE",K1680="РЕШ УВ DONE"),1,0)))))</f>
        <v>1</v>
      </c>
      <c r="K1680" s="74" t="s">
        <v>204</v>
      </c>
      <c r="L1680" s="97" t="s">
        <v>5976</v>
      </c>
      <c r="N1680" s="76" t="s">
        <v>17</v>
      </c>
      <c r="Q1680" s="76" t="s">
        <v>2037</v>
      </c>
      <c r="R1680" s="73">
        <f t="shared" ref="R1680:R1682" si="166">IF(S1680="В работе",0.3,IF(S1680="Отписано",0.6,IF(S1680="На доработку",0.9,IF(S1680="Согласовано",1,0))))</f>
        <v>1</v>
      </c>
      <c r="S1680" s="260" t="s">
        <v>1976</v>
      </c>
      <c r="T1680" s="260" t="s">
        <v>925</v>
      </c>
      <c r="U1680" s="301" t="s">
        <v>5283</v>
      </c>
      <c r="V1680" s="301" t="s">
        <v>5977</v>
      </c>
      <c r="Y1680" s="566">
        <v>0.73025462962962961</v>
      </c>
      <c r="Z1680" s="566">
        <v>0.74972222222222218</v>
      </c>
      <c r="AA1680" s="566">
        <f t="shared" si="164"/>
        <v>1.9467592592592564E-2</v>
      </c>
      <c r="AB1680" s="699"/>
    </row>
    <row r="1681" spans="1:28" x14ac:dyDescent="0.3">
      <c r="A1681" s="96" t="s">
        <v>5833</v>
      </c>
      <c r="C1681" s="115">
        <v>43892</v>
      </c>
      <c r="D1681" s="312">
        <v>43969</v>
      </c>
      <c r="E1681" s="81">
        <v>43930</v>
      </c>
      <c r="F1681" s="86" t="s">
        <v>5899</v>
      </c>
      <c r="G1681" s="86" t="s">
        <v>156</v>
      </c>
      <c r="H1681" s="96" t="s">
        <v>213</v>
      </c>
      <c r="I1681" s="97" t="s">
        <v>714</v>
      </c>
      <c r="J1681" s="73">
        <f t="shared" si="165"/>
        <v>1</v>
      </c>
      <c r="K1681" s="74" t="s">
        <v>204</v>
      </c>
      <c r="N1681" s="76" t="s">
        <v>18</v>
      </c>
      <c r="Q1681" s="76" t="s">
        <v>2037</v>
      </c>
      <c r="R1681" s="73">
        <f t="shared" si="166"/>
        <v>1</v>
      </c>
      <c r="S1681" s="260" t="s">
        <v>1976</v>
      </c>
      <c r="T1681" s="260" t="s">
        <v>925</v>
      </c>
      <c r="Y1681" s="566">
        <v>0.75053240740740745</v>
      </c>
      <c r="Z1681" s="566">
        <v>0.75797453703703699</v>
      </c>
      <c r="AA1681" s="566">
        <f t="shared" si="164"/>
        <v>7.4421296296295347E-3</v>
      </c>
      <c r="AB1681" s="699"/>
    </row>
    <row r="1682" spans="1:28" x14ac:dyDescent="0.3">
      <c r="A1682" s="79" t="s">
        <v>5844</v>
      </c>
      <c r="C1682" s="115">
        <v>43907</v>
      </c>
      <c r="D1682" s="312">
        <v>43969</v>
      </c>
      <c r="E1682" s="81">
        <v>43930</v>
      </c>
      <c r="F1682" s="86" t="s">
        <v>5910</v>
      </c>
      <c r="G1682" s="86" t="s">
        <v>410</v>
      </c>
      <c r="H1682" s="96" t="s">
        <v>213</v>
      </c>
      <c r="I1682" s="97" t="s">
        <v>649</v>
      </c>
      <c r="J1682" s="73">
        <f t="shared" si="165"/>
        <v>1</v>
      </c>
      <c r="K1682" s="74" t="s">
        <v>204</v>
      </c>
      <c r="L1682" s="97" t="s">
        <v>7089</v>
      </c>
      <c r="N1682" s="76" t="s">
        <v>18</v>
      </c>
      <c r="Q1682" s="76" t="s">
        <v>2037</v>
      </c>
      <c r="R1682" s="73">
        <f t="shared" si="166"/>
        <v>1</v>
      </c>
      <c r="S1682" s="260" t="s">
        <v>1976</v>
      </c>
      <c r="T1682" s="260" t="s">
        <v>923</v>
      </c>
      <c r="U1682" s="301" t="s">
        <v>5283</v>
      </c>
      <c r="V1682" s="301" t="s">
        <v>5967</v>
      </c>
      <c r="Y1682" s="566">
        <v>0.73232638888888879</v>
      </c>
      <c r="Z1682" s="566">
        <v>0.74892361111111105</v>
      </c>
      <c r="AA1682" s="566">
        <f t="shared" ref="AA1682:AA1685" si="167">Z1682-Y1682</f>
        <v>1.6597222222222263E-2</v>
      </c>
      <c r="AB1682" s="699"/>
    </row>
    <row r="1683" spans="1:28" x14ac:dyDescent="0.3">
      <c r="A1683" s="79" t="s">
        <v>5845</v>
      </c>
      <c r="C1683" s="115">
        <v>43907</v>
      </c>
      <c r="D1683" s="312">
        <v>43969</v>
      </c>
      <c r="E1683" s="81">
        <v>43931</v>
      </c>
      <c r="F1683" s="86" t="s">
        <v>5911</v>
      </c>
      <c r="G1683" s="86" t="s">
        <v>152</v>
      </c>
      <c r="H1683" s="96" t="s">
        <v>213</v>
      </c>
      <c r="I1683" s="97" t="s">
        <v>649</v>
      </c>
      <c r="J1683" s="73">
        <f t="shared" ref="J1683:J1693" si="168">IF(OR(K1683="Документы готовы",K1683="Запрос в ФО",K1683="ЭЗ",K1683="РЕШ",K1683="РЕШ шаблон"),0.1,IF(OR(K1683="ЭЗ согласование",K1683="РЕШ согласование"),0.3,IF(OR(K1683="ЭЗ согласовано",K1683="РЕШ согласовано",K1683="РЕШ подписано"),0.6,IF(OR(K1683="ЭЗ ПР согласование",K1683="РЕШ УВ согласование"),0.9,IF(OR(K1683="ЭЗ ПР DONE",K1683="РЕШ УВ DONE"),1,0)))))</f>
        <v>1</v>
      </c>
      <c r="K1683" s="74" t="s">
        <v>204</v>
      </c>
      <c r="L1683" s="97" t="s">
        <v>7089</v>
      </c>
      <c r="N1683" s="76" t="s">
        <v>17</v>
      </c>
      <c r="Q1683" s="76" t="s">
        <v>2037</v>
      </c>
      <c r="R1683" s="73">
        <f t="shared" ref="R1683:R1693" si="169">IF(S1683="В работе",0.3,IF(S1683="Отписано",0.6,IF(S1683="На доработку",0.9,IF(S1683="Согласовано",1,0))))</f>
        <v>1</v>
      </c>
      <c r="S1683" s="260" t="s">
        <v>1976</v>
      </c>
      <c r="T1683" s="260" t="s">
        <v>923</v>
      </c>
      <c r="Y1683" s="566">
        <v>0.42524305555555553</v>
      </c>
      <c r="Z1683" s="566">
        <v>0.43434027777777778</v>
      </c>
      <c r="AA1683" s="566">
        <f t="shared" si="167"/>
        <v>9.0972222222222565E-3</v>
      </c>
      <c r="AB1683" s="699"/>
    </row>
    <row r="1684" spans="1:28" x14ac:dyDescent="0.3">
      <c r="A1684" s="96" t="s">
        <v>5859</v>
      </c>
      <c r="C1684" s="115">
        <v>43908</v>
      </c>
      <c r="D1684" s="312">
        <v>43970</v>
      </c>
      <c r="E1684" s="81">
        <v>43930</v>
      </c>
      <c r="F1684" s="86" t="s">
        <v>5925</v>
      </c>
      <c r="G1684" s="86" t="s">
        <v>158</v>
      </c>
      <c r="H1684" s="96" t="s">
        <v>213</v>
      </c>
      <c r="I1684" s="97" t="s">
        <v>722</v>
      </c>
      <c r="J1684" s="73">
        <f t="shared" si="168"/>
        <v>1</v>
      </c>
      <c r="K1684" s="74" t="s">
        <v>204</v>
      </c>
      <c r="N1684" s="76" t="s">
        <v>18</v>
      </c>
      <c r="Q1684" s="76" t="s">
        <v>2037</v>
      </c>
      <c r="R1684" s="73">
        <f t="shared" si="169"/>
        <v>1</v>
      </c>
      <c r="S1684" s="260" t="s">
        <v>1976</v>
      </c>
      <c r="T1684" s="260" t="s">
        <v>925</v>
      </c>
      <c r="Y1684" s="566">
        <v>0.40763888888888888</v>
      </c>
      <c r="Z1684" s="566">
        <v>0.41609953703703706</v>
      </c>
      <c r="AA1684" s="566">
        <f t="shared" si="167"/>
        <v>8.4606481481481755E-3</v>
      </c>
      <c r="AB1684" s="699"/>
    </row>
    <row r="1685" spans="1:28" x14ac:dyDescent="0.3">
      <c r="A1685" s="96" t="s">
        <v>5860</v>
      </c>
      <c r="C1685" s="115">
        <v>43908</v>
      </c>
      <c r="D1685" s="312">
        <v>43970</v>
      </c>
      <c r="E1685" s="81">
        <v>43930</v>
      </c>
      <c r="F1685" s="86" t="s">
        <v>2938</v>
      </c>
      <c r="G1685" s="86" t="s">
        <v>157</v>
      </c>
      <c r="H1685" s="96" t="s">
        <v>213</v>
      </c>
      <c r="I1685" s="97" t="s">
        <v>5960</v>
      </c>
      <c r="J1685" s="73">
        <f t="shared" si="168"/>
        <v>1</v>
      </c>
      <c r="K1685" s="74" t="s">
        <v>204</v>
      </c>
      <c r="N1685" s="76" t="s">
        <v>17</v>
      </c>
      <c r="Q1685" s="76" t="s">
        <v>2037</v>
      </c>
      <c r="R1685" s="73">
        <f t="shared" si="169"/>
        <v>1</v>
      </c>
      <c r="S1685" s="260" t="s">
        <v>1976</v>
      </c>
      <c r="T1685" s="260" t="s">
        <v>925</v>
      </c>
      <c r="U1685" s="301" t="s">
        <v>5283</v>
      </c>
      <c r="V1685" s="301" t="s">
        <v>5961</v>
      </c>
      <c r="Y1685" s="566">
        <v>0.39285879629629633</v>
      </c>
      <c r="Z1685" s="566">
        <v>0.41418981481481482</v>
      </c>
      <c r="AA1685" s="566">
        <f t="shared" si="167"/>
        <v>2.1331018518518485E-2</v>
      </c>
      <c r="AB1685" s="699"/>
    </row>
    <row r="1686" spans="1:28" x14ac:dyDescent="0.3">
      <c r="A1686" s="96" t="s">
        <v>5872</v>
      </c>
      <c r="C1686" s="115">
        <v>43908</v>
      </c>
      <c r="D1686" s="312">
        <v>43970</v>
      </c>
      <c r="E1686" s="81">
        <v>43930</v>
      </c>
      <c r="F1686" s="86" t="s">
        <v>5937</v>
      </c>
      <c r="G1686" s="86" t="s">
        <v>152</v>
      </c>
      <c r="H1686" s="96" t="s">
        <v>213</v>
      </c>
      <c r="I1686" s="97" t="s">
        <v>4963</v>
      </c>
      <c r="J1686" s="73">
        <f t="shared" si="168"/>
        <v>1</v>
      </c>
      <c r="K1686" s="74" t="s">
        <v>204</v>
      </c>
      <c r="N1686" s="76" t="s">
        <v>19</v>
      </c>
      <c r="Q1686" s="76" t="s">
        <v>2037</v>
      </c>
      <c r="R1686" s="73">
        <f t="shared" si="169"/>
        <v>1</v>
      </c>
      <c r="S1686" s="260" t="s">
        <v>1976</v>
      </c>
      <c r="T1686" s="260" t="s">
        <v>923</v>
      </c>
      <c r="Y1686" s="566">
        <v>0.3888888888888889</v>
      </c>
      <c r="Z1686" s="566">
        <v>0.39231481481481478</v>
      </c>
      <c r="AA1686" s="566">
        <f t="shared" ref="AA1686:AA1715" si="170">Z1686-Y1686</f>
        <v>3.4259259259258878E-3</v>
      </c>
      <c r="AB1686" s="699"/>
    </row>
    <row r="1687" spans="1:28" x14ac:dyDescent="0.3">
      <c r="A1687" s="79" t="s">
        <v>4974</v>
      </c>
      <c r="C1687" s="115">
        <v>43871</v>
      </c>
      <c r="D1687" s="312">
        <v>43970</v>
      </c>
      <c r="E1687" s="81">
        <v>43937</v>
      </c>
      <c r="F1687" s="252" t="s">
        <v>4245</v>
      </c>
      <c r="G1687" s="86" t="s">
        <v>152</v>
      </c>
      <c r="H1687" s="96" t="s">
        <v>213</v>
      </c>
      <c r="I1687" s="97" t="s">
        <v>691</v>
      </c>
      <c r="J1687" s="73">
        <f t="shared" si="168"/>
        <v>1</v>
      </c>
      <c r="K1687" s="74" t="s">
        <v>204</v>
      </c>
      <c r="L1687" s="97" t="s">
        <v>6386</v>
      </c>
      <c r="N1687" s="76" t="s">
        <v>18</v>
      </c>
      <c r="Q1687" s="76" t="s">
        <v>2109</v>
      </c>
      <c r="R1687" s="73">
        <f t="shared" si="169"/>
        <v>1</v>
      </c>
      <c r="S1687" s="260" t="s">
        <v>1976</v>
      </c>
      <c r="T1687" s="260" t="s">
        <v>924</v>
      </c>
      <c r="U1687" s="301" t="s">
        <v>5283</v>
      </c>
      <c r="V1687" s="301" t="s">
        <v>6090</v>
      </c>
      <c r="Y1687" s="566">
        <v>0.66637731481481477</v>
      </c>
      <c r="Z1687" s="566">
        <v>0.73167824074074073</v>
      </c>
      <c r="AA1687" s="566">
        <f t="shared" si="170"/>
        <v>6.5300925925925957E-2</v>
      </c>
      <c r="AB1687" s="699"/>
    </row>
    <row r="1688" spans="1:28" x14ac:dyDescent="0.3">
      <c r="A1688" s="79" t="s">
        <v>4766</v>
      </c>
      <c r="C1688" s="115">
        <v>43880</v>
      </c>
      <c r="D1688" s="312">
        <v>43972</v>
      </c>
      <c r="E1688" s="81">
        <v>43937</v>
      </c>
      <c r="F1688" s="86" t="s">
        <v>4842</v>
      </c>
      <c r="G1688" s="86" t="s">
        <v>156</v>
      </c>
      <c r="H1688" s="96" t="s">
        <v>213</v>
      </c>
      <c r="I1688" s="97" t="s">
        <v>6088</v>
      </c>
      <c r="J1688" s="73">
        <f t="shared" si="168"/>
        <v>1</v>
      </c>
      <c r="K1688" s="74" t="s">
        <v>204</v>
      </c>
      <c r="L1688" s="97" t="s">
        <v>6089</v>
      </c>
      <c r="N1688" s="76" t="s">
        <v>17</v>
      </c>
      <c r="Q1688" s="76" t="s">
        <v>2142</v>
      </c>
      <c r="R1688" s="73">
        <f t="shared" si="169"/>
        <v>1</v>
      </c>
      <c r="S1688" s="260" t="s">
        <v>1976</v>
      </c>
      <c r="T1688" s="260" t="s">
        <v>923</v>
      </c>
      <c r="Y1688" s="566">
        <v>0.56423611111111105</v>
      </c>
      <c r="Z1688" s="566">
        <v>0.57166666666666666</v>
      </c>
      <c r="AA1688" s="566">
        <f t="shared" si="170"/>
        <v>7.4305555555556069E-3</v>
      </c>
      <c r="AB1688" s="699"/>
    </row>
    <row r="1689" spans="1:28" x14ac:dyDescent="0.3">
      <c r="A1689" s="79" t="s">
        <v>5828</v>
      </c>
      <c r="C1689" s="115">
        <v>43882</v>
      </c>
      <c r="D1689" s="312">
        <v>43969</v>
      </c>
      <c r="E1689" s="81">
        <v>43934</v>
      </c>
      <c r="F1689" s="86" t="s">
        <v>5894</v>
      </c>
      <c r="G1689" s="86" t="s">
        <v>152</v>
      </c>
      <c r="H1689" s="96" t="s">
        <v>213</v>
      </c>
      <c r="I1689" s="97" t="s">
        <v>4963</v>
      </c>
      <c r="J1689" s="73">
        <f t="shared" si="168"/>
        <v>1</v>
      </c>
      <c r="K1689" s="74" t="s">
        <v>204</v>
      </c>
      <c r="N1689" s="76" t="s">
        <v>19</v>
      </c>
      <c r="Q1689" s="76" t="s">
        <v>2142</v>
      </c>
      <c r="R1689" s="73">
        <f t="shared" si="169"/>
        <v>1</v>
      </c>
      <c r="S1689" s="260" t="s">
        <v>1976</v>
      </c>
      <c r="T1689" s="260" t="s">
        <v>923</v>
      </c>
      <c r="Y1689" s="566">
        <v>0.4262037037037037</v>
      </c>
      <c r="Z1689" s="566">
        <v>0.43405092592592592</v>
      </c>
      <c r="AA1689" s="566">
        <f t="shared" si="170"/>
        <v>7.8472222222222276E-3</v>
      </c>
      <c r="AB1689" s="699"/>
    </row>
    <row r="1690" spans="1:28" x14ac:dyDescent="0.3">
      <c r="A1690" s="79" t="s">
        <v>5829</v>
      </c>
      <c r="C1690" s="115">
        <v>43882</v>
      </c>
      <c r="D1690" s="312">
        <v>43969</v>
      </c>
      <c r="E1690" s="81">
        <v>43934</v>
      </c>
      <c r="F1690" s="86" t="s">
        <v>5895</v>
      </c>
      <c r="G1690" s="86" t="s">
        <v>156</v>
      </c>
      <c r="H1690" s="96" t="s">
        <v>213</v>
      </c>
      <c r="I1690" s="97" t="s">
        <v>2478</v>
      </c>
      <c r="J1690" s="73">
        <f t="shared" si="168"/>
        <v>1</v>
      </c>
      <c r="K1690" s="74" t="s">
        <v>204</v>
      </c>
      <c r="N1690" s="76" t="s">
        <v>17</v>
      </c>
      <c r="Q1690" s="76" t="s">
        <v>2109</v>
      </c>
      <c r="R1690" s="73">
        <f t="shared" si="169"/>
        <v>1</v>
      </c>
      <c r="S1690" s="260" t="s">
        <v>1976</v>
      </c>
      <c r="T1690" s="260" t="s">
        <v>924</v>
      </c>
      <c r="Y1690" s="566">
        <v>0.61126157407407411</v>
      </c>
      <c r="Z1690" s="566">
        <v>0.63600694444444439</v>
      </c>
      <c r="AA1690" s="566">
        <f t="shared" si="170"/>
        <v>2.4745370370370279E-2</v>
      </c>
      <c r="AB1690" s="699"/>
    </row>
    <row r="1691" spans="1:28" x14ac:dyDescent="0.3">
      <c r="A1691" s="79" t="s">
        <v>5830</v>
      </c>
      <c r="C1691" s="115">
        <v>43887</v>
      </c>
      <c r="D1691" s="312">
        <v>43971</v>
      </c>
      <c r="E1691" s="81">
        <v>43935</v>
      </c>
      <c r="F1691" s="86" t="s">
        <v>5896</v>
      </c>
      <c r="G1691" s="86" t="s">
        <v>152</v>
      </c>
      <c r="H1691" s="96" t="s">
        <v>213</v>
      </c>
      <c r="I1691" s="97" t="s">
        <v>2478</v>
      </c>
      <c r="J1691" s="73">
        <f t="shared" si="168"/>
        <v>1</v>
      </c>
      <c r="K1691" s="74" t="s">
        <v>204</v>
      </c>
      <c r="N1691" s="76" t="s">
        <v>17</v>
      </c>
      <c r="Q1691" s="76" t="s">
        <v>2037</v>
      </c>
      <c r="R1691" s="73">
        <f t="shared" si="169"/>
        <v>1</v>
      </c>
      <c r="S1691" s="260" t="s">
        <v>1976</v>
      </c>
      <c r="T1691" s="260" t="s">
        <v>925</v>
      </c>
      <c r="Y1691" s="566">
        <v>0.46547453703703701</v>
      </c>
      <c r="Z1691" s="566">
        <v>0.47918981481481482</v>
      </c>
      <c r="AA1691" s="566">
        <f t="shared" si="170"/>
        <v>1.3715277777777812E-2</v>
      </c>
      <c r="AB1691" s="699"/>
    </row>
    <row r="1692" spans="1:28" x14ac:dyDescent="0.3">
      <c r="A1692" s="79" t="s">
        <v>5831</v>
      </c>
      <c r="C1692" s="115">
        <v>43892</v>
      </c>
      <c r="D1692" s="312">
        <v>43969</v>
      </c>
      <c r="E1692" s="81">
        <v>43934</v>
      </c>
      <c r="F1692" s="86" t="s">
        <v>5897</v>
      </c>
      <c r="G1692" s="86" t="s">
        <v>156</v>
      </c>
      <c r="H1692" s="96" t="s">
        <v>213</v>
      </c>
      <c r="I1692" s="97" t="s">
        <v>972</v>
      </c>
      <c r="J1692" s="73">
        <f t="shared" si="168"/>
        <v>1</v>
      </c>
      <c r="K1692" s="74" t="s">
        <v>204</v>
      </c>
      <c r="L1692" s="97" t="s">
        <v>6074</v>
      </c>
      <c r="N1692" s="76" t="s">
        <v>18</v>
      </c>
      <c r="Q1692" s="76" t="s">
        <v>2109</v>
      </c>
      <c r="R1692" s="73">
        <f t="shared" si="169"/>
        <v>1</v>
      </c>
      <c r="S1692" s="260" t="s">
        <v>1976</v>
      </c>
      <c r="T1692" s="260" t="s">
        <v>923</v>
      </c>
      <c r="Y1692" s="566">
        <v>0.7409027777777778</v>
      </c>
      <c r="Z1692" s="566">
        <v>0.80202546296296295</v>
      </c>
      <c r="AA1692" s="566">
        <f t="shared" si="170"/>
        <v>6.1122685185185155E-2</v>
      </c>
      <c r="AB1692" s="699"/>
    </row>
    <row r="1693" spans="1:28" x14ac:dyDescent="0.3">
      <c r="A1693" s="79" t="s">
        <v>5832</v>
      </c>
      <c r="C1693" s="115">
        <v>43892</v>
      </c>
      <c r="D1693" s="312">
        <v>43969</v>
      </c>
      <c r="E1693" s="81">
        <v>43934</v>
      </c>
      <c r="F1693" s="86" t="s">
        <v>5898</v>
      </c>
      <c r="G1693" s="86" t="s">
        <v>172</v>
      </c>
      <c r="H1693" s="96" t="s">
        <v>213</v>
      </c>
      <c r="I1693" s="97" t="s">
        <v>645</v>
      </c>
      <c r="J1693" s="73">
        <f t="shared" si="168"/>
        <v>1</v>
      </c>
      <c r="K1693" s="74" t="s">
        <v>204</v>
      </c>
      <c r="N1693" s="76" t="s">
        <v>17</v>
      </c>
      <c r="Q1693" s="76" t="s">
        <v>2417</v>
      </c>
      <c r="R1693" s="73">
        <f t="shared" si="169"/>
        <v>1</v>
      </c>
      <c r="S1693" s="260" t="s">
        <v>1976</v>
      </c>
      <c r="T1693" s="260" t="s">
        <v>923</v>
      </c>
      <c r="Y1693" s="566">
        <v>0.64934027777777781</v>
      </c>
      <c r="Z1693" s="566">
        <v>0.65995370370370365</v>
      </c>
      <c r="AA1693" s="566">
        <f t="shared" si="170"/>
        <v>1.0613425925925846E-2</v>
      </c>
      <c r="AB1693" s="699"/>
    </row>
    <row r="1694" spans="1:28" x14ac:dyDescent="0.3">
      <c r="A1694" s="79" t="s">
        <v>5034</v>
      </c>
      <c r="C1694" s="115">
        <v>43892</v>
      </c>
      <c r="D1694" s="312">
        <v>43969</v>
      </c>
      <c r="E1694" s="81">
        <v>43935</v>
      </c>
      <c r="F1694" s="86" t="s">
        <v>5145</v>
      </c>
      <c r="G1694" s="86" t="s">
        <v>147</v>
      </c>
      <c r="H1694" s="96" t="s">
        <v>213</v>
      </c>
      <c r="I1694" s="97" t="s">
        <v>755</v>
      </c>
      <c r="J1694" s="73">
        <f t="shared" ref="J1694:J1753" si="171">IF(OR(K1694="Документы готовы",K1694="Запрос в ФО",K1694="ЭЗ",K1694="РЕШ",K1694="РЕШ шаблон"),0.1,IF(OR(K1694="ЭЗ согласование",K1694="РЕШ согласование"),0.3,IF(OR(K1694="ЭЗ согласовано",K1694="РЕШ согласовано",K1694="РЕШ подписано"),0.6,IF(OR(K1694="ЭЗ ПР согласование",K1694="РЕШ УВ согласование"),0.9,IF(OR(K1694="ЭЗ ПР DONE",K1694="РЕШ УВ DONE"),1,0)))))</f>
        <v>1</v>
      </c>
      <c r="K1694" s="74" t="s">
        <v>204</v>
      </c>
      <c r="N1694" s="76" t="s">
        <v>18</v>
      </c>
      <c r="Q1694" s="76" t="s">
        <v>2109</v>
      </c>
      <c r="R1694" s="73">
        <f t="shared" ref="R1694:R1753" si="172">IF(S1694="В работе",0.3,IF(S1694="Отписано",0.6,IF(S1694="На доработку",0.9,IF(S1694="Согласовано",1,0))))</f>
        <v>1</v>
      </c>
      <c r="S1694" s="260" t="s">
        <v>1976</v>
      </c>
      <c r="T1694" s="260" t="s">
        <v>923</v>
      </c>
      <c r="Y1694" s="566">
        <v>0.4480555555555556</v>
      </c>
      <c r="Z1694" s="566">
        <v>0.46453703703703703</v>
      </c>
      <c r="AA1694" s="566">
        <f t="shared" si="170"/>
        <v>1.648148148148143E-2</v>
      </c>
      <c r="AB1694" s="699"/>
    </row>
    <row r="1695" spans="1:28" x14ac:dyDescent="0.3">
      <c r="A1695" s="79" t="s">
        <v>5035</v>
      </c>
      <c r="C1695" s="115">
        <v>43892</v>
      </c>
      <c r="D1695" s="312">
        <v>43969</v>
      </c>
      <c r="E1695" s="81">
        <v>43935</v>
      </c>
      <c r="F1695" s="86" t="s">
        <v>5146</v>
      </c>
      <c r="G1695" s="86" t="s">
        <v>157</v>
      </c>
      <c r="H1695" s="96" t="s">
        <v>213</v>
      </c>
      <c r="I1695" s="97" t="s">
        <v>755</v>
      </c>
      <c r="J1695" s="73">
        <f t="shared" si="171"/>
        <v>1</v>
      </c>
      <c r="K1695" s="74" t="s">
        <v>204</v>
      </c>
      <c r="N1695" s="76" t="s">
        <v>18</v>
      </c>
      <c r="Q1695" s="76" t="s">
        <v>2109</v>
      </c>
      <c r="R1695" s="73">
        <f t="shared" si="172"/>
        <v>1</v>
      </c>
      <c r="S1695" s="260" t="s">
        <v>1976</v>
      </c>
      <c r="T1695" s="260" t="s">
        <v>924</v>
      </c>
      <c r="U1695" s="301" t="s">
        <v>5283</v>
      </c>
      <c r="V1695" s="301" t="s">
        <v>6079</v>
      </c>
      <c r="Y1695" s="566">
        <v>0.40643518518518523</v>
      </c>
      <c r="Z1695" s="566">
        <v>0.44760416666666664</v>
      </c>
      <c r="AA1695" s="566">
        <f t="shared" si="170"/>
        <v>4.1168981481481404E-2</v>
      </c>
      <c r="AB1695" s="699"/>
    </row>
    <row r="1696" spans="1:28" x14ac:dyDescent="0.3">
      <c r="A1696" s="79" t="s">
        <v>5036</v>
      </c>
      <c r="C1696" s="115">
        <v>43892</v>
      </c>
      <c r="D1696" s="312">
        <v>43969</v>
      </c>
      <c r="E1696" s="81">
        <v>43934</v>
      </c>
      <c r="F1696" s="86" t="s">
        <v>5147</v>
      </c>
      <c r="G1696" s="86" t="s">
        <v>152</v>
      </c>
      <c r="H1696" s="96" t="s">
        <v>213</v>
      </c>
      <c r="I1696" s="97" t="s">
        <v>691</v>
      </c>
      <c r="J1696" s="73">
        <f t="shared" si="171"/>
        <v>1</v>
      </c>
      <c r="K1696" s="74" t="s">
        <v>204</v>
      </c>
      <c r="L1696" s="97" t="s">
        <v>6075</v>
      </c>
      <c r="N1696" s="76" t="s">
        <v>19</v>
      </c>
      <c r="Q1696" s="76" t="s">
        <v>2076</v>
      </c>
      <c r="R1696" s="73">
        <f t="shared" si="172"/>
        <v>1</v>
      </c>
      <c r="S1696" s="260" t="s">
        <v>1976</v>
      </c>
      <c r="T1696" s="260" t="s">
        <v>923</v>
      </c>
      <c r="U1696" s="301" t="s">
        <v>5283</v>
      </c>
      <c r="V1696" s="301" t="s">
        <v>6076</v>
      </c>
      <c r="Y1696" s="566">
        <v>0.80291666666666661</v>
      </c>
      <c r="Z1696" s="566">
        <v>0.81346064814814811</v>
      </c>
      <c r="AA1696" s="566">
        <f t="shared" si="170"/>
        <v>1.0543981481481501E-2</v>
      </c>
      <c r="AB1696" s="699"/>
    </row>
    <row r="1697" spans="1:28" x14ac:dyDescent="0.3">
      <c r="A1697" s="79" t="s">
        <v>5037</v>
      </c>
      <c r="C1697" s="115">
        <v>43892</v>
      </c>
      <c r="D1697" s="312">
        <v>43969</v>
      </c>
      <c r="E1697" s="81">
        <v>43934</v>
      </c>
      <c r="F1697" s="86" t="s">
        <v>5148</v>
      </c>
      <c r="G1697" s="86" t="s">
        <v>156</v>
      </c>
      <c r="H1697" s="96" t="s">
        <v>213</v>
      </c>
      <c r="I1697" s="97" t="s">
        <v>714</v>
      </c>
      <c r="J1697" s="73">
        <f t="shared" si="171"/>
        <v>1</v>
      </c>
      <c r="K1697" s="74" t="s">
        <v>204</v>
      </c>
      <c r="N1697" s="76" t="s">
        <v>17</v>
      </c>
      <c r="Q1697" s="76" t="s">
        <v>2142</v>
      </c>
      <c r="R1697" s="73">
        <f t="shared" si="172"/>
        <v>1</v>
      </c>
      <c r="S1697" s="260" t="s">
        <v>1976</v>
      </c>
      <c r="T1697" s="260" t="s">
        <v>924</v>
      </c>
      <c r="Y1697" s="566">
        <v>0.42186342592592596</v>
      </c>
      <c r="Z1697" s="566">
        <v>0.4251967592592592</v>
      </c>
      <c r="AA1697" s="566">
        <f t="shared" si="170"/>
        <v>3.3333333333332438E-3</v>
      </c>
      <c r="AB1697" s="699"/>
    </row>
    <row r="1698" spans="1:28" x14ac:dyDescent="0.3">
      <c r="A1698" s="79" t="s">
        <v>5039</v>
      </c>
      <c r="C1698" s="115">
        <v>43892</v>
      </c>
      <c r="D1698" s="312">
        <v>43969</v>
      </c>
      <c r="E1698" s="81">
        <v>43934</v>
      </c>
      <c r="F1698" s="86" t="s">
        <v>5149</v>
      </c>
      <c r="G1698" s="86" t="s">
        <v>156</v>
      </c>
      <c r="H1698" s="96" t="s">
        <v>213</v>
      </c>
      <c r="I1698" s="97" t="s">
        <v>755</v>
      </c>
      <c r="J1698" s="73">
        <f t="shared" si="171"/>
        <v>1</v>
      </c>
      <c r="K1698" s="74" t="s">
        <v>204</v>
      </c>
      <c r="N1698" s="76" t="s">
        <v>18</v>
      </c>
      <c r="Q1698" s="76" t="s">
        <v>2076</v>
      </c>
      <c r="R1698" s="73">
        <f t="shared" si="172"/>
        <v>1</v>
      </c>
      <c r="S1698" s="260" t="s">
        <v>1976</v>
      </c>
      <c r="T1698" s="260" t="s">
        <v>925</v>
      </c>
      <c r="U1698" s="301" t="s">
        <v>5283</v>
      </c>
      <c r="V1698" s="301" t="s">
        <v>6073</v>
      </c>
      <c r="Y1698" s="566">
        <v>0.69914351851851853</v>
      </c>
      <c r="Z1698" s="566">
        <v>0.73998842592592595</v>
      </c>
      <c r="AA1698" s="566">
        <f t="shared" si="170"/>
        <v>4.0844907407407427E-2</v>
      </c>
      <c r="AB1698" s="699"/>
    </row>
    <row r="1699" spans="1:28" x14ac:dyDescent="0.3">
      <c r="A1699" s="79" t="s">
        <v>5040</v>
      </c>
      <c r="C1699" s="115">
        <v>43892</v>
      </c>
      <c r="D1699" s="312">
        <v>43969</v>
      </c>
      <c r="E1699" s="81">
        <v>43934</v>
      </c>
      <c r="F1699" s="86" t="s">
        <v>5150</v>
      </c>
      <c r="G1699" s="86" t="s">
        <v>156</v>
      </c>
      <c r="H1699" s="96" t="s">
        <v>213</v>
      </c>
      <c r="I1699" s="97" t="s">
        <v>641</v>
      </c>
      <c r="J1699" s="73">
        <f t="shared" si="171"/>
        <v>1</v>
      </c>
      <c r="K1699" s="74" t="s">
        <v>204</v>
      </c>
      <c r="N1699" s="76" t="s">
        <v>17</v>
      </c>
      <c r="Q1699" s="76" t="s">
        <v>2142</v>
      </c>
      <c r="R1699" s="73">
        <f t="shared" si="172"/>
        <v>1</v>
      </c>
      <c r="S1699" s="260" t="s">
        <v>1976</v>
      </c>
      <c r="T1699" s="260" t="s">
        <v>925</v>
      </c>
      <c r="Y1699" s="566">
        <v>0.41362268518518519</v>
      </c>
      <c r="Z1699" s="566">
        <v>0.42133101851851856</v>
      </c>
      <c r="AA1699" s="566">
        <f t="shared" si="170"/>
        <v>7.7083333333333726E-3</v>
      </c>
      <c r="AB1699" s="699"/>
    </row>
    <row r="1700" spans="1:28" x14ac:dyDescent="0.3">
      <c r="A1700" s="79" t="s">
        <v>5041</v>
      </c>
      <c r="C1700" s="115">
        <v>43892</v>
      </c>
      <c r="D1700" s="312">
        <v>43969</v>
      </c>
      <c r="E1700" s="81">
        <v>43934</v>
      </c>
      <c r="F1700" s="86" t="s">
        <v>5151</v>
      </c>
      <c r="G1700" s="86" t="s">
        <v>156</v>
      </c>
      <c r="H1700" s="96" t="s">
        <v>213</v>
      </c>
      <c r="I1700" s="1275" t="s">
        <v>6078</v>
      </c>
      <c r="J1700" s="73">
        <f t="shared" si="171"/>
        <v>1</v>
      </c>
      <c r="K1700" s="74" t="s">
        <v>204</v>
      </c>
      <c r="L1700" s="97" t="s">
        <v>6077</v>
      </c>
      <c r="N1700" s="76" t="s">
        <v>19</v>
      </c>
      <c r="Q1700" s="76" t="s">
        <v>2076</v>
      </c>
      <c r="R1700" s="73">
        <f t="shared" si="172"/>
        <v>1</v>
      </c>
      <c r="S1700" s="260" t="s">
        <v>1976</v>
      </c>
      <c r="T1700" s="260" t="s">
        <v>924</v>
      </c>
      <c r="Y1700" s="566">
        <v>0.81458333333333333</v>
      </c>
      <c r="Z1700" s="566">
        <v>0.83142361111111107</v>
      </c>
      <c r="AA1700" s="566">
        <f t="shared" si="170"/>
        <v>1.6840277777777746E-2</v>
      </c>
      <c r="AB1700" s="699"/>
    </row>
    <row r="1701" spans="1:28" x14ac:dyDescent="0.3">
      <c r="A1701" s="79" t="s">
        <v>5834</v>
      </c>
      <c r="C1701" s="115">
        <v>43892</v>
      </c>
      <c r="D1701" s="312">
        <v>43969</v>
      </c>
      <c r="E1701" s="81">
        <v>43934</v>
      </c>
      <c r="F1701" s="86" t="s">
        <v>5900</v>
      </c>
      <c r="G1701" s="86" t="s">
        <v>150</v>
      </c>
      <c r="H1701" s="96" t="s">
        <v>213</v>
      </c>
      <c r="I1701" s="97" t="s">
        <v>645</v>
      </c>
      <c r="J1701" s="73">
        <f t="shared" si="171"/>
        <v>1</v>
      </c>
      <c r="K1701" s="74" t="s">
        <v>204</v>
      </c>
      <c r="L1701" s="97" t="s">
        <v>6071</v>
      </c>
      <c r="N1701" s="76" t="s">
        <v>18</v>
      </c>
      <c r="Q1701" s="76" t="s">
        <v>2417</v>
      </c>
      <c r="R1701" s="73">
        <f t="shared" si="172"/>
        <v>1</v>
      </c>
      <c r="S1701" s="260" t="s">
        <v>1976</v>
      </c>
      <c r="T1701" s="260" t="s">
        <v>923</v>
      </c>
      <c r="Y1701" s="566">
        <v>0.52303240740740742</v>
      </c>
      <c r="Z1701" s="566">
        <v>0.53099537037037037</v>
      </c>
      <c r="AA1701" s="566">
        <f t="shared" si="170"/>
        <v>7.9629629629629495E-3</v>
      </c>
      <c r="AB1701" s="699"/>
    </row>
    <row r="1702" spans="1:28" x14ac:dyDescent="0.3">
      <c r="A1702" s="79" t="s">
        <v>5835</v>
      </c>
      <c r="C1702" s="115">
        <v>43892</v>
      </c>
      <c r="D1702" s="312">
        <v>43969</v>
      </c>
      <c r="E1702" s="81">
        <v>43934</v>
      </c>
      <c r="F1702" s="86" t="s">
        <v>5901</v>
      </c>
      <c r="G1702" s="86" t="s">
        <v>157</v>
      </c>
      <c r="H1702" s="96" t="s">
        <v>213</v>
      </c>
      <c r="I1702" s="97" t="s">
        <v>714</v>
      </c>
      <c r="J1702" s="73">
        <f t="shared" si="171"/>
        <v>1</v>
      </c>
      <c r="K1702" s="74" t="s">
        <v>204</v>
      </c>
      <c r="N1702" s="76" t="s">
        <v>18</v>
      </c>
      <c r="Q1702" s="76" t="s">
        <v>2417</v>
      </c>
      <c r="R1702" s="73">
        <f t="shared" si="172"/>
        <v>1</v>
      </c>
      <c r="S1702" s="260" t="s">
        <v>1976</v>
      </c>
      <c r="T1702" s="260" t="s">
        <v>924</v>
      </c>
      <c r="Y1702" s="566">
        <v>0.68744212962962958</v>
      </c>
      <c r="Z1702" s="566">
        <v>0.69849537037037035</v>
      </c>
      <c r="AA1702" s="566">
        <f t="shared" si="170"/>
        <v>1.1053240740740766E-2</v>
      </c>
      <c r="AB1702" s="699"/>
    </row>
    <row r="1703" spans="1:28" x14ac:dyDescent="0.3">
      <c r="A1703" s="96" t="s">
        <v>5048</v>
      </c>
      <c r="C1703" s="115">
        <v>43892</v>
      </c>
      <c r="D1703" s="312">
        <v>43969</v>
      </c>
      <c r="E1703" s="81">
        <v>43934</v>
      </c>
      <c r="F1703" s="86" t="s">
        <v>5158</v>
      </c>
      <c r="G1703" s="86" t="s">
        <v>156</v>
      </c>
      <c r="H1703" s="96" t="s">
        <v>213</v>
      </c>
      <c r="I1703" s="97" t="s">
        <v>714</v>
      </c>
      <c r="J1703" s="73">
        <f t="shared" si="171"/>
        <v>1</v>
      </c>
      <c r="K1703" s="74" t="s">
        <v>204</v>
      </c>
      <c r="N1703" s="76" t="s">
        <v>17</v>
      </c>
      <c r="Q1703" s="76" t="s">
        <v>2142</v>
      </c>
      <c r="R1703" s="73">
        <f t="shared" si="172"/>
        <v>1</v>
      </c>
      <c r="S1703" s="260" t="s">
        <v>1976</v>
      </c>
      <c r="T1703" s="260" t="s">
        <v>923</v>
      </c>
      <c r="U1703" s="301" t="s">
        <v>5283</v>
      </c>
      <c r="V1703" s="301" t="s">
        <v>6063</v>
      </c>
      <c r="Y1703" s="566">
        <v>0.40084490740740741</v>
      </c>
      <c r="Z1703" s="566">
        <v>0.40736111111111112</v>
      </c>
      <c r="AA1703" s="566">
        <f t="shared" si="170"/>
        <v>6.5162037037037046E-3</v>
      </c>
      <c r="AB1703" s="699"/>
    </row>
    <row r="1704" spans="1:28" x14ac:dyDescent="0.3">
      <c r="A1704" s="96" t="s">
        <v>5051</v>
      </c>
      <c r="C1704" s="115">
        <v>43892</v>
      </c>
      <c r="D1704" s="312">
        <v>43969</v>
      </c>
      <c r="E1704" s="81">
        <v>43937</v>
      </c>
      <c r="F1704" s="86" t="s">
        <v>5161</v>
      </c>
      <c r="G1704" s="86" t="s">
        <v>152</v>
      </c>
      <c r="H1704" s="96" t="s">
        <v>213</v>
      </c>
      <c r="I1704" s="97" t="s">
        <v>657</v>
      </c>
      <c r="J1704" s="73">
        <f t="shared" si="171"/>
        <v>1</v>
      </c>
      <c r="K1704" s="74" t="s">
        <v>204</v>
      </c>
      <c r="N1704" s="76" t="s">
        <v>17</v>
      </c>
      <c r="Q1704" s="76" t="s">
        <v>2109</v>
      </c>
      <c r="R1704" s="73">
        <f t="shared" si="172"/>
        <v>1</v>
      </c>
      <c r="S1704" s="260" t="s">
        <v>1976</v>
      </c>
      <c r="T1704" s="260" t="s">
        <v>924</v>
      </c>
      <c r="Y1704" s="566">
        <v>0.8268402777777778</v>
      </c>
      <c r="Z1704" s="566">
        <v>0.86949074074074073</v>
      </c>
      <c r="AA1704" s="566">
        <f t="shared" si="170"/>
        <v>4.2650462962962932E-2</v>
      </c>
      <c r="AB1704" s="699"/>
    </row>
    <row r="1705" spans="1:28" x14ac:dyDescent="0.3">
      <c r="A1705" s="79" t="s">
        <v>5836</v>
      </c>
      <c r="C1705" s="115">
        <v>43892</v>
      </c>
      <c r="D1705" s="312">
        <v>43969</v>
      </c>
      <c r="E1705" s="81">
        <v>43934</v>
      </c>
      <c r="F1705" s="86" t="s">
        <v>5902</v>
      </c>
      <c r="G1705" s="86" t="s">
        <v>2104</v>
      </c>
      <c r="H1705" s="96" t="s">
        <v>213</v>
      </c>
      <c r="I1705" s="97" t="s">
        <v>642</v>
      </c>
      <c r="J1705" s="73">
        <f t="shared" si="171"/>
        <v>1</v>
      </c>
      <c r="K1705" s="74" t="s">
        <v>204</v>
      </c>
      <c r="N1705" s="76" t="s">
        <v>18</v>
      </c>
      <c r="Q1705" s="76" t="s">
        <v>2417</v>
      </c>
      <c r="R1705" s="73">
        <f t="shared" si="172"/>
        <v>1</v>
      </c>
      <c r="S1705" s="260" t="s">
        <v>1976</v>
      </c>
      <c r="T1705" s="260" t="s">
        <v>925</v>
      </c>
      <c r="Y1705" s="566">
        <v>0.46675925925925926</v>
      </c>
      <c r="Z1705" s="566">
        <v>0.47256944444444443</v>
      </c>
      <c r="AA1705" s="566">
        <f t="shared" si="170"/>
        <v>5.8101851851851682E-3</v>
      </c>
      <c r="AB1705" s="699"/>
    </row>
    <row r="1706" spans="1:28" x14ac:dyDescent="0.3">
      <c r="A1706" s="79" t="s">
        <v>5837</v>
      </c>
      <c r="C1706" s="115">
        <v>43893</v>
      </c>
      <c r="D1706" s="614">
        <v>43970</v>
      </c>
      <c r="E1706" s="81">
        <v>43936</v>
      </c>
      <c r="F1706" s="86" t="s">
        <v>5903</v>
      </c>
      <c r="G1706" s="86" t="s">
        <v>152</v>
      </c>
      <c r="H1706" s="96" t="s">
        <v>213</v>
      </c>
      <c r="I1706" s="97" t="s">
        <v>722</v>
      </c>
      <c r="J1706" s="73">
        <f t="shared" si="171"/>
        <v>1</v>
      </c>
      <c r="K1706" s="74" t="s">
        <v>204</v>
      </c>
      <c r="N1706" s="76" t="s">
        <v>17</v>
      </c>
      <c r="Q1706" s="76" t="s">
        <v>2417</v>
      </c>
      <c r="R1706" s="73">
        <f t="shared" si="172"/>
        <v>1</v>
      </c>
      <c r="S1706" s="260" t="s">
        <v>1976</v>
      </c>
      <c r="T1706" s="260" t="s">
        <v>925</v>
      </c>
      <c r="Y1706" s="566">
        <v>0.57262731481481477</v>
      </c>
      <c r="Z1706" s="566">
        <v>0.58403935185185185</v>
      </c>
      <c r="AA1706" s="566">
        <f t="shared" si="170"/>
        <v>1.1412037037037082E-2</v>
      </c>
      <c r="AB1706" s="699"/>
    </row>
    <row r="1707" spans="1:28" x14ac:dyDescent="0.3">
      <c r="A1707" s="79" t="s">
        <v>5052</v>
      </c>
      <c r="C1707" s="115">
        <v>43893</v>
      </c>
      <c r="D1707" s="312">
        <v>43970</v>
      </c>
      <c r="E1707" s="81">
        <v>43936</v>
      </c>
      <c r="F1707" s="86" t="s">
        <v>5162</v>
      </c>
      <c r="G1707" s="86" t="s">
        <v>733</v>
      </c>
      <c r="H1707" s="96" t="s">
        <v>213</v>
      </c>
      <c r="I1707" s="97" t="s">
        <v>714</v>
      </c>
      <c r="J1707" s="73">
        <f t="shared" si="171"/>
        <v>1</v>
      </c>
      <c r="K1707" s="74" t="s">
        <v>204</v>
      </c>
      <c r="N1707" s="76" t="s">
        <v>17</v>
      </c>
      <c r="Q1707" s="76" t="s">
        <v>2109</v>
      </c>
      <c r="R1707" s="73">
        <f t="shared" si="172"/>
        <v>1</v>
      </c>
      <c r="S1707" s="260" t="s">
        <v>1976</v>
      </c>
      <c r="T1707" s="260" t="s">
        <v>925</v>
      </c>
      <c r="Y1707" s="566">
        <v>0.49849537037037034</v>
      </c>
      <c r="Z1707" s="566">
        <v>0.51168981481481479</v>
      </c>
      <c r="AA1707" s="566">
        <f t="shared" si="170"/>
        <v>1.3194444444444453E-2</v>
      </c>
      <c r="AB1707" s="699"/>
    </row>
    <row r="1708" spans="1:28" x14ac:dyDescent="0.3">
      <c r="A1708" s="79" t="s">
        <v>5054</v>
      </c>
      <c r="C1708" s="115">
        <v>43893</v>
      </c>
      <c r="D1708" s="312">
        <v>43970</v>
      </c>
      <c r="E1708" s="81">
        <v>43934</v>
      </c>
      <c r="F1708" s="86" t="s">
        <v>5164</v>
      </c>
      <c r="G1708" s="86" t="s">
        <v>187</v>
      </c>
      <c r="H1708" s="96" t="s">
        <v>213</v>
      </c>
      <c r="I1708" s="97" t="s">
        <v>642</v>
      </c>
      <c r="J1708" s="73">
        <f t="shared" si="171"/>
        <v>1</v>
      </c>
      <c r="K1708" s="74" t="s">
        <v>204</v>
      </c>
      <c r="N1708" s="76" t="s">
        <v>18</v>
      </c>
      <c r="Q1708" s="76" t="s">
        <v>2037</v>
      </c>
      <c r="R1708" s="73">
        <f t="shared" si="172"/>
        <v>1</v>
      </c>
      <c r="S1708" s="260" t="s">
        <v>1976</v>
      </c>
      <c r="T1708" s="260" t="s">
        <v>924</v>
      </c>
      <c r="Y1708" s="566">
        <v>0.43444444444444441</v>
      </c>
      <c r="Z1708" s="566">
        <v>0.4397685185185185</v>
      </c>
      <c r="AA1708" s="566">
        <f t="shared" si="170"/>
        <v>5.3240740740740922E-3</v>
      </c>
      <c r="AB1708" s="699"/>
    </row>
    <row r="1709" spans="1:28" x14ac:dyDescent="0.3">
      <c r="A1709" s="96" t="s">
        <v>5055</v>
      </c>
      <c r="C1709" s="115">
        <v>43893</v>
      </c>
      <c r="D1709" s="312">
        <v>43970</v>
      </c>
      <c r="E1709" s="81">
        <v>43936</v>
      </c>
      <c r="F1709" s="86" t="s">
        <v>5165</v>
      </c>
      <c r="G1709" s="86" t="s">
        <v>2104</v>
      </c>
      <c r="H1709" s="96" t="s">
        <v>213</v>
      </c>
      <c r="I1709" s="97" t="s">
        <v>642</v>
      </c>
      <c r="J1709" s="73">
        <f t="shared" si="171"/>
        <v>1</v>
      </c>
      <c r="K1709" s="74" t="s">
        <v>204</v>
      </c>
      <c r="N1709" s="76" t="s">
        <v>18</v>
      </c>
      <c r="Q1709" s="76" t="s">
        <v>2076</v>
      </c>
      <c r="R1709" s="73">
        <f t="shared" si="172"/>
        <v>1</v>
      </c>
      <c r="S1709" s="260" t="s">
        <v>1976</v>
      </c>
      <c r="T1709" s="260" t="s">
        <v>925</v>
      </c>
      <c r="Y1709" s="566">
        <v>0.42398148148148151</v>
      </c>
      <c r="Z1709" s="566">
        <v>0.42929398148148151</v>
      </c>
      <c r="AA1709" s="566">
        <f t="shared" si="170"/>
        <v>5.3124999999999978E-3</v>
      </c>
      <c r="AB1709" s="699"/>
    </row>
    <row r="1710" spans="1:28" x14ac:dyDescent="0.3">
      <c r="A1710" s="79" t="s">
        <v>5056</v>
      </c>
      <c r="C1710" s="115">
        <v>43893</v>
      </c>
      <c r="D1710" s="312">
        <v>43970</v>
      </c>
      <c r="E1710" s="81">
        <v>43935</v>
      </c>
      <c r="F1710" s="86" t="s">
        <v>5166</v>
      </c>
      <c r="G1710" s="86" t="s">
        <v>410</v>
      </c>
      <c r="H1710" s="96" t="s">
        <v>213</v>
      </c>
      <c r="I1710" s="97" t="s">
        <v>995</v>
      </c>
      <c r="J1710" s="73">
        <f t="shared" si="171"/>
        <v>1</v>
      </c>
      <c r="K1710" s="74" t="s">
        <v>204</v>
      </c>
      <c r="N1710" s="76" t="s">
        <v>19</v>
      </c>
      <c r="Q1710" s="76" t="s">
        <v>2142</v>
      </c>
      <c r="R1710" s="73">
        <f t="shared" si="172"/>
        <v>1</v>
      </c>
      <c r="S1710" s="260" t="s">
        <v>1976</v>
      </c>
      <c r="T1710" s="260" t="s">
        <v>923</v>
      </c>
      <c r="Y1710" s="566">
        <v>0.5223726851851852</v>
      </c>
      <c r="Z1710" s="566">
        <v>0.55908564814814821</v>
      </c>
      <c r="AA1710" s="566">
        <f t="shared" si="170"/>
        <v>3.6712962962963003E-2</v>
      </c>
      <c r="AB1710" s="699"/>
    </row>
    <row r="1711" spans="1:28" x14ac:dyDescent="0.3">
      <c r="A1711" s="79" t="s">
        <v>5057</v>
      </c>
      <c r="C1711" s="115">
        <v>43893</v>
      </c>
      <c r="D1711" s="312">
        <v>43970</v>
      </c>
      <c r="E1711" s="81">
        <v>43935</v>
      </c>
      <c r="F1711" s="86" t="s">
        <v>5167</v>
      </c>
      <c r="G1711" s="86" t="s">
        <v>156</v>
      </c>
      <c r="H1711" s="96" t="s">
        <v>213</v>
      </c>
      <c r="I1711" s="97" t="s">
        <v>642</v>
      </c>
      <c r="J1711" s="73">
        <f t="shared" si="171"/>
        <v>1</v>
      </c>
      <c r="K1711" s="74" t="s">
        <v>204</v>
      </c>
      <c r="N1711" s="76" t="s">
        <v>18</v>
      </c>
      <c r="Q1711" s="76" t="s">
        <v>2142</v>
      </c>
      <c r="R1711" s="73">
        <f t="shared" si="172"/>
        <v>1</v>
      </c>
      <c r="S1711" s="260" t="s">
        <v>1976</v>
      </c>
      <c r="T1711" s="260" t="s">
        <v>924</v>
      </c>
      <c r="Y1711" s="566">
        <v>0.56815972222222222</v>
      </c>
      <c r="Z1711" s="566">
        <v>0.57628472222222216</v>
      </c>
      <c r="AA1711" s="566">
        <f t="shared" si="170"/>
        <v>8.1249999999999378E-3</v>
      </c>
      <c r="AB1711" s="699"/>
    </row>
    <row r="1712" spans="1:28" x14ac:dyDescent="0.3">
      <c r="A1712" s="79" t="s">
        <v>5058</v>
      </c>
      <c r="C1712" s="115">
        <v>43893</v>
      </c>
      <c r="D1712" s="312">
        <v>43970</v>
      </c>
      <c r="E1712" s="81">
        <v>43935</v>
      </c>
      <c r="F1712" s="86" t="s">
        <v>5168</v>
      </c>
      <c r="G1712" s="86" t="s">
        <v>189</v>
      </c>
      <c r="H1712" s="96" t="s">
        <v>213</v>
      </c>
      <c r="I1712" s="97" t="s">
        <v>714</v>
      </c>
      <c r="J1712" s="73">
        <f t="shared" si="171"/>
        <v>1</v>
      </c>
      <c r="K1712" s="74" t="s">
        <v>204</v>
      </c>
      <c r="N1712" s="76" t="s">
        <v>17</v>
      </c>
      <c r="Q1712" s="76" t="s">
        <v>2076</v>
      </c>
      <c r="R1712" s="73">
        <f t="shared" si="172"/>
        <v>1</v>
      </c>
      <c r="S1712" s="260" t="s">
        <v>1976</v>
      </c>
      <c r="T1712" s="260" t="s">
        <v>923</v>
      </c>
      <c r="Y1712" s="566">
        <v>0.72444444444444445</v>
      </c>
      <c r="Z1712" s="566">
        <v>0.73932870370370374</v>
      </c>
      <c r="AA1712" s="566">
        <f t="shared" si="170"/>
        <v>1.4884259259259291E-2</v>
      </c>
      <c r="AB1712" s="699"/>
    </row>
    <row r="1713" spans="1:28" x14ac:dyDescent="0.3">
      <c r="A1713" s="79" t="s">
        <v>5060</v>
      </c>
      <c r="C1713" s="115">
        <v>43893</v>
      </c>
      <c r="D1713" s="312">
        <v>43970</v>
      </c>
      <c r="E1713" s="81">
        <v>43935</v>
      </c>
      <c r="F1713" s="86" t="s">
        <v>5170</v>
      </c>
      <c r="G1713" s="86" t="s">
        <v>150</v>
      </c>
      <c r="H1713" s="96" t="s">
        <v>213</v>
      </c>
      <c r="I1713" s="97" t="s">
        <v>642</v>
      </c>
      <c r="J1713" s="73">
        <f t="shared" si="171"/>
        <v>1</v>
      </c>
      <c r="K1713" s="74" t="s">
        <v>204</v>
      </c>
      <c r="N1713" s="76" t="s">
        <v>18</v>
      </c>
      <c r="Q1713" s="76" t="s">
        <v>2076</v>
      </c>
      <c r="R1713" s="73">
        <f t="shared" si="172"/>
        <v>1</v>
      </c>
      <c r="S1713" s="260" t="s">
        <v>1976</v>
      </c>
      <c r="T1713" s="260" t="s">
        <v>924</v>
      </c>
      <c r="Y1713" s="566">
        <v>0.71567129629629633</v>
      </c>
      <c r="Z1713" s="566">
        <v>0.72357638888888898</v>
      </c>
      <c r="AA1713" s="566">
        <f t="shared" si="170"/>
        <v>7.9050925925926441E-3</v>
      </c>
      <c r="AB1713" s="699"/>
    </row>
    <row r="1714" spans="1:28" x14ac:dyDescent="0.3">
      <c r="A1714" s="79" t="s">
        <v>5061</v>
      </c>
      <c r="C1714" s="115">
        <v>43893</v>
      </c>
      <c r="D1714" s="312">
        <v>43970</v>
      </c>
      <c r="E1714" s="81">
        <v>43936</v>
      </c>
      <c r="F1714" s="86" t="s">
        <v>5171</v>
      </c>
      <c r="G1714" s="86" t="s">
        <v>166</v>
      </c>
      <c r="H1714" s="96" t="s">
        <v>213</v>
      </c>
      <c r="I1714" s="97" t="s">
        <v>714</v>
      </c>
      <c r="J1714" s="73">
        <f t="shared" si="171"/>
        <v>1</v>
      </c>
      <c r="K1714" s="74" t="s">
        <v>204</v>
      </c>
      <c r="N1714" s="76" t="s">
        <v>18</v>
      </c>
      <c r="Q1714" s="76" t="s">
        <v>2109</v>
      </c>
      <c r="R1714" s="73">
        <f t="shared" si="172"/>
        <v>1</v>
      </c>
      <c r="S1714" s="260" t="s">
        <v>1976</v>
      </c>
      <c r="T1714" s="260" t="s">
        <v>924</v>
      </c>
      <c r="Y1714" s="566">
        <v>0.77016203703703701</v>
      </c>
      <c r="Z1714" s="566">
        <v>0.78266203703703707</v>
      </c>
      <c r="AA1714" s="566">
        <f t="shared" si="170"/>
        <v>1.2500000000000067E-2</v>
      </c>
      <c r="AB1714" s="699"/>
    </row>
    <row r="1715" spans="1:28" x14ac:dyDescent="0.3">
      <c r="A1715" s="79" t="s">
        <v>5838</v>
      </c>
      <c r="C1715" s="115">
        <v>43893</v>
      </c>
      <c r="D1715" s="312">
        <v>43970</v>
      </c>
      <c r="E1715" s="81">
        <v>43935</v>
      </c>
      <c r="F1715" s="86" t="s">
        <v>5904</v>
      </c>
      <c r="G1715" s="86" t="s">
        <v>158</v>
      </c>
      <c r="H1715" s="96" t="s">
        <v>213</v>
      </c>
      <c r="I1715" s="97" t="s">
        <v>714</v>
      </c>
      <c r="J1715" s="73">
        <f t="shared" si="171"/>
        <v>1</v>
      </c>
      <c r="K1715" s="74" t="s">
        <v>204</v>
      </c>
      <c r="N1715" s="76" t="s">
        <v>18</v>
      </c>
      <c r="Q1715" s="76" t="s">
        <v>2417</v>
      </c>
      <c r="R1715" s="73">
        <f t="shared" si="172"/>
        <v>1</v>
      </c>
      <c r="S1715" s="260" t="s">
        <v>1976</v>
      </c>
      <c r="T1715" s="260" t="s">
        <v>924</v>
      </c>
      <c r="Y1715" s="566">
        <v>0.55969907407407404</v>
      </c>
      <c r="Z1715" s="566">
        <v>0.56760416666666669</v>
      </c>
      <c r="AA1715" s="566">
        <f t="shared" si="170"/>
        <v>7.9050925925926441E-3</v>
      </c>
      <c r="AB1715" s="699"/>
    </row>
    <row r="1716" spans="1:28" x14ac:dyDescent="0.3">
      <c r="A1716" s="79" t="s">
        <v>5063</v>
      </c>
      <c r="C1716" s="115">
        <v>43893</v>
      </c>
      <c r="D1716" s="312">
        <v>43970</v>
      </c>
      <c r="E1716" s="81">
        <v>43935</v>
      </c>
      <c r="F1716" s="86" t="s">
        <v>5173</v>
      </c>
      <c r="G1716" s="86" t="s">
        <v>152</v>
      </c>
      <c r="H1716" s="96" t="s">
        <v>213</v>
      </c>
      <c r="I1716" s="97" t="s">
        <v>6082</v>
      </c>
      <c r="J1716" s="73">
        <f t="shared" si="171"/>
        <v>1</v>
      </c>
      <c r="K1716" s="74" t="s">
        <v>204</v>
      </c>
      <c r="L1716" s="97" t="s">
        <v>6083</v>
      </c>
      <c r="N1716" s="76" t="s">
        <v>17</v>
      </c>
      <c r="Q1716" s="76" t="s">
        <v>2142</v>
      </c>
      <c r="R1716" s="73">
        <f t="shared" si="172"/>
        <v>1</v>
      </c>
      <c r="S1716" s="260" t="s">
        <v>1976</v>
      </c>
      <c r="T1716" s="260" t="s">
        <v>925</v>
      </c>
      <c r="Y1716" s="566">
        <v>0.75542824074074078</v>
      </c>
      <c r="Z1716" s="566">
        <v>0.76741898148148147</v>
      </c>
      <c r="AA1716" s="566">
        <f t="shared" ref="AA1716:AA1760" si="173">Z1716-Y1716</f>
        <v>1.1990740740740691E-2</v>
      </c>
      <c r="AB1716" s="699"/>
    </row>
    <row r="1717" spans="1:28" x14ac:dyDescent="0.3">
      <c r="A1717" s="79" t="s">
        <v>5839</v>
      </c>
      <c r="C1717" s="115">
        <v>43893</v>
      </c>
      <c r="D1717" s="312">
        <v>43970</v>
      </c>
      <c r="E1717" s="81">
        <v>43935</v>
      </c>
      <c r="F1717" s="86" t="s">
        <v>5905</v>
      </c>
      <c r="G1717" s="86" t="s">
        <v>158</v>
      </c>
      <c r="H1717" s="79" t="s">
        <v>268</v>
      </c>
      <c r="I1717" s="97" t="s">
        <v>642</v>
      </c>
      <c r="J1717" s="73">
        <f t="shared" si="171"/>
        <v>1</v>
      </c>
      <c r="K1717" s="74" t="s">
        <v>204</v>
      </c>
      <c r="N1717" s="76" t="s">
        <v>18</v>
      </c>
      <c r="Q1717" s="76" t="s">
        <v>2417</v>
      </c>
      <c r="R1717" s="73">
        <f t="shared" si="172"/>
        <v>1</v>
      </c>
      <c r="S1717" s="260" t="s">
        <v>1976</v>
      </c>
      <c r="T1717" s="260" t="s">
        <v>923</v>
      </c>
      <c r="Y1717" s="566">
        <v>0.74827546296296299</v>
      </c>
      <c r="Z1717" s="566">
        <v>0.75473379629629633</v>
      </c>
      <c r="AA1717" s="566">
        <f t="shared" si="173"/>
        <v>6.4583333333333437E-3</v>
      </c>
      <c r="AB1717" s="699"/>
    </row>
    <row r="1718" spans="1:28" x14ac:dyDescent="0.3">
      <c r="A1718" s="79" t="s">
        <v>5064</v>
      </c>
      <c r="C1718" s="115">
        <v>43893</v>
      </c>
      <c r="D1718" s="312">
        <v>43970</v>
      </c>
      <c r="E1718" s="81">
        <v>43935</v>
      </c>
      <c r="F1718" s="86" t="s">
        <v>5174</v>
      </c>
      <c r="G1718" s="86" t="s">
        <v>173</v>
      </c>
      <c r="H1718" s="96" t="s">
        <v>213</v>
      </c>
      <c r="I1718" s="97" t="s">
        <v>995</v>
      </c>
      <c r="J1718" s="73">
        <f t="shared" si="171"/>
        <v>1</v>
      </c>
      <c r="K1718" s="74" t="s">
        <v>204</v>
      </c>
      <c r="L1718" s="97" t="s">
        <v>6081</v>
      </c>
      <c r="N1718" s="76" t="s">
        <v>19</v>
      </c>
      <c r="Q1718" s="76" t="s">
        <v>2037</v>
      </c>
      <c r="R1718" s="73">
        <f t="shared" si="172"/>
        <v>1</v>
      </c>
      <c r="S1718" s="260" t="s">
        <v>1976</v>
      </c>
      <c r="T1718" s="260" t="s">
        <v>925</v>
      </c>
      <c r="Y1718" s="566">
        <v>0.70344907407407409</v>
      </c>
      <c r="Z1718" s="566">
        <v>0.71241898148148142</v>
      </c>
      <c r="AA1718" s="566">
        <f t="shared" si="173"/>
        <v>8.9699074074073293E-3</v>
      </c>
      <c r="AB1718" s="699"/>
    </row>
    <row r="1719" spans="1:28" x14ac:dyDescent="0.3">
      <c r="A1719" s="79" t="s">
        <v>5066</v>
      </c>
      <c r="C1719" s="115">
        <v>43894</v>
      </c>
      <c r="D1719" s="312">
        <v>43971</v>
      </c>
      <c r="E1719" s="81">
        <v>43937</v>
      </c>
      <c r="F1719" s="86" t="s">
        <v>5176</v>
      </c>
      <c r="G1719" s="86" t="s">
        <v>158</v>
      </c>
      <c r="H1719" s="96" t="s">
        <v>213</v>
      </c>
      <c r="I1719" s="97" t="s">
        <v>642</v>
      </c>
      <c r="J1719" s="73">
        <f t="shared" si="171"/>
        <v>1</v>
      </c>
      <c r="K1719" s="74" t="s">
        <v>204</v>
      </c>
      <c r="N1719" s="76" t="s">
        <v>18</v>
      </c>
      <c r="Q1719" s="76" t="s">
        <v>2076</v>
      </c>
      <c r="R1719" s="73">
        <f t="shared" si="172"/>
        <v>1</v>
      </c>
      <c r="S1719" s="260" t="s">
        <v>1976</v>
      </c>
      <c r="T1719" s="260" t="s">
        <v>925</v>
      </c>
      <c r="Y1719" s="566">
        <v>0.50031250000000005</v>
      </c>
      <c r="Z1719" s="566">
        <v>0.50747685185185187</v>
      </c>
      <c r="AA1719" s="566">
        <f t="shared" si="173"/>
        <v>7.1643518518518245E-3</v>
      </c>
      <c r="AB1719" s="699"/>
    </row>
    <row r="1720" spans="1:28" x14ac:dyDescent="0.3">
      <c r="A1720" s="79" t="s">
        <v>5068</v>
      </c>
      <c r="C1720" s="115">
        <v>43894</v>
      </c>
      <c r="D1720" s="312">
        <v>43971</v>
      </c>
      <c r="E1720" s="81">
        <v>43936</v>
      </c>
      <c r="F1720" s="86" t="s">
        <v>5178</v>
      </c>
      <c r="G1720" s="86" t="s">
        <v>156</v>
      </c>
      <c r="H1720" s="96" t="s">
        <v>213</v>
      </c>
      <c r="I1720" s="97" t="s">
        <v>714</v>
      </c>
      <c r="J1720" s="73">
        <f t="shared" si="171"/>
        <v>1</v>
      </c>
      <c r="K1720" s="74" t="s">
        <v>204</v>
      </c>
      <c r="N1720" s="76" t="s">
        <v>17</v>
      </c>
      <c r="Q1720" s="76" t="s">
        <v>2142</v>
      </c>
      <c r="R1720" s="73">
        <f t="shared" si="172"/>
        <v>1</v>
      </c>
      <c r="S1720" s="260" t="s">
        <v>1976</v>
      </c>
      <c r="T1720" s="260" t="s">
        <v>923</v>
      </c>
      <c r="Y1720" s="566">
        <v>0.73842592592592593</v>
      </c>
      <c r="Z1720" s="566">
        <v>0.74858796296296293</v>
      </c>
      <c r="AA1720" s="566">
        <f t="shared" si="173"/>
        <v>1.0162037037036997E-2</v>
      </c>
      <c r="AB1720" s="699"/>
    </row>
    <row r="1721" spans="1:28" x14ac:dyDescent="0.3">
      <c r="A1721" s="79" t="s">
        <v>5840</v>
      </c>
      <c r="C1721" s="115">
        <v>43894</v>
      </c>
      <c r="D1721" s="312">
        <v>43971</v>
      </c>
      <c r="E1721" s="81">
        <v>43934</v>
      </c>
      <c r="F1721" s="86" t="s">
        <v>5906</v>
      </c>
      <c r="G1721" s="86" t="s">
        <v>158</v>
      </c>
      <c r="H1721" s="79" t="s">
        <v>268</v>
      </c>
      <c r="I1721" s="97" t="s">
        <v>6065</v>
      </c>
      <c r="J1721" s="73">
        <f t="shared" si="171"/>
        <v>1</v>
      </c>
      <c r="K1721" s="74" t="s">
        <v>204</v>
      </c>
      <c r="L1721" s="97" t="s">
        <v>6067</v>
      </c>
      <c r="N1721" s="76" t="s">
        <v>19</v>
      </c>
      <c r="Q1721" s="76" t="s">
        <v>2037</v>
      </c>
      <c r="R1721" s="73">
        <f t="shared" si="172"/>
        <v>1</v>
      </c>
      <c r="S1721" s="260" t="s">
        <v>1976</v>
      </c>
      <c r="T1721" s="260" t="s">
        <v>923</v>
      </c>
      <c r="U1721" s="301" t="s">
        <v>5283</v>
      </c>
      <c r="V1721" s="301" t="s">
        <v>6066</v>
      </c>
      <c r="Y1721" s="566">
        <v>0.47325231481481483</v>
      </c>
      <c r="Z1721" s="566">
        <v>0.49723379629629627</v>
      </c>
      <c r="AA1721" s="566">
        <f t="shared" si="173"/>
        <v>2.3981481481481437E-2</v>
      </c>
      <c r="AB1721" s="699"/>
    </row>
    <row r="1722" spans="1:28" x14ac:dyDescent="0.3">
      <c r="A1722" s="79" t="s">
        <v>5070</v>
      </c>
      <c r="C1722" s="115">
        <v>43894</v>
      </c>
      <c r="D1722" s="312">
        <v>43971</v>
      </c>
      <c r="E1722" s="81">
        <v>43936</v>
      </c>
      <c r="F1722" s="86" t="s">
        <v>5180</v>
      </c>
      <c r="G1722" s="86" t="s">
        <v>1384</v>
      </c>
      <c r="H1722" s="96" t="s">
        <v>213</v>
      </c>
      <c r="I1722" s="97" t="s">
        <v>854</v>
      </c>
      <c r="J1722" s="73">
        <f t="shared" si="171"/>
        <v>1</v>
      </c>
      <c r="K1722" s="74" t="s">
        <v>204</v>
      </c>
      <c r="N1722" s="76" t="s">
        <v>17</v>
      </c>
      <c r="Q1722" s="76" t="s">
        <v>2142</v>
      </c>
      <c r="R1722" s="73">
        <f t="shared" si="172"/>
        <v>1</v>
      </c>
      <c r="S1722" s="260" t="s">
        <v>1976</v>
      </c>
      <c r="T1722" s="260" t="s">
        <v>924</v>
      </c>
      <c r="Y1722" s="566">
        <v>0.88177083333333339</v>
      </c>
      <c r="Z1722" s="566">
        <v>0.89079861111111114</v>
      </c>
      <c r="AA1722" s="566">
        <f t="shared" si="173"/>
        <v>9.0277777777777457E-3</v>
      </c>
      <c r="AB1722" s="699"/>
    </row>
    <row r="1723" spans="1:28" x14ac:dyDescent="0.3">
      <c r="A1723" s="79" t="s">
        <v>5071</v>
      </c>
      <c r="C1723" s="115">
        <v>43894</v>
      </c>
      <c r="D1723" s="312">
        <v>43971</v>
      </c>
      <c r="E1723" s="81">
        <v>43937</v>
      </c>
      <c r="F1723" s="86" t="s">
        <v>5181</v>
      </c>
      <c r="G1723" s="86" t="s">
        <v>154</v>
      </c>
      <c r="H1723" s="96" t="s">
        <v>213</v>
      </c>
      <c r="I1723" s="97" t="s">
        <v>714</v>
      </c>
      <c r="J1723" s="73">
        <f t="shared" si="171"/>
        <v>1</v>
      </c>
      <c r="K1723" s="74" t="s">
        <v>204</v>
      </c>
      <c r="N1723" s="76" t="s">
        <v>17</v>
      </c>
      <c r="Q1723" s="76" t="s">
        <v>2109</v>
      </c>
      <c r="R1723" s="73">
        <f t="shared" si="172"/>
        <v>1</v>
      </c>
      <c r="S1723" s="260" t="s">
        <v>1976</v>
      </c>
      <c r="T1723" s="260" t="s">
        <v>923</v>
      </c>
      <c r="Y1723" s="566">
        <v>0.4773958333333333</v>
      </c>
      <c r="Z1723" s="566">
        <v>0.48972222222222223</v>
      </c>
      <c r="AA1723" s="566">
        <f t="shared" si="173"/>
        <v>1.2326388888888928E-2</v>
      </c>
      <c r="AB1723" s="699"/>
    </row>
    <row r="1724" spans="1:28" x14ac:dyDescent="0.3">
      <c r="A1724" s="79" t="s">
        <v>5073</v>
      </c>
      <c r="C1724" s="115">
        <v>43894</v>
      </c>
      <c r="D1724" s="312">
        <v>43971</v>
      </c>
      <c r="E1724" s="81">
        <v>43934</v>
      </c>
      <c r="F1724" s="86" t="s">
        <v>5183</v>
      </c>
      <c r="G1724" s="86" t="s">
        <v>156</v>
      </c>
      <c r="H1724" s="96" t="s">
        <v>213</v>
      </c>
      <c r="I1724" s="97" t="s">
        <v>714</v>
      </c>
      <c r="J1724" s="73">
        <f t="shared" si="171"/>
        <v>1</v>
      </c>
      <c r="K1724" s="74" t="s">
        <v>204</v>
      </c>
      <c r="N1724" s="76" t="s">
        <v>18</v>
      </c>
      <c r="Q1724" s="76" t="s">
        <v>2037</v>
      </c>
      <c r="R1724" s="73">
        <f t="shared" si="172"/>
        <v>1</v>
      </c>
      <c r="S1724" s="260" t="s">
        <v>1976</v>
      </c>
      <c r="T1724" s="260" t="s">
        <v>924</v>
      </c>
      <c r="Y1724" s="566">
        <v>0.58850694444444451</v>
      </c>
      <c r="Z1724" s="566">
        <v>0.60100694444444447</v>
      </c>
      <c r="AA1724" s="566">
        <f t="shared" si="173"/>
        <v>1.2499999999999956E-2</v>
      </c>
      <c r="AB1724" s="699"/>
    </row>
    <row r="1725" spans="1:28" x14ac:dyDescent="0.3">
      <c r="A1725" s="79" t="s">
        <v>5078</v>
      </c>
      <c r="C1725" s="115">
        <v>43894</v>
      </c>
      <c r="D1725" s="312">
        <v>43971</v>
      </c>
      <c r="E1725" s="81">
        <v>43937</v>
      </c>
      <c r="F1725" s="86" t="s">
        <v>5188</v>
      </c>
      <c r="G1725" s="86" t="s">
        <v>166</v>
      </c>
      <c r="H1725" s="79" t="s">
        <v>268</v>
      </c>
      <c r="I1725" s="97" t="s">
        <v>722</v>
      </c>
      <c r="J1725" s="73">
        <f t="shared" si="171"/>
        <v>1</v>
      </c>
      <c r="K1725" s="74" t="s">
        <v>204</v>
      </c>
      <c r="L1725" s="97" t="s">
        <v>6344</v>
      </c>
      <c r="N1725" s="76" t="s">
        <v>17</v>
      </c>
      <c r="Q1725" s="76" t="s">
        <v>2417</v>
      </c>
      <c r="R1725" s="73">
        <f t="shared" si="172"/>
        <v>1</v>
      </c>
      <c r="S1725" s="260" t="s">
        <v>1976</v>
      </c>
      <c r="T1725" s="260" t="s">
        <v>923</v>
      </c>
      <c r="Y1725" s="566">
        <v>0.78667824074074078</v>
      </c>
      <c r="Z1725" s="566">
        <v>0.80690972222222224</v>
      </c>
      <c r="AA1725" s="566">
        <f t="shared" si="173"/>
        <v>2.0231481481481461E-2</v>
      </c>
      <c r="AB1725" s="699"/>
    </row>
    <row r="1726" spans="1:28" x14ac:dyDescent="0.3">
      <c r="A1726" s="79" t="s">
        <v>5979</v>
      </c>
      <c r="C1726" s="115">
        <v>43895</v>
      </c>
      <c r="D1726" s="312">
        <v>43972</v>
      </c>
      <c r="E1726" s="81">
        <v>43937</v>
      </c>
      <c r="F1726" s="86" t="s">
        <v>6021</v>
      </c>
      <c r="G1726" s="86" t="s">
        <v>152</v>
      </c>
      <c r="H1726" s="96" t="s">
        <v>213</v>
      </c>
      <c r="I1726" s="97" t="s">
        <v>1635</v>
      </c>
      <c r="J1726" s="73">
        <f t="shared" si="171"/>
        <v>1</v>
      </c>
      <c r="K1726" s="74" t="s">
        <v>204</v>
      </c>
      <c r="N1726" s="76" t="s">
        <v>17</v>
      </c>
      <c r="Q1726" s="76" t="s">
        <v>2417</v>
      </c>
      <c r="R1726" s="73">
        <f t="shared" si="172"/>
        <v>1</v>
      </c>
      <c r="S1726" s="260" t="s">
        <v>1976</v>
      </c>
      <c r="T1726" s="260" t="s">
        <v>925</v>
      </c>
      <c r="Y1726" s="566">
        <v>0.5482407407407407</v>
      </c>
      <c r="Z1726" s="566">
        <v>0.56319444444444444</v>
      </c>
      <c r="AA1726" s="566">
        <f t="shared" si="173"/>
        <v>1.4953703703703747E-2</v>
      </c>
      <c r="AB1726" s="699"/>
    </row>
    <row r="1727" spans="1:28" x14ac:dyDescent="0.3">
      <c r="A1727" s="79" t="s">
        <v>5980</v>
      </c>
      <c r="C1727" s="115">
        <v>43895</v>
      </c>
      <c r="D1727" s="312">
        <v>43972</v>
      </c>
      <c r="E1727" s="81">
        <v>43937</v>
      </c>
      <c r="F1727" s="86" t="s">
        <v>6022</v>
      </c>
      <c r="G1727" s="86" t="s">
        <v>410</v>
      </c>
      <c r="H1727" s="96" t="s">
        <v>213</v>
      </c>
      <c r="I1727" s="97" t="s">
        <v>642</v>
      </c>
      <c r="J1727" s="73">
        <f t="shared" si="171"/>
        <v>1</v>
      </c>
      <c r="K1727" s="74" t="s">
        <v>204</v>
      </c>
      <c r="N1727" s="76" t="s">
        <v>18</v>
      </c>
      <c r="Q1727" s="76" t="s">
        <v>2417</v>
      </c>
      <c r="R1727" s="73">
        <f t="shared" si="172"/>
        <v>1</v>
      </c>
      <c r="S1727" s="260" t="s">
        <v>1976</v>
      </c>
      <c r="T1727" s="260" t="s">
        <v>924</v>
      </c>
      <c r="Y1727" s="566">
        <v>0.61172453703703711</v>
      </c>
      <c r="Z1727" s="566">
        <v>0.61699074074074078</v>
      </c>
      <c r="AA1727" s="566">
        <f t="shared" si="173"/>
        <v>5.2662037037036757E-3</v>
      </c>
      <c r="AB1727" s="699"/>
    </row>
    <row r="1728" spans="1:28" x14ac:dyDescent="0.3">
      <c r="A1728" s="79" t="s">
        <v>5080</v>
      </c>
      <c r="C1728" s="115">
        <v>43895</v>
      </c>
      <c r="D1728" s="312">
        <v>43971</v>
      </c>
      <c r="E1728" s="81">
        <v>43934</v>
      </c>
      <c r="F1728" s="86" t="s">
        <v>5190</v>
      </c>
      <c r="G1728" s="86" t="s">
        <v>158</v>
      </c>
      <c r="H1728" s="96" t="s">
        <v>213</v>
      </c>
      <c r="I1728" s="97" t="s">
        <v>714</v>
      </c>
      <c r="J1728" s="73">
        <f t="shared" si="171"/>
        <v>1</v>
      </c>
      <c r="K1728" s="74" t="s">
        <v>204</v>
      </c>
      <c r="N1728" s="76" t="s">
        <v>18</v>
      </c>
      <c r="Q1728" s="76" t="s">
        <v>2037</v>
      </c>
      <c r="R1728" s="73">
        <f t="shared" si="172"/>
        <v>1</v>
      </c>
      <c r="S1728" s="260" t="s">
        <v>1976</v>
      </c>
      <c r="T1728" s="260" t="s">
        <v>925</v>
      </c>
      <c r="Y1728" s="566">
        <v>0.53209490740740739</v>
      </c>
      <c r="Z1728" s="566">
        <v>0.53916666666666668</v>
      </c>
      <c r="AA1728" s="566">
        <f t="shared" si="173"/>
        <v>7.0717592592592915E-3</v>
      </c>
      <c r="AB1728" s="699"/>
    </row>
    <row r="1729" spans="1:28" x14ac:dyDescent="0.3">
      <c r="A1729" s="79" t="s">
        <v>5841</v>
      </c>
      <c r="C1729" s="115">
        <v>43895</v>
      </c>
      <c r="D1729" s="312">
        <v>43971</v>
      </c>
      <c r="E1729" s="81">
        <v>43937</v>
      </c>
      <c r="F1729" s="86" t="s">
        <v>5907</v>
      </c>
      <c r="G1729" s="86" t="s">
        <v>164</v>
      </c>
      <c r="H1729" s="96" t="s">
        <v>213</v>
      </c>
      <c r="I1729" s="97" t="s">
        <v>642</v>
      </c>
      <c r="J1729" s="73">
        <f t="shared" si="171"/>
        <v>1</v>
      </c>
      <c r="K1729" s="74" t="s">
        <v>204</v>
      </c>
      <c r="N1729" s="76" t="s">
        <v>18</v>
      </c>
      <c r="Q1729" s="76" t="s">
        <v>2417</v>
      </c>
      <c r="R1729" s="73">
        <f t="shared" si="172"/>
        <v>1</v>
      </c>
      <c r="S1729" s="260" t="s">
        <v>1976</v>
      </c>
      <c r="T1729" s="260" t="s">
        <v>925</v>
      </c>
      <c r="Y1729" s="566">
        <v>0.4901388888888889</v>
      </c>
      <c r="Z1729" s="566">
        <v>0.49995370370370368</v>
      </c>
      <c r="AA1729" s="566">
        <f t="shared" si="173"/>
        <v>9.8148148148147762E-3</v>
      </c>
      <c r="AB1729" s="699"/>
    </row>
    <row r="1730" spans="1:28" x14ac:dyDescent="0.3">
      <c r="A1730" s="79" t="s">
        <v>5081</v>
      </c>
      <c r="C1730" s="115">
        <v>43895</v>
      </c>
      <c r="D1730" s="312">
        <v>43971</v>
      </c>
      <c r="E1730" s="81">
        <v>43937</v>
      </c>
      <c r="F1730" s="86" t="s">
        <v>5191</v>
      </c>
      <c r="G1730" s="86" t="s">
        <v>152</v>
      </c>
      <c r="H1730" s="96" t="s">
        <v>213</v>
      </c>
      <c r="I1730" s="97" t="s">
        <v>714</v>
      </c>
      <c r="J1730" s="73">
        <f t="shared" si="171"/>
        <v>1</v>
      </c>
      <c r="K1730" s="74" t="s">
        <v>204</v>
      </c>
      <c r="N1730" s="76" t="s">
        <v>18</v>
      </c>
      <c r="Q1730" s="76" t="s">
        <v>2076</v>
      </c>
      <c r="R1730" s="73">
        <f t="shared" si="172"/>
        <v>1</v>
      </c>
      <c r="S1730" s="260" t="s">
        <v>1976</v>
      </c>
      <c r="T1730" s="260" t="s">
        <v>924</v>
      </c>
      <c r="U1730" s="301" t="s">
        <v>5283</v>
      </c>
      <c r="V1730" s="301" t="s">
        <v>6086</v>
      </c>
      <c r="Y1730" s="566">
        <v>0.50829861111111108</v>
      </c>
      <c r="Z1730" s="566">
        <v>0.52284722222222224</v>
      </c>
      <c r="AA1730" s="566">
        <f t="shared" si="173"/>
        <v>1.4548611111111165E-2</v>
      </c>
      <c r="AB1730" s="699"/>
    </row>
    <row r="1731" spans="1:28" x14ac:dyDescent="0.3">
      <c r="A1731" s="79" t="s">
        <v>5344</v>
      </c>
      <c r="C1731" s="115">
        <v>43895</v>
      </c>
      <c r="D1731" s="312">
        <v>43972</v>
      </c>
      <c r="E1731" s="81">
        <v>43937</v>
      </c>
      <c r="F1731" s="86" t="s">
        <v>5470</v>
      </c>
      <c r="G1731" s="86" t="s">
        <v>158</v>
      </c>
      <c r="H1731" s="96" t="s">
        <v>213</v>
      </c>
      <c r="I1731" s="97" t="s">
        <v>714</v>
      </c>
      <c r="J1731" s="73">
        <f t="shared" si="171"/>
        <v>1</v>
      </c>
      <c r="K1731" s="74" t="s">
        <v>204</v>
      </c>
      <c r="N1731" s="76" t="s">
        <v>17</v>
      </c>
      <c r="Q1731" s="76" t="s">
        <v>2142</v>
      </c>
      <c r="R1731" s="73">
        <f t="shared" si="172"/>
        <v>1</v>
      </c>
      <c r="S1731" s="260" t="s">
        <v>1976</v>
      </c>
      <c r="T1731" s="260" t="s">
        <v>924</v>
      </c>
      <c r="Y1731" s="566">
        <v>0.65798611111111105</v>
      </c>
      <c r="Z1731" s="566">
        <v>0.66594907407407411</v>
      </c>
      <c r="AA1731" s="566">
        <f t="shared" si="173"/>
        <v>7.9629629629630605E-3</v>
      </c>
      <c r="AB1731" s="699"/>
    </row>
    <row r="1732" spans="1:28" x14ac:dyDescent="0.3">
      <c r="A1732" s="79" t="s">
        <v>5347</v>
      </c>
      <c r="C1732" s="115">
        <v>43895</v>
      </c>
      <c r="D1732" s="312">
        <v>43972</v>
      </c>
      <c r="E1732" s="81">
        <v>43937</v>
      </c>
      <c r="F1732" s="86" t="s">
        <v>5473</v>
      </c>
      <c r="G1732" s="86" t="s">
        <v>158</v>
      </c>
      <c r="H1732" s="96" t="s">
        <v>213</v>
      </c>
      <c r="I1732" s="97" t="s">
        <v>722</v>
      </c>
      <c r="J1732" s="73">
        <f t="shared" si="171"/>
        <v>1</v>
      </c>
      <c r="K1732" s="74" t="s">
        <v>204</v>
      </c>
      <c r="N1732" s="76" t="s">
        <v>18</v>
      </c>
      <c r="Q1732" s="76" t="s">
        <v>2076</v>
      </c>
      <c r="R1732" s="73">
        <f t="shared" si="172"/>
        <v>1</v>
      </c>
      <c r="S1732" s="260" t="s">
        <v>1976</v>
      </c>
      <c r="T1732" s="260" t="s">
        <v>923</v>
      </c>
      <c r="Y1732" s="566">
        <v>0.69506944444444441</v>
      </c>
      <c r="Z1732" s="566">
        <v>0.71143518518518523</v>
      </c>
      <c r="AA1732" s="566">
        <f t="shared" si="173"/>
        <v>1.636574074074082E-2</v>
      </c>
      <c r="AB1732" s="699"/>
    </row>
    <row r="1733" spans="1:28" x14ac:dyDescent="0.3">
      <c r="A1733" s="79" t="s">
        <v>5348</v>
      </c>
      <c r="C1733" s="115">
        <v>43895</v>
      </c>
      <c r="D1733" s="312">
        <v>43972</v>
      </c>
      <c r="E1733" s="81">
        <v>43938</v>
      </c>
      <c r="F1733" s="86" t="s">
        <v>5474</v>
      </c>
      <c r="G1733" s="86" t="s">
        <v>538</v>
      </c>
      <c r="H1733" s="79" t="s">
        <v>268</v>
      </c>
      <c r="I1733" s="97" t="s">
        <v>642</v>
      </c>
      <c r="J1733" s="73">
        <f t="shared" si="171"/>
        <v>1</v>
      </c>
      <c r="K1733" s="74" t="s">
        <v>204</v>
      </c>
      <c r="N1733" s="76" t="s">
        <v>18</v>
      </c>
      <c r="Q1733" s="76" t="s">
        <v>2109</v>
      </c>
      <c r="R1733" s="73">
        <f t="shared" si="172"/>
        <v>1</v>
      </c>
      <c r="S1733" s="260" t="s">
        <v>1976</v>
      </c>
      <c r="T1733" s="260" t="s">
        <v>924</v>
      </c>
      <c r="Y1733" s="566">
        <v>0.47696759259259264</v>
      </c>
      <c r="Z1733" s="566">
        <v>0.4836226851851852</v>
      </c>
      <c r="AA1733" s="566">
        <f t="shared" si="173"/>
        <v>6.6550925925925597E-3</v>
      </c>
      <c r="AB1733" s="699"/>
    </row>
    <row r="1734" spans="1:28" x14ac:dyDescent="0.3">
      <c r="A1734" s="79" t="s">
        <v>5082</v>
      </c>
      <c r="C1734" s="115">
        <v>43895</v>
      </c>
      <c r="D1734" s="312">
        <v>43971</v>
      </c>
      <c r="E1734" s="81">
        <v>43937</v>
      </c>
      <c r="F1734" s="86" t="s">
        <v>5192</v>
      </c>
      <c r="G1734" s="86" t="s">
        <v>156</v>
      </c>
      <c r="H1734" s="96" t="s">
        <v>213</v>
      </c>
      <c r="I1734" s="97" t="s">
        <v>642</v>
      </c>
      <c r="J1734" s="73">
        <f t="shared" si="171"/>
        <v>1</v>
      </c>
      <c r="K1734" s="74" t="s">
        <v>204</v>
      </c>
      <c r="N1734" s="76" t="s">
        <v>17</v>
      </c>
      <c r="Q1734" s="76" t="s">
        <v>2109</v>
      </c>
      <c r="R1734" s="73">
        <f t="shared" si="172"/>
        <v>1</v>
      </c>
      <c r="S1734" s="260" t="s">
        <v>1976</v>
      </c>
      <c r="T1734" s="260" t="s">
        <v>924</v>
      </c>
      <c r="Y1734" s="566">
        <v>0.47021990740740738</v>
      </c>
      <c r="Z1734" s="566">
        <v>0.47702546296296294</v>
      </c>
      <c r="AA1734" s="566">
        <f t="shared" si="173"/>
        <v>6.8055555555555647E-3</v>
      </c>
      <c r="AB1734" s="699"/>
    </row>
    <row r="1735" spans="1:28" x14ac:dyDescent="0.3">
      <c r="A1735" s="79" t="s">
        <v>5350</v>
      </c>
      <c r="C1735" s="115">
        <v>43895</v>
      </c>
      <c r="D1735" s="312">
        <v>43972</v>
      </c>
      <c r="E1735" s="81">
        <v>43935</v>
      </c>
      <c r="F1735" s="86" t="s">
        <v>5476</v>
      </c>
      <c r="G1735" s="86" t="s">
        <v>147</v>
      </c>
      <c r="H1735" s="96" t="s">
        <v>213</v>
      </c>
      <c r="I1735" s="97" t="s">
        <v>642</v>
      </c>
      <c r="J1735" s="73">
        <f t="shared" si="171"/>
        <v>1</v>
      </c>
      <c r="K1735" s="74" t="s">
        <v>204</v>
      </c>
      <c r="N1735" s="76" t="s">
        <v>18</v>
      </c>
      <c r="Q1735" s="76" t="s">
        <v>2037</v>
      </c>
      <c r="R1735" s="73">
        <f t="shared" si="172"/>
        <v>1</v>
      </c>
      <c r="S1735" s="260" t="s">
        <v>1976</v>
      </c>
      <c r="T1735" s="260" t="s">
        <v>924</v>
      </c>
      <c r="Y1735" s="566">
        <v>0.49026620370370372</v>
      </c>
      <c r="Z1735" s="566">
        <v>0.5018055555555555</v>
      </c>
      <c r="AA1735" s="566">
        <f t="shared" si="173"/>
        <v>1.1539351851851787E-2</v>
      </c>
      <c r="AB1735" s="699"/>
    </row>
    <row r="1736" spans="1:28" x14ac:dyDescent="0.3">
      <c r="A1736" s="79" t="s">
        <v>5356</v>
      </c>
      <c r="C1736" s="115">
        <v>43896</v>
      </c>
      <c r="D1736" s="312">
        <v>43973</v>
      </c>
      <c r="E1736" s="81">
        <v>43935</v>
      </c>
      <c r="F1736" s="86" t="s">
        <v>5482</v>
      </c>
      <c r="G1736" s="86" t="s">
        <v>152</v>
      </c>
      <c r="H1736" s="96" t="s">
        <v>213</v>
      </c>
      <c r="I1736" s="97" t="s">
        <v>714</v>
      </c>
      <c r="J1736" s="73">
        <f t="shared" si="171"/>
        <v>1</v>
      </c>
      <c r="K1736" s="74" t="s">
        <v>204</v>
      </c>
      <c r="N1736" s="76" t="s">
        <v>17</v>
      </c>
      <c r="Q1736" s="76" t="s">
        <v>2037</v>
      </c>
      <c r="R1736" s="73">
        <f t="shared" si="172"/>
        <v>1</v>
      </c>
      <c r="S1736" s="260" t="s">
        <v>1976</v>
      </c>
      <c r="T1736" s="260" t="s">
        <v>924</v>
      </c>
      <c r="Y1736" s="566">
        <v>0.6595833333333333</v>
      </c>
      <c r="Z1736" s="566">
        <v>0.67040509259259251</v>
      </c>
      <c r="AA1736" s="566">
        <f t="shared" si="173"/>
        <v>1.0821759259259212E-2</v>
      </c>
      <c r="AB1736" s="699"/>
    </row>
    <row r="1737" spans="1:28" x14ac:dyDescent="0.3">
      <c r="A1737" s="79" t="s">
        <v>5359</v>
      </c>
      <c r="C1737" s="115">
        <v>43896</v>
      </c>
      <c r="D1737" s="312">
        <v>43972</v>
      </c>
      <c r="E1737" s="81">
        <v>43935</v>
      </c>
      <c r="F1737" s="86" t="s">
        <v>5485</v>
      </c>
      <c r="G1737" s="86" t="s">
        <v>152</v>
      </c>
      <c r="H1737" s="96" t="s">
        <v>213</v>
      </c>
      <c r="I1737" s="97" t="s">
        <v>714</v>
      </c>
      <c r="J1737" s="73">
        <f t="shared" si="171"/>
        <v>1</v>
      </c>
      <c r="K1737" s="74" t="s">
        <v>204</v>
      </c>
      <c r="N1737" s="76" t="s">
        <v>17</v>
      </c>
      <c r="Q1737" s="76" t="s">
        <v>2037</v>
      </c>
      <c r="R1737" s="73">
        <f t="shared" si="172"/>
        <v>1</v>
      </c>
      <c r="S1737" s="260" t="s">
        <v>1976</v>
      </c>
      <c r="T1737" s="260" t="s">
        <v>925</v>
      </c>
      <c r="Y1737" s="566">
        <v>0.61805555555555558</v>
      </c>
      <c r="Z1737" s="566">
        <v>0.64055555555555554</v>
      </c>
      <c r="AA1737" s="566">
        <f t="shared" si="173"/>
        <v>2.2499999999999964E-2</v>
      </c>
      <c r="AB1737" s="699"/>
    </row>
    <row r="1738" spans="1:28" x14ac:dyDescent="0.3">
      <c r="A1738" s="79" t="s">
        <v>5361</v>
      </c>
      <c r="C1738" s="115">
        <v>43896</v>
      </c>
      <c r="D1738" s="312">
        <v>43973</v>
      </c>
      <c r="E1738" s="81">
        <v>43941</v>
      </c>
      <c r="F1738" s="86" t="s">
        <v>5487</v>
      </c>
      <c r="G1738" s="86" t="s">
        <v>158</v>
      </c>
      <c r="H1738" s="96" t="s">
        <v>213</v>
      </c>
      <c r="I1738" s="97" t="s">
        <v>642</v>
      </c>
      <c r="J1738" s="73">
        <f t="shared" si="171"/>
        <v>1</v>
      </c>
      <c r="K1738" s="74" t="s">
        <v>204</v>
      </c>
      <c r="N1738" s="76" t="s">
        <v>18</v>
      </c>
      <c r="Q1738" s="76" t="s">
        <v>2142</v>
      </c>
      <c r="R1738" s="73">
        <f t="shared" si="172"/>
        <v>1</v>
      </c>
      <c r="S1738" s="260" t="s">
        <v>1976</v>
      </c>
      <c r="T1738" s="260" t="s">
        <v>923</v>
      </c>
      <c r="Y1738" s="566">
        <v>0.91197916666666667</v>
      </c>
      <c r="Z1738" s="566">
        <v>0.91690972222222211</v>
      </c>
      <c r="AA1738" s="566">
        <f t="shared" si="173"/>
        <v>4.9305555555554381E-3</v>
      </c>
      <c r="AB1738" s="699"/>
    </row>
    <row r="1739" spans="1:28" x14ac:dyDescent="0.3">
      <c r="A1739" s="79" t="s">
        <v>5362</v>
      </c>
      <c r="C1739" s="115">
        <v>43896</v>
      </c>
      <c r="D1739" s="312">
        <v>43972</v>
      </c>
      <c r="E1739" s="81">
        <v>43937</v>
      </c>
      <c r="F1739" s="86" t="s">
        <v>5488</v>
      </c>
      <c r="G1739" s="86" t="s">
        <v>156</v>
      </c>
      <c r="H1739" s="96" t="s">
        <v>213</v>
      </c>
      <c r="I1739" s="97" t="s">
        <v>714</v>
      </c>
      <c r="J1739" s="73">
        <f t="shared" si="171"/>
        <v>1</v>
      </c>
      <c r="K1739" s="74" t="s">
        <v>204</v>
      </c>
      <c r="N1739" s="76" t="s">
        <v>18</v>
      </c>
      <c r="Q1739" s="76" t="s">
        <v>2142</v>
      </c>
      <c r="R1739" s="73">
        <f t="shared" si="172"/>
        <v>1</v>
      </c>
      <c r="S1739" s="260" t="s">
        <v>1976</v>
      </c>
      <c r="T1739" s="260" t="s">
        <v>925</v>
      </c>
      <c r="Y1739" s="566">
        <v>0.6909143518518519</v>
      </c>
      <c r="Z1739" s="566">
        <v>0.69434027777777774</v>
      </c>
      <c r="AA1739" s="566">
        <f t="shared" si="173"/>
        <v>3.4259259259258323E-3</v>
      </c>
      <c r="AB1739" s="699"/>
    </row>
    <row r="1740" spans="1:28" x14ac:dyDescent="0.3">
      <c r="A1740" s="96" t="s">
        <v>5363</v>
      </c>
      <c r="C1740" s="115">
        <v>43896</v>
      </c>
      <c r="D1740" s="312">
        <v>43972</v>
      </c>
      <c r="E1740" s="81">
        <v>43938</v>
      </c>
      <c r="F1740" s="86" t="s">
        <v>5489</v>
      </c>
      <c r="G1740" s="86" t="s">
        <v>152</v>
      </c>
      <c r="H1740" s="96" t="s">
        <v>213</v>
      </c>
      <c r="I1740" s="97" t="s">
        <v>722</v>
      </c>
      <c r="J1740" s="73">
        <f t="shared" si="171"/>
        <v>1</v>
      </c>
      <c r="K1740" s="74" t="s">
        <v>204</v>
      </c>
      <c r="L1740" s="97" t="s">
        <v>12724</v>
      </c>
      <c r="N1740" s="76" t="s">
        <v>17</v>
      </c>
      <c r="Q1740" s="76" t="s">
        <v>2076</v>
      </c>
      <c r="R1740" s="73">
        <f t="shared" si="172"/>
        <v>1</v>
      </c>
      <c r="S1740" s="260" t="s">
        <v>1976</v>
      </c>
      <c r="T1740" s="260" t="s">
        <v>924</v>
      </c>
      <c r="U1740" s="301" t="s">
        <v>5283</v>
      </c>
      <c r="V1740" s="301" t="s">
        <v>6345</v>
      </c>
      <c r="X1740" s="301" t="s">
        <v>6369</v>
      </c>
      <c r="Y1740" s="566">
        <v>0.43653935185185189</v>
      </c>
      <c r="Z1740" s="566">
        <v>0.45307870370370368</v>
      </c>
      <c r="AA1740" s="566">
        <f t="shared" si="173"/>
        <v>1.6539351851851791E-2</v>
      </c>
      <c r="AB1740" s="699"/>
    </row>
    <row r="1741" spans="1:28" x14ac:dyDescent="0.3">
      <c r="A1741" s="79" t="s">
        <v>5364</v>
      </c>
      <c r="C1741" s="115">
        <v>43896</v>
      </c>
      <c r="D1741" s="312">
        <v>43972</v>
      </c>
      <c r="E1741" s="81">
        <v>43938</v>
      </c>
      <c r="F1741" s="86" t="s">
        <v>5490</v>
      </c>
      <c r="G1741" s="86" t="s">
        <v>150</v>
      </c>
      <c r="H1741" s="96" t="s">
        <v>213</v>
      </c>
      <c r="I1741" s="97" t="s">
        <v>714</v>
      </c>
      <c r="J1741" s="73">
        <f t="shared" si="171"/>
        <v>1</v>
      </c>
      <c r="K1741" s="74" t="s">
        <v>204</v>
      </c>
      <c r="N1741" s="76" t="s">
        <v>17</v>
      </c>
      <c r="Q1741" s="76" t="s">
        <v>2076</v>
      </c>
      <c r="R1741" s="73">
        <f t="shared" si="172"/>
        <v>1</v>
      </c>
      <c r="S1741" s="260" t="s">
        <v>1976</v>
      </c>
      <c r="T1741" s="260" t="s">
        <v>925</v>
      </c>
      <c r="Y1741" s="566">
        <v>0.49170138888888887</v>
      </c>
      <c r="Z1741" s="566">
        <v>0.50259259259259259</v>
      </c>
      <c r="AA1741" s="566">
        <f t="shared" si="173"/>
        <v>1.0891203703703722E-2</v>
      </c>
      <c r="AB1741" s="699"/>
    </row>
    <row r="1742" spans="1:28" x14ac:dyDescent="0.3">
      <c r="A1742" s="79" t="s">
        <v>5365</v>
      </c>
      <c r="C1742" s="115">
        <v>43896</v>
      </c>
      <c r="D1742" s="312">
        <v>43972</v>
      </c>
      <c r="E1742" s="81">
        <v>43938</v>
      </c>
      <c r="F1742" s="86" t="s">
        <v>5491</v>
      </c>
      <c r="G1742" s="86" t="s">
        <v>158</v>
      </c>
      <c r="H1742" s="96" t="s">
        <v>213</v>
      </c>
      <c r="I1742" s="97" t="s">
        <v>642</v>
      </c>
      <c r="J1742" s="73">
        <f t="shared" si="171"/>
        <v>1</v>
      </c>
      <c r="K1742" s="74" t="s">
        <v>204</v>
      </c>
      <c r="L1742" s="97" t="s">
        <v>8111</v>
      </c>
      <c r="N1742" s="76" t="s">
        <v>17</v>
      </c>
      <c r="Q1742" s="76" t="s">
        <v>2109</v>
      </c>
      <c r="R1742" s="73">
        <f t="shared" si="172"/>
        <v>1</v>
      </c>
      <c r="S1742" s="260" t="s">
        <v>1976</v>
      </c>
      <c r="T1742" s="260" t="s">
        <v>923</v>
      </c>
      <c r="Y1742" s="566">
        <v>0.84125000000000005</v>
      </c>
      <c r="Z1742" s="566">
        <v>0.85059027777777774</v>
      </c>
      <c r="AA1742" s="566">
        <f t="shared" si="173"/>
        <v>9.3402777777776835E-3</v>
      </c>
      <c r="AB1742" s="699"/>
    </row>
    <row r="1743" spans="1:28" x14ac:dyDescent="0.3">
      <c r="A1743" s="79" t="s">
        <v>5366</v>
      </c>
      <c r="C1743" s="115">
        <v>43896</v>
      </c>
      <c r="D1743" s="312">
        <v>43973</v>
      </c>
      <c r="E1743" s="81">
        <v>43938</v>
      </c>
      <c r="F1743" s="86" t="s">
        <v>5492</v>
      </c>
      <c r="G1743" s="86" t="s">
        <v>147</v>
      </c>
      <c r="H1743" s="96" t="s">
        <v>213</v>
      </c>
      <c r="I1743" s="97" t="s">
        <v>714</v>
      </c>
      <c r="J1743" s="73">
        <f t="shared" si="171"/>
        <v>1</v>
      </c>
      <c r="K1743" s="74" t="s">
        <v>204</v>
      </c>
      <c r="N1743" s="76" t="s">
        <v>18</v>
      </c>
      <c r="Q1743" s="76" t="s">
        <v>2076</v>
      </c>
      <c r="R1743" s="73">
        <f t="shared" si="172"/>
        <v>1</v>
      </c>
      <c r="S1743" s="260" t="s">
        <v>1976</v>
      </c>
      <c r="T1743" s="260" t="s">
        <v>924</v>
      </c>
      <c r="U1743" s="301" t="s">
        <v>5283</v>
      </c>
      <c r="V1743" s="301" t="s">
        <v>6347</v>
      </c>
      <c r="Y1743" s="566">
        <v>0.66442129629629632</v>
      </c>
      <c r="Z1743" s="566">
        <v>0.67836805555555557</v>
      </c>
      <c r="AA1743" s="566">
        <f t="shared" si="173"/>
        <v>1.3946759259259256E-2</v>
      </c>
      <c r="AB1743" s="699"/>
    </row>
    <row r="1744" spans="1:28" x14ac:dyDescent="0.3">
      <c r="A1744" s="79" t="s">
        <v>5367</v>
      </c>
      <c r="C1744" s="115">
        <v>43896</v>
      </c>
      <c r="D1744" s="312">
        <v>43973</v>
      </c>
      <c r="E1744" s="81">
        <v>43937</v>
      </c>
      <c r="F1744" s="86" t="s">
        <v>5493</v>
      </c>
      <c r="G1744" s="86" t="s">
        <v>150</v>
      </c>
      <c r="H1744" s="96" t="s">
        <v>213</v>
      </c>
      <c r="I1744" s="97" t="s">
        <v>642</v>
      </c>
      <c r="J1744" s="73">
        <f t="shared" si="171"/>
        <v>1</v>
      </c>
      <c r="K1744" s="74" t="s">
        <v>204</v>
      </c>
      <c r="N1744" s="76" t="s">
        <v>18</v>
      </c>
      <c r="Q1744" s="76" t="s">
        <v>2037</v>
      </c>
      <c r="R1744" s="73">
        <f t="shared" si="172"/>
        <v>1</v>
      </c>
      <c r="S1744" s="260" t="s">
        <v>1976</v>
      </c>
      <c r="T1744" s="260" t="s">
        <v>923</v>
      </c>
      <c r="Y1744" s="566">
        <v>0.57225694444444442</v>
      </c>
      <c r="Z1744" s="566">
        <v>0.57840277777777771</v>
      </c>
      <c r="AA1744" s="566">
        <f t="shared" si="173"/>
        <v>6.1458333333332948E-3</v>
      </c>
      <c r="AB1744" s="699"/>
    </row>
    <row r="1745" spans="1:28" x14ac:dyDescent="0.3">
      <c r="A1745" s="79" t="s">
        <v>5981</v>
      </c>
      <c r="C1745" s="115">
        <v>43896</v>
      </c>
      <c r="D1745" s="312">
        <v>43973</v>
      </c>
      <c r="E1745" s="81">
        <v>43941</v>
      </c>
      <c r="F1745" s="86" t="s">
        <v>6023</v>
      </c>
      <c r="G1745" s="86" t="s">
        <v>150</v>
      </c>
      <c r="H1745" s="96" t="s">
        <v>213</v>
      </c>
      <c r="I1745" s="97" t="s">
        <v>714</v>
      </c>
      <c r="J1745" s="73">
        <f t="shared" si="171"/>
        <v>1</v>
      </c>
      <c r="K1745" s="74" t="s">
        <v>204</v>
      </c>
      <c r="N1745" s="76" t="s">
        <v>18</v>
      </c>
      <c r="Q1745" s="76" t="s">
        <v>2142</v>
      </c>
      <c r="R1745" s="73">
        <f t="shared" si="172"/>
        <v>1</v>
      </c>
      <c r="S1745" s="260" t="s">
        <v>1976</v>
      </c>
      <c r="T1745" s="260" t="s">
        <v>924</v>
      </c>
      <c r="Y1745" s="566">
        <v>0.89422453703703697</v>
      </c>
      <c r="Z1745" s="566">
        <v>0.90967592592592583</v>
      </c>
      <c r="AA1745" s="566">
        <f t="shared" si="173"/>
        <v>1.5451388888888862E-2</v>
      </c>
      <c r="AB1745" s="699"/>
    </row>
    <row r="1746" spans="1:28" x14ac:dyDescent="0.3">
      <c r="A1746" s="79" t="s">
        <v>5375</v>
      </c>
      <c r="C1746" s="115">
        <v>43896</v>
      </c>
      <c r="D1746" s="312">
        <v>43972</v>
      </c>
      <c r="E1746" s="81">
        <v>43938</v>
      </c>
      <c r="F1746" s="86" t="s">
        <v>5501</v>
      </c>
      <c r="G1746" s="86" t="s">
        <v>152</v>
      </c>
      <c r="H1746" s="96" t="s">
        <v>213</v>
      </c>
      <c r="I1746" s="97" t="s">
        <v>714</v>
      </c>
      <c r="J1746" s="73">
        <f t="shared" si="171"/>
        <v>1</v>
      </c>
      <c r="K1746" s="74" t="s">
        <v>204</v>
      </c>
      <c r="N1746" s="76" t="s">
        <v>17</v>
      </c>
      <c r="Q1746" s="76" t="s">
        <v>2109</v>
      </c>
      <c r="R1746" s="73">
        <f t="shared" si="172"/>
        <v>1</v>
      </c>
      <c r="S1746" s="260" t="s">
        <v>1976</v>
      </c>
      <c r="T1746" s="260" t="s">
        <v>925</v>
      </c>
      <c r="Y1746" s="566">
        <v>0.8556597222222222</v>
      </c>
      <c r="Z1746" s="566">
        <v>0.86936342592592597</v>
      </c>
      <c r="AA1746" s="566">
        <f t="shared" si="173"/>
        <v>1.3703703703703773E-2</v>
      </c>
      <c r="AB1746" s="699"/>
    </row>
    <row r="1747" spans="1:28" x14ac:dyDescent="0.3">
      <c r="A1747" s="79" t="s">
        <v>5376</v>
      </c>
      <c r="C1747" s="115">
        <v>43900</v>
      </c>
      <c r="D1747" s="312">
        <v>43973</v>
      </c>
      <c r="E1747" s="81">
        <v>43941</v>
      </c>
      <c r="F1747" s="86" t="s">
        <v>5502</v>
      </c>
      <c r="G1747" s="86" t="s">
        <v>150</v>
      </c>
      <c r="H1747" s="96" t="s">
        <v>213</v>
      </c>
      <c r="I1747" s="97" t="s">
        <v>714</v>
      </c>
      <c r="J1747" s="73">
        <f t="shared" si="171"/>
        <v>1</v>
      </c>
      <c r="K1747" s="74" t="s">
        <v>204</v>
      </c>
      <c r="N1747" s="76" t="s">
        <v>17</v>
      </c>
      <c r="Q1747" s="76" t="s">
        <v>2109</v>
      </c>
      <c r="R1747" s="73">
        <f t="shared" si="172"/>
        <v>1</v>
      </c>
      <c r="S1747" s="260" t="s">
        <v>1976</v>
      </c>
      <c r="T1747" s="260" t="s">
        <v>923</v>
      </c>
      <c r="Y1747" s="566">
        <v>0.6771759259259259</v>
      </c>
      <c r="Z1747" s="566">
        <v>0.68520833333333331</v>
      </c>
      <c r="AA1747" s="566">
        <f t="shared" si="173"/>
        <v>8.0324074074074048E-3</v>
      </c>
      <c r="AB1747" s="699"/>
    </row>
    <row r="1748" spans="1:28" x14ac:dyDescent="0.3">
      <c r="A1748" s="79" t="s">
        <v>5377</v>
      </c>
      <c r="C1748" s="115">
        <v>43896</v>
      </c>
      <c r="D1748" s="312">
        <v>43973</v>
      </c>
      <c r="E1748" s="81">
        <v>43941</v>
      </c>
      <c r="F1748" s="86" t="s">
        <v>5503</v>
      </c>
      <c r="G1748" s="86" t="s">
        <v>166</v>
      </c>
      <c r="H1748" s="96" t="s">
        <v>213</v>
      </c>
      <c r="I1748" s="97" t="s">
        <v>622</v>
      </c>
      <c r="J1748" s="73">
        <f t="shared" si="171"/>
        <v>1</v>
      </c>
      <c r="K1748" s="74" t="s">
        <v>204</v>
      </c>
      <c r="N1748" s="76" t="s">
        <v>19</v>
      </c>
      <c r="Q1748" s="76" t="s">
        <v>2109</v>
      </c>
      <c r="R1748" s="73">
        <f t="shared" si="172"/>
        <v>1</v>
      </c>
      <c r="S1748" s="260" t="s">
        <v>1976</v>
      </c>
      <c r="T1748" s="260" t="s">
        <v>924</v>
      </c>
      <c r="Y1748" s="566">
        <v>0.38061342592592595</v>
      </c>
      <c r="Z1748" s="566">
        <v>0.39856481481481482</v>
      </c>
      <c r="AA1748" s="566">
        <f t="shared" si="173"/>
        <v>1.7951388888888864E-2</v>
      </c>
      <c r="AB1748" s="699"/>
    </row>
    <row r="1749" spans="1:28" x14ac:dyDescent="0.3">
      <c r="A1749" s="79" t="s">
        <v>5384</v>
      </c>
      <c r="C1749" s="115">
        <v>43900</v>
      </c>
      <c r="D1749" s="312">
        <v>43973</v>
      </c>
      <c r="E1749" s="81">
        <v>43938</v>
      </c>
      <c r="F1749" s="86" t="s">
        <v>5510</v>
      </c>
      <c r="G1749" s="86" t="s">
        <v>156</v>
      </c>
      <c r="H1749" s="96" t="s">
        <v>213</v>
      </c>
      <c r="I1749" s="97" t="s">
        <v>3187</v>
      </c>
      <c r="J1749" s="73">
        <f t="shared" si="171"/>
        <v>1</v>
      </c>
      <c r="K1749" s="74" t="s">
        <v>204</v>
      </c>
      <c r="N1749" s="76" t="s">
        <v>19</v>
      </c>
      <c r="Q1749" s="76" t="s">
        <v>2417</v>
      </c>
      <c r="R1749" s="73">
        <f t="shared" si="172"/>
        <v>1</v>
      </c>
      <c r="S1749" s="260" t="s">
        <v>1976</v>
      </c>
      <c r="T1749" s="260" t="s">
        <v>923</v>
      </c>
      <c r="Y1749" s="566">
        <v>0.46690972222222221</v>
      </c>
      <c r="Z1749" s="566">
        <v>0.4762615740740741</v>
      </c>
      <c r="AA1749" s="566">
        <f t="shared" si="173"/>
        <v>9.3518518518518889E-3</v>
      </c>
      <c r="AB1749" s="699"/>
    </row>
    <row r="1750" spans="1:28" x14ac:dyDescent="0.3">
      <c r="A1750" s="79" t="s">
        <v>5389</v>
      </c>
      <c r="C1750" s="115">
        <v>43900</v>
      </c>
      <c r="D1750" s="312">
        <v>43973</v>
      </c>
      <c r="E1750" s="81">
        <v>43938</v>
      </c>
      <c r="F1750" s="86" t="s">
        <v>5515</v>
      </c>
      <c r="G1750" s="86" t="s">
        <v>150</v>
      </c>
      <c r="H1750" s="79" t="s">
        <v>268</v>
      </c>
      <c r="I1750" s="97" t="s">
        <v>657</v>
      </c>
      <c r="J1750" s="73">
        <f t="shared" si="171"/>
        <v>1</v>
      </c>
      <c r="K1750" s="74" t="s">
        <v>204</v>
      </c>
      <c r="L1750" s="97" t="s">
        <v>6346</v>
      </c>
      <c r="N1750" s="76" t="s">
        <v>18</v>
      </c>
      <c r="Q1750" s="76" t="s">
        <v>2417</v>
      </c>
      <c r="R1750" s="73">
        <f t="shared" si="172"/>
        <v>1</v>
      </c>
      <c r="S1750" s="260" t="s">
        <v>1976</v>
      </c>
      <c r="T1750" s="260" t="s">
        <v>923</v>
      </c>
      <c r="Y1750" s="566">
        <v>0.55045138888888889</v>
      </c>
      <c r="Z1750" s="566">
        <v>0.58019675925925929</v>
      </c>
      <c r="AA1750" s="566">
        <f t="shared" si="173"/>
        <v>2.9745370370370394E-2</v>
      </c>
      <c r="AB1750" s="699"/>
    </row>
    <row r="1751" spans="1:28" x14ac:dyDescent="0.3">
      <c r="A1751" s="79" t="s">
        <v>5391</v>
      </c>
      <c r="C1751" s="115">
        <v>43900</v>
      </c>
      <c r="D1751" s="312">
        <v>43973</v>
      </c>
      <c r="E1751" s="81">
        <v>43938</v>
      </c>
      <c r="F1751" s="86" t="s">
        <v>5517</v>
      </c>
      <c r="G1751" s="86" t="s">
        <v>1682</v>
      </c>
      <c r="H1751" s="96" t="s">
        <v>213</v>
      </c>
      <c r="I1751" s="97" t="s">
        <v>642</v>
      </c>
      <c r="J1751" s="73">
        <f t="shared" si="171"/>
        <v>1</v>
      </c>
      <c r="K1751" s="74" t="s">
        <v>204</v>
      </c>
      <c r="N1751" s="76" t="s">
        <v>17</v>
      </c>
      <c r="Q1751" s="76" t="s">
        <v>2076</v>
      </c>
      <c r="R1751" s="73">
        <f t="shared" si="172"/>
        <v>1</v>
      </c>
      <c r="S1751" s="260" t="s">
        <v>1976</v>
      </c>
      <c r="T1751" s="260" t="s">
        <v>923</v>
      </c>
      <c r="Y1751" s="566">
        <v>0.6791666666666667</v>
      </c>
      <c r="Z1751" s="566">
        <v>0.69346064814814812</v>
      </c>
      <c r="AA1751" s="566">
        <f t="shared" si="173"/>
        <v>1.4293981481481421E-2</v>
      </c>
      <c r="AB1751" s="699"/>
    </row>
    <row r="1752" spans="1:28" x14ac:dyDescent="0.3">
      <c r="A1752" s="79" t="s">
        <v>5394</v>
      </c>
      <c r="C1752" s="115">
        <v>43900</v>
      </c>
      <c r="D1752" s="312">
        <v>43973</v>
      </c>
      <c r="E1752" s="81">
        <v>43935</v>
      </c>
      <c r="F1752" s="86" t="s">
        <v>4710</v>
      </c>
      <c r="G1752" s="86" t="s">
        <v>156</v>
      </c>
      <c r="H1752" s="96" t="s">
        <v>213</v>
      </c>
      <c r="I1752" s="97" t="s">
        <v>714</v>
      </c>
      <c r="J1752" s="73">
        <f t="shared" si="171"/>
        <v>1</v>
      </c>
      <c r="K1752" s="74" t="s">
        <v>204</v>
      </c>
      <c r="N1752" s="76" t="s">
        <v>18</v>
      </c>
      <c r="Q1752" s="76" t="s">
        <v>2037</v>
      </c>
      <c r="R1752" s="73">
        <f t="shared" si="172"/>
        <v>1</v>
      </c>
      <c r="S1752" s="260" t="s">
        <v>1976</v>
      </c>
      <c r="T1752" s="260" t="s">
        <v>925</v>
      </c>
      <c r="X1752" s="301" t="s">
        <v>6402</v>
      </c>
      <c r="Y1752" s="566">
        <v>0.64649305555555558</v>
      </c>
      <c r="Z1752" s="566">
        <v>0.65910879629629626</v>
      </c>
      <c r="AA1752" s="566">
        <f t="shared" si="173"/>
        <v>1.2615740740740677E-2</v>
      </c>
      <c r="AB1752" s="699"/>
    </row>
    <row r="1753" spans="1:28" x14ac:dyDescent="0.3">
      <c r="A1753" s="79" t="s">
        <v>5846</v>
      </c>
      <c r="C1753" s="115">
        <v>43907</v>
      </c>
      <c r="D1753" s="312">
        <v>43969</v>
      </c>
      <c r="E1753" s="81">
        <v>43937</v>
      </c>
      <c r="F1753" s="86" t="s">
        <v>5912</v>
      </c>
      <c r="G1753" s="86" t="s">
        <v>166</v>
      </c>
      <c r="H1753" s="96" t="s">
        <v>213</v>
      </c>
      <c r="I1753" s="97" t="s">
        <v>6092</v>
      </c>
      <c r="J1753" s="73">
        <f t="shared" si="171"/>
        <v>1</v>
      </c>
      <c r="K1753" s="74" t="s">
        <v>204</v>
      </c>
      <c r="L1753" s="97" t="s">
        <v>6093</v>
      </c>
      <c r="N1753" s="76" t="s">
        <v>19</v>
      </c>
      <c r="Q1753" s="76" t="s">
        <v>2417</v>
      </c>
      <c r="R1753" s="73">
        <f t="shared" si="172"/>
        <v>1</v>
      </c>
      <c r="S1753" s="260" t="s">
        <v>1976</v>
      </c>
      <c r="T1753" s="260" t="s">
        <v>924</v>
      </c>
      <c r="Y1753" s="566">
        <v>0.74260416666666673</v>
      </c>
      <c r="Z1753" s="566">
        <v>0.78579861111111116</v>
      </c>
      <c r="AA1753" s="566">
        <f t="shared" si="173"/>
        <v>4.3194444444444424E-2</v>
      </c>
      <c r="AB1753" s="699"/>
    </row>
    <row r="1754" spans="1:28" x14ac:dyDescent="0.3">
      <c r="A1754" s="96" t="s">
        <v>5847</v>
      </c>
      <c r="C1754" s="115">
        <v>43907</v>
      </c>
      <c r="D1754" s="312">
        <v>43969</v>
      </c>
      <c r="E1754" s="81">
        <v>43934</v>
      </c>
      <c r="F1754" s="86" t="s">
        <v>5913</v>
      </c>
      <c r="G1754" s="86" t="s">
        <v>152</v>
      </c>
      <c r="H1754" s="96" t="s">
        <v>213</v>
      </c>
      <c r="I1754" s="97" t="s">
        <v>3476</v>
      </c>
      <c r="J1754" s="73">
        <f t="shared" ref="J1754:J1779" si="174">IF(OR(K1754="Документы готовы",K1754="Запрос в ФО",K1754="ЭЗ",K1754="РЕШ",K1754="РЕШ шаблон"),0.1,IF(OR(K1754="ЭЗ согласование",K1754="РЕШ согласование"),0.3,IF(OR(K1754="ЭЗ согласовано",K1754="РЕШ согласовано",K1754="РЕШ подписано"),0.6,IF(OR(K1754="ЭЗ ПР согласование",K1754="РЕШ УВ согласование"),0.9,IF(OR(K1754="ЭЗ ПР DONE",K1754="РЕШ УВ DONE"),1,0)))))</f>
        <v>1</v>
      </c>
      <c r="K1754" s="74" t="s">
        <v>204</v>
      </c>
      <c r="L1754" s="97" t="s">
        <v>7089</v>
      </c>
      <c r="N1754" s="76" t="s">
        <v>17</v>
      </c>
      <c r="Q1754" s="76" t="s">
        <v>2142</v>
      </c>
      <c r="R1754" s="73">
        <f t="shared" ref="R1754:R1779" si="175">IF(S1754="В работе",0.3,IF(S1754="Отписано",0.6,IF(S1754="На доработку",0.9,IF(S1754="Согласовано",1,0))))</f>
        <v>1</v>
      </c>
      <c r="S1754" s="260" t="s">
        <v>1976</v>
      </c>
      <c r="T1754" s="260" t="s">
        <v>923</v>
      </c>
      <c r="Y1754" s="566">
        <v>0.57148148148148148</v>
      </c>
      <c r="Z1754" s="566">
        <v>0.58559027777777783</v>
      </c>
      <c r="AA1754" s="566">
        <f t="shared" si="173"/>
        <v>1.4108796296296355E-2</v>
      </c>
      <c r="AB1754" s="699"/>
    </row>
    <row r="1755" spans="1:28" x14ac:dyDescent="0.3">
      <c r="A1755" s="79" t="s">
        <v>5849</v>
      </c>
      <c r="C1755" s="115">
        <v>43907</v>
      </c>
      <c r="D1755" s="312">
        <v>43969</v>
      </c>
      <c r="E1755" s="81">
        <v>43934</v>
      </c>
      <c r="F1755" s="86" t="s">
        <v>5915</v>
      </c>
      <c r="G1755" s="86" t="s">
        <v>152</v>
      </c>
      <c r="H1755" s="96" t="s">
        <v>213</v>
      </c>
      <c r="I1755" s="97" t="s">
        <v>2478</v>
      </c>
      <c r="J1755" s="73">
        <f t="shared" si="174"/>
        <v>1</v>
      </c>
      <c r="K1755" s="74" t="s">
        <v>204</v>
      </c>
      <c r="L1755" s="97" t="s">
        <v>7089</v>
      </c>
      <c r="N1755" s="76" t="s">
        <v>17</v>
      </c>
      <c r="Q1755" s="76" t="s">
        <v>2109</v>
      </c>
      <c r="R1755" s="73">
        <f t="shared" si="175"/>
        <v>1</v>
      </c>
      <c r="S1755" s="260" t="s">
        <v>1976</v>
      </c>
      <c r="T1755" s="260" t="s">
        <v>923</v>
      </c>
      <c r="U1755" s="301" t="s">
        <v>5283</v>
      </c>
      <c r="V1755" s="301" t="s">
        <v>6064</v>
      </c>
      <c r="X1755" s="301" t="s">
        <v>6403</v>
      </c>
      <c r="Y1755" s="566">
        <v>0.44853009259259258</v>
      </c>
      <c r="Z1755" s="566">
        <v>0.47321759259259261</v>
      </c>
      <c r="AA1755" s="566">
        <f t="shared" si="173"/>
        <v>2.4687500000000029E-2</v>
      </c>
      <c r="AB1755" s="699"/>
    </row>
    <row r="1756" spans="1:28" x14ac:dyDescent="0.3">
      <c r="A1756" s="79" t="s">
        <v>5854</v>
      </c>
      <c r="C1756" s="115">
        <v>43907</v>
      </c>
      <c r="D1756" s="312">
        <v>43969</v>
      </c>
      <c r="E1756" s="81">
        <v>43938</v>
      </c>
      <c r="F1756" s="86" t="s">
        <v>5920</v>
      </c>
      <c r="G1756" s="86" t="s">
        <v>157</v>
      </c>
      <c r="H1756" s="96" t="s">
        <v>213</v>
      </c>
      <c r="I1756" s="97" t="s">
        <v>714</v>
      </c>
      <c r="J1756" s="73">
        <f t="shared" si="174"/>
        <v>1</v>
      </c>
      <c r="K1756" s="74" t="s">
        <v>204</v>
      </c>
      <c r="N1756" s="76" t="s">
        <v>18</v>
      </c>
      <c r="Q1756" s="76" t="s">
        <v>2142</v>
      </c>
      <c r="R1756" s="73">
        <f t="shared" si="175"/>
        <v>1</v>
      </c>
      <c r="S1756" s="260" t="s">
        <v>1976</v>
      </c>
      <c r="T1756" s="260" t="s">
        <v>923</v>
      </c>
      <c r="Y1756" s="566">
        <v>0.83332175925925922</v>
      </c>
      <c r="Z1756" s="566">
        <v>0.84057870370370369</v>
      </c>
      <c r="AA1756" s="566">
        <f t="shared" si="173"/>
        <v>7.2569444444444686E-3</v>
      </c>
      <c r="AB1756" s="699"/>
    </row>
    <row r="1757" spans="1:28" x14ac:dyDescent="0.3">
      <c r="A1757" s="79" t="s">
        <v>5861</v>
      </c>
      <c r="C1757" s="115">
        <v>43908</v>
      </c>
      <c r="D1757" s="312">
        <v>43970</v>
      </c>
      <c r="E1757" s="81">
        <v>43938</v>
      </c>
      <c r="F1757" s="86" t="s">
        <v>5926</v>
      </c>
      <c r="G1757" s="86" t="s">
        <v>152</v>
      </c>
      <c r="H1757" s="96" t="s">
        <v>213</v>
      </c>
      <c r="I1757" s="97" t="s">
        <v>714</v>
      </c>
      <c r="J1757" s="73">
        <f t="shared" si="174"/>
        <v>1</v>
      </c>
      <c r="K1757" s="74" t="s">
        <v>204</v>
      </c>
      <c r="N1757" s="76" t="s">
        <v>17</v>
      </c>
      <c r="Q1757" s="76" t="s">
        <v>2142</v>
      </c>
      <c r="R1757" s="73">
        <f t="shared" si="175"/>
        <v>1</v>
      </c>
      <c r="S1757" s="260" t="s">
        <v>1976</v>
      </c>
      <c r="T1757" s="260" t="s">
        <v>924</v>
      </c>
      <c r="Y1757" s="566">
        <v>0.8247106481481481</v>
      </c>
      <c r="Z1757" s="566">
        <v>0.83251157407407417</v>
      </c>
      <c r="AA1757" s="566">
        <f t="shared" si="173"/>
        <v>7.8009259259260721E-3</v>
      </c>
      <c r="AB1757" s="699"/>
    </row>
    <row r="1758" spans="1:28" x14ac:dyDescent="0.3">
      <c r="A1758" s="79" t="s">
        <v>5863</v>
      </c>
      <c r="C1758" s="115">
        <v>43908</v>
      </c>
      <c r="D1758" s="312">
        <v>43970</v>
      </c>
      <c r="E1758" s="81">
        <v>43935</v>
      </c>
      <c r="F1758" s="86" t="s">
        <v>5928</v>
      </c>
      <c r="G1758" s="86" t="s">
        <v>156</v>
      </c>
      <c r="H1758" s="96" t="s">
        <v>213</v>
      </c>
      <c r="I1758" s="97" t="s">
        <v>649</v>
      </c>
      <c r="J1758" s="73">
        <f t="shared" si="174"/>
        <v>1</v>
      </c>
      <c r="K1758" s="74" t="s">
        <v>204</v>
      </c>
      <c r="L1758" s="97" t="s">
        <v>7089</v>
      </c>
      <c r="N1758" s="76" t="s">
        <v>17</v>
      </c>
      <c r="Q1758" s="76" t="s">
        <v>2109</v>
      </c>
      <c r="R1758" s="73">
        <f t="shared" si="175"/>
        <v>1</v>
      </c>
      <c r="S1758" s="260" t="s">
        <v>1976</v>
      </c>
      <c r="T1758" s="260" t="s">
        <v>923</v>
      </c>
      <c r="Y1758" s="566">
        <v>0.48290509259259262</v>
      </c>
      <c r="Z1758" s="566">
        <v>0.48942129629629627</v>
      </c>
      <c r="AA1758" s="566">
        <f t="shared" si="173"/>
        <v>6.5162037037036491E-3</v>
      </c>
      <c r="AB1758" s="699"/>
    </row>
    <row r="1759" spans="1:28" x14ac:dyDescent="0.3">
      <c r="A1759" s="79" t="s">
        <v>5864</v>
      </c>
      <c r="C1759" s="115">
        <v>43908</v>
      </c>
      <c r="D1759" s="312">
        <v>43970</v>
      </c>
      <c r="E1759" s="81">
        <v>43935</v>
      </c>
      <c r="F1759" s="86" t="s">
        <v>5929</v>
      </c>
      <c r="G1759" s="86" t="s">
        <v>152</v>
      </c>
      <c r="H1759" s="96" t="s">
        <v>213</v>
      </c>
      <c r="I1759" s="97" t="s">
        <v>2478</v>
      </c>
      <c r="J1759" s="73">
        <f t="shared" si="174"/>
        <v>1</v>
      </c>
      <c r="K1759" s="74" t="s">
        <v>204</v>
      </c>
      <c r="L1759" s="97" t="s">
        <v>7089</v>
      </c>
      <c r="N1759" s="76" t="s">
        <v>17</v>
      </c>
      <c r="Q1759" s="76" t="s">
        <v>2417</v>
      </c>
      <c r="R1759" s="73">
        <f t="shared" si="175"/>
        <v>1</v>
      </c>
      <c r="S1759" s="260" t="s">
        <v>1976</v>
      </c>
      <c r="T1759" s="260" t="s">
        <v>924</v>
      </c>
      <c r="Y1759" s="566">
        <v>0.50634259259259262</v>
      </c>
      <c r="Z1759" s="566">
        <v>0.52160879629629631</v>
      </c>
      <c r="AA1759" s="566">
        <f t="shared" si="173"/>
        <v>1.5266203703703685E-2</v>
      </c>
      <c r="AB1759" s="699"/>
    </row>
    <row r="1760" spans="1:28" x14ac:dyDescent="0.3">
      <c r="A1760" s="79" t="s">
        <v>5865</v>
      </c>
      <c r="C1760" s="115">
        <v>43908</v>
      </c>
      <c r="D1760" s="312">
        <v>43970</v>
      </c>
      <c r="E1760" s="81">
        <v>43941</v>
      </c>
      <c r="F1760" s="86" t="s">
        <v>5930</v>
      </c>
      <c r="G1760" s="86" t="s">
        <v>157</v>
      </c>
      <c r="H1760" s="96" t="s">
        <v>213</v>
      </c>
      <c r="I1760" s="97" t="s">
        <v>6353</v>
      </c>
      <c r="J1760" s="73">
        <f t="shared" si="174"/>
        <v>1</v>
      </c>
      <c r="K1760" s="74" t="s">
        <v>204</v>
      </c>
      <c r="L1760" s="97" t="s">
        <v>693</v>
      </c>
      <c r="N1760" s="76" t="s">
        <v>18</v>
      </c>
      <c r="Q1760" s="76" t="s">
        <v>2142</v>
      </c>
      <c r="R1760" s="73">
        <f t="shared" si="175"/>
        <v>1</v>
      </c>
      <c r="S1760" s="260" t="s">
        <v>1976</v>
      </c>
      <c r="T1760" s="260" t="s">
        <v>925</v>
      </c>
      <c r="Y1760" s="566">
        <v>0.39899305555555559</v>
      </c>
      <c r="Z1760" s="566">
        <v>0.40347222222222223</v>
      </c>
      <c r="AA1760" s="566">
        <f t="shared" si="173"/>
        <v>4.4791666666666452E-3</v>
      </c>
      <c r="AB1760" s="699"/>
    </row>
    <row r="1761" spans="1:28" x14ac:dyDescent="0.3">
      <c r="A1761" s="79" t="s">
        <v>5868</v>
      </c>
      <c r="C1761" s="115">
        <v>43908</v>
      </c>
      <c r="D1761" s="312">
        <v>43970</v>
      </c>
      <c r="E1761" s="81">
        <v>43936</v>
      </c>
      <c r="F1761" s="86" t="s">
        <v>5933</v>
      </c>
      <c r="G1761" s="86" t="s">
        <v>158</v>
      </c>
      <c r="H1761" s="96" t="s">
        <v>213</v>
      </c>
      <c r="I1761" s="97" t="s">
        <v>755</v>
      </c>
      <c r="J1761" s="73">
        <f t="shared" si="174"/>
        <v>1</v>
      </c>
      <c r="K1761" s="74" t="s">
        <v>204</v>
      </c>
      <c r="N1761" s="76" t="s">
        <v>18</v>
      </c>
      <c r="Q1761" s="76" t="s">
        <v>2142</v>
      </c>
      <c r="R1761" s="73">
        <f t="shared" si="175"/>
        <v>1</v>
      </c>
      <c r="S1761" s="260" t="s">
        <v>1976</v>
      </c>
      <c r="T1761" s="260" t="s">
        <v>924</v>
      </c>
      <c r="Y1761" s="566">
        <v>0.42994212962962958</v>
      </c>
      <c r="Z1761" s="566">
        <v>0.44694444444444442</v>
      </c>
      <c r="AA1761" s="566">
        <f t="shared" ref="AA1761:AA1790" si="176">Z1761-Y1761</f>
        <v>1.7002314814814845E-2</v>
      </c>
      <c r="AB1761" s="699"/>
    </row>
    <row r="1762" spans="1:28" x14ac:dyDescent="0.3">
      <c r="A1762" s="96" t="s">
        <v>5870</v>
      </c>
      <c r="C1762" s="115">
        <v>43908</v>
      </c>
      <c r="D1762" s="312">
        <v>43970</v>
      </c>
      <c r="E1762" s="81">
        <v>43936</v>
      </c>
      <c r="F1762" s="86" t="s">
        <v>5935</v>
      </c>
      <c r="G1762" s="86" t="s">
        <v>154</v>
      </c>
      <c r="H1762" s="96" t="s">
        <v>213</v>
      </c>
      <c r="I1762" s="97" t="s">
        <v>656</v>
      </c>
      <c r="J1762" s="73">
        <f t="shared" si="174"/>
        <v>1</v>
      </c>
      <c r="K1762" s="74" t="s">
        <v>204</v>
      </c>
      <c r="N1762" s="76" t="s">
        <v>18</v>
      </c>
      <c r="Q1762" s="76" t="s">
        <v>2076</v>
      </c>
      <c r="R1762" s="73">
        <f t="shared" si="175"/>
        <v>1</v>
      </c>
      <c r="S1762" s="260" t="s">
        <v>1976</v>
      </c>
      <c r="T1762" s="260" t="s">
        <v>924</v>
      </c>
      <c r="Y1762" s="566">
        <v>0.72421296296296289</v>
      </c>
      <c r="Z1762" s="566">
        <v>0.73347222222222219</v>
      </c>
      <c r="AA1762" s="566">
        <f t="shared" si="176"/>
        <v>9.2592592592593004E-3</v>
      </c>
      <c r="AB1762" s="699"/>
    </row>
    <row r="1763" spans="1:28" x14ac:dyDescent="0.3">
      <c r="A1763" s="79" t="s">
        <v>5873</v>
      </c>
      <c r="C1763" s="115">
        <v>43908</v>
      </c>
      <c r="D1763" s="312">
        <v>43970</v>
      </c>
      <c r="E1763" s="81">
        <v>43936</v>
      </c>
      <c r="F1763" s="86" t="s">
        <v>5938</v>
      </c>
      <c r="G1763" s="86" t="s">
        <v>166</v>
      </c>
      <c r="H1763" s="96" t="s">
        <v>213</v>
      </c>
      <c r="I1763" s="97" t="s">
        <v>722</v>
      </c>
      <c r="J1763" s="73">
        <f t="shared" si="174"/>
        <v>1</v>
      </c>
      <c r="K1763" s="74" t="s">
        <v>204</v>
      </c>
      <c r="N1763" s="76" t="s">
        <v>18</v>
      </c>
      <c r="Q1763" s="76" t="s">
        <v>2142</v>
      </c>
      <c r="R1763" s="73">
        <f t="shared" si="175"/>
        <v>1</v>
      </c>
      <c r="S1763" s="260" t="s">
        <v>1976</v>
      </c>
      <c r="T1763" s="260" t="s">
        <v>925</v>
      </c>
      <c r="Y1763" s="566">
        <v>0.56401620370370364</v>
      </c>
      <c r="Z1763" s="566">
        <v>0.57202546296296297</v>
      </c>
      <c r="AA1763" s="566">
        <f t="shared" si="176"/>
        <v>8.009259259259327E-3</v>
      </c>
      <c r="AB1763" s="699"/>
    </row>
    <row r="1764" spans="1:28" x14ac:dyDescent="0.3">
      <c r="A1764" s="79" t="s">
        <v>5874</v>
      </c>
      <c r="C1764" s="115">
        <v>43909</v>
      </c>
      <c r="D1764" s="312">
        <v>43971</v>
      </c>
      <c r="E1764" s="81">
        <v>43936</v>
      </c>
      <c r="F1764" s="86" t="s">
        <v>5939</v>
      </c>
      <c r="G1764" s="86" t="s">
        <v>158</v>
      </c>
      <c r="H1764" s="96" t="s">
        <v>213</v>
      </c>
      <c r="I1764" s="97" t="s">
        <v>1113</v>
      </c>
      <c r="J1764" s="73">
        <f t="shared" si="174"/>
        <v>1</v>
      </c>
      <c r="K1764" s="74" t="s">
        <v>204</v>
      </c>
      <c r="N1764" s="76" t="s">
        <v>18</v>
      </c>
      <c r="Q1764" s="76" t="s">
        <v>2142</v>
      </c>
      <c r="R1764" s="73">
        <f t="shared" si="175"/>
        <v>1</v>
      </c>
      <c r="S1764" s="260" t="s">
        <v>1976</v>
      </c>
      <c r="T1764" s="260" t="s">
        <v>924</v>
      </c>
      <c r="Y1764" s="566">
        <v>0.87407407407407411</v>
      </c>
      <c r="Z1764" s="566">
        <v>0.88119212962962967</v>
      </c>
      <c r="AA1764" s="566">
        <f t="shared" si="176"/>
        <v>7.118055555555558E-3</v>
      </c>
      <c r="AB1764" s="699"/>
    </row>
    <row r="1765" spans="1:28" x14ac:dyDescent="0.3">
      <c r="A1765" s="79" t="s">
        <v>5875</v>
      </c>
      <c r="C1765" s="115">
        <v>43909</v>
      </c>
      <c r="D1765" s="312">
        <v>43971</v>
      </c>
      <c r="E1765" s="81">
        <v>43936</v>
      </c>
      <c r="F1765" s="86" t="s">
        <v>5940</v>
      </c>
      <c r="G1765" s="86" t="s">
        <v>168</v>
      </c>
      <c r="H1765" s="96" t="s">
        <v>213</v>
      </c>
      <c r="I1765" s="97" t="s">
        <v>2478</v>
      </c>
      <c r="J1765" s="73">
        <f t="shared" si="174"/>
        <v>1</v>
      </c>
      <c r="K1765" s="74" t="s">
        <v>204</v>
      </c>
      <c r="L1765" s="97" t="s">
        <v>7089</v>
      </c>
      <c r="N1765" s="76" t="s">
        <v>17</v>
      </c>
      <c r="Q1765" s="76" t="s">
        <v>2417</v>
      </c>
      <c r="R1765" s="73">
        <f t="shared" si="175"/>
        <v>1</v>
      </c>
      <c r="S1765" s="260" t="s">
        <v>1976</v>
      </c>
      <c r="T1765" s="260" t="s">
        <v>924</v>
      </c>
      <c r="Y1765" s="566">
        <v>0.80078703703703702</v>
      </c>
      <c r="Z1765" s="566">
        <v>0.81546296296296295</v>
      </c>
      <c r="AA1765" s="566">
        <f t="shared" si="176"/>
        <v>1.4675925925925926E-2</v>
      </c>
      <c r="AB1765" s="699"/>
    </row>
    <row r="1766" spans="1:28" x14ac:dyDescent="0.3">
      <c r="A1766" s="96" t="s">
        <v>5877</v>
      </c>
      <c r="C1766" s="115">
        <v>43908</v>
      </c>
      <c r="D1766" s="312">
        <v>43970</v>
      </c>
      <c r="E1766" s="81">
        <v>43936</v>
      </c>
      <c r="F1766" s="86" t="s">
        <v>5942</v>
      </c>
      <c r="G1766" s="86" t="s">
        <v>150</v>
      </c>
      <c r="H1766" s="96" t="s">
        <v>213</v>
      </c>
      <c r="I1766" s="97" t="s">
        <v>649</v>
      </c>
      <c r="J1766" s="73">
        <f t="shared" si="174"/>
        <v>1</v>
      </c>
      <c r="K1766" s="74" t="s">
        <v>204</v>
      </c>
      <c r="L1766" s="97" t="s">
        <v>12724</v>
      </c>
      <c r="N1766" s="76" t="s">
        <v>17</v>
      </c>
      <c r="Q1766" s="76" t="s">
        <v>2109</v>
      </c>
      <c r="R1766" s="73">
        <f t="shared" si="175"/>
        <v>1</v>
      </c>
      <c r="S1766" s="260" t="s">
        <v>1976</v>
      </c>
      <c r="T1766" s="260" t="s">
        <v>924</v>
      </c>
      <c r="U1766" s="301" t="s">
        <v>5283</v>
      </c>
      <c r="V1766" s="301" t="s">
        <v>6084</v>
      </c>
      <c r="Y1766" s="566">
        <v>0.51244212962962965</v>
      </c>
      <c r="Z1766" s="566">
        <v>0.52952546296296299</v>
      </c>
      <c r="AA1766" s="566">
        <f t="shared" si="176"/>
        <v>1.7083333333333339E-2</v>
      </c>
      <c r="AB1766" s="699"/>
    </row>
    <row r="1767" spans="1:28" x14ac:dyDescent="0.3">
      <c r="A1767" s="79" t="s">
        <v>5880</v>
      </c>
      <c r="C1767" s="115">
        <v>43909</v>
      </c>
      <c r="D1767" s="312">
        <v>43971</v>
      </c>
      <c r="E1767" s="81">
        <v>43937</v>
      </c>
      <c r="F1767" s="86" t="s">
        <v>5945</v>
      </c>
      <c r="G1767" s="86" t="s">
        <v>410</v>
      </c>
      <c r="H1767" s="96" t="s">
        <v>213</v>
      </c>
      <c r="I1767" s="97" t="s">
        <v>1113</v>
      </c>
      <c r="J1767" s="73">
        <f t="shared" si="174"/>
        <v>1</v>
      </c>
      <c r="K1767" s="74" t="s">
        <v>204</v>
      </c>
      <c r="N1767" s="76" t="s">
        <v>18</v>
      </c>
      <c r="Q1767" s="76" t="s">
        <v>2076</v>
      </c>
      <c r="R1767" s="73">
        <f t="shared" si="175"/>
        <v>1</v>
      </c>
      <c r="S1767" s="260" t="s">
        <v>1976</v>
      </c>
      <c r="T1767" s="260" t="s">
        <v>923</v>
      </c>
      <c r="Y1767" s="566">
        <v>0.52336805555555554</v>
      </c>
      <c r="Z1767" s="566">
        <v>0.5296643518518519</v>
      </c>
      <c r="AA1767" s="566">
        <f t="shared" si="176"/>
        <v>6.2962962962963553E-3</v>
      </c>
      <c r="AB1767" s="699"/>
    </row>
    <row r="1768" spans="1:28" x14ac:dyDescent="0.3">
      <c r="A1768" s="79" t="s">
        <v>5881</v>
      </c>
      <c r="C1768" s="115">
        <v>43909</v>
      </c>
      <c r="D1768" s="312">
        <v>43971</v>
      </c>
      <c r="E1768" s="81">
        <v>43934</v>
      </c>
      <c r="F1768" s="86" t="s">
        <v>5946</v>
      </c>
      <c r="G1768" s="86" t="s">
        <v>158</v>
      </c>
      <c r="H1768" s="96" t="s">
        <v>213</v>
      </c>
      <c r="I1768" s="97" t="s">
        <v>2478</v>
      </c>
      <c r="J1768" s="73">
        <f t="shared" si="174"/>
        <v>1</v>
      </c>
      <c r="K1768" s="74" t="s">
        <v>204</v>
      </c>
      <c r="L1768" s="97" t="s">
        <v>6072</v>
      </c>
      <c r="N1768" s="76" t="s">
        <v>17</v>
      </c>
      <c r="Q1768" s="76" t="s">
        <v>2037</v>
      </c>
      <c r="R1768" s="73">
        <f t="shared" si="175"/>
        <v>1</v>
      </c>
      <c r="S1768" s="260" t="s">
        <v>1976</v>
      </c>
      <c r="T1768" s="260" t="s">
        <v>923</v>
      </c>
      <c r="Y1768" s="566">
        <v>0.60142361111111109</v>
      </c>
      <c r="Z1768" s="566">
        <v>0.6107407407407407</v>
      </c>
      <c r="AA1768" s="566">
        <f t="shared" si="176"/>
        <v>9.3171296296296058E-3</v>
      </c>
      <c r="AB1768" s="699"/>
    </row>
    <row r="1769" spans="1:28" x14ac:dyDescent="0.3">
      <c r="A1769" s="96" t="s">
        <v>5882</v>
      </c>
      <c r="C1769" s="115">
        <v>43909</v>
      </c>
      <c r="D1769" s="312">
        <v>43971</v>
      </c>
      <c r="E1769" s="81">
        <v>43936</v>
      </c>
      <c r="F1769" s="86" t="s">
        <v>5947</v>
      </c>
      <c r="G1769" s="86" t="s">
        <v>152</v>
      </c>
      <c r="H1769" s="96" t="s">
        <v>213</v>
      </c>
      <c r="I1769" s="97" t="s">
        <v>995</v>
      </c>
      <c r="J1769" s="73">
        <f t="shared" si="174"/>
        <v>1</v>
      </c>
      <c r="K1769" s="74" t="s">
        <v>204</v>
      </c>
      <c r="L1769" s="97" t="s">
        <v>6085</v>
      </c>
      <c r="N1769" s="76" t="s">
        <v>19</v>
      </c>
      <c r="Q1769" s="76" t="s">
        <v>2076</v>
      </c>
      <c r="R1769" s="73">
        <f t="shared" si="175"/>
        <v>1</v>
      </c>
      <c r="S1769" s="260" t="s">
        <v>1976</v>
      </c>
      <c r="T1769" s="260" t="s">
        <v>923</v>
      </c>
      <c r="Y1769" s="566">
        <v>0.81615740740740739</v>
      </c>
      <c r="Z1769" s="566">
        <v>0.83399305555555558</v>
      </c>
      <c r="AA1769" s="566">
        <f t="shared" si="176"/>
        <v>1.7835648148148198E-2</v>
      </c>
      <c r="AB1769" s="699"/>
    </row>
    <row r="1770" spans="1:28" x14ac:dyDescent="0.3">
      <c r="A1770" s="79" t="s">
        <v>5884</v>
      </c>
      <c r="C1770" s="115">
        <v>43909</v>
      </c>
      <c r="D1770" s="312">
        <v>43971</v>
      </c>
      <c r="E1770" s="81">
        <v>43937</v>
      </c>
      <c r="F1770" s="86" t="s">
        <v>5949</v>
      </c>
      <c r="G1770" s="86" t="s">
        <v>154</v>
      </c>
      <c r="H1770" s="96" t="s">
        <v>213</v>
      </c>
      <c r="I1770" s="97" t="s">
        <v>2478</v>
      </c>
      <c r="J1770" s="73">
        <f t="shared" si="174"/>
        <v>1</v>
      </c>
      <c r="K1770" s="74" t="s">
        <v>204</v>
      </c>
      <c r="L1770" s="97" t="s">
        <v>12730</v>
      </c>
      <c r="Q1770" s="76" t="s">
        <v>2076</v>
      </c>
      <c r="R1770" s="73">
        <f t="shared" si="175"/>
        <v>1</v>
      </c>
      <c r="S1770" s="260" t="s">
        <v>1976</v>
      </c>
      <c r="T1770" s="260" t="s">
        <v>924</v>
      </c>
      <c r="U1770" s="301" t="s">
        <v>5283</v>
      </c>
      <c r="V1770" s="301" t="s">
        <v>6087</v>
      </c>
      <c r="Y1770" s="566">
        <v>0.53003472222222225</v>
      </c>
      <c r="Z1770" s="566">
        <v>0.54758101851851848</v>
      </c>
      <c r="AA1770" s="566">
        <f t="shared" si="176"/>
        <v>1.7546296296296227E-2</v>
      </c>
      <c r="AB1770" s="699"/>
    </row>
    <row r="1771" spans="1:28" x14ac:dyDescent="0.3">
      <c r="A1771" s="79" t="s">
        <v>5886</v>
      </c>
      <c r="C1771" s="115">
        <v>43909</v>
      </c>
      <c r="D1771" s="312">
        <v>43971</v>
      </c>
      <c r="E1771" s="81">
        <v>43937</v>
      </c>
      <c r="F1771" s="86" t="s">
        <v>5951</v>
      </c>
      <c r="G1771" s="86" t="s">
        <v>152</v>
      </c>
      <c r="H1771" s="96" t="s">
        <v>213</v>
      </c>
      <c r="I1771" s="97" t="s">
        <v>2729</v>
      </c>
      <c r="J1771" s="73">
        <f t="shared" si="174"/>
        <v>1</v>
      </c>
      <c r="K1771" s="74" t="s">
        <v>204</v>
      </c>
      <c r="N1771" s="76" t="s">
        <v>19</v>
      </c>
      <c r="Q1771" s="76" t="s">
        <v>2076</v>
      </c>
      <c r="R1771" s="73">
        <f t="shared" si="175"/>
        <v>1</v>
      </c>
      <c r="S1771" s="260" t="s">
        <v>1976</v>
      </c>
      <c r="T1771" s="260" t="s">
        <v>923</v>
      </c>
      <c r="Y1771" s="566">
        <v>0.46239583333333334</v>
      </c>
      <c r="Z1771" s="566">
        <v>0.46981481481481485</v>
      </c>
      <c r="AA1771" s="566">
        <f t="shared" si="176"/>
        <v>7.4189814814815125E-3</v>
      </c>
      <c r="AB1771" s="699"/>
    </row>
    <row r="1772" spans="1:28" x14ac:dyDescent="0.3">
      <c r="A1772" s="79" t="s">
        <v>5889</v>
      </c>
      <c r="C1772" s="115">
        <v>43909</v>
      </c>
      <c r="D1772" s="312">
        <v>43971</v>
      </c>
      <c r="E1772" s="81">
        <v>43936</v>
      </c>
      <c r="F1772" s="86" t="s">
        <v>5954</v>
      </c>
      <c r="G1772" s="86" t="s">
        <v>150</v>
      </c>
      <c r="H1772" s="96" t="s">
        <v>213</v>
      </c>
      <c r="I1772" s="97" t="s">
        <v>3479</v>
      </c>
      <c r="J1772" s="73">
        <f t="shared" si="174"/>
        <v>1</v>
      </c>
      <c r="K1772" s="74" t="s">
        <v>204</v>
      </c>
      <c r="N1772" s="76" t="s">
        <v>18</v>
      </c>
      <c r="Q1772" s="76" t="s">
        <v>2417</v>
      </c>
      <c r="R1772" s="73">
        <f t="shared" si="175"/>
        <v>1</v>
      </c>
      <c r="S1772" s="260" t="s">
        <v>1976</v>
      </c>
      <c r="T1772" s="260" t="s">
        <v>924</v>
      </c>
      <c r="Y1772" s="566">
        <v>0.78311342592592592</v>
      </c>
      <c r="Z1772" s="566">
        <v>0.7958912037037037</v>
      </c>
      <c r="AA1772" s="566">
        <f t="shared" si="176"/>
        <v>1.2777777777777777E-2</v>
      </c>
      <c r="AB1772" s="699"/>
    </row>
    <row r="1773" spans="1:28" x14ac:dyDescent="0.3">
      <c r="A1773" s="79" t="s">
        <v>5892</v>
      </c>
      <c r="C1773" s="115">
        <v>43909</v>
      </c>
      <c r="D1773" s="312">
        <v>43976</v>
      </c>
      <c r="E1773" s="81">
        <v>43969</v>
      </c>
      <c r="F1773" s="86" t="s">
        <v>5957</v>
      </c>
      <c r="G1773" s="86" t="s">
        <v>152</v>
      </c>
      <c r="H1773" s="96" t="s">
        <v>213</v>
      </c>
      <c r="I1773" s="97" t="s">
        <v>995</v>
      </c>
      <c r="J1773" s="73">
        <f t="shared" si="174"/>
        <v>1</v>
      </c>
      <c r="K1773" s="260" t="s">
        <v>204</v>
      </c>
      <c r="L1773" s="97"/>
      <c r="N1773" s="76" t="s">
        <v>19</v>
      </c>
      <c r="Q1773" s="76" t="s">
        <v>2417</v>
      </c>
      <c r="R1773" s="73">
        <f t="shared" si="175"/>
        <v>1</v>
      </c>
      <c r="S1773" s="260" t="s">
        <v>1976</v>
      </c>
      <c r="T1773" s="260" t="s">
        <v>923</v>
      </c>
      <c r="Y1773" s="566">
        <v>0.54547453703703697</v>
      </c>
      <c r="Z1773" s="566">
        <v>0.55431712962962965</v>
      </c>
      <c r="AA1773" s="566">
        <f t="shared" si="176"/>
        <v>8.8425925925926796E-3</v>
      </c>
      <c r="AB1773" s="699"/>
    </row>
    <row r="1774" spans="1:28" x14ac:dyDescent="0.3">
      <c r="A1774" s="79" t="s">
        <v>5983</v>
      </c>
      <c r="C1774" s="115">
        <v>43910</v>
      </c>
      <c r="D1774" s="312">
        <v>43977</v>
      </c>
      <c r="E1774" s="81">
        <v>43938</v>
      </c>
      <c r="F1774" s="86" t="s">
        <v>6025</v>
      </c>
      <c r="G1774" s="86" t="s">
        <v>154</v>
      </c>
      <c r="H1774" s="96" t="s">
        <v>213</v>
      </c>
      <c r="I1774" s="97" t="s">
        <v>972</v>
      </c>
      <c r="J1774" s="73">
        <f t="shared" si="174"/>
        <v>1</v>
      </c>
      <c r="K1774" s="260" t="s">
        <v>204</v>
      </c>
      <c r="L1774" s="97" t="s">
        <v>12729</v>
      </c>
      <c r="N1774" s="76" t="s">
        <v>17</v>
      </c>
      <c r="Q1774" s="76" t="s">
        <v>2109</v>
      </c>
      <c r="R1774" s="73">
        <f t="shared" si="175"/>
        <v>1</v>
      </c>
      <c r="S1774" s="260" t="s">
        <v>1976</v>
      </c>
      <c r="T1774" s="260" t="s">
        <v>924</v>
      </c>
      <c r="U1774" s="301" t="s">
        <v>5283</v>
      </c>
      <c r="V1774" s="301" t="s">
        <v>6348</v>
      </c>
      <c r="X1774" s="301" t="s">
        <v>6404</v>
      </c>
      <c r="Y1774" s="566">
        <v>0.73340277777777774</v>
      </c>
      <c r="Z1774" s="566">
        <v>0.74687500000000007</v>
      </c>
      <c r="AA1774" s="566">
        <f t="shared" si="176"/>
        <v>1.347222222222233E-2</v>
      </c>
      <c r="AB1774" s="699"/>
    </row>
    <row r="1775" spans="1:28" x14ac:dyDescent="0.3">
      <c r="A1775" s="79" t="s">
        <v>5984</v>
      </c>
      <c r="C1775" s="115">
        <v>43910</v>
      </c>
      <c r="D1775" s="312">
        <v>43972</v>
      </c>
      <c r="E1775" s="81">
        <v>43935</v>
      </c>
      <c r="F1775" s="86" t="s">
        <v>6026</v>
      </c>
      <c r="G1775" s="86" t="s">
        <v>158</v>
      </c>
      <c r="H1775" s="96" t="s">
        <v>213</v>
      </c>
      <c r="I1775" s="97" t="s">
        <v>4963</v>
      </c>
      <c r="J1775" s="73">
        <f t="shared" si="174"/>
        <v>1</v>
      </c>
      <c r="K1775" s="74" t="s">
        <v>204</v>
      </c>
      <c r="N1775" s="76" t="s">
        <v>19</v>
      </c>
      <c r="Q1775" s="76" t="s">
        <v>2037</v>
      </c>
      <c r="R1775" s="73">
        <f t="shared" si="175"/>
        <v>1</v>
      </c>
      <c r="S1775" s="260" t="s">
        <v>1976</v>
      </c>
      <c r="T1775" s="260" t="s">
        <v>925</v>
      </c>
      <c r="Y1775" s="566">
        <v>0.64107638888888896</v>
      </c>
      <c r="Z1775" s="566">
        <v>0.64606481481481481</v>
      </c>
      <c r="AA1775" s="566">
        <f t="shared" si="176"/>
        <v>4.9884259259258545E-3</v>
      </c>
      <c r="AB1775" s="699"/>
    </row>
    <row r="1776" spans="1:28" x14ac:dyDescent="0.3">
      <c r="A1776" s="79" t="s">
        <v>5893</v>
      </c>
      <c r="C1776" s="115">
        <v>43910</v>
      </c>
      <c r="D1776" s="312">
        <v>43971</v>
      </c>
      <c r="E1776" s="81">
        <v>43937</v>
      </c>
      <c r="F1776" s="86" t="s">
        <v>5958</v>
      </c>
      <c r="G1776" s="86" t="s">
        <v>147</v>
      </c>
      <c r="H1776" s="96" t="s">
        <v>213</v>
      </c>
      <c r="I1776" s="97" t="s">
        <v>972</v>
      </c>
      <c r="J1776" s="73">
        <f t="shared" si="174"/>
        <v>1</v>
      </c>
      <c r="K1776" s="74" t="s">
        <v>204</v>
      </c>
      <c r="L1776" s="97" t="s">
        <v>12742</v>
      </c>
      <c r="N1776" s="76" t="s">
        <v>18</v>
      </c>
      <c r="Q1776" s="76" t="s">
        <v>2142</v>
      </c>
      <c r="R1776" s="73">
        <f t="shared" si="175"/>
        <v>1</v>
      </c>
      <c r="S1776" s="260" t="s">
        <v>1976</v>
      </c>
      <c r="T1776" s="260" t="s">
        <v>924</v>
      </c>
      <c r="Y1776" s="566">
        <v>0.4503819444444444</v>
      </c>
      <c r="Z1776" s="566">
        <v>0.45891203703703703</v>
      </c>
      <c r="AA1776" s="566">
        <f t="shared" si="176"/>
        <v>8.5300925925926308E-3</v>
      </c>
      <c r="AB1776" s="699"/>
    </row>
    <row r="1777" spans="1:28" x14ac:dyDescent="0.3">
      <c r="A1777" s="79" t="s">
        <v>5986</v>
      </c>
      <c r="C1777" s="115">
        <v>43910</v>
      </c>
      <c r="D1777" s="312">
        <v>43972</v>
      </c>
      <c r="E1777" s="81">
        <v>43935</v>
      </c>
      <c r="F1777" s="86" t="s">
        <v>6028</v>
      </c>
      <c r="G1777" s="86" t="s">
        <v>154</v>
      </c>
      <c r="H1777" s="96" t="s">
        <v>213</v>
      </c>
      <c r="I1777" s="97" t="s">
        <v>755</v>
      </c>
      <c r="J1777" s="73">
        <f t="shared" si="174"/>
        <v>1</v>
      </c>
      <c r="K1777" s="74" t="s">
        <v>204</v>
      </c>
      <c r="N1777" s="76" t="s">
        <v>18</v>
      </c>
      <c r="Q1777" s="76" t="s">
        <v>2037</v>
      </c>
      <c r="R1777" s="73">
        <f t="shared" si="175"/>
        <v>1</v>
      </c>
      <c r="S1777" s="260" t="s">
        <v>1976</v>
      </c>
      <c r="T1777" s="260" t="s">
        <v>925</v>
      </c>
      <c r="Y1777" s="566">
        <v>0.60751157407407408</v>
      </c>
      <c r="Z1777" s="566">
        <v>0.61763888888888896</v>
      </c>
      <c r="AA1777" s="566">
        <f t="shared" si="176"/>
        <v>1.0127314814814881E-2</v>
      </c>
      <c r="AB1777" s="699"/>
    </row>
    <row r="1778" spans="1:28" x14ac:dyDescent="0.3">
      <c r="A1778" s="96" t="s">
        <v>5990</v>
      </c>
      <c r="C1778" s="115">
        <v>43910</v>
      </c>
      <c r="D1778" s="629">
        <v>43991</v>
      </c>
      <c r="E1778" s="81">
        <v>43969</v>
      </c>
      <c r="F1778" s="86" t="s">
        <v>6032</v>
      </c>
      <c r="G1778" s="86" t="s">
        <v>1384</v>
      </c>
      <c r="H1778" s="96" t="s">
        <v>213</v>
      </c>
      <c r="I1778" s="97" t="s">
        <v>642</v>
      </c>
      <c r="J1778" s="73">
        <f t="shared" si="174"/>
        <v>1</v>
      </c>
      <c r="K1778" s="260" t="s">
        <v>204</v>
      </c>
      <c r="L1778" s="97" t="s">
        <v>6349</v>
      </c>
      <c r="N1778" s="76" t="s">
        <v>18</v>
      </c>
      <c r="Q1778" s="76" t="s">
        <v>2142</v>
      </c>
      <c r="R1778" s="73">
        <f t="shared" si="175"/>
        <v>1</v>
      </c>
      <c r="S1778" s="260" t="s">
        <v>1976</v>
      </c>
      <c r="T1778" s="260" t="s">
        <v>924</v>
      </c>
      <c r="Y1778" s="566">
        <v>0.74776620370370372</v>
      </c>
      <c r="Z1778" s="566">
        <v>0.75906250000000008</v>
      </c>
      <c r="AA1778" s="566">
        <f t="shared" si="176"/>
        <v>1.129629629629636E-2</v>
      </c>
      <c r="AB1778" s="699"/>
    </row>
    <row r="1779" spans="1:28" x14ac:dyDescent="0.3">
      <c r="A1779" s="79" t="s">
        <v>5992</v>
      </c>
      <c r="C1779" s="115">
        <v>43913</v>
      </c>
      <c r="D1779" s="312">
        <v>43973</v>
      </c>
      <c r="E1779" s="81">
        <v>43941</v>
      </c>
      <c r="F1779" s="86" t="s">
        <v>6034</v>
      </c>
      <c r="G1779" s="86" t="s">
        <v>1384</v>
      </c>
      <c r="H1779" s="96" t="s">
        <v>213</v>
      </c>
      <c r="I1779" s="97" t="s">
        <v>3475</v>
      </c>
      <c r="J1779" s="73">
        <f t="shared" si="174"/>
        <v>1</v>
      </c>
      <c r="K1779" s="74" t="s">
        <v>204</v>
      </c>
      <c r="N1779" s="76" t="s">
        <v>19</v>
      </c>
      <c r="Q1779" s="76" t="s">
        <v>2142</v>
      </c>
      <c r="R1779" s="73">
        <f t="shared" si="175"/>
        <v>1</v>
      </c>
      <c r="S1779" s="260" t="s">
        <v>1976</v>
      </c>
      <c r="T1779" s="260" t="s">
        <v>925</v>
      </c>
      <c r="Y1779" s="566">
        <v>0.8884143518518518</v>
      </c>
      <c r="Z1779" s="566">
        <v>0.89396990740740734</v>
      </c>
      <c r="AA1779" s="566">
        <f t="shared" si="176"/>
        <v>5.5555555555555358E-3</v>
      </c>
      <c r="AB1779" s="699"/>
    </row>
    <row r="1780" spans="1:28" x14ac:dyDescent="0.3">
      <c r="A1780" s="96" t="s">
        <v>5994</v>
      </c>
      <c r="C1780" s="115">
        <v>43913</v>
      </c>
      <c r="D1780" s="312">
        <v>43972</v>
      </c>
      <c r="E1780" s="81">
        <v>43935</v>
      </c>
      <c r="F1780" s="86" t="s">
        <v>6036</v>
      </c>
      <c r="G1780" s="86" t="s">
        <v>154</v>
      </c>
      <c r="H1780" s="96" t="s">
        <v>213</v>
      </c>
      <c r="I1780" s="97" t="s">
        <v>656</v>
      </c>
      <c r="J1780" s="73">
        <f t="shared" ref="J1780:J1824" si="177">IF(OR(K1780="Документы готовы",K1780="Запрос в ФО",K1780="ЭЗ",K1780="РЕШ",K1780="РЕШ шаблон"),0.1,IF(OR(K1780="ЭЗ согласование",K1780="РЕШ согласование"),0.3,IF(OR(K1780="ЭЗ согласовано",K1780="РЕШ согласовано",K1780="РЕШ подписано"),0.6,IF(OR(K1780="ЭЗ ПР согласование",K1780="РЕШ УВ согласование"),0.9,IF(OR(K1780="ЭЗ ПР DONE",K1780="РЕШ УВ DONE"),1,0)))))</f>
        <v>1</v>
      </c>
      <c r="K1780" s="74" t="s">
        <v>204</v>
      </c>
      <c r="L1780" s="97" t="s">
        <v>6080</v>
      </c>
      <c r="N1780" s="76" t="s">
        <v>18</v>
      </c>
      <c r="Q1780" s="76" t="s">
        <v>2037</v>
      </c>
      <c r="R1780" s="73">
        <f t="shared" ref="R1780:R1824" si="178">IF(S1780="В работе",0.3,IF(S1780="Отписано",0.6,IF(S1780="На доработку",0.9,IF(S1780="Согласовано",1,0))))</f>
        <v>1</v>
      </c>
      <c r="S1780" s="260" t="s">
        <v>1976</v>
      </c>
      <c r="T1780" s="260" t="s">
        <v>924</v>
      </c>
      <c r="Y1780" s="566">
        <v>0.58070601851851855</v>
      </c>
      <c r="Z1780" s="566">
        <v>0.60703703703703704</v>
      </c>
      <c r="AA1780" s="566">
        <f t="shared" si="176"/>
        <v>2.633101851851849E-2</v>
      </c>
      <c r="AB1780" s="699"/>
    </row>
    <row r="1781" spans="1:28" x14ac:dyDescent="0.3">
      <c r="A1781" s="79" t="s">
        <v>5997</v>
      </c>
      <c r="C1781" s="115">
        <v>43913</v>
      </c>
      <c r="D1781" s="312">
        <v>43972</v>
      </c>
      <c r="E1781" s="81">
        <v>43944</v>
      </c>
      <c r="F1781" s="86" t="s">
        <v>6039</v>
      </c>
      <c r="G1781" s="86" t="s">
        <v>154</v>
      </c>
      <c r="H1781" s="96" t="s">
        <v>213</v>
      </c>
      <c r="I1781" s="97" t="s">
        <v>2478</v>
      </c>
      <c r="J1781" s="73">
        <f t="shared" si="177"/>
        <v>1</v>
      </c>
      <c r="K1781" s="74" t="s">
        <v>204</v>
      </c>
      <c r="L1781" s="97"/>
      <c r="N1781" s="76" t="s">
        <v>17</v>
      </c>
      <c r="Q1781" s="76" t="s">
        <v>2142</v>
      </c>
      <c r="R1781" s="73">
        <f t="shared" si="178"/>
        <v>1</v>
      </c>
      <c r="S1781" s="260" t="s">
        <v>1976</v>
      </c>
      <c r="T1781" s="260" t="s">
        <v>924</v>
      </c>
      <c r="Y1781" s="566">
        <v>0.72864583333333333</v>
      </c>
      <c r="Z1781" s="566">
        <v>0.7414236111111111</v>
      </c>
      <c r="AA1781" s="566">
        <f t="shared" si="176"/>
        <v>1.2777777777777777E-2</v>
      </c>
      <c r="AB1781" s="699"/>
    </row>
    <row r="1782" spans="1:28" x14ac:dyDescent="0.3">
      <c r="A1782" s="79" t="s">
        <v>5998</v>
      </c>
      <c r="C1782" s="115">
        <v>43913</v>
      </c>
      <c r="D1782" s="312">
        <v>43973</v>
      </c>
      <c r="E1782" s="81">
        <v>43938</v>
      </c>
      <c r="F1782" s="86" t="s">
        <v>6040</v>
      </c>
      <c r="G1782" s="86" t="s">
        <v>150</v>
      </c>
      <c r="H1782" s="96" t="s">
        <v>213</v>
      </c>
      <c r="I1782" s="97" t="s">
        <v>722</v>
      </c>
      <c r="J1782" s="73">
        <f t="shared" si="177"/>
        <v>1</v>
      </c>
      <c r="K1782" s="74" t="s">
        <v>204</v>
      </c>
      <c r="N1782" s="76" t="s">
        <v>18</v>
      </c>
      <c r="Q1782" s="76" t="s">
        <v>2076</v>
      </c>
      <c r="R1782" s="73">
        <f t="shared" si="178"/>
        <v>1</v>
      </c>
      <c r="S1782" s="260" t="s">
        <v>1976</v>
      </c>
      <c r="T1782" s="260" t="s">
        <v>925</v>
      </c>
      <c r="Y1782" s="566">
        <v>0.69374999999999998</v>
      </c>
      <c r="Z1782" s="566">
        <v>0.70156249999999998</v>
      </c>
      <c r="AA1782" s="566">
        <f t="shared" si="176"/>
        <v>7.8125E-3</v>
      </c>
      <c r="AB1782" s="699"/>
    </row>
    <row r="1783" spans="1:28" x14ac:dyDescent="0.3">
      <c r="A1783" s="79" t="s">
        <v>6000</v>
      </c>
      <c r="C1783" s="115">
        <v>43913</v>
      </c>
      <c r="D1783" s="312">
        <v>43973</v>
      </c>
      <c r="E1783" s="81">
        <v>43942</v>
      </c>
      <c r="F1783" s="86" t="s">
        <v>6042</v>
      </c>
      <c r="G1783" s="86" t="s">
        <v>152</v>
      </c>
      <c r="H1783" s="96" t="s">
        <v>213</v>
      </c>
      <c r="I1783" s="97" t="s">
        <v>2478</v>
      </c>
      <c r="J1783" s="73">
        <f t="shared" si="177"/>
        <v>1</v>
      </c>
      <c r="K1783" s="74" t="s">
        <v>204</v>
      </c>
      <c r="L1783" s="97" t="s">
        <v>7089</v>
      </c>
      <c r="N1783" s="76" t="s">
        <v>17</v>
      </c>
      <c r="Q1783" s="76" t="s">
        <v>2142</v>
      </c>
      <c r="R1783" s="73">
        <f t="shared" si="178"/>
        <v>1</v>
      </c>
      <c r="S1783" s="260" t="s">
        <v>1976</v>
      </c>
      <c r="T1783" s="260" t="s">
        <v>923</v>
      </c>
      <c r="Y1783" s="566">
        <v>0.70504629629629623</v>
      </c>
      <c r="Z1783" s="566">
        <v>0.72075231481481483</v>
      </c>
      <c r="AA1783" s="566">
        <f t="shared" si="176"/>
        <v>1.5706018518518605E-2</v>
      </c>
      <c r="AB1783" s="699"/>
    </row>
    <row r="1784" spans="1:28" x14ac:dyDescent="0.3">
      <c r="A1784" s="79" t="s">
        <v>6002</v>
      </c>
      <c r="C1784" s="115">
        <v>43913</v>
      </c>
      <c r="D1784" s="312">
        <v>43973</v>
      </c>
      <c r="E1784" s="81">
        <v>43938</v>
      </c>
      <c r="F1784" s="86" t="s">
        <v>6044</v>
      </c>
      <c r="G1784" s="86" t="s">
        <v>152</v>
      </c>
      <c r="H1784" s="96" t="s">
        <v>213</v>
      </c>
      <c r="I1784" s="97" t="s">
        <v>649</v>
      </c>
      <c r="J1784" s="73">
        <f t="shared" si="177"/>
        <v>1</v>
      </c>
      <c r="K1784" s="74" t="s">
        <v>204</v>
      </c>
      <c r="L1784" s="97" t="s">
        <v>12743</v>
      </c>
      <c r="N1784" s="76" t="s">
        <v>18</v>
      </c>
      <c r="Q1784" s="76" t="s">
        <v>2076</v>
      </c>
      <c r="R1784" s="73">
        <f t="shared" si="178"/>
        <v>1</v>
      </c>
      <c r="S1784" s="260" t="s">
        <v>1976</v>
      </c>
      <c r="T1784" s="260" t="s">
        <v>923</v>
      </c>
      <c r="U1784" s="301" t="s">
        <v>5283</v>
      </c>
      <c r="V1784" s="301" t="s">
        <v>6350</v>
      </c>
      <c r="Y1784" s="566">
        <v>0.70185185185185184</v>
      </c>
      <c r="Z1784" s="566">
        <v>0.71122685185185175</v>
      </c>
      <c r="AA1784" s="566">
        <f t="shared" si="176"/>
        <v>9.3749999999999112E-3</v>
      </c>
      <c r="AB1784" s="699"/>
    </row>
    <row r="1785" spans="1:28" x14ac:dyDescent="0.3">
      <c r="A1785" s="79" t="s">
        <v>6003</v>
      </c>
      <c r="C1785" s="115">
        <v>43913</v>
      </c>
      <c r="D1785" s="312">
        <v>43973</v>
      </c>
      <c r="E1785" s="81">
        <v>43941</v>
      </c>
      <c r="F1785" s="86" t="s">
        <v>6045</v>
      </c>
      <c r="G1785" s="86" t="s">
        <v>158</v>
      </c>
      <c r="H1785" s="96" t="s">
        <v>213</v>
      </c>
      <c r="I1785" s="97" t="s">
        <v>2478</v>
      </c>
      <c r="J1785" s="73">
        <f t="shared" si="177"/>
        <v>1</v>
      </c>
      <c r="K1785" s="74" t="s">
        <v>204</v>
      </c>
      <c r="L1785" s="97" t="s">
        <v>7089</v>
      </c>
      <c r="N1785" s="76" t="s">
        <v>17</v>
      </c>
      <c r="Q1785" s="76" t="s">
        <v>2109</v>
      </c>
      <c r="R1785" s="73">
        <f t="shared" si="178"/>
        <v>1</v>
      </c>
      <c r="S1785" s="260" t="s">
        <v>1976</v>
      </c>
      <c r="T1785" s="260" t="s">
        <v>924</v>
      </c>
      <c r="U1785" s="301" t="s">
        <v>5283</v>
      </c>
      <c r="V1785" s="301" t="s">
        <v>6362</v>
      </c>
      <c r="Y1785" s="566">
        <v>0.66355324074074074</v>
      </c>
      <c r="Z1785" s="566">
        <v>0.67666666666666664</v>
      </c>
      <c r="AA1785" s="566">
        <f t="shared" si="176"/>
        <v>1.3113425925925903E-2</v>
      </c>
      <c r="AB1785" s="699"/>
    </row>
    <row r="1786" spans="1:28" x14ac:dyDescent="0.3">
      <c r="A1786" s="79" t="s">
        <v>6004</v>
      </c>
      <c r="C1786" s="115">
        <v>43913</v>
      </c>
      <c r="D1786" s="312">
        <v>43972</v>
      </c>
      <c r="E1786" s="81">
        <v>43937</v>
      </c>
      <c r="F1786" s="86" t="s">
        <v>6046</v>
      </c>
      <c r="G1786" s="86" t="s">
        <v>156</v>
      </c>
      <c r="H1786" s="96" t="s">
        <v>213</v>
      </c>
      <c r="I1786" s="97" t="s">
        <v>1113</v>
      </c>
      <c r="J1786" s="73">
        <f t="shared" si="177"/>
        <v>1</v>
      </c>
      <c r="K1786" s="74" t="s">
        <v>204</v>
      </c>
      <c r="N1786" s="76" t="s">
        <v>18</v>
      </c>
      <c r="Q1786" s="76" t="s">
        <v>2076</v>
      </c>
      <c r="R1786" s="73">
        <f t="shared" si="178"/>
        <v>1</v>
      </c>
      <c r="S1786" s="260" t="s">
        <v>1976</v>
      </c>
      <c r="T1786" s="260" t="s">
        <v>923</v>
      </c>
      <c r="Y1786" s="566">
        <v>0.71350694444444451</v>
      </c>
      <c r="Z1786" s="566">
        <v>0.72173611111111102</v>
      </c>
      <c r="AA1786" s="566">
        <f t="shared" si="176"/>
        <v>8.2291666666665098E-3</v>
      </c>
      <c r="AB1786" s="699"/>
    </row>
    <row r="1787" spans="1:28" x14ac:dyDescent="0.3">
      <c r="A1787" s="79" t="s">
        <v>6005</v>
      </c>
      <c r="C1787" s="115">
        <v>43913</v>
      </c>
      <c r="D1787" s="312">
        <v>43972</v>
      </c>
      <c r="E1787" s="81">
        <v>43945</v>
      </c>
      <c r="F1787" s="86" t="s">
        <v>6047</v>
      </c>
      <c r="G1787" s="86" t="s">
        <v>156</v>
      </c>
      <c r="H1787" s="96" t="s">
        <v>213</v>
      </c>
      <c r="I1787" s="97" t="s">
        <v>714</v>
      </c>
      <c r="J1787" s="73">
        <f t="shared" si="177"/>
        <v>1</v>
      </c>
      <c r="K1787" s="74" t="s">
        <v>204</v>
      </c>
      <c r="N1787" s="76" t="s">
        <v>18</v>
      </c>
      <c r="Q1787" s="76" t="s">
        <v>2076</v>
      </c>
      <c r="R1787" s="73">
        <f t="shared" si="178"/>
        <v>1</v>
      </c>
      <c r="S1787" s="260" t="s">
        <v>1976</v>
      </c>
      <c r="T1787" s="260" t="s">
        <v>924</v>
      </c>
      <c r="Y1787" s="566">
        <v>0.62785879629629626</v>
      </c>
      <c r="Z1787" s="566">
        <v>0.63675925925925925</v>
      </c>
      <c r="AA1787" s="566">
        <f t="shared" si="176"/>
        <v>8.900462962962985E-3</v>
      </c>
      <c r="AB1787" s="699"/>
    </row>
    <row r="1788" spans="1:28" x14ac:dyDescent="0.3">
      <c r="A1788" s="79" t="s">
        <v>6007</v>
      </c>
      <c r="C1788" s="115">
        <v>43913</v>
      </c>
      <c r="D1788" s="312">
        <v>43972</v>
      </c>
      <c r="E1788" s="81">
        <v>43942</v>
      </c>
      <c r="F1788" s="86" t="s">
        <v>6049</v>
      </c>
      <c r="G1788" s="86" t="s">
        <v>189</v>
      </c>
      <c r="H1788" s="96" t="s">
        <v>213</v>
      </c>
      <c r="I1788" s="97" t="s">
        <v>649</v>
      </c>
      <c r="J1788" s="73">
        <f t="shared" si="177"/>
        <v>1</v>
      </c>
      <c r="K1788" s="74" t="s">
        <v>204</v>
      </c>
      <c r="L1788" s="97" t="s">
        <v>7089</v>
      </c>
      <c r="N1788" s="76" t="s">
        <v>18</v>
      </c>
      <c r="Q1788" s="76" t="s">
        <v>2109</v>
      </c>
      <c r="R1788" s="73">
        <f t="shared" si="178"/>
        <v>1</v>
      </c>
      <c r="S1788" s="260" t="s">
        <v>1976</v>
      </c>
      <c r="T1788" s="260" t="s">
        <v>924</v>
      </c>
      <c r="Y1788" s="566">
        <v>0.5767592592592593</v>
      </c>
      <c r="Z1788" s="566">
        <v>0.58122685185185186</v>
      </c>
      <c r="AA1788" s="566">
        <f t="shared" si="176"/>
        <v>4.4675925925925508E-3</v>
      </c>
      <c r="AB1788" s="699"/>
    </row>
    <row r="1789" spans="1:28" x14ac:dyDescent="0.3">
      <c r="A1789" s="79" t="s">
        <v>6011</v>
      </c>
      <c r="C1789" s="115">
        <v>43913</v>
      </c>
      <c r="D1789" s="312">
        <v>43973</v>
      </c>
      <c r="E1789" s="81">
        <v>43937</v>
      </c>
      <c r="F1789" s="86" t="s">
        <v>6053</v>
      </c>
      <c r="G1789" s="86" t="s">
        <v>158</v>
      </c>
      <c r="H1789" s="96" t="s">
        <v>213</v>
      </c>
      <c r="I1789" s="97" t="s">
        <v>4963</v>
      </c>
      <c r="J1789" s="73">
        <f t="shared" si="177"/>
        <v>1</v>
      </c>
      <c r="K1789" s="74" t="s">
        <v>204</v>
      </c>
      <c r="N1789" s="76" t="s">
        <v>19</v>
      </c>
      <c r="Q1789" s="76" t="s">
        <v>2037</v>
      </c>
      <c r="R1789" s="73">
        <f t="shared" si="178"/>
        <v>1</v>
      </c>
      <c r="S1789" s="260" t="s">
        <v>1976</v>
      </c>
      <c r="T1789" s="260" t="s">
        <v>923</v>
      </c>
      <c r="Y1789" s="566">
        <v>0.72701388888888896</v>
      </c>
      <c r="Z1789" s="566">
        <v>0.7322453703703703</v>
      </c>
      <c r="AA1789" s="566">
        <f t="shared" si="176"/>
        <v>5.2314814814813371E-3</v>
      </c>
      <c r="AB1789" s="699"/>
    </row>
    <row r="1790" spans="1:28" x14ac:dyDescent="0.3">
      <c r="A1790" s="79" t="s">
        <v>6012</v>
      </c>
      <c r="C1790" s="115">
        <v>43913</v>
      </c>
      <c r="D1790" s="312">
        <v>43973</v>
      </c>
      <c r="E1790" s="81">
        <v>43938</v>
      </c>
      <c r="F1790" s="86" t="s">
        <v>6054</v>
      </c>
      <c r="G1790" s="86" t="s">
        <v>156</v>
      </c>
      <c r="H1790" s="96" t="s">
        <v>213</v>
      </c>
      <c r="I1790" s="97" t="s">
        <v>4963</v>
      </c>
      <c r="J1790" s="73">
        <f t="shared" si="177"/>
        <v>1</v>
      </c>
      <c r="K1790" s="74" t="s">
        <v>204</v>
      </c>
      <c r="N1790" s="76" t="s">
        <v>19</v>
      </c>
      <c r="Q1790" s="76" t="s">
        <v>2076</v>
      </c>
      <c r="R1790" s="73">
        <f t="shared" si="178"/>
        <v>1</v>
      </c>
      <c r="S1790" s="260" t="s">
        <v>1976</v>
      </c>
      <c r="T1790" s="260" t="s">
        <v>923</v>
      </c>
      <c r="Y1790" s="566">
        <v>0.71166666666666656</v>
      </c>
      <c r="Z1790" s="566">
        <v>0.72032407407407406</v>
      </c>
      <c r="AA1790" s="566">
        <f t="shared" si="176"/>
        <v>8.6574074074075025E-3</v>
      </c>
      <c r="AB1790" s="699"/>
    </row>
    <row r="1791" spans="1:28" x14ac:dyDescent="0.3">
      <c r="A1791" s="79" t="s">
        <v>6013</v>
      </c>
      <c r="C1791" s="115">
        <v>43913</v>
      </c>
      <c r="D1791" s="312">
        <v>43972</v>
      </c>
      <c r="E1791" s="81">
        <v>43938</v>
      </c>
      <c r="F1791" s="86" t="s">
        <v>6055</v>
      </c>
      <c r="G1791" s="86" t="s">
        <v>154</v>
      </c>
      <c r="H1791" s="96" t="s">
        <v>213</v>
      </c>
      <c r="I1791" s="97" t="s">
        <v>722</v>
      </c>
      <c r="J1791" s="73">
        <f t="shared" si="177"/>
        <v>1</v>
      </c>
      <c r="K1791" s="74" t="s">
        <v>204</v>
      </c>
      <c r="N1791" s="76" t="s">
        <v>18</v>
      </c>
      <c r="Q1791" s="76" t="s">
        <v>2142</v>
      </c>
      <c r="R1791" s="73">
        <f t="shared" si="178"/>
        <v>1</v>
      </c>
      <c r="S1791" s="260" t="s">
        <v>1976</v>
      </c>
      <c r="T1791" s="260" t="s">
        <v>923</v>
      </c>
      <c r="Y1791" s="566">
        <v>0.79681712962962958</v>
      </c>
      <c r="Z1791" s="566">
        <v>0.80525462962962957</v>
      </c>
      <c r="AA1791" s="566">
        <f t="shared" ref="AA1791:AA1835" si="179">Z1791-Y1791</f>
        <v>8.4374999999999867E-3</v>
      </c>
      <c r="AB1791" s="699"/>
    </row>
    <row r="1792" spans="1:28" x14ac:dyDescent="0.3">
      <c r="A1792" s="79" t="s">
        <v>6015</v>
      </c>
      <c r="C1792" s="115">
        <v>43913</v>
      </c>
      <c r="D1792" s="312">
        <v>43972</v>
      </c>
      <c r="E1792" s="81">
        <v>43938</v>
      </c>
      <c r="F1792" s="86" t="s">
        <v>6057</v>
      </c>
      <c r="G1792" s="86" t="s">
        <v>158</v>
      </c>
      <c r="H1792" s="96" t="s">
        <v>213</v>
      </c>
      <c r="I1792" s="97" t="s">
        <v>995</v>
      </c>
      <c r="J1792" s="73">
        <f t="shared" si="177"/>
        <v>1</v>
      </c>
      <c r="K1792" s="74" t="s">
        <v>204</v>
      </c>
      <c r="L1792" s="97" t="s">
        <v>6352</v>
      </c>
      <c r="N1792" s="76" t="s">
        <v>19</v>
      </c>
      <c r="Q1792" s="76" t="s">
        <v>2142</v>
      </c>
      <c r="R1792" s="73">
        <f t="shared" si="178"/>
        <v>1</v>
      </c>
      <c r="S1792" s="260" t="s">
        <v>1976</v>
      </c>
      <c r="T1792" s="260" t="s">
        <v>924</v>
      </c>
      <c r="Y1792" s="566">
        <v>0.77607638888888886</v>
      </c>
      <c r="Z1792" s="566">
        <v>0.79133101851851861</v>
      </c>
      <c r="AA1792" s="566">
        <f t="shared" si="179"/>
        <v>1.5254629629629757E-2</v>
      </c>
      <c r="AB1792" s="699"/>
    </row>
    <row r="1793" spans="1:28" x14ac:dyDescent="0.3">
      <c r="A1793" s="79" t="s">
        <v>6016</v>
      </c>
      <c r="C1793" s="115">
        <v>43914</v>
      </c>
      <c r="D1793" s="312">
        <v>43973</v>
      </c>
      <c r="E1793" s="81">
        <v>43938</v>
      </c>
      <c r="F1793" s="86" t="s">
        <v>6058</v>
      </c>
      <c r="G1793" s="86" t="s">
        <v>154</v>
      </c>
      <c r="H1793" s="96" t="s">
        <v>213</v>
      </c>
      <c r="I1793" s="97" t="s">
        <v>722</v>
      </c>
      <c r="J1793" s="73">
        <f t="shared" si="177"/>
        <v>1</v>
      </c>
      <c r="K1793" s="74" t="s">
        <v>204</v>
      </c>
      <c r="N1793" s="76" t="s">
        <v>18</v>
      </c>
      <c r="Q1793" s="76" t="s">
        <v>2417</v>
      </c>
      <c r="R1793" s="73">
        <f t="shared" si="178"/>
        <v>1</v>
      </c>
      <c r="S1793" s="260" t="s">
        <v>1976</v>
      </c>
      <c r="T1793" s="260" t="s">
        <v>925</v>
      </c>
      <c r="Y1793" s="566">
        <v>0.80953703703703705</v>
      </c>
      <c r="Z1793" s="566">
        <v>0.82435185185185189</v>
      </c>
      <c r="AA1793" s="566">
        <f t="shared" si="179"/>
        <v>1.4814814814814836E-2</v>
      </c>
      <c r="AB1793" s="699"/>
    </row>
    <row r="1794" spans="1:28" x14ac:dyDescent="0.3">
      <c r="A1794" s="79" t="s">
        <v>6018</v>
      </c>
      <c r="C1794" s="115">
        <v>43914</v>
      </c>
      <c r="D1794" s="312">
        <v>43973</v>
      </c>
      <c r="E1794" s="81">
        <v>43941</v>
      </c>
      <c r="F1794" s="86" t="s">
        <v>6060</v>
      </c>
      <c r="G1794" s="86" t="s">
        <v>177</v>
      </c>
      <c r="H1794" s="96" t="s">
        <v>213</v>
      </c>
      <c r="I1794" s="97" t="s">
        <v>649</v>
      </c>
      <c r="J1794" s="73">
        <f t="shared" si="177"/>
        <v>1</v>
      </c>
      <c r="K1794" s="74" t="s">
        <v>204</v>
      </c>
      <c r="L1794" s="97" t="s">
        <v>7089</v>
      </c>
      <c r="N1794" s="76" t="s">
        <v>17</v>
      </c>
      <c r="Q1794" s="76" t="s">
        <v>2109</v>
      </c>
      <c r="R1794" s="73">
        <f t="shared" si="178"/>
        <v>1</v>
      </c>
      <c r="S1794" s="260" t="s">
        <v>1976</v>
      </c>
      <c r="T1794" s="260" t="s">
        <v>925</v>
      </c>
      <c r="Y1794" s="566">
        <v>0.40626157407407404</v>
      </c>
      <c r="Z1794" s="566">
        <v>0.42581018518518521</v>
      </c>
      <c r="AA1794" s="566">
        <f t="shared" si="179"/>
        <v>1.9548611111111169E-2</v>
      </c>
      <c r="AB1794" s="699"/>
    </row>
    <row r="1795" spans="1:28" x14ac:dyDescent="0.3">
      <c r="A1795" s="96" t="s">
        <v>6094</v>
      </c>
      <c r="C1795" s="115">
        <v>43892</v>
      </c>
      <c r="D1795" s="312">
        <v>43993</v>
      </c>
      <c r="E1795" s="81">
        <v>43966</v>
      </c>
      <c r="F1795" s="86" t="s">
        <v>6219</v>
      </c>
      <c r="G1795" s="86" t="s">
        <v>156</v>
      </c>
      <c r="H1795" s="96" t="s">
        <v>213</v>
      </c>
      <c r="I1795" s="97" t="s">
        <v>6356</v>
      </c>
      <c r="J1795" s="73">
        <f t="shared" si="177"/>
        <v>1</v>
      </c>
      <c r="K1795" s="260" t="s">
        <v>204</v>
      </c>
      <c r="L1795" s="97" t="s">
        <v>6357</v>
      </c>
      <c r="N1795" s="76" t="s">
        <v>17</v>
      </c>
      <c r="Q1795" s="76" t="s">
        <v>2037</v>
      </c>
      <c r="R1795" s="73">
        <f t="shared" si="178"/>
        <v>1</v>
      </c>
      <c r="S1795" s="260" t="s">
        <v>1976</v>
      </c>
      <c r="T1795" s="260" t="s">
        <v>923</v>
      </c>
      <c r="U1795" s="301" t="s">
        <v>5283</v>
      </c>
      <c r="V1795" s="301" t="s">
        <v>6358</v>
      </c>
      <c r="Y1795" s="566">
        <v>0.50592592592592589</v>
      </c>
      <c r="Z1795" s="566">
        <v>0.52218750000000003</v>
      </c>
      <c r="AA1795" s="566">
        <f t="shared" si="179"/>
        <v>1.6261574074074137E-2</v>
      </c>
      <c r="AB1795" s="699"/>
    </row>
    <row r="1796" spans="1:28" x14ac:dyDescent="0.3">
      <c r="A1796" s="96" t="s">
        <v>6095</v>
      </c>
      <c r="C1796" s="115">
        <v>43892</v>
      </c>
      <c r="D1796" s="312">
        <v>43976</v>
      </c>
      <c r="E1796" s="81">
        <v>43942</v>
      </c>
      <c r="F1796" s="86" t="s">
        <v>6220</v>
      </c>
      <c r="G1796" s="86" t="s">
        <v>158</v>
      </c>
      <c r="H1796" s="96" t="s">
        <v>213</v>
      </c>
      <c r="I1796" s="97" t="s">
        <v>4963</v>
      </c>
      <c r="J1796" s="73">
        <f t="shared" si="177"/>
        <v>1</v>
      </c>
      <c r="K1796" s="74" t="s">
        <v>204</v>
      </c>
      <c r="N1796" s="76" t="s">
        <v>19</v>
      </c>
      <c r="Q1796" s="76" t="s">
        <v>2142</v>
      </c>
      <c r="R1796" s="73">
        <f t="shared" si="178"/>
        <v>1</v>
      </c>
      <c r="S1796" s="260" t="s">
        <v>1976</v>
      </c>
      <c r="T1796" s="260" t="s">
        <v>924</v>
      </c>
      <c r="Y1796" s="566">
        <v>0.72159722222222233</v>
      </c>
      <c r="Z1796" s="566">
        <v>0.7284722222222223</v>
      </c>
      <c r="AA1796" s="566">
        <f t="shared" si="179"/>
        <v>6.8749999999999645E-3</v>
      </c>
      <c r="AB1796" s="699"/>
    </row>
    <row r="1797" spans="1:28" x14ac:dyDescent="0.3">
      <c r="A1797" s="79" t="s">
        <v>6096</v>
      </c>
      <c r="C1797" s="115">
        <v>43900</v>
      </c>
      <c r="D1797" s="312">
        <v>43976</v>
      </c>
      <c r="E1797" s="81">
        <v>43942</v>
      </c>
      <c r="F1797" s="86" t="s">
        <v>6221</v>
      </c>
      <c r="G1797" s="86" t="s">
        <v>152</v>
      </c>
      <c r="H1797" s="96" t="s">
        <v>213</v>
      </c>
      <c r="I1797" s="97" t="s">
        <v>645</v>
      </c>
      <c r="J1797" s="73">
        <f t="shared" si="177"/>
        <v>1</v>
      </c>
      <c r="K1797" s="74" t="s">
        <v>204</v>
      </c>
      <c r="N1797" s="76" t="s">
        <v>17</v>
      </c>
      <c r="Q1797" s="76" t="s">
        <v>2417</v>
      </c>
      <c r="R1797" s="73">
        <f t="shared" si="178"/>
        <v>1</v>
      </c>
      <c r="S1797" s="260" t="s">
        <v>1976</v>
      </c>
      <c r="T1797" s="260" t="s">
        <v>923</v>
      </c>
      <c r="Y1797" s="566">
        <v>0.46929398148148144</v>
      </c>
      <c r="Z1797" s="566">
        <v>0.48347222222222225</v>
      </c>
      <c r="AA1797" s="566">
        <f t="shared" si="179"/>
        <v>1.4178240740740811E-2</v>
      </c>
      <c r="AB1797" s="699"/>
    </row>
    <row r="1798" spans="1:28" x14ac:dyDescent="0.3">
      <c r="A1798" s="79" t="s">
        <v>5735</v>
      </c>
      <c r="C1798" s="115">
        <v>43900</v>
      </c>
      <c r="D1798" s="312">
        <v>43979</v>
      </c>
      <c r="E1798" s="81">
        <v>43943</v>
      </c>
      <c r="F1798" s="252" t="s">
        <v>5736</v>
      </c>
      <c r="G1798" s="86" t="s">
        <v>157</v>
      </c>
      <c r="H1798" s="96" t="s">
        <v>213</v>
      </c>
      <c r="I1798" s="97" t="s">
        <v>714</v>
      </c>
      <c r="J1798" s="73">
        <f t="shared" si="177"/>
        <v>1</v>
      </c>
      <c r="K1798" s="260" t="s">
        <v>204</v>
      </c>
      <c r="L1798" s="97" t="s">
        <v>6382</v>
      </c>
      <c r="N1798" s="76" t="s">
        <v>17</v>
      </c>
      <c r="Q1798" s="76" t="s">
        <v>2142</v>
      </c>
      <c r="R1798" s="73">
        <f t="shared" si="178"/>
        <v>1</v>
      </c>
      <c r="S1798" s="260" t="s">
        <v>1976</v>
      </c>
      <c r="T1798" s="260" t="s">
        <v>925</v>
      </c>
      <c r="Y1798" s="566">
        <v>0.8208333333333333</v>
      </c>
      <c r="Z1798" s="566">
        <v>0.83206018518518521</v>
      </c>
      <c r="AA1798" s="566">
        <f t="shared" si="179"/>
        <v>1.1226851851851904E-2</v>
      </c>
      <c r="AB1798" s="699"/>
    </row>
    <row r="1799" spans="1:28" x14ac:dyDescent="0.3">
      <c r="A1799" s="79" t="s">
        <v>5395</v>
      </c>
      <c r="C1799" s="115">
        <v>43901</v>
      </c>
      <c r="D1799" s="312">
        <v>43976</v>
      </c>
      <c r="E1799" s="81">
        <v>43941</v>
      </c>
      <c r="F1799" s="86" t="s">
        <v>5520</v>
      </c>
      <c r="G1799" s="86" t="s">
        <v>158</v>
      </c>
      <c r="H1799" s="96" t="s">
        <v>213</v>
      </c>
      <c r="I1799" s="97" t="s">
        <v>642</v>
      </c>
      <c r="J1799" s="73">
        <f t="shared" si="177"/>
        <v>1</v>
      </c>
      <c r="K1799" s="74" t="s">
        <v>204</v>
      </c>
      <c r="N1799" s="76" t="s">
        <v>18</v>
      </c>
      <c r="Q1799" s="76" t="s">
        <v>2109</v>
      </c>
      <c r="R1799" s="73">
        <f t="shared" si="178"/>
        <v>1</v>
      </c>
      <c r="S1799" s="260" t="s">
        <v>1976</v>
      </c>
      <c r="T1799" s="260" t="s">
        <v>925</v>
      </c>
      <c r="Y1799" s="566">
        <v>0.6305439814814815</v>
      </c>
      <c r="Z1799" s="566">
        <v>0.63850694444444445</v>
      </c>
      <c r="AA1799" s="566">
        <f t="shared" si="179"/>
        <v>7.9629629629629495E-3</v>
      </c>
      <c r="AB1799" s="699"/>
    </row>
    <row r="1800" spans="1:28" x14ac:dyDescent="0.3">
      <c r="A1800" s="79" t="s">
        <v>5399</v>
      </c>
      <c r="C1800" s="115">
        <v>43901</v>
      </c>
      <c r="D1800" s="312">
        <v>43977</v>
      </c>
      <c r="E1800" s="81">
        <v>43941</v>
      </c>
      <c r="F1800" s="86" t="s">
        <v>5524</v>
      </c>
      <c r="G1800" s="86" t="s">
        <v>157</v>
      </c>
      <c r="H1800" s="96" t="s">
        <v>213</v>
      </c>
      <c r="I1800" s="97" t="s">
        <v>642</v>
      </c>
      <c r="J1800" s="73">
        <f t="shared" si="177"/>
        <v>1</v>
      </c>
      <c r="K1800" s="74" t="s">
        <v>204</v>
      </c>
      <c r="N1800" s="76" t="s">
        <v>18</v>
      </c>
      <c r="Q1800" s="76" t="s">
        <v>2037</v>
      </c>
      <c r="R1800" s="73">
        <f t="shared" si="178"/>
        <v>1</v>
      </c>
      <c r="S1800" s="260" t="s">
        <v>1976</v>
      </c>
      <c r="T1800" s="260" t="s">
        <v>924</v>
      </c>
      <c r="Y1800" s="566">
        <v>0.47716435185185185</v>
      </c>
      <c r="Z1800" s="566">
        <v>0.48120370370370374</v>
      </c>
      <c r="AA1800" s="566">
        <f t="shared" si="179"/>
        <v>4.0393518518518912E-3</v>
      </c>
      <c r="AB1800" s="699"/>
    </row>
    <row r="1801" spans="1:28" x14ac:dyDescent="0.3">
      <c r="A1801" s="79" t="s">
        <v>5400</v>
      </c>
      <c r="C1801" s="115">
        <v>43901</v>
      </c>
      <c r="D1801" s="312">
        <v>43977</v>
      </c>
      <c r="E1801" s="81">
        <v>43942</v>
      </c>
      <c r="F1801" s="86" t="s">
        <v>5525</v>
      </c>
      <c r="G1801" s="86" t="s">
        <v>1381</v>
      </c>
      <c r="H1801" s="96" t="s">
        <v>213</v>
      </c>
      <c r="I1801" s="97" t="s">
        <v>714</v>
      </c>
      <c r="J1801" s="73">
        <f t="shared" si="177"/>
        <v>1</v>
      </c>
      <c r="K1801" s="74" t="s">
        <v>204</v>
      </c>
      <c r="L1801" s="97" t="s">
        <v>12724</v>
      </c>
      <c r="N1801" s="76" t="s">
        <v>17</v>
      </c>
      <c r="Q1801" s="76" t="s">
        <v>2417</v>
      </c>
      <c r="R1801" s="73">
        <f t="shared" si="178"/>
        <v>1</v>
      </c>
      <c r="S1801" s="260" t="s">
        <v>1976</v>
      </c>
      <c r="T1801" s="260" t="s">
        <v>924</v>
      </c>
      <c r="U1801" s="301" t="s">
        <v>5283</v>
      </c>
      <c r="V1801" s="301" t="s">
        <v>6365</v>
      </c>
      <c r="Y1801" s="566">
        <v>0.48388888888888887</v>
      </c>
      <c r="Z1801" s="566">
        <v>0.49478009259259265</v>
      </c>
      <c r="AA1801" s="566">
        <f t="shared" si="179"/>
        <v>1.0891203703703778E-2</v>
      </c>
      <c r="AB1801" s="699"/>
    </row>
    <row r="1802" spans="1:28" x14ac:dyDescent="0.3">
      <c r="A1802" s="79" t="s">
        <v>6097</v>
      </c>
      <c r="C1802" s="115">
        <v>43901</v>
      </c>
      <c r="D1802" s="312">
        <v>43976</v>
      </c>
      <c r="E1802" s="81">
        <v>43943</v>
      </c>
      <c r="F1802" s="86" t="s">
        <v>6222</v>
      </c>
      <c r="G1802" s="86" t="s">
        <v>147</v>
      </c>
      <c r="H1802" s="96" t="s">
        <v>213</v>
      </c>
      <c r="I1802" s="97" t="s">
        <v>642</v>
      </c>
      <c r="J1802" s="73">
        <f t="shared" si="177"/>
        <v>1</v>
      </c>
      <c r="K1802" s="74" t="s">
        <v>204</v>
      </c>
      <c r="N1802" s="76" t="s">
        <v>18</v>
      </c>
      <c r="Q1802" s="76" t="s">
        <v>2142</v>
      </c>
      <c r="R1802" s="73">
        <f t="shared" si="178"/>
        <v>1</v>
      </c>
      <c r="S1802" s="260" t="s">
        <v>1976</v>
      </c>
      <c r="T1802" s="260" t="s">
        <v>923</v>
      </c>
      <c r="Y1802" s="566">
        <v>0.81520833333333342</v>
      </c>
      <c r="Z1802" s="566">
        <v>0.82027777777777777</v>
      </c>
      <c r="AA1802" s="566">
        <f t="shared" si="179"/>
        <v>5.0694444444443487E-3</v>
      </c>
      <c r="AB1802" s="699"/>
    </row>
    <row r="1803" spans="1:28" x14ac:dyDescent="0.3">
      <c r="A1803" s="96" t="s">
        <v>5403</v>
      </c>
      <c r="C1803" s="115">
        <v>43901</v>
      </c>
      <c r="D1803" s="312">
        <v>43976</v>
      </c>
      <c r="E1803" s="81">
        <v>43943</v>
      </c>
      <c r="F1803" s="86" t="s">
        <v>5528</v>
      </c>
      <c r="G1803" s="86" t="s">
        <v>1381</v>
      </c>
      <c r="H1803" s="96" t="s">
        <v>213</v>
      </c>
      <c r="I1803" s="97" t="s">
        <v>995</v>
      </c>
      <c r="J1803" s="73">
        <f t="shared" si="177"/>
        <v>1</v>
      </c>
      <c r="K1803" s="74" t="s">
        <v>204</v>
      </c>
      <c r="N1803" s="76" t="s">
        <v>19</v>
      </c>
      <c r="Q1803" s="76" t="s">
        <v>2076</v>
      </c>
      <c r="R1803" s="73">
        <f t="shared" si="178"/>
        <v>1</v>
      </c>
      <c r="S1803" s="260" t="s">
        <v>1976</v>
      </c>
      <c r="T1803" s="260" t="s">
        <v>924</v>
      </c>
      <c r="Y1803" s="566">
        <v>0.55349537037037033</v>
      </c>
      <c r="Z1803" s="566">
        <v>0.57354166666666673</v>
      </c>
      <c r="AA1803" s="566">
        <f t="shared" si="179"/>
        <v>2.0046296296296395E-2</v>
      </c>
      <c r="AB1803" s="699"/>
    </row>
    <row r="1804" spans="1:28" x14ac:dyDescent="0.3">
      <c r="A1804" s="79" t="s">
        <v>5406</v>
      </c>
      <c r="C1804" s="115">
        <v>43901</v>
      </c>
      <c r="D1804" s="312">
        <v>43976</v>
      </c>
      <c r="E1804" s="81">
        <v>43942</v>
      </c>
      <c r="F1804" s="86" t="s">
        <v>5531</v>
      </c>
      <c r="G1804" s="86" t="s">
        <v>1042</v>
      </c>
      <c r="H1804" s="96" t="s">
        <v>213</v>
      </c>
      <c r="I1804" s="97" t="s">
        <v>722</v>
      </c>
      <c r="J1804" s="73">
        <f t="shared" si="177"/>
        <v>1</v>
      </c>
      <c r="K1804" s="74" t="s">
        <v>204</v>
      </c>
      <c r="N1804" s="76" t="s">
        <v>18</v>
      </c>
      <c r="Q1804" s="76" t="s">
        <v>2417</v>
      </c>
      <c r="R1804" s="73">
        <f t="shared" si="178"/>
        <v>1</v>
      </c>
      <c r="S1804" s="260" t="s">
        <v>1976</v>
      </c>
      <c r="T1804" s="260" t="s">
        <v>924</v>
      </c>
      <c r="Y1804" s="566">
        <v>0.37487268518518518</v>
      </c>
      <c r="Z1804" s="566">
        <v>0.38035879629629626</v>
      </c>
      <c r="AA1804" s="566">
        <f t="shared" si="179"/>
        <v>5.4861111111110805E-3</v>
      </c>
      <c r="AB1804" s="699"/>
    </row>
    <row r="1805" spans="1:28" x14ac:dyDescent="0.3">
      <c r="A1805" s="79" t="s">
        <v>5407</v>
      </c>
      <c r="C1805" s="115">
        <v>43901</v>
      </c>
      <c r="D1805" s="312">
        <v>43977</v>
      </c>
      <c r="E1805" s="81">
        <v>43943</v>
      </c>
      <c r="F1805" s="86" t="s">
        <v>5532</v>
      </c>
      <c r="G1805" s="86" t="s">
        <v>147</v>
      </c>
      <c r="H1805" s="96" t="s">
        <v>213</v>
      </c>
      <c r="I1805" s="97" t="s">
        <v>714</v>
      </c>
      <c r="J1805" s="73">
        <f t="shared" si="177"/>
        <v>1</v>
      </c>
      <c r="K1805" s="74" t="s">
        <v>204</v>
      </c>
      <c r="N1805" s="76" t="s">
        <v>17</v>
      </c>
      <c r="Q1805" s="76" t="s">
        <v>2142</v>
      </c>
      <c r="R1805" s="73">
        <f t="shared" si="178"/>
        <v>1</v>
      </c>
      <c r="S1805" s="260" t="s">
        <v>1976</v>
      </c>
      <c r="T1805" s="260" t="s">
        <v>923</v>
      </c>
      <c r="Y1805" s="566">
        <v>0.80885416666666676</v>
      </c>
      <c r="Z1805" s="566">
        <v>0.81488425925925922</v>
      </c>
      <c r="AA1805" s="566">
        <f t="shared" si="179"/>
        <v>6.030092592592462E-3</v>
      </c>
      <c r="AB1805" s="699"/>
    </row>
    <row r="1806" spans="1:28" x14ac:dyDescent="0.3">
      <c r="A1806" s="79" t="s">
        <v>5411</v>
      </c>
      <c r="C1806" s="115">
        <v>43901</v>
      </c>
      <c r="D1806" s="312">
        <v>43976</v>
      </c>
      <c r="E1806" s="81">
        <v>43943</v>
      </c>
      <c r="F1806" s="86" t="s">
        <v>5536</v>
      </c>
      <c r="G1806" s="86" t="s">
        <v>164</v>
      </c>
      <c r="H1806" s="96" t="s">
        <v>213</v>
      </c>
      <c r="I1806" s="97" t="s">
        <v>642</v>
      </c>
      <c r="J1806" s="73">
        <f t="shared" si="177"/>
        <v>1</v>
      </c>
      <c r="K1806" s="74" t="s">
        <v>204</v>
      </c>
      <c r="N1806" s="76" t="s">
        <v>18</v>
      </c>
      <c r="Q1806" s="76" t="s">
        <v>2076</v>
      </c>
      <c r="R1806" s="73">
        <f t="shared" si="178"/>
        <v>1</v>
      </c>
      <c r="S1806" s="260" t="s">
        <v>1976</v>
      </c>
      <c r="T1806" s="260" t="s">
        <v>925</v>
      </c>
      <c r="U1806" s="301" t="s">
        <v>5283</v>
      </c>
      <c r="V1806" s="301" t="s">
        <v>6372</v>
      </c>
      <c r="Y1806" s="566">
        <v>0.53059027777777779</v>
      </c>
      <c r="Z1806" s="566">
        <v>0.54740740740740745</v>
      </c>
      <c r="AA1806" s="566">
        <f t="shared" si="179"/>
        <v>1.6817129629629668E-2</v>
      </c>
      <c r="AB1806" s="699"/>
    </row>
    <row r="1807" spans="1:28" x14ac:dyDescent="0.3">
      <c r="A1807" s="79" t="s">
        <v>5412</v>
      </c>
      <c r="C1807" s="115">
        <v>43902</v>
      </c>
      <c r="D1807" s="312">
        <v>43978</v>
      </c>
      <c r="E1807" s="81">
        <v>43943</v>
      </c>
      <c r="F1807" s="86" t="s">
        <v>5537</v>
      </c>
      <c r="G1807" s="86" t="s">
        <v>3771</v>
      </c>
      <c r="H1807" s="96" t="s">
        <v>213</v>
      </c>
      <c r="I1807" s="97" t="s">
        <v>642</v>
      </c>
      <c r="J1807" s="73">
        <f t="shared" si="177"/>
        <v>1</v>
      </c>
      <c r="K1807" s="74" t="s">
        <v>204</v>
      </c>
      <c r="N1807" s="76" t="s">
        <v>18</v>
      </c>
      <c r="Q1807" s="76" t="s">
        <v>2109</v>
      </c>
      <c r="R1807" s="73">
        <f t="shared" si="178"/>
        <v>1</v>
      </c>
      <c r="S1807" s="260" t="s">
        <v>1976</v>
      </c>
      <c r="T1807" s="260" t="s">
        <v>924</v>
      </c>
      <c r="Y1807" s="566">
        <v>0.72099537037037031</v>
      </c>
      <c r="Z1807" s="566">
        <v>0.72457175925925921</v>
      </c>
      <c r="AA1807" s="566">
        <f t="shared" si="179"/>
        <v>3.5763888888888928E-3</v>
      </c>
      <c r="AB1807" s="699"/>
    </row>
    <row r="1808" spans="1:28" x14ac:dyDescent="0.3">
      <c r="A1808" s="79" t="s">
        <v>6098</v>
      </c>
      <c r="C1808" s="115">
        <v>43902</v>
      </c>
      <c r="D1808" s="312">
        <v>43978</v>
      </c>
      <c r="E1808" s="81">
        <v>43941</v>
      </c>
      <c r="F1808" s="86" t="s">
        <v>6223</v>
      </c>
      <c r="G1808" s="86" t="s">
        <v>158</v>
      </c>
      <c r="H1808" s="96" t="s">
        <v>213</v>
      </c>
      <c r="I1808" s="97" t="s">
        <v>642</v>
      </c>
      <c r="J1808" s="73">
        <f t="shared" si="177"/>
        <v>1</v>
      </c>
      <c r="K1808" s="74" t="s">
        <v>204</v>
      </c>
      <c r="N1808" s="76" t="s">
        <v>18</v>
      </c>
      <c r="Q1808" s="76" t="s">
        <v>2037</v>
      </c>
      <c r="R1808" s="73">
        <f t="shared" si="178"/>
        <v>1</v>
      </c>
      <c r="S1808" s="260" t="s">
        <v>1976</v>
      </c>
      <c r="T1808" s="260" t="s">
        <v>923</v>
      </c>
      <c r="Y1808" s="566">
        <v>0.4926388888888889</v>
      </c>
      <c r="Z1808" s="566">
        <v>0.497037037037037</v>
      </c>
      <c r="AA1808" s="566">
        <f t="shared" si="179"/>
        <v>4.3981481481480955E-3</v>
      </c>
      <c r="AB1808" s="699"/>
    </row>
    <row r="1809" spans="1:28" x14ac:dyDescent="0.3">
      <c r="A1809" s="79" t="s">
        <v>5413</v>
      </c>
      <c r="C1809" s="115">
        <v>43902</v>
      </c>
      <c r="D1809" s="312">
        <v>43978</v>
      </c>
      <c r="E1809" s="81">
        <v>43943</v>
      </c>
      <c r="F1809" s="86" t="s">
        <v>5538</v>
      </c>
      <c r="G1809" s="86" t="s">
        <v>150</v>
      </c>
      <c r="H1809" s="96" t="s">
        <v>213</v>
      </c>
      <c r="I1809" s="97" t="s">
        <v>642</v>
      </c>
      <c r="J1809" s="73">
        <f t="shared" si="177"/>
        <v>1</v>
      </c>
      <c r="K1809" s="74" t="s">
        <v>204</v>
      </c>
      <c r="N1809" s="76" t="s">
        <v>18</v>
      </c>
      <c r="Q1809" s="76" t="s">
        <v>2109</v>
      </c>
      <c r="R1809" s="73">
        <f t="shared" si="178"/>
        <v>1</v>
      </c>
      <c r="S1809" s="260" t="s">
        <v>1976</v>
      </c>
      <c r="T1809" s="260" t="s">
        <v>925</v>
      </c>
      <c r="U1809" s="301" t="s">
        <v>5283</v>
      </c>
      <c r="V1809" s="301" t="s">
        <v>6377</v>
      </c>
      <c r="Y1809" s="566">
        <v>0.71217592592592593</v>
      </c>
      <c r="Z1809" s="566">
        <v>0.72037037037037033</v>
      </c>
      <c r="AA1809" s="566">
        <f t="shared" si="179"/>
        <v>8.1944444444443931E-3</v>
      </c>
      <c r="AB1809" s="699"/>
    </row>
    <row r="1810" spans="1:28" x14ac:dyDescent="0.3">
      <c r="A1810" s="79" t="s">
        <v>5414</v>
      </c>
      <c r="C1810" s="115">
        <v>43902</v>
      </c>
      <c r="D1810" s="312">
        <v>43978</v>
      </c>
      <c r="E1810" s="81">
        <v>43945</v>
      </c>
      <c r="F1810" s="86" t="s">
        <v>5539</v>
      </c>
      <c r="G1810" s="86" t="s">
        <v>157</v>
      </c>
      <c r="H1810" s="96" t="s">
        <v>213</v>
      </c>
      <c r="I1810" s="97" t="s">
        <v>714</v>
      </c>
      <c r="J1810" s="73">
        <f t="shared" si="177"/>
        <v>1</v>
      </c>
      <c r="K1810" s="74" t="s">
        <v>204</v>
      </c>
      <c r="N1810" s="76" t="s">
        <v>18</v>
      </c>
      <c r="Q1810" s="76" t="s">
        <v>2076</v>
      </c>
      <c r="R1810" s="73">
        <f t="shared" si="178"/>
        <v>1</v>
      </c>
      <c r="S1810" s="260" t="s">
        <v>1976</v>
      </c>
      <c r="T1810" s="260" t="s">
        <v>923</v>
      </c>
      <c r="Y1810" s="566">
        <v>0.75063657407407414</v>
      </c>
      <c r="Z1810" s="566">
        <v>0.75962962962962965</v>
      </c>
      <c r="AA1810" s="566">
        <f t="shared" si="179"/>
        <v>8.9930555555555181E-3</v>
      </c>
      <c r="AB1810" s="699"/>
    </row>
    <row r="1811" spans="1:28" x14ac:dyDescent="0.3">
      <c r="A1811" s="79" t="s">
        <v>6099</v>
      </c>
      <c r="C1811" s="115">
        <v>43902</v>
      </c>
      <c r="D1811" s="312">
        <v>43977</v>
      </c>
      <c r="E1811" s="81">
        <v>43942</v>
      </c>
      <c r="F1811" s="86" t="s">
        <v>6224</v>
      </c>
      <c r="G1811" s="86" t="s">
        <v>147</v>
      </c>
      <c r="H1811" s="96" t="s">
        <v>213</v>
      </c>
      <c r="I1811" s="97" t="s">
        <v>645</v>
      </c>
      <c r="J1811" s="73">
        <f t="shared" si="177"/>
        <v>1</v>
      </c>
      <c r="K1811" s="74" t="s">
        <v>204</v>
      </c>
      <c r="L1811" s="97" t="s">
        <v>6370</v>
      </c>
      <c r="N1811" s="76" t="s">
        <v>19</v>
      </c>
      <c r="Q1811" s="76" t="s">
        <v>2417</v>
      </c>
      <c r="R1811" s="73">
        <f t="shared" si="178"/>
        <v>1</v>
      </c>
      <c r="S1811" s="260" t="s">
        <v>1976</v>
      </c>
      <c r="T1811" s="260" t="s">
        <v>923</v>
      </c>
      <c r="Y1811" s="566">
        <v>0.64094907407407409</v>
      </c>
      <c r="Z1811" s="566">
        <v>0.65501157407407407</v>
      </c>
      <c r="AA1811" s="566">
        <f t="shared" si="179"/>
        <v>1.4062499999999978E-2</v>
      </c>
      <c r="AB1811" s="699"/>
    </row>
    <row r="1812" spans="1:28" x14ac:dyDescent="0.3">
      <c r="A1812" s="79" t="s">
        <v>5420</v>
      </c>
      <c r="C1812" s="115">
        <v>43902</v>
      </c>
      <c r="D1812" s="312">
        <v>43977</v>
      </c>
      <c r="E1812" s="81">
        <v>43943</v>
      </c>
      <c r="F1812" s="86" t="s">
        <v>5545</v>
      </c>
      <c r="G1812" s="86" t="s">
        <v>152</v>
      </c>
      <c r="H1812" s="96" t="s">
        <v>213</v>
      </c>
      <c r="I1812" s="97" t="s">
        <v>722</v>
      </c>
      <c r="J1812" s="73">
        <f t="shared" si="177"/>
        <v>1</v>
      </c>
      <c r="K1812" s="260" t="s">
        <v>204</v>
      </c>
      <c r="L1812" s="97" t="s">
        <v>6381</v>
      </c>
      <c r="N1812" s="76" t="s">
        <v>17</v>
      </c>
      <c r="Q1812" s="76" t="s">
        <v>2142</v>
      </c>
      <c r="R1812" s="73">
        <f t="shared" si="178"/>
        <v>1</v>
      </c>
      <c r="S1812" s="260" t="s">
        <v>1976</v>
      </c>
      <c r="T1812" s="260" t="s">
        <v>924</v>
      </c>
      <c r="X1812" s="301" t="s">
        <v>6407</v>
      </c>
      <c r="Y1812" s="566">
        <v>0.80061342592592588</v>
      </c>
      <c r="Z1812" s="566">
        <v>0.80850694444444438</v>
      </c>
      <c r="AA1812" s="566">
        <f t="shared" si="179"/>
        <v>7.8935185185184942E-3</v>
      </c>
      <c r="AB1812" s="699"/>
    </row>
    <row r="1813" spans="1:28" x14ac:dyDescent="0.3">
      <c r="A1813" s="79" t="s">
        <v>5422</v>
      </c>
      <c r="C1813" s="115">
        <v>43902</v>
      </c>
      <c r="D1813" s="312">
        <v>43977</v>
      </c>
      <c r="E1813" s="81">
        <v>43943</v>
      </c>
      <c r="F1813" s="86" t="s">
        <v>5547</v>
      </c>
      <c r="G1813" s="86" t="s">
        <v>152</v>
      </c>
      <c r="H1813" s="96" t="s">
        <v>213</v>
      </c>
      <c r="I1813" s="97" t="s">
        <v>714</v>
      </c>
      <c r="J1813" s="73">
        <f t="shared" si="177"/>
        <v>1</v>
      </c>
      <c r="K1813" s="74" t="s">
        <v>204</v>
      </c>
      <c r="L1813" s="97" t="s">
        <v>6371</v>
      </c>
      <c r="N1813" s="76" t="s">
        <v>17</v>
      </c>
      <c r="Q1813" s="76" t="s">
        <v>2076</v>
      </c>
      <c r="R1813" s="73">
        <f t="shared" si="178"/>
        <v>1</v>
      </c>
      <c r="S1813" s="260" t="s">
        <v>1976</v>
      </c>
      <c r="T1813" s="260" t="s">
        <v>923</v>
      </c>
      <c r="Y1813" s="566">
        <v>0.49471064814814819</v>
      </c>
      <c r="Z1813" s="566">
        <v>0.51218750000000002</v>
      </c>
      <c r="AA1813" s="566">
        <f t="shared" si="179"/>
        <v>1.7476851851851827E-2</v>
      </c>
      <c r="AB1813" s="699"/>
    </row>
    <row r="1814" spans="1:28" x14ac:dyDescent="0.3">
      <c r="A1814" s="79" t="s">
        <v>5425</v>
      </c>
      <c r="C1814" s="115">
        <v>43902</v>
      </c>
      <c r="D1814" s="312">
        <v>43978</v>
      </c>
      <c r="E1814" s="81">
        <v>43944</v>
      </c>
      <c r="F1814" s="86" t="s">
        <v>5550</v>
      </c>
      <c r="G1814" s="86" t="s">
        <v>147</v>
      </c>
      <c r="H1814" s="96" t="s">
        <v>213</v>
      </c>
      <c r="I1814" s="97" t="s">
        <v>642</v>
      </c>
      <c r="J1814" s="73">
        <f t="shared" si="177"/>
        <v>1</v>
      </c>
      <c r="K1814" s="74" t="s">
        <v>204</v>
      </c>
      <c r="N1814" s="76" t="s">
        <v>18</v>
      </c>
      <c r="Q1814" s="76" t="s">
        <v>2142</v>
      </c>
      <c r="R1814" s="73">
        <f t="shared" si="178"/>
        <v>1</v>
      </c>
      <c r="S1814" s="260" t="s">
        <v>1976</v>
      </c>
      <c r="T1814" s="260" t="s">
        <v>925</v>
      </c>
      <c r="Y1814" s="566">
        <v>0.76539351851851845</v>
      </c>
      <c r="Z1814" s="566">
        <v>0.77493055555555557</v>
      </c>
      <c r="AA1814" s="566">
        <f t="shared" si="179"/>
        <v>9.5370370370371216E-3</v>
      </c>
      <c r="AB1814" s="699"/>
    </row>
    <row r="1815" spans="1:28" x14ac:dyDescent="0.3">
      <c r="A1815" s="79" t="s">
        <v>5427</v>
      </c>
      <c r="C1815" s="115">
        <v>43902</v>
      </c>
      <c r="D1815" s="312">
        <v>43977</v>
      </c>
      <c r="E1815" s="81">
        <v>43943</v>
      </c>
      <c r="F1815" s="86" t="s">
        <v>5552</v>
      </c>
      <c r="G1815" s="86" t="s">
        <v>147</v>
      </c>
      <c r="H1815" s="96" t="s">
        <v>213</v>
      </c>
      <c r="I1815" s="97" t="s">
        <v>642</v>
      </c>
      <c r="J1815" s="73">
        <f t="shared" si="177"/>
        <v>1</v>
      </c>
      <c r="K1815" s="74" t="s">
        <v>204</v>
      </c>
      <c r="N1815" s="76" t="s">
        <v>18</v>
      </c>
      <c r="Q1815" s="76" t="s">
        <v>2109</v>
      </c>
      <c r="R1815" s="73">
        <f t="shared" si="178"/>
        <v>1</v>
      </c>
      <c r="S1815" s="260" t="s">
        <v>1976</v>
      </c>
      <c r="T1815" s="260" t="s">
        <v>923</v>
      </c>
      <c r="U1815" s="301" t="s">
        <v>5283</v>
      </c>
      <c r="V1815" s="301" t="s">
        <v>6378</v>
      </c>
      <c r="Y1815" s="566">
        <v>0.72486111111111118</v>
      </c>
      <c r="Z1815" s="566">
        <v>0.73209490740740746</v>
      </c>
      <c r="AA1815" s="566">
        <f t="shared" si="179"/>
        <v>7.2337962962962798E-3</v>
      </c>
      <c r="AB1815" s="699"/>
    </row>
    <row r="1816" spans="1:28" x14ac:dyDescent="0.3">
      <c r="A1816" s="79" t="s">
        <v>5428</v>
      </c>
      <c r="C1816" s="115">
        <v>43902</v>
      </c>
      <c r="D1816" s="312">
        <v>43978</v>
      </c>
      <c r="E1816" s="81">
        <v>43945</v>
      </c>
      <c r="F1816" s="86" t="s">
        <v>5553</v>
      </c>
      <c r="G1816" s="86" t="s">
        <v>152</v>
      </c>
      <c r="H1816" s="96" t="s">
        <v>213</v>
      </c>
      <c r="I1816" s="97" t="s">
        <v>642</v>
      </c>
      <c r="J1816" s="73">
        <f t="shared" si="177"/>
        <v>1</v>
      </c>
      <c r="K1816" s="74" t="s">
        <v>204</v>
      </c>
      <c r="N1816" s="76" t="s">
        <v>18</v>
      </c>
      <c r="Q1816" s="76" t="s">
        <v>2076</v>
      </c>
      <c r="R1816" s="73">
        <f t="shared" si="178"/>
        <v>1</v>
      </c>
      <c r="S1816" s="260" t="s">
        <v>1976</v>
      </c>
      <c r="T1816" s="260" t="s">
        <v>924</v>
      </c>
      <c r="Y1816" s="566">
        <v>0.7455208333333333</v>
      </c>
      <c r="Z1816" s="566">
        <v>0.75013888888888891</v>
      </c>
      <c r="AA1816" s="566">
        <f t="shared" si="179"/>
        <v>4.6180555555556113E-3</v>
      </c>
      <c r="AB1816" s="699"/>
    </row>
    <row r="1817" spans="1:28" x14ac:dyDescent="0.3">
      <c r="A1817" s="79" t="s">
        <v>5429</v>
      </c>
      <c r="C1817" s="115">
        <v>43902</v>
      </c>
      <c r="D1817" s="312">
        <v>43977</v>
      </c>
      <c r="E1817" s="81">
        <v>43941</v>
      </c>
      <c r="F1817" s="86" t="s">
        <v>5554</v>
      </c>
      <c r="G1817" s="86" t="s">
        <v>158</v>
      </c>
      <c r="H1817" s="96" t="s">
        <v>213</v>
      </c>
      <c r="I1817" s="97" t="s">
        <v>995</v>
      </c>
      <c r="J1817" s="73">
        <f t="shared" si="177"/>
        <v>1</v>
      </c>
      <c r="K1817" s="74" t="s">
        <v>204</v>
      </c>
      <c r="N1817" s="76" t="s">
        <v>19</v>
      </c>
      <c r="Q1817" s="76" t="s">
        <v>2037</v>
      </c>
      <c r="R1817" s="73">
        <f t="shared" si="178"/>
        <v>1</v>
      </c>
      <c r="S1817" s="260" t="s">
        <v>1976</v>
      </c>
      <c r="T1817" s="260" t="s">
        <v>925</v>
      </c>
      <c r="Y1817" s="566">
        <v>0.61902777777777784</v>
      </c>
      <c r="Z1817" s="566">
        <v>0.62993055555555555</v>
      </c>
      <c r="AA1817" s="566">
        <f t="shared" si="179"/>
        <v>1.0902777777777706E-2</v>
      </c>
      <c r="AB1817" s="699"/>
    </row>
    <row r="1818" spans="1:28" x14ac:dyDescent="0.3">
      <c r="A1818" s="79" t="s">
        <v>5431</v>
      </c>
      <c r="C1818" s="115">
        <v>43902</v>
      </c>
      <c r="D1818" s="312">
        <v>43978</v>
      </c>
      <c r="E1818" s="81">
        <v>43942</v>
      </c>
      <c r="F1818" s="86" t="s">
        <v>5556</v>
      </c>
      <c r="G1818" s="86" t="s">
        <v>156</v>
      </c>
      <c r="H1818" s="96" t="s">
        <v>213</v>
      </c>
      <c r="I1818" s="97" t="s">
        <v>714</v>
      </c>
      <c r="J1818" s="73">
        <f t="shared" si="177"/>
        <v>1</v>
      </c>
      <c r="K1818" s="74" t="s">
        <v>204</v>
      </c>
      <c r="N1818" s="76" t="s">
        <v>18</v>
      </c>
      <c r="Q1818" s="76" t="s">
        <v>2037</v>
      </c>
      <c r="R1818" s="73">
        <f t="shared" si="178"/>
        <v>1</v>
      </c>
      <c r="S1818" s="260" t="s">
        <v>1976</v>
      </c>
      <c r="T1818" s="260" t="s">
        <v>923</v>
      </c>
      <c r="Y1818" s="566">
        <v>0.67320601851851858</v>
      </c>
      <c r="Z1818" s="566">
        <v>0.68320601851851848</v>
      </c>
      <c r="AA1818" s="566">
        <f t="shared" si="179"/>
        <v>9.9999999999998979E-3</v>
      </c>
      <c r="AB1818" s="699"/>
    </row>
    <row r="1819" spans="1:28" x14ac:dyDescent="0.3">
      <c r="A1819" s="79" t="s">
        <v>5432</v>
      </c>
      <c r="C1819" s="115">
        <v>43902</v>
      </c>
      <c r="D1819" s="312">
        <v>43977</v>
      </c>
      <c r="E1819" s="81">
        <v>43943</v>
      </c>
      <c r="F1819" s="86" t="s">
        <v>5557</v>
      </c>
      <c r="G1819" s="86" t="s">
        <v>152</v>
      </c>
      <c r="H1819" s="96" t="s">
        <v>213</v>
      </c>
      <c r="I1819" s="97" t="s">
        <v>722</v>
      </c>
      <c r="J1819" s="73">
        <f t="shared" si="177"/>
        <v>1</v>
      </c>
      <c r="K1819" s="74" t="s">
        <v>204</v>
      </c>
      <c r="N1819" s="76" t="s">
        <v>18</v>
      </c>
      <c r="Q1819" s="76" t="s">
        <v>2109</v>
      </c>
      <c r="R1819" s="73">
        <f t="shared" si="178"/>
        <v>1</v>
      </c>
      <c r="S1819" s="260" t="s">
        <v>1976</v>
      </c>
      <c r="T1819" s="260" t="s">
        <v>925</v>
      </c>
      <c r="Y1819" s="566">
        <v>0.73307870370370365</v>
      </c>
      <c r="Z1819" s="566">
        <v>0.7472685185185185</v>
      </c>
      <c r="AA1819" s="566">
        <f t="shared" si="179"/>
        <v>1.418981481481485E-2</v>
      </c>
      <c r="AB1819" s="699"/>
    </row>
    <row r="1820" spans="1:28" x14ac:dyDescent="0.3">
      <c r="A1820" s="79" t="s">
        <v>5433</v>
      </c>
      <c r="C1820" s="115">
        <v>43902</v>
      </c>
      <c r="D1820" s="312">
        <v>43977</v>
      </c>
      <c r="E1820" s="81">
        <v>43941</v>
      </c>
      <c r="F1820" s="86" t="s">
        <v>5558</v>
      </c>
      <c r="G1820" s="86" t="s">
        <v>189</v>
      </c>
      <c r="H1820" s="96" t="s">
        <v>213</v>
      </c>
      <c r="I1820" s="97" t="s">
        <v>684</v>
      </c>
      <c r="J1820" s="73">
        <f t="shared" si="177"/>
        <v>1</v>
      </c>
      <c r="K1820" s="74" t="s">
        <v>204</v>
      </c>
      <c r="L1820" s="97" t="s">
        <v>12724</v>
      </c>
      <c r="N1820" s="76" t="s">
        <v>18</v>
      </c>
      <c r="Q1820" s="76" t="s">
        <v>2037</v>
      </c>
      <c r="R1820" s="73">
        <f t="shared" si="178"/>
        <v>1</v>
      </c>
      <c r="S1820" s="260" t="s">
        <v>1976</v>
      </c>
      <c r="T1820" s="260" t="s">
        <v>925</v>
      </c>
      <c r="U1820" s="301" t="s">
        <v>5283</v>
      </c>
      <c r="V1820" s="301" t="s">
        <v>6354</v>
      </c>
      <c r="Y1820" s="566">
        <v>0.46469907407407413</v>
      </c>
      <c r="Z1820" s="566">
        <v>0.47684027777777777</v>
      </c>
      <c r="AA1820" s="566">
        <f t="shared" si="179"/>
        <v>1.214120370370364E-2</v>
      </c>
      <c r="AB1820" s="699"/>
    </row>
    <row r="1821" spans="1:28" x14ac:dyDescent="0.3">
      <c r="A1821" s="79" t="s">
        <v>6100</v>
      </c>
      <c r="C1821" s="115">
        <v>43903</v>
      </c>
      <c r="D1821" s="312">
        <v>43978</v>
      </c>
      <c r="E1821" s="81">
        <v>43942</v>
      </c>
      <c r="F1821" s="86" t="s">
        <v>6225</v>
      </c>
      <c r="G1821" s="86" t="s">
        <v>172</v>
      </c>
      <c r="H1821" s="96" t="s">
        <v>213</v>
      </c>
      <c r="I1821" s="97" t="s">
        <v>642</v>
      </c>
      <c r="J1821" s="73">
        <f t="shared" si="177"/>
        <v>1</v>
      </c>
      <c r="K1821" s="74" t="s">
        <v>204</v>
      </c>
      <c r="N1821" s="76" t="s">
        <v>18</v>
      </c>
      <c r="Q1821" s="76" t="s">
        <v>2037</v>
      </c>
      <c r="R1821" s="73">
        <f t="shared" si="178"/>
        <v>1</v>
      </c>
      <c r="S1821" s="260" t="s">
        <v>1976</v>
      </c>
      <c r="T1821" s="260" t="s">
        <v>923</v>
      </c>
      <c r="Y1821" s="566">
        <v>0.65533564814814815</v>
      </c>
      <c r="Z1821" s="566">
        <v>0.66224537037037035</v>
      </c>
      <c r="AA1821" s="566">
        <f t="shared" si="179"/>
        <v>6.9097222222221921E-3</v>
      </c>
      <c r="AB1821" s="699"/>
    </row>
    <row r="1822" spans="1:28" x14ac:dyDescent="0.3">
      <c r="A1822" s="79" t="s">
        <v>5436</v>
      </c>
      <c r="C1822" s="115">
        <v>43902</v>
      </c>
      <c r="D1822" s="312">
        <v>43977</v>
      </c>
      <c r="E1822" s="81">
        <v>43942</v>
      </c>
      <c r="F1822" s="86" t="s">
        <v>5561</v>
      </c>
      <c r="G1822" s="86" t="s">
        <v>150</v>
      </c>
      <c r="H1822" s="96" t="s">
        <v>213</v>
      </c>
      <c r="I1822" s="97" t="s">
        <v>642</v>
      </c>
      <c r="J1822" s="73">
        <f t="shared" si="177"/>
        <v>1</v>
      </c>
      <c r="K1822" s="74" t="s">
        <v>204</v>
      </c>
      <c r="N1822" s="76" t="s">
        <v>18</v>
      </c>
      <c r="Q1822" s="76" t="s">
        <v>2076</v>
      </c>
      <c r="R1822" s="73">
        <f t="shared" si="178"/>
        <v>1</v>
      </c>
      <c r="S1822" s="260" t="s">
        <v>1976</v>
      </c>
      <c r="T1822" s="260" t="s">
        <v>925</v>
      </c>
      <c r="U1822" s="301" t="s">
        <v>5283</v>
      </c>
      <c r="V1822" s="301" t="s">
        <v>6368</v>
      </c>
      <c r="Y1822" s="566">
        <v>0.60893518518518519</v>
      </c>
      <c r="Z1822" s="566">
        <v>0.61959490740740741</v>
      </c>
      <c r="AA1822" s="566">
        <f t="shared" si="179"/>
        <v>1.0659722222222223E-2</v>
      </c>
      <c r="AB1822" s="699"/>
    </row>
    <row r="1823" spans="1:28" x14ac:dyDescent="0.3">
      <c r="A1823" s="79" t="s">
        <v>6101</v>
      </c>
      <c r="C1823" s="115">
        <v>43903</v>
      </c>
      <c r="D1823" s="312">
        <v>43978</v>
      </c>
      <c r="E1823" s="81">
        <v>43945</v>
      </c>
      <c r="F1823" s="86" t="s">
        <v>6226</v>
      </c>
      <c r="G1823" s="86" t="s">
        <v>147</v>
      </c>
      <c r="H1823" s="96" t="s">
        <v>213</v>
      </c>
      <c r="I1823" s="97" t="s">
        <v>645</v>
      </c>
      <c r="J1823" s="73">
        <f t="shared" si="177"/>
        <v>1</v>
      </c>
      <c r="K1823" s="74" t="s">
        <v>204</v>
      </c>
      <c r="N1823" s="76" t="s">
        <v>17</v>
      </c>
      <c r="Q1823" s="76" t="s">
        <v>2142</v>
      </c>
      <c r="R1823" s="73">
        <f t="shared" si="178"/>
        <v>1</v>
      </c>
      <c r="S1823" s="260" t="s">
        <v>1976</v>
      </c>
      <c r="T1823" s="260" t="s">
        <v>924</v>
      </c>
      <c r="Y1823" s="566">
        <v>0.80622685185185183</v>
      </c>
      <c r="Z1823" s="566">
        <v>0.81684027777777779</v>
      </c>
      <c r="AA1823" s="566">
        <f t="shared" si="179"/>
        <v>1.0613425925925957E-2</v>
      </c>
      <c r="AB1823" s="699"/>
    </row>
    <row r="1824" spans="1:28" x14ac:dyDescent="0.3">
      <c r="A1824" s="79" t="s">
        <v>6102</v>
      </c>
      <c r="C1824" s="115">
        <v>43914</v>
      </c>
      <c r="D1824" s="312">
        <v>43976</v>
      </c>
      <c r="E1824" s="81">
        <v>43938</v>
      </c>
      <c r="F1824" s="86" t="s">
        <v>6227</v>
      </c>
      <c r="G1824" s="86" t="s">
        <v>150</v>
      </c>
      <c r="H1824" s="96" t="s">
        <v>213</v>
      </c>
      <c r="I1824" s="97" t="s">
        <v>1635</v>
      </c>
      <c r="J1824" s="73">
        <f t="shared" si="177"/>
        <v>1</v>
      </c>
      <c r="K1824" s="74" t="s">
        <v>204</v>
      </c>
      <c r="N1824" s="76" t="s">
        <v>18</v>
      </c>
      <c r="Q1824" s="76" t="s">
        <v>2037</v>
      </c>
      <c r="R1824" s="73">
        <f t="shared" si="178"/>
        <v>1</v>
      </c>
      <c r="S1824" s="260" t="s">
        <v>1976</v>
      </c>
      <c r="T1824" s="260" t="s">
        <v>924</v>
      </c>
      <c r="U1824" s="301" t="s">
        <v>5283</v>
      </c>
      <c r="V1824" s="301" t="s">
        <v>6355</v>
      </c>
      <c r="Y1824" s="566">
        <v>0.45884259259259258</v>
      </c>
      <c r="Z1824" s="566">
        <v>0.46634259259259259</v>
      </c>
      <c r="AA1824" s="566">
        <f t="shared" si="179"/>
        <v>7.5000000000000067E-3</v>
      </c>
      <c r="AB1824" s="699"/>
    </row>
    <row r="1825" spans="1:28" x14ac:dyDescent="0.3">
      <c r="A1825" s="79" t="s">
        <v>6104</v>
      </c>
      <c r="C1825" s="115">
        <v>43914</v>
      </c>
      <c r="D1825" s="312">
        <v>43976</v>
      </c>
      <c r="E1825" s="81">
        <v>43942</v>
      </c>
      <c r="F1825" s="86" t="s">
        <v>6229</v>
      </c>
      <c r="G1825" s="86" t="s">
        <v>147</v>
      </c>
      <c r="H1825" s="96" t="s">
        <v>213</v>
      </c>
      <c r="I1825" s="97" t="s">
        <v>2478</v>
      </c>
      <c r="J1825" s="73">
        <f t="shared" ref="J1825:J1849" si="180">IF(OR(K1825="Документы готовы",K1825="Запрос в ФО",K1825="ЭЗ",K1825="РЕШ",K1825="РЕШ шаблон"),0.1,IF(OR(K1825="ЭЗ согласование",K1825="РЕШ согласование"),0.3,IF(OR(K1825="ЭЗ согласовано",K1825="РЕШ согласовано",K1825="РЕШ подписано"),0.6,IF(OR(K1825="ЭЗ ПР согласование",K1825="РЕШ УВ согласование"),0.9,IF(OR(K1825="ЭЗ ПР DONE",K1825="РЕШ УВ DONE"),1,0)))))</f>
        <v>1</v>
      </c>
      <c r="K1825" s="74" t="s">
        <v>204</v>
      </c>
      <c r="L1825" s="97" t="s">
        <v>7089</v>
      </c>
      <c r="N1825" s="76" t="s">
        <v>17</v>
      </c>
      <c r="Q1825" s="76" t="s">
        <v>2417</v>
      </c>
      <c r="R1825" s="73">
        <f t="shared" ref="R1825:R1849" si="181">IF(S1825="В работе",0.3,IF(S1825="Отписано",0.6,IF(S1825="На доработку",0.9,IF(S1825="Согласовано",1,0))))</f>
        <v>1</v>
      </c>
      <c r="S1825" s="260" t="s">
        <v>1976</v>
      </c>
      <c r="T1825" s="260" t="s">
        <v>924</v>
      </c>
      <c r="Y1825" s="566">
        <v>0.44244212962962964</v>
      </c>
      <c r="Z1825" s="566">
        <v>0.46327546296296296</v>
      </c>
      <c r="AA1825" s="566">
        <f t="shared" si="179"/>
        <v>2.0833333333333315E-2</v>
      </c>
      <c r="AB1825" s="699"/>
    </row>
    <row r="1826" spans="1:28" x14ac:dyDescent="0.3">
      <c r="A1826" s="79" t="s">
        <v>6105</v>
      </c>
      <c r="C1826" s="115">
        <v>43914</v>
      </c>
      <c r="D1826" s="312">
        <v>43976</v>
      </c>
      <c r="E1826" s="81">
        <v>43943</v>
      </c>
      <c r="F1826" s="86" t="s">
        <v>6230</v>
      </c>
      <c r="G1826" s="86" t="s">
        <v>152</v>
      </c>
      <c r="H1826" s="96" t="s">
        <v>213</v>
      </c>
      <c r="I1826" s="97" t="s">
        <v>1113</v>
      </c>
      <c r="J1826" s="73">
        <f t="shared" si="180"/>
        <v>1</v>
      </c>
      <c r="K1826" s="74" t="s">
        <v>204</v>
      </c>
      <c r="N1826" s="76" t="s">
        <v>18</v>
      </c>
      <c r="Q1826" s="76" t="s">
        <v>2076</v>
      </c>
      <c r="R1826" s="73">
        <f t="shared" si="181"/>
        <v>1</v>
      </c>
      <c r="S1826" s="260" t="s">
        <v>1976</v>
      </c>
      <c r="T1826" s="260" t="s">
        <v>924</v>
      </c>
      <c r="Y1826" s="566">
        <v>0.57396990740740739</v>
      </c>
      <c r="Z1826" s="566">
        <v>0.58488425925925924</v>
      </c>
      <c r="AA1826" s="566">
        <f t="shared" si="179"/>
        <v>1.0914351851851856E-2</v>
      </c>
      <c r="AB1826" s="699"/>
    </row>
    <row r="1827" spans="1:28" x14ac:dyDescent="0.3">
      <c r="A1827" s="96" t="s">
        <v>6106</v>
      </c>
      <c r="C1827" s="115">
        <v>43914</v>
      </c>
      <c r="D1827" s="312">
        <v>43979</v>
      </c>
      <c r="E1827" s="81">
        <v>43958</v>
      </c>
      <c r="F1827" s="86" t="s">
        <v>6231</v>
      </c>
      <c r="G1827" s="86" t="s">
        <v>152</v>
      </c>
      <c r="H1827" s="96" t="s">
        <v>213</v>
      </c>
      <c r="I1827" s="97" t="s">
        <v>689</v>
      </c>
      <c r="J1827" s="73">
        <f t="shared" si="180"/>
        <v>1</v>
      </c>
      <c r="K1827" s="260" t="s">
        <v>204</v>
      </c>
      <c r="L1827" s="97" t="s">
        <v>6405</v>
      </c>
      <c r="N1827" s="76" t="s">
        <v>18</v>
      </c>
      <c r="Q1827" s="76" t="s">
        <v>2109</v>
      </c>
      <c r="R1827" s="73">
        <f t="shared" si="181"/>
        <v>1</v>
      </c>
      <c r="S1827" s="260" t="s">
        <v>1976</v>
      </c>
      <c r="T1827" s="260" t="s">
        <v>924</v>
      </c>
      <c r="U1827" s="301" t="s">
        <v>5283</v>
      </c>
      <c r="V1827" s="301" t="s">
        <v>6720</v>
      </c>
      <c r="Y1827" s="566">
        <v>0.84640046296296301</v>
      </c>
      <c r="Z1827" s="566">
        <v>0.88200231481481473</v>
      </c>
      <c r="AA1827" s="566">
        <f t="shared" si="179"/>
        <v>3.5601851851851718E-2</v>
      </c>
      <c r="AB1827" s="699"/>
    </row>
    <row r="1828" spans="1:28" x14ac:dyDescent="0.3">
      <c r="A1828" s="79" t="s">
        <v>6107</v>
      </c>
      <c r="C1828" s="115">
        <v>43914</v>
      </c>
      <c r="D1828" s="312">
        <v>43979</v>
      </c>
      <c r="E1828" s="81">
        <v>43941</v>
      </c>
      <c r="F1828" s="86" t="s">
        <v>6232</v>
      </c>
      <c r="G1828" s="86" t="s">
        <v>150</v>
      </c>
      <c r="H1828" s="96" t="s">
        <v>213</v>
      </c>
      <c r="I1828" s="97" t="s">
        <v>3479</v>
      </c>
      <c r="J1828" s="73">
        <f t="shared" si="180"/>
        <v>1</v>
      </c>
      <c r="K1828" s="260" t="s">
        <v>204</v>
      </c>
      <c r="L1828" s="97" t="s">
        <v>12724</v>
      </c>
      <c r="N1828" s="76" t="s">
        <v>18</v>
      </c>
      <c r="Q1828" s="76" t="s">
        <v>2109</v>
      </c>
      <c r="R1828" s="73">
        <f t="shared" si="181"/>
        <v>1</v>
      </c>
      <c r="S1828" s="260" t="s">
        <v>1976</v>
      </c>
      <c r="T1828" s="260" t="s">
        <v>924</v>
      </c>
      <c r="U1828" s="301" t="s">
        <v>5283</v>
      </c>
      <c r="V1828" s="301" t="s">
        <v>6361</v>
      </c>
      <c r="X1828" s="301" t="s">
        <v>6406</v>
      </c>
      <c r="Y1828" s="566">
        <v>0.64690972222222221</v>
      </c>
      <c r="Z1828" s="566">
        <v>0.66320601851851857</v>
      </c>
      <c r="AA1828" s="566">
        <f t="shared" si="179"/>
        <v>1.6296296296296364E-2</v>
      </c>
      <c r="AB1828" s="699"/>
    </row>
    <row r="1829" spans="1:28" x14ac:dyDescent="0.3">
      <c r="A1829" s="79" t="s">
        <v>6108</v>
      </c>
      <c r="C1829" s="115">
        <v>43914</v>
      </c>
      <c r="D1829" s="312">
        <v>43976</v>
      </c>
      <c r="E1829" s="81">
        <v>43942</v>
      </c>
      <c r="F1829" s="86" t="s">
        <v>6233</v>
      </c>
      <c r="G1829" s="86" t="s">
        <v>181</v>
      </c>
      <c r="H1829" s="96" t="s">
        <v>213</v>
      </c>
      <c r="I1829" s="97" t="s">
        <v>1145</v>
      </c>
      <c r="J1829" s="73">
        <f t="shared" si="180"/>
        <v>1</v>
      </c>
      <c r="K1829" s="74" t="s">
        <v>204</v>
      </c>
      <c r="L1829" s="97" t="s">
        <v>6363</v>
      </c>
      <c r="N1829" s="76" t="s">
        <v>17</v>
      </c>
      <c r="Q1829" s="76" t="s">
        <v>2417</v>
      </c>
      <c r="R1829" s="73">
        <f t="shared" si="181"/>
        <v>1</v>
      </c>
      <c r="S1829" s="260" t="s">
        <v>1976</v>
      </c>
      <c r="T1829" s="260" t="s">
        <v>925</v>
      </c>
      <c r="Y1829" s="566">
        <v>0.35541666666666666</v>
      </c>
      <c r="Z1829" s="566">
        <v>0.37418981481481484</v>
      </c>
      <c r="AA1829" s="566">
        <f t="shared" si="179"/>
        <v>1.8773148148148178E-2</v>
      </c>
      <c r="AB1829" s="699"/>
    </row>
    <row r="1830" spans="1:28" x14ac:dyDescent="0.3">
      <c r="A1830" s="79" t="s">
        <v>6109</v>
      </c>
      <c r="C1830" s="115">
        <v>43914</v>
      </c>
      <c r="D1830" s="312">
        <v>43976</v>
      </c>
      <c r="E1830" s="81">
        <v>43941</v>
      </c>
      <c r="F1830" s="86" t="s">
        <v>6234</v>
      </c>
      <c r="G1830" s="86" t="s">
        <v>175</v>
      </c>
      <c r="H1830" s="96" t="s">
        <v>213</v>
      </c>
      <c r="I1830" s="97" t="s">
        <v>656</v>
      </c>
      <c r="J1830" s="73">
        <f t="shared" si="180"/>
        <v>1</v>
      </c>
      <c r="K1830" s="74" t="s">
        <v>204</v>
      </c>
      <c r="N1830" s="76" t="s">
        <v>18</v>
      </c>
      <c r="Q1830" s="76" t="s">
        <v>2037</v>
      </c>
      <c r="R1830" s="73">
        <f t="shared" si="181"/>
        <v>1</v>
      </c>
      <c r="S1830" s="260" t="s">
        <v>1976</v>
      </c>
      <c r="T1830" s="260" t="s">
        <v>924</v>
      </c>
      <c r="Y1830" s="566">
        <v>0.48574074074074075</v>
      </c>
      <c r="Z1830" s="566">
        <v>0.49243055555555554</v>
      </c>
      <c r="AA1830" s="566">
        <f t="shared" si="179"/>
        <v>6.6898148148147873E-3</v>
      </c>
      <c r="AB1830" s="699"/>
    </row>
    <row r="1831" spans="1:28" x14ac:dyDescent="0.3">
      <c r="A1831" s="79" t="s">
        <v>6110</v>
      </c>
      <c r="C1831" s="115">
        <v>43914</v>
      </c>
      <c r="D1831" s="312">
        <v>43976</v>
      </c>
      <c r="E1831" s="81">
        <v>43943</v>
      </c>
      <c r="F1831" s="86" t="s">
        <v>6235</v>
      </c>
      <c r="G1831" s="86" t="s">
        <v>152</v>
      </c>
      <c r="H1831" s="96" t="s">
        <v>213</v>
      </c>
      <c r="I1831" s="97" t="s">
        <v>649</v>
      </c>
      <c r="J1831" s="73">
        <f t="shared" si="180"/>
        <v>1</v>
      </c>
      <c r="K1831" s="74" t="s">
        <v>204</v>
      </c>
      <c r="L1831" s="97" t="s">
        <v>7089</v>
      </c>
      <c r="N1831" s="76" t="s">
        <v>18</v>
      </c>
      <c r="Q1831" s="76" t="s">
        <v>2076</v>
      </c>
      <c r="R1831" s="73">
        <f t="shared" si="181"/>
        <v>1</v>
      </c>
      <c r="S1831" s="260" t="s">
        <v>1976</v>
      </c>
      <c r="T1831" s="260" t="s">
        <v>925</v>
      </c>
      <c r="Y1831" s="566">
        <v>0.61237268518518517</v>
      </c>
      <c r="Z1831" s="566">
        <v>0.62998842592592597</v>
      </c>
      <c r="AA1831" s="566">
        <f t="shared" si="179"/>
        <v>1.7615740740740793E-2</v>
      </c>
      <c r="AB1831" s="699"/>
    </row>
    <row r="1832" spans="1:28" x14ac:dyDescent="0.3">
      <c r="A1832" s="79" t="s">
        <v>6113</v>
      </c>
      <c r="C1832" s="115">
        <v>43914</v>
      </c>
      <c r="D1832" s="312">
        <v>43976</v>
      </c>
      <c r="E1832" s="81">
        <v>43944</v>
      </c>
      <c r="F1832" s="86" t="s">
        <v>6238</v>
      </c>
      <c r="G1832" s="86" t="s">
        <v>150</v>
      </c>
      <c r="H1832" s="96" t="s">
        <v>213</v>
      </c>
      <c r="I1832" s="97" t="s">
        <v>4963</v>
      </c>
      <c r="J1832" s="73">
        <f t="shared" si="180"/>
        <v>1</v>
      </c>
      <c r="K1832" s="74" t="s">
        <v>204</v>
      </c>
      <c r="N1832" s="76" t="s">
        <v>19</v>
      </c>
      <c r="Q1832" s="76" t="s">
        <v>2142</v>
      </c>
      <c r="R1832" s="73">
        <f t="shared" si="181"/>
        <v>1</v>
      </c>
      <c r="S1832" s="260" t="s">
        <v>1976</v>
      </c>
      <c r="T1832" s="260" t="s">
        <v>924</v>
      </c>
      <c r="Y1832" s="566">
        <v>0.75298611111111102</v>
      </c>
      <c r="Z1832" s="566">
        <v>0.7597222222222223</v>
      </c>
      <c r="AA1832" s="566">
        <f t="shared" si="179"/>
        <v>6.7361111111112759E-3</v>
      </c>
      <c r="AB1832" s="699"/>
    </row>
    <row r="1833" spans="1:28" x14ac:dyDescent="0.3">
      <c r="A1833" s="79" t="s">
        <v>6114</v>
      </c>
      <c r="C1833" s="115">
        <v>43914</v>
      </c>
      <c r="D1833" s="312">
        <v>43976</v>
      </c>
      <c r="E1833" s="81">
        <v>43942</v>
      </c>
      <c r="F1833" s="86" t="s">
        <v>6239</v>
      </c>
      <c r="G1833" s="86" t="s">
        <v>152</v>
      </c>
      <c r="H1833" s="96" t="s">
        <v>213</v>
      </c>
      <c r="I1833" s="97" t="s">
        <v>3794</v>
      </c>
      <c r="J1833" s="73">
        <f t="shared" si="180"/>
        <v>1</v>
      </c>
      <c r="K1833" s="74" t="s">
        <v>204</v>
      </c>
      <c r="L1833" s="97" t="s">
        <v>12744</v>
      </c>
      <c r="N1833" s="76" t="s">
        <v>17</v>
      </c>
      <c r="Q1833" s="76" t="s">
        <v>2417</v>
      </c>
      <c r="R1833" s="73">
        <f t="shared" si="181"/>
        <v>1</v>
      </c>
      <c r="S1833" s="260" t="s">
        <v>1976</v>
      </c>
      <c r="T1833" s="260" t="s">
        <v>923</v>
      </c>
      <c r="U1833" s="301" t="s">
        <v>5283</v>
      </c>
      <c r="V1833" s="301" t="s">
        <v>6364</v>
      </c>
      <c r="Y1833" s="566">
        <v>0.38635416666666672</v>
      </c>
      <c r="Z1833" s="566">
        <v>0.40050925925925923</v>
      </c>
      <c r="AA1833" s="566">
        <f t="shared" si="179"/>
        <v>1.4155092592592511E-2</v>
      </c>
      <c r="AB1833" s="699"/>
    </row>
    <row r="1834" spans="1:28" x14ac:dyDescent="0.3">
      <c r="A1834" s="96" t="s">
        <v>6117</v>
      </c>
      <c r="C1834" s="115">
        <v>43915</v>
      </c>
      <c r="D1834" s="312">
        <v>43976</v>
      </c>
      <c r="E1834" s="81">
        <v>43943</v>
      </c>
      <c r="F1834" s="86" t="s">
        <v>6242</v>
      </c>
      <c r="G1834" s="86" t="s">
        <v>150</v>
      </c>
      <c r="H1834" s="96" t="s">
        <v>213</v>
      </c>
      <c r="I1834" s="97" t="s">
        <v>6373</v>
      </c>
      <c r="J1834" s="73">
        <f t="shared" si="180"/>
        <v>1</v>
      </c>
      <c r="K1834" s="260" t="s">
        <v>204</v>
      </c>
      <c r="L1834" s="97" t="s">
        <v>6375</v>
      </c>
      <c r="N1834" s="76" t="s">
        <v>18</v>
      </c>
      <c r="Q1834" s="76" t="s">
        <v>2076</v>
      </c>
      <c r="R1834" s="73">
        <f t="shared" si="181"/>
        <v>1</v>
      </c>
      <c r="S1834" s="260" t="s">
        <v>1976</v>
      </c>
      <c r="T1834" s="260" t="s">
        <v>923</v>
      </c>
      <c r="U1834" s="301" t="s">
        <v>5283</v>
      </c>
      <c r="V1834" s="301" t="s">
        <v>6374</v>
      </c>
      <c r="W1834" s="301" t="s">
        <v>6399</v>
      </c>
      <c r="Y1834" s="566">
        <v>0.63521990740740741</v>
      </c>
      <c r="Z1834" s="566">
        <v>0.70454861111111111</v>
      </c>
      <c r="AA1834" s="566">
        <f t="shared" si="179"/>
        <v>6.9328703703703698E-2</v>
      </c>
      <c r="AB1834" s="699"/>
    </row>
    <row r="1835" spans="1:28" x14ac:dyDescent="0.3">
      <c r="A1835" s="79" t="s">
        <v>6118</v>
      </c>
      <c r="C1835" s="115">
        <v>43915</v>
      </c>
      <c r="D1835" s="312">
        <v>43976</v>
      </c>
      <c r="E1835" s="81">
        <v>43943</v>
      </c>
      <c r="F1835" s="86" t="s">
        <v>6243</v>
      </c>
      <c r="G1835" s="86" t="s">
        <v>158</v>
      </c>
      <c r="H1835" s="96" t="s">
        <v>213</v>
      </c>
      <c r="I1835" s="97" t="s">
        <v>1113</v>
      </c>
      <c r="J1835" s="73">
        <f t="shared" si="180"/>
        <v>1</v>
      </c>
      <c r="K1835" s="74" t="s">
        <v>204</v>
      </c>
      <c r="N1835" s="76" t="s">
        <v>18</v>
      </c>
      <c r="Q1835" s="76" t="s">
        <v>2076</v>
      </c>
      <c r="R1835" s="73">
        <f t="shared" si="181"/>
        <v>1</v>
      </c>
      <c r="S1835" s="260" t="s">
        <v>1976</v>
      </c>
      <c r="T1835" s="260" t="s">
        <v>923</v>
      </c>
      <c r="U1835" s="301" t="s">
        <v>5283</v>
      </c>
      <c r="V1835" s="301" t="s">
        <v>6376</v>
      </c>
      <c r="Y1835" s="566">
        <v>0.7047106481481481</v>
      </c>
      <c r="Z1835" s="566">
        <v>0.71118055555555548</v>
      </c>
      <c r="AA1835" s="566">
        <f t="shared" si="179"/>
        <v>6.4699074074073826E-3</v>
      </c>
      <c r="AB1835" s="699"/>
    </row>
    <row r="1836" spans="1:28" x14ac:dyDescent="0.3">
      <c r="A1836" s="79" t="s">
        <v>6123</v>
      </c>
      <c r="C1836" s="115">
        <v>43915</v>
      </c>
      <c r="D1836" s="312">
        <v>43976</v>
      </c>
      <c r="E1836" s="81">
        <v>43941</v>
      </c>
      <c r="F1836" s="86" t="s">
        <v>6248</v>
      </c>
      <c r="G1836" s="86" t="s">
        <v>147</v>
      </c>
      <c r="H1836" s="96" t="s">
        <v>213</v>
      </c>
      <c r="I1836" s="97" t="s">
        <v>722</v>
      </c>
      <c r="J1836" s="73">
        <f t="shared" si="180"/>
        <v>1</v>
      </c>
      <c r="K1836" s="74" t="s">
        <v>204</v>
      </c>
      <c r="N1836" s="76" t="s">
        <v>18</v>
      </c>
      <c r="Q1836" s="76" t="s">
        <v>2037</v>
      </c>
      <c r="R1836" s="73">
        <f t="shared" si="181"/>
        <v>1</v>
      </c>
      <c r="S1836" s="260" t="s">
        <v>1976</v>
      </c>
      <c r="T1836" s="260" t="s">
        <v>923</v>
      </c>
      <c r="Y1836" s="566">
        <v>0.49758101851851855</v>
      </c>
      <c r="Z1836" s="566">
        <v>0.5055439814814815</v>
      </c>
      <c r="AA1836" s="566">
        <f t="shared" ref="AA1836:AA1852" si="182">Z1836-Y1836</f>
        <v>7.9629629629629495E-3</v>
      </c>
      <c r="AB1836" s="699"/>
    </row>
    <row r="1837" spans="1:28" x14ac:dyDescent="0.3">
      <c r="A1837" s="79" t="s">
        <v>6134</v>
      </c>
      <c r="C1837" s="115">
        <v>43916</v>
      </c>
      <c r="D1837" s="312">
        <v>43977</v>
      </c>
      <c r="E1837" s="81">
        <v>43943</v>
      </c>
      <c r="F1837" s="86" t="s">
        <v>6259</v>
      </c>
      <c r="G1837" s="86" t="s">
        <v>152</v>
      </c>
      <c r="H1837" s="96" t="s">
        <v>213</v>
      </c>
      <c r="I1837" s="97" t="s">
        <v>972</v>
      </c>
      <c r="J1837" s="73">
        <f t="shared" si="180"/>
        <v>1</v>
      </c>
      <c r="K1837" s="260" t="s">
        <v>204</v>
      </c>
      <c r="L1837" s="97" t="s">
        <v>8119</v>
      </c>
      <c r="N1837" s="76" t="s">
        <v>18</v>
      </c>
      <c r="Q1837" s="76" t="s">
        <v>2109</v>
      </c>
      <c r="R1837" s="73">
        <f t="shared" si="181"/>
        <v>1</v>
      </c>
      <c r="S1837" s="260" t="s">
        <v>1976</v>
      </c>
      <c r="T1837" s="260" t="s">
        <v>924</v>
      </c>
      <c r="U1837" s="301" t="s">
        <v>5283</v>
      </c>
      <c r="V1837" s="301" t="s">
        <v>6379</v>
      </c>
      <c r="Y1837" s="566">
        <v>0.74762731481481481</v>
      </c>
      <c r="Z1837" s="566">
        <v>0.76045138888888886</v>
      </c>
      <c r="AA1837" s="566">
        <f t="shared" si="182"/>
        <v>1.2824074074074043E-2</v>
      </c>
      <c r="AB1837" s="699"/>
    </row>
    <row r="1838" spans="1:28" x14ac:dyDescent="0.3">
      <c r="A1838" s="79" t="s">
        <v>6135</v>
      </c>
      <c r="C1838" s="115">
        <v>43916</v>
      </c>
      <c r="D1838" s="312">
        <v>43978</v>
      </c>
      <c r="E1838" s="81">
        <v>43941</v>
      </c>
      <c r="F1838" s="86" t="s">
        <v>6260</v>
      </c>
      <c r="G1838" s="86" t="s">
        <v>147</v>
      </c>
      <c r="H1838" s="79" t="s">
        <v>268</v>
      </c>
      <c r="I1838" s="97" t="s">
        <v>6359</v>
      </c>
      <c r="J1838" s="73">
        <f t="shared" si="180"/>
        <v>1</v>
      </c>
      <c r="K1838" s="74" t="s">
        <v>204</v>
      </c>
      <c r="L1838" s="97" t="s">
        <v>6360</v>
      </c>
      <c r="N1838" s="76" t="s">
        <v>18</v>
      </c>
      <c r="Q1838" s="76" t="s">
        <v>2037</v>
      </c>
      <c r="R1838" s="73">
        <f t="shared" si="181"/>
        <v>1</v>
      </c>
      <c r="S1838" s="260" t="s">
        <v>1976</v>
      </c>
      <c r="T1838" s="260" t="s">
        <v>924</v>
      </c>
      <c r="Y1838" s="566">
        <v>0.54631944444444447</v>
      </c>
      <c r="Z1838" s="566">
        <v>0.56082175925925926</v>
      </c>
      <c r="AA1838" s="566">
        <f t="shared" si="182"/>
        <v>1.4502314814814787E-2</v>
      </c>
      <c r="AB1838" s="699"/>
    </row>
    <row r="1839" spans="1:28" x14ac:dyDescent="0.3">
      <c r="A1839" s="79" t="s">
        <v>6138</v>
      </c>
      <c r="C1839" s="115">
        <v>43916</v>
      </c>
      <c r="D1839" s="312">
        <v>43977</v>
      </c>
      <c r="E1839" s="81">
        <v>43942</v>
      </c>
      <c r="F1839" s="86" t="s">
        <v>6263</v>
      </c>
      <c r="G1839" s="86" t="s">
        <v>147</v>
      </c>
      <c r="H1839" s="96" t="s">
        <v>213</v>
      </c>
      <c r="I1839" s="97" t="s">
        <v>6366</v>
      </c>
      <c r="J1839" s="73">
        <f t="shared" si="180"/>
        <v>1</v>
      </c>
      <c r="K1839" s="260" t="s">
        <v>204</v>
      </c>
      <c r="L1839" s="97" t="s">
        <v>12728</v>
      </c>
      <c r="N1839" s="76" t="s">
        <v>17</v>
      </c>
      <c r="Q1839" s="76" t="s">
        <v>2109</v>
      </c>
      <c r="R1839" s="73">
        <f t="shared" si="181"/>
        <v>1</v>
      </c>
      <c r="S1839" s="260" t="s">
        <v>1976</v>
      </c>
      <c r="T1839" s="260" t="s">
        <v>924</v>
      </c>
      <c r="U1839" s="301" t="s">
        <v>5283</v>
      </c>
      <c r="V1839" s="301" t="s">
        <v>6367</v>
      </c>
      <c r="Y1839" s="566">
        <v>0.55398148148148152</v>
      </c>
      <c r="Z1839" s="566">
        <v>0.57032407407407404</v>
      </c>
      <c r="AA1839" s="566">
        <f t="shared" si="182"/>
        <v>1.634259259259252E-2</v>
      </c>
      <c r="AB1839" s="699"/>
    </row>
    <row r="1840" spans="1:28" x14ac:dyDescent="0.3">
      <c r="A1840" s="79" t="s">
        <v>6139</v>
      </c>
      <c r="C1840" s="115">
        <v>43916</v>
      </c>
      <c r="D1840" s="312">
        <v>43978</v>
      </c>
      <c r="E1840" s="81">
        <v>43941</v>
      </c>
      <c r="F1840" s="86" t="s">
        <v>6264</v>
      </c>
      <c r="G1840" s="86" t="s">
        <v>150</v>
      </c>
      <c r="H1840" s="96" t="s">
        <v>213</v>
      </c>
      <c r="I1840" s="97" t="s">
        <v>3794</v>
      </c>
      <c r="J1840" s="73">
        <f t="shared" si="180"/>
        <v>1</v>
      </c>
      <c r="K1840" s="74" t="s">
        <v>204</v>
      </c>
      <c r="L1840" s="97" t="s">
        <v>7089</v>
      </c>
      <c r="N1840" s="76" t="s">
        <v>18</v>
      </c>
      <c r="Q1840" s="76" t="s">
        <v>2037</v>
      </c>
      <c r="R1840" s="73">
        <f t="shared" si="181"/>
        <v>1</v>
      </c>
      <c r="S1840" s="260" t="s">
        <v>1976</v>
      </c>
      <c r="T1840" s="260" t="s">
        <v>924</v>
      </c>
      <c r="Y1840" s="566">
        <v>0.60783564814814817</v>
      </c>
      <c r="Z1840" s="566">
        <v>0.61871527777777779</v>
      </c>
      <c r="AA1840" s="566">
        <f t="shared" si="182"/>
        <v>1.0879629629629628E-2</v>
      </c>
      <c r="AB1840" s="699"/>
    </row>
    <row r="1841" spans="1:28" x14ac:dyDescent="0.3">
      <c r="A1841" s="79" t="s">
        <v>6141</v>
      </c>
      <c r="C1841" s="115">
        <v>43916</v>
      </c>
      <c r="D1841" s="312">
        <v>43978</v>
      </c>
      <c r="E1841" s="81">
        <v>43941</v>
      </c>
      <c r="F1841" s="86" t="s">
        <v>6266</v>
      </c>
      <c r="G1841" s="86" t="s">
        <v>152</v>
      </c>
      <c r="H1841" s="96" t="s">
        <v>213</v>
      </c>
      <c r="I1841" s="97" t="s">
        <v>2478</v>
      </c>
      <c r="J1841" s="73">
        <f t="shared" si="180"/>
        <v>1</v>
      </c>
      <c r="K1841" s="74" t="s">
        <v>204</v>
      </c>
      <c r="L1841" s="97" t="s">
        <v>7089</v>
      </c>
      <c r="N1841" s="76" t="s">
        <v>17</v>
      </c>
      <c r="Q1841" s="76" t="s">
        <v>2037</v>
      </c>
      <c r="R1841" s="73">
        <f t="shared" si="181"/>
        <v>1</v>
      </c>
      <c r="S1841" s="260" t="s">
        <v>1976</v>
      </c>
      <c r="T1841" s="260" t="s">
        <v>925</v>
      </c>
      <c r="Y1841" s="566">
        <v>0.56123842592592588</v>
      </c>
      <c r="Z1841" s="566">
        <v>0.5759143518518518</v>
      </c>
      <c r="AA1841" s="566">
        <f t="shared" si="182"/>
        <v>1.4675925925925926E-2</v>
      </c>
      <c r="AB1841" s="699"/>
    </row>
    <row r="1842" spans="1:28" x14ac:dyDescent="0.3">
      <c r="A1842" s="96" t="s">
        <v>6143</v>
      </c>
      <c r="C1842" s="115">
        <v>43916</v>
      </c>
      <c r="D1842" s="312">
        <v>43977</v>
      </c>
      <c r="E1842" s="81">
        <v>43943</v>
      </c>
      <c r="F1842" s="86" t="s">
        <v>6268</v>
      </c>
      <c r="G1842" s="86" t="s">
        <v>152</v>
      </c>
      <c r="H1842" s="96" t="s">
        <v>213</v>
      </c>
      <c r="I1842" s="97" t="s">
        <v>691</v>
      </c>
      <c r="J1842" s="73">
        <f t="shared" si="180"/>
        <v>1</v>
      </c>
      <c r="K1842" s="74" t="s">
        <v>204</v>
      </c>
      <c r="L1842" s="97" t="s">
        <v>6380</v>
      </c>
      <c r="N1842" s="76" t="s">
        <v>19</v>
      </c>
      <c r="Q1842" s="76" t="s">
        <v>2142</v>
      </c>
      <c r="R1842" s="73">
        <f t="shared" si="181"/>
        <v>1</v>
      </c>
      <c r="S1842" s="260" t="s">
        <v>1976</v>
      </c>
      <c r="T1842" s="260" t="s">
        <v>925</v>
      </c>
      <c r="Y1842" s="566">
        <v>0.79358796296296286</v>
      </c>
      <c r="Z1842" s="566">
        <v>0.80033564814814817</v>
      </c>
      <c r="AA1842" s="566">
        <f t="shared" si="182"/>
        <v>6.7476851851853148E-3</v>
      </c>
      <c r="AB1842" s="699"/>
    </row>
    <row r="1843" spans="1:28" x14ac:dyDescent="0.3">
      <c r="A1843" s="79" t="s">
        <v>6145</v>
      </c>
      <c r="C1843" s="115">
        <v>43916</v>
      </c>
      <c r="D1843" s="312">
        <v>43978</v>
      </c>
      <c r="E1843" s="81">
        <v>43941</v>
      </c>
      <c r="F1843" s="86" t="s">
        <v>6270</v>
      </c>
      <c r="G1843" s="86" t="s">
        <v>152</v>
      </c>
      <c r="H1843" s="96" t="s">
        <v>213</v>
      </c>
      <c r="I1843" s="97" t="s">
        <v>2478</v>
      </c>
      <c r="J1843" s="73">
        <f t="shared" si="180"/>
        <v>1</v>
      </c>
      <c r="K1843" s="74" t="s">
        <v>204</v>
      </c>
      <c r="L1843" s="97" t="s">
        <v>7089</v>
      </c>
      <c r="N1843" s="76" t="s">
        <v>18</v>
      </c>
      <c r="Q1843" s="76" t="s">
        <v>2037</v>
      </c>
      <c r="R1843" s="73">
        <f t="shared" si="181"/>
        <v>1</v>
      </c>
      <c r="S1843" s="260" t="s">
        <v>1976</v>
      </c>
      <c r="T1843" s="260" t="s">
        <v>925</v>
      </c>
      <c r="Y1843" s="566">
        <v>0.59680555555555559</v>
      </c>
      <c r="Z1843" s="566">
        <v>0.60622685185185188</v>
      </c>
      <c r="AA1843" s="566">
        <f t="shared" si="182"/>
        <v>9.4212962962962887E-3</v>
      </c>
      <c r="AB1843" s="699"/>
    </row>
    <row r="1844" spans="1:28" x14ac:dyDescent="0.3">
      <c r="A1844" s="79" t="s">
        <v>6146</v>
      </c>
      <c r="C1844" s="115">
        <v>43916</v>
      </c>
      <c r="D1844" s="312">
        <v>43978</v>
      </c>
      <c r="E1844" s="81">
        <v>43938</v>
      </c>
      <c r="F1844" s="86" t="s">
        <v>2787</v>
      </c>
      <c r="G1844" s="86" t="s">
        <v>410</v>
      </c>
      <c r="H1844" s="96" t="s">
        <v>213</v>
      </c>
      <c r="J1844" s="73">
        <f t="shared" si="180"/>
        <v>1</v>
      </c>
      <c r="K1844" s="74" t="s">
        <v>204</v>
      </c>
      <c r="N1844" s="76" t="s">
        <v>18</v>
      </c>
      <c r="Q1844" s="76" t="s">
        <v>2037</v>
      </c>
      <c r="R1844" s="73">
        <f t="shared" si="181"/>
        <v>1</v>
      </c>
      <c r="S1844" s="260" t="s">
        <v>1976</v>
      </c>
      <c r="T1844" s="260" t="s">
        <v>925</v>
      </c>
      <c r="Y1844" s="566">
        <v>0.48405092592592597</v>
      </c>
      <c r="Z1844" s="566">
        <v>0.4906712962962963</v>
      </c>
      <c r="AA1844" s="566">
        <f t="shared" si="182"/>
        <v>6.620370370370332E-3</v>
      </c>
      <c r="AB1844" s="699"/>
    </row>
    <row r="1845" spans="1:28" x14ac:dyDescent="0.3">
      <c r="A1845" s="79" t="s">
        <v>6147</v>
      </c>
      <c r="C1845" s="115">
        <v>43916</v>
      </c>
      <c r="D1845" s="312">
        <v>43978</v>
      </c>
      <c r="E1845" s="81">
        <v>43941</v>
      </c>
      <c r="F1845" s="86" t="s">
        <v>6271</v>
      </c>
      <c r="G1845" s="86" t="s">
        <v>154</v>
      </c>
      <c r="H1845" s="96" t="s">
        <v>213</v>
      </c>
      <c r="I1845" s="97" t="s">
        <v>2193</v>
      </c>
      <c r="J1845" s="73">
        <f t="shared" si="180"/>
        <v>1</v>
      </c>
      <c r="K1845" s="74" t="s">
        <v>204</v>
      </c>
      <c r="L1845" s="97" t="s">
        <v>7089</v>
      </c>
      <c r="N1845" s="76" t="s">
        <v>17</v>
      </c>
      <c r="Q1845" s="76" t="s">
        <v>2037</v>
      </c>
      <c r="R1845" s="73">
        <f t="shared" si="181"/>
        <v>1</v>
      </c>
      <c r="S1845" s="260" t="s">
        <v>1976</v>
      </c>
      <c r="T1845" s="260" t="s">
        <v>925</v>
      </c>
      <c r="Y1845" s="566">
        <v>0.58546296296296296</v>
      </c>
      <c r="Z1845" s="566">
        <v>0.59646990740740746</v>
      </c>
      <c r="AA1845" s="566">
        <f t="shared" si="182"/>
        <v>1.10069444444445E-2</v>
      </c>
      <c r="AB1845" s="699"/>
    </row>
    <row r="1846" spans="1:28" x14ac:dyDescent="0.3">
      <c r="A1846" s="79" t="s">
        <v>6152</v>
      </c>
      <c r="C1846" s="115">
        <v>43927</v>
      </c>
      <c r="D1846" s="312">
        <v>43978</v>
      </c>
      <c r="E1846" s="81">
        <v>43945</v>
      </c>
      <c r="F1846" s="86" t="s">
        <v>6276</v>
      </c>
      <c r="G1846" s="86" t="s">
        <v>152</v>
      </c>
      <c r="H1846" s="96" t="s">
        <v>213</v>
      </c>
      <c r="I1846" s="97" t="s">
        <v>2478</v>
      </c>
      <c r="J1846" s="73">
        <f t="shared" si="180"/>
        <v>1</v>
      </c>
      <c r="K1846" s="74" t="s">
        <v>204</v>
      </c>
      <c r="L1846" s="97" t="s">
        <v>7089</v>
      </c>
      <c r="N1846" s="76" t="s">
        <v>17</v>
      </c>
      <c r="Q1846" s="76" t="s">
        <v>2076</v>
      </c>
      <c r="R1846" s="73">
        <f t="shared" si="181"/>
        <v>1</v>
      </c>
      <c r="S1846" s="260" t="s">
        <v>1976</v>
      </c>
      <c r="T1846" s="260" t="s">
        <v>925</v>
      </c>
      <c r="Y1846" s="566">
        <v>0.73122685185185177</v>
      </c>
      <c r="Z1846" s="566">
        <v>0.74478009259259259</v>
      </c>
      <c r="AA1846" s="566">
        <f t="shared" si="182"/>
        <v>1.3553240740740824E-2</v>
      </c>
      <c r="AB1846" s="699"/>
    </row>
    <row r="1847" spans="1:28" x14ac:dyDescent="0.3">
      <c r="A1847" s="79" t="s">
        <v>6153</v>
      </c>
      <c r="C1847" s="115">
        <v>43927</v>
      </c>
      <c r="D1847" s="312">
        <v>43978</v>
      </c>
      <c r="E1847" s="81">
        <v>43945</v>
      </c>
      <c r="F1847" s="86" t="s">
        <v>6277</v>
      </c>
      <c r="G1847" s="86" t="s">
        <v>152</v>
      </c>
      <c r="H1847" s="96" t="s">
        <v>213</v>
      </c>
      <c r="I1847" s="97" t="s">
        <v>2478</v>
      </c>
      <c r="J1847" s="73">
        <f t="shared" si="180"/>
        <v>1</v>
      </c>
      <c r="K1847" s="74" t="s">
        <v>204</v>
      </c>
      <c r="L1847" s="97" t="s">
        <v>7089</v>
      </c>
      <c r="N1847" s="76" t="s">
        <v>17</v>
      </c>
      <c r="Q1847" s="76" t="s">
        <v>2076</v>
      </c>
      <c r="R1847" s="73">
        <f t="shared" si="181"/>
        <v>1</v>
      </c>
      <c r="S1847" s="260" t="s">
        <v>1976</v>
      </c>
      <c r="T1847" s="260" t="s">
        <v>923</v>
      </c>
      <c r="Y1847" s="566">
        <v>0.72200231481481481</v>
      </c>
      <c r="Z1847" s="566">
        <v>0.73092592592592587</v>
      </c>
      <c r="AA1847" s="566">
        <f t="shared" si="182"/>
        <v>8.9236111111110628E-3</v>
      </c>
      <c r="AB1847" s="699"/>
    </row>
    <row r="1848" spans="1:28" x14ac:dyDescent="0.3">
      <c r="A1848" s="96" t="s">
        <v>6154</v>
      </c>
      <c r="C1848" s="115">
        <v>43927</v>
      </c>
      <c r="D1848" s="312">
        <v>43978</v>
      </c>
      <c r="E1848" s="81">
        <v>43945</v>
      </c>
      <c r="F1848" s="86" t="s">
        <v>6278</v>
      </c>
      <c r="G1848" s="86" t="s">
        <v>158</v>
      </c>
      <c r="H1848" s="96" t="s">
        <v>213</v>
      </c>
      <c r="I1848" s="97" t="s">
        <v>2478</v>
      </c>
      <c r="J1848" s="73">
        <f t="shared" si="180"/>
        <v>1</v>
      </c>
      <c r="K1848" s="74" t="s">
        <v>204</v>
      </c>
      <c r="L1848" s="97" t="s">
        <v>7089</v>
      </c>
      <c r="N1848" s="76" t="s">
        <v>17</v>
      </c>
      <c r="Q1848" s="76" t="s">
        <v>2076</v>
      </c>
      <c r="R1848" s="73">
        <f t="shared" si="181"/>
        <v>1</v>
      </c>
      <c r="S1848" s="260" t="s">
        <v>1976</v>
      </c>
      <c r="T1848" s="260" t="s">
        <v>923</v>
      </c>
      <c r="Y1848" s="566">
        <v>0.60074074074074069</v>
      </c>
      <c r="Z1848" s="566">
        <v>0.62601851851851853</v>
      </c>
      <c r="AA1848" s="566">
        <f t="shared" si="182"/>
        <v>2.5277777777777843E-2</v>
      </c>
      <c r="AB1848" s="699"/>
    </row>
    <row r="1849" spans="1:28" x14ac:dyDescent="0.3">
      <c r="A1849" s="79" t="s">
        <v>6155</v>
      </c>
      <c r="C1849" s="115">
        <v>43927</v>
      </c>
      <c r="D1849" s="312">
        <v>43978</v>
      </c>
      <c r="E1849" s="81">
        <v>43945</v>
      </c>
      <c r="F1849" s="86" t="s">
        <v>6279</v>
      </c>
      <c r="G1849" s="86" t="s">
        <v>150</v>
      </c>
      <c r="H1849" s="96" t="s">
        <v>213</v>
      </c>
      <c r="I1849" s="97" t="s">
        <v>722</v>
      </c>
      <c r="J1849" s="73">
        <f t="shared" si="180"/>
        <v>1</v>
      </c>
      <c r="K1849" s="74" t="s">
        <v>204</v>
      </c>
      <c r="N1849" s="76" t="s">
        <v>18</v>
      </c>
      <c r="Q1849" s="76" t="s">
        <v>2076</v>
      </c>
      <c r="R1849" s="73">
        <f t="shared" si="181"/>
        <v>1</v>
      </c>
      <c r="S1849" s="260" t="s">
        <v>1976</v>
      </c>
      <c r="T1849" s="260" t="s">
        <v>924</v>
      </c>
      <c r="Y1849" s="566">
        <v>0.71677083333333336</v>
      </c>
      <c r="Z1849" s="566">
        <v>0.72151620370370362</v>
      </c>
      <c r="AA1849" s="566">
        <f t="shared" si="182"/>
        <v>4.745370370370261E-3</v>
      </c>
      <c r="AB1849" s="699"/>
    </row>
    <row r="1850" spans="1:28" x14ac:dyDescent="0.3">
      <c r="A1850" s="79" t="s">
        <v>6159</v>
      </c>
      <c r="C1850" s="115">
        <v>43927</v>
      </c>
      <c r="D1850" s="312">
        <v>43978</v>
      </c>
      <c r="E1850" s="81">
        <v>43945</v>
      </c>
      <c r="F1850" s="86" t="s">
        <v>6283</v>
      </c>
      <c r="G1850" s="86" t="s">
        <v>150</v>
      </c>
      <c r="H1850" s="96" t="s">
        <v>213</v>
      </c>
      <c r="I1850" s="97" t="s">
        <v>1284</v>
      </c>
      <c r="J1850" s="73">
        <f t="shared" ref="J1850:J1860" si="183">IF(OR(K1850="Документы готовы",K1850="Запрос в ФО",K1850="ЭЗ",K1850="РЕШ",K1850="РЕШ шаблон"),0.1,IF(OR(K1850="ЭЗ согласование",K1850="РЕШ согласование"),0.3,IF(OR(K1850="ЭЗ согласовано",K1850="РЕШ согласовано",K1850="РЕШ подписано"),0.6,IF(OR(K1850="ЭЗ ПР согласование",K1850="РЕШ УВ согласование"),0.9,IF(OR(K1850="ЭЗ ПР DONE",K1850="РЕШ УВ DONE"),1,0)))))</f>
        <v>1</v>
      </c>
      <c r="K1850" s="74" t="s">
        <v>204</v>
      </c>
      <c r="N1850" s="76" t="s">
        <v>19</v>
      </c>
      <c r="Q1850" s="76" t="s">
        <v>2076</v>
      </c>
      <c r="R1850" s="73">
        <f t="shared" ref="R1850:R1860" si="184">IF(S1850="В работе",0.3,IF(S1850="Отписано",0.6,IF(S1850="На доработку",0.9,IF(S1850="Согласовано",1,0))))</f>
        <v>1</v>
      </c>
      <c r="S1850" s="260" t="s">
        <v>1976</v>
      </c>
      <c r="T1850" s="260" t="s">
        <v>925</v>
      </c>
      <c r="U1850" s="301" t="s">
        <v>5283</v>
      </c>
      <c r="V1850" s="301" t="s">
        <v>6396</v>
      </c>
      <c r="Y1850" s="566">
        <v>0.71267361111111116</v>
      </c>
      <c r="Z1850" s="566">
        <v>0.7163425925925927</v>
      </c>
      <c r="AA1850" s="566">
        <f t="shared" si="182"/>
        <v>3.6689814814815369E-3</v>
      </c>
      <c r="AB1850" s="699"/>
    </row>
    <row r="1851" spans="1:28" x14ac:dyDescent="0.3">
      <c r="A1851" s="79" t="s">
        <v>6160</v>
      </c>
      <c r="C1851" s="115">
        <v>43927</v>
      </c>
      <c r="D1851" s="312">
        <v>43983</v>
      </c>
      <c r="E1851" s="81">
        <v>43945</v>
      </c>
      <c r="F1851" s="86" t="s">
        <v>6284</v>
      </c>
      <c r="G1851" s="86" t="s">
        <v>152</v>
      </c>
      <c r="H1851" s="96" t="s">
        <v>213</v>
      </c>
      <c r="I1851" s="97" t="s">
        <v>689</v>
      </c>
      <c r="J1851" s="73">
        <f t="shared" si="183"/>
        <v>1</v>
      </c>
      <c r="K1851" s="74" t="s">
        <v>204</v>
      </c>
      <c r="L1851" s="97" t="s">
        <v>6397</v>
      </c>
      <c r="N1851" s="76" t="s">
        <v>18</v>
      </c>
      <c r="Q1851" s="76" t="s">
        <v>2076</v>
      </c>
      <c r="R1851" s="73">
        <f t="shared" si="184"/>
        <v>1</v>
      </c>
      <c r="S1851" s="260" t="s">
        <v>1976</v>
      </c>
      <c r="T1851" s="260" t="s">
        <v>923</v>
      </c>
      <c r="U1851" s="301" t="s">
        <v>5283</v>
      </c>
      <c r="V1851" s="301" t="s">
        <v>6398</v>
      </c>
      <c r="Y1851" s="566">
        <v>0.76008101851851861</v>
      </c>
      <c r="Z1851" s="566">
        <v>0.76612268518518523</v>
      </c>
      <c r="AA1851" s="566">
        <f t="shared" si="182"/>
        <v>6.0416666666666119E-3</v>
      </c>
      <c r="AB1851" s="699"/>
    </row>
    <row r="1852" spans="1:28" x14ac:dyDescent="0.3">
      <c r="A1852" s="96" t="s">
        <v>6170</v>
      </c>
      <c r="C1852" s="115">
        <v>43928</v>
      </c>
      <c r="D1852" s="312">
        <v>43983</v>
      </c>
      <c r="E1852" s="81">
        <v>43945</v>
      </c>
      <c r="F1852" s="86" t="s">
        <v>6294</v>
      </c>
      <c r="G1852" s="86" t="s">
        <v>164</v>
      </c>
      <c r="H1852" s="96" t="s">
        <v>213</v>
      </c>
      <c r="I1852" s="97" t="s">
        <v>6387</v>
      </c>
      <c r="J1852" s="73">
        <f t="shared" si="183"/>
        <v>1</v>
      </c>
      <c r="K1852" s="260" t="s">
        <v>204</v>
      </c>
      <c r="L1852" s="97" t="s">
        <v>12727</v>
      </c>
      <c r="N1852" s="76" t="s">
        <v>17</v>
      </c>
      <c r="Q1852" s="76" t="s">
        <v>2109</v>
      </c>
      <c r="R1852" s="73">
        <f t="shared" si="184"/>
        <v>1</v>
      </c>
      <c r="S1852" s="260" t="s">
        <v>1976</v>
      </c>
      <c r="T1852" s="260" t="s">
        <v>924</v>
      </c>
      <c r="U1852" s="301" t="s">
        <v>5283</v>
      </c>
      <c r="V1852" s="301" t="s">
        <v>6388</v>
      </c>
      <c r="X1852" s="301" t="s">
        <v>6788</v>
      </c>
      <c r="Y1852" s="566">
        <v>0.47876157407407405</v>
      </c>
      <c r="Z1852" s="566">
        <v>0.50695601851851857</v>
      </c>
      <c r="AA1852" s="566">
        <f t="shared" si="182"/>
        <v>2.8194444444444522E-2</v>
      </c>
      <c r="AB1852" s="699"/>
    </row>
    <row r="1853" spans="1:28" x14ac:dyDescent="0.3">
      <c r="A1853" s="79" t="s">
        <v>6185</v>
      </c>
      <c r="C1853" s="115">
        <v>43928</v>
      </c>
      <c r="D1853" s="312">
        <v>43978</v>
      </c>
      <c r="E1853" s="81">
        <v>43943</v>
      </c>
      <c r="F1853" s="86" t="s">
        <v>6309</v>
      </c>
      <c r="G1853" s="86" t="s">
        <v>154</v>
      </c>
      <c r="H1853" s="96" t="s">
        <v>213</v>
      </c>
      <c r="I1853" s="97" t="s">
        <v>3479</v>
      </c>
      <c r="J1853" s="73">
        <f t="shared" si="183"/>
        <v>1</v>
      </c>
      <c r="K1853" s="74" t="s">
        <v>204</v>
      </c>
      <c r="N1853" s="76" t="s">
        <v>18</v>
      </c>
      <c r="Q1853" s="76" t="s">
        <v>2109</v>
      </c>
      <c r="R1853" s="73">
        <f t="shared" si="184"/>
        <v>1</v>
      </c>
      <c r="S1853" s="260" t="s">
        <v>1976</v>
      </c>
      <c r="T1853" s="260" t="s">
        <v>925</v>
      </c>
      <c r="Y1853" s="566">
        <v>0.77244212962962966</v>
      </c>
      <c r="Z1853" s="566">
        <v>0.78405092592592596</v>
      </c>
      <c r="AA1853" s="566">
        <f t="shared" ref="AA1853:AA1862" si="185">Z1853-Y1853</f>
        <v>1.1608796296296298E-2</v>
      </c>
      <c r="AB1853" s="699"/>
    </row>
    <row r="1854" spans="1:28" x14ac:dyDescent="0.3">
      <c r="A1854" s="79" t="s">
        <v>6199</v>
      </c>
      <c r="C1854" s="115">
        <v>43929</v>
      </c>
      <c r="D1854" s="312">
        <v>43978</v>
      </c>
      <c r="E1854" s="81">
        <v>43945</v>
      </c>
      <c r="F1854" s="86" t="s">
        <v>6323</v>
      </c>
      <c r="G1854" s="86" t="s">
        <v>158</v>
      </c>
      <c r="H1854" s="96" t="s">
        <v>213</v>
      </c>
      <c r="I1854" s="97" t="s">
        <v>691</v>
      </c>
      <c r="J1854" s="73">
        <f t="shared" si="183"/>
        <v>1</v>
      </c>
      <c r="K1854" s="74" t="s">
        <v>204</v>
      </c>
      <c r="N1854" s="76" t="s">
        <v>19</v>
      </c>
      <c r="Q1854" s="76" t="s">
        <v>2076</v>
      </c>
      <c r="R1854" s="73">
        <f t="shared" si="184"/>
        <v>1</v>
      </c>
      <c r="S1854" s="260" t="s">
        <v>1976</v>
      </c>
      <c r="T1854" s="260" t="s">
        <v>924</v>
      </c>
      <c r="Y1854" s="566">
        <v>0.77686342592592583</v>
      </c>
      <c r="Z1854" s="566">
        <v>0.78454861111111107</v>
      </c>
      <c r="AA1854" s="566">
        <f t="shared" si="185"/>
        <v>7.6851851851852393E-3</v>
      </c>
      <c r="AB1854" s="699"/>
    </row>
    <row r="1855" spans="1:28" x14ac:dyDescent="0.3">
      <c r="A1855" s="79" t="s">
        <v>6208</v>
      </c>
      <c r="C1855" s="115">
        <v>43929</v>
      </c>
      <c r="D1855" s="312">
        <v>43978</v>
      </c>
      <c r="E1855" s="81">
        <v>43942</v>
      </c>
      <c r="F1855" s="86" t="s">
        <v>6333</v>
      </c>
      <c r="G1855" s="86" t="s">
        <v>158</v>
      </c>
      <c r="H1855" s="96" t="s">
        <v>213</v>
      </c>
      <c r="I1855" s="97" t="s">
        <v>2478</v>
      </c>
      <c r="J1855" s="73">
        <f t="shared" si="183"/>
        <v>1</v>
      </c>
      <c r="K1855" s="74" t="s">
        <v>204</v>
      </c>
      <c r="L1855" s="97" t="s">
        <v>7089</v>
      </c>
      <c r="N1855" s="76" t="s">
        <v>17</v>
      </c>
      <c r="Q1855" s="76" t="s">
        <v>2037</v>
      </c>
      <c r="R1855" s="73">
        <f t="shared" si="184"/>
        <v>1</v>
      </c>
      <c r="S1855" s="260" t="s">
        <v>1976</v>
      </c>
      <c r="T1855" s="260" t="s">
        <v>924</v>
      </c>
      <c r="Y1855" s="566">
        <v>0.66256944444444443</v>
      </c>
      <c r="Z1855" s="566">
        <v>0.67283564814814811</v>
      </c>
      <c r="AA1855" s="566">
        <f t="shared" si="185"/>
        <v>1.026620370370368E-2</v>
      </c>
      <c r="AB1855" s="699"/>
    </row>
    <row r="1856" spans="1:28" x14ac:dyDescent="0.3">
      <c r="A1856" s="79" t="s">
        <v>6209</v>
      </c>
      <c r="C1856" s="115">
        <v>43930</v>
      </c>
      <c r="D1856" s="312">
        <v>43978</v>
      </c>
      <c r="E1856" s="81">
        <v>43945</v>
      </c>
      <c r="F1856" s="86" t="s">
        <v>6334</v>
      </c>
      <c r="G1856" s="86" t="s">
        <v>156</v>
      </c>
      <c r="H1856" s="96" t="s">
        <v>213</v>
      </c>
      <c r="I1856" s="97" t="s">
        <v>6387</v>
      </c>
      <c r="J1856" s="73">
        <f t="shared" si="183"/>
        <v>1</v>
      </c>
      <c r="K1856" s="74" t="s">
        <v>204</v>
      </c>
      <c r="L1856" s="97" t="s">
        <v>6394</v>
      </c>
      <c r="N1856" s="76" t="s">
        <v>17</v>
      </c>
      <c r="Q1856" s="76" t="s">
        <v>2076</v>
      </c>
      <c r="R1856" s="73">
        <f t="shared" si="184"/>
        <v>1</v>
      </c>
      <c r="S1856" s="260" t="s">
        <v>1976</v>
      </c>
      <c r="T1856" s="260" t="s">
        <v>924</v>
      </c>
      <c r="U1856" s="301" t="s">
        <v>5283</v>
      </c>
      <c r="V1856" s="301" t="s">
        <v>6395</v>
      </c>
      <c r="X1856" s="301" t="s">
        <v>6520</v>
      </c>
      <c r="Y1856" s="566">
        <v>0.65758101851851858</v>
      </c>
      <c r="Z1856" s="566">
        <v>0.71111111111111114</v>
      </c>
      <c r="AA1856" s="566">
        <f t="shared" si="185"/>
        <v>5.353009259259256E-2</v>
      </c>
      <c r="AB1856" s="699"/>
    </row>
    <row r="1857" spans="1:28" x14ac:dyDescent="0.3">
      <c r="A1857" s="79" t="s">
        <v>6213</v>
      </c>
      <c r="C1857" s="115">
        <v>43930</v>
      </c>
      <c r="D1857" s="312">
        <v>43978</v>
      </c>
      <c r="E1857" s="81">
        <v>43945</v>
      </c>
      <c r="F1857" s="86" t="s">
        <v>6338</v>
      </c>
      <c r="G1857" s="86" t="s">
        <v>152</v>
      </c>
      <c r="H1857" s="96" t="s">
        <v>213</v>
      </c>
      <c r="I1857" s="97" t="s">
        <v>2478</v>
      </c>
      <c r="J1857" s="73">
        <f t="shared" si="183"/>
        <v>1</v>
      </c>
      <c r="K1857" s="74" t="s">
        <v>204</v>
      </c>
      <c r="L1857" s="97" t="s">
        <v>12726</v>
      </c>
      <c r="N1857" s="76" t="s">
        <v>17</v>
      </c>
      <c r="Q1857" s="76" t="s">
        <v>2076</v>
      </c>
      <c r="R1857" s="73">
        <f t="shared" si="184"/>
        <v>1</v>
      </c>
      <c r="S1857" s="260" t="s">
        <v>1976</v>
      </c>
      <c r="T1857" s="260" t="s">
        <v>925</v>
      </c>
      <c r="U1857" s="301" t="s">
        <v>5283</v>
      </c>
      <c r="V1857" s="301" t="s">
        <v>6393</v>
      </c>
      <c r="Y1857" s="566">
        <v>0.63722222222222225</v>
      </c>
      <c r="Z1857" s="566">
        <v>0.65519675925925924</v>
      </c>
      <c r="AA1857" s="566">
        <f t="shared" si="185"/>
        <v>1.7974537037036997E-2</v>
      </c>
      <c r="AB1857" s="699"/>
    </row>
    <row r="1858" spans="1:28" x14ac:dyDescent="0.3">
      <c r="A1858" s="79" t="s">
        <v>6214</v>
      </c>
      <c r="C1858" s="115">
        <v>43930</v>
      </c>
      <c r="D1858" s="312">
        <v>43978</v>
      </c>
      <c r="E1858" s="81">
        <v>43945</v>
      </c>
      <c r="F1858" s="86" t="s">
        <v>6339</v>
      </c>
      <c r="G1858" s="86" t="s">
        <v>152</v>
      </c>
      <c r="H1858" s="96" t="s">
        <v>213</v>
      </c>
      <c r="I1858" s="97" t="s">
        <v>6391</v>
      </c>
      <c r="J1858" s="73">
        <f t="shared" si="183"/>
        <v>1</v>
      </c>
      <c r="K1858" s="74" t="s">
        <v>204</v>
      </c>
      <c r="L1858" s="97" t="s">
        <v>6392</v>
      </c>
      <c r="N1858" s="76" t="s">
        <v>18</v>
      </c>
      <c r="Q1858" s="76" t="s">
        <v>2076</v>
      </c>
      <c r="R1858" s="73">
        <f t="shared" si="184"/>
        <v>1</v>
      </c>
      <c r="S1858" s="260" t="s">
        <v>1976</v>
      </c>
      <c r="T1858" s="260" t="s">
        <v>923</v>
      </c>
      <c r="Y1858" s="566">
        <v>0.53623842592592597</v>
      </c>
      <c r="Z1858" s="566">
        <v>0.60040509259259256</v>
      </c>
      <c r="AA1858" s="566">
        <f t="shared" si="185"/>
        <v>6.4166666666666594E-2</v>
      </c>
      <c r="AB1858" s="699"/>
    </row>
    <row r="1859" spans="1:28" x14ac:dyDescent="0.3">
      <c r="A1859" s="79" t="s">
        <v>6216</v>
      </c>
      <c r="C1859" s="115">
        <v>43930</v>
      </c>
      <c r="D1859" s="312">
        <v>43978</v>
      </c>
      <c r="E1859" s="81">
        <v>43943</v>
      </c>
      <c r="F1859" s="86" t="s">
        <v>6341</v>
      </c>
      <c r="G1859" s="86" t="s">
        <v>150</v>
      </c>
      <c r="H1859" s="96" t="s">
        <v>213</v>
      </c>
      <c r="I1859" s="97" t="s">
        <v>722</v>
      </c>
      <c r="J1859" s="73">
        <f t="shared" si="183"/>
        <v>1</v>
      </c>
      <c r="K1859" s="74" t="s">
        <v>204</v>
      </c>
      <c r="N1859" s="76" t="s">
        <v>18</v>
      </c>
      <c r="Q1859" s="76" t="s">
        <v>2109</v>
      </c>
      <c r="R1859" s="73">
        <f t="shared" si="184"/>
        <v>1</v>
      </c>
      <c r="S1859" s="260" t="s">
        <v>1976</v>
      </c>
      <c r="T1859" s="260" t="s">
        <v>923</v>
      </c>
      <c r="Y1859" s="566">
        <v>0.78431712962962974</v>
      </c>
      <c r="Z1859" s="566">
        <v>0.79287037037037045</v>
      </c>
      <c r="AA1859" s="566">
        <f t="shared" si="185"/>
        <v>8.5532407407407085E-3</v>
      </c>
      <c r="AB1859" s="699"/>
    </row>
    <row r="1860" spans="1:28" x14ac:dyDescent="0.3">
      <c r="A1860" s="96" t="s">
        <v>6218</v>
      </c>
      <c r="C1860" s="115">
        <v>43930</v>
      </c>
      <c r="D1860" s="312">
        <v>43983</v>
      </c>
      <c r="E1860" s="81">
        <v>43945</v>
      </c>
      <c r="F1860" s="252" t="s">
        <v>6343</v>
      </c>
      <c r="G1860" s="86" t="s">
        <v>157</v>
      </c>
      <c r="H1860" s="96" t="s">
        <v>213</v>
      </c>
      <c r="I1860" s="97" t="s">
        <v>1284</v>
      </c>
      <c r="J1860" s="73">
        <f t="shared" si="183"/>
        <v>1</v>
      </c>
      <c r="K1860" s="74" t="s">
        <v>204</v>
      </c>
      <c r="L1860" s="97" t="s">
        <v>6390</v>
      </c>
      <c r="N1860" s="76" t="s">
        <v>19</v>
      </c>
      <c r="Q1860" s="76" t="s">
        <v>2109</v>
      </c>
      <c r="R1860" s="73">
        <f t="shared" si="184"/>
        <v>1</v>
      </c>
      <c r="S1860" s="260" t="s">
        <v>1976</v>
      </c>
      <c r="T1860" s="260" t="s">
        <v>923</v>
      </c>
      <c r="U1860" s="301" t="s">
        <v>5283</v>
      </c>
      <c r="V1860" s="301" t="s">
        <v>6389</v>
      </c>
      <c r="Y1860" s="566">
        <v>0.51269675925925928</v>
      </c>
      <c r="Z1860" s="566">
        <v>0.52918981481481475</v>
      </c>
      <c r="AA1860" s="566">
        <f t="shared" si="185"/>
        <v>1.6493055555555469E-2</v>
      </c>
      <c r="AB1860" s="699"/>
    </row>
    <row r="1861" spans="1:28" x14ac:dyDescent="0.3">
      <c r="A1861" s="79" t="s">
        <v>6408</v>
      </c>
      <c r="C1861" s="115">
        <v>43917</v>
      </c>
      <c r="D1861" s="312">
        <v>43983</v>
      </c>
      <c r="E1861" s="81">
        <v>43954</v>
      </c>
      <c r="F1861" s="86" t="s">
        <v>6435</v>
      </c>
      <c r="G1861" s="86" t="s">
        <v>158</v>
      </c>
      <c r="H1861" s="96" t="s">
        <v>213</v>
      </c>
      <c r="I1861" s="97" t="s">
        <v>714</v>
      </c>
      <c r="J1861" s="73">
        <f t="shared" ref="J1861:J1870" si="186">IF(OR(K1861="Документы готовы",K1861="Запрос в ФО",K1861="ЭЗ",K1861="РЕШ",K1861="РЕШ шаблон"),0.1,IF(OR(K1861="ЭЗ согласование",K1861="РЕШ согласование"),0.3,IF(OR(K1861="ЭЗ согласовано",K1861="РЕШ согласовано",K1861="РЕШ подписано"),0.6,IF(OR(K1861="ЭЗ ПР согласование",K1861="РЕШ УВ согласование"),0.9,IF(OR(K1861="ЭЗ ПР DONE",K1861="РЕШ УВ DONE"),1,0)))))</f>
        <v>1</v>
      </c>
      <c r="K1861" s="74" t="s">
        <v>204</v>
      </c>
      <c r="N1861" s="76" t="s">
        <v>18</v>
      </c>
      <c r="Q1861" s="76" t="s">
        <v>2142</v>
      </c>
      <c r="R1861" s="73">
        <f t="shared" ref="R1861:R1870" si="187">IF(S1861="В работе",0.3,IF(S1861="Отписано",0.6,IF(S1861="На доработку",0.9,IF(S1861="Согласовано",1,0))))</f>
        <v>1</v>
      </c>
      <c r="S1861" s="260" t="s">
        <v>1976</v>
      </c>
      <c r="T1861" s="260" t="s">
        <v>923</v>
      </c>
      <c r="Y1861" s="566">
        <v>0.87296296296296294</v>
      </c>
      <c r="Z1861" s="566">
        <v>0.8772106481481482</v>
      </c>
      <c r="AA1861" s="566">
        <f t="shared" si="185"/>
        <v>4.2476851851852571E-3</v>
      </c>
      <c r="AB1861" s="699"/>
    </row>
    <row r="1862" spans="1:28" x14ac:dyDescent="0.3">
      <c r="A1862" s="79" t="s">
        <v>6150</v>
      </c>
      <c r="C1862" s="115">
        <v>43927</v>
      </c>
      <c r="D1862" s="115">
        <v>43978</v>
      </c>
      <c r="F1862" s="86" t="s">
        <v>6274</v>
      </c>
      <c r="G1862" s="86" t="s">
        <v>158</v>
      </c>
      <c r="H1862" s="96" t="s">
        <v>213</v>
      </c>
      <c r="J1862" s="73">
        <f t="shared" si="186"/>
        <v>1</v>
      </c>
      <c r="K1862" s="74" t="s">
        <v>204</v>
      </c>
      <c r="Q1862" s="76" t="s">
        <v>2076</v>
      </c>
      <c r="R1862" s="73">
        <f t="shared" si="187"/>
        <v>1</v>
      </c>
      <c r="S1862" s="260" t="s">
        <v>1976</v>
      </c>
      <c r="T1862" s="260"/>
      <c r="AA1862" s="566">
        <f t="shared" si="185"/>
        <v>0</v>
      </c>
      <c r="AB1862" s="699"/>
    </row>
    <row r="1863" spans="1:28" x14ac:dyDescent="0.3">
      <c r="A1863" s="79" t="s">
        <v>6174</v>
      </c>
      <c r="C1863" s="115">
        <v>43928</v>
      </c>
      <c r="D1863" s="115">
        <v>43978</v>
      </c>
      <c r="F1863" s="86" t="s">
        <v>6298</v>
      </c>
      <c r="G1863" s="86" t="s">
        <v>156</v>
      </c>
      <c r="H1863" s="96" t="s">
        <v>213</v>
      </c>
      <c r="J1863" s="73">
        <f t="shared" si="186"/>
        <v>1</v>
      </c>
      <c r="K1863" s="74" t="s">
        <v>204</v>
      </c>
      <c r="Q1863" s="76" t="s">
        <v>2142</v>
      </c>
      <c r="R1863" s="73">
        <f t="shared" si="187"/>
        <v>1</v>
      </c>
      <c r="S1863" s="260" t="s">
        <v>1976</v>
      </c>
      <c r="T1863" s="260"/>
      <c r="AA1863" s="566">
        <f t="shared" ref="AA1863:AA1875" si="188">Z1863-Y1863</f>
        <v>0</v>
      </c>
      <c r="AB1863" s="699"/>
    </row>
    <row r="1864" spans="1:28" x14ac:dyDescent="0.3">
      <c r="A1864" s="79" t="s">
        <v>6177</v>
      </c>
      <c r="C1864" s="115">
        <v>43928</v>
      </c>
      <c r="D1864" s="115">
        <v>43978</v>
      </c>
      <c r="F1864" s="86" t="s">
        <v>6301</v>
      </c>
      <c r="G1864" s="86" t="s">
        <v>164</v>
      </c>
      <c r="H1864" s="96" t="s">
        <v>213</v>
      </c>
      <c r="J1864" s="73">
        <f t="shared" si="186"/>
        <v>1</v>
      </c>
      <c r="K1864" s="74" t="s">
        <v>204</v>
      </c>
      <c r="Q1864" s="76" t="s">
        <v>2142</v>
      </c>
      <c r="R1864" s="73">
        <f t="shared" si="187"/>
        <v>1</v>
      </c>
      <c r="S1864" s="260" t="s">
        <v>1976</v>
      </c>
      <c r="T1864" s="260"/>
      <c r="AA1864" s="566">
        <f t="shared" si="188"/>
        <v>0</v>
      </c>
      <c r="AB1864" s="699"/>
    </row>
    <row r="1865" spans="1:28" x14ac:dyDescent="0.3">
      <c r="A1865" s="79" t="s">
        <v>6178</v>
      </c>
      <c r="C1865" s="115">
        <v>43928</v>
      </c>
      <c r="D1865" s="115">
        <v>43978</v>
      </c>
      <c r="F1865" s="86" t="s">
        <v>6302</v>
      </c>
      <c r="G1865" s="86" t="s">
        <v>150</v>
      </c>
      <c r="H1865" s="96" t="s">
        <v>213</v>
      </c>
      <c r="J1865" s="73">
        <f t="shared" si="186"/>
        <v>1</v>
      </c>
      <c r="K1865" s="74" t="s">
        <v>204</v>
      </c>
      <c r="Q1865" s="76" t="s">
        <v>2142</v>
      </c>
      <c r="R1865" s="73">
        <f t="shared" si="187"/>
        <v>1</v>
      </c>
      <c r="S1865" s="260" t="s">
        <v>1976</v>
      </c>
      <c r="T1865" s="260"/>
      <c r="AA1865" s="566">
        <f t="shared" si="188"/>
        <v>0</v>
      </c>
      <c r="AB1865" s="699"/>
    </row>
    <row r="1866" spans="1:28" x14ac:dyDescent="0.3">
      <c r="A1866" s="79" t="s">
        <v>6182</v>
      </c>
      <c r="C1866" s="115">
        <v>43928</v>
      </c>
      <c r="D1866" s="115">
        <v>43978</v>
      </c>
      <c r="F1866" s="86" t="s">
        <v>6306</v>
      </c>
      <c r="G1866" s="86" t="s">
        <v>152</v>
      </c>
      <c r="H1866" s="96" t="s">
        <v>213</v>
      </c>
      <c r="J1866" s="73">
        <f t="shared" si="186"/>
        <v>1</v>
      </c>
      <c r="K1866" s="74" t="s">
        <v>204</v>
      </c>
      <c r="Q1866" s="76" t="s">
        <v>2142</v>
      </c>
      <c r="R1866" s="73">
        <f t="shared" si="187"/>
        <v>1</v>
      </c>
      <c r="S1866" s="260" t="s">
        <v>1976</v>
      </c>
      <c r="T1866" s="260"/>
      <c r="AA1866" s="566">
        <f t="shared" si="188"/>
        <v>0</v>
      </c>
      <c r="AB1866" s="699"/>
    </row>
    <row r="1867" spans="1:28" x14ac:dyDescent="0.3">
      <c r="A1867" s="79" t="s">
        <v>6187</v>
      </c>
      <c r="C1867" s="115">
        <v>43928</v>
      </c>
      <c r="D1867" s="115">
        <v>43978</v>
      </c>
      <c r="F1867" s="86" t="s">
        <v>6311</v>
      </c>
      <c r="G1867" s="86" t="s">
        <v>150</v>
      </c>
      <c r="H1867" s="96" t="s">
        <v>213</v>
      </c>
      <c r="J1867" s="73">
        <f t="shared" si="186"/>
        <v>1</v>
      </c>
      <c r="K1867" s="74" t="s">
        <v>204</v>
      </c>
      <c r="Q1867" s="76" t="s">
        <v>2142</v>
      </c>
      <c r="R1867" s="73">
        <f t="shared" si="187"/>
        <v>1</v>
      </c>
      <c r="S1867" s="260" t="s">
        <v>1976</v>
      </c>
      <c r="T1867" s="260"/>
      <c r="AA1867" s="566">
        <f t="shared" si="188"/>
        <v>0</v>
      </c>
      <c r="AB1867" s="699"/>
    </row>
    <row r="1868" spans="1:28" x14ac:dyDescent="0.3">
      <c r="A1868" s="79" t="s">
        <v>6189</v>
      </c>
      <c r="C1868" s="115">
        <v>43928</v>
      </c>
      <c r="D1868" s="115">
        <v>43978</v>
      </c>
      <c r="F1868" s="86" t="s">
        <v>6313</v>
      </c>
      <c r="G1868" s="86" t="s">
        <v>410</v>
      </c>
      <c r="H1868" s="96" t="s">
        <v>213</v>
      </c>
      <c r="J1868" s="73">
        <f t="shared" si="186"/>
        <v>1</v>
      </c>
      <c r="K1868" s="74" t="s">
        <v>204</v>
      </c>
      <c r="Q1868" s="76" t="s">
        <v>2142</v>
      </c>
      <c r="R1868" s="73">
        <f t="shared" si="187"/>
        <v>1</v>
      </c>
      <c r="S1868" s="260" t="s">
        <v>1976</v>
      </c>
      <c r="T1868" s="260"/>
      <c r="AA1868" s="566">
        <f t="shared" si="188"/>
        <v>0</v>
      </c>
      <c r="AB1868" s="699"/>
    </row>
    <row r="1869" spans="1:28" x14ac:dyDescent="0.3">
      <c r="A1869" s="79" t="s">
        <v>6198</v>
      </c>
      <c r="C1869" s="115">
        <v>43928</v>
      </c>
      <c r="D1869" s="115">
        <v>43978</v>
      </c>
      <c r="F1869" s="86" t="s">
        <v>6322</v>
      </c>
      <c r="G1869" s="86" t="s">
        <v>156</v>
      </c>
      <c r="H1869" s="96" t="s">
        <v>213</v>
      </c>
      <c r="J1869" s="73">
        <f t="shared" si="186"/>
        <v>1</v>
      </c>
      <c r="K1869" s="74" t="s">
        <v>204</v>
      </c>
      <c r="Q1869" s="76" t="s">
        <v>2142</v>
      </c>
      <c r="R1869" s="73">
        <f t="shared" si="187"/>
        <v>1</v>
      </c>
      <c r="S1869" s="260" t="s">
        <v>1976</v>
      </c>
      <c r="T1869" s="260"/>
      <c r="AA1869" s="566">
        <f t="shared" si="188"/>
        <v>0</v>
      </c>
      <c r="AB1869" s="699"/>
    </row>
    <row r="1870" spans="1:28" x14ac:dyDescent="0.3">
      <c r="A1870" s="79" t="s">
        <v>6205</v>
      </c>
      <c r="C1870" s="115">
        <v>43929</v>
      </c>
      <c r="D1870" s="115">
        <v>43978</v>
      </c>
      <c r="F1870" s="86" t="s">
        <v>6329</v>
      </c>
      <c r="G1870" s="86" t="s">
        <v>152</v>
      </c>
      <c r="H1870" s="79" t="s">
        <v>268</v>
      </c>
      <c r="J1870" s="73">
        <f t="shared" si="186"/>
        <v>1</v>
      </c>
      <c r="K1870" s="74" t="s">
        <v>204</v>
      </c>
      <c r="Q1870" s="76" t="s">
        <v>2142</v>
      </c>
      <c r="R1870" s="73">
        <f t="shared" si="187"/>
        <v>1</v>
      </c>
      <c r="S1870" s="260" t="s">
        <v>1976</v>
      </c>
      <c r="T1870" s="260"/>
      <c r="AA1870" s="566">
        <f t="shared" si="188"/>
        <v>0</v>
      </c>
      <c r="AB1870" s="699"/>
    </row>
    <row r="1871" spans="1:28" x14ac:dyDescent="0.3">
      <c r="A1871" s="79" t="s">
        <v>6411</v>
      </c>
      <c r="C1871" s="115">
        <v>43931</v>
      </c>
      <c r="D1871" s="115">
        <v>43978</v>
      </c>
      <c r="F1871" s="86" t="s">
        <v>6438</v>
      </c>
      <c r="G1871" s="86" t="s">
        <v>172</v>
      </c>
      <c r="H1871" s="96" t="s">
        <v>213</v>
      </c>
      <c r="J1871" s="73">
        <f t="shared" ref="J1871:J1878" si="189">IF(OR(K1871="Документы готовы",K1871="Запрос в ФО",K1871="ЭЗ",K1871="РЕШ",K1871="РЕШ шаблон"),0.1,IF(OR(K1871="ЭЗ согласование",K1871="РЕШ согласование"),0.3,IF(OR(K1871="ЭЗ согласовано",K1871="РЕШ согласовано",K1871="РЕШ подписано"),0.6,IF(OR(K1871="ЭЗ ПР согласование",K1871="РЕШ УВ согласование"),0.9,IF(OR(K1871="ЭЗ ПР DONE",K1871="РЕШ УВ DONE"),1,0)))))</f>
        <v>1</v>
      </c>
      <c r="K1871" s="74" t="s">
        <v>204</v>
      </c>
      <c r="Q1871" s="76" t="s">
        <v>2076</v>
      </c>
      <c r="R1871" s="73">
        <f t="shared" ref="R1871:R1878" si="190">IF(S1871="В работе",0.3,IF(S1871="Отписано",0.6,IF(S1871="На доработку",0.9,IF(S1871="Согласовано",1,0))))</f>
        <v>1</v>
      </c>
      <c r="S1871" s="260" t="s">
        <v>1976</v>
      </c>
      <c r="T1871" s="260"/>
      <c r="AA1871" s="566">
        <f t="shared" si="188"/>
        <v>0</v>
      </c>
      <c r="AB1871" s="699"/>
    </row>
    <row r="1872" spans="1:28" x14ac:dyDescent="0.3">
      <c r="A1872" s="79" t="s">
        <v>6414</v>
      </c>
      <c r="C1872" s="115">
        <v>43931</v>
      </c>
      <c r="D1872" s="312">
        <v>43983</v>
      </c>
      <c r="E1872" s="81">
        <v>43953</v>
      </c>
      <c r="F1872" s="86" t="s">
        <v>6441</v>
      </c>
      <c r="G1872" s="86" t="s">
        <v>181</v>
      </c>
      <c r="H1872" s="96" t="s">
        <v>213</v>
      </c>
      <c r="I1872" s="97" t="s">
        <v>722</v>
      </c>
      <c r="J1872" s="73">
        <f t="shared" si="189"/>
        <v>1</v>
      </c>
      <c r="K1872" s="74" t="s">
        <v>204</v>
      </c>
      <c r="N1872" s="76" t="s">
        <v>18</v>
      </c>
      <c r="Q1872" s="76" t="s">
        <v>2037</v>
      </c>
      <c r="R1872" s="73">
        <f t="shared" si="190"/>
        <v>1</v>
      </c>
      <c r="S1872" s="260" t="s">
        <v>1976</v>
      </c>
      <c r="T1872" s="260" t="s">
        <v>924</v>
      </c>
      <c r="Y1872" s="566">
        <v>0.76222222222222225</v>
      </c>
      <c r="Z1872" s="566">
        <v>0.76946759259259256</v>
      </c>
      <c r="AA1872" s="566">
        <f t="shared" si="188"/>
        <v>7.2453703703703187E-3</v>
      </c>
      <c r="AB1872" s="699"/>
    </row>
    <row r="1873" spans="1:28" x14ac:dyDescent="0.3">
      <c r="A1873" s="79" t="s">
        <v>6415</v>
      </c>
      <c r="C1873" s="115">
        <v>43931</v>
      </c>
      <c r="D1873" s="115">
        <v>43978</v>
      </c>
      <c r="F1873" s="86" t="s">
        <v>6442</v>
      </c>
      <c r="G1873" s="86" t="s">
        <v>150</v>
      </c>
      <c r="H1873" s="96" t="s">
        <v>213</v>
      </c>
      <c r="J1873" s="73">
        <f t="shared" si="189"/>
        <v>1</v>
      </c>
      <c r="K1873" s="74" t="s">
        <v>204</v>
      </c>
      <c r="Q1873" s="76" t="s">
        <v>2142</v>
      </c>
      <c r="R1873" s="73">
        <f t="shared" si="190"/>
        <v>1</v>
      </c>
      <c r="S1873" s="260" t="s">
        <v>1976</v>
      </c>
      <c r="T1873" s="260"/>
      <c r="AA1873" s="566">
        <f t="shared" si="188"/>
        <v>0</v>
      </c>
      <c r="AB1873" s="699"/>
    </row>
    <row r="1874" spans="1:28" x14ac:dyDescent="0.3">
      <c r="A1874" s="79" t="s">
        <v>6416</v>
      </c>
      <c r="C1874" s="115">
        <v>43934</v>
      </c>
      <c r="D1874" s="312">
        <v>43983</v>
      </c>
      <c r="E1874" s="81">
        <v>43953</v>
      </c>
      <c r="F1874" s="86" t="s">
        <v>6443</v>
      </c>
      <c r="G1874" s="86" t="s">
        <v>156</v>
      </c>
      <c r="H1874" s="96" t="s">
        <v>213</v>
      </c>
      <c r="I1874" s="97" t="s">
        <v>2478</v>
      </c>
      <c r="J1874" s="73">
        <f t="shared" si="189"/>
        <v>1</v>
      </c>
      <c r="K1874" s="74" t="s">
        <v>204</v>
      </c>
      <c r="L1874" s="97" t="s">
        <v>12725</v>
      </c>
      <c r="N1874" s="76" t="s">
        <v>18</v>
      </c>
      <c r="Q1874" s="76" t="s">
        <v>2037</v>
      </c>
      <c r="R1874" s="73">
        <f t="shared" si="190"/>
        <v>1</v>
      </c>
      <c r="S1874" s="260" t="s">
        <v>1976</v>
      </c>
      <c r="T1874" s="260" t="s">
        <v>923</v>
      </c>
      <c r="U1874" s="301" t="s">
        <v>5283</v>
      </c>
      <c r="V1874" s="301" t="s">
        <v>6462</v>
      </c>
      <c r="Y1874" s="566">
        <v>0.76974537037037039</v>
      </c>
      <c r="Z1874" s="566">
        <v>0.79677083333333332</v>
      </c>
      <c r="AA1874" s="566">
        <f t="shared" si="188"/>
        <v>2.7025462962962932E-2</v>
      </c>
      <c r="AB1874" s="699"/>
    </row>
    <row r="1875" spans="1:28" x14ac:dyDescent="0.3">
      <c r="A1875" s="79" t="s">
        <v>6426</v>
      </c>
      <c r="C1875" s="115">
        <v>43935</v>
      </c>
      <c r="D1875" s="115">
        <v>43978</v>
      </c>
      <c r="F1875" s="86" t="s">
        <v>6453</v>
      </c>
      <c r="G1875" s="86" t="s">
        <v>152</v>
      </c>
      <c r="H1875" s="96" t="s">
        <v>213</v>
      </c>
      <c r="J1875" s="73">
        <f t="shared" si="189"/>
        <v>1</v>
      </c>
      <c r="K1875" s="74" t="s">
        <v>204</v>
      </c>
      <c r="Q1875" s="76" t="s">
        <v>2076</v>
      </c>
      <c r="R1875" s="73">
        <f t="shared" si="190"/>
        <v>1</v>
      </c>
      <c r="S1875" s="260" t="s">
        <v>1976</v>
      </c>
      <c r="T1875" s="260"/>
      <c r="AA1875" s="566">
        <f t="shared" si="188"/>
        <v>0</v>
      </c>
      <c r="AB1875" s="699"/>
    </row>
    <row r="1876" spans="1:28" x14ac:dyDescent="0.3">
      <c r="A1876" s="79" t="s">
        <v>6430</v>
      </c>
      <c r="C1876" s="115">
        <v>43935</v>
      </c>
      <c r="D1876" s="115">
        <v>43978</v>
      </c>
      <c r="F1876" s="86" t="s">
        <v>6457</v>
      </c>
      <c r="G1876" s="86" t="s">
        <v>152</v>
      </c>
      <c r="H1876" s="96" t="s">
        <v>213</v>
      </c>
      <c r="J1876" s="73">
        <f t="shared" si="189"/>
        <v>1</v>
      </c>
      <c r="K1876" s="74" t="s">
        <v>204</v>
      </c>
      <c r="Q1876" s="76" t="s">
        <v>2076</v>
      </c>
      <c r="R1876" s="73">
        <f t="shared" si="190"/>
        <v>1</v>
      </c>
      <c r="S1876" s="260" t="s">
        <v>1976</v>
      </c>
      <c r="T1876" s="260"/>
      <c r="AA1876" s="566">
        <f t="shared" ref="AA1876:AA1878" si="191">Z1876-Y1876</f>
        <v>0</v>
      </c>
      <c r="AB1876" s="699"/>
    </row>
    <row r="1877" spans="1:28" x14ac:dyDescent="0.3">
      <c r="A1877" s="79" t="s">
        <v>6433</v>
      </c>
      <c r="C1877" s="115">
        <v>43935</v>
      </c>
      <c r="D1877" s="115">
        <v>43978</v>
      </c>
      <c r="F1877" s="86" t="s">
        <v>6460</v>
      </c>
      <c r="G1877" s="86" t="s">
        <v>152</v>
      </c>
      <c r="H1877" s="79" t="s">
        <v>268</v>
      </c>
      <c r="J1877" s="73">
        <f t="shared" si="189"/>
        <v>1</v>
      </c>
      <c r="K1877" s="74" t="s">
        <v>204</v>
      </c>
      <c r="Q1877" s="76" t="s">
        <v>2076</v>
      </c>
      <c r="R1877" s="73">
        <f t="shared" si="190"/>
        <v>1</v>
      </c>
      <c r="S1877" s="260" t="s">
        <v>1976</v>
      </c>
      <c r="T1877" s="260"/>
      <c r="AA1877" s="566">
        <f t="shared" si="191"/>
        <v>0</v>
      </c>
      <c r="AB1877" s="699"/>
    </row>
    <row r="1878" spans="1:28" x14ac:dyDescent="0.3">
      <c r="A1878" s="79" t="s">
        <v>6434</v>
      </c>
      <c r="C1878" s="115">
        <v>43935</v>
      </c>
      <c r="D1878" s="115">
        <v>43978</v>
      </c>
      <c r="F1878" s="252" t="s">
        <v>6461</v>
      </c>
      <c r="G1878" s="86" t="s">
        <v>154</v>
      </c>
      <c r="H1878" s="96" t="s">
        <v>213</v>
      </c>
      <c r="J1878" s="73">
        <f t="shared" si="189"/>
        <v>1</v>
      </c>
      <c r="K1878" s="74" t="s">
        <v>204</v>
      </c>
      <c r="Q1878" s="76" t="s">
        <v>2076</v>
      </c>
      <c r="R1878" s="73">
        <f t="shared" si="190"/>
        <v>1</v>
      </c>
      <c r="S1878" s="260" t="s">
        <v>1976</v>
      </c>
      <c r="T1878" s="260"/>
      <c r="AA1878" s="566">
        <f t="shared" si="191"/>
        <v>0</v>
      </c>
      <c r="AB1878" s="699"/>
    </row>
    <row r="1879" spans="1:28" x14ac:dyDescent="0.3">
      <c r="A1879" s="79" t="s">
        <v>6466</v>
      </c>
      <c r="C1879" s="115">
        <v>43917</v>
      </c>
      <c r="D1879" s="312">
        <v>43963</v>
      </c>
      <c r="E1879" s="81">
        <v>43957</v>
      </c>
      <c r="F1879" s="86" t="s">
        <v>6495</v>
      </c>
      <c r="G1879" s="86" t="s">
        <v>187</v>
      </c>
      <c r="H1879" s="96" t="s">
        <v>213</v>
      </c>
      <c r="I1879" s="97" t="s">
        <v>5280</v>
      </c>
      <c r="J1879" s="73">
        <f t="shared" ref="J1879" si="192">IF(OR(K1879="Документы готовы",K1879="Запрос в ФО",K1879="ЭЗ",K1879="РЕШ",K1879="РЕШ шаблон"),0.1,IF(OR(K1879="ЭЗ согласование",K1879="РЕШ согласование"),0.3,IF(OR(K1879="ЭЗ согласовано",K1879="РЕШ согласовано",K1879="РЕШ подписано"),0.6,IF(OR(K1879="ЭЗ ПР согласование",K1879="РЕШ УВ согласование"),0.9,IF(OR(K1879="ЭЗ ПР DONE",K1879="РЕШ УВ DONE"),1,0)))))</f>
        <v>1</v>
      </c>
      <c r="K1879" s="260" t="s">
        <v>204</v>
      </c>
      <c r="N1879" s="76" t="s">
        <v>19</v>
      </c>
      <c r="Q1879" s="76" t="s">
        <v>2037</v>
      </c>
      <c r="R1879" s="73">
        <f t="shared" ref="R1879" si="193">IF(S1879="В работе",0.3,IF(S1879="Отписано",0.6,IF(S1879="На доработку",0.9,IF(S1879="Согласовано",1,0))))</f>
        <v>1</v>
      </c>
      <c r="S1879" s="260" t="s">
        <v>1976</v>
      </c>
      <c r="T1879" s="260" t="s">
        <v>924</v>
      </c>
      <c r="Y1879" s="566">
        <v>0.38471064814814815</v>
      </c>
      <c r="Z1879" s="566">
        <v>0.38738425925925929</v>
      </c>
      <c r="AA1879" s="566">
        <f t="shared" ref="AA1879" si="194">Z1879-Y1879</f>
        <v>2.6736111111111405E-3</v>
      </c>
      <c r="AB1879" s="699"/>
    </row>
    <row r="1880" spans="1:28" x14ac:dyDescent="0.3">
      <c r="A1880" s="79" t="s">
        <v>6489</v>
      </c>
      <c r="C1880" s="115">
        <v>43942</v>
      </c>
      <c r="D1880" s="312">
        <v>43983</v>
      </c>
      <c r="E1880" s="81">
        <v>43955</v>
      </c>
      <c r="F1880" s="86" t="s">
        <v>6518</v>
      </c>
      <c r="G1880" s="86" t="s">
        <v>147</v>
      </c>
      <c r="H1880" s="96" t="s">
        <v>213</v>
      </c>
      <c r="I1880" s="97" t="s">
        <v>6525</v>
      </c>
      <c r="J1880" s="73">
        <f t="shared" ref="J1880:J1887" si="195">IF(OR(K1880="Документы готовы",K1880="Запрос в ФО",K1880="ЭЗ",K1880="РЕШ",K1880="РЕШ шаблон"),0.1,IF(OR(K1880="ЭЗ согласование",K1880="РЕШ согласование"),0.3,IF(OR(K1880="ЭЗ согласовано",K1880="РЕШ согласовано",K1880="РЕШ подписано"),0.6,IF(OR(K1880="ЭЗ ПР согласование",K1880="РЕШ УВ согласование"),0.9,IF(OR(K1880="ЭЗ ПР DONE",K1880="РЕШ УВ DONE"),1,0)))))</f>
        <v>1</v>
      </c>
      <c r="K1880" s="74" t="s">
        <v>204</v>
      </c>
      <c r="N1880" s="76" t="s">
        <v>17</v>
      </c>
      <c r="Q1880" s="76" t="s">
        <v>2037</v>
      </c>
      <c r="R1880" s="73">
        <f t="shared" ref="R1880:R1887" si="196">IF(S1880="В работе",0.3,IF(S1880="Отписано",0.6,IF(S1880="На доработку",0.9,IF(S1880="Согласовано",1,0))))</f>
        <v>1</v>
      </c>
      <c r="S1880" s="260" t="s">
        <v>1976</v>
      </c>
      <c r="T1880" s="260" t="s">
        <v>923</v>
      </c>
      <c r="Y1880" s="566">
        <v>0.91038194444444442</v>
      </c>
      <c r="Z1880" s="566">
        <v>0.9415162037037037</v>
      </c>
      <c r="AA1880" s="566">
        <f t="shared" ref="AA1880:AA1895" si="197">Z1880-Y1880</f>
        <v>3.1134259259259278E-2</v>
      </c>
      <c r="AB1880" s="699"/>
    </row>
    <row r="1881" spans="1:28" x14ac:dyDescent="0.3">
      <c r="A1881" s="96" t="s">
        <v>6523</v>
      </c>
      <c r="C1881" s="81">
        <v>43944</v>
      </c>
      <c r="D1881" s="109">
        <v>43983</v>
      </c>
      <c r="E1881" s="81">
        <v>43955</v>
      </c>
      <c r="F1881" s="124" t="s">
        <v>6524</v>
      </c>
      <c r="G1881" s="97" t="s">
        <v>410</v>
      </c>
      <c r="H1881" s="96" t="s">
        <v>213</v>
      </c>
      <c r="I1881" s="97" t="s">
        <v>722</v>
      </c>
      <c r="J1881" s="73">
        <f t="shared" si="195"/>
        <v>1</v>
      </c>
      <c r="K1881" s="74" t="s">
        <v>204</v>
      </c>
      <c r="N1881" s="76" t="s">
        <v>18</v>
      </c>
      <c r="Q1881" s="301" t="s">
        <v>2037</v>
      </c>
      <c r="R1881" s="73">
        <f t="shared" si="196"/>
        <v>1</v>
      </c>
      <c r="S1881" s="260" t="s">
        <v>1976</v>
      </c>
      <c r="T1881" s="260" t="s">
        <v>924</v>
      </c>
      <c r="Y1881" s="566">
        <v>0.90312500000000007</v>
      </c>
      <c r="Z1881" s="566">
        <v>0.90986111111111112</v>
      </c>
      <c r="AA1881" s="566">
        <f t="shared" si="197"/>
        <v>6.7361111111110539E-3</v>
      </c>
      <c r="AB1881" s="699"/>
    </row>
    <row r="1882" spans="1:28" x14ac:dyDescent="0.3">
      <c r="A1882" s="79" t="s">
        <v>5842</v>
      </c>
      <c r="C1882" s="115">
        <v>43907</v>
      </c>
      <c r="D1882" s="312">
        <v>43986</v>
      </c>
      <c r="E1882" s="81">
        <v>43957</v>
      </c>
      <c r="F1882" s="86" t="s">
        <v>5908</v>
      </c>
      <c r="G1882" s="86" t="s">
        <v>189</v>
      </c>
      <c r="H1882" s="96" t="s">
        <v>213</v>
      </c>
      <c r="I1882" s="97" t="s">
        <v>714</v>
      </c>
      <c r="J1882" s="73">
        <f t="shared" si="195"/>
        <v>1</v>
      </c>
      <c r="K1882" s="260" t="s">
        <v>204</v>
      </c>
      <c r="N1882" s="76" t="s">
        <v>18</v>
      </c>
      <c r="Q1882" s="76" t="s">
        <v>2037</v>
      </c>
      <c r="R1882" s="73">
        <f t="shared" si="196"/>
        <v>1</v>
      </c>
      <c r="S1882" s="260" t="s">
        <v>1976</v>
      </c>
      <c r="T1882" s="260" t="s">
        <v>924</v>
      </c>
      <c r="Y1882" s="566">
        <v>0.92392361111111121</v>
      </c>
      <c r="Z1882" s="566">
        <v>0.92714120370370379</v>
      </c>
      <c r="AA1882" s="566">
        <f t="shared" si="197"/>
        <v>3.2175925925925775E-3</v>
      </c>
      <c r="AB1882" s="699"/>
    </row>
    <row r="1883" spans="1:28" x14ac:dyDescent="0.3">
      <c r="A1883" s="79" t="s">
        <v>5852</v>
      </c>
      <c r="C1883" s="115">
        <v>43907</v>
      </c>
      <c r="D1883" s="312">
        <v>43986</v>
      </c>
      <c r="E1883" s="81">
        <v>43957</v>
      </c>
      <c r="F1883" s="86" t="s">
        <v>5918</v>
      </c>
      <c r="G1883" s="86" t="s">
        <v>150</v>
      </c>
      <c r="H1883" s="96" t="s">
        <v>213</v>
      </c>
      <c r="I1883" s="97" t="s">
        <v>714</v>
      </c>
      <c r="J1883" s="73">
        <f t="shared" si="195"/>
        <v>1</v>
      </c>
      <c r="K1883" s="260" t="s">
        <v>204</v>
      </c>
      <c r="N1883" s="76" t="s">
        <v>18</v>
      </c>
      <c r="Q1883" s="76" t="s">
        <v>2037</v>
      </c>
      <c r="R1883" s="73">
        <f t="shared" si="196"/>
        <v>1</v>
      </c>
      <c r="S1883" s="260" t="s">
        <v>1976</v>
      </c>
      <c r="T1883" s="260" t="s">
        <v>925</v>
      </c>
      <c r="Y1883" s="566">
        <v>0.92001157407407408</v>
      </c>
      <c r="Z1883" s="566">
        <v>0.92347222222222225</v>
      </c>
      <c r="AA1883" s="566">
        <f t="shared" si="197"/>
        <v>3.460648148148171E-3</v>
      </c>
      <c r="AB1883" s="699"/>
    </row>
    <row r="1884" spans="1:28" x14ac:dyDescent="0.3">
      <c r="A1884" s="79" t="s">
        <v>5857</v>
      </c>
      <c r="C1884" s="115">
        <v>43908</v>
      </c>
      <c r="D1884" s="312">
        <v>43987</v>
      </c>
      <c r="E1884" s="81">
        <v>43958</v>
      </c>
      <c r="F1884" s="86" t="s">
        <v>5923</v>
      </c>
      <c r="G1884" s="86" t="s">
        <v>158</v>
      </c>
      <c r="H1884" s="96" t="s">
        <v>213</v>
      </c>
      <c r="I1884" s="97" t="s">
        <v>642</v>
      </c>
      <c r="J1884" s="73">
        <f t="shared" si="195"/>
        <v>1</v>
      </c>
      <c r="K1884" s="260" t="s">
        <v>204</v>
      </c>
      <c r="N1884" s="76" t="s">
        <v>18</v>
      </c>
      <c r="Q1884" s="76" t="s">
        <v>2037</v>
      </c>
      <c r="R1884" s="73">
        <f t="shared" si="196"/>
        <v>1</v>
      </c>
      <c r="S1884" s="260" t="s">
        <v>1976</v>
      </c>
      <c r="T1884" s="260" t="s">
        <v>924</v>
      </c>
      <c r="Y1884" s="566">
        <v>0.53521990740740744</v>
      </c>
      <c r="Z1884" s="566">
        <v>0.55273148148148155</v>
      </c>
      <c r="AA1884" s="566">
        <f t="shared" si="197"/>
        <v>1.751157407407411E-2</v>
      </c>
      <c r="AB1884" s="699"/>
    </row>
    <row r="1885" spans="1:28" x14ac:dyDescent="0.3">
      <c r="A1885" s="79" t="s">
        <v>5867</v>
      </c>
      <c r="C1885" s="115">
        <v>43908</v>
      </c>
      <c r="D1885" s="312">
        <v>43987</v>
      </c>
      <c r="E1885" s="81">
        <v>43958</v>
      </c>
      <c r="F1885" s="86" t="s">
        <v>5932</v>
      </c>
      <c r="G1885" s="86" t="s">
        <v>152</v>
      </c>
      <c r="H1885" s="96" t="s">
        <v>213</v>
      </c>
      <c r="I1885" s="97" t="s">
        <v>641</v>
      </c>
      <c r="J1885" s="73">
        <f t="shared" si="195"/>
        <v>1</v>
      </c>
      <c r="K1885" s="260" t="s">
        <v>204</v>
      </c>
      <c r="L1885" s="97" t="s">
        <v>12724</v>
      </c>
      <c r="N1885" s="76" t="s">
        <v>17</v>
      </c>
      <c r="Q1885" s="76" t="s">
        <v>2037</v>
      </c>
      <c r="R1885" s="73">
        <f t="shared" si="196"/>
        <v>1</v>
      </c>
      <c r="S1885" s="260" t="s">
        <v>1976</v>
      </c>
      <c r="T1885" s="260" t="s">
        <v>925</v>
      </c>
      <c r="U1885" s="301" t="s">
        <v>5283</v>
      </c>
      <c r="V1885" s="301" t="s">
        <v>6714</v>
      </c>
      <c r="Y1885" s="566">
        <v>0.55331018518518515</v>
      </c>
      <c r="Z1885" s="566">
        <v>0.57328703703703698</v>
      </c>
      <c r="AA1885" s="566">
        <f t="shared" si="197"/>
        <v>1.9976851851851829E-2</v>
      </c>
      <c r="AB1885" s="699"/>
    </row>
    <row r="1886" spans="1:28" x14ac:dyDescent="0.3">
      <c r="A1886" s="79" t="s">
        <v>5888</v>
      </c>
      <c r="C1886" s="115">
        <v>43909</v>
      </c>
      <c r="D1886" s="312">
        <v>43990</v>
      </c>
      <c r="E1886" s="81">
        <v>43959</v>
      </c>
      <c r="F1886" s="86" t="s">
        <v>5953</v>
      </c>
      <c r="G1886" s="86" t="s">
        <v>189</v>
      </c>
      <c r="H1886" s="96" t="s">
        <v>213</v>
      </c>
      <c r="I1886" s="97" t="s">
        <v>714</v>
      </c>
      <c r="J1886" s="73">
        <f t="shared" si="195"/>
        <v>1</v>
      </c>
      <c r="K1886" s="260" t="s">
        <v>204</v>
      </c>
      <c r="N1886" s="76" t="s">
        <v>18</v>
      </c>
      <c r="Q1886" s="76" t="s">
        <v>2037</v>
      </c>
      <c r="R1886" s="73">
        <f t="shared" si="196"/>
        <v>1</v>
      </c>
      <c r="S1886" s="260" t="s">
        <v>1976</v>
      </c>
      <c r="T1886" s="260" t="s">
        <v>923</v>
      </c>
      <c r="Y1886" s="566">
        <v>0.40484953703703702</v>
      </c>
      <c r="Z1886" s="566">
        <v>0.41212962962962968</v>
      </c>
      <c r="AA1886" s="566">
        <f t="shared" si="197"/>
        <v>7.2800925925926574E-3</v>
      </c>
      <c r="AB1886" s="699"/>
    </row>
    <row r="1887" spans="1:28" x14ac:dyDescent="0.3">
      <c r="A1887" s="79" t="s">
        <v>5890</v>
      </c>
      <c r="C1887" s="115">
        <v>43909</v>
      </c>
      <c r="D1887" s="312">
        <v>43990</v>
      </c>
      <c r="E1887" s="81">
        <v>43959</v>
      </c>
      <c r="F1887" s="86" t="s">
        <v>5955</v>
      </c>
      <c r="G1887" s="86" t="s">
        <v>156</v>
      </c>
      <c r="H1887" s="96" t="s">
        <v>213</v>
      </c>
      <c r="I1887" s="97" t="s">
        <v>714</v>
      </c>
      <c r="J1887" s="73">
        <f t="shared" si="195"/>
        <v>1</v>
      </c>
      <c r="K1887" s="260" t="s">
        <v>204</v>
      </c>
      <c r="N1887" s="76" t="s">
        <v>17</v>
      </c>
      <c r="Q1887" s="76" t="s">
        <v>2037</v>
      </c>
      <c r="R1887" s="73">
        <f t="shared" si="196"/>
        <v>1</v>
      </c>
      <c r="S1887" s="260" t="s">
        <v>1976</v>
      </c>
      <c r="T1887" s="260" t="s">
        <v>923</v>
      </c>
      <c r="Y1887" s="566">
        <v>0.39390046296296299</v>
      </c>
      <c r="Z1887" s="566">
        <v>0.4042013888888889</v>
      </c>
      <c r="AA1887" s="566">
        <f t="shared" si="197"/>
        <v>1.0300925925925908E-2</v>
      </c>
      <c r="AB1887" s="699"/>
    </row>
    <row r="1888" spans="1:28" x14ac:dyDescent="0.3">
      <c r="A1888" s="79" t="s">
        <v>6129</v>
      </c>
      <c r="C1888" s="115">
        <v>43916</v>
      </c>
      <c r="D1888" s="312">
        <v>43998</v>
      </c>
      <c r="E1888" s="81">
        <v>43970</v>
      </c>
      <c r="F1888" s="86" t="s">
        <v>6254</v>
      </c>
      <c r="G1888" s="86" t="s">
        <v>156</v>
      </c>
      <c r="H1888" s="96" t="s">
        <v>213</v>
      </c>
      <c r="I1888" s="97" t="s">
        <v>1299</v>
      </c>
      <c r="J1888" s="73">
        <f t="shared" ref="J1888:J1903" si="198">IF(OR(K1888="Документы готовы",K1888="Запрос в ФО",K1888="ЭЗ",K1888="РЕШ",K1888="РЕШ шаблон"),0.1,IF(OR(K1888="ЭЗ согласование",K1888="РЕШ согласование"),0.3,IF(OR(K1888="ЭЗ согласовано",K1888="РЕШ согласовано",K1888="РЕШ подписано"),0.6,IF(OR(K1888="ЭЗ ПР согласование",K1888="РЕШ УВ согласование"),0.9,IF(OR(K1888="ЭЗ ПР DONE",K1888="РЕШ УВ DONE"),1,0)))))</f>
        <v>1</v>
      </c>
      <c r="K1888" s="260" t="s">
        <v>204</v>
      </c>
      <c r="L1888" s="97" t="s">
        <v>7063</v>
      </c>
      <c r="N1888" s="76" t="s">
        <v>17</v>
      </c>
      <c r="Q1888" s="76" t="s">
        <v>2037</v>
      </c>
      <c r="R1888" s="73">
        <f t="shared" ref="R1888:R1903" si="199">IF(S1888="В работе",0.3,IF(S1888="Отписано",0.6,IF(S1888="На доработку",0.9,IF(S1888="Согласовано",1,0))))</f>
        <v>1</v>
      </c>
      <c r="S1888" s="260" t="s">
        <v>1976</v>
      </c>
      <c r="T1888" s="260" t="s">
        <v>925</v>
      </c>
      <c r="U1888" s="301" t="s">
        <v>5283</v>
      </c>
      <c r="V1888" s="301" t="s">
        <v>6813</v>
      </c>
      <c r="Y1888" s="566">
        <v>0.46344907407407404</v>
      </c>
      <c r="Z1888" s="566">
        <v>0.4740625</v>
      </c>
      <c r="AA1888" s="566">
        <f t="shared" si="197"/>
        <v>1.0613425925925957E-2</v>
      </c>
      <c r="AB1888" s="699"/>
    </row>
    <row r="1889" spans="1:28" x14ac:dyDescent="0.3">
      <c r="A1889" s="79" t="s">
        <v>6132</v>
      </c>
      <c r="C1889" s="115">
        <v>43916</v>
      </c>
      <c r="D1889" s="312">
        <v>43998</v>
      </c>
      <c r="E1889" s="81">
        <v>43970</v>
      </c>
      <c r="F1889" s="86" t="s">
        <v>6257</v>
      </c>
      <c r="G1889" s="86" t="s">
        <v>156</v>
      </c>
      <c r="H1889" s="96" t="s">
        <v>213</v>
      </c>
      <c r="I1889" s="97" t="s">
        <v>3651</v>
      </c>
      <c r="J1889" s="73">
        <f t="shared" si="198"/>
        <v>1</v>
      </c>
      <c r="K1889" s="260" t="s">
        <v>204</v>
      </c>
      <c r="N1889" s="76" t="s">
        <v>17</v>
      </c>
      <c r="Q1889" s="76" t="s">
        <v>2037</v>
      </c>
      <c r="R1889" s="73">
        <f t="shared" si="199"/>
        <v>1</v>
      </c>
      <c r="S1889" s="260" t="s">
        <v>1976</v>
      </c>
      <c r="T1889" s="260" t="s">
        <v>923</v>
      </c>
      <c r="Y1889" s="566">
        <v>0.44684027777777779</v>
      </c>
      <c r="Z1889" s="566">
        <v>0.46307870370370369</v>
      </c>
      <c r="AA1889" s="566">
        <f t="shared" si="197"/>
        <v>1.6238425925925892E-2</v>
      </c>
      <c r="AB1889" s="699"/>
    </row>
    <row r="1890" spans="1:28" x14ac:dyDescent="0.3">
      <c r="A1890" s="79" t="s">
        <v>6137</v>
      </c>
      <c r="C1890" s="115">
        <v>43916</v>
      </c>
      <c r="D1890" s="312">
        <v>43998</v>
      </c>
      <c r="E1890" s="81">
        <v>43970</v>
      </c>
      <c r="F1890" s="86" t="s">
        <v>6262</v>
      </c>
      <c r="G1890" s="86" t="s">
        <v>154</v>
      </c>
      <c r="H1890" s="96" t="s">
        <v>213</v>
      </c>
      <c r="I1890" s="97" t="s">
        <v>714</v>
      </c>
      <c r="J1890" s="73">
        <f t="shared" si="198"/>
        <v>1</v>
      </c>
      <c r="K1890" s="260" t="s">
        <v>204</v>
      </c>
      <c r="L1890" s="97" t="s">
        <v>7058</v>
      </c>
      <c r="N1890" s="76" t="s">
        <v>17</v>
      </c>
      <c r="Q1890" s="76" t="s">
        <v>2037</v>
      </c>
      <c r="R1890" s="73">
        <f t="shared" si="199"/>
        <v>1</v>
      </c>
      <c r="S1890" s="260" t="s">
        <v>1976</v>
      </c>
      <c r="T1890" s="260" t="s">
        <v>923</v>
      </c>
      <c r="U1890" s="301" t="s">
        <v>5283</v>
      </c>
      <c r="V1890" s="301" t="s">
        <v>6812</v>
      </c>
      <c r="Y1890" s="566">
        <v>0.41556712962962966</v>
      </c>
      <c r="Z1890" s="566">
        <v>0.42223379629629632</v>
      </c>
      <c r="AA1890" s="566">
        <f t="shared" si="197"/>
        <v>6.6666666666666541E-3</v>
      </c>
      <c r="AB1890" s="699"/>
    </row>
    <row r="1891" spans="1:28" x14ac:dyDescent="0.3">
      <c r="A1891" s="79" t="s">
        <v>6140</v>
      </c>
      <c r="C1891" s="115">
        <v>43916</v>
      </c>
      <c r="D1891" s="312">
        <v>43998</v>
      </c>
      <c r="E1891" s="81">
        <v>43970</v>
      </c>
      <c r="F1891" s="86" t="s">
        <v>6265</v>
      </c>
      <c r="G1891" s="86" t="s">
        <v>172</v>
      </c>
      <c r="H1891" s="96" t="s">
        <v>213</v>
      </c>
      <c r="I1891" s="97" t="s">
        <v>714</v>
      </c>
      <c r="J1891" s="73">
        <f t="shared" si="198"/>
        <v>1</v>
      </c>
      <c r="K1891" s="260" t="s">
        <v>204</v>
      </c>
      <c r="N1891" s="76" t="s">
        <v>17</v>
      </c>
      <c r="Q1891" s="76" t="s">
        <v>2037</v>
      </c>
      <c r="R1891" s="73">
        <f t="shared" si="199"/>
        <v>1</v>
      </c>
      <c r="S1891" s="260" t="s">
        <v>1976</v>
      </c>
      <c r="T1891" s="260" t="s">
        <v>924</v>
      </c>
      <c r="Y1891" s="566">
        <v>0.43738425925925922</v>
      </c>
      <c r="Z1891" s="566">
        <v>0.44634259259259257</v>
      </c>
      <c r="AA1891" s="566">
        <f t="shared" si="197"/>
        <v>8.9583333333333459E-3</v>
      </c>
      <c r="AB1891" s="699"/>
    </row>
    <row r="1892" spans="1:28" x14ac:dyDescent="0.3">
      <c r="A1892" s="79" t="s">
        <v>6142</v>
      </c>
      <c r="C1892" s="115">
        <v>43916</v>
      </c>
      <c r="D1892" s="312">
        <v>43998</v>
      </c>
      <c r="E1892" s="81">
        <v>43970</v>
      </c>
      <c r="F1892" s="86" t="s">
        <v>6267</v>
      </c>
      <c r="G1892" s="86" t="s">
        <v>164</v>
      </c>
      <c r="H1892" s="96" t="s">
        <v>213</v>
      </c>
      <c r="I1892" s="97" t="s">
        <v>714</v>
      </c>
      <c r="J1892" s="73">
        <f t="shared" si="198"/>
        <v>1</v>
      </c>
      <c r="K1892" s="260" t="s">
        <v>204</v>
      </c>
      <c r="L1892" s="97" t="s">
        <v>6814</v>
      </c>
      <c r="N1892" s="76" t="s">
        <v>18</v>
      </c>
      <c r="Q1892" s="76" t="s">
        <v>2037</v>
      </c>
      <c r="R1892" s="73">
        <f t="shared" si="199"/>
        <v>1</v>
      </c>
      <c r="S1892" s="260" t="s">
        <v>1976</v>
      </c>
      <c r="T1892" s="260" t="s">
        <v>925</v>
      </c>
      <c r="Y1892" s="566">
        <v>0.49516203703703704</v>
      </c>
      <c r="Z1892" s="566">
        <v>0.50483796296296302</v>
      </c>
      <c r="AA1892" s="566">
        <f t="shared" si="197"/>
        <v>9.6759259259259767E-3</v>
      </c>
      <c r="AB1892" s="699"/>
    </row>
    <row r="1893" spans="1:28" x14ac:dyDescent="0.3">
      <c r="A1893" s="79" t="s">
        <v>6144</v>
      </c>
      <c r="C1893" s="115">
        <v>43916</v>
      </c>
      <c r="D1893" s="312">
        <v>43998</v>
      </c>
      <c r="E1893" s="81">
        <v>43970</v>
      </c>
      <c r="F1893" s="86" t="s">
        <v>6269</v>
      </c>
      <c r="G1893" s="86" t="s">
        <v>1328</v>
      </c>
      <c r="H1893" s="96" t="s">
        <v>213</v>
      </c>
      <c r="I1893" s="97" t="s">
        <v>642</v>
      </c>
      <c r="J1893" s="73">
        <f t="shared" si="198"/>
        <v>1</v>
      </c>
      <c r="K1893" s="260" t="s">
        <v>204</v>
      </c>
      <c r="N1893" s="76" t="s">
        <v>18</v>
      </c>
      <c r="Q1893" s="76" t="s">
        <v>2037</v>
      </c>
      <c r="R1893" s="73">
        <f t="shared" si="199"/>
        <v>1</v>
      </c>
      <c r="S1893" s="260" t="s">
        <v>1976</v>
      </c>
      <c r="T1893" s="260" t="s">
        <v>924</v>
      </c>
      <c r="Y1893" s="566">
        <v>0.48834490740740738</v>
      </c>
      <c r="Z1893" s="566">
        <v>0.49350694444444443</v>
      </c>
      <c r="AA1893" s="566">
        <f t="shared" si="197"/>
        <v>5.1620370370370483E-3</v>
      </c>
      <c r="AB1893" s="699"/>
    </row>
    <row r="1894" spans="1:28" x14ac:dyDescent="0.3">
      <c r="A1894" s="79" t="s">
        <v>6206</v>
      </c>
      <c r="C1894" s="115">
        <v>43929</v>
      </c>
      <c r="D1894" s="312">
        <v>43998</v>
      </c>
      <c r="E1894" s="81">
        <v>43970</v>
      </c>
      <c r="F1894" s="86" t="s">
        <v>6330</v>
      </c>
      <c r="G1894" s="86" t="s">
        <v>158</v>
      </c>
      <c r="H1894" s="96" t="s">
        <v>213</v>
      </c>
      <c r="I1894" s="97" t="s">
        <v>642</v>
      </c>
      <c r="J1894" s="73">
        <f t="shared" si="198"/>
        <v>1</v>
      </c>
      <c r="K1894" s="260" t="s">
        <v>204</v>
      </c>
      <c r="N1894" s="76" t="s">
        <v>18</v>
      </c>
      <c r="Q1894" s="76" t="s">
        <v>2037</v>
      </c>
      <c r="R1894" s="73">
        <f t="shared" si="199"/>
        <v>1</v>
      </c>
      <c r="S1894" s="260" t="s">
        <v>1976</v>
      </c>
      <c r="T1894" s="260" t="s">
        <v>923</v>
      </c>
      <c r="Y1894" s="566">
        <v>0.50520833333333337</v>
      </c>
      <c r="Z1894" s="566">
        <v>0.51153935185185184</v>
      </c>
      <c r="AA1894" s="566">
        <f t="shared" si="197"/>
        <v>6.331018518518472E-3</v>
      </c>
      <c r="AB1894" s="699"/>
    </row>
    <row r="1895" spans="1:28" x14ac:dyDescent="0.3">
      <c r="A1895" s="79" t="s">
        <v>6212</v>
      </c>
      <c r="C1895" s="115">
        <v>43930</v>
      </c>
      <c r="D1895" s="312">
        <v>43998</v>
      </c>
      <c r="E1895" s="81">
        <v>43970</v>
      </c>
      <c r="F1895" s="86" t="s">
        <v>6337</v>
      </c>
      <c r="G1895" s="86" t="s">
        <v>157</v>
      </c>
      <c r="H1895" s="96" t="s">
        <v>213</v>
      </c>
      <c r="I1895" s="97" t="s">
        <v>642</v>
      </c>
      <c r="J1895" s="73">
        <f t="shared" si="198"/>
        <v>1</v>
      </c>
      <c r="K1895" s="260" t="s">
        <v>204</v>
      </c>
      <c r="N1895" s="76" t="s">
        <v>18</v>
      </c>
      <c r="Q1895" s="76" t="s">
        <v>2037</v>
      </c>
      <c r="R1895" s="73">
        <f t="shared" si="199"/>
        <v>1</v>
      </c>
      <c r="S1895" s="260" t="s">
        <v>1976</v>
      </c>
      <c r="T1895" s="260" t="s">
        <v>924</v>
      </c>
      <c r="Y1895" s="566">
        <v>0.51202546296296292</v>
      </c>
      <c r="Z1895" s="566">
        <v>0.51606481481481481</v>
      </c>
      <c r="AA1895" s="566">
        <f t="shared" si="197"/>
        <v>4.0393518518518912E-3</v>
      </c>
      <c r="AB1895" s="699"/>
    </row>
    <row r="1896" spans="1:28" x14ac:dyDescent="0.3">
      <c r="A1896" s="79" t="s">
        <v>6470</v>
      </c>
      <c r="C1896" s="115">
        <v>43937</v>
      </c>
      <c r="D1896" s="312">
        <v>43983</v>
      </c>
      <c r="E1896" s="81">
        <v>43983</v>
      </c>
      <c r="F1896" s="86" t="s">
        <v>6499</v>
      </c>
      <c r="G1896" s="86" t="s">
        <v>173</v>
      </c>
      <c r="H1896" s="96" t="s">
        <v>213</v>
      </c>
      <c r="I1896" s="97" t="s">
        <v>995</v>
      </c>
      <c r="J1896" s="73">
        <f t="shared" si="198"/>
        <v>1</v>
      </c>
      <c r="K1896" s="74" t="s">
        <v>204</v>
      </c>
      <c r="L1896" s="97" t="s">
        <v>7367</v>
      </c>
      <c r="N1896" s="76" t="s">
        <v>19</v>
      </c>
      <c r="Q1896" s="76" t="s">
        <v>2037</v>
      </c>
      <c r="R1896" s="73">
        <f t="shared" si="199"/>
        <v>1</v>
      </c>
      <c r="S1896" s="260" t="s">
        <v>1976</v>
      </c>
      <c r="T1896" s="260" t="s">
        <v>925</v>
      </c>
      <c r="U1896" s="301" t="s">
        <v>5283</v>
      </c>
      <c r="V1896" s="301" t="s">
        <v>7368</v>
      </c>
      <c r="Y1896" s="566">
        <v>0.40231481481481479</v>
      </c>
      <c r="Z1896" s="566">
        <v>0.41097222222222224</v>
      </c>
      <c r="AA1896" s="566">
        <f t="shared" ref="AA1896:AA1903" si="200">Z1896-Y1896</f>
        <v>8.657407407407447E-3</v>
      </c>
      <c r="AB1896" s="699"/>
    </row>
    <row r="1897" spans="1:28" x14ac:dyDescent="0.3">
      <c r="A1897" s="79" t="s">
        <v>6471</v>
      </c>
      <c r="C1897" s="115">
        <v>43937</v>
      </c>
      <c r="D1897" s="115">
        <v>43983</v>
      </c>
      <c r="F1897" s="86" t="s">
        <v>6500</v>
      </c>
      <c r="G1897" s="86" t="s">
        <v>154</v>
      </c>
      <c r="H1897" s="96" t="s">
        <v>213</v>
      </c>
      <c r="J1897" s="73">
        <f t="shared" si="198"/>
        <v>1</v>
      </c>
      <c r="K1897" s="74" t="s">
        <v>204</v>
      </c>
      <c r="Q1897" s="76" t="s">
        <v>2037</v>
      </c>
      <c r="R1897" s="73">
        <f t="shared" si="199"/>
        <v>1</v>
      </c>
      <c r="S1897" s="260" t="s">
        <v>1976</v>
      </c>
      <c r="T1897" s="260"/>
      <c r="AA1897" s="566">
        <f t="shared" si="200"/>
        <v>0</v>
      </c>
      <c r="AB1897" s="699"/>
    </row>
    <row r="1898" spans="1:28" x14ac:dyDescent="0.3">
      <c r="A1898" s="79" t="s">
        <v>6526</v>
      </c>
      <c r="C1898" s="115">
        <v>43944</v>
      </c>
      <c r="D1898" s="312">
        <v>43983</v>
      </c>
      <c r="E1898" s="81">
        <v>43956</v>
      </c>
      <c r="F1898" s="86" t="s">
        <v>6545</v>
      </c>
      <c r="G1898" s="86" t="s">
        <v>157</v>
      </c>
      <c r="H1898" s="96" t="s">
        <v>213</v>
      </c>
      <c r="I1898" s="97" t="s">
        <v>3794</v>
      </c>
      <c r="J1898" s="73">
        <f t="shared" si="198"/>
        <v>1</v>
      </c>
      <c r="K1898" s="74" t="s">
        <v>204</v>
      </c>
      <c r="L1898" s="97" t="s">
        <v>12745</v>
      </c>
      <c r="N1898" s="76" t="s">
        <v>17</v>
      </c>
      <c r="Q1898" s="76" t="s">
        <v>2037</v>
      </c>
      <c r="R1898" s="73">
        <f t="shared" si="199"/>
        <v>1</v>
      </c>
      <c r="S1898" s="260" t="s">
        <v>1976</v>
      </c>
      <c r="T1898" s="260" t="s">
        <v>925</v>
      </c>
      <c r="Y1898" s="566">
        <v>0.45936342592592588</v>
      </c>
      <c r="Z1898" s="566">
        <v>0.48159722222222223</v>
      </c>
      <c r="AA1898" s="566">
        <f t="shared" si="200"/>
        <v>2.2233796296296349E-2</v>
      </c>
      <c r="AB1898" s="699"/>
    </row>
    <row r="1899" spans="1:28" x14ac:dyDescent="0.3">
      <c r="A1899" s="79" t="s">
        <v>6527</v>
      </c>
      <c r="C1899" s="115">
        <v>43944</v>
      </c>
      <c r="D1899" s="312">
        <v>43983</v>
      </c>
      <c r="E1899" s="81">
        <v>43957</v>
      </c>
      <c r="F1899" s="86" t="s">
        <v>6546</v>
      </c>
      <c r="G1899" s="86" t="s">
        <v>152</v>
      </c>
      <c r="H1899" s="96" t="s">
        <v>213</v>
      </c>
      <c r="I1899" s="97" t="s">
        <v>2478</v>
      </c>
      <c r="J1899" s="73">
        <f t="shared" si="198"/>
        <v>1</v>
      </c>
      <c r="K1899" s="74" t="s">
        <v>204</v>
      </c>
      <c r="L1899" s="97" t="s">
        <v>12746</v>
      </c>
      <c r="N1899" s="76" t="s">
        <v>17</v>
      </c>
      <c r="Q1899" s="76" t="s">
        <v>2037</v>
      </c>
      <c r="R1899" s="73">
        <f t="shared" si="199"/>
        <v>1</v>
      </c>
      <c r="S1899" s="260" t="s">
        <v>1976</v>
      </c>
      <c r="T1899" s="260" t="s">
        <v>923</v>
      </c>
      <c r="X1899" s="301" t="s">
        <v>6721</v>
      </c>
      <c r="Y1899" s="566">
        <v>0.37616898148148148</v>
      </c>
      <c r="Z1899" s="566">
        <v>0.38413194444444443</v>
      </c>
      <c r="AA1899" s="566">
        <f t="shared" si="200"/>
        <v>7.9629629629629495E-3</v>
      </c>
      <c r="AB1899" s="699"/>
    </row>
    <row r="1900" spans="1:28" x14ac:dyDescent="0.3">
      <c r="A1900" s="79" t="s">
        <v>6533</v>
      </c>
      <c r="C1900" s="115">
        <v>43944</v>
      </c>
      <c r="D1900" s="312">
        <v>43983</v>
      </c>
      <c r="E1900" s="81">
        <v>43957</v>
      </c>
      <c r="F1900" s="86" t="s">
        <v>6552</v>
      </c>
      <c r="G1900" s="86" t="s">
        <v>162</v>
      </c>
      <c r="H1900" s="96" t="s">
        <v>213</v>
      </c>
      <c r="I1900" s="97" t="s">
        <v>2478</v>
      </c>
      <c r="J1900" s="73">
        <f t="shared" si="198"/>
        <v>1</v>
      </c>
      <c r="K1900" s="74" t="s">
        <v>204</v>
      </c>
      <c r="L1900" s="97" t="s">
        <v>12733</v>
      </c>
      <c r="N1900" s="76" t="s">
        <v>17</v>
      </c>
      <c r="Q1900" s="76" t="s">
        <v>2037</v>
      </c>
      <c r="R1900" s="73">
        <f t="shared" si="199"/>
        <v>1</v>
      </c>
      <c r="S1900" s="260" t="s">
        <v>1976</v>
      </c>
      <c r="T1900" s="260" t="s">
        <v>925</v>
      </c>
      <c r="Y1900" s="566">
        <v>0.36778935185185185</v>
      </c>
      <c r="Z1900" s="566">
        <v>0.37550925925925926</v>
      </c>
      <c r="AA1900" s="566">
        <f t="shared" si="200"/>
        <v>7.7199074074074114E-3</v>
      </c>
      <c r="AB1900" s="699"/>
    </row>
    <row r="1901" spans="1:28" x14ac:dyDescent="0.3">
      <c r="A1901" s="79" t="s">
        <v>6536</v>
      </c>
      <c r="C1901" s="115">
        <v>43944</v>
      </c>
      <c r="D1901" s="312">
        <v>43983</v>
      </c>
      <c r="E1901" s="81">
        <v>43957</v>
      </c>
      <c r="F1901" s="86" t="s">
        <v>6555</v>
      </c>
      <c r="G1901" s="86" t="s">
        <v>147</v>
      </c>
      <c r="H1901" s="96" t="s">
        <v>213</v>
      </c>
      <c r="I1901" s="97" t="s">
        <v>3479</v>
      </c>
      <c r="J1901" s="73">
        <f t="shared" si="198"/>
        <v>1</v>
      </c>
      <c r="K1901" s="74" t="s">
        <v>204</v>
      </c>
      <c r="N1901" s="76" t="s">
        <v>18</v>
      </c>
      <c r="Q1901" s="76" t="s">
        <v>2037</v>
      </c>
      <c r="R1901" s="73">
        <f t="shared" si="199"/>
        <v>1</v>
      </c>
      <c r="S1901" s="260" t="s">
        <v>1976</v>
      </c>
      <c r="T1901" s="260" t="s">
        <v>924</v>
      </c>
      <c r="Y1901" s="566">
        <v>0.35944444444444446</v>
      </c>
      <c r="Z1901" s="566">
        <v>0.3651388888888889</v>
      </c>
      <c r="AA1901" s="566">
        <f t="shared" si="200"/>
        <v>5.6944444444444464E-3</v>
      </c>
      <c r="AB1901" s="699"/>
    </row>
    <row r="1902" spans="1:28" x14ac:dyDescent="0.3">
      <c r="A1902" s="79" t="s">
        <v>6539</v>
      </c>
      <c r="C1902" s="115">
        <v>43944</v>
      </c>
      <c r="D1902" s="312">
        <v>43983</v>
      </c>
      <c r="E1902" s="81">
        <v>43957</v>
      </c>
      <c r="F1902" s="86" t="s">
        <v>6558</v>
      </c>
      <c r="G1902" s="86" t="s">
        <v>156</v>
      </c>
      <c r="H1902" s="96" t="s">
        <v>213</v>
      </c>
      <c r="I1902" s="97" t="s">
        <v>2478</v>
      </c>
      <c r="J1902" s="73">
        <f t="shared" si="198"/>
        <v>1</v>
      </c>
      <c r="K1902" s="74" t="s">
        <v>204</v>
      </c>
      <c r="L1902" s="97" t="s">
        <v>12724</v>
      </c>
      <c r="N1902" s="76" t="s">
        <v>17</v>
      </c>
      <c r="Q1902" s="76" t="s">
        <v>2037</v>
      </c>
      <c r="R1902" s="73">
        <f t="shared" si="199"/>
        <v>1</v>
      </c>
      <c r="S1902" s="260" t="s">
        <v>1976</v>
      </c>
      <c r="T1902" s="260" t="s">
        <v>925</v>
      </c>
      <c r="U1902" s="301" t="s">
        <v>5283</v>
      </c>
      <c r="V1902" s="301" t="s">
        <v>6695</v>
      </c>
      <c r="Y1902" s="566">
        <v>0.34554398148148152</v>
      </c>
      <c r="Z1902" s="566">
        <v>0.35869212962962965</v>
      </c>
      <c r="AA1902" s="566">
        <f t="shared" si="200"/>
        <v>1.3148148148148131E-2</v>
      </c>
      <c r="AB1902" s="699"/>
    </row>
    <row r="1903" spans="1:28" x14ac:dyDescent="0.3">
      <c r="A1903" s="79" t="s">
        <v>6544</v>
      </c>
      <c r="C1903" s="115">
        <v>43944</v>
      </c>
      <c r="D1903" s="312">
        <v>43983</v>
      </c>
      <c r="E1903" s="81">
        <v>43957</v>
      </c>
      <c r="F1903" s="86" t="s">
        <v>6563</v>
      </c>
      <c r="G1903" s="86" t="s">
        <v>147</v>
      </c>
      <c r="H1903" s="96" t="s">
        <v>213</v>
      </c>
      <c r="I1903" s="97" t="s">
        <v>649</v>
      </c>
      <c r="J1903" s="73">
        <f t="shared" si="198"/>
        <v>1</v>
      </c>
      <c r="K1903" s="74" t="s">
        <v>204</v>
      </c>
      <c r="L1903" s="97" t="s">
        <v>12733</v>
      </c>
      <c r="N1903" s="76" t="s">
        <v>17</v>
      </c>
      <c r="Q1903" s="76" t="s">
        <v>2037</v>
      </c>
      <c r="R1903" s="73">
        <f t="shared" si="199"/>
        <v>1</v>
      </c>
      <c r="S1903" s="260" t="s">
        <v>1976</v>
      </c>
      <c r="T1903" s="260" t="s">
        <v>924</v>
      </c>
      <c r="Y1903" s="566">
        <v>0.33356481481481487</v>
      </c>
      <c r="Z1903" s="566">
        <v>0.34511574074074075</v>
      </c>
      <c r="AA1903" s="566">
        <f t="shared" si="200"/>
        <v>1.1550925925925881E-2</v>
      </c>
      <c r="AB1903" s="699"/>
    </row>
    <row r="1904" spans="1:28" x14ac:dyDescent="0.3">
      <c r="A1904" s="79" t="s">
        <v>6162</v>
      </c>
      <c r="C1904" s="115">
        <v>43928</v>
      </c>
      <c r="D1904" s="312">
        <v>43983</v>
      </c>
      <c r="E1904" s="81">
        <v>43959</v>
      </c>
      <c r="F1904" s="86" t="s">
        <v>6286</v>
      </c>
      <c r="G1904" s="86" t="s">
        <v>156</v>
      </c>
      <c r="H1904" s="96" t="s">
        <v>213</v>
      </c>
      <c r="I1904" s="97" t="s">
        <v>649</v>
      </c>
      <c r="J1904" s="73">
        <f t="shared" ref="J1904:J1912" si="201">IF(OR(K1904="Документы готовы",K1904="Запрос в ФО",K1904="ЭЗ",K1904="РЕШ",K1904="РЕШ шаблон"),0.1,IF(OR(K1904="ЭЗ согласование",K1904="РЕШ согласование"),0.3,IF(OR(K1904="ЭЗ согласовано",K1904="РЕШ согласовано",K1904="РЕШ подписано"),0.6,IF(OR(K1904="ЭЗ ПР согласование",K1904="РЕШ УВ согласование"),0.9,IF(OR(K1904="ЭЗ ПР DONE",K1904="РЕШ УВ DONE"),1,0)))))</f>
        <v>1</v>
      </c>
      <c r="K1904" s="74" t="s">
        <v>204</v>
      </c>
      <c r="L1904" s="97" t="s">
        <v>12733</v>
      </c>
      <c r="N1904" s="76" t="s">
        <v>17</v>
      </c>
      <c r="Q1904" s="76" t="s">
        <v>2417</v>
      </c>
      <c r="R1904" s="73">
        <f t="shared" ref="R1904:R1912" si="202">IF(S1904="В работе",0.3,IF(S1904="Отписано",0.6,IF(S1904="На доработку",0.9,IF(S1904="Согласовано",1,0))))</f>
        <v>1</v>
      </c>
      <c r="S1904" s="260" t="s">
        <v>1976</v>
      </c>
      <c r="T1904" s="260" t="s">
        <v>925</v>
      </c>
      <c r="Y1904" s="566">
        <v>0.43444444444444441</v>
      </c>
      <c r="Z1904" s="566">
        <v>0.46849537037037042</v>
      </c>
      <c r="AA1904" s="566">
        <f t="shared" ref="AA1904:AA1914" si="203">Z1904-Y1904</f>
        <v>3.4050925925926012E-2</v>
      </c>
      <c r="AB1904" s="699"/>
    </row>
    <row r="1905" spans="1:28" x14ac:dyDescent="0.3">
      <c r="A1905" s="79" t="s">
        <v>6166</v>
      </c>
      <c r="C1905" s="115">
        <v>43928</v>
      </c>
      <c r="D1905" s="312">
        <v>43983</v>
      </c>
      <c r="E1905" s="81">
        <v>43959</v>
      </c>
      <c r="F1905" s="86" t="s">
        <v>6290</v>
      </c>
      <c r="G1905" s="86" t="s">
        <v>152</v>
      </c>
      <c r="H1905" s="96" t="s">
        <v>213</v>
      </c>
      <c r="I1905" s="97" t="s">
        <v>972</v>
      </c>
      <c r="J1905" s="73">
        <f t="shared" si="201"/>
        <v>1</v>
      </c>
      <c r="K1905" s="74" t="s">
        <v>204</v>
      </c>
      <c r="L1905" s="97" t="s">
        <v>8120</v>
      </c>
      <c r="N1905" s="76" t="s">
        <v>19</v>
      </c>
      <c r="Q1905" s="76" t="s">
        <v>2109</v>
      </c>
      <c r="R1905" s="73">
        <f t="shared" si="202"/>
        <v>1</v>
      </c>
      <c r="S1905" s="260" t="s">
        <v>1976</v>
      </c>
      <c r="T1905" s="260" t="s">
        <v>924</v>
      </c>
      <c r="U1905" s="301" t="s">
        <v>5283</v>
      </c>
      <c r="V1905" s="301" t="s">
        <v>6726</v>
      </c>
      <c r="Y1905" s="566">
        <v>0.63042824074074078</v>
      </c>
      <c r="Z1905" s="566">
        <v>0.67843749999999992</v>
      </c>
      <c r="AA1905" s="566">
        <f t="shared" si="203"/>
        <v>4.8009259259259141E-2</v>
      </c>
      <c r="AB1905" s="699"/>
    </row>
    <row r="1906" spans="1:28" x14ac:dyDescent="0.3">
      <c r="A1906" s="79" t="s">
        <v>6167</v>
      </c>
      <c r="C1906" s="115">
        <v>43928</v>
      </c>
      <c r="D1906" s="312">
        <v>43983</v>
      </c>
      <c r="E1906" s="81">
        <v>43959</v>
      </c>
      <c r="F1906" s="86" t="s">
        <v>6291</v>
      </c>
      <c r="G1906" s="86" t="s">
        <v>158</v>
      </c>
      <c r="H1906" s="96" t="s">
        <v>213</v>
      </c>
      <c r="I1906" s="97" t="s">
        <v>2478</v>
      </c>
      <c r="J1906" s="73">
        <f t="shared" si="201"/>
        <v>1</v>
      </c>
      <c r="K1906" s="74" t="s">
        <v>204</v>
      </c>
      <c r="L1906" s="97" t="s">
        <v>12733</v>
      </c>
      <c r="N1906" s="76" t="s">
        <v>17</v>
      </c>
      <c r="Q1906" s="76" t="s">
        <v>2417</v>
      </c>
      <c r="R1906" s="73">
        <f t="shared" si="202"/>
        <v>1</v>
      </c>
      <c r="S1906" s="260" t="s">
        <v>1976</v>
      </c>
      <c r="T1906" s="260" t="s">
        <v>924</v>
      </c>
      <c r="Y1906" s="566">
        <v>0.46901620370370373</v>
      </c>
      <c r="Z1906" s="566">
        <v>0.47568287037037038</v>
      </c>
      <c r="AA1906" s="566">
        <f t="shared" si="203"/>
        <v>6.6666666666666541E-3</v>
      </c>
      <c r="AB1906" s="699"/>
    </row>
    <row r="1907" spans="1:28" x14ac:dyDescent="0.3">
      <c r="A1907" s="79" t="s">
        <v>6169</v>
      </c>
      <c r="C1907" s="115">
        <v>43928</v>
      </c>
      <c r="D1907" s="312">
        <v>43998</v>
      </c>
      <c r="E1907" s="81">
        <v>43965</v>
      </c>
      <c r="F1907" s="86" t="s">
        <v>6293</v>
      </c>
      <c r="G1907" s="86" t="s">
        <v>189</v>
      </c>
      <c r="H1907" s="96" t="s">
        <v>213</v>
      </c>
      <c r="I1907" s="97" t="s">
        <v>642</v>
      </c>
      <c r="J1907" s="73">
        <f t="shared" si="201"/>
        <v>1</v>
      </c>
      <c r="K1907" s="260" t="s">
        <v>204</v>
      </c>
      <c r="N1907" s="76" t="s">
        <v>18</v>
      </c>
      <c r="Q1907" s="76" t="s">
        <v>2417</v>
      </c>
      <c r="R1907" s="73">
        <f t="shared" si="202"/>
        <v>1</v>
      </c>
      <c r="S1907" s="260" t="s">
        <v>1976</v>
      </c>
      <c r="T1907" s="260" t="s">
        <v>924</v>
      </c>
      <c r="Y1907" s="566">
        <v>0.8548958333333333</v>
      </c>
      <c r="Z1907" s="566">
        <v>0.86041666666666661</v>
      </c>
      <c r="AA1907" s="566">
        <f t="shared" si="203"/>
        <v>5.5208333333333082E-3</v>
      </c>
      <c r="AB1907" s="699"/>
    </row>
    <row r="1908" spans="1:28" x14ac:dyDescent="0.3">
      <c r="A1908" s="79" t="s">
        <v>6173</v>
      </c>
      <c r="C1908" s="115">
        <v>43928</v>
      </c>
      <c r="D1908" s="312">
        <v>43983</v>
      </c>
      <c r="E1908" s="81">
        <v>43963</v>
      </c>
      <c r="F1908" s="86" t="s">
        <v>6297</v>
      </c>
      <c r="G1908" s="86" t="s">
        <v>166</v>
      </c>
      <c r="H1908" s="96" t="s">
        <v>213</v>
      </c>
      <c r="I1908" s="97" t="s">
        <v>2478</v>
      </c>
      <c r="J1908" s="73">
        <f t="shared" si="201"/>
        <v>1</v>
      </c>
      <c r="K1908" s="74" t="s">
        <v>204</v>
      </c>
      <c r="L1908" s="97" t="s">
        <v>12724</v>
      </c>
      <c r="N1908" s="76" t="s">
        <v>17</v>
      </c>
      <c r="Q1908" s="76" t="s">
        <v>2417</v>
      </c>
      <c r="R1908" s="73">
        <f t="shared" si="202"/>
        <v>1</v>
      </c>
      <c r="S1908" s="260" t="s">
        <v>1976</v>
      </c>
      <c r="T1908" s="260" t="s">
        <v>923</v>
      </c>
      <c r="U1908" s="301" t="s">
        <v>5283</v>
      </c>
      <c r="V1908" s="301" t="s">
        <v>6735</v>
      </c>
      <c r="Y1908" s="566">
        <v>0.40564814814814815</v>
      </c>
      <c r="Z1908" s="566">
        <v>0.41748842592592594</v>
      </c>
      <c r="AA1908" s="566">
        <f t="shared" si="203"/>
        <v>1.1840277777777797E-2</v>
      </c>
      <c r="AB1908" s="699"/>
    </row>
    <row r="1909" spans="1:28" x14ac:dyDescent="0.3">
      <c r="A1909" s="79" t="s">
        <v>6188</v>
      </c>
      <c r="C1909" s="115">
        <v>43928</v>
      </c>
      <c r="D1909" s="115">
        <v>43983</v>
      </c>
      <c r="F1909" s="86" t="s">
        <v>6312</v>
      </c>
      <c r="G1909" s="86" t="s">
        <v>154</v>
      </c>
      <c r="H1909" s="96" t="s">
        <v>213</v>
      </c>
      <c r="J1909" s="73">
        <f t="shared" si="201"/>
        <v>1</v>
      </c>
      <c r="K1909" s="74" t="s">
        <v>204</v>
      </c>
      <c r="Q1909" s="76" t="s">
        <v>2142</v>
      </c>
      <c r="R1909" s="73">
        <f t="shared" si="202"/>
        <v>1</v>
      </c>
      <c r="S1909" s="260" t="s">
        <v>1976</v>
      </c>
      <c r="T1909" s="260"/>
      <c r="AA1909" s="566">
        <f t="shared" si="203"/>
        <v>0</v>
      </c>
      <c r="AB1909" s="699"/>
    </row>
    <row r="1910" spans="1:28" x14ac:dyDescent="0.3">
      <c r="A1910" s="79" t="s">
        <v>6194</v>
      </c>
      <c r="C1910" s="115">
        <v>43928</v>
      </c>
      <c r="D1910" s="312">
        <v>43983</v>
      </c>
      <c r="E1910" s="81">
        <v>43963</v>
      </c>
      <c r="F1910" s="86" t="s">
        <v>6318</v>
      </c>
      <c r="G1910" s="86" t="s">
        <v>156</v>
      </c>
      <c r="H1910" s="96" t="s">
        <v>213</v>
      </c>
      <c r="I1910" s="97" t="s">
        <v>649</v>
      </c>
      <c r="J1910" s="73">
        <f t="shared" si="201"/>
        <v>1</v>
      </c>
      <c r="K1910" s="74" t="s">
        <v>204</v>
      </c>
      <c r="L1910" s="97" t="s">
        <v>12733</v>
      </c>
      <c r="N1910" s="76" t="s">
        <v>17</v>
      </c>
      <c r="Q1910" s="76" t="s">
        <v>2417</v>
      </c>
      <c r="R1910" s="73">
        <f t="shared" si="202"/>
        <v>1</v>
      </c>
      <c r="S1910" s="260" t="s">
        <v>1976</v>
      </c>
      <c r="T1910" s="260" t="s">
        <v>924</v>
      </c>
      <c r="Y1910" s="566">
        <v>0.39910879629629631</v>
      </c>
      <c r="Z1910" s="566">
        <v>0.40494212962962961</v>
      </c>
      <c r="AA1910" s="566">
        <f t="shared" si="203"/>
        <v>5.8333333333333015E-3</v>
      </c>
      <c r="AB1910" s="699"/>
    </row>
    <row r="1911" spans="1:28" x14ac:dyDescent="0.3">
      <c r="A1911" s="79" t="s">
        <v>6201</v>
      </c>
      <c r="C1911" s="115">
        <v>43929</v>
      </c>
      <c r="D1911" s="312">
        <v>43983</v>
      </c>
      <c r="E1911" s="81">
        <v>43962</v>
      </c>
      <c r="F1911" s="86" t="s">
        <v>6325</v>
      </c>
      <c r="G1911" s="86" t="s">
        <v>152</v>
      </c>
      <c r="H1911" s="96" t="s">
        <v>213</v>
      </c>
      <c r="I1911" s="97" t="s">
        <v>684</v>
      </c>
      <c r="J1911" s="73">
        <f t="shared" si="201"/>
        <v>1</v>
      </c>
      <c r="K1911" s="74" t="s">
        <v>204</v>
      </c>
      <c r="N1911" s="76" t="s">
        <v>18</v>
      </c>
      <c r="Q1911" s="76" t="s">
        <v>2142</v>
      </c>
      <c r="R1911" s="73">
        <f t="shared" si="202"/>
        <v>1</v>
      </c>
      <c r="S1911" s="260" t="s">
        <v>1976</v>
      </c>
      <c r="T1911" s="260" t="s">
        <v>925</v>
      </c>
      <c r="Y1911" s="566">
        <v>0.93225694444444451</v>
      </c>
      <c r="Z1911" s="566">
        <v>0.94281250000000005</v>
      </c>
      <c r="AA1911" s="566">
        <f t="shared" si="203"/>
        <v>1.055555555555554E-2</v>
      </c>
      <c r="AB1911" s="699"/>
    </row>
    <row r="1912" spans="1:28" x14ac:dyDescent="0.3">
      <c r="A1912" s="79" t="s">
        <v>6207</v>
      </c>
      <c r="C1912" s="115">
        <v>43929</v>
      </c>
      <c r="D1912" s="312">
        <v>43983</v>
      </c>
      <c r="E1912" s="81">
        <v>43964</v>
      </c>
      <c r="F1912" s="86" t="s">
        <v>6331</v>
      </c>
      <c r="G1912" s="86" t="s">
        <v>6332</v>
      </c>
      <c r="H1912" s="96" t="s">
        <v>213</v>
      </c>
      <c r="I1912" s="97" t="s">
        <v>6770</v>
      </c>
      <c r="J1912" s="73">
        <f t="shared" si="201"/>
        <v>1</v>
      </c>
      <c r="K1912" s="74" t="s">
        <v>204</v>
      </c>
      <c r="L1912" s="97"/>
      <c r="N1912" s="76" t="s">
        <v>19</v>
      </c>
      <c r="Q1912" s="76" t="s">
        <v>2142</v>
      </c>
      <c r="R1912" s="73">
        <f t="shared" si="202"/>
        <v>1</v>
      </c>
      <c r="S1912" s="260" t="s">
        <v>1976</v>
      </c>
      <c r="T1912" s="260" t="s">
        <v>925</v>
      </c>
      <c r="Y1912" s="566">
        <v>0.53452546296296299</v>
      </c>
      <c r="Z1912" s="566">
        <v>0.5412731481481482</v>
      </c>
      <c r="AA1912" s="566">
        <f t="shared" si="203"/>
        <v>6.7476851851852038E-3</v>
      </c>
      <c r="AB1912" s="699"/>
    </row>
    <row r="1913" spans="1:28" x14ac:dyDescent="0.3">
      <c r="A1913" s="79" t="s">
        <v>6421</v>
      </c>
      <c r="C1913" s="115">
        <v>43934</v>
      </c>
      <c r="D1913" s="312">
        <v>43983</v>
      </c>
      <c r="E1913" s="81">
        <v>43957</v>
      </c>
      <c r="F1913" s="86" t="s">
        <v>6448</v>
      </c>
      <c r="G1913" s="86" t="s">
        <v>166</v>
      </c>
      <c r="H1913" s="96" t="s">
        <v>213</v>
      </c>
      <c r="I1913" s="97" t="s">
        <v>972</v>
      </c>
      <c r="J1913" s="73">
        <f t="shared" ref="J1913:J1915" si="204">IF(OR(K1913="Документы готовы",K1913="Запрос в ФО",K1913="ЭЗ",K1913="РЕШ",K1913="РЕШ шаблон"),0.1,IF(OR(K1913="ЭЗ согласование",K1913="РЕШ согласование"),0.3,IF(OR(K1913="ЭЗ согласовано",K1913="РЕШ согласовано",K1913="РЕШ подписано"),0.6,IF(OR(K1913="ЭЗ ПР согласование",K1913="РЕШ УВ согласование"),0.9,IF(OR(K1913="ЭЗ ПР DONE",K1913="РЕШ УВ DONE"),1,0)))))</f>
        <v>1</v>
      </c>
      <c r="K1913" s="74" t="s">
        <v>204</v>
      </c>
      <c r="N1913" s="76" t="s">
        <v>17</v>
      </c>
      <c r="Q1913" s="76" t="s">
        <v>2142</v>
      </c>
      <c r="R1913" s="73">
        <f t="shared" ref="R1913:R1915" si="205">IF(S1913="В работе",0.3,IF(S1913="Отписано",0.6,IF(S1913="На доработку",0.9,IF(S1913="Согласовано",1,0))))</f>
        <v>1</v>
      </c>
      <c r="S1913" s="260" t="s">
        <v>1976</v>
      </c>
      <c r="T1913" s="260" t="s">
        <v>924</v>
      </c>
      <c r="Y1913" s="566">
        <v>0.60089120370370364</v>
      </c>
      <c r="Z1913" s="566">
        <v>0.60877314814814809</v>
      </c>
      <c r="AA1913" s="566">
        <f t="shared" si="203"/>
        <v>7.8819444444444553E-3</v>
      </c>
      <c r="AB1913" s="699"/>
    </row>
    <row r="1914" spans="1:28" x14ac:dyDescent="0.3">
      <c r="A1914" s="96" t="s">
        <v>6423</v>
      </c>
      <c r="C1914" s="115">
        <v>43934</v>
      </c>
      <c r="D1914" s="312">
        <v>43983</v>
      </c>
      <c r="E1914" s="81">
        <v>43956</v>
      </c>
      <c r="F1914" s="86" t="s">
        <v>6450</v>
      </c>
      <c r="G1914" s="86" t="s">
        <v>166</v>
      </c>
      <c r="H1914" s="96" t="s">
        <v>213</v>
      </c>
      <c r="I1914" s="97" t="s">
        <v>645</v>
      </c>
      <c r="J1914" s="73">
        <f t="shared" si="204"/>
        <v>1</v>
      </c>
      <c r="K1914" s="74" t="s">
        <v>204</v>
      </c>
      <c r="L1914" s="97" t="s">
        <v>6717</v>
      </c>
      <c r="N1914" s="76" t="s">
        <v>19</v>
      </c>
      <c r="Q1914" s="76" t="s">
        <v>2142</v>
      </c>
      <c r="R1914" s="73">
        <f t="shared" si="205"/>
        <v>1</v>
      </c>
      <c r="S1914" s="260" t="s">
        <v>1976</v>
      </c>
      <c r="T1914" s="260" t="s">
        <v>924</v>
      </c>
      <c r="U1914" s="301"/>
      <c r="V1914" s="301"/>
      <c r="Y1914" s="566">
        <v>0.74861111111111101</v>
      </c>
      <c r="Z1914" s="566">
        <v>0.75730324074074085</v>
      </c>
      <c r="AA1914" s="566">
        <f t="shared" si="203"/>
        <v>8.6921296296298411E-3</v>
      </c>
      <c r="AB1914" s="699"/>
    </row>
    <row r="1915" spans="1:28" x14ac:dyDescent="0.3">
      <c r="A1915" s="79" t="s">
        <v>6483</v>
      </c>
      <c r="C1915" s="115">
        <v>43938</v>
      </c>
      <c r="D1915" s="312">
        <v>43983</v>
      </c>
      <c r="E1915" s="81">
        <v>43956</v>
      </c>
      <c r="F1915" s="86" t="s">
        <v>6512</v>
      </c>
      <c r="G1915" s="86" t="s">
        <v>154</v>
      </c>
      <c r="H1915" s="96" t="s">
        <v>213</v>
      </c>
      <c r="I1915" s="97" t="s">
        <v>972</v>
      </c>
      <c r="J1915" s="73">
        <f t="shared" si="204"/>
        <v>1</v>
      </c>
      <c r="K1915" s="74" t="s">
        <v>204</v>
      </c>
      <c r="N1915" s="76" t="s">
        <v>17</v>
      </c>
      <c r="Q1915" s="76" t="s">
        <v>2142</v>
      </c>
      <c r="R1915" s="73">
        <f t="shared" si="205"/>
        <v>1</v>
      </c>
      <c r="S1915" s="260" t="s">
        <v>1976</v>
      </c>
      <c r="T1915" s="260" t="s">
        <v>924</v>
      </c>
      <c r="Y1915" s="566">
        <v>0.48200231481481487</v>
      </c>
      <c r="Z1915" s="566">
        <v>0.49093750000000003</v>
      </c>
      <c r="AA1915" s="566">
        <f t="shared" ref="AA1915:AA1936" si="206">Z1915-Y1915</f>
        <v>8.9351851851851571E-3</v>
      </c>
      <c r="AB1915" s="699"/>
    </row>
    <row r="1916" spans="1:28" x14ac:dyDescent="0.3">
      <c r="A1916" s="79" t="s">
        <v>6486</v>
      </c>
      <c r="C1916" s="115">
        <v>43938</v>
      </c>
      <c r="D1916" s="312">
        <v>43983</v>
      </c>
      <c r="E1916" s="81">
        <v>43957</v>
      </c>
      <c r="F1916" s="86" t="s">
        <v>6515</v>
      </c>
      <c r="G1916" s="86" t="s">
        <v>152</v>
      </c>
      <c r="H1916" s="96" t="s">
        <v>213</v>
      </c>
      <c r="I1916" s="97" t="s">
        <v>649</v>
      </c>
      <c r="J1916" s="73">
        <f t="shared" ref="J1916:J1943" si="207">IF(OR(K1916="Документы готовы",K1916="Запрос в ФО",K1916="ЭЗ",K1916="РЕШ",K1916="РЕШ шаблон"),0.1,IF(OR(K1916="ЭЗ согласование",K1916="РЕШ согласование"),0.3,IF(OR(K1916="ЭЗ согласовано",K1916="РЕШ согласовано",K1916="РЕШ подписано"),0.6,IF(OR(K1916="ЭЗ ПР согласование",K1916="РЕШ УВ согласование"),0.9,IF(OR(K1916="ЭЗ ПР DONE",K1916="РЕШ УВ DONE"),1,0)))))</f>
        <v>1</v>
      </c>
      <c r="K1916" s="74" t="s">
        <v>204</v>
      </c>
      <c r="L1916" s="97" t="s">
        <v>12724</v>
      </c>
      <c r="N1916" s="76" t="s">
        <v>18</v>
      </c>
      <c r="Q1916" s="76" t="s">
        <v>2076</v>
      </c>
      <c r="R1916" s="73">
        <f t="shared" ref="R1916:R1943" si="208">IF(S1916="В работе",0.3,IF(S1916="Отписано",0.6,IF(S1916="На доработку",0.9,IF(S1916="Согласовано",1,0))))</f>
        <v>1</v>
      </c>
      <c r="S1916" s="260" t="s">
        <v>1976</v>
      </c>
      <c r="T1916" s="260" t="s">
        <v>925</v>
      </c>
      <c r="U1916" s="301" t="s">
        <v>5283</v>
      </c>
      <c r="V1916" s="301" t="s">
        <v>6698</v>
      </c>
      <c r="Y1916" s="566">
        <v>0.49662037037037038</v>
      </c>
      <c r="Z1916" s="566">
        <v>0.50559027777777776</v>
      </c>
      <c r="AA1916" s="566">
        <f t="shared" si="206"/>
        <v>8.9699074074073848E-3</v>
      </c>
      <c r="AB1916" s="699"/>
    </row>
    <row r="1917" spans="1:28" x14ac:dyDescent="0.3">
      <c r="A1917" s="79" t="s">
        <v>6565</v>
      </c>
      <c r="C1917" s="115">
        <v>43948</v>
      </c>
      <c r="D1917" s="312">
        <v>43983</v>
      </c>
      <c r="E1917" s="81">
        <v>43958</v>
      </c>
      <c r="F1917" s="86" t="s">
        <v>6630</v>
      </c>
      <c r="G1917" s="86" t="s">
        <v>410</v>
      </c>
      <c r="H1917" s="96" t="s">
        <v>213</v>
      </c>
      <c r="I1917" s="97" t="s">
        <v>658</v>
      </c>
      <c r="J1917" s="73">
        <f t="shared" si="207"/>
        <v>1</v>
      </c>
      <c r="K1917" s="74" t="s">
        <v>204</v>
      </c>
      <c r="N1917" s="76" t="s">
        <v>18</v>
      </c>
      <c r="Q1917" s="76" t="s">
        <v>2142</v>
      </c>
      <c r="R1917" s="73">
        <f t="shared" si="208"/>
        <v>1</v>
      </c>
      <c r="S1917" s="260" t="s">
        <v>1976</v>
      </c>
      <c r="T1917" s="260" t="s">
        <v>925</v>
      </c>
      <c r="Y1917" s="566">
        <v>0.35151620370370368</v>
      </c>
      <c r="Z1917" s="566">
        <v>0.36103009259259261</v>
      </c>
      <c r="AA1917" s="566">
        <f t="shared" si="206"/>
        <v>9.5138888888889328E-3</v>
      </c>
      <c r="AB1917" s="699"/>
    </row>
    <row r="1918" spans="1:28" x14ac:dyDescent="0.3">
      <c r="A1918" s="79" t="s">
        <v>6566</v>
      </c>
      <c r="C1918" s="115">
        <v>43948</v>
      </c>
      <c r="D1918" s="312">
        <v>43983</v>
      </c>
      <c r="E1918" s="81">
        <v>43962</v>
      </c>
      <c r="F1918" s="86" t="s">
        <v>6631</v>
      </c>
      <c r="G1918" s="86" t="s">
        <v>150</v>
      </c>
      <c r="H1918" s="96" t="s">
        <v>213</v>
      </c>
      <c r="I1918" s="97" t="s">
        <v>649</v>
      </c>
      <c r="J1918" s="73">
        <f t="shared" si="207"/>
        <v>1</v>
      </c>
      <c r="K1918" s="74" t="s">
        <v>204</v>
      </c>
      <c r="L1918" s="97" t="s">
        <v>12733</v>
      </c>
      <c r="N1918" s="76" t="s">
        <v>18</v>
      </c>
      <c r="Q1918" s="76" t="s">
        <v>2142</v>
      </c>
      <c r="R1918" s="73">
        <f t="shared" si="208"/>
        <v>1</v>
      </c>
      <c r="S1918" s="260" t="s">
        <v>1976</v>
      </c>
      <c r="T1918" s="260" t="s">
        <v>923</v>
      </c>
      <c r="Y1918" s="566">
        <v>0.9252893518518519</v>
      </c>
      <c r="Z1918" s="566">
        <v>0.9318749999999999</v>
      </c>
      <c r="AA1918" s="566">
        <f t="shared" si="206"/>
        <v>6.5856481481479934E-3</v>
      </c>
      <c r="AB1918" s="699"/>
    </row>
    <row r="1919" spans="1:28" x14ac:dyDescent="0.3">
      <c r="A1919" s="79" t="s">
        <v>6569</v>
      </c>
      <c r="C1919" s="115">
        <v>43948</v>
      </c>
      <c r="D1919" s="312">
        <v>43983</v>
      </c>
      <c r="E1919" s="81">
        <v>43962</v>
      </c>
      <c r="F1919" s="86" t="s">
        <v>6634</v>
      </c>
      <c r="G1919" s="86" t="s">
        <v>150</v>
      </c>
      <c r="H1919" s="96" t="s">
        <v>213</v>
      </c>
      <c r="I1919" s="97" t="s">
        <v>3389</v>
      </c>
      <c r="J1919" s="73">
        <f t="shared" si="207"/>
        <v>1</v>
      </c>
      <c r="K1919" s="74" t="s">
        <v>204</v>
      </c>
      <c r="N1919" s="76" t="s">
        <v>18</v>
      </c>
      <c r="Q1919" s="76" t="s">
        <v>2142</v>
      </c>
      <c r="R1919" s="73">
        <f t="shared" si="208"/>
        <v>1</v>
      </c>
      <c r="S1919" s="260" t="s">
        <v>1976</v>
      </c>
      <c r="T1919" s="260" t="s">
        <v>925</v>
      </c>
      <c r="Y1919" s="566">
        <v>0.91700231481481476</v>
      </c>
      <c r="Z1919" s="566">
        <v>0.9243865740740741</v>
      </c>
      <c r="AA1919" s="566">
        <f t="shared" si="206"/>
        <v>7.3842592592593403E-3</v>
      </c>
      <c r="AB1919" s="699"/>
    </row>
    <row r="1920" spans="1:28" x14ac:dyDescent="0.3">
      <c r="A1920" s="79" t="s">
        <v>6571</v>
      </c>
      <c r="C1920" s="115">
        <v>43948</v>
      </c>
      <c r="D1920" s="312">
        <v>43983</v>
      </c>
      <c r="E1920" s="81">
        <v>43958</v>
      </c>
      <c r="F1920" s="86" t="s">
        <v>6636</v>
      </c>
      <c r="G1920" s="86" t="s">
        <v>157</v>
      </c>
      <c r="H1920" s="96" t="s">
        <v>213</v>
      </c>
      <c r="I1920" s="97" t="s">
        <v>722</v>
      </c>
      <c r="J1920" s="73">
        <f t="shared" si="207"/>
        <v>1</v>
      </c>
      <c r="K1920" s="74" t="s">
        <v>204</v>
      </c>
      <c r="N1920" s="76" t="s">
        <v>18</v>
      </c>
      <c r="Q1920" s="76" t="s">
        <v>2142</v>
      </c>
      <c r="R1920" s="73">
        <f t="shared" si="208"/>
        <v>1</v>
      </c>
      <c r="S1920" s="260" t="s">
        <v>1976</v>
      </c>
      <c r="T1920" s="260" t="s">
        <v>923</v>
      </c>
      <c r="Y1920" s="566">
        <v>0.81834490740740751</v>
      </c>
      <c r="Z1920" s="566">
        <v>0.8306365740740741</v>
      </c>
      <c r="AA1920" s="566">
        <f t="shared" si="206"/>
        <v>1.229166666666659E-2</v>
      </c>
      <c r="AB1920" s="699"/>
    </row>
    <row r="1921" spans="1:28" x14ac:dyDescent="0.3">
      <c r="A1921" s="79" t="s">
        <v>6576</v>
      </c>
      <c r="C1921" s="115">
        <v>43948</v>
      </c>
      <c r="D1921" s="312">
        <v>43983</v>
      </c>
      <c r="E1921" s="81">
        <v>43958</v>
      </c>
      <c r="F1921" s="86" t="s">
        <v>6640</v>
      </c>
      <c r="G1921" s="86" t="s">
        <v>152</v>
      </c>
      <c r="H1921" s="79" t="s">
        <v>268</v>
      </c>
      <c r="I1921" s="97" t="s">
        <v>2478</v>
      </c>
      <c r="J1921" s="73">
        <f t="shared" si="207"/>
        <v>1</v>
      </c>
      <c r="K1921" s="74" t="s">
        <v>204</v>
      </c>
      <c r="L1921" s="97" t="s">
        <v>12724</v>
      </c>
      <c r="N1921" s="76" t="s">
        <v>18</v>
      </c>
      <c r="Q1921" s="76" t="s">
        <v>2142</v>
      </c>
      <c r="R1921" s="73">
        <f t="shared" si="208"/>
        <v>1</v>
      </c>
      <c r="S1921" s="260" t="s">
        <v>1976</v>
      </c>
      <c r="T1921" s="260" t="s">
        <v>924</v>
      </c>
      <c r="U1921" s="301" t="s">
        <v>5283</v>
      </c>
      <c r="V1921" s="301" t="s">
        <v>7734</v>
      </c>
      <c r="Y1921" s="566">
        <v>0.73179398148148145</v>
      </c>
      <c r="Z1921" s="566">
        <v>0.75126157407407401</v>
      </c>
      <c r="AA1921" s="566">
        <f t="shared" si="206"/>
        <v>1.9467592592592564E-2</v>
      </c>
      <c r="AB1921" s="699"/>
    </row>
    <row r="1922" spans="1:28" x14ac:dyDescent="0.3">
      <c r="A1922" s="79" t="s">
        <v>6577</v>
      </c>
      <c r="C1922" s="115">
        <v>43948</v>
      </c>
      <c r="D1922" s="312">
        <v>43983</v>
      </c>
      <c r="E1922" s="81">
        <v>43959</v>
      </c>
      <c r="F1922" s="86" t="s">
        <v>6641</v>
      </c>
      <c r="G1922" s="86" t="s">
        <v>147</v>
      </c>
      <c r="H1922" s="96" t="s">
        <v>213</v>
      </c>
      <c r="I1922" s="97" t="s">
        <v>2478</v>
      </c>
      <c r="J1922" s="73">
        <f t="shared" si="207"/>
        <v>1</v>
      </c>
      <c r="K1922" s="74" t="s">
        <v>204</v>
      </c>
      <c r="L1922" s="97" t="s">
        <v>12733</v>
      </c>
      <c r="N1922" s="76" t="s">
        <v>17</v>
      </c>
      <c r="Q1922" s="76" t="s">
        <v>2142</v>
      </c>
      <c r="R1922" s="73">
        <f t="shared" si="208"/>
        <v>1</v>
      </c>
      <c r="S1922" s="260" t="s">
        <v>1976</v>
      </c>
      <c r="T1922" s="260" t="s">
        <v>924</v>
      </c>
      <c r="Y1922" s="566">
        <v>0.78120370370370373</v>
      </c>
      <c r="Z1922" s="566">
        <v>0.79336805555555545</v>
      </c>
      <c r="AA1922" s="566">
        <f t="shared" si="206"/>
        <v>1.2164351851851718E-2</v>
      </c>
      <c r="AB1922" s="699"/>
    </row>
    <row r="1923" spans="1:28" x14ac:dyDescent="0.3">
      <c r="A1923" s="79" t="s">
        <v>6583</v>
      </c>
      <c r="C1923" s="115">
        <v>43948</v>
      </c>
      <c r="D1923" s="312">
        <v>43983</v>
      </c>
      <c r="E1923" s="81">
        <v>43965</v>
      </c>
      <c r="F1923" s="86" t="s">
        <v>6646</v>
      </c>
      <c r="G1923" s="86" t="s">
        <v>150</v>
      </c>
      <c r="H1923" s="96" t="s">
        <v>213</v>
      </c>
      <c r="I1923" s="97" t="s">
        <v>645</v>
      </c>
      <c r="J1923" s="73">
        <f t="shared" si="207"/>
        <v>1</v>
      </c>
      <c r="K1923" s="260" t="s">
        <v>204</v>
      </c>
      <c r="L1923" s="97" t="s">
        <v>456</v>
      </c>
      <c r="N1923" s="76" t="s">
        <v>18</v>
      </c>
      <c r="Q1923" s="76" t="s">
        <v>2142</v>
      </c>
      <c r="R1923" s="73">
        <f t="shared" si="208"/>
        <v>1</v>
      </c>
      <c r="S1923" s="260" t="s">
        <v>1976</v>
      </c>
      <c r="T1923" s="260" t="s">
        <v>924</v>
      </c>
      <c r="Y1923" s="566">
        <v>0.9534259259259259</v>
      </c>
      <c r="Z1923" s="566">
        <v>0.96415509259259258</v>
      </c>
      <c r="AA1923" s="566">
        <f t="shared" si="206"/>
        <v>1.0729166666666679E-2</v>
      </c>
      <c r="AB1923" s="699"/>
    </row>
    <row r="1924" spans="1:28" x14ac:dyDescent="0.3">
      <c r="A1924" s="79" t="s">
        <v>6585</v>
      </c>
      <c r="C1924" s="115">
        <v>43949</v>
      </c>
      <c r="D1924" s="312">
        <v>43983</v>
      </c>
      <c r="E1924" s="81">
        <v>43958</v>
      </c>
      <c r="F1924" s="86" t="s">
        <v>6648</v>
      </c>
      <c r="G1924" s="86" t="s">
        <v>156</v>
      </c>
      <c r="H1924" s="96" t="s">
        <v>213</v>
      </c>
      <c r="I1924" s="97" t="s">
        <v>649</v>
      </c>
      <c r="J1924" s="73">
        <f t="shared" si="207"/>
        <v>1</v>
      </c>
      <c r="K1924" s="74" t="s">
        <v>204</v>
      </c>
      <c r="L1924" s="97" t="s">
        <v>12747</v>
      </c>
      <c r="N1924" s="76" t="s">
        <v>18</v>
      </c>
      <c r="Q1924" s="76" t="s">
        <v>2076</v>
      </c>
      <c r="R1924" s="73">
        <f t="shared" si="208"/>
        <v>1</v>
      </c>
      <c r="S1924" s="260" t="s">
        <v>1976</v>
      </c>
      <c r="T1924" s="260" t="s">
        <v>924</v>
      </c>
      <c r="Y1924" s="566">
        <v>0.37634259259259256</v>
      </c>
      <c r="Z1924" s="566">
        <v>0.39158564814814811</v>
      </c>
      <c r="AA1924" s="566">
        <f t="shared" si="206"/>
        <v>1.5243055555555551E-2</v>
      </c>
      <c r="AB1924" s="699"/>
    </row>
    <row r="1925" spans="1:28" x14ac:dyDescent="0.3">
      <c r="A1925" s="96" t="s">
        <v>6590</v>
      </c>
      <c r="C1925" s="115">
        <v>43949</v>
      </c>
      <c r="D1925" s="312">
        <v>43983</v>
      </c>
      <c r="E1925" s="81">
        <v>43965</v>
      </c>
      <c r="F1925" s="86" t="s">
        <v>6653</v>
      </c>
      <c r="G1925" s="86" t="s">
        <v>154</v>
      </c>
      <c r="H1925" s="96" t="s">
        <v>213</v>
      </c>
      <c r="I1925" s="97" t="s">
        <v>4963</v>
      </c>
      <c r="J1925" s="73">
        <f t="shared" si="207"/>
        <v>1</v>
      </c>
      <c r="K1925" s="260" t="s">
        <v>204</v>
      </c>
      <c r="N1925" s="76" t="s">
        <v>19</v>
      </c>
      <c r="Q1925" s="76" t="s">
        <v>2076</v>
      </c>
      <c r="R1925" s="73">
        <f t="shared" si="208"/>
        <v>1</v>
      </c>
      <c r="S1925" s="260" t="s">
        <v>1976</v>
      </c>
      <c r="T1925" s="260" t="s">
        <v>923</v>
      </c>
      <c r="U1925" s="301" t="s">
        <v>5283</v>
      </c>
      <c r="V1925" s="301" t="s">
        <v>6793</v>
      </c>
      <c r="Y1925" s="566">
        <v>0.86944444444444446</v>
      </c>
      <c r="Z1925" s="566">
        <v>0.8775115740740741</v>
      </c>
      <c r="AA1925" s="566">
        <f t="shared" si="206"/>
        <v>8.0671296296296324E-3</v>
      </c>
      <c r="AB1925" s="699"/>
    </row>
    <row r="1926" spans="1:28" x14ac:dyDescent="0.3">
      <c r="A1926" s="79" t="s">
        <v>6593</v>
      </c>
      <c r="C1926" s="115">
        <v>43949</v>
      </c>
      <c r="D1926" s="312">
        <v>43998</v>
      </c>
      <c r="E1926" s="81">
        <v>43985</v>
      </c>
      <c r="F1926" s="86" t="s">
        <v>6656</v>
      </c>
      <c r="G1926" s="86" t="s">
        <v>154</v>
      </c>
      <c r="H1926" s="96" t="s">
        <v>213</v>
      </c>
      <c r="I1926" s="97" t="s">
        <v>722</v>
      </c>
      <c r="J1926" s="73">
        <f t="shared" si="207"/>
        <v>1</v>
      </c>
      <c r="K1926" s="74" t="s">
        <v>204</v>
      </c>
      <c r="L1926" s="97" t="s">
        <v>7322</v>
      </c>
      <c r="N1926" s="76" t="s">
        <v>18</v>
      </c>
      <c r="Q1926" s="76" t="s">
        <v>2076</v>
      </c>
      <c r="R1926" s="73">
        <f t="shared" si="208"/>
        <v>1</v>
      </c>
      <c r="S1926" s="260" t="s">
        <v>1976</v>
      </c>
      <c r="T1926" s="260" t="s">
        <v>924</v>
      </c>
      <c r="U1926" s="301" t="s">
        <v>5283</v>
      </c>
      <c r="V1926" s="301" t="s">
        <v>6724</v>
      </c>
      <c r="Y1926" s="566">
        <v>0.54902777777777778</v>
      </c>
      <c r="Z1926" s="566">
        <v>0.57040509259259264</v>
      </c>
      <c r="AA1926" s="566">
        <f t="shared" si="206"/>
        <v>2.1377314814814863E-2</v>
      </c>
      <c r="AB1926" s="699"/>
    </row>
    <row r="1927" spans="1:28" x14ac:dyDescent="0.3">
      <c r="A1927" s="96" t="s">
        <v>6594</v>
      </c>
      <c r="C1927" s="115">
        <v>43949</v>
      </c>
      <c r="D1927" s="312">
        <v>43983</v>
      </c>
      <c r="E1927" s="81">
        <v>43959</v>
      </c>
      <c r="F1927" s="86" t="s">
        <v>6657</v>
      </c>
      <c r="G1927" s="86" t="s">
        <v>152</v>
      </c>
      <c r="H1927" s="96" t="s">
        <v>213</v>
      </c>
      <c r="I1927" s="97" t="s">
        <v>2478</v>
      </c>
      <c r="J1927" s="73">
        <f t="shared" si="207"/>
        <v>1</v>
      </c>
      <c r="K1927" s="74" t="s">
        <v>204</v>
      </c>
      <c r="L1927" s="97" t="s">
        <v>12724</v>
      </c>
      <c r="N1927" s="76" t="s">
        <v>17</v>
      </c>
      <c r="Q1927" s="76" t="s">
        <v>2076</v>
      </c>
      <c r="R1927" s="73">
        <f t="shared" si="208"/>
        <v>1</v>
      </c>
      <c r="S1927" s="260" t="s">
        <v>1976</v>
      </c>
      <c r="T1927" s="260" t="s">
        <v>923</v>
      </c>
      <c r="U1927" s="301" t="s">
        <v>5283</v>
      </c>
      <c r="V1927" s="301" t="s">
        <v>6725</v>
      </c>
      <c r="Y1927" s="566">
        <v>0.52665509259259258</v>
      </c>
      <c r="Z1927" s="566">
        <v>0.56056712962962962</v>
      </c>
      <c r="AA1927" s="566">
        <f t="shared" si="206"/>
        <v>3.3912037037037046E-2</v>
      </c>
      <c r="AB1927" s="699"/>
    </row>
    <row r="1928" spans="1:28" x14ac:dyDescent="0.3">
      <c r="A1928" s="79" t="s">
        <v>6595</v>
      </c>
      <c r="C1928" s="115">
        <v>43949</v>
      </c>
      <c r="D1928" s="312">
        <v>43983</v>
      </c>
      <c r="E1928" s="81">
        <v>43963</v>
      </c>
      <c r="F1928" s="86" t="s">
        <v>6658</v>
      </c>
      <c r="G1928" s="86" t="s">
        <v>152</v>
      </c>
      <c r="H1928" s="96" t="s">
        <v>213</v>
      </c>
      <c r="I1928" s="97" t="s">
        <v>1635</v>
      </c>
      <c r="J1928" s="73">
        <f t="shared" si="207"/>
        <v>1</v>
      </c>
      <c r="K1928" s="74" t="s">
        <v>204</v>
      </c>
      <c r="N1928" s="76" t="s">
        <v>18</v>
      </c>
      <c r="Q1928" s="76" t="s">
        <v>2076</v>
      </c>
      <c r="R1928" s="73">
        <f t="shared" si="208"/>
        <v>1</v>
      </c>
      <c r="S1928" s="260" t="s">
        <v>1976</v>
      </c>
      <c r="T1928" s="260" t="s">
        <v>925</v>
      </c>
      <c r="U1928" s="301" t="s">
        <v>5283</v>
      </c>
      <c r="V1928" s="301" t="s">
        <v>6742</v>
      </c>
      <c r="Y1928" s="566">
        <v>0.69283564814814813</v>
      </c>
      <c r="Z1928" s="566">
        <v>0.71358796296296301</v>
      </c>
      <c r="AA1928" s="566">
        <f t="shared" si="206"/>
        <v>2.0752314814814876E-2</v>
      </c>
      <c r="AB1928" s="699"/>
    </row>
    <row r="1929" spans="1:28" x14ac:dyDescent="0.3">
      <c r="A1929" s="79" t="s">
        <v>6600</v>
      </c>
      <c r="C1929" s="115">
        <v>43949</v>
      </c>
      <c r="D1929" s="312">
        <v>43983</v>
      </c>
      <c r="E1929" s="81">
        <v>43958</v>
      </c>
      <c r="F1929" s="86" t="s">
        <v>6663</v>
      </c>
      <c r="G1929" s="86" t="s">
        <v>152</v>
      </c>
      <c r="H1929" s="79" t="s">
        <v>268</v>
      </c>
      <c r="I1929" s="97" t="s">
        <v>2478</v>
      </c>
      <c r="J1929" s="73">
        <f t="shared" si="207"/>
        <v>1</v>
      </c>
      <c r="K1929" s="74" t="s">
        <v>204</v>
      </c>
      <c r="L1929" s="97" t="s">
        <v>12724</v>
      </c>
      <c r="N1929" s="76" t="s">
        <v>17</v>
      </c>
      <c r="Q1929" s="76" t="s">
        <v>2076</v>
      </c>
      <c r="R1929" s="73">
        <f t="shared" si="208"/>
        <v>1</v>
      </c>
      <c r="S1929" s="260" t="s">
        <v>1976</v>
      </c>
      <c r="T1929" s="260" t="s">
        <v>924</v>
      </c>
      <c r="U1929" s="301" t="s">
        <v>5283</v>
      </c>
      <c r="V1929" s="301" t="s">
        <v>6716</v>
      </c>
      <c r="X1929" s="301" t="s">
        <v>6730</v>
      </c>
      <c r="Y1929" s="566">
        <v>0.6853125000000001</v>
      </c>
      <c r="Z1929" s="566">
        <v>0.72503472222222232</v>
      </c>
      <c r="AA1929" s="566">
        <f t="shared" si="206"/>
        <v>3.9722222222222214E-2</v>
      </c>
      <c r="AB1929" s="699"/>
    </row>
    <row r="1930" spans="1:28" x14ac:dyDescent="0.3">
      <c r="A1930" s="79" t="s">
        <v>6601</v>
      </c>
      <c r="C1930" s="115">
        <v>43949</v>
      </c>
      <c r="D1930" s="312">
        <v>43983</v>
      </c>
      <c r="E1930" s="81">
        <v>43957</v>
      </c>
      <c r="F1930" s="86" t="s">
        <v>6664</v>
      </c>
      <c r="G1930" s="86" t="s">
        <v>152</v>
      </c>
      <c r="H1930" s="96" t="s">
        <v>213</v>
      </c>
      <c r="I1930" s="97" t="s">
        <v>3479</v>
      </c>
      <c r="J1930" s="73">
        <f t="shared" si="207"/>
        <v>1</v>
      </c>
      <c r="K1930" s="74" t="s">
        <v>204</v>
      </c>
      <c r="N1930" s="76" t="s">
        <v>17</v>
      </c>
      <c r="Q1930" s="76" t="s">
        <v>2076</v>
      </c>
      <c r="R1930" s="73">
        <f t="shared" si="208"/>
        <v>1</v>
      </c>
      <c r="S1930" s="260" t="s">
        <v>1976</v>
      </c>
      <c r="T1930" s="260" t="s">
        <v>923</v>
      </c>
      <c r="X1930" s="301" t="s">
        <v>6713</v>
      </c>
      <c r="Y1930" s="566">
        <v>0.95435185185185178</v>
      </c>
      <c r="Z1930" s="566">
        <v>0.96255787037037033</v>
      </c>
      <c r="AA1930" s="566">
        <f t="shared" si="206"/>
        <v>8.206018518518543E-3</v>
      </c>
      <c r="AB1930" s="699"/>
    </row>
    <row r="1931" spans="1:28" x14ac:dyDescent="0.3">
      <c r="A1931" s="79" t="s">
        <v>6602</v>
      </c>
      <c r="C1931" s="115">
        <v>43949</v>
      </c>
      <c r="D1931" s="312">
        <v>43983</v>
      </c>
      <c r="E1931" s="81">
        <v>43963</v>
      </c>
      <c r="F1931" s="86" t="s">
        <v>6665</v>
      </c>
      <c r="G1931" s="86" t="s">
        <v>147</v>
      </c>
      <c r="H1931" s="96" t="s">
        <v>213</v>
      </c>
      <c r="I1931" s="97" t="s">
        <v>649</v>
      </c>
      <c r="J1931" s="73">
        <f t="shared" si="207"/>
        <v>1</v>
      </c>
      <c r="K1931" s="74" t="s">
        <v>204</v>
      </c>
      <c r="L1931" s="97" t="s">
        <v>12748</v>
      </c>
      <c r="N1931" s="76" t="s">
        <v>17</v>
      </c>
      <c r="Q1931" s="76" t="s">
        <v>2076</v>
      </c>
      <c r="R1931" s="73">
        <f t="shared" si="208"/>
        <v>1</v>
      </c>
      <c r="S1931" s="260" t="s">
        <v>1976</v>
      </c>
      <c r="T1931" s="260" t="s">
        <v>925</v>
      </c>
      <c r="Y1931" s="566">
        <v>0.67186342592592585</v>
      </c>
      <c r="Z1931" s="566">
        <v>0.69119212962962961</v>
      </c>
      <c r="AA1931" s="566">
        <f t="shared" si="206"/>
        <v>1.9328703703703765E-2</v>
      </c>
      <c r="AB1931" s="699"/>
    </row>
    <row r="1932" spans="1:28" x14ac:dyDescent="0.3">
      <c r="A1932" s="96" t="s">
        <v>6606</v>
      </c>
      <c r="C1932" s="115">
        <v>43949</v>
      </c>
      <c r="D1932" s="312">
        <v>44014</v>
      </c>
      <c r="E1932" s="81">
        <v>44006</v>
      </c>
      <c r="F1932" s="86" t="s">
        <v>6669</v>
      </c>
      <c r="G1932" s="86" t="s">
        <v>156</v>
      </c>
      <c r="H1932" s="96" t="s">
        <v>213</v>
      </c>
      <c r="I1932" s="97" t="s">
        <v>3651</v>
      </c>
      <c r="J1932" s="73">
        <f t="shared" si="207"/>
        <v>1</v>
      </c>
      <c r="K1932" s="74" t="s">
        <v>204</v>
      </c>
      <c r="L1932" s="97" t="s">
        <v>8077</v>
      </c>
      <c r="N1932" s="76" t="s">
        <v>17</v>
      </c>
      <c r="Q1932" s="76" t="s">
        <v>2076</v>
      </c>
      <c r="R1932" s="73">
        <f t="shared" si="208"/>
        <v>1</v>
      </c>
      <c r="S1932" s="260" t="s">
        <v>1976</v>
      </c>
      <c r="T1932" s="260" t="s">
        <v>925</v>
      </c>
      <c r="U1932" s="301" t="s">
        <v>5283</v>
      </c>
      <c r="V1932" s="301" t="s">
        <v>6715</v>
      </c>
      <c r="Y1932" s="566">
        <v>0.9409953703703704</v>
      </c>
      <c r="Z1932" s="566">
        <v>0.95194444444444448</v>
      </c>
      <c r="AA1932" s="566">
        <f t="shared" si="206"/>
        <v>1.0949074074074083E-2</v>
      </c>
      <c r="AB1932" s="699"/>
    </row>
    <row r="1933" spans="1:28" x14ac:dyDescent="0.3">
      <c r="A1933" s="79" t="s">
        <v>6607</v>
      </c>
      <c r="C1933" s="115">
        <v>43949</v>
      </c>
      <c r="D1933" s="312">
        <v>43983</v>
      </c>
      <c r="E1933" s="81">
        <v>43963</v>
      </c>
      <c r="F1933" s="86" t="s">
        <v>6670</v>
      </c>
      <c r="G1933" s="86" t="s">
        <v>157</v>
      </c>
      <c r="H1933" s="96" t="s">
        <v>213</v>
      </c>
      <c r="I1933" s="97" t="s">
        <v>649</v>
      </c>
      <c r="J1933" s="73">
        <f t="shared" si="207"/>
        <v>1</v>
      </c>
      <c r="K1933" s="260" t="s">
        <v>204</v>
      </c>
      <c r="L1933" s="97" t="s">
        <v>12749</v>
      </c>
      <c r="N1933" s="76" t="s">
        <v>18</v>
      </c>
      <c r="Q1933" s="76" t="s">
        <v>2076</v>
      </c>
      <c r="R1933" s="73">
        <f t="shared" si="208"/>
        <v>1</v>
      </c>
      <c r="S1933" s="260" t="s">
        <v>1976</v>
      </c>
      <c r="T1933" s="260" t="s">
        <v>924</v>
      </c>
      <c r="Y1933" s="566">
        <v>0.65011574074074074</v>
      </c>
      <c r="Z1933" s="566">
        <v>0.67112268518518514</v>
      </c>
      <c r="AA1933" s="566">
        <f t="shared" si="206"/>
        <v>2.1006944444444398E-2</v>
      </c>
      <c r="AB1933" s="699"/>
    </row>
    <row r="1934" spans="1:28" x14ac:dyDescent="0.3">
      <c r="A1934" s="79" t="s">
        <v>6609</v>
      </c>
      <c r="C1934" s="115">
        <v>43950</v>
      </c>
      <c r="D1934" s="312">
        <v>43983</v>
      </c>
      <c r="E1934" s="81">
        <v>43965</v>
      </c>
      <c r="F1934" s="86" t="s">
        <v>6672</v>
      </c>
      <c r="G1934" s="86" t="s">
        <v>150</v>
      </c>
      <c r="H1934" s="96" t="s">
        <v>213</v>
      </c>
      <c r="I1934" s="97" t="s">
        <v>722</v>
      </c>
      <c r="J1934" s="73">
        <f t="shared" si="207"/>
        <v>1</v>
      </c>
      <c r="K1934" s="260" t="s">
        <v>204</v>
      </c>
      <c r="L1934" s="97" t="s">
        <v>7074</v>
      </c>
      <c r="N1934" s="76" t="s">
        <v>18</v>
      </c>
      <c r="Q1934" s="76" t="s">
        <v>2109</v>
      </c>
      <c r="R1934" s="73">
        <f t="shared" si="208"/>
        <v>1</v>
      </c>
      <c r="S1934" s="260" t="s">
        <v>1976</v>
      </c>
      <c r="T1934" s="260" t="s">
        <v>924</v>
      </c>
      <c r="U1934" s="301" t="s">
        <v>5283</v>
      </c>
      <c r="V1934" s="301" t="s">
        <v>6779</v>
      </c>
      <c r="Y1934" s="566">
        <v>0.44025462962962963</v>
      </c>
      <c r="Z1934" s="566">
        <v>0.44843749999999999</v>
      </c>
      <c r="AA1934" s="566">
        <f t="shared" si="206"/>
        <v>8.1828703703703543E-3</v>
      </c>
      <c r="AB1934" s="699"/>
    </row>
    <row r="1935" spans="1:28" x14ac:dyDescent="0.3">
      <c r="A1935" s="79" t="s">
        <v>6610</v>
      </c>
      <c r="C1935" s="115">
        <v>43950</v>
      </c>
      <c r="D1935" s="312">
        <v>43983</v>
      </c>
      <c r="E1935" s="81">
        <v>43963</v>
      </c>
      <c r="F1935" s="86" t="s">
        <v>6673</v>
      </c>
      <c r="G1935" s="86" t="s">
        <v>158</v>
      </c>
      <c r="H1935" s="96" t="s">
        <v>213</v>
      </c>
      <c r="I1935" s="97" t="s">
        <v>6736</v>
      </c>
      <c r="J1935" s="73">
        <f t="shared" si="207"/>
        <v>1</v>
      </c>
      <c r="K1935" s="74" t="s">
        <v>204</v>
      </c>
      <c r="L1935" s="97" t="s">
        <v>12733</v>
      </c>
      <c r="N1935" s="76" t="s">
        <v>17</v>
      </c>
      <c r="Q1935" s="76" t="s">
        <v>2109</v>
      </c>
      <c r="R1935" s="73">
        <f t="shared" si="208"/>
        <v>1</v>
      </c>
      <c r="S1935" s="260" t="s">
        <v>1976</v>
      </c>
      <c r="T1935" s="260" t="s">
        <v>923</v>
      </c>
      <c r="Y1935" s="566">
        <v>0.52454861111111117</v>
      </c>
      <c r="Z1935" s="566">
        <v>0.58598379629629627</v>
      </c>
      <c r="AA1935" s="566">
        <f t="shared" si="206"/>
        <v>6.1435185185185093E-2</v>
      </c>
      <c r="AB1935" s="699"/>
    </row>
    <row r="1936" spans="1:28" x14ac:dyDescent="0.3">
      <c r="A1936" s="79" t="s">
        <v>6611</v>
      </c>
      <c r="C1936" s="115">
        <v>43950</v>
      </c>
      <c r="D1936" s="312">
        <v>43983</v>
      </c>
      <c r="E1936" s="81">
        <v>43957</v>
      </c>
      <c r="F1936" s="86" t="s">
        <v>6674</v>
      </c>
      <c r="G1936" s="86" t="s">
        <v>156</v>
      </c>
      <c r="H1936" s="96" t="s">
        <v>213</v>
      </c>
      <c r="I1936" s="97" t="s">
        <v>3479</v>
      </c>
      <c r="J1936" s="73">
        <f t="shared" si="207"/>
        <v>1</v>
      </c>
      <c r="K1936" s="74" t="s">
        <v>204</v>
      </c>
      <c r="N1936" s="76" t="s">
        <v>18</v>
      </c>
      <c r="Q1936" s="76" t="s">
        <v>2109</v>
      </c>
      <c r="R1936" s="73">
        <f t="shared" si="208"/>
        <v>1</v>
      </c>
      <c r="S1936" s="260" t="s">
        <v>1976</v>
      </c>
      <c r="T1936" s="260" t="s">
        <v>923</v>
      </c>
      <c r="Y1936" s="566">
        <v>0.4428125</v>
      </c>
      <c r="Z1936" s="566">
        <v>0.45255787037037037</v>
      </c>
      <c r="AA1936" s="566">
        <f t="shared" si="206"/>
        <v>9.7453703703703765E-3</v>
      </c>
      <c r="AB1936" s="699"/>
    </row>
    <row r="1937" spans="1:28" x14ac:dyDescent="0.3">
      <c r="A1937" s="79" t="s">
        <v>6612</v>
      </c>
      <c r="C1937" s="115">
        <v>43950</v>
      </c>
      <c r="D1937" s="312">
        <v>43983</v>
      </c>
      <c r="E1937" s="81">
        <v>43957</v>
      </c>
      <c r="F1937" s="86" t="s">
        <v>6675</v>
      </c>
      <c r="G1937" s="86" t="s">
        <v>157</v>
      </c>
      <c r="H1937" s="96" t="s">
        <v>213</v>
      </c>
      <c r="I1937" s="97" t="s">
        <v>4963</v>
      </c>
      <c r="J1937" s="73">
        <f t="shared" si="207"/>
        <v>1</v>
      </c>
      <c r="K1937" s="74" t="s">
        <v>204</v>
      </c>
      <c r="N1937" s="76" t="s">
        <v>19</v>
      </c>
      <c r="Q1937" s="76" t="s">
        <v>2109</v>
      </c>
      <c r="R1937" s="73">
        <f t="shared" si="208"/>
        <v>1</v>
      </c>
      <c r="S1937" s="260" t="s">
        <v>1976</v>
      </c>
      <c r="T1937" s="260" t="s">
        <v>924</v>
      </c>
      <c r="U1937" s="301" t="s">
        <v>5283</v>
      </c>
      <c r="V1937" s="301" t="s">
        <v>6696</v>
      </c>
      <c r="Y1937" s="566">
        <v>0.40666666666666668</v>
      </c>
      <c r="Z1937" s="566">
        <v>0.42557870370370371</v>
      </c>
      <c r="AA1937" s="566">
        <f t="shared" ref="AA1937:AA1951" si="209">Z1937-Y1937</f>
        <v>1.8912037037037033E-2</v>
      </c>
      <c r="AB1937" s="699"/>
    </row>
    <row r="1938" spans="1:28" x14ac:dyDescent="0.3">
      <c r="A1938" s="79" t="s">
        <v>6615</v>
      </c>
      <c r="C1938" s="115">
        <v>43950</v>
      </c>
      <c r="D1938" s="312">
        <v>43983</v>
      </c>
      <c r="E1938" s="81">
        <v>43957</v>
      </c>
      <c r="F1938" s="86" t="s">
        <v>6678</v>
      </c>
      <c r="G1938" s="86" t="s">
        <v>156</v>
      </c>
      <c r="H1938" s="96" t="s">
        <v>213</v>
      </c>
      <c r="I1938" s="97" t="s">
        <v>2478</v>
      </c>
      <c r="J1938" s="73">
        <f t="shared" si="207"/>
        <v>1</v>
      </c>
      <c r="K1938" s="74" t="s">
        <v>204</v>
      </c>
      <c r="L1938" s="97" t="s">
        <v>12723</v>
      </c>
      <c r="N1938" s="76" t="s">
        <v>18</v>
      </c>
      <c r="Q1938" s="76" t="s">
        <v>2109</v>
      </c>
      <c r="R1938" s="73">
        <f t="shared" si="208"/>
        <v>1</v>
      </c>
      <c r="S1938" s="260" t="s">
        <v>1976</v>
      </c>
      <c r="T1938" s="260" t="s">
        <v>924</v>
      </c>
      <c r="U1938" s="301" t="s">
        <v>5283</v>
      </c>
      <c r="V1938" s="301" t="s">
        <v>6697</v>
      </c>
      <c r="Y1938" s="566">
        <v>0.42600694444444448</v>
      </c>
      <c r="Z1938" s="566">
        <v>0.44116898148148148</v>
      </c>
      <c r="AA1938" s="566">
        <f t="shared" si="209"/>
        <v>1.5162037037037002E-2</v>
      </c>
      <c r="AB1938" s="699"/>
    </row>
    <row r="1939" spans="1:28" x14ac:dyDescent="0.3">
      <c r="A1939" s="79" t="s">
        <v>6616</v>
      </c>
      <c r="C1939" s="115">
        <v>43950</v>
      </c>
      <c r="D1939" s="312">
        <v>43983</v>
      </c>
      <c r="E1939" s="81">
        <v>43963</v>
      </c>
      <c r="F1939" s="86" t="s">
        <v>6679</v>
      </c>
      <c r="G1939" s="86" t="s">
        <v>154</v>
      </c>
      <c r="H1939" s="96" t="s">
        <v>213</v>
      </c>
      <c r="I1939" s="97" t="s">
        <v>649</v>
      </c>
      <c r="J1939" s="73">
        <f t="shared" si="207"/>
        <v>1</v>
      </c>
      <c r="K1939" s="260" t="s">
        <v>204</v>
      </c>
      <c r="L1939" s="97" t="s">
        <v>12750</v>
      </c>
      <c r="N1939" s="76" t="s">
        <v>17</v>
      </c>
      <c r="Q1939" s="76" t="s">
        <v>2109</v>
      </c>
      <c r="R1939" s="73">
        <f t="shared" si="208"/>
        <v>1</v>
      </c>
      <c r="S1939" s="260" t="s">
        <v>1976</v>
      </c>
      <c r="T1939" s="260" t="s">
        <v>923</v>
      </c>
      <c r="Y1939" s="566">
        <v>0.5869212962962963</v>
      </c>
      <c r="Z1939" s="566">
        <v>0.61604166666666671</v>
      </c>
      <c r="AA1939" s="566">
        <f t="shared" si="209"/>
        <v>2.9120370370370408E-2</v>
      </c>
      <c r="AB1939" s="699"/>
    </row>
    <row r="1940" spans="1:28" x14ac:dyDescent="0.3">
      <c r="A1940" s="79" t="s">
        <v>6617</v>
      </c>
      <c r="C1940" s="115">
        <v>43950</v>
      </c>
      <c r="D1940" s="312">
        <v>43983</v>
      </c>
      <c r="E1940" s="81">
        <v>43977</v>
      </c>
      <c r="F1940" s="86" t="s">
        <v>6680</v>
      </c>
      <c r="G1940" s="86" t="s">
        <v>152</v>
      </c>
      <c r="H1940" s="96" t="s">
        <v>213</v>
      </c>
      <c r="I1940" s="97" t="s">
        <v>649</v>
      </c>
      <c r="J1940" s="73">
        <f t="shared" si="207"/>
        <v>1</v>
      </c>
      <c r="K1940" s="260" t="s">
        <v>204</v>
      </c>
      <c r="L1940" s="97" t="s">
        <v>7328</v>
      </c>
      <c r="N1940" s="76" t="s">
        <v>19</v>
      </c>
      <c r="Q1940" s="76" t="s">
        <v>2109</v>
      </c>
      <c r="R1940" s="73">
        <f t="shared" si="208"/>
        <v>1</v>
      </c>
      <c r="S1940" s="260" t="s">
        <v>1976</v>
      </c>
      <c r="T1940" s="260" t="s">
        <v>924</v>
      </c>
      <c r="Y1940" s="566">
        <v>0.89295138888888881</v>
      </c>
      <c r="Z1940" s="566">
        <v>0.92581018518518521</v>
      </c>
      <c r="AA1940" s="566">
        <f t="shared" si="209"/>
        <v>3.28587962962964E-2</v>
      </c>
      <c r="AB1940" s="699"/>
    </row>
    <row r="1941" spans="1:28" x14ac:dyDescent="0.3">
      <c r="A1941" s="79" t="s">
        <v>6618</v>
      </c>
      <c r="C1941" s="115">
        <v>43950</v>
      </c>
      <c r="D1941" s="312">
        <v>43983</v>
      </c>
      <c r="E1941" s="81">
        <v>43966</v>
      </c>
      <c r="F1941" s="86" t="s">
        <v>6681</v>
      </c>
      <c r="G1941" s="86" t="s">
        <v>158</v>
      </c>
      <c r="H1941" s="96" t="s">
        <v>213</v>
      </c>
      <c r="I1941" s="97" t="s">
        <v>4963</v>
      </c>
      <c r="J1941" s="73">
        <f t="shared" si="207"/>
        <v>1</v>
      </c>
      <c r="K1941" s="260" t="s">
        <v>204</v>
      </c>
      <c r="N1941" s="76" t="s">
        <v>19</v>
      </c>
      <c r="Q1941" s="76" t="s">
        <v>2109</v>
      </c>
      <c r="R1941" s="73">
        <f t="shared" si="208"/>
        <v>1</v>
      </c>
      <c r="S1941" s="260" t="s">
        <v>1976</v>
      </c>
      <c r="T1941" s="260" t="s">
        <v>925</v>
      </c>
      <c r="Y1941" s="566">
        <v>0.75967592592592592</v>
      </c>
      <c r="Z1941" s="566">
        <v>0.76444444444444448</v>
      </c>
      <c r="AA1941" s="566">
        <f t="shared" si="209"/>
        <v>4.7685185185185608E-3</v>
      </c>
      <c r="AB1941" s="699"/>
    </row>
    <row r="1942" spans="1:28" x14ac:dyDescent="0.3">
      <c r="A1942" s="79" t="s">
        <v>6622</v>
      </c>
      <c r="C1942" s="115">
        <v>43950</v>
      </c>
      <c r="D1942" s="312">
        <v>43983</v>
      </c>
      <c r="E1942" s="81">
        <v>43976</v>
      </c>
      <c r="F1942" s="86" t="s">
        <v>6685</v>
      </c>
      <c r="G1942" s="86" t="s">
        <v>175</v>
      </c>
      <c r="H1942" s="96" t="s">
        <v>213</v>
      </c>
      <c r="I1942" s="97" t="s">
        <v>649</v>
      </c>
      <c r="J1942" s="73">
        <f t="shared" si="207"/>
        <v>1</v>
      </c>
      <c r="K1942" s="260" t="s">
        <v>204</v>
      </c>
      <c r="L1942" s="97" t="s">
        <v>7089</v>
      </c>
      <c r="N1942" s="76" t="s">
        <v>17</v>
      </c>
      <c r="Q1942" s="76" t="s">
        <v>2109</v>
      </c>
      <c r="R1942" s="73">
        <f t="shared" si="208"/>
        <v>1</v>
      </c>
      <c r="S1942" s="260" t="s">
        <v>1976</v>
      </c>
      <c r="T1942" s="260" t="s">
        <v>923</v>
      </c>
      <c r="Y1942" s="566">
        <v>0.56814814814814818</v>
      </c>
      <c r="Z1942" s="566">
        <v>0.57604166666666667</v>
      </c>
      <c r="AA1942" s="566">
        <f t="shared" si="209"/>
        <v>7.8935185185184942E-3</v>
      </c>
      <c r="AB1942" s="699"/>
    </row>
    <row r="1943" spans="1:28" x14ac:dyDescent="0.3">
      <c r="A1943" s="79" t="s">
        <v>6623</v>
      </c>
      <c r="C1943" s="115">
        <v>43951</v>
      </c>
      <c r="D1943" s="312">
        <v>43983</v>
      </c>
      <c r="E1943" s="81">
        <v>43965</v>
      </c>
      <c r="F1943" s="86" t="s">
        <v>6686</v>
      </c>
      <c r="G1943" s="86" t="s">
        <v>150</v>
      </c>
      <c r="H1943" s="96" t="s">
        <v>213</v>
      </c>
      <c r="I1943" s="97" t="s">
        <v>658</v>
      </c>
      <c r="J1943" s="73">
        <f t="shared" si="207"/>
        <v>1</v>
      </c>
      <c r="K1943" s="260" t="s">
        <v>204</v>
      </c>
      <c r="L1943" s="97" t="s">
        <v>6791</v>
      </c>
      <c r="N1943" s="76" t="s">
        <v>18</v>
      </c>
      <c r="Q1943" s="76" t="s">
        <v>2417</v>
      </c>
      <c r="R1943" s="73">
        <f t="shared" si="208"/>
        <v>1</v>
      </c>
      <c r="S1943" s="260" t="s">
        <v>1976</v>
      </c>
      <c r="T1943" s="260" t="s">
        <v>925</v>
      </c>
      <c r="Y1943" s="566">
        <v>0.84498842592592593</v>
      </c>
      <c r="Z1943" s="566">
        <v>0.8497337962962962</v>
      </c>
      <c r="AA1943" s="566">
        <f t="shared" si="209"/>
        <v>4.745370370370261E-3</v>
      </c>
      <c r="AB1943" s="699"/>
    </row>
    <row r="1944" spans="1:28" x14ac:dyDescent="0.3">
      <c r="A1944" s="79" t="s">
        <v>6624</v>
      </c>
      <c r="C1944" s="115">
        <v>43951</v>
      </c>
      <c r="D1944" s="312">
        <v>43983</v>
      </c>
      <c r="E1944" s="81">
        <v>43958</v>
      </c>
      <c r="F1944" s="86" t="s">
        <v>6687</v>
      </c>
      <c r="G1944" s="86" t="s">
        <v>156</v>
      </c>
      <c r="H1944" s="96" t="s">
        <v>213</v>
      </c>
      <c r="I1944" s="97" t="s">
        <v>3479</v>
      </c>
      <c r="J1944" s="73">
        <f t="shared" ref="J1944:J1949" si="210">IF(OR(K1944="Документы готовы",K1944="Запрос в ФО",K1944="ЭЗ",K1944="РЕШ",K1944="РЕШ шаблон"),0.1,IF(OR(K1944="ЭЗ согласование",K1944="РЕШ согласование"),0.3,IF(OR(K1944="ЭЗ согласовано",K1944="РЕШ согласовано",K1944="РЕШ подписано"),0.6,IF(OR(K1944="ЭЗ ПР согласование",K1944="РЕШ УВ согласование"),0.9,IF(OR(K1944="ЭЗ ПР DONE",K1944="РЕШ УВ DONE"),1,0)))))</f>
        <v>1</v>
      </c>
      <c r="K1944" s="74" t="s">
        <v>204</v>
      </c>
      <c r="N1944" s="76" t="s">
        <v>18</v>
      </c>
      <c r="Q1944" s="76" t="s">
        <v>2417</v>
      </c>
      <c r="R1944" s="73">
        <f t="shared" ref="R1944:R1949" si="211">IF(S1944="В работе",0.3,IF(S1944="Отписано",0.6,IF(S1944="На доработку",0.9,IF(S1944="Согласовано",1,0))))</f>
        <v>1</v>
      </c>
      <c r="S1944" s="260" t="s">
        <v>1976</v>
      </c>
      <c r="T1944" s="260" t="s">
        <v>924</v>
      </c>
      <c r="Y1944" s="566">
        <v>0.57975694444444448</v>
      </c>
      <c r="Z1944" s="566">
        <v>0.58899305555555559</v>
      </c>
      <c r="AA1944" s="566">
        <f t="shared" si="209"/>
        <v>9.2361111111111116E-3</v>
      </c>
      <c r="AB1944" s="699"/>
    </row>
    <row r="1945" spans="1:28" x14ac:dyDescent="0.3">
      <c r="A1945" s="79" t="s">
        <v>6625</v>
      </c>
      <c r="C1945" s="115">
        <v>43951</v>
      </c>
      <c r="D1945" s="312">
        <v>43983</v>
      </c>
      <c r="E1945" s="81">
        <v>43964</v>
      </c>
      <c r="F1945" s="86" t="s">
        <v>6688</v>
      </c>
      <c r="G1945" s="86" t="s">
        <v>152</v>
      </c>
      <c r="H1945" s="96" t="s">
        <v>213</v>
      </c>
      <c r="I1945" s="97" t="s">
        <v>995</v>
      </c>
      <c r="J1945" s="73">
        <f t="shared" si="210"/>
        <v>1</v>
      </c>
      <c r="K1945" s="74" t="s">
        <v>204</v>
      </c>
      <c r="N1945" s="76" t="s">
        <v>19</v>
      </c>
      <c r="Q1945" s="76" t="s">
        <v>2417</v>
      </c>
      <c r="R1945" s="73">
        <f t="shared" si="211"/>
        <v>1</v>
      </c>
      <c r="S1945" s="260" t="s">
        <v>1976</v>
      </c>
      <c r="T1945" s="260" t="s">
        <v>923</v>
      </c>
      <c r="Y1945" s="566">
        <v>0.55336805555555557</v>
      </c>
      <c r="Z1945" s="566">
        <v>0.5642476851851852</v>
      </c>
      <c r="AA1945" s="566">
        <f t="shared" si="209"/>
        <v>1.0879629629629628E-2</v>
      </c>
      <c r="AB1945" s="699"/>
    </row>
    <row r="1946" spans="1:28" x14ac:dyDescent="0.3">
      <c r="A1946" s="79" t="s">
        <v>6626</v>
      </c>
      <c r="C1946" s="115">
        <v>43951</v>
      </c>
      <c r="D1946" s="115">
        <v>43983</v>
      </c>
      <c r="F1946" s="86" t="s">
        <v>6689</v>
      </c>
      <c r="G1946" s="86" t="s">
        <v>410</v>
      </c>
      <c r="H1946" s="96" t="s">
        <v>213</v>
      </c>
      <c r="I1946" s="97" t="s">
        <v>649</v>
      </c>
      <c r="J1946" s="73">
        <f t="shared" si="210"/>
        <v>1</v>
      </c>
      <c r="K1946" s="74" t="s">
        <v>204</v>
      </c>
      <c r="L1946" s="97" t="s">
        <v>12733</v>
      </c>
      <c r="N1946" s="76" t="s">
        <v>17</v>
      </c>
      <c r="Q1946" s="76" t="s">
        <v>2417</v>
      </c>
      <c r="R1946" s="73">
        <f t="shared" si="211"/>
        <v>1</v>
      </c>
      <c r="S1946" s="260" t="s">
        <v>1976</v>
      </c>
      <c r="T1946" s="260" t="s">
        <v>925</v>
      </c>
      <c r="Y1946" s="566">
        <v>0.46736111111111112</v>
      </c>
      <c r="Z1946" s="566">
        <v>0.47569444444444442</v>
      </c>
      <c r="AA1946" s="566">
        <f t="shared" si="209"/>
        <v>8.3333333333333037E-3</v>
      </c>
      <c r="AB1946" s="699"/>
    </row>
    <row r="1947" spans="1:28" x14ac:dyDescent="0.3">
      <c r="A1947" s="79" t="s">
        <v>6627</v>
      </c>
      <c r="C1947" s="115">
        <v>43951</v>
      </c>
      <c r="D1947" s="312">
        <v>43983</v>
      </c>
      <c r="E1947" s="81">
        <v>43963</v>
      </c>
      <c r="F1947" s="86" t="s">
        <v>6690</v>
      </c>
      <c r="G1947" s="86" t="s">
        <v>152</v>
      </c>
      <c r="H1947" s="96" t="s">
        <v>213</v>
      </c>
      <c r="I1947" s="97" t="s">
        <v>649</v>
      </c>
      <c r="J1947" s="73">
        <f t="shared" si="210"/>
        <v>1</v>
      </c>
      <c r="K1947" s="74" t="s">
        <v>204</v>
      </c>
      <c r="L1947" s="97" t="s">
        <v>12733</v>
      </c>
      <c r="N1947" s="76" t="s">
        <v>17</v>
      </c>
      <c r="Q1947" s="76" t="s">
        <v>2417</v>
      </c>
      <c r="R1947" s="73">
        <f t="shared" si="211"/>
        <v>1</v>
      </c>
      <c r="S1947" s="260" t="s">
        <v>1976</v>
      </c>
      <c r="T1947" s="260" t="s">
        <v>924</v>
      </c>
      <c r="Y1947" s="566">
        <v>0.51616898148148149</v>
      </c>
      <c r="Z1947" s="566">
        <v>0.52391203703703704</v>
      </c>
      <c r="AA1947" s="566">
        <f t="shared" si="209"/>
        <v>7.7430555555555447E-3</v>
      </c>
      <c r="AB1947" s="699"/>
    </row>
    <row r="1948" spans="1:28" x14ac:dyDescent="0.3">
      <c r="A1948" s="79" t="s">
        <v>6628</v>
      </c>
      <c r="C1948" s="115">
        <v>43951</v>
      </c>
      <c r="D1948" s="312">
        <v>43983</v>
      </c>
      <c r="E1948" s="81">
        <v>43965</v>
      </c>
      <c r="F1948" s="86" t="s">
        <v>6691</v>
      </c>
      <c r="G1948" s="86" t="s">
        <v>158</v>
      </c>
      <c r="H1948" s="96" t="s">
        <v>213</v>
      </c>
      <c r="I1948" s="97" t="s">
        <v>2478</v>
      </c>
      <c r="J1948" s="73">
        <f t="shared" si="210"/>
        <v>1</v>
      </c>
      <c r="K1948" s="74" t="s">
        <v>204</v>
      </c>
      <c r="L1948" s="97" t="s">
        <v>12751</v>
      </c>
      <c r="N1948" s="76" t="s">
        <v>17</v>
      </c>
      <c r="O1948" s="111">
        <v>400000</v>
      </c>
      <c r="Q1948" s="76" t="s">
        <v>2417</v>
      </c>
      <c r="R1948" s="73">
        <f t="shared" si="211"/>
        <v>1</v>
      </c>
      <c r="S1948" s="260" t="s">
        <v>1976</v>
      </c>
      <c r="T1948" s="260" t="s">
        <v>924</v>
      </c>
      <c r="Y1948" s="566">
        <v>0.60650462962962959</v>
      </c>
      <c r="Z1948" s="566">
        <v>0.62192129629629633</v>
      </c>
      <c r="AA1948" s="566">
        <f t="shared" si="209"/>
        <v>1.5416666666666745E-2</v>
      </c>
      <c r="AB1948" s="699"/>
    </row>
    <row r="1949" spans="1:28" x14ac:dyDescent="0.3">
      <c r="A1949" s="96" t="s">
        <v>6699</v>
      </c>
      <c r="C1949" s="81">
        <v>43941</v>
      </c>
      <c r="D1949" s="109">
        <v>43983</v>
      </c>
      <c r="E1949" s="81">
        <v>43957</v>
      </c>
      <c r="F1949" s="97" t="s">
        <v>6700</v>
      </c>
      <c r="G1949" s="97" t="s">
        <v>156</v>
      </c>
      <c r="H1949" s="96" t="s">
        <v>213</v>
      </c>
      <c r="I1949" s="97" t="s">
        <v>3479</v>
      </c>
      <c r="J1949" s="73">
        <f t="shared" si="210"/>
        <v>1</v>
      </c>
      <c r="K1949" s="74" t="s">
        <v>204</v>
      </c>
      <c r="N1949" s="76" t="s">
        <v>18</v>
      </c>
      <c r="Q1949" s="301" t="s">
        <v>6701</v>
      </c>
      <c r="R1949" s="73">
        <f t="shared" si="211"/>
        <v>1</v>
      </c>
      <c r="S1949" s="260" t="s">
        <v>1976</v>
      </c>
      <c r="T1949" s="260" t="s">
        <v>923</v>
      </c>
      <c r="Y1949" s="566">
        <v>0.51273148148148151</v>
      </c>
      <c r="Z1949" s="566">
        <v>0.51915509259259263</v>
      </c>
      <c r="AA1949" s="566">
        <f t="shared" si="209"/>
        <v>6.423611111111116E-3</v>
      </c>
      <c r="AB1949" s="699"/>
    </row>
    <row r="1950" spans="1:28" x14ac:dyDescent="0.3">
      <c r="A1950" s="96" t="s">
        <v>6702</v>
      </c>
      <c r="C1950" s="81">
        <v>43941</v>
      </c>
      <c r="D1950" s="109">
        <v>43983</v>
      </c>
      <c r="E1950" s="81">
        <v>43957</v>
      </c>
      <c r="F1950" s="97" t="s">
        <v>6703</v>
      </c>
      <c r="G1950" s="97" t="s">
        <v>156</v>
      </c>
      <c r="H1950" s="96" t="s">
        <v>213</v>
      </c>
      <c r="I1950" s="97" t="s">
        <v>649</v>
      </c>
      <c r="J1950" s="73">
        <f t="shared" ref="J1950:J1951" si="212">IF(OR(K1950="Документы готовы",K1950="Запрос в ФО",K1950="ЭЗ",K1950="РЕШ",K1950="РЕШ шаблон"),0.1,IF(OR(K1950="ЭЗ согласование",K1950="РЕШ согласование"),0.3,IF(OR(K1950="ЭЗ согласовано",K1950="РЕШ согласовано",K1950="РЕШ подписано"),0.6,IF(OR(K1950="ЭЗ ПР согласование",K1950="РЕШ УВ согласование"),0.9,IF(OR(K1950="ЭЗ ПР DONE",K1950="РЕШ УВ DONE"),1,0)))))</f>
        <v>1</v>
      </c>
      <c r="K1950" s="74" t="s">
        <v>204</v>
      </c>
      <c r="L1950" s="97" t="s">
        <v>12733</v>
      </c>
      <c r="N1950" s="76" t="s">
        <v>17</v>
      </c>
      <c r="Q1950" s="301" t="s">
        <v>6701</v>
      </c>
      <c r="R1950" s="73">
        <f t="shared" ref="R1950:R1951" si="213">IF(S1950="В работе",0.3,IF(S1950="Отписано",0.6,IF(S1950="На доработку",0.9,IF(S1950="Согласовано",1,0))))</f>
        <v>1</v>
      </c>
      <c r="S1950" s="260" t="s">
        <v>1976</v>
      </c>
      <c r="T1950" s="260" t="s">
        <v>923</v>
      </c>
      <c r="Y1950" s="566">
        <v>0.54951388888888886</v>
      </c>
      <c r="Z1950" s="566">
        <v>0.56108796296296293</v>
      </c>
      <c r="AA1950" s="566">
        <f t="shared" si="209"/>
        <v>1.157407407407407E-2</v>
      </c>
      <c r="AB1950" s="699"/>
    </row>
    <row r="1951" spans="1:28" x14ac:dyDescent="0.3">
      <c r="A1951" s="96" t="s">
        <v>6705</v>
      </c>
      <c r="C1951" s="81">
        <v>43945</v>
      </c>
      <c r="D1951" s="109">
        <v>43983</v>
      </c>
      <c r="E1951" s="81">
        <v>43957</v>
      </c>
      <c r="F1951" s="97" t="s">
        <v>6706</v>
      </c>
      <c r="G1951" s="97" t="s">
        <v>156</v>
      </c>
      <c r="H1951" s="96" t="s">
        <v>213</v>
      </c>
      <c r="I1951" s="97" t="s">
        <v>649</v>
      </c>
      <c r="J1951" s="73">
        <f t="shared" si="212"/>
        <v>1</v>
      </c>
      <c r="K1951" s="74" t="s">
        <v>204</v>
      </c>
      <c r="L1951" s="97" t="s">
        <v>12733</v>
      </c>
      <c r="N1951" s="76" t="s">
        <v>18</v>
      </c>
      <c r="Q1951" s="301" t="s">
        <v>6701</v>
      </c>
      <c r="R1951" s="73">
        <f t="shared" si="213"/>
        <v>1</v>
      </c>
      <c r="S1951" s="260" t="s">
        <v>1976</v>
      </c>
      <c r="T1951" s="260" t="s">
        <v>923</v>
      </c>
      <c r="Y1951" s="566">
        <v>0.92895833333333344</v>
      </c>
      <c r="Z1951" s="566">
        <v>0.93653935185185189</v>
      </c>
      <c r="AA1951" s="566">
        <f t="shared" si="209"/>
        <v>7.5810185185184453E-3</v>
      </c>
      <c r="AB1951" s="699"/>
    </row>
    <row r="1952" spans="1:28" x14ac:dyDescent="0.3">
      <c r="A1952" s="96" t="s">
        <v>6707</v>
      </c>
      <c r="C1952" s="81">
        <v>43942</v>
      </c>
      <c r="D1952" s="109">
        <v>43983</v>
      </c>
      <c r="E1952" s="81">
        <v>43957</v>
      </c>
      <c r="F1952" s="97" t="s">
        <v>6708</v>
      </c>
      <c r="G1952" s="97" t="s">
        <v>156</v>
      </c>
      <c r="H1952" s="96" t="s">
        <v>213</v>
      </c>
      <c r="I1952" s="97" t="s">
        <v>649</v>
      </c>
      <c r="J1952" s="73">
        <f t="shared" ref="J1952:J2000" si="214">IF(OR(K1952="Документы готовы",K1952="Запрос в ФО",K1952="ЭЗ",K1952="РЕШ",K1952="РЕШ шаблон"),0.1,IF(OR(K1952="ЭЗ согласование",K1952="РЕШ согласование"),0.3,IF(OR(K1952="ЭЗ согласовано",K1952="РЕШ согласовано",K1952="РЕШ подписано"),0.6,IF(OR(K1952="ЭЗ ПР согласование",K1952="РЕШ УВ согласование"),0.9,IF(OR(K1952="ЭЗ ПР DONE",K1952="РЕШ УВ DONE"),1,0)))))</f>
        <v>1</v>
      </c>
      <c r="K1952" s="74" t="s">
        <v>204</v>
      </c>
      <c r="L1952" s="97" t="s">
        <v>12733</v>
      </c>
      <c r="N1952" s="76" t="s">
        <v>18</v>
      </c>
      <c r="Q1952" s="301" t="s">
        <v>6701</v>
      </c>
      <c r="R1952" s="73">
        <f t="shared" ref="R1952:R2000" si="215">IF(S1952="В работе",0.3,IF(S1952="Отписано",0.6,IF(S1952="На доработку",0.9,IF(S1952="Согласовано",1,0))))</f>
        <v>1</v>
      </c>
      <c r="S1952" s="260" t="s">
        <v>1976</v>
      </c>
      <c r="T1952" s="260" t="s">
        <v>923</v>
      </c>
      <c r="Y1952" s="566">
        <v>0.93736111111111109</v>
      </c>
      <c r="Z1952" s="566">
        <v>0.94877314814814817</v>
      </c>
      <c r="AA1952" s="566">
        <f t="shared" ref="AA1952:AA2000" si="216">Z1952-Y1952</f>
        <v>1.1412037037037082E-2</v>
      </c>
      <c r="AB1952" s="699"/>
    </row>
    <row r="1953" spans="1:28" x14ac:dyDescent="0.3">
      <c r="A1953" s="96" t="s">
        <v>6709</v>
      </c>
      <c r="C1953" s="81">
        <v>43945</v>
      </c>
      <c r="D1953" s="109">
        <v>43983</v>
      </c>
      <c r="E1953" s="81">
        <v>43957</v>
      </c>
      <c r="F1953" s="97" t="s">
        <v>6710</v>
      </c>
      <c r="G1953" s="97" t="s">
        <v>154</v>
      </c>
      <c r="H1953" s="96" t="s">
        <v>213</v>
      </c>
      <c r="I1953" s="97" t="s">
        <v>3475</v>
      </c>
      <c r="J1953" s="73">
        <f t="shared" si="214"/>
        <v>1</v>
      </c>
      <c r="K1953" s="74" t="s">
        <v>204</v>
      </c>
      <c r="N1953" s="76" t="s">
        <v>19</v>
      </c>
      <c r="Q1953" s="301" t="s">
        <v>6701</v>
      </c>
      <c r="R1953" s="73">
        <f t="shared" si="215"/>
        <v>1</v>
      </c>
      <c r="S1953" s="260" t="s">
        <v>1976</v>
      </c>
      <c r="T1953" s="260" t="s">
        <v>924</v>
      </c>
      <c r="Y1953" s="566">
        <v>0.94945601851851846</v>
      </c>
      <c r="Z1953" s="566">
        <v>0.95291666666666675</v>
      </c>
      <c r="AA1953" s="566">
        <f t="shared" si="216"/>
        <v>3.460648148148282E-3</v>
      </c>
      <c r="AB1953" s="699"/>
    </row>
    <row r="1954" spans="1:28" x14ac:dyDescent="0.3">
      <c r="A1954" s="96" t="s">
        <v>6711</v>
      </c>
      <c r="C1954" s="81">
        <v>43908</v>
      </c>
      <c r="D1954" s="109">
        <v>43987</v>
      </c>
      <c r="E1954" s="81">
        <v>43958</v>
      </c>
      <c r="F1954" s="97" t="s">
        <v>6712</v>
      </c>
      <c r="G1954" s="97" t="s">
        <v>410</v>
      </c>
      <c r="H1954" s="96" t="s">
        <v>213</v>
      </c>
      <c r="I1954" s="97" t="s">
        <v>722</v>
      </c>
      <c r="J1954" s="73">
        <f t="shared" si="214"/>
        <v>1</v>
      </c>
      <c r="K1954" s="260" t="s">
        <v>204</v>
      </c>
      <c r="N1954" s="76" t="s">
        <v>17</v>
      </c>
      <c r="Q1954" s="301" t="s">
        <v>2037</v>
      </c>
      <c r="R1954" s="73">
        <f t="shared" si="215"/>
        <v>1</v>
      </c>
      <c r="S1954" s="260" t="s">
        <v>1976</v>
      </c>
      <c r="T1954" s="260" t="s">
        <v>923</v>
      </c>
      <c r="Y1954" s="566">
        <v>0.34302083333333333</v>
      </c>
      <c r="Z1954" s="566">
        <v>0.35114583333333332</v>
      </c>
      <c r="AA1954" s="566">
        <f t="shared" si="216"/>
        <v>8.1249999999999933E-3</v>
      </c>
      <c r="AB1954" s="699"/>
    </row>
    <row r="1955" spans="1:28" x14ac:dyDescent="0.3">
      <c r="A1955" s="96" t="s">
        <v>6718</v>
      </c>
      <c r="C1955" s="81">
        <v>43945</v>
      </c>
      <c r="D1955" s="109">
        <v>43983</v>
      </c>
      <c r="E1955" s="81">
        <v>43958</v>
      </c>
      <c r="F1955" s="97" t="s">
        <v>6719</v>
      </c>
      <c r="G1955" s="97" t="s">
        <v>156</v>
      </c>
      <c r="H1955" s="96" t="s">
        <v>213</v>
      </c>
      <c r="I1955" s="97" t="s">
        <v>1113</v>
      </c>
      <c r="J1955" s="73">
        <f t="shared" si="214"/>
        <v>1</v>
      </c>
      <c r="K1955" s="74" t="s">
        <v>204</v>
      </c>
      <c r="N1955" s="76" t="s">
        <v>18</v>
      </c>
      <c r="Q1955" s="301" t="s">
        <v>6701</v>
      </c>
      <c r="R1955" s="73">
        <f t="shared" si="215"/>
        <v>1</v>
      </c>
      <c r="S1955" s="260" t="s">
        <v>1976</v>
      </c>
      <c r="T1955" s="260" t="s">
        <v>923</v>
      </c>
      <c r="Y1955" s="566">
        <v>0.83468749999999992</v>
      </c>
      <c r="Z1955" s="566">
        <v>0.84604166666666669</v>
      </c>
      <c r="AA1955" s="566">
        <f t="shared" si="216"/>
        <v>1.1354166666666776E-2</v>
      </c>
      <c r="AB1955" s="699"/>
    </row>
    <row r="1956" spans="1:28" x14ac:dyDescent="0.3">
      <c r="A1956" s="96" t="s">
        <v>6722</v>
      </c>
      <c r="C1956" s="81">
        <v>43945</v>
      </c>
      <c r="D1956" s="109">
        <v>43983</v>
      </c>
      <c r="E1956" s="81">
        <v>43959</v>
      </c>
      <c r="F1956" s="97" t="s">
        <v>6723</v>
      </c>
      <c r="G1956" s="97" t="s">
        <v>6493</v>
      </c>
      <c r="H1956" s="96" t="s">
        <v>213</v>
      </c>
      <c r="I1956" s="97" t="s">
        <v>3475</v>
      </c>
      <c r="J1956" s="73">
        <f t="shared" si="214"/>
        <v>1</v>
      </c>
      <c r="K1956" s="74" t="s">
        <v>204</v>
      </c>
      <c r="N1956" s="76" t="s">
        <v>19</v>
      </c>
      <c r="Q1956" s="301" t="s">
        <v>6701</v>
      </c>
      <c r="R1956" s="73">
        <f t="shared" si="215"/>
        <v>1</v>
      </c>
      <c r="S1956" s="260" t="s">
        <v>1976</v>
      </c>
      <c r="T1956" s="260" t="s">
        <v>924</v>
      </c>
      <c r="Y1956" s="566">
        <v>0.48143518518518519</v>
      </c>
      <c r="Z1956" s="566">
        <v>0.48440972222222217</v>
      </c>
      <c r="AA1956" s="566">
        <f t="shared" si="216"/>
        <v>2.9745370370369839E-3</v>
      </c>
      <c r="AB1956" s="699"/>
    </row>
    <row r="1957" spans="1:28" x14ac:dyDescent="0.3">
      <c r="A1957" s="96" t="s">
        <v>6731</v>
      </c>
      <c r="C1957" s="81">
        <v>43945</v>
      </c>
      <c r="D1957" s="109">
        <v>43983</v>
      </c>
      <c r="E1957" s="81">
        <v>43962</v>
      </c>
      <c r="F1957" s="97" t="s">
        <v>6732</v>
      </c>
      <c r="G1957" s="97" t="s">
        <v>152</v>
      </c>
      <c r="H1957" s="96" t="s">
        <v>213</v>
      </c>
      <c r="I1957" s="97" t="s">
        <v>649</v>
      </c>
      <c r="J1957" s="73">
        <f t="shared" si="214"/>
        <v>1</v>
      </c>
      <c r="K1957" s="74" t="s">
        <v>204</v>
      </c>
      <c r="L1957" s="97" t="s">
        <v>12733</v>
      </c>
      <c r="N1957" s="76" t="s">
        <v>18</v>
      </c>
      <c r="Q1957" s="301" t="s">
        <v>6701</v>
      </c>
      <c r="R1957" s="73">
        <f t="shared" si="215"/>
        <v>1</v>
      </c>
      <c r="S1957" s="260" t="s">
        <v>1976</v>
      </c>
      <c r="T1957" s="260" t="s">
        <v>923</v>
      </c>
      <c r="Y1957" s="566">
        <v>0.88944444444444448</v>
      </c>
      <c r="Z1957" s="566">
        <v>0.90298611111111116</v>
      </c>
      <c r="AA1957" s="566">
        <f t="shared" si="216"/>
        <v>1.3541666666666674E-2</v>
      </c>
      <c r="AB1957" s="699"/>
    </row>
    <row r="1958" spans="1:28" x14ac:dyDescent="0.3">
      <c r="A1958" s="96" t="s">
        <v>6733</v>
      </c>
      <c r="C1958" s="81">
        <v>43917</v>
      </c>
      <c r="D1958" s="109">
        <v>43998</v>
      </c>
      <c r="E1958" s="81">
        <v>43962</v>
      </c>
      <c r="F1958" s="97" t="s">
        <v>6734</v>
      </c>
      <c r="G1958" s="97" t="s">
        <v>152</v>
      </c>
      <c r="H1958" s="96" t="s">
        <v>213</v>
      </c>
      <c r="I1958" s="97" t="s">
        <v>714</v>
      </c>
      <c r="J1958" s="73">
        <f t="shared" si="214"/>
        <v>1</v>
      </c>
      <c r="K1958" s="260" t="s">
        <v>204</v>
      </c>
      <c r="N1958" s="76" t="s">
        <v>18</v>
      </c>
      <c r="Q1958" s="301" t="s">
        <v>6701</v>
      </c>
      <c r="R1958" s="73">
        <f t="shared" si="215"/>
        <v>1</v>
      </c>
      <c r="S1958" s="260" t="s">
        <v>1976</v>
      </c>
      <c r="T1958" s="260" t="s">
        <v>923</v>
      </c>
      <c r="Y1958" s="566">
        <v>0.90430555555555558</v>
      </c>
      <c r="Z1958" s="566">
        <v>0.91009259259259256</v>
      </c>
      <c r="AA1958" s="566">
        <f t="shared" si="216"/>
        <v>5.7870370370369795E-3</v>
      </c>
      <c r="AB1958" s="699"/>
    </row>
    <row r="1959" spans="1:28" x14ac:dyDescent="0.3">
      <c r="A1959" s="96" t="s">
        <v>6737</v>
      </c>
      <c r="C1959" s="81">
        <v>43913</v>
      </c>
      <c r="D1959" s="109">
        <v>43978</v>
      </c>
      <c r="E1959" s="81">
        <v>43963</v>
      </c>
      <c r="F1959" s="97" t="s">
        <v>6738</v>
      </c>
      <c r="G1959" s="97" t="s">
        <v>152</v>
      </c>
      <c r="H1959" s="96" t="s">
        <v>213</v>
      </c>
      <c r="I1959" s="97" t="s">
        <v>714</v>
      </c>
      <c r="J1959" s="73">
        <f t="shared" si="214"/>
        <v>1</v>
      </c>
      <c r="K1959" s="260" t="s">
        <v>204</v>
      </c>
      <c r="N1959" s="76" t="s">
        <v>17</v>
      </c>
      <c r="Q1959" s="301" t="s">
        <v>2142</v>
      </c>
      <c r="R1959" s="73">
        <f t="shared" si="215"/>
        <v>1</v>
      </c>
      <c r="S1959" s="260" t="s">
        <v>1976</v>
      </c>
      <c r="T1959" s="260" t="s">
        <v>923</v>
      </c>
      <c r="Y1959" s="566">
        <v>0.63151620370370376</v>
      </c>
      <c r="Z1959" s="566">
        <v>0.64077546296296295</v>
      </c>
      <c r="AA1959" s="566">
        <f t="shared" si="216"/>
        <v>9.2592592592591894E-3</v>
      </c>
      <c r="AB1959" s="699"/>
    </row>
    <row r="1960" spans="1:28" x14ac:dyDescent="0.3">
      <c r="A1960" s="96" t="s">
        <v>6739</v>
      </c>
      <c r="C1960" s="81">
        <v>43914</v>
      </c>
      <c r="D1960" s="109">
        <v>43978</v>
      </c>
      <c r="E1960" s="81">
        <v>43963</v>
      </c>
      <c r="F1960" s="97" t="s">
        <v>6740</v>
      </c>
      <c r="G1960" s="97" t="s">
        <v>181</v>
      </c>
      <c r="H1960" s="96" t="s">
        <v>213</v>
      </c>
      <c r="I1960" s="97" t="s">
        <v>714</v>
      </c>
      <c r="J1960" s="73">
        <f t="shared" si="214"/>
        <v>1</v>
      </c>
      <c r="K1960" s="260" t="s">
        <v>204</v>
      </c>
      <c r="N1960" s="76" t="s">
        <v>18</v>
      </c>
      <c r="Q1960" s="301" t="s">
        <v>2037</v>
      </c>
      <c r="R1960" s="73">
        <f t="shared" si="215"/>
        <v>1</v>
      </c>
      <c r="S1960" s="260" t="s">
        <v>1976</v>
      </c>
      <c r="T1960" s="260" t="s">
        <v>925</v>
      </c>
      <c r="U1960" s="301" t="s">
        <v>5283</v>
      </c>
      <c r="V1960" s="301" t="s">
        <v>6741</v>
      </c>
      <c r="Y1960" s="566">
        <v>0.64233796296296297</v>
      </c>
      <c r="Z1960" s="566">
        <v>0.64869212962962963</v>
      </c>
      <c r="AA1960" s="566">
        <f t="shared" si="216"/>
        <v>6.3541666666666607E-3</v>
      </c>
      <c r="AB1960" s="699"/>
    </row>
    <row r="1961" spans="1:28" x14ac:dyDescent="0.3">
      <c r="A1961" s="96" t="s">
        <v>6743</v>
      </c>
      <c r="C1961" s="81">
        <v>43914</v>
      </c>
      <c r="D1961" s="109">
        <v>43979</v>
      </c>
      <c r="E1961" s="81">
        <v>43970</v>
      </c>
      <c r="F1961" s="86" t="s">
        <v>6744</v>
      </c>
      <c r="G1961" s="86" t="s">
        <v>158</v>
      </c>
      <c r="H1961" s="96" t="s">
        <v>213</v>
      </c>
      <c r="I1961" s="97" t="s">
        <v>714</v>
      </c>
      <c r="J1961" s="73">
        <f t="shared" si="214"/>
        <v>1</v>
      </c>
      <c r="K1961" s="260" t="s">
        <v>204</v>
      </c>
      <c r="N1961" s="76" t="s">
        <v>17</v>
      </c>
      <c r="Q1961" s="301" t="s">
        <v>2109</v>
      </c>
      <c r="R1961" s="73">
        <f t="shared" si="215"/>
        <v>1</v>
      </c>
      <c r="S1961" s="260" t="s">
        <v>1976</v>
      </c>
      <c r="T1961" s="260" t="s">
        <v>923</v>
      </c>
      <c r="Y1961" s="566">
        <v>0.39071759259259259</v>
      </c>
      <c r="Z1961" s="566">
        <v>0.39899305555555559</v>
      </c>
      <c r="AA1961" s="566">
        <f t="shared" si="216"/>
        <v>8.2754629629629983E-3</v>
      </c>
      <c r="AB1961" s="699"/>
    </row>
    <row r="1962" spans="1:28" x14ac:dyDescent="0.3">
      <c r="A1962" s="96" t="s">
        <v>6745</v>
      </c>
      <c r="C1962" s="81">
        <v>43948</v>
      </c>
      <c r="D1962" s="109">
        <v>43983</v>
      </c>
      <c r="E1962" s="81">
        <v>43964</v>
      </c>
      <c r="F1962" s="124" t="s">
        <v>6746</v>
      </c>
      <c r="G1962" s="97" t="s">
        <v>152</v>
      </c>
      <c r="H1962" s="96" t="s">
        <v>268</v>
      </c>
      <c r="I1962" s="97" t="s">
        <v>622</v>
      </c>
      <c r="J1962" s="73">
        <f t="shared" si="214"/>
        <v>1</v>
      </c>
      <c r="K1962" s="74" t="s">
        <v>204</v>
      </c>
      <c r="N1962" s="76" t="s">
        <v>19</v>
      </c>
      <c r="Q1962" s="301" t="s">
        <v>2142</v>
      </c>
      <c r="R1962" s="73">
        <f t="shared" si="215"/>
        <v>1</v>
      </c>
      <c r="S1962" s="260" t="s">
        <v>1976</v>
      </c>
      <c r="T1962" s="260" t="s">
        <v>924</v>
      </c>
      <c r="Y1962" s="566">
        <v>0.50162037037037044</v>
      </c>
      <c r="Z1962" s="566">
        <v>0.51098379629629631</v>
      </c>
      <c r="AA1962" s="566">
        <f t="shared" si="216"/>
        <v>9.3634259259258723E-3</v>
      </c>
      <c r="AB1962" s="699"/>
    </row>
    <row r="1963" spans="1:28" x14ac:dyDescent="0.3">
      <c r="A1963" s="79" t="s">
        <v>6464</v>
      </c>
      <c r="C1963" s="115">
        <v>43903</v>
      </c>
      <c r="D1963" s="312">
        <v>43984</v>
      </c>
      <c r="E1963" s="81">
        <v>43964</v>
      </c>
      <c r="F1963" s="86" t="s">
        <v>6492</v>
      </c>
      <c r="G1963" s="86" t="s">
        <v>156</v>
      </c>
      <c r="H1963" s="96" t="s">
        <v>213</v>
      </c>
      <c r="I1963" s="97" t="s">
        <v>714</v>
      </c>
      <c r="J1963" s="73">
        <f t="shared" si="214"/>
        <v>1</v>
      </c>
      <c r="K1963" s="260" t="s">
        <v>204</v>
      </c>
      <c r="N1963" s="76" t="s">
        <v>18</v>
      </c>
      <c r="Q1963" s="76" t="s">
        <v>2076</v>
      </c>
      <c r="R1963" s="73">
        <f t="shared" si="215"/>
        <v>1</v>
      </c>
      <c r="S1963" s="260" t="s">
        <v>1976</v>
      </c>
      <c r="T1963" s="260" t="s">
        <v>923</v>
      </c>
      <c r="Y1963" s="566">
        <v>0.59908564814814813</v>
      </c>
      <c r="Z1963" s="566">
        <v>0.60984953703703704</v>
      </c>
      <c r="AA1963" s="566">
        <f t="shared" si="216"/>
        <v>1.0763888888888906E-2</v>
      </c>
      <c r="AB1963" s="699"/>
    </row>
    <row r="1964" spans="1:28" x14ac:dyDescent="0.3">
      <c r="A1964" s="79" t="s">
        <v>5745</v>
      </c>
      <c r="C1964" s="115">
        <v>43903</v>
      </c>
      <c r="D1964" s="312">
        <v>43984</v>
      </c>
      <c r="E1964" s="81">
        <v>43964</v>
      </c>
      <c r="F1964" s="86" t="s">
        <v>5775</v>
      </c>
      <c r="G1964" s="86" t="s">
        <v>156</v>
      </c>
      <c r="H1964" s="96" t="s">
        <v>213</v>
      </c>
      <c r="I1964" s="97" t="s">
        <v>642</v>
      </c>
      <c r="J1964" s="73">
        <f t="shared" si="214"/>
        <v>1</v>
      </c>
      <c r="K1964" s="260" t="s">
        <v>204</v>
      </c>
      <c r="N1964" s="76" t="s">
        <v>18</v>
      </c>
      <c r="Q1964" s="76" t="s">
        <v>2076</v>
      </c>
      <c r="R1964" s="73">
        <f t="shared" si="215"/>
        <v>1</v>
      </c>
      <c r="S1964" s="260" t="s">
        <v>1976</v>
      </c>
      <c r="T1964" s="260" t="s">
        <v>923</v>
      </c>
      <c r="Y1964" s="566">
        <v>0.61077546296296303</v>
      </c>
      <c r="Z1964" s="566">
        <v>0.62065972222222221</v>
      </c>
      <c r="AA1964" s="566">
        <f t="shared" si="216"/>
        <v>9.884259259259176E-3</v>
      </c>
      <c r="AB1964" s="699"/>
    </row>
    <row r="1965" spans="1:28" x14ac:dyDescent="0.3">
      <c r="A1965" s="79" t="s">
        <v>5748</v>
      </c>
      <c r="C1965" s="115">
        <v>43906</v>
      </c>
      <c r="D1965" s="312">
        <v>43985</v>
      </c>
      <c r="E1965" s="81">
        <v>43965</v>
      </c>
      <c r="F1965" s="86" t="s">
        <v>5778</v>
      </c>
      <c r="G1965" s="86" t="s">
        <v>189</v>
      </c>
      <c r="H1965" s="96" t="s">
        <v>213</v>
      </c>
      <c r="I1965" s="97" t="s">
        <v>642</v>
      </c>
      <c r="J1965" s="73">
        <f t="shared" si="214"/>
        <v>1</v>
      </c>
      <c r="K1965" s="260" t="s">
        <v>204</v>
      </c>
      <c r="N1965" s="76" t="s">
        <v>18</v>
      </c>
      <c r="Q1965" s="76" t="s">
        <v>2076</v>
      </c>
      <c r="R1965" s="73">
        <f t="shared" si="215"/>
        <v>1</v>
      </c>
      <c r="S1965" s="260" t="s">
        <v>1976</v>
      </c>
      <c r="T1965" s="260" t="s">
        <v>924</v>
      </c>
      <c r="Y1965" s="566">
        <v>0.90224537037037045</v>
      </c>
      <c r="Z1965" s="566">
        <v>0.90568287037037043</v>
      </c>
      <c r="AA1965" s="566">
        <f t="shared" si="216"/>
        <v>3.4374999999999822E-3</v>
      </c>
      <c r="AB1965" s="699"/>
    </row>
    <row r="1966" spans="1:28" x14ac:dyDescent="0.3">
      <c r="A1966" s="79" t="s">
        <v>5749</v>
      </c>
      <c r="C1966" s="115">
        <v>43906</v>
      </c>
      <c r="D1966" s="312">
        <v>43984</v>
      </c>
      <c r="E1966" s="81">
        <v>43964</v>
      </c>
      <c r="F1966" s="86" t="s">
        <v>5779</v>
      </c>
      <c r="G1966" s="86" t="s">
        <v>147</v>
      </c>
      <c r="H1966" s="96" t="s">
        <v>213</v>
      </c>
      <c r="I1966" s="97" t="s">
        <v>641</v>
      </c>
      <c r="J1966" s="73">
        <f t="shared" si="214"/>
        <v>1</v>
      </c>
      <c r="K1966" s="260" t="s">
        <v>204</v>
      </c>
      <c r="N1966" s="76" t="s">
        <v>18</v>
      </c>
      <c r="Q1966" s="76" t="s">
        <v>2076</v>
      </c>
      <c r="R1966" s="73">
        <f t="shared" si="215"/>
        <v>1</v>
      </c>
      <c r="S1966" s="260" t="s">
        <v>1976</v>
      </c>
      <c r="T1966" s="260" t="s">
        <v>924</v>
      </c>
      <c r="Y1966" s="566">
        <v>0.62939814814814821</v>
      </c>
      <c r="Z1966" s="566">
        <v>0.63832175925925927</v>
      </c>
      <c r="AA1966" s="566">
        <f t="shared" si="216"/>
        <v>8.9236111111110628E-3</v>
      </c>
      <c r="AB1966" s="699"/>
    </row>
    <row r="1967" spans="1:28" x14ac:dyDescent="0.3">
      <c r="A1967" s="79" t="s">
        <v>5751</v>
      </c>
      <c r="C1967" s="115">
        <v>43906</v>
      </c>
      <c r="D1967" s="312">
        <v>43985</v>
      </c>
      <c r="E1967" s="81">
        <v>43965</v>
      </c>
      <c r="F1967" s="86" t="s">
        <v>5781</v>
      </c>
      <c r="G1967" s="86" t="s">
        <v>156</v>
      </c>
      <c r="H1967" s="96" t="s">
        <v>213</v>
      </c>
      <c r="I1967" s="97" t="s">
        <v>642</v>
      </c>
      <c r="J1967" s="73">
        <f t="shared" si="214"/>
        <v>1</v>
      </c>
      <c r="K1967" s="260" t="s">
        <v>204</v>
      </c>
      <c r="N1967" s="76" t="s">
        <v>18</v>
      </c>
      <c r="Q1967" s="76" t="s">
        <v>2076</v>
      </c>
      <c r="R1967" s="73">
        <f t="shared" si="215"/>
        <v>1</v>
      </c>
      <c r="S1967" s="260" t="s">
        <v>1976</v>
      </c>
      <c r="T1967" s="260" t="s">
        <v>923</v>
      </c>
      <c r="Y1967" s="566">
        <v>0.898900462962963</v>
      </c>
      <c r="Z1967" s="566">
        <v>0.9018518518518519</v>
      </c>
      <c r="AA1967" s="566">
        <f t="shared" si="216"/>
        <v>2.9513888888889062E-3</v>
      </c>
      <c r="AB1967" s="699"/>
    </row>
    <row r="1968" spans="1:28" x14ac:dyDescent="0.3">
      <c r="A1968" s="96" t="s">
        <v>5753</v>
      </c>
      <c r="C1968" s="115">
        <v>43906</v>
      </c>
      <c r="D1968" s="312">
        <v>43985</v>
      </c>
      <c r="E1968" s="81">
        <v>43965</v>
      </c>
      <c r="F1968" s="86" t="s">
        <v>5783</v>
      </c>
      <c r="G1968" s="86" t="s">
        <v>154</v>
      </c>
      <c r="H1968" s="96" t="s">
        <v>213</v>
      </c>
      <c r="I1968" s="97" t="s">
        <v>714</v>
      </c>
      <c r="J1968" s="73">
        <f t="shared" si="214"/>
        <v>1</v>
      </c>
      <c r="K1968" s="260" t="s">
        <v>204</v>
      </c>
      <c r="L1968" s="97" t="s">
        <v>6794</v>
      </c>
      <c r="N1968" s="76" t="s">
        <v>17</v>
      </c>
      <c r="Q1968" s="76" t="s">
        <v>2076</v>
      </c>
      <c r="R1968" s="73">
        <f t="shared" si="215"/>
        <v>1</v>
      </c>
      <c r="S1968" s="260" t="s">
        <v>1976</v>
      </c>
      <c r="T1968" s="260" t="s">
        <v>925</v>
      </c>
      <c r="Y1968" s="566">
        <v>0.87771990740740735</v>
      </c>
      <c r="Z1968" s="566">
        <v>0.89866898148148155</v>
      </c>
      <c r="AA1968" s="566">
        <f t="shared" si="216"/>
        <v>2.0949074074074203E-2</v>
      </c>
      <c r="AB1968" s="699"/>
    </row>
    <row r="1969" spans="1:28" x14ac:dyDescent="0.3">
      <c r="A1969" s="79" t="s">
        <v>5843</v>
      </c>
      <c r="C1969" s="115">
        <v>43907</v>
      </c>
      <c r="D1969" s="312">
        <v>43986</v>
      </c>
      <c r="E1969" s="81">
        <v>43965</v>
      </c>
      <c r="F1969" s="86" t="s">
        <v>5909</v>
      </c>
      <c r="G1969" s="86" t="s">
        <v>152</v>
      </c>
      <c r="H1969" s="96" t="s">
        <v>213</v>
      </c>
      <c r="I1969" s="97" t="s">
        <v>6782</v>
      </c>
      <c r="J1969" s="73">
        <f t="shared" si="214"/>
        <v>1</v>
      </c>
      <c r="K1969" s="260" t="s">
        <v>204</v>
      </c>
      <c r="L1969" s="97" t="s">
        <v>12721</v>
      </c>
      <c r="N1969" s="76" t="s">
        <v>17</v>
      </c>
      <c r="Q1969" s="76" t="s">
        <v>2076</v>
      </c>
      <c r="R1969" s="73">
        <f t="shared" si="215"/>
        <v>1</v>
      </c>
      <c r="S1969" s="260" t="s">
        <v>1976</v>
      </c>
      <c r="T1969" s="260" t="s">
        <v>923</v>
      </c>
      <c r="U1969" s="301" t="s">
        <v>5283</v>
      </c>
      <c r="V1969" s="301" t="s">
        <v>6783</v>
      </c>
      <c r="Y1969" s="566">
        <v>0.53311342592592592</v>
      </c>
      <c r="Z1969" s="566">
        <v>0.57059027777777771</v>
      </c>
      <c r="AA1969" s="566">
        <f t="shared" si="216"/>
        <v>3.7476851851851789E-2</v>
      </c>
      <c r="AB1969" s="699"/>
    </row>
    <row r="1970" spans="1:28" x14ac:dyDescent="0.3">
      <c r="A1970" s="79" t="s">
        <v>5850</v>
      </c>
      <c r="C1970" s="115">
        <v>43907</v>
      </c>
      <c r="D1970" s="312">
        <v>43986</v>
      </c>
      <c r="E1970" s="81">
        <v>43965</v>
      </c>
      <c r="F1970" s="86" t="s">
        <v>5916</v>
      </c>
      <c r="G1970" s="86" t="s">
        <v>147</v>
      </c>
      <c r="H1970" s="96" t="s">
        <v>213</v>
      </c>
      <c r="I1970" s="97" t="s">
        <v>714</v>
      </c>
      <c r="J1970" s="73">
        <f t="shared" si="214"/>
        <v>1</v>
      </c>
      <c r="K1970" s="260" t="s">
        <v>204</v>
      </c>
      <c r="N1970" s="76" t="s">
        <v>17</v>
      </c>
      <c r="Q1970" s="76" t="s">
        <v>2142</v>
      </c>
      <c r="R1970" s="73">
        <f t="shared" si="215"/>
        <v>1</v>
      </c>
      <c r="S1970" s="260" t="s">
        <v>1976</v>
      </c>
      <c r="T1970" s="260" t="s">
        <v>923</v>
      </c>
      <c r="Y1970" s="566">
        <v>0.92333333333333334</v>
      </c>
      <c r="Z1970" s="566">
        <v>0.93490740740740741</v>
      </c>
      <c r="AA1970" s="566">
        <f t="shared" si="216"/>
        <v>1.157407407407407E-2</v>
      </c>
      <c r="AB1970" s="699"/>
    </row>
    <row r="1971" spans="1:28" x14ac:dyDescent="0.3">
      <c r="A1971" s="79" t="s">
        <v>6748</v>
      </c>
      <c r="C1971" s="115">
        <v>43907</v>
      </c>
      <c r="D1971" s="312">
        <v>43986</v>
      </c>
      <c r="E1971" s="81">
        <v>43965</v>
      </c>
      <c r="F1971" s="86" t="s">
        <v>6759</v>
      </c>
      <c r="G1971" s="86" t="s">
        <v>152</v>
      </c>
      <c r="H1971" s="96" t="s">
        <v>213</v>
      </c>
      <c r="I1971" s="97" t="s">
        <v>714</v>
      </c>
      <c r="J1971" s="73">
        <f t="shared" si="214"/>
        <v>1</v>
      </c>
      <c r="K1971" s="260" t="s">
        <v>204</v>
      </c>
      <c r="L1971" s="97" t="s">
        <v>12722</v>
      </c>
      <c r="N1971" s="76" t="s">
        <v>17</v>
      </c>
      <c r="Q1971" s="76" t="s">
        <v>2417</v>
      </c>
      <c r="R1971" s="73">
        <f t="shared" si="215"/>
        <v>1</v>
      </c>
      <c r="S1971" s="260" t="s">
        <v>1976</v>
      </c>
      <c r="T1971" s="260" t="s">
        <v>925</v>
      </c>
      <c r="U1971" s="301" t="s">
        <v>5283</v>
      </c>
      <c r="V1971" s="301" t="s">
        <v>6787</v>
      </c>
      <c r="Y1971" s="566">
        <v>0.81620370370370365</v>
      </c>
      <c r="Z1971" s="566">
        <v>0.83054398148148145</v>
      </c>
      <c r="AA1971" s="566">
        <f t="shared" si="216"/>
        <v>1.4340277777777799E-2</v>
      </c>
      <c r="AB1971" s="699"/>
    </row>
    <row r="1972" spans="1:28" x14ac:dyDescent="0.3">
      <c r="A1972" s="79" t="s">
        <v>5851</v>
      </c>
      <c r="C1972" s="115">
        <v>43907</v>
      </c>
      <c r="D1972" s="312">
        <v>43986</v>
      </c>
      <c r="E1972" s="81">
        <v>43969</v>
      </c>
      <c r="F1972" s="86" t="s">
        <v>5917</v>
      </c>
      <c r="G1972" s="86" t="s">
        <v>3280</v>
      </c>
      <c r="H1972" s="96" t="s">
        <v>213</v>
      </c>
      <c r="I1972" s="97" t="s">
        <v>714</v>
      </c>
      <c r="J1972" s="73">
        <f t="shared" si="214"/>
        <v>1</v>
      </c>
      <c r="K1972" s="260" t="s">
        <v>204</v>
      </c>
      <c r="N1972" s="76" t="s">
        <v>18</v>
      </c>
      <c r="Q1972" s="76" t="s">
        <v>2417</v>
      </c>
      <c r="R1972" s="73">
        <f t="shared" si="215"/>
        <v>1</v>
      </c>
      <c r="S1972" s="260" t="s">
        <v>1976</v>
      </c>
      <c r="T1972" s="260" t="s">
        <v>924</v>
      </c>
      <c r="Y1972" s="566">
        <v>0.59059027777777773</v>
      </c>
      <c r="Z1972" s="566">
        <v>0.5976041666666666</v>
      </c>
      <c r="AA1972" s="566">
        <f t="shared" si="216"/>
        <v>7.0138888888888751E-3</v>
      </c>
      <c r="AB1972" s="699"/>
    </row>
    <row r="1973" spans="1:28" x14ac:dyDescent="0.3">
      <c r="A1973" s="79" t="s">
        <v>6749</v>
      </c>
      <c r="C1973" s="115">
        <v>43907</v>
      </c>
      <c r="D1973" s="312">
        <v>43986</v>
      </c>
      <c r="E1973" s="81">
        <v>43965</v>
      </c>
      <c r="F1973" s="86" t="s">
        <v>6760</v>
      </c>
      <c r="G1973" s="86" t="s">
        <v>186</v>
      </c>
      <c r="H1973" s="96" t="s">
        <v>213</v>
      </c>
      <c r="I1973" s="97" t="s">
        <v>714</v>
      </c>
      <c r="J1973" s="73">
        <f t="shared" si="214"/>
        <v>1</v>
      </c>
      <c r="K1973" s="260" t="s">
        <v>204</v>
      </c>
      <c r="N1973" s="76" t="s">
        <v>17</v>
      </c>
      <c r="Q1973" s="76" t="s">
        <v>2142</v>
      </c>
      <c r="R1973" s="73">
        <f t="shared" si="215"/>
        <v>1</v>
      </c>
      <c r="S1973" s="260" t="s">
        <v>1976</v>
      </c>
      <c r="T1973" s="260" t="s">
        <v>925</v>
      </c>
      <c r="Y1973" s="566">
        <v>0.91287037037037033</v>
      </c>
      <c r="Z1973" s="566">
        <v>0.91835648148148152</v>
      </c>
      <c r="AA1973" s="566">
        <f t="shared" si="216"/>
        <v>5.4861111111111915E-3</v>
      </c>
      <c r="AB1973" s="699"/>
    </row>
    <row r="1974" spans="1:28" x14ac:dyDescent="0.3">
      <c r="A1974" s="79" t="s">
        <v>5853</v>
      </c>
      <c r="C1974" s="115">
        <v>43907</v>
      </c>
      <c r="D1974" s="312">
        <v>43986</v>
      </c>
      <c r="E1974" s="81">
        <v>43969</v>
      </c>
      <c r="F1974" s="86" t="s">
        <v>5919</v>
      </c>
      <c r="G1974" s="86" t="s">
        <v>150</v>
      </c>
      <c r="H1974" s="96" t="s">
        <v>213</v>
      </c>
      <c r="I1974" s="97" t="s">
        <v>6088</v>
      </c>
      <c r="J1974" s="73">
        <f t="shared" si="214"/>
        <v>1</v>
      </c>
      <c r="K1974" s="260" t="s">
        <v>204</v>
      </c>
      <c r="N1974" s="76" t="s">
        <v>17</v>
      </c>
      <c r="Q1974" s="76" t="s">
        <v>2076</v>
      </c>
      <c r="R1974" s="73">
        <f t="shared" si="215"/>
        <v>1</v>
      </c>
      <c r="S1974" s="260" t="s">
        <v>1976</v>
      </c>
      <c r="T1974" s="260" t="s">
        <v>924</v>
      </c>
      <c r="Y1974" s="566">
        <v>0.64946759259259257</v>
      </c>
      <c r="Z1974" s="566">
        <v>0.6610300925925926</v>
      </c>
      <c r="AA1974" s="566">
        <f t="shared" si="216"/>
        <v>1.1562500000000031E-2</v>
      </c>
      <c r="AB1974" s="699"/>
    </row>
    <row r="1975" spans="1:28" x14ac:dyDescent="0.3">
      <c r="A1975" s="79" t="s">
        <v>5766</v>
      </c>
      <c r="C1975" s="115">
        <v>43907</v>
      </c>
      <c r="D1975" s="312">
        <v>43985</v>
      </c>
      <c r="E1975" s="81">
        <v>43965</v>
      </c>
      <c r="F1975" s="86" t="s">
        <v>5796</v>
      </c>
      <c r="G1975" s="86" t="s">
        <v>158</v>
      </c>
      <c r="H1975" s="79" t="s">
        <v>268</v>
      </c>
      <c r="I1975" s="97" t="s">
        <v>642</v>
      </c>
      <c r="J1975" s="73">
        <f t="shared" si="214"/>
        <v>1</v>
      </c>
      <c r="K1975" s="260" t="s">
        <v>204</v>
      </c>
      <c r="L1975" s="97" t="s">
        <v>6795</v>
      </c>
      <c r="N1975" s="76" t="s">
        <v>17</v>
      </c>
      <c r="Q1975" s="76" t="s">
        <v>2142</v>
      </c>
      <c r="R1975" s="73">
        <f t="shared" si="215"/>
        <v>1</v>
      </c>
      <c r="S1975" s="260" t="s">
        <v>1976</v>
      </c>
      <c r="T1975" s="260" t="s">
        <v>925</v>
      </c>
      <c r="Y1975" s="566">
        <v>0.93582175925925926</v>
      </c>
      <c r="Z1975" s="566">
        <v>0.95287037037037037</v>
      </c>
      <c r="AA1975" s="566">
        <f t="shared" si="216"/>
        <v>1.7048611111111112E-2</v>
      </c>
      <c r="AB1975" s="699"/>
    </row>
    <row r="1976" spans="1:28" x14ac:dyDescent="0.3">
      <c r="A1976" s="79" t="s">
        <v>5855</v>
      </c>
      <c r="C1976" s="115">
        <v>43907</v>
      </c>
      <c r="D1976" s="312">
        <v>43986</v>
      </c>
      <c r="E1976" s="81">
        <v>43966</v>
      </c>
      <c r="F1976" s="86" t="s">
        <v>5921</v>
      </c>
      <c r="G1976" s="86" t="s">
        <v>147</v>
      </c>
      <c r="H1976" s="96" t="s">
        <v>213</v>
      </c>
      <c r="I1976" s="97" t="s">
        <v>642</v>
      </c>
      <c r="J1976" s="73">
        <f t="shared" si="214"/>
        <v>1</v>
      </c>
      <c r="K1976" s="260" t="s">
        <v>204</v>
      </c>
      <c r="N1976" s="76" t="s">
        <v>18</v>
      </c>
      <c r="Q1976" s="76" t="s">
        <v>2417</v>
      </c>
      <c r="R1976" s="73">
        <f t="shared" si="215"/>
        <v>1</v>
      </c>
      <c r="S1976" s="260" t="s">
        <v>1976</v>
      </c>
      <c r="T1976" s="260" t="s">
        <v>924</v>
      </c>
      <c r="Y1976" s="566">
        <v>0.76878472222222216</v>
      </c>
      <c r="Z1976" s="566">
        <v>0.77563657407407405</v>
      </c>
      <c r="AA1976" s="566">
        <f t="shared" si="216"/>
        <v>6.8518518518518867E-3</v>
      </c>
      <c r="AB1976" s="699"/>
    </row>
    <row r="1977" spans="1:28" x14ac:dyDescent="0.3">
      <c r="A1977" s="79" t="s">
        <v>5856</v>
      </c>
      <c r="C1977" s="115">
        <v>43908</v>
      </c>
      <c r="D1977" s="312">
        <v>43987</v>
      </c>
      <c r="E1977" s="81">
        <v>43964</v>
      </c>
      <c r="F1977" s="86" t="s">
        <v>5922</v>
      </c>
      <c r="G1977" s="86" t="s">
        <v>150</v>
      </c>
      <c r="H1977" s="96" t="s">
        <v>213</v>
      </c>
      <c r="I1977" s="97" t="s">
        <v>714</v>
      </c>
      <c r="J1977" s="73">
        <f t="shared" si="214"/>
        <v>1</v>
      </c>
      <c r="K1977" s="260" t="s">
        <v>204</v>
      </c>
      <c r="N1977" s="76" t="s">
        <v>17</v>
      </c>
      <c r="Q1977" s="76" t="s">
        <v>2109</v>
      </c>
      <c r="R1977" s="73">
        <f t="shared" si="215"/>
        <v>1</v>
      </c>
      <c r="S1977" s="260" t="s">
        <v>1976</v>
      </c>
      <c r="T1977" s="260" t="s">
        <v>925</v>
      </c>
      <c r="Y1977" s="566">
        <v>0.75187500000000007</v>
      </c>
      <c r="Z1977" s="566">
        <v>0.75789351851851849</v>
      </c>
      <c r="AA1977" s="566">
        <f t="shared" si="216"/>
        <v>6.0185185185184231E-3</v>
      </c>
      <c r="AB1977" s="699"/>
    </row>
    <row r="1978" spans="1:28" x14ac:dyDescent="0.3">
      <c r="A1978" s="79" t="s">
        <v>5858</v>
      </c>
      <c r="C1978" s="115">
        <v>43908</v>
      </c>
      <c r="D1978" s="312">
        <v>43987</v>
      </c>
      <c r="E1978" s="81">
        <v>43969</v>
      </c>
      <c r="F1978" s="86" t="s">
        <v>5924</v>
      </c>
      <c r="G1978" s="86" t="s">
        <v>156</v>
      </c>
      <c r="H1978" s="96" t="s">
        <v>213</v>
      </c>
      <c r="I1978" s="97" t="s">
        <v>722</v>
      </c>
      <c r="J1978" s="73">
        <f t="shared" si="214"/>
        <v>1</v>
      </c>
      <c r="K1978" s="260" t="s">
        <v>204</v>
      </c>
      <c r="N1978" s="76" t="s">
        <v>17</v>
      </c>
      <c r="Q1978" s="76" t="s">
        <v>2076</v>
      </c>
      <c r="R1978" s="73">
        <f t="shared" si="215"/>
        <v>1</v>
      </c>
      <c r="S1978" s="260" t="s">
        <v>1976</v>
      </c>
      <c r="T1978" s="260" t="s">
        <v>924</v>
      </c>
      <c r="U1978" s="301" t="s">
        <v>5283</v>
      </c>
      <c r="V1978" s="301" t="s">
        <v>6811</v>
      </c>
      <c r="Y1978" s="566">
        <v>0.64123842592592595</v>
      </c>
      <c r="Z1978" s="566">
        <v>0.64857638888888891</v>
      </c>
      <c r="AA1978" s="566">
        <f t="shared" si="216"/>
        <v>7.3379629629629628E-3</v>
      </c>
      <c r="AB1978" s="699"/>
    </row>
    <row r="1979" spans="1:28" x14ac:dyDescent="0.3">
      <c r="A1979" s="79" t="s">
        <v>5862</v>
      </c>
      <c r="C1979" s="115">
        <v>43908</v>
      </c>
      <c r="D1979" s="312">
        <v>43987</v>
      </c>
      <c r="E1979" s="81">
        <v>43969</v>
      </c>
      <c r="F1979" s="86" t="s">
        <v>5927</v>
      </c>
      <c r="G1979" s="86" t="s">
        <v>3771</v>
      </c>
      <c r="H1979" s="96" t="s">
        <v>213</v>
      </c>
      <c r="I1979" s="97" t="s">
        <v>714</v>
      </c>
      <c r="J1979" s="73">
        <f t="shared" si="214"/>
        <v>1</v>
      </c>
      <c r="K1979" s="260" t="s">
        <v>204</v>
      </c>
      <c r="N1979" s="76" t="s">
        <v>17</v>
      </c>
      <c r="Q1979" s="76" t="s">
        <v>2417</v>
      </c>
      <c r="R1979" s="73">
        <f t="shared" si="215"/>
        <v>1</v>
      </c>
      <c r="S1979" s="260" t="s">
        <v>1976</v>
      </c>
      <c r="T1979" s="260" t="s">
        <v>923</v>
      </c>
      <c r="Y1979" s="566">
        <v>0.56350694444444438</v>
      </c>
      <c r="Z1979" s="566">
        <v>0.57226851851851845</v>
      </c>
      <c r="AA1979" s="566">
        <f t="shared" si="216"/>
        <v>8.7615740740740744E-3</v>
      </c>
      <c r="AB1979" s="699"/>
    </row>
    <row r="1980" spans="1:28" x14ac:dyDescent="0.3">
      <c r="A1980" s="79" t="s">
        <v>5866</v>
      </c>
      <c r="C1980" s="115">
        <v>43908</v>
      </c>
      <c r="D1980" s="312">
        <v>43987</v>
      </c>
      <c r="E1980" s="81">
        <v>43969</v>
      </c>
      <c r="F1980" s="86" t="s">
        <v>5931</v>
      </c>
      <c r="G1980" s="86" t="s">
        <v>156</v>
      </c>
      <c r="H1980" s="96" t="s">
        <v>213</v>
      </c>
      <c r="I1980" s="97" t="s">
        <v>714</v>
      </c>
      <c r="J1980" s="73">
        <f t="shared" si="214"/>
        <v>1</v>
      </c>
      <c r="K1980" s="260" t="s">
        <v>204</v>
      </c>
      <c r="N1980" s="76" t="s">
        <v>17</v>
      </c>
      <c r="Q1980" s="76" t="s">
        <v>2076</v>
      </c>
      <c r="R1980" s="73">
        <f t="shared" si="215"/>
        <v>1</v>
      </c>
      <c r="S1980" s="260" t="s">
        <v>1976</v>
      </c>
      <c r="T1980" s="260" t="s">
        <v>925</v>
      </c>
      <c r="Y1980" s="566">
        <v>0.63664351851851853</v>
      </c>
      <c r="Z1980" s="566">
        <v>0.64106481481481481</v>
      </c>
      <c r="AA1980" s="566">
        <f t="shared" si="216"/>
        <v>4.4212962962962843E-3</v>
      </c>
      <c r="AB1980" s="699"/>
    </row>
    <row r="1981" spans="1:28" x14ac:dyDescent="0.3">
      <c r="A1981" s="79" t="s">
        <v>6750</v>
      </c>
      <c r="C1981" s="115">
        <v>43908</v>
      </c>
      <c r="D1981" s="312">
        <v>43987</v>
      </c>
      <c r="E1981" s="81">
        <v>43966</v>
      </c>
      <c r="F1981" s="86" t="s">
        <v>6761</v>
      </c>
      <c r="G1981" s="86" t="s">
        <v>150</v>
      </c>
      <c r="H1981" s="96" t="s">
        <v>213</v>
      </c>
      <c r="I1981" s="97" t="s">
        <v>714</v>
      </c>
      <c r="J1981" s="73">
        <f t="shared" si="214"/>
        <v>1</v>
      </c>
      <c r="K1981" s="260" t="s">
        <v>204</v>
      </c>
      <c r="N1981" s="76" t="s">
        <v>17</v>
      </c>
      <c r="Q1981" s="76" t="s">
        <v>2142</v>
      </c>
      <c r="R1981" s="73">
        <f t="shared" si="215"/>
        <v>1</v>
      </c>
      <c r="S1981" s="260" t="s">
        <v>1976</v>
      </c>
      <c r="T1981" s="260" t="s">
        <v>923</v>
      </c>
      <c r="Y1981" s="566">
        <v>0.74769675925925927</v>
      </c>
      <c r="Z1981" s="566">
        <v>0.76489583333333344</v>
      </c>
      <c r="AA1981" s="566">
        <f t="shared" si="216"/>
        <v>1.7199074074074172E-2</v>
      </c>
      <c r="AB1981" s="699"/>
    </row>
    <row r="1982" spans="1:28" x14ac:dyDescent="0.3">
      <c r="A1982" s="79" t="s">
        <v>6751</v>
      </c>
      <c r="C1982" s="115">
        <v>43908</v>
      </c>
      <c r="D1982" s="312">
        <v>43987</v>
      </c>
      <c r="E1982" s="81">
        <v>43969</v>
      </c>
      <c r="F1982" s="86" t="s">
        <v>6762</v>
      </c>
      <c r="G1982" s="86" t="s">
        <v>158</v>
      </c>
      <c r="H1982" s="96" t="s">
        <v>213</v>
      </c>
      <c r="I1982" s="97" t="s">
        <v>641</v>
      </c>
      <c r="J1982" s="73">
        <f t="shared" si="214"/>
        <v>1</v>
      </c>
      <c r="K1982" s="260" t="s">
        <v>204</v>
      </c>
      <c r="N1982" s="76" t="s">
        <v>18</v>
      </c>
      <c r="Q1982" s="76" t="s">
        <v>2142</v>
      </c>
      <c r="R1982" s="73">
        <f t="shared" si="215"/>
        <v>1</v>
      </c>
      <c r="S1982" s="260" t="s">
        <v>1976</v>
      </c>
      <c r="T1982" s="260" t="s">
        <v>923</v>
      </c>
      <c r="Y1982" s="566">
        <v>0.44318287037037035</v>
      </c>
      <c r="Z1982" s="566">
        <v>0.44881944444444444</v>
      </c>
      <c r="AA1982" s="566">
        <f t="shared" si="216"/>
        <v>5.6365740740740855E-3</v>
      </c>
      <c r="AB1982" s="699"/>
    </row>
    <row r="1983" spans="1:28" x14ac:dyDescent="0.3">
      <c r="A1983" s="79" t="s">
        <v>5869</v>
      </c>
      <c r="C1983" s="115">
        <v>43908</v>
      </c>
      <c r="D1983" s="312">
        <v>43987</v>
      </c>
      <c r="E1983" s="81">
        <v>43969</v>
      </c>
      <c r="F1983" s="86" t="s">
        <v>5934</v>
      </c>
      <c r="G1983" s="86" t="s">
        <v>158</v>
      </c>
      <c r="H1983" s="96" t="s">
        <v>213</v>
      </c>
      <c r="I1983" s="97" t="s">
        <v>641</v>
      </c>
      <c r="J1983" s="73">
        <f t="shared" si="214"/>
        <v>1</v>
      </c>
      <c r="K1983" s="260" t="s">
        <v>204</v>
      </c>
      <c r="N1983" s="76" t="s">
        <v>17</v>
      </c>
      <c r="Q1983" s="76" t="s">
        <v>2417</v>
      </c>
      <c r="R1983" s="73">
        <f t="shared" si="215"/>
        <v>1</v>
      </c>
      <c r="S1983" s="260" t="s">
        <v>1976</v>
      </c>
      <c r="T1983" s="260" t="s">
        <v>924</v>
      </c>
      <c r="Y1983" s="566">
        <v>0.58321759259259254</v>
      </c>
      <c r="Z1983" s="566">
        <v>0.59024305555555556</v>
      </c>
      <c r="AA1983" s="566">
        <f t="shared" si="216"/>
        <v>7.025462962963025E-3</v>
      </c>
      <c r="AB1983" s="699"/>
    </row>
    <row r="1984" spans="1:28" x14ac:dyDescent="0.3">
      <c r="A1984" s="79" t="s">
        <v>5876</v>
      </c>
      <c r="C1984" s="115">
        <v>43909</v>
      </c>
      <c r="D1984" s="312">
        <v>43990</v>
      </c>
      <c r="E1984" s="81">
        <v>43969</v>
      </c>
      <c r="F1984" s="86" t="s">
        <v>5941</v>
      </c>
      <c r="G1984" s="86" t="s">
        <v>147</v>
      </c>
      <c r="H1984" s="96" t="s">
        <v>213</v>
      </c>
      <c r="I1984" s="97" t="s">
        <v>722</v>
      </c>
      <c r="J1984" s="73">
        <f t="shared" si="214"/>
        <v>1</v>
      </c>
      <c r="K1984" s="260" t="s">
        <v>204</v>
      </c>
      <c r="N1984" s="76" t="s">
        <v>18</v>
      </c>
      <c r="Q1984" s="76" t="s">
        <v>2142</v>
      </c>
      <c r="R1984" s="73">
        <f t="shared" si="215"/>
        <v>1</v>
      </c>
      <c r="S1984" s="260" t="s">
        <v>1976</v>
      </c>
      <c r="T1984" s="260" t="s">
        <v>924</v>
      </c>
      <c r="Y1984" s="566">
        <v>0.43365740740740738</v>
      </c>
      <c r="Z1984" s="566">
        <v>0.44292824074074072</v>
      </c>
      <c r="AA1984" s="566">
        <f t="shared" si="216"/>
        <v>9.2708333333333393E-3</v>
      </c>
      <c r="AB1984" s="699"/>
    </row>
    <row r="1985" spans="1:28" x14ac:dyDescent="0.3">
      <c r="A1985" s="79" t="s">
        <v>5878</v>
      </c>
      <c r="C1985" s="115">
        <v>43909</v>
      </c>
      <c r="D1985" s="312">
        <v>43990</v>
      </c>
      <c r="E1985" s="81">
        <v>43964</v>
      </c>
      <c r="F1985" s="86" t="s">
        <v>5943</v>
      </c>
      <c r="G1985" s="86" t="s">
        <v>158</v>
      </c>
      <c r="H1985" s="96" t="s">
        <v>213</v>
      </c>
      <c r="I1985" s="97" t="s">
        <v>714</v>
      </c>
      <c r="J1985" s="73">
        <f t="shared" si="214"/>
        <v>1</v>
      </c>
      <c r="K1985" s="260" t="s">
        <v>204</v>
      </c>
      <c r="N1985" s="76" t="s">
        <v>17</v>
      </c>
      <c r="Q1985" s="76" t="s">
        <v>2109</v>
      </c>
      <c r="R1985" s="73">
        <f t="shared" si="215"/>
        <v>1</v>
      </c>
      <c r="S1985" s="260" t="s">
        <v>1976</v>
      </c>
      <c r="T1985" s="260" t="s">
        <v>924</v>
      </c>
      <c r="Y1985" s="566">
        <v>0.76042824074074078</v>
      </c>
      <c r="Z1985" s="566">
        <v>0.76949074074074064</v>
      </c>
      <c r="AA1985" s="566">
        <f t="shared" si="216"/>
        <v>9.0624999999998623E-3</v>
      </c>
      <c r="AB1985" s="699"/>
    </row>
    <row r="1986" spans="1:28" x14ac:dyDescent="0.3">
      <c r="A1986" s="79" t="s">
        <v>5879</v>
      </c>
      <c r="C1986" s="115">
        <v>43909</v>
      </c>
      <c r="D1986" s="312">
        <v>43990</v>
      </c>
      <c r="E1986" s="81">
        <v>43969</v>
      </c>
      <c r="F1986" s="86" t="s">
        <v>5944</v>
      </c>
      <c r="G1986" s="86" t="s">
        <v>152</v>
      </c>
      <c r="H1986" s="96" t="s">
        <v>213</v>
      </c>
      <c r="I1986" s="97" t="s">
        <v>642</v>
      </c>
      <c r="J1986" s="73">
        <f t="shared" si="214"/>
        <v>1</v>
      </c>
      <c r="K1986" s="260" t="s">
        <v>204</v>
      </c>
      <c r="N1986" s="76" t="s">
        <v>18</v>
      </c>
      <c r="Q1986" s="76" t="s">
        <v>2142</v>
      </c>
      <c r="R1986" s="73">
        <f t="shared" si="215"/>
        <v>1</v>
      </c>
      <c r="S1986" s="260" t="s">
        <v>1976</v>
      </c>
      <c r="T1986" s="260" t="s">
        <v>925</v>
      </c>
      <c r="Y1986" s="566">
        <v>0.41972222222222227</v>
      </c>
      <c r="Z1986" s="566">
        <v>0.42818287037037034</v>
      </c>
      <c r="AA1986" s="566">
        <f t="shared" si="216"/>
        <v>8.4606481481480644E-3</v>
      </c>
      <c r="AB1986" s="699"/>
    </row>
    <row r="1987" spans="1:28" x14ac:dyDescent="0.3">
      <c r="A1987" s="79" t="s">
        <v>5883</v>
      </c>
      <c r="C1987" s="115">
        <v>43909</v>
      </c>
      <c r="D1987" s="312">
        <v>43990</v>
      </c>
      <c r="E1987" s="81">
        <v>43965</v>
      </c>
      <c r="F1987" s="86" t="s">
        <v>5948</v>
      </c>
      <c r="G1987" s="86" t="s">
        <v>150</v>
      </c>
      <c r="H1987" s="96" t="s">
        <v>213</v>
      </c>
      <c r="I1987" s="97" t="s">
        <v>714</v>
      </c>
      <c r="J1987" s="73">
        <f t="shared" si="214"/>
        <v>1</v>
      </c>
      <c r="K1987" s="260" t="s">
        <v>204</v>
      </c>
      <c r="L1987" s="97" t="s">
        <v>6781</v>
      </c>
      <c r="N1987" s="76" t="s">
        <v>17</v>
      </c>
      <c r="Q1987" s="76" t="s">
        <v>2109</v>
      </c>
      <c r="R1987" s="73">
        <f t="shared" si="215"/>
        <v>1</v>
      </c>
      <c r="S1987" s="260" t="s">
        <v>1976</v>
      </c>
      <c r="T1987" s="260"/>
      <c r="Y1987" s="566">
        <v>0.46203703703703702</v>
      </c>
      <c r="Z1987" s="566">
        <v>0.48136574074074073</v>
      </c>
      <c r="AA1987" s="566">
        <f t="shared" si="216"/>
        <v>1.9328703703703709E-2</v>
      </c>
      <c r="AB1987" s="699"/>
    </row>
    <row r="1988" spans="1:28" x14ac:dyDescent="0.3">
      <c r="A1988" s="79" t="s">
        <v>5885</v>
      </c>
      <c r="C1988" s="115">
        <v>43909</v>
      </c>
      <c r="D1988" s="312">
        <v>43990</v>
      </c>
      <c r="E1988" s="81">
        <v>43965</v>
      </c>
      <c r="F1988" s="86" t="s">
        <v>5950</v>
      </c>
      <c r="G1988" s="86" t="s">
        <v>172</v>
      </c>
      <c r="H1988" s="96" t="s">
        <v>213</v>
      </c>
      <c r="I1988" s="97" t="s">
        <v>714</v>
      </c>
      <c r="J1988" s="73">
        <f t="shared" si="214"/>
        <v>1</v>
      </c>
      <c r="K1988" s="260" t="s">
        <v>204</v>
      </c>
      <c r="N1988" s="76" t="s">
        <v>17</v>
      </c>
      <c r="Q1988" s="76" t="s">
        <v>2109</v>
      </c>
      <c r="R1988" s="73">
        <f t="shared" si="215"/>
        <v>1</v>
      </c>
      <c r="S1988" s="260" t="s">
        <v>1976</v>
      </c>
      <c r="T1988" s="260" t="s">
        <v>924</v>
      </c>
      <c r="Y1988" s="566">
        <v>0.44953703703703707</v>
      </c>
      <c r="Z1988" s="566">
        <v>0.46054398148148151</v>
      </c>
      <c r="AA1988" s="566">
        <f t="shared" si="216"/>
        <v>1.1006944444444444E-2</v>
      </c>
      <c r="AB1988" s="699"/>
    </row>
    <row r="1989" spans="1:28" x14ac:dyDescent="0.3">
      <c r="A1989" s="79" t="s">
        <v>5887</v>
      </c>
      <c r="C1989" s="115">
        <v>43909</v>
      </c>
      <c r="D1989" s="312">
        <v>43990</v>
      </c>
      <c r="E1989" s="81">
        <v>43969</v>
      </c>
      <c r="F1989" s="86" t="s">
        <v>5952</v>
      </c>
      <c r="G1989" s="86" t="s">
        <v>147</v>
      </c>
      <c r="H1989" s="96" t="s">
        <v>213</v>
      </c>
      <c r="I1989" s="97" t="s">
        <v>645</v>
      </c>
      <c r="J1989" s="73">
        <f t="shared" si="214"/>
        <v>1</v>
      </c>
      <c r="K1989" s="260" t="s">
        <v>204</v>
      </c>
      <c r="L1989" s="97" t="s">
        <v>6806</v>
      </c>
      <c r="N1989" s="76" t="s">
        <v>17</v>
      </c>
      <c r="Q1989" s="76" t="s">
        <v>2142</v>
      </c>
      <c r="R1989" s="73">
        <f t="shared" si="215"/>
        <v>1</v>
      </c>
      <c r="S1989" s="260" t="s">
        <v>1976</v>
      </c>
      <c r="T1989" s="260" t="s">
        <v>924</v>
      </c>
      <c r="Y1989" s="566">
        <v>0.40521990740740743</v>
      </c>
      <c r="Z1989" s="566">
        <v>0.41952546296296295</v>
      </c>
      <c r="AA1989" s="566">
        <f t="shared" si="216"/>
        <v>1.4305555555555516E-2</v>
      </c>
      <c r="AB1989" s="699"/>
    </row>
    <row r="1990" spans="1:28" x14ac:dyDescent="0.3">
      <c r="A1990" s="79" t="s">
        <v>6752</v>
      </c>
      <c r="C1990" s="115">
        <v>43909</v>
      </c>
      <c r="D1990" s="312">
        <v>43990</v>
      </c>
      <c r="E1990" s="81">
        <v>43969</v>
      </c>
      <c r="F1990" s="86" t="s">
        <v>6763</v>
      </c>
      <c r="G1990" s="86" t="s">
        <v>154</v>
      </c>
      <c r="H1990" s="96" t="s">
        <v>213</v>
      </c>
      <c r="I1990" s="97" t="s">
        <v>714</v>
      </c>
      <c r="J1990" s="73">
        <f t="shared" si="214"/>
        <v>1</v>
      </c>
      <c r="K1990" s="260" t="s">
        <v>204</v>
      </c>
      <c r="N1990" s="76" t="s">
        <v>18</v>
      </c>
      <c r="Q1990" s="76" t="s">
        <v>2076</v>
      </c>
      <c r="R1990" s="73">
        <f t="shared" si="215"/>
        <v>1</v>
      </c>
      <c r="S1990" s="260" t="s">
        <v>1976</v>
      </c>
      <c r="T1990" s="260" t="s">
        <v>924</v>
      </c>
      <c r="Y1990" s="566">
        <v>0.62971064814814814</v>
      </c>
      <c r="Z1990" s="566">
        <v>0.63601851851851854</v>
      </c>
      <c r="AA1990" s="566">
        <f t="shared" si="216"/>
        <v>6.3078703703703942E-3</v>
      </c>
      <c r="AB1990" s="699"/>
    </row>
    <row r="1991" spans="1:28" x14ac:dyDescent="0.3">
      <c r="A1991" s="79" t="s">
        <v>6753</v>
      </c>
      <c r="C1991" s="115">
        <v>43910</v>
      </c>
      <c r="D1991" s="312">
        <v>43990</v>
      </c>
      <c r="E1991" s="81">
        <v>43969</v>
      </c>
      <c r="F1991" s="86" t="s">
        <v>6764</v>
      </c>
      <c r="G1991" s="86" t="s">
        <v>158</v>
      </c>
      <c r="H1991" s="96" t="s">
        <v>213</v>
      </c>
      <c r="I1991" s="97" t="s">
        <v>714</v>
      </c>
      <c r="J1991" s="73">
        <f t="shared" si="214"/>
        <v>1</v>
      </c>
      <c r="K1991" s="260" t="s">
        <v>204</v>
      </c>
      <c r="N1991" s="76" t="s">
        <v>17</v>
      </c>
      <c r="Q1991" s="76" t="s">
        <v>2417</v>
      </c>
      <c r="R1991" s="73">
        <f t="shared" si="215"/>
        <v>1</v>
      </c>
      <c r="S1991" s="260" t="s">
        <v>1976</v>
      </c>
      <c r="T1991" s="260" t="s">
        <v>924</v>
      </c>
      <c r="Y1991" s="566">
        <v>0.57256944444444446</v>
      </c>
      <c r="Z1991" s="566">
        <v>0.58292824074074068</v>
      </c>
      <c r="AA1991" s="566">
        <f t="shared" si="216"/>
        <v>1.0358796296296213E-2</v>
      </c>
      <c r="AB1991" s="699"/>
    </row>
    <row r="1992" spans="1:28" x14ac:dyDescent="0.3">
      <c r="A1992" s="79" t="s">
        <v>5985</v>
      </c>
      <c r="C1992" s="115">
        <v>43910</v>
      </c>
      <c r="D1992" s="312">
        <v>43991</v>
      </c>
      <c r="E1992" s="81">
        <v>43964</v>
      </c>
      <c r="F1992" s="86" t="s">
        <v>6027</v>
      </c>
      <c r="G1992" s="86" t="s">
        <v>158</v>
      </c>
      <c r="H1992" s="96" t="s">
        <v>213</v>
      </c>
      <c r="I1992" s="97" t="s">
        <v>714</v>
      </c>
      <c r="J1992" s="73">
        <f t="shared" si="214"/>
        <v>1</v>
      </c>
      <c r="K1992" s="260" t="s">
        <v>204</v>
      </c>
      <c r="N1992" s="76" t="s">
        <v>17</v>
      </c>
      <c r="Q1992" s="301" t="s">
        <v>2037</v>
      </c>
      <c r="R1992" s="73">
        <f t="shared" si="215"/>
        <v>1</v>
      </c>
      <c r="S1992" s="260" t="s">
        <v>1976</v>
      </c>
      <c r="T1992" s="260" t="s">
        <v>923</v>
      </c>
      <c r="Y1992" s="566">
        <v>0.70013888888888898</v>
      </c>
      <c r="Z1992" s="566">
        <v>0.71178240740740739</v>
      </c>
      <c r="AA1992" s="566">
        <f t="shared" si="216"/>
        <v>1.1643518518518414E-2</v>
      </c>
      <c r="AB1992" s="699"/>
    </row>
    <row r="1993" spans="1:28" x14ac:dyDescent="0.3">
      <c r="A1993" s="79" t="s">
        <v>6754</v>
      </c>
      <c r="C1993" s="115">
        <v>43910</v>
      </c>
      <c r="D1993" s="312">
        <v>43990</v>
      </c>
      <c r="E1993" s="81">
        <v>43969</v>
      </c>
      <c r="F1993" s="86" t="s">
        <v>6765</v>
      </c>
      <c r="G1993" s="86" t="s">
        <v>3280</v>
      </c>
      <c r="H1993" s="96" t="s">
        <v>213</v>
      </c>
      <c r="I1993" s="97" t="s">
        <v>714</v>
      </c>
      <c r="J1993" s="73">
        <f t="shared" si="214"/>
        <v>1</v>
      </c>
      <c r="K1993" s="260" t="s">
        <v>204</v>
      </c>
      <c r="N1993" s="76" t="s">
        <v>17</v>
      </c>
      <c r="Q1993" s="76" t="s">
        <v>2417</v>
      </c>
      <c r="R1993" s="73">
        <f t="shared" si="215"/>
        <v>1</v>
      </c>
      <c r="S1993" s="260" t="s">
        <v>1976</v>
      </c>
      <c r="T1993" s="260" t="s">
        <v>925</v>
      </c>
      <c r="Y1993" s="566">
        <v>0.55459490740740736</v>
      </c>
      <c r="Z1993" s="566">
        <v>0.56329861111111112</v>
      </c>
      <c r="AA1993" s="566">
        <f t="shared" si="216"/>
        <v>8.703703703703769E-3</v>
      </c>
      <c r="AB1993" s="699"/>
    </row>
    <row r="1994" spans="1:28" x14ac:dyDescent="0.3">
      <c r="A1994" s="79" t="s">
        <v>5987</v>
      </c>
      <c r="C1994" s="115">
        <v>43910</v>
      </c>
      <c r="D1994" s="312">
        <v>43991</v>
      </c>
      <c r="E1994" s="81">
        <v>43969</v>
      </c>
      <c r="F1994" s="86" t="s">
        <v>6029</v>
      </c>
      <c r="G1994" s="86" t="s">
        <v>152</v>
      </c>
      <c r="H1994" s="96" t="s">
        <v>213</v>
      </c>
      <c r="I1994" s="97" t="s">
        <v>4963</v>
      </c>
      <c r="J1994" s="73">
        <f t="shared" si="214"/>
        <v>1</v>
      </c>
      <c r="K1994" s="260" t="s">
        <v>204</v>
      </c>
      <c r="N1994" s="76" t="s">
        <v>19</v>
      </c>
      <c r="Q1994" s="76" t="s">
        <v>2109</v>
      </c>
      <c r="R1994" s="73">
        <f t="shared" si="215"/>
        <v>1</v>
      </c>
      <c r="S1994" s="260" t="s">
        <v>1976</v>
      </c>
      <c r="T1994" s="260" t="s">
        <v>924</v>
      </c>
      <c r="Y1994" s="566">
        <v>0.49859953703703702</v>
      </c>
      <c r="Z1994" s="566">
        <v>0.50160879629629629</v>
      </c>
      <c r="AA1994" s="566">
        <f t="shared" si="216"/>
        <v>3.0092592592592671E-3</v>
      </c>
      <c r="AB1994" s="699"/>
    </row>
    <row r="1995" spans="1:28" x14ac:dyDescent="0.3">
      <c r="A1995" s="79" t="s">
        <v>5988</v>
      </c>
      <c r="C1995" s="115">
        <v>43910</v>
      </c>
      <c r="D1995" s="312">
        <v>43991</v>
      </c>
      <c r="E1995" s="81">
        <v>43969</v>
      </c>
      <c r="F1995" s="86" t="s">
        <v>6030</v>
      </c>
      <c r="G1995" s="86" t="s">
        <v>187</v>
      </c>
      <c r="H1995" s="96" t="s">
        <v>213</v>
      </c>
      <c r="I1995" s="97" t="s">
        <v>642</v>
      </c>
      <c r="J1995" s="73">
        <f t="shared" si="214"/>
        <v>1</v>
      </c>
      <c r="K1995" s="260" t="s">
        <v>204</v>
      </c>
      <c r="N1995" s="76" t="s">
        <v>18</v>
      </c>
      <c r="Q1995" s="76" t="s">
        <v>2109</v>
      </c>
      <c r="R1995" s="73">
        <f t="shared" si="215"/>
        <v>1</v>
      </c>
      <c r="S1995" s="260" t="s">
        <v>1976</v>
      </c>
      <c r="T1995" s="260" t="s">
        <v>923</v>
      </c>
      <c r="Y1995" s="566">
        <v>0.49261574074074077</v>
      </c>
      <c r="Z1995" s="566">
        <v>0.49774305555555554</v>
      </c>
      <c r="AA1995" s="566">
        <f t="shared" si="216"/>
        <v>5.1273148148147651E-3</v>
      </c>
      <c r="AB1995" s="699"/>
    </row>
    <row r="1996" spans="1:28" x14ac:dyDescent="0.3">
      <c r="A1996" s="79" t="s">
        <v>5989</v>
      </c>
      <c r="C1996" s="115">
        <v>43910</v>
      </c>
      <c r="D1996" s="312">
        <v>43991</v>
      </c>
      <c r="E1996" s="81">
        <v>43964</v>
      </c>
      <c r="F1996" s="86" t="s">
        <v>6031</v>
      </c>
      <c r="G1996" s="86" t="s">
        <v>156</v>
      </c>
      <c r="H1996" s="96" t="s">
        <v>213</v>
      </c>
      <c r="I1996" s="97" t="s">
        <v>714</v>
      </c>
      <c r="J1996" s="73">
        <f t="shared" si="214"/>
        <v>1</v>
      </c>
      <c r="K1996" s="260" t="s">
        <v>204</v>
      </c>
      <c r="L1996" s="97" t="s">
        <v>12720</v>
      </c>
      <c r="N1996" s="76" t="s">
        <v>17</v>
      </c>
      <c r="Q1996" s="76" t="s">
        <v>2037</v>
      </c>
      <c r="R1996" s="73">
        <f t="shared" si="215"/>
        <v>1</v>
      </c>
      <c r="S1996" s="260" t="s">
        <v>1976</v>
      </c>
      <c r="T1996" s="260" t="s">
        <v>925</v>
      </c>
      <c r="U1996" s="301" t="s">
        <v>5283</v>
      </c>
      <c r="V1996" s="301" t="s">
        <v>6778</v>
      </c>
      <c r="Y1996" s="566">
        <v>0.72101851851851861</v>
      </c>
      <c r="Z1996" s="566">
        <v>0.73878472222222225</v>
      </c>
      <c r="AA1996" s="566">
        <f t="shared" si="216"/>
        <v>1.7766203703703631E-2</v>
      </c>
      <c r="AB1996" s="699"/>
    </row>
    <row r="1997" spans="1:28" x14ac:dyDescent="0.3">
      <c r="A1997" s="79" t="s">
        <v>5991</v>
      </c>
      <c r="C1997" s="115">
        <v>43910</v>
      </c>
      <c r="D1997" s="312">
        <v>43991</v>
      </c>
      <c r="E1997" s="81">
        <v>43969</v>
      </c>
      <c r="F1997" s="86" t="s">
        <v>6033</v>
      </c>
      <c r="G1997" s="86" t="s">
        <v>156</v>
      </c>
      <c r="H1997" s="96" t="s">
        <v>213</v>
      </c>
      <c r="I1997" s="97" t="s">
        <v>641</v>
      </c>
      <c r="J1997" s="73">
        <f t="shared" si="214"/>
        <v>1</v>
      </c>
      <c r="K1997" s="260" t="s">
        <v>204</v>
      </c>
      <c r="N1997" s="76" t="s">
        <v>17</v>
      </c>
      <c r="Q1997" s="76" t="s">
        <v>2076</v>
      </c>
      <c r="R1997" s="73">
        <f t="shared" si="215"/>
        <v>1</v>
      </c>
      <c r="S1997" s="260" t="s">
        <v>1976</v>
      </c>
      <c r="T1997" s="260" t="s">
        <v>923</v>
      </c>
      <c r="Y1997" s="566">
        <v>0.6246990740740741</v>
      </c>
      <c r="Z1997" s="566">
        <v>0.62905092592592593</v>
      </c>
      <c r="AA1997" s="566">
        <f t="shared" si="216"/>
        <v>4.351851851851829E-3</v>
      </c>
      <c r="AB1997" s="699"/>
    </row>
    <row r="1998" spans="1:28" x14ac:dyDescent="0.3">
      <c r="A1998" s="79" t="s">
        <v>5993</v>
      </c>
      <c r="C1998" s="115">
        <v>43913</v>
      </c>
      <c r="D1998" s="312">
        <v>43992</v>
      </c>
      <c r="E1998" s="81">
        <v>43964</v>
      </c>
      <c r="F1998" s="86" t="s">
        <v>6035</v>
      </c>
      <c r="G1998" s="86" t="s">
        <v>175</v>
      </c>
      <c r="H1998" s="96" t="s">
        <v>213</v>
      </c>
      <c r="I1998" s="97" t="s">
        <v>645</v>
      </c>
      <c r="J1998" s="73">
        <f t="shared" si="214"/>
        <v>1</v>
      </c>
      <c r="K1998" s="260" t="s">
        <v>204</v>
      </c>
      <c r="N1998" s="76" t="s">
        <v>17</v>
      </c>
      <c r="Q1998" s="76" t="s">
        <v>2037</v>
      </c>
      <c r="R1998" s="73">
        <f t="shared" si="215"/>
        <v>1</v>
      </c>
      <c r="S1998" s="260" t="s">
        <v>1976</v>
      </c>
      <c r="T1998" s="260" t="s">
        <v>925</v>
      </c>
      <c r="Y1998" s="566">
        <v>0.66918981481481488</v>
      </c>
      <c r="Z1998" s="566">
        <v>0.6790856481481482</v>
      </c>
      <c r="AA1998" s="566">
        <f t="shared" si="216"/>
        <v>9.8958333333333259E-3</v>
      </c>
      <c r="AB1998" s="699"/>
    </row>
    <row r="1999" spans="1:28" x14ac:dyDescent="0.3">
      <c r="A1999" s="79" t="s">
        <v>5996</v>
      </c>
      <c r="C1999" s="115">
        <v>43913</v>
      </c>
      <c r="D1999" s="312">
        <v>43992</v>
      </c>
      <c r="E1999" s="81">
        <v>43970</v>
      </c>
      <c r="F1999" s="86" t="s">
        <v>6038</v>
      </c>
      <c r="G1999" s="86" t="s">
        <v>152</v>
      </c>
      <c r="H1999" s="96" t="s">
        <v>213</v>
      </c>
      <c r="I1999" s="97" t="s">
        <v>641</v>
      </c>
      <c r="J1999" s="73">
        <f t="shared" si="214"/>
        <v>1</v>
      </c>
      <c r="K1999" s="260" t="s">
        <v>204</v>
      </c>
      <c r="L1999" s="97" t="s">
        <v>6817</v>
      </c>
      <c r="N1999" s="76" t="s">
        <v>17</v>
      </c>
      <c r="Q1999" s="76" t="s">
        <v>2076</v>
      </c>
      <c r="R1999" s="73">
        <f t="shared" si="215"/>
        <v>1</v>
      </c>
      <c r="S1999" s="260" t="s">
        <v>1976</v>
      </c>
      <c r="T1999" s="260" t="s">
        <v>925</v>
      </c>
      <c r="Y1999" s="566">
        <v>0.71453703703703697</v>
      </c>
      <c r="Z1999" s="566">
        <v>0.72192129629629631</v>
      </c>
      <c r="AA1999" s="566">
        <f t="shared" si="216"/>
        <v>7.3842592592593403E-3</v>
      </c>
      <c r="AB1999" s="699"/>
    </row>
    <row r="2000" spans="1:28" x14ac:dyDescent="0.3">
      <c r="A2000" s="79" t="s">
        <v>6755</v>
      </c>
      <c r="C2000" s="115">
        <v>43913</v>
      </c>
      <c r="D2000" s="312">
        <v>43991</v>
      </c>
      <c r="E2000" s="81">
        <v>43964</v>
      </c>
      <c r="F2000" s="86" t="s">
        <v>6766</v>
      </c>
      <c r="G2000" s="86" t="s">
        <v>150</v>
      </c>
      <c r="H2000" s="96" t="s">
        <v>213</v>
      </c>
      <c r="I2000" s="97" t="s">
        <v>642</v>
      </c>
      <c r="J2000" s="73">
        <f t="shared" si="214"/>
        <v>1</v>
      </c>
      <c r="K2000" s="260" t="s">
        <v>204</v>
      </c>
      <c r="N2000" s="76" t="s">
        <v>18</v>
      </c>
      <c r="Q2000" s="76" t="s">
        <v>2037</v>
      </c>
      <c r="R2000" s="73">
        <f t="shared" si="215"/>
        <v>1</v>
      </c>
      <c r="S2000" s="260" t="s">
        <v>1976</v>
      </c>
      <c r="T2000" s="260" t="s">
        <v>923</v>
      </c>
      <c r="Y2000" s="566">
        <v>0.71421296296296299</v>
      </c>
      <c r="Z2000" s="566">
        <v>0.72071759259259249</v>
      </c>
      <c r="AA2000" s="566">
        <f t="shared" si="216"/>
        <v>6.5046296296294992E-3</v>
      </c>
      <c r="AB2000" s="699"/>
    </row>
    <row r="2001" spans="1:28" x14ac:dyDescent="0.3">
      <c r="A2001" s="79" t="s">
        <v>6756</v>
      </c>
      <c r="C2001" s="115">
        <v>43913</v>
      </c>
      <c r="D2001" s="312">
        <v>43992</v>
      </c>
      <c r="E2001" s="81">
        <v>43970</v>
      </c>
      <c r="F2001" s="86" t="s">
        <v>6767</v>
      </c>
      <c r="G2001" s="86" t="s">
        <v>158</v>
      </c>
      <c r="H2001" s="96" t="s">
        <v>213</v>
      </c>
      <c r="I2001" s="97" t="s">
        <v>714</v>
      </c>
      <c r="J2001" s="73">
        <f t="shared" ref="J2001:J2033" si="217">IF(OR(K2001="Документы готовы",K2001="Запрос в ФО",K2001="ЭЗ",K2001="РЕШ",K2001="РЕШ шаблон"),0.1,IF(OR(K2001="ЭЗ согласование",K2001="РЕШ согласование"),0.3,IF(OR(K2001="ЭЗ согласовано",K2001="РЕШ согласовано",K2001="РЕШ подписано"),0.6,IF(OR(K2001="ЭЗ ПР согласование",K2001="РЕШ УВ согласование"),0.9,IF(OR(K2001="ЭЗ ПР DONE",K2001="РЕШ УВ DONE"),1,0)))))</f>
        <v>1</v>
      </c>
      <c r="K2001" s="260" t="s">
        <v>204</v>
      </c>
      <c r="N2001" s="76" t="s">
        <v>18</v>
      </c>
      <c r="Q2001" s="76" t="s">
        <v>2076</v>
      </c>
      <c r="R2001" s="73">
        <f t="shared" ref="R2001:R2033" si="218">IF(S2001="В работе",0.3,IF(S2001="Отписано",0.6,IF(S2001="На доработку",0.9,IF(S2001="Согласовано",1,0))))</f>
        <v>1</v>
      </c>
      <c r="S2001" s="260" t="s">
        <v>1976</v>
      </c>
      <c r="T2001" s="260" t="s">
        <v>923</v>
      </c>
      <c r="Y2001" s="566">
        <v>0.70717592592592593</v>
      </c>
      <c r="Z2001" s="566">
        <v>0.71415509259259258</v>
      </c>
      <c r="AA2001" s="566">
        <f t="shared" ref="AA2001:AA2033" si="219">Z2001-Y2001</f>
        <v>6.9791666666666474E-3</v>
      </c>
      <c r="AB2001" s="699"/>
    </row>
    <row r="2002" spans="1:28" x14ac:dyDescent="0.3">
      <c r="A2002" s="79" t="s">
        <v>6006</v>
      </c>
      <c r="C2002" s="115">
        <v>43913</v>
      </c>
      <c r="D2002" s="312">
        <v>43991</v>
      </c>
      <c r="E2002" s="81">
        <v>43970</v>
      </c>
      <c r="F2002" s="86" t="s">
        <v>6048</v>
      </c>
      <c r="G2002" s="86" t="s">
        <v>150</v>
      </c>
      <c r="H2002" s="96" t="s">
        <v>213</v>
      </c>
      <c r="I2002" s="97" t="s">
        <v>714</v>
      </c>
      <c r="J2002" s="73">
        <f t="shared" si="217"/>
        <v>1</v>
      </c>
      <c r="K2002" s="260" t="s">
        <v>204</v>
      </c>
      <c r="N2002" s="76" t="s">
        <v>17</v>
      </c>
      <c r="Q2002" s="76" t="s">
        <v>2142</v>
      </c>
      <c r="R2002" s="73">
        <f t="shared" si="218"/>
        <v>1</v>
      </c>
      <c r="S2002" s="260" t="s">
        <v>1976</v>
      </c>
      <c r="T2002" s="260" t="s">
        <v>925</v>
      </c>
      <c r="Y2002" s="566">
        <v>0.52363425925925922</v>
      </c>
      <c r="Z2002" s="566">
        <v>0.53038194444444442</v>
      </c>
      <c r="AA2002" s="566">
        <f t="shared" si="219"/>
        <v>6.7476851851852038E-3</v>
      </c>
      <c r="AB2002" s="699"/>
    </row>
    <row r="2003" spans="1:28" x14ac:dyDescent="0.3">
      <c r="A2003" s="79" t="s">
        <v>6008</v>
      </c>
      <c r="C2003" s="115">
        <v>43913</v>
      </c>
      <c r="D2003" s="312">
        <v>43992</v>
      </c>
      <c r="E2003" s="81">
        <v>43970</v>
      </c>
      <c r="F2003" s="86" t="s">
        <v>6050</v>
      </c>
      <c r="G2003" s="86" t="s">
        <v>152</v>
      </c>
      <c r="H2003" s="96" t="s">
        <v>213</v>
      </c>
      <c r="I2003" s="97" t="s">
        <v>714</v>
      </c>
      <c r="J2003" s="73">
        <f t="shared" si="217"/>
        <v>1</v>
      </c>
      <c r="K2003" s="260" t="s">
        <v>204</v>
      </c>
      <c r="N2003" s="76" t="s">
        <v>18</v>
      </c>
      <c r="Q2003" s="76" t="s">
        <v>2142</v>
      </c>
      <c r="R2003" s="73">
        <f t="shared" si="218"/>
        <v>1</v>
      </c>
      <c r="S2003" s="260" t="s">
        <v>1976</v>
      </c>
      <c r="T2003" s="260" t="s">
        <v>923</v>
      </c>
      <c r="Y2003" s="566">
        <v>0.53065972222222224</v>
      </c>
      <c r="Z2003" s="566">
        <v>0.53591435185185188</v>
      </c>
      <c r="AA2003" s="566">
        <f t="shared" si="219"/>
        <v>5.2546296296296369E-3</v>
      </c>
      <c r="AB2003" s="699"/>
    </row>
    <row r="2004" spans="1:28" x14ac:dyDescent="0.3">
      <c r="A2004" s="79" t="s">
        <v>6009</v>
      </c>
      <c r="C2004" s="115">
        <v>43913</v>
      </c>
      <c r="D2004" s="312">
        <v>43991</v>
      </c>
      <c r="E2004" s="81">
        <v>43969</v>
      </c>
      <c r="F2004" s="86" t="s">
        <v>6051</v>
      </c>
      <c r="G2004" s="86" t="s">
        <v>172</v>
      </c>
      <c r="H2004" s="96" t="s">
        <v>213</v>
      </c>
      <c r="I2004" s="97" t="s">
        <v>714</v>
      </c>
      <c r="J2004" s="73">
        <f t="shared" si="217"/>
        <v>1</v>
      </c>
      <c r="K2004" s="260" t="s">
        <v>204</v>
      </c>
      <c r="N2004" s="76" t="s">
        <v>18</v>
      </c>
      <c r="Q2004" s="76" t="s">
        <v>2076</v>
      </c>
      <c r="R2004" s="73">
        <f t="shared" si="218"/>
        <v>1</v>
      </c>
      <c r="S2004" s="260" t="s">
        <v>1976</v>
      </c>
      <c r="T2004" s="260" t="s">
        <v>924</v>
      </c>
      <c r="Y2004" s="566">
        <v>0.6206828703703704</v>
      </c>
      <c r="Z2004" s="566">
        <v>0.6244791666666667</v>
      </c>
      <c r="AA2004" s="566">
        <f t="shared" si="219"/>
        <v>3.7962962962962976E-3</v>
      </c>
      <c r="AB2004" s="699"/>
    </row>
    <row r="2005" spans="1:28" x14ac:dyDescent="0.3">
      <c r="A2005" s="79" t="s">
        <v>6010</v>
      </c>
      <c r="C2005" s="115">
        <v>43913</v>
      </c>
      <c r="D2005" s="312">
        <v>43992</v>
      </c>
      <c r="E2005" s="81">
        <v>43970</v>
      </c>
      <c r="F2005" s="86" t="s">
        <v>6052</v>
      </c>
      <c r="G2005" s="86" t="s">
        <v>152</v>
      </c>
      <c r="H2005" s="96" t="s">
        <v>213</v>
      </c>
      <c r="I2005" s="97" t="s">
        <v>722</v>
      </c>
      <c r="J2005" s="73">
        <f t="shared" si="217"/>
        <v>1</v>
      </c>
      <c r="K2005" s="260" t="s">
        <v>204</v>
      </c>
      <c r="N2005" s="76" t="s">
        <v>17</v>
      </c>
      <c r="Q2005" s="76" t="s">
        <v>2142</v>
      </c>
      <c r="R2005" s="73">
        <f t="shared" si="218"/>
        <v>1</v>
      </c>
      <c r="S2005" s="260" t="s">
        <v>1976</v>
      </c>
      <c r="T2005" s="260" t="s">
        <v>924</v>
      </c>
      <c r="U2005" s="301" t="s">
        <v>5283</v>
      </c>
      <c r="V2005" s="301" t="s">
        <v>6815</v>
      </c>
      <c r="Y2005" s="566">
        <v>0.53627314814814808</v>
      </c>
      <c r="Z2005" s="566">
        <v>0.54535879629629636</v>
      </c>
      <c r="AA2005" s="566">
        <f t="shared" si="219"/>
        <v>9.0856481481482732E-3</v>
      </c>
      <c r="AB2005" s="699"/>
    </row>
    <row r="2006" spans="1:28" x14ac:dyDescent="0.3">
      <c r="A2006" s="79" t="s">
        <v>6014</v>
      </c>
      <c r="C2006" s="115">
        <v>43913</v>
      </c>
      <c r="D2006" s="312">
        <v>43991</v>
      </c>
      <c r="E2006" s="81">
        <v>43969</v>
      </c>
      <c r="F2006" s="86" t="s">
        <v>6056</v>
      </c>
      <c r="G2006" s="86" t="s">
        <v>147</v>
      </c>
      <c r="H2006" s="96" t="s">
        <v>213</v>
      </c>
      <c r="I2006" s="97" t="s">
        <v>642</v>
      </c>
      <c r="J2006" s="73">
        <f t="shared" si="217"/>
        <v>1</v>
      </c>
      <c r="K2006" s="260" t="s">
        <v>204</v>
      </c>
      <c r="N2006" s="76" t="s">
        <v>18</v>
      </c>
      <c r="Q2006" s="76" t="s">
        <v>2076</v>
      </c>
      <c r="R2006" s="73">
        <f t="shared" si="218"/>
        <v>1</v>
      </c>
      <c r="S2006" s="260" t="s">
        <v>1976</v>
      </c>
      <c r="T2006" s="260" t="s">
        <v>925</v>
      </c>
      <c r="Y2006" s="566">
        <v>0.61026620370370377</v>
      </c>
      <c r="Z2006" s="566">
        <v>0.62026620370370367</v>
      </c>
      <c r="AA2006" s="566">
        <f t="shared" si="219"/>
        <v>9.9999999999998979E-3</v>
      </c>
      <c r="AB2006" s="699"/>
    </row>
    <row r="2007" spans="1:28" x14ac:dyDescent="0.3">
      <c r="A2007" s="79" t="s">
        <v>6017</v>
      </c>
      <c r="C2007" s="115">
        <v>43914</v>
      </c>
      <c r="D2007" s="312">
        <v>43992</v>
      </c>
      <c r="E2007" s="81">
        <v>43969</v>
      </c>
      <c r="F2007" s="86" t="s">
        <v>6059</v>
      </c>
      <c r="G2007" s="86" t="s">
        <v>158</v>
      </c>
      <c r="H2007" s="96" t="s">
        <v>213</v>
      </c>
      <c r="I2007" s="97" t="s">
        <v>714</v>
      </c>
      <c r="J2007" s="73">
        <f t="shared" si="217"/>
        <v>1</v>
      </c>
      <c r="K2007" s="260" t="s">
        <v>204</v>
      </c>
      <c r="N2007" s="76" t="s">
        <v>17</v>
      </c>
      <c r="Q2007" s="76" t="s">
        <v>2109</v>
      </c>
      <c r="R2007" s="73">
        <f t="shared" si="218"/>
        <v>1</v>
      </c>
      <c r="S2007" s="260" t="s">
        <v>1976</v>
      </c>
      <c r="T2007" s="260" t="s">
        <v>925</v>
      </c>
      <c r="Y2007" s="566">
        <v>0.4850694444444445</v>
      </c>
      <c r="Z2007" s="566">
        <v>0.49233796296296295</v>
      </c>
      <c r="AA2007" s="566">
        <f t="shared" si="219"/>
        <v>7.268518518518452E-3</v>
      </c>
      <c r="AB2007" s="699"/>
    </row>
    <row r="2008" spans="1:28" x14ac:dyDescent="0.3">
      <c r="A2008" s="79" t="s">
        <v>6019</v>
      </c>
      <c r="C2008" s="115">
        <v>43914</v>
      </c>
      <c r="D2008" s="312">
        <v>43992</v>
      </c>
      <c r="E2008" s="81">
        <v>43964</v>
      </c>
      <c r="F2008" s="86" t="s">
        <v>6061</v>
      </c>
      <c r="G2008" s="86" t="s">
        <v>2718</v>
      </c>
      <c r="H2008" s="96" t="s">
        <v>213</v>
      </c>
      <c r="I2008" s="97" t="s">
        <v>714</v>
      </c>
      <c r="J2008" s="73">
        <f t="shared" si="217"/>
        <v>1</v>
      </c>
      <c r="K2008" s="260" t="s">
        <v>204</v>
      </c>
      <c r="N2008" s="76" t="s">
        <v>17</v>
      </c>
      <c r="Q2008" s="76" t="s">
        <v>2037</v>
      </c>
      <c r="R2008" s="73">
        <f t="shared" si="218"/>
        <v>1</v>
      </c>
      <c r="S2008" s="260" t="s">
        <v>1976</v>
      </c>
      <c r="T2008" s="260" t="s">
        <v>924</v>
      </c>
      <c r="Y2008" s="566">
        <v>0.68017361111111108</v>
      </c>
      <c r="Z2008" s="566">
        <v>0.69960648148148152</v>
      </c>
      <c r="AA2008" s="566">
        <f t="shared" si="219"/>
        <v>1.9432870370370448E-2</v>
      </c>
      <c r="AB2008" s="699"/>
    </row>
    <row r="2009" spans="1:28" x14ac:dyDescent="0.3">
      <c r="A2009" s="79" t="s">
        <v>6020</v>
      </c>
      <c r="C2009" s="115">
        <v>43914</v>
      </c>
      <c r="D2009" s="312">
        <v>43992</v>
      </c>
      <c r="E2009" s="81">
        <v>43969</v>
      </c>
      <c r="F2009" s="86" t="s">
        <v>6062</v>
      </c>
      <c r="G2009" s="86" t="s">
        <v>154</v>
      </c>
      <c r="H2009" s="96" t="s">
        <v>213</v>
      </c>
      <c r="I2009" s="97" t="s">
        <v>755</v>
      </c>
      <c r="J2009" s="73">
        <f t="shared" si="217"/>
        <v>1</v>
      </c>
      <c r="K2009" s="74" t="s">
        <v>204</v>
      </c>
      <c r="L2009" s="97" t="s">
        <v>7575</v>
      </c>
      <c r="N2009" s="76" t="s">
        <v>18</v>
      </c>
      <c r="Q2009" s="76" t="s">
        <v>2109</v>
      </c>
      <c r="R2009" s="73">
        <f t="shared" si="218"/>
        <v>1</v>
      </c>
      <c r="S2009" s="260" t="s">
        <v>1976</v>
      </c>
      <c r="T2009" s="260" t="s">
        <v>923</v>
      </c>
      <c r="U2009" s="301" t="s">
        <v>5283</v>
      </c>
      <c r="V2009" s="301" t="s">
        <v>6807</v>
      </c>
      <c r="Y2009" s="566">
        <v>0.46731481481481479</v>
      </c>
      <c r="Z2009" s="566">
        <v>0.48427083333333337</v>
      </c>
      <c r="AA2009" s="566">
        <f t="shared" si="219"/>
        <v>1.6956018518518579E-2</v>
      </c>
      <c r="AB2009" s="699"/>
    </row>
    <row r="2010" spans="1:28" x14ac:dyDescent="0.3">
      <c r="A2010" s="79" t="s">
        <v>6111</v>
      </c>
      <c r="C2010" s="115">
        <v>43914</v>
      </c>
      <c r="D2010" s="312">
        <v>43993</v>
      </c>
      <c r="E2010" s="81">
        <v>43970</v>
      </c>
      <c r="F2010" s="86" t="s">
        <v>6236</v>
      </c>
      <c r="G2010" s="86" t="s">
        <v>158</v>
      </c>
      <c r="H2010" s="96" t="s">
        <v>213</v>
      </c>
      <c r="I2010" s="97" t="s">
        <v>1299</v>
      </c>
      <c r="J2010" s="73">
        <f t="shared" si="217"/>
        <v>1</v>
      </c>
      <c r="K2010" s="260" t="s">
        <v>204</v>
      </c>
      <c r="N2010" s="76" t="s">
        <v>18</v>
      </c>
      <c r="Q2010" s="76" t="s">
        <v>2142</v>
      </c>
      <c r="R2010" s="73">
        <f t="shared" si="218"/>
        <v>1</v>
      </c>
      <c r="S2010" s="260" t="s">
        <v>1976</v>
      </c>
      <c r="T2010" s="260" t="s">
        <v>925</v>
      </c>
      <c r="Y2010" s="566">
        <v>0.54567129629629629</v>
      </c>
      <c r="Z2010" s="566">
        <v>0.55266203703703709</v>
      </c>
      <c r="AA2010" s="566">
        <f t="shared" si="219"/>
        <v>6.9907407407407973E-3</v>
      </c>
      <c r="AB2010" s="699"/>
    </row>
    <row r="2011" spans="1:28" x14ac:dyDescent="0.3">
      <c r="A2011" s="79" t="s">
        <v>6112</v>
      </c>
      <c r="C2011" s="115">
        <v>43914</v>
      </c>
      <c r="D2011" s="312">
        <v>43993</v>
      </c>
      <c r="E2011" s="81">
        <v>43970</v>
      </c>
      <c r="F2011" s="86" t="s">
        <v>6237</v>
      </c>
      <c r="G2011" s="86" t="s">
        <v>150</v>
      </c>
      <c r="H2011" s="96" t="s">
        <v>213</v>
      </c>
      <c r="I2011" s="97" t="s">
        <v>714</v>
      </c>
      <c r="J2011" s="73">
        <f t="shared" si="217"/>
        <v>1</v>
      </c>
      <c r="K2011" s="260" t="s">
        <v>204</v>
      </c>
      <c r="L2011" s="97" t="s">
        <v>6818</v>
      </c>
      <c r="N2011" s="76" t="s">
        <v>18</v>
      </c>
      <c r="Q2011" s="76" t="s">
        <v>2076</v>
      </c>
      <c r="R2011" s="73">
        <f t="shared" si="218"/>
        <v>1</v>
      </c>
      <c r="S2011" s="260" t="s">
        <v>1976</v>
      </c>
      <c r="T2011" s="260" t="s">
        <v>925</v>
      </c>
      <c r="Y2011" s="566">
        <v>0.72228009259259263</v>
      </c>
      <c r="Z2011" s="566">
        <v>0.73476851851851854</v>
      </c>
      <c r="AA2011" s="566">
        <f t="shared" si="219"/>
        <v>1.2488425925925917E-2</v>
      </c>
      <c r="AB2011" s="699"/>
    </row>
    <row r="2012" spans="1:28" x14ac:dyDescent="0.3">
      <c r="A2012" s="79" t="s">
        <v>6116</v>
      </c>
      <c r="C2012" s="115">
        <v>43915</v>
      </c>
      <c r="D2012" s="312">
        <v>43993</v>
      </c>
      <c r="E2012" s="81">
        <v>43966</v>
      </c>
      <c r="F2012" s="86" t="s">
        <v>6241</v>
      </c>
      <c r="G2012" s="86" t="s">
        <v>147</v>
      </c>
      <c r="H2012" s="96" t="s">
        <v>213</v>
      </c>
      <c r="I2012" s="97" t="s">
        <v>622</v>
      </c>
      <c r="J2012" s="73">
        <f t="shared" si="217"/>
        <v>1</v>
      </c>
      <c r="K2012" s="260" t="s">
        <v>204</v>
      </c>
      <c r="N2012" s="76" t="s">
        <v>19</v>
      </c>
      <c r="Q2012" s="76" t="s">
        <v>2037</v>
      </c>
      <c r="R2012" s="73">
        <f t="shared" si="218"/>
        <v>1</v>
      </c>
      <c r="S2012" s="260" t="s">
        <v>1976</v>
      </c>
      <c r="T2012" s="260" t="s">
        <v>925</v>
      </c>
      <c r="U2012" s="301" t="s">
        <v>5283</v>
      </c>
      <c r="V2012" s="301" t="s">
        <v>6805</v>
      </c>
      <c r="Y2012" s="566">
        <v>0.57855324074074077</v>
      </c>
      <c r="Z2012" s="566">
        <v>0.59637731481481482</v>
      </c>
      <c r="AA2012" s="566">
        <f t="shared" si="219"/>
        <v>1.7824074074074048E-2</v>
      </c>
      <c r="AB2012" s="699"/>
    </row>
    <row r="2013" spans="1:28" x14ac:dyDescent="0.3">
      <c r="A2013" s="79" t="s">
        <v>6120</v>
      </c>
      <c r="C2013" s="115">
        <v>43915</v>
      </c>
      <c r="D2013" s="312">
        <v>43993</v>
      </c>
      <c r="E2013" s="81">
        <v>43970</v>
      </c>
      <c r="F2013" s="86" t="s">
        <v>6245</v>
      </c>
      <c r="G2013" s="86" t="s">
        <v>152</v>
      </c>
      <c r="H2013" s="96" t="s">
        <v>213</v>
      </c>
      <c r="I2013" s="97" t="s">
        <v>714</v>
      </c>
      <c r="J2013" s="73">
        <f t="shared" si="217"/>
        <v>1</v>
      </c>
      <c r="K2013" s="260" t="s">
        <v>204</v>
      </c>
      <c r="L2013" s="97" t="s">
        <v>6816</v>
      </c>
      <c r="N2013" s="76" t="s">
        <v>18</v>
      </c>
      <c r="Q2013" s="76" t="s">
        <v>2142</v>
      </c>
      <c r="R2013" s="73">
        <f t="shared" si="218"/>
        <v>1</v>
      </c>
      <c r="S2013" s="260" t="s">
        <v>1976</v>
      </c>
      <c r="T2013" s="260" t="s">
        <v>923</v>
      </c>
      <c r="Y2013" s="566">
        <v>0.55379629629629623</v>
      </c>
      <c r="Z2013" s="566">
        <v>0.5724421296296297</v>
      </c>
      <c r="AA2013" s="566">
        <f t="shared" si="219"/>
        <v>1.8645833333333472E-2</v>
      </c>
      <c r="AB2013" s="699"/>
    </row>
    <row r="2014" spans="1:28" x14ac:dyDescent="0.3">
      <c r="A2014" s="96" t="s">
        <v>6126</v>
      </c>
      <c r="C2014" s="115">
        <v>43915</v>
      </c>
      <c r="D2014" s="312">
        <v>43993</v>
      </c>
      <c r="E2014" s="81">
        <v>43966</v>
      </c>
      <c r="F2014" s="86" t="s">
        <v>6251</v>
      </c>
      <c r="G2014" s="86" t="s">
        <v>157</v>
      </c>
      <c r="H2014" s="96" t="s">
        <v>213</v>
      </c>
      <c r="I2014" s="97" t="s">
        <v>6800</v>
      </c>
      <c r="J2014" s="73">
        <f t="shared" si="217"/>
        <v>1</v>
      </c>
      <c r="K2014" s="260" t="s">
        <v>204</v>
      </c>
      <c r="N2014" s="76" t="s">
        <v>17</v>
      </c>
      <c r="Q2014" s="76" t="s">
        <v>2037</v>
      </c>
      <c r="R2014" s="73">
        <f t="shared" si="218"/>
        <v>1</v>
      </c>
      <c r="S2014" s="260" t="s">
        <v>1976</v>
      </c>
      <c r="T2014" s="260" t="s">
        <v>925</v>
      </c>
      <c r="Y2014" s="566">
        <v>0.50201388888888887</v>
      </c>
      <c r="Z2014" s="566">
        <v>0.51681712962962967</v>
      </c>
      <c r="AA2014" s="566">
        <f t="shared" si="219"/>
        <v>1.4803240740740797E-2</v>
      </c>
      <c r="AB2014" s="699"/>
    </row>
    <row r="2015" spans="1:28" x14ac:dyDescent="0.3">
      <c r="A2015" s="79" t="s">
        <v>6127</v>
      </c>
      <c r="C2015" s="115">
        <v>43915</v>
      </c>
      <c r="D2015" s="312">
        <v>43997</v>
      </c>
      <c r="E2015" s="81">
        <v>43970</v>
      </c>
      <c r="F2015" s="86" t="s">
        <v>6252</v>
      </c>
      <c r="G2015" s="86" t="s">
        <v>157</v>
      </c>
      <c r="H2015" s="96" t="s">
        <v>213</v>
      </c>
      <c r="I2015" s="97" t="s">
        <v>714</v>
      </c>
      <c r="J2015" s="73">
        <f t="shared" si="217"/>
        <v>1</v>
      </c>
      <c r="K2015" s="260" t="s">
        <v>204</v>
      </c>
      <c r="N2015" s="76" t="s">
        <v>18</v>
      </c>
      <c r="Q2015" s="76" t="s">
        <v>2142</v>
      </c>
      <c r="R2015" s="73">
        <f t="shared" si="218"/>
        <v>1</v>
      </c>
      <c r="S2015" s="260" t="s">
        <v>1976</v>
      </c>
      <c r="T2015" s="260" t="s">
        <v>925</v>
      </c>
      <c r="Y2015" s="566">
        <v>0.56206018518518519</v>
      </c>
      <c r="Z2015" s="566">
        <v>0.56733796296296302</v>
      </c>
      <c r="AA2015" s="566">
        <f t="shared" si="219"/>
        <v>5.2777777777778256E-3</v>
      </c>
      <c r="AB2015" s="699"/>
    </row>
    <row r="2016" spans="1:28" x14ac:dyDescent="0.3">
      <c r="A2016" s="79" t="s">
        <v>6128</v>
      </c>
      <c r="C2016" s="115">
        <v>43916</v>
      </c>
      <c r="D2016" s="312">
        <v>43997</v>
      </c>
      <c r="E2016" s="81">
        <v>43969</v>
      </c>
      <c r="F2016" s="86" t="s">
        <v>6253</v>
      </c>
      <c r="G2016" s="86" t="s">
        <v>152</v>
      </c>
      <c r="H2016" s="96" t="s">
        <v>213</v>
      </c>
      <c r="I2016" s="97" t="s">
        <v>714</v>
      </c>
      <c r="J2016" s="73">
        <f t="shared" si="217"/>
        <v>1</v>
      </c>
      <c r="K2016" s="260" t="s">
        <v>204</v>
      </c>
      <c r="N2016" s="76" t="s">
        <v>18</v>
      </c>
      <c r="Q2016" s="76" t="s">
        <v>2037</v>
      </c>
      <c r="R2016" s="73">
        <f t="shared" si="218"/>
        <v>1</v>
      </c>
      <c r="S2016" s="260" t="s">
        <v>1976</v>
      </c>
      <c r="T2016" s="260" t="s">
        <v>924</v>
      </c>
      <c r="Y2016" s="566">
        <v>0.46122685185185186</v>
      </c>
      <c r="Z2016" s="566">
        <v>0.46663194444444445</v>
      </c>
      <c r="AA2016" s="566">
        <f t="shared" si="219"/>
        <v>5.4050925925925863E-3</v>
      </c>
      <c r="AB2016" s="699"/>
    </row>
    <row r="2017" spans="1:28" x14ac:dyDescent="0.3">
      <c r="A2017" s="79" t="s">
        <v>6133</v>
      </c>
      <c r="C2017" s="115">
        <v>43916</v>
      </c>
      <c r="D2017" s="312">
        <v>43997</v>
      </c>
      <c r="E2017" s="81">
        <v>43969</v>
      </c>
      <c r="F2017" s="86" t="s">
        <v>6258</v>
      </c>
      <c r="G2017" s="86" t="s">
        <v>1042</v>
      </c>
      <c r="H2017" s="96" t="s">
        <v>213</v>
      </c>
      <c r="I2017" s="97" t="s">
        <v>642</v>
      </c>
      <c r="J2017" s="73">
        <f t="shared" si="217"/>
        <v>1</v>
      </c>
      <c r="K2017" s="260" t="s">
        <v>204</v>
      </c>
      <c r="N2017" s="76" t="s">
        <v>18</v>
      </c>
      <c r="Q2017" s="76" t="s">
        <v>2037</v>
      </c>
      <c r="R2017" s="73">
        <f t="shared" si="218"/>
        <v>1</v>
      </c>
      <c r="S2017" s="260" t="s">
        <v>1976</v>
      </c>
      <c r="T2017" s="260" t="s">
        <v>924</v>
      </c>
      <c r="Y2017" s="566">
        <v>0.45746527777777773</v>
      </c>
      <c r="Z2017" s="566">
        <v>0.4607175925925926</v>
      </c>
      <c r="AA2017" s="566">
        <f t="shared" si="219"/>
        <v>3.2523148148148606E-3</v>
      </c>
      <c r="AB2017" s="699"/>
    </row>
    <row r="2018" spans="1:28" x14ac:dyDescent="0.3">
      <c r="A2018" s="79" t="s">
        <v>6148</v>
      </c>
      <c r="C2018" s="115">
        <v>43916</v>
      </c>
      <c r="D2018" s="312">
        <v>43997</v>
      </c>
      <c r="E2018" s="81">
        <v>43965</v>
      </c>
      <c r="F2018" s="86" t="s">
        <v>6272</v>
      </c>
      <c r="G2018" s="86" t="s">
        <v>1042</v>
      </c>
      <c r="H2018" s="96" t="s">
        <v>213</v>
      </c>
      <c r="I2018" s="97" t="s">
        <v>714</v>
      </c>
      <c r="J2018" s="73">
        <f t="shared" si="217"/>
        <v>1</v>
      </c>
      <c r="K2018" s="260" t="s">
        <v>204</v>
      </c>
      <c r="L2018" s="97" t="s">
        <v>6792</v>
      </c>
      <c r="N2018" s="76" t="s">
        <v>17</v>
      </c>
      <c r="Q2018" s="76" t="s">
        <v>2417</v>
      </c>
      <c r="R2018" s="73">
        <f t="shared" si="218"/>
        <v>1</v>
      </c>
      <c r="S2018" s="260" t="s">
        <v>1976</v>
      </c>
      <c r="T2018" s="260" t="s">
        <v>925</v>
      </c>
      <c r="Y2018" s="566">
        <v>0.85021990740740738</v>
      </c>
      <c r="Z2018" s="566">
        <v>0.85383101851851861</v>
      </c>
      <c r="AA2018" s="566">
        <f t="shared" si="219"/>
        <v>3.6111111111112315E-3</v>
      </c>
      <c r="AB2018" s="699"/>
    </row>
    <row r="2019" spans="1:28" x14ac:dyDescent="0.3">
      <c r="A2019" s="96" t="s">
        <v>6768</v>
      </c>
      <c r="C2019" s="81">
        <v>43956</v>
      </c>
      <c r="D2019" s="109">
        <v>43983</v>
      </c>
      <c r="E2019" s="81">
        <v>43964</v>
      </c>
      <c r="F2019" s="97" t="s">
        <v>6769</v>
      </c>
      <c r="G2019" s="97" t="s">
        <v>189</v>
      </c>
      <c r="H2019" s="96" t="s">
        <v>213</v>
      </c>
      <c r="I2019" s="97" t="s">
        <v>649</v>
      </c>
      <c r="J2019" s="73">
        <f t="shared" si="217"/>
        <v>1</v>
      </c>
      <c r="K2019" s="74" t="s">
        <v>204</v>
      </c>
      <c r="L2019" s="97" t="s">
        <v>7089</v>
      </c>
      <c r="N2019" s="76" t="s">
        <v>17</v>
      </c>
      <c r="Q2019" s="76" t="s">
        <v>2417</v>
      </c>
      <c r="R2019" s="73">
        <f t="shared" si="218"/>
        <v>1</v>
      </c>
      <c r="S2019" s="260" t="s">
        <v>1976</v>
      </c>
      <c r="T2019" s="260" t="s">
        <v>924</v>
      </c>
      <c r="Y2019" s="566">
        <v>0.48802083333333335</v>
      </c>
      <c r="Z2019" s="566">
        <v>0.49770833333333336</v>
      </c>
      <c r="AA2019" s="566">
        <f t="shared" si="219"/>
        <v>9.6875000000000155E-3</v>
      </c>
      <c r="AB2019" s="699"/>
    </row>
    <row r="2020" spans="1:28" x14ac:dyDescent="0.3">
      <c r="A2020" s="96" t="s">
        <v>6771</v>
      </c>
      <c r="C2020" s="81">
        <v>43951</v>
      </c>
      <c r="D2020" s="109">
        <v>43983</v>
      </c>
      <c r="E2020" s="81">
        <v>43964</v>
      </c>
      <c r="F2020" s="97" t="s">
        <v>6772</v>
      </c>
      <c r="G2020" s="97" t="s">
        <v>156</v>
      </c>
      <c r="H2020" s="96" t="s">
        <v>213</v>
      </c>
      <c r="I2020" s="97" t="s">
        <v>649</v>
      </c>
      <c r="J2020" s="73">
        <f t="shared" si="217"/>
        <v>1</v>
      </c>
      <c r="K2020" s="74" t="s">
        <v>204</v>
      </c>
      <c r="L2020" s="97" t="s">
        <v>12719</v>
      </c>
      <c r="N2020" s="76" t="s">
        <v>18</v>
      </c>
      <c r="Q2020" s="76" t="s">
        <v>2076</v>
      </c>
      <c r="R2020" s="73">
        <f t="shared" si="218"/>
        <v>1</v>
      </c>
      <c r="S2020" s="260" t="s">
        <v>1976</v>
      </c>
      <c r="T2020" s="260" t="s">
        <v>925</v>
      </c>
      <c r="U2020" s="301" t="s">
        <v>5283</v>
      </c>
      <c r="V2020" s="301" t="s">
        <v>6773</v>
      </c>
      <c r="Y2020" s="566">
        <v>0.56513888888888886</v>
      </c>
      <c r="Z2020" s="566">
        <v>0.58333333333333337</v>
      </c>
      <c r="AA2020" s="566">
        <f t="shared" si="219"/>
        <v>1.8194444444444513E-2</v>
      </c>
      <c r="AB2020" s="699"/>
    </row>
    <row r="2021" spans="1:28" x14ac:dyDescent="0.3">
      <c r="A2021" s="96" t="s">
        <v>6784</v>
      </c>
      <c r="C2021" s="81">
        <v>43951</v>
      </c>
      <c r="D2021" s="109">
        <v>43983</v>
      </c>
      <c r="E2021" s="81">
        <v>43965</v>
      </c>
      <c r="F2021" s="97" t="s">
        <v>6785</v>
      </c>
      <c r="G2021" s="97" t="s">
        <v>152</v>
      </c>
      <c r="H2021" s="96" t="s">
        <v>268</v>
      </c>
      <c r="I2021" s="97" t="s">
        <v>6786</v>
      </c>
      <c r="J2021" s="73">
        <f t="shared" si="217"/>
        <v>1</v>
      </c>
      <c r="K2021" s="74" t="s">
        <v>204</v>
      </c>
      <c r="L2021" s="97" t="s">
        <v>12718</v>
      </c>
      <c r="N2021" s="76" t="s">
        <v>18</v>
      </c>
      <c r="Q2021" s="76" t="s">
        <v>2417</v>
      </c>
      <c r="R2021" s="73">
        <f t="shared" si="218"/>
        <v>1</v>
      </c>
      <c r="S2021" s="260" t="s">
        <v>1976</v>
      </c>
      <c r="T2021" s="260" t="s">
        <v>923</v>
      </c>
      <c r="Y2021" s="566">
        <v>0.62321759259259257</v>
      </c>
      <c r="Z2021" s="566">
        <v>0.65667824074074077</v>
      </c>
      <c r="AA2021" s="566">
        <f t="shared" si="219"/>
        <v>3.3460648148148198E-2</v>
      </c>
      <c r="AB2021" s="699"/>
    </row>
    <row r="2022" spans="1:28" x14ac:dyDescent="0.3">
      <c r="A2022" s="96" t="s">
        <v>6789</v>
      </c>
      <c r="C2022" s="81">
        <v>43956</v>
      </c>
      <c r="D2022" s="109">
        <v>43983</v>
      </c>
      <c r="E2022" s="81">
        <v>43965</v>
      </c>
      <c r="F2022" s="97" t="s">
        <v>6790</v>
      </c>
      <c r="G2022" s="97" t="s">
        <v>156</v>
      </c>
      <c r="H2022" s="96" t="s">
        <v>213</v>
      </c>
      <c r="I2022" s="97" t="s">
        <v>2729</v>
      </c>
      <c r="J2022" s="73">
        <f t="shared" si="217"/>
        <v>1</v>
      </c>
      <c r="K2022" s="74" t="s">
        <v>204</v>
      </c>
      <c r="N2022" s="76" t="s">
        <v>19</v>
      </c>
      <c r="Q2022" s="76" t="s">
        <v>2417</v>
      </c>
      <c r="R2022" s="73">
        <f t="shared" si="218"/>
        <v>1</v>
      </c>
      <c r="S2022" s="260" t="s">
        <v>1976</v>
      </c>
      <c r="T2022" s="260" t="s">
        <v>925</v>
      </c>
      <c r="Y2022" s="566">
        <v>0.84099537037037031</v>
      </c>
      <c r="Z2022" s="566">
        <v>0.8445717592592592</v>
      </c>
      <c r="AA2022" s="566">
        <f t="shared" si="219"/>
        <v>3.5763888888888928E-3</v>
      </c>
      <c r="AB2022" s="699"/>
    </row>
    <row r="2023" spans="1:28" x14ac:dyDescent="0.3">
      <c r="A2023" s="96" t="s">
        <v>6796</v>
      </c>
      <c r="C2023" s="81">
        <v>43957</v>
      </c>
      <c r="D2023" s="109">
        <v>43983</v>
      </c>
      <c r="E2023" s="81">
        <v>43965</v>
      </c>
      <c r="F2023" s="97" t="s">
        <v>6797</v>
      </c>
      <c r="G2023" s="97" t="s">
        <v>156</v>
      </c>
      <c r="H2023" s="96" t="s">
        <v>213</v>
      </c>
      <c r="I2023" s="97" t="s">
        <v>649</v>
      </c>
      <c r="J2023" s="73">
        <f t="shared" si="217"/>
        <v>1</v>
      </c>
      <c r="K2023" s="74" t="s">
        <v>204</v>
      </c>
      <c r="L2023" s="97" t="s">
        <v>12717</v>
      </c>
      <c r="N2023" s="76" t="s">
        <v>17</v>
      </c>
      <c r="Q2023" s="301" t="s">
        <v>2142</v>
      </c>
      <c r="R2023" s="73">
        <f t="shared" si="218"/>
        <v>1</v>
      </c>
      <c r="S2023" s="260" t="s">
        <v>1976</v>
      </c>
      <c r="T2023" s="260" t="s">
        <v>923</v>
      </c>
      <c r="Y2023" s="566">
        <v>0.96509259259259261</v>
      </c>
      <c r="Z2023" s="566">
        <v>0.97225694444444455</v>
      </c>
      <c r="AA2023" s="566">
        <f t="shared" si="219"/>
        <v>7.1643518518519356E-3</v>
      </c>
      <c r="AB2023" s="699"/>
    </row>
    <row r="2024" spans="1:28" x14ac:dyDescent="0.3">
      <c r="A2024" s="96" t="s">
        <v>6798</v>
      </c>
      <c r="C2024" s="81">
        <v>43958</v>
      </c>
      <c r="D2024" s="109">
        <v>43983</v>
      </c>
      <c r="E2024" s="81">
        <v>43965</v>
      </c>
      <c r="F2024" s="97" t="s">
        <v>6799</v>
      </c>
      <c r="G2024" s="97" t="s">
        <v>152</v>
      </c>
      <c r="H2024" s="96" t="s">
        <v>268</v>
      </c>
      <c r="I2024" s="97" t="s">
        <v>6065</v>
      </c>
      <c r="J2024" s="73">
        <f t="shared" si="217"/>
        <v>1</v>
      </c>
      <c r="K2024" s="260" t="s">
        <v>204</v>
      </c>
      <c r="N2024" s="76" t="s">
        <v>19</v>
      </c>
      <c r="Q2024" s="301" t="s">
        <v>2142</v>
      </c>
      <c r="R2024" s="73">
        <f t="shared" si="218"/>
        <v>1</v>
      </c>
      <c r="S2024" s="260" t="s">
        <v>1976</v>
      </c>
      <c r="T2024" s="260" t="s">
        <v>924</v>
      </c>
      <c r="Y2024" s="566">
        <v>0.97327546296296286</v>
      </c>
      <c r="Z2024" s="566">
        <v>0.97777777777777775</v>
      </c>
      <c r="AA2024" s="566">
        <f t="shared" si="219"/>
        <v>4.5023148148148895E-3</v>
      </c>
      <c r="AB2024" s="699"/>
    </row>
    <row r="2025" spans="1:28" x14ac:dyDescent="0.3">
      <c r="A2025" s="96" t="s">
        <v>6801</v>
      </c>
      <c r="C2025" s="81">
        <v>43956</v>
      </c>
      <c r="D2025" s="109">
        <v>43983</v>
      </c>
      <c r="E2025" s="81">
        <v>43966</v>
      </c>
      <c r="F2025" s="97" t="s">
        <v>6802</v>
      </c>
      <c r="G2025" s="97" t="s">
        <v>152</v>
      </c>
      <c r="H2025" s="96" t="s">
        <v>213</v>
      </c>
      <c r="I2025" s="97" t="s">
        <v>649</v>
      </c>
      <c r="J2025" s="73">
        <f t="shared" si="217"/>
        <v>1</v>
      </c>
      <c r="K2025" s="260" t="s">
        <v>204</v>
      </c>
      <c r="L2025" s="97" t="s">
        <v>12716</v>
      </c>
      <c r="N2025" s="76" t="s">
        <v>18</v>
      </c>
      <c r="Q2025" s="76" t="s">
        <v>2037</v>
      </c>
      <c r="R2025" s="73">
        <f t="shared" si="218"/>
        <v>1</v>
      </c>
      <c r="S2025" s="260" t="s">
        <v>1976</v>
      </c>
      <c r="T2025" s="260" t="s">
        <v>923</v>
      </c>
      <c r="Y2025" s="566">
        <v>0.53310185185185188</v>
      </c>
      <c r="Z2025" s="566">
        <v>0.54288194444444449</v>
      </c>
      <c r="AA2025" s="566">
        <f t="shared" si="219"/>
        <v>9.7800925925926041E-3</v>
      </c>
      <c r="AB2025" s="699"/>
    </row>
    <row r="2026" spans="1:28" x14ac:dyDescent="0.3">
      <c r="A2026" s="96" t="s">
        <v>6803</v>
      </c>
      <c r="C2026" s="81">
        <v>43956</v>
      </c>
      <c r="D2026" s="109">
        <v>43983</v>
      </c>
      <c r="E2026" s="81">
        <v>43966</v>
      </c>
      <c r="F2026" s="124" t="s">
        <v>6804</v>
      </c>
      <c r="G2026" s="97" t="s">
        <v>147</v>
      </c>
      <c r="H2026" s="96" t="s">
        <v>213</v>
      </c>
      <c r="I2026" s="97" t="s">
        <v>649</v>
      </c>
      <c r="J2026" s="73">
        <f t="shared" si="217"/>
        <v>1</v>
      </c>
      <c r="K2026" s="260" t="s">
        <v>204</v>
      </c>
      <c r="L2026" s="97" t="s">
        <v>12714</v>
      </c>
      <c r="N2026" s="76" t="s">
        <v>18</v>
      </c>
      <c r="Q2026" s="76" t="s">
        <v>2037</v>
      </c>
      <c r="R2026" s="73">
        <f t="shared" si="218"/>
        <v>1</v>
      </c>
      <c r="S2026" s="260" t="s">
        <v>1976</v>
      </c>
      <c r="T2026" s="260" t="s">
        <v>925</v>
      </c>
      <c r="U2026" s="301" t="s">
        <v>5283</v>
      </c>
      <c r="V2026" s="301" t="s">
        <v>12715</v>
      </c>
      <c r="Y2026" s="566">
        <v>0.56909722222222225</v>
      </c>
      <c r="Z2026" s="566">
        <v>0.57798611111111109</v>
      </c>
      <c r="AA2026" s="566">
        <f t="shared" si="219"/>
        <v>8.8888888888888351E-3</v>
      </c>
      <c r="AB2026" s="699"/>
    </row>
    <row r="2027" spans="1:28" x14ac:dyDescent="0.3">
      <c r="A2027" s="79" t="s">
        <v>6463</v>
      </c>
      <c r="C2027" s="115">
        <v>43895</v>
      </c>
      <c r="D2027" s="312">
        <v>43984</v>
      </c>
      <c r="E2027" s="81">
        <v>43976</v>
      </c>
      <c r="F2027" s="252" t="s">
        <v>6491</v>
      </c>
      <c r="G2027" s="86" t="s">
        <v>152</v>
      </c>
      <c r="H2027" s="96" t="s">
        <v>213</v>
      </c>
      <c r="I2027" s="97" t="s">
        <v>691</v>
      </c>
      <c r="J2027" s="73">
        <f t="shared" si="217"/>
        <v>1</v>
      </c>
      <c r="K2027" s="260" t="s">
        <v>204</v>
      </c>
      <c r="L2027" s="97" t="s">
        <v>7105</v>
      </c>
      <c r="N2027" s="76" t="s">
        <v>17</v>
      </c>
      <c r="Q2027" s="76" t="s">
        <v>2076</v>
      </c>
      <c r="R2027" s="73">
        <f t="shared" si="218"/>
        <v>1</v>
      </c>
      <c r="S2027" s="260" t="s">
        <v>1976</v>
      </c>
      <c r="T2027" s="260" t="s">
        <v>925</v>
      </c>
      <c r="U2027" s="301" t="s">
        <v>5283</v>
      </c>
      <c r="V2027" s="301" t="s">
        <v>7095</v>
      </c>
      <c r="Y2027" s="566">
        <v>0.41180555555555554</v>
      </c>
      <c r="Z2027" s="566">
        <v>0.43818287037037035</v>
      </c>
      <c r="AA2027" s="566">
        <f t="shared" si="219"/>
        <v>2.6377314814814812E-2</v>
      </c>
      <c r="AB2027" s="699"/>
    </row>
    <row r="2028" spans="1:28" x14ac:dyDescent="0.3">
      <c r="A2028" s="79" t="s">
        <v>5871</v>
      </c>
      <c r="C2028" s="115">
        <v>43908</v>
      </c>
      <c r="D2028" s="312">
        <v>43987</v>
      </c>
      <c r="E2028" s="81">
        <v>43971</v>
      </c>
      <c r="F2028" s="86" t="s">
        <v>5936</v>
      </c>
      <c r="G2028" s="86" t="s">
        <v>152</v>
      </c>
      <c r="H2028" s="96" t="s">
        <v>213</v>
      </c>
      <c r="I2028" s="97" t="s">
        <v>995</v>
      </c>
      <c r="J2028" s="73">
        <f t="shared" si="217"/>
        <v>1</v>
      </c>
      <c r="K2028" s="260" t="s">
        <v>204</v>
      </c>
      <c r="L2028" s="97" t="s">
        <v>7073</v>
      </c>
      <c r="N2028" s="76" t="s">
        <v>19</v>
      </c>
      <c r="Q2028" s="76" t="s">
        <v>2109</v>
      </c>
      <c r="R2028" s="73">
        <f t="shared" si="218"/>
        <v>1</v>
      </c>
      <c r="S2028" s="260" t="s">
        <v>1976</v>
      </c>
      <c r="T2028" s="260" t="s">
        <v>925</v>
      </c>
      <c r="Y2028" s="566">
        <v>0.69734953703703706</v>
      </c>
      <c r="Z2028" s="566">
        <v>0.70406250000000004</v>
      </c>
      <c r="AA2028" s="566">
        <f t="shared" si="219"/>
        <v>6.7129629629629761E-3</v>
      </c>
      <c r="AB2028" s="699"/>
    </row>
    <row r="2029" spans="1:28" x14ac:dyDescent="0.3">
      <c r="A2029" s="79" t="s">
        <v>5891</v>
      </c>
      <c r="C2029" s="115">
        <v>43909</v>
      </c>
      <c r="D2029" s="312">
        <v>43990</v>
      </c>
      <c r="E2029" s="81">
        <v>43970</v>
      </c>
      <c r="F2029" s="86" t="s">
        <v>5956</v>
      </c>
      <c r="G2029" s="86" t="s">
        <v>158</v>
      </c>
      <c r="H2029" s="96" t="s">
        <v>213</v>
      </c>
      <c r="I2029" s="97" t="s">
        <v>714</v>
      </c>
      <c r="J2029" s="73">
        <f t="shared" si="217"/>
        <v>1</v>
      </c>
      <c r="K2029" s="260" t="s">
        <v>204</v>
      </c>
      <c r="L2029" s="97" t="s">
        <v>7058</v>
      </c>
      <c r="N2029" s="76" t="s">
        <v>18</v>
      </c>
      <c r="Q2029" s="76" t="s">
        <v>2417</v>
      </c>
      <c r="R2029" s="73">
        <f t="shared" si="218"/>
        <v>1</v>
      </c>
      <c r="S2029" s="260" t="s">
        <v>1976</v>
      </c>
      <c r="T2029" s="260" t="s">
        <v>924</v>
      </c>
      <c r="Y2029" s="566">
        <v>0.76759259259259249</v>
      </c>
      <c r="Z2029" s="566">
        <v>0.77375000000000005</v>
      </c>
      <c r="AA2029" s="566">
        <f t="shared" si="219"/>
        <v>6.1574074074075558E-3</v>
      </c>
      <c r="AB2029" s="699"/>
    </row>
    <row r="2030" spans="1:28" x14ac:dyDescent="0.3">
      <c r="A2030" s="79" t="s">
        <v>5995</v>
      </c>
      <c r="C2030" s="115">
        <v>43913</v>
      </c>
      <c r="D2030" s="312">
        <v>43992</v>
      </c>
      <c r="E2030" s="81">
        <v>43971</v>
      </c>
      <c r="F2030" s="86" t="s">
        <v>6037</v>
      </c>
      <c r="G2030" s="86" t="s">
        <v>1221</v>
      </c>
      <c r="H2030" s="96" t="s">
        <v>213</v>
      </c>
      <c r="I2030" s="97" t="s">
        <v>642</v>
      </c>
      <c r="J2030" s="73">
        <f t="shared" si="217"/>
        <v>1</v>
      </c>
      <c r="K2030" s="260" t="s">
        <v>204</v>
      </c>
      <c r="L2030" s="97" t="s">
        <v>7069</v>
      </c>
      <c r="N2030" s="76" t="s">
        <v>18</v>
      </c>
      <c r="Q2030" s="76" t="s">
        <v>2417</v>
      </c>
      <c r="R2030" s="73">
        <f t="shared" si="218"/>
        <v>1</v>
      </c>
      <c r="S2030" s="260" t="s">
        <v>1976</v>
      </c>
      <c r="T2030" s="260" t="s">
        <v>923</v>
      </c>
      <c r="Y2030" s="566">
        <v>0.48247685185185185</v>
      </c>
      <c r="Z2030" s="566">
        <v>0.5040162037037037</v>
      </c>
      <c r="AA2030" s="566">
        <f t="shared" si="219"/>
        <v>2.1539351851851851E-2</v>
      </c>
      <c r="AB2030" s="699"/>
    </row>
    <row r="2031" spans="1:28" x14ac:dyDescent="0.3">
      <c r="A2031" s="79" t="s">
        <v>5999</v>
      </c>
      <c r="C2031" s="115">
        <v>43913</v>
      </c>
      <c r="D2031" s="312">
        <v>43991</v>
      </c>
      <c r="E2031" s="81">
        <v>43970</v>
      </c>
      <c r="F2031" s="86" t="s">
        <v>6041</v>
      </c>
      <c r="G2031" s="86" t="s">
        <v>147</v>
      </c>
      <c r="H2031" s="96" t="s">
        <v>213</v>
      </c>
      <c r="I2031" s="97" t="s">
        <v>642</v>
      </c>
      <c r="J2031" s="73">
        <f t="shared" si="217"/>
        <v>1</v>
      </c>
      <c r="K2031" s="260" t="s">
        <v>204</v>
      </c>
      <c r="L2031" s="97" t="s">
        <v>7059</v>
      </c>
      <c r="N2031" s="76" t="s">
        <v>18</v>
      </c>
      <c r="Q2031" s="76" t="s">
        <v>2417</v>
      </c>
      <c r="R2031" s="73">
        <f t="shared" si="218"/>
        <v>1</v>
      </c>
      <c r="S2031" s="260" t="s">
        <v>1976</v>
      </c>
      <c r="T2031" s="260" t="s">
        <v>924</v>
      </c>
      <c r="Y2031" s="566">
        <v>0.77445601851851853</v>
      </c>
      <c r="Z2031" s="566">
        <v>0.77997685185185184</v>
      </c>
      <c r="AA2031" s="566">
        <f t="shared" si="219"/>
        <v>5.5208333333333082E-3</v>
      </c>
      <c r="AB2031" s="699"/>
    </row>
    <row r="2032" spans="1:28" x14ac:dyDescent="0.3">
      <c r="A2032" s="79" t="s">
        <v>6001</v>
      </c>
      <c r="C2032" s="115">
        <v>43913</v>
      </c>
      <c r="D2032" s="312">
        <v>43992</v>
      </c>
      <c r="E2032" s="81">
        <v>43971</v>
      </c>
      <c r="F2032" s="86" t="s">
        <v>6043</v>
      </c>
      <c r="G2032" s="86" t="s">
        <v>158</v>
      </c>
      <c r="H2032" s="96" t="s">
        <v>213</v>
      </c>
      <c r="I2032" s="97" t="s">
        <v>714</v>
      </c>
      <c r="J2032" s="73">
        <f t="shared" si="217"/>
        <v>1</v>
      </c>
      <c r="K2032" s="260" t="s">
        <v>204</v>
      </c>
      <c r="L2032" s="97" t="s">
        <v>7067</v>
      </c>
      <c r="N2032" s="76" t="s">
        <v>17</v>
      </c>
      <c r="Q2032" s="76" t="s">
        <v>2417</v>
      </c>
      <c r="R2032" s="73">
        <f t="shared" si="218"/>
        <v>1</v>
      </c>
      <c r="S2032" s="260" t="s">
        <v>1976</v>
      </c>
      <c r="T2032" s="260" t="s">
        <v>924</v>
      </c>
      <c r="U2032" s="301" t="s">
        <v>5283</v>
      </c>
      <c r="V2032" s="301" t="s">
        <v>7068</v>
      </c>
      <c r="Y2032" s="566">
        <v>0.47278935185185184</v>
      </c>
      <c r="Z2032" s="566">
        <v>0.48216435185185186</v>
      </c>
      <c r="AA2032" s="566">
        <f t="shared" si="219"/>
        <v>9.3750000000000222E-3</v>
      </c>
      <c r="AB2032" s="699"/>
    </row>
    <row r="2033" spans="1:28" x14ac:dyDescent="0.3">
      <c r="A2033" s="79" t="s">
        <v>6103</v>
      </c>
      <c r="C2033" s="115">
        <v>43914</v>
      </c>
      <c r="D2033" s="312">
        <v>43993</v>
      </c>
      <c r="E2033" s="81">
        <v>43971</v>
      </c>
      <c r="F2033" s="86" t="s">
        <v>6228</v>
      </c>
      <c r="G2033" s="86" t="s">
        <v>189</v>
      </c>
      <c r="H2033" s="96" t="s">
        <v>213</v>
      </c>
      <c r="I2033" s="97" t="s">
        <v>714</v>
      </c>
      <c r="J2033" s="73">
        <f t="shared" si="217"/>
        <v>1</v>
      </c>
      <c r="K2033" s="260" t="s">
        <v>204</v>
      </c>
      <c r="L2033" s="97" t="s">
        <v>7071</v>
      </c>
      <c r="N2033" s="76" t="s">
        <v>17</v>
      </c>
      <c r="Q2033" s="76" t="s">
        <v>2109</v>
      </c>
      <c r="R2033" s="73">
        <f t="shared" si="218"/>
        <v>1</v>
      </c>
      <c r="S2033" s="260" t="s">
        <v>1976</v>
      </c>
      <c r="T2033" s="260" t="s">
        <v>923</v>
      </c>
      <c r="Y2033" s="566">
        <v>0.69081018518518522</v>
      </c>
      <c r="Z2033" s="566">
        <v>0.69631944444444438</v>
      </c>
      <c r="AA2033" s="566">
        <f t="shared" si="219"/>
        <v>5.5092592592591583E-3</v>
      </c>
      <c r="AB2033" s="699"/>
    </row>
    <row r="2034" spans="1:28" x14ac:dyDescent="0.3">
      <c r="A2034" s="79" t="s">
        <v>6115</v>
      </c>
      <c r="C2034" s="115">
        <v>43915</v>
      </c>
      <c r="D2034" s="115">
        <v>43993</v>
      </c>
      <c r="F2034" s="86" t="s">
        <v>6240</v>
      </c>
      <c r="G2034" s="86" t="s">
        <v>189</v>
      </c>
      <c r="H2034" s="96" t="s">
        <v>213</v>
      </c>
      <c r="J2034" s="73">
        <f t="shared" ref="J2034:J2056" si="220">IF(OR(K2034="Документы готовы",K2034="Запрос в ФО",K2034="ЭЗ",K2034="РЕШ",K2034="РЕШ шаблон"),0.1,IF(OR(K2034="ЭЗ согласование",K2034="РЕШ согласование"),0.3,IF(OR(K2034="ЭЗ согласовано",K2034="РЕШ согласовано",K2034="РЕШ подписано"),0.6,IF(OR(K2034="ЭЗ ПР согласование",K2034="РЕШ УВ согласование"),0.9,IF(OR(K2034="ЭЗ ПР DONE",K2034="РЕШ УВ DONE"),1,0)))))</f>
        <v>1</v>
      </c>
      <c r="K2034" s="74" t="s">
        <v>204</v>
      </c>
      <c r="N2034" s="76" t="s">
        <v>17</v>
      </c>
      <c r="Q2034" s="76" t="s">
        <v>2109</v>
      </c>
      <c r="R2034" s="73">
        <f t="shared" ref="R2034:R2056" si="221">IF(S2034="В работе",0.3,IF(S2034="Отписано",0.6,IF(S2034="На доработку",0.9,IF(S2034="Согласовано",1,0))))</f>
        <v>1</v>
      </c>
      <c r="S2034" s="260" t="s">
        <v>1976</v>
      </c>
      <c r="T2034" s="260" t="s">
        <v>924</v>
      </c>
      <c r="AA2034" s="566">
        <f t="shared" ref="AA2034:AA2056" si="222">Z2034-Y2034</f>
        <v>0</v>
      </c>
      <c r="AB2034" s="699"/>
    </row>
    <row r="2035" spans="1:28" x14ac:dyDescent="0.3">
      <c r="A2035" s="79" t="s">
        <v>6819</v>
      </c>
      <c r="C2035" s="115">
        <v>43915</v>
      </c>
      <c r="D2035" s="312">
        <v>43993</v>
      </c>
      <c r="E2035" s="81">
        <v>43971</v>
      </c>
      <c r="F2035" s="86" t="s">
        <v>6939</v>
      </c>
      <c r="G2035" s="86" t="s">
        <v>150</v>
      </c>
      <c r="H2035" s="96" t="s">
        <v>213</v>
      </c>
      <c r="I2035" s="97" t="s">
        <v>714</v>
      </c>
      <c r="J2035" s="73">
        <f t="shared" si="220"/>
        <v>1</v>
      </c>
      <c r="K2035" s="260" t="s">
        <v>204</v>
      </c>
      <c r="L2035" s="97" t="s">
        <v>7072</v>
      </c>
      <c r="N2035" s="76" t="s">
        <v>18</v>
      </c>
      <c r="Q2035" s="76" t="s">
        <v>2076</v>
      </c>
      <c r="R2035" s="73">
        <f t="shared" si="221"/>
        <v>1</v>
      </c>
      <c r="S2035" s="260" t="s">
        <v>1976</v>
      </c>
      <c r="T2035" s="260" t="s">
        <v>924</v>
      </c>
      <c r="Y2035" s="566">
        <v>0.55538194444444444</v>
      </c>
      <c r="Z2035" s="566">
        <v>0.56090277777777775</v>
      </c>
      <c r="AA2035" s="566">
        <f t="shared" si="222"/>
        <v>5.5208333333333082E-3</v>
      </c>
      <c r="AB2035" s="699"/>
    </row>
    <row r="2036" spans="1:28" x14ac:dyDescent="0.3">
      <c r="A2036" s="79" t="s">
        <v>6820</v>
      </c>
      <c r="C2036" s="115">
        <v>43915</v>
      </c>
      <c r="D2036" s="312">
        <v>43993</v>
      </c>
      <c r="E2036" s="81">
        <v>43971</v>
      </c>
      <c r="F2036" s="86" t="s">
        <v>6940</v>
      </c>
      <c r="G2036" s="86" t="s">
        <v>1682</v>
      </c>
      <c r="H2036" s="96" t="s">
        <v>213</v>
      </c>
      <c r="I2036" s="97" t="s">
        <v>642</v>
      </c>
      <c r="J2036" s="73">
        <f t="shared" si="220"/>
        <v>1</v>
      </c>
      <c r="K2036" s="260" t="s">
        <v>204</v>
      </c>
      <c r="L2036" s="97" t="s">
        <v>7069</v>
      </c>
      <c r="N2036" s="76" t="s">
        <v>18</v>
      </c>
      <c r="Q2036" s="76" t="s">
        <v>2076</v>
      </c>
      <c r="R2036" s="73">
        <f t="shared" si="221"/>
        <v>1</v>
      </c>
      <c r="S2036" s="260" t="s">
        <v>1976</v>
      </c>
      <c r="T2036" s="260" t="s">
        <v>924</v>
      </c>
      <c r="Y2036" s="566">
        <v>0.54893518518518525</v>
      </c>
      <c r="Z2036" s="566">
        <v>0.55505787037037035</v>
      </c>
      <c r="AA2036" s="566">
        <f t="shared" si="222"/>
        <v>6.1226851851851061E-3</v>
      </c>
      <c r="AB2036" s="699"/>
    </row>
    <row r="2037" spans="1:28" x14ac:dyDescent="0.3">
      <c r="A2037" s="79" t="s">
        <v>6121</v>
      </c>
      <c r="C2037" s="115">
        <v>43915</v>
      </c>
      <c r="D2037" s="312">
        <v>43997</v>
      </c>
      <c r="E2037" s="81">
        <v>43976</v>
      </c>
      <c r="F2037" s="86" t="s">
        <v>6246</v>
      </c>
      <c r="G2037" s="86" t="s">
        <v>152</v>
      </c>
      <c r="H2037" s="79" t="s">
        <v>268</v>
      </c>
      <c r="I2037" s="97" t="s">
        <v>2729</v>
      </c>
      <c r="J2037" s="73">
        <f t="shared" si="220"/>
        <v>1</v>
      </c>
      <c r="K2037" s="260" t="s">
        <v>204</v>
      </c>
      <c r="L2037" s="97" t="s">
        <v>7101</v>
      </c>
      <c r="N2037" s="76" t="s">
        <v>19</v>
      </c>
      <c r="Q2037" s="76" t="s">
        <v>2142</v>
      </c>
      <c r="R2037" s="73">
        <f t="shared" si="221"/>
        <v>1</v>
      </c>
      <c r="S2037" s="260" t="s">
        <v>1976</v>
      </c>
      <c r="T2037" s="260" t="s">
        <v>924</v>
      </c>
      <c r="Y2037" s="566">
        <v>0.48935185185185182</v>
      </c>
      <c r="Z2037" s="566">
        <v>0.50457175925925923</v>
      </c>
      <c r="AA2037" s="566">
        <f t="shared" si="222"/>
        <v>1.5219907407407418E-2</v>
      </c>
      <c r="AB2037" s="699"/>
    </row>
    <row r="2038" spans="1:28" x14ac:dyDescent="0.3">
      <c r="A2038" s="79" t="s">
        <v>6122</v>
      </c>
      <c r="C2038" s="115">
        <v>43915</v>
      </c>
      <c r="D2038" s="312">
        <v>43993</v>
      </c>
      <c r="E2038" s="81">
        <v>43971</v>
      </c>
      <c r="F2038" s="86" t="s">
        <v>6247</v>
      </c>
      <c r="G2038" s="86" t="s">
        <v>154</v>
      </c>
      <c r="H2038" s="96" t="s">
        <v>213</v>
      </c>
      <c r="I2038" s="97" t="s">
        <v>722</v>
      </c>
      <c r="J2038" s="73">
        <f t="shared" si="220"/>
        <v>1</v>
      </c>
      <c r="K2038" s="260" t="s">
        <v>204</v>
      </c>
      <c r="L2038" s="97" t="s">
        <v>7064</v>
      </c>
      <c r="N2038" s="76" t="s">
        <v>17</v>
      </c>
      <c r="Q2038" s="76" t="s">
        <v>2417</v>
      </c>
      <c r="R2038" s="73">
        <f t="shared" si="221"/>
        <v>1</v>
      </c>
      <c r="S2038" s="260" t="s">
        <v>1976</v>
      </c>
      <c r="T2038" s="260" t="s">
        <v>925</v>
      </c>
      <c r="Y2038" s="566">
        <v>0.4362847222222222</v>
      </c>
      <c r="Z2038" s="566">
        <v>0.45857638888888891</v>
      </c>
      <c r="AA2038" s="566">
        <f t="shared" si="222"/>
        <v>2.229166666666671E-2</v>
      </c>
      <c r="AB2038" s="699"/>
    </row>
    <row r="2039" spans="1:28" x14ac:dyDescent="0.3">
      <c r="A2039" s="79" t="s">
        <v>6124</v>
      </c>
      <c r="C2039" s="115">
        <v>43915</v>
      </c>
      <c r="D2039" s="312">
        <v>43993</v>
      </c>
      <c r="E2039" s="81">
        <v>43971</v>
      </c>
      <c r="F2039" s="86" t="s">
        <v>6249</v>
      </c>
      <c r="G2039" s="86" t="s">
        <v>157</v>
      </c>
      <c r="H2039" s="96" t="s">
        <v>213</v>
      </c>
      <c r="I2039" s="97" t="s">
        <v>642</v>
      </c>
      <c r="J2039" s="73">
        <f t="shared" si="220"/>
        <v>1</v>
      </c>
      <c r="K2039" s="260" t="s">
        <v>204</v>
      </c>
      <c r="L2039" s="97" t="s">
        <v>7066</v>
      </c>
      <c r="N2039" s="76" t="s">
        <v>18</v>
      </c>
      <c r="Q2039" s="76" t="s">
        <v>2417</v>
      </c>
      <c r="R2039" s="73">
        <f t="shared" si="221"/>
        <v>1</v>
      </c>
      <c r="S2039" s="260" t="s">
        <v>1976</v>
      </c>
      <c r="T2039" s="260" t="s">
        <v>923</v>
      </c>
      <c r="Y2039" s="566">
        <v>0.4664814814814815</v>
      </c>
      <c r="Z2039" s="566">
        <v>0.47251157407407413</v>
      </c>
      <c r="AA2039" s="566">
        <f t="shared" si="222"/>
        <v>6.0300925925926285E-3</v>
      </c>
      <c r="AB2039" s="699"/>
    </row>
    <row r="2040" spans="1:28" x14ac:dyDescent="0.3">
      <c r="A2040" s="79" t="s">
        <v>6125</v>
      </c>
      <c r="C2040" s="115">
        <v>43915</v>
      </c>
      <c r="D2040" s="312">
        <v>43997</v>
      </c>
      <c r="E2040" s="81">
        <v>43971</v>
      </c>
      <c r="F2040" s="86" t="s">
        <v>6250</v>
      </c>
      <c r="G2040" s="86" t="s">
        <v>152</v>
      </c>
      <c r="H2040" s="96" t="s">
        <v>213</v>
      </c>
      <c r="I2040" s="97" t="s">
        <v>714</v>
      </c>
      <c r="J2040" s="73">
        <f t="shared" si="220"/>
        <v>1</v>
      </c>
      <c r="K2040" s="260" t="s">
        <v>204</v>
      </c>
      <c r="L2040" s="97" t="s">
        <v>7071</v>
      </c>
      <c r="N2040" s="76" t="s">
        <v>18</v>
      </c>
      <c r="Q2040" s="76" t="s">
        <v>2076</v>
      </c>
      <c r="R2040" s="73">
        <f t="shared" si="221"/>
        <v>1</v>
      </c>
      <c r="S2040" s="260" t="s">
        <v>1976</v>
      </c>
      <c r="T2040" s="260" t="s">
        <v>925</v>
      </c>
      <c r="Y2040" s="566">
        <v>0.51306712962962964</v>
      </c>
      <c r="Z2040" s="566">
        <v>0.54212962962962963</v>
      </c>
      <c r="AA2040" s="566">
        <f t="shared" si="222"/>
        <v>2.9062499999999991E-2</v>
      </c>
      <c r="AB2040" s="699"/>
    </row>
    <row r="2041" spans="1:28" x14ac:dyDescent="0.3">
      <c r="A2041" s="79" t="s">
        <v>6465</v>
      </c>
      <c r="C2041" s="115">
        <v>43916</v>
      </c>
      <c r="D2041" s="312">
        <v>43997</v>
      </c>
      <c r="E2041" s="81">
        <v>43971</v>
      </c>
      <c r="F2041" s="86" t="s">
        <v>6494</v>
      </c>
      <c r="G2041" s="86" t="s">
        <v>147</v>
      </c>
      <c r="H2041" s="96" t="s">
        <v>213</v>
      </c>
      <c r="I2041" s="97" t="s">
        <v>714</v>
      </c>
      <c r="J2041" s="73">
        <f t="shared" si="220"/>
        <v>1</v>
      </c>
      <c r="K2041" s="260" t="s">
        <v>204</v>
      </c>
      <c r="L2041" s="97" t="s">
        <v>7072</v>
      </c>
      <c r="N2041" s="76" t="s">
        <v>17</v>
      </c>
      <c r="Q2041" s="76" t="s">
        <v>2076</v>
      </c>
      <c r="R2041" s="73">
        <f t="shared" si="221"/>
        <v>1</v>
      </c>
      <c r="S2041" s="260" t="s">
        <v>1976</v>
      </c>
      <c r="T2041" s="260" t="s">
        <v>923</v>
      </c>
      <c r="Y2041" s="566">
        <v>0.5427777777777778</v>
      </c>
      <c r="Z2041" s="566">
        <v>0.54863425925925924</v>
      </c>
      <c r="AA2041" s="566">
        <f t="shared" si="222"/>
        <v>5.8564814814814348E-3</v>
      </c>
      <c r="AB2041" s="699"/>
    </row>
    <row r="2042" spans="1:28" x14ac:dyDescent="0.3">
      <c r="A2042" s="79" t="s">
        <v>6149</v>
      </c>
      <c r="C2042" s="115">
        <v>43927</v>
      </c>
      <c r="D2042" s="312">
        <v>43998</v>
      </c>
      <c r="E2042" s="81">
        <v>43971</v>
      </c>
      <c r="F2042" s="86" t="s">
        <v>6273</v>
      </c>
      <c r="G2042" s="86" t="s">
        <v>158</v>
      </c>
      <c r="H2042" s="96" t="s">
        <v>213</v>
      </c>
      <c r="I2042" s="97" t="s">
        <v>714</v>
      </c>
      <c r="J2042" s="73">
        <f t="shared" si="220"/>
        <v>1</v>
      </c>
      <c r="K2042" s="260" t="s">
        <v>204</v>
      </c>
      <c r="L2042" s="97" t="s">
        <v>7070</v>
      </c>
      <c r="N2042" s="76" t="s">
        <v>17</v>
      </c>
      <c r="Q2042" s="76" t="s">
        <v>2076</v>
      </c>
      <c r="R2042" s="73">
        <f t="shared" si="221"/>
        <v>1</v>
      </c>
      <c r="S2042" s="260" t="s">
        <v>1976</v>
      </c>
      <c r="T2042" s="260" t="s">
        <v>925</v>
      </c>
      <c r="Y2042" s="566">
        <v>0.5058449074074074</v>
      </c>
      <c r="Z2042" s="566">
        <v>0.51271990740740747</v>
      </c>
      <c r="AA2042" s="566">
        <f t="shared" si="222"/>
        <v>6.8750000000000755E-3</v>
      </c>
      <c r="AB2042" s="699"/>
    </row>
    <row r="2043" spans="1:28" x14ac:dyDescent="0.3">
      <c r="A2043" s="79" t="s">
        <v>6151</v>
      </c>
      <c r="C2043" s="115">
        <v>43927</v>
      </c>
      <c r="D2043" s="312">
        <v>43998</v>
      </c>
      <c r="E2043" s="81">
        <v>43976</v>
      </c>
      <c r="F2043" s="86" t="s">
        <v>6275</v>
      </c>
      <c r="G2043" s="86" t="s">
        <v>157</v>
      </c>
      <c r="H2043" s="96" t="s">
        <v>213</v>
      </c>
      <c r="I2043" s="97" t="s">
        <v>714</v>
      </c>
      <c r="J2043" s="73">
        <f t="shared" si="220"/>
        <v>1</v>
      </c>
      <c r="K2043" s="260" t="s">
        <v>204</v>
      </c>
      <c r="L2043" s="97" t="s">
        <v>7072</v>
      </c>
      <c r="N2043" s="76" t="s">
        <v>18</v>
      </c>
      <c r="Q2043" s="76" t="s">
        <v>2076</v>
      </c>
      <c r="R2043" s="73">
        <f t="shared" si="221"/>
        <v>1</v>
      </c>
      <c r="S2043" s="260" t="s">
        <v>1976</v>
      </c>
      <c r="T2043" s="260" t="s">
        <v>923</v>
      </c>
      <c r="Y2043" s="566">
        <v>0.73732638888888891</v>
      </c>
      <c r="Z2043" s="566">
        <v>0.74266203703703704</v>
      </c>
      <c r="AA2043" s="566">
        <f t="shared" si="222"/>
        <v>5.335648148148131E-3</v>
      </c>
      <c r="AB2043" s="699"/>
    </row>
    <row r="2044" spans="1:28" x14ac:dyDescent="0.3">
      <c r="A2044" s="79" t="s">
        <v>6157</v>
      </c>
      <c r="C2044" s="115">
        <v>43927</v>
      </c>
      <c r="D2044" s="312">
        <v>43998</v>
      </c>
      <c r="E2044" s="81">
        <v>43976</v>
      </c>
      <c r="F2044" s="86" t="s">
        <v>6281</v>
      </c>
      <c r="G2044" s="86" t="s">
        <v>147</v>
      </c>
      <c r="H2044" s="96" t="s">
        <v>213</v>
      </c>
      <c r="I2044" s="97" t="s">
        <v>642</v>
      </c>
      <c r="J2044" s="73">
        <f t="shared" si="220"/>
        <v>1</v>
      </c>
      <c r="K2044" s="260" t="s">
        <v>204</v>
      </c>
      <c r="L2044" s="97" t="s">
        <v>7108</v>
      </c>
      <c r="N2044" s="76" t="s">
        <v>18</v>
      </c>
      <c r="Q2044" s="76" t="s">
        <v>2076</v>
      </c>
      <c r="R2044" s="73">
        <f t="shared" si="221"/>
        <v>1</v>
      </c>
      <c r="S2044" s="260" t="s">
        <v>1976</v>
      </c>
      <c r="T2044" s="260" t="s">
        <v>925</v>
      </c>
      <c r="Y2044" s="566">
        <v>0.72927083333333342</v>
      </c>
      <c r="Z2044" s="566">
        <v>0.73616898148148147</v>
      </c>
      <c r="AA2044" s="566">
        <f t="shared" si="222"/>
        <v>6.8981481481480422E-3</v>
      </c>
      <c r="AB2044" s="699"/>
    </row>
    <row r="2045" spans="1:28" x14ac:dyDescent="0.3">
      <c r="A2045" s="79" t="s">
        <v>6158</v>
      </c>
      <c r="C2045" s="115">
        <v>43927</v>
      </c>
      <c r="D2045" s="312">
        <v>43998</v>
      </c>
      <c r="E2045" s="81">
        <v>43976</v>
      </c>
      <c r="F2045" s="86" t="s">
        <v>6282</v>
      </c>
      <c r="G2045" s="86" t="s">
        <v>150</v>
      </c>
      <c r="H2045" s="96" t="s">
        <v>213</v>
      </c>
      <c r="I2045" s="97" t="s">
        <v>714</v>
      </c>
      <c r="J2045" s="73">
        <f t="shared" si="220"/>
        <v>1</v>
      </c>
      <c r="K2045" s="260" t="s">
        <v>204</v>
      </c>
      <c r="L2045" s="97" t="s">
        <v>7072</v>
      </c>
      <c r="N2045" s="76" t="s">
        <v>18</v>
      </c>
      <c r="Q2045" s="76" t="s">
        <v>2076</v>
      </c>
      <c r="R2045" s="73">
        <f t="shared" si="221"/>
        <v>1</v>
      </c>
      <c r="S2045" s="260" t="s">
        <v>1976</v>
      </c>
      <c r="T2045" s="260" t="s">
        <v>924</v>
      </c>
      <c r="Y2045" s="566">
        <v>0.72275462962962955</v>
      </c>
      <c r="Z2045" s="566">
        <v>0.72872685185185182</v>
      </c>
      <c r="AA2045" s="566">
        <f t="shared" si="222"/>
        <v>5.9722222222222676E-3</v>
      </c>
      <c r="AB2045" s="699"/>
    </row>
    <row r="2046" spans="1:28" x14ac:dyDescent="0.3">
      <c r="A2046" s="79" t="s">
        <v>6161</v>
      </c>
      <c r="C2046" s="115">
        <v>43927</v>
      </c>
      <c r="D2046" s="312">
        <v>43998</v>
      </c>
      <c r="E2046" s="81">
        <v>43976</v>
      </c>
      <c r="F2046" s="86" t="s">
        <v>6285</v>
      </c>
      <c r="G2046" s="86" t="s">
        <v>1384</v>
      </c>
      <c r="H2046" s="96" t="s">
        <v>213</v>
      </c>
      <c r="I2046" s="97" t="s">
        <v>642</v>
      </c>
      <c r="J2046" s="73">
        <f t="shared" si="220"/>
        <v>1</v>
      </c>
      <c r="K2046" s="260" t="s">
        <v>204</v>
      </c>
      <c r="L2046" s="97" t="s">
        <v>7109</v>
      </c>
      <c r="N2046" s="76" t="s">
        <v>17</v>
      </c>
      <c r="Q2046" s="76" t="s">
        <v>2076</v>
      </c>
      <c r="R2046" s="73">
        <f t="shared" si="221"/>
        <v>1</v>
      </c>
      <c r="S2046" s="260" t="s">
        <v>1976</v>
      </c>
      <c r="T2046" s="260" t="s">
        <v>925</v>
      </c>
      <c r="Y2046" s="566">
        <v>0.65546296296296302</v>
      </c>
      <c r="Z2046" s="566">
        <v>0.67936342592592591</v>
      </c>
      <c r="AA2046" s="566">
        <f t="shared" si="222"/>
        <v>2.3900462962962887E-2</v>
      </c>
      <c r="AB2046" s="699"/>
    </row>
    <row r="2047" spans="1:28" x14ac:dyDescent="0.3">
      <c r="A2047" s="79" t="s">
        <v>6163</v>
      </c>
      <c r="C2047" s="115">
        <v>43928</v>
      </c>
      <c r="D2047" s="312">
        <v>43998</v>
      </c>
      <c r="E2047" s="81">
        <v>43976</v>
      </c>
      <c r="F2047" s="86" t="s">
        <v>6287</v>
      </c>
      <c r="G2047" s="86" t="s">
        <v>150</v>
      </c>
      <c r="H2047" s="96" t="s">
        <v>213</v>
      </c>
      <c r="I2047" s="97" t="s">
        <v>722</v>
      </c>
      <c r="J2047" s="73">
        <f t="shared" si="220"/>
        <v>1</v>
      </c>
      <c r="K2047" s="260" t="s">
        <v>204</v>
      </c>
      <c r="L2047" s="97" t="s">
        <v>7100</v>
      </c>
      <c r="N2047" s="76" t="s">
        <v>17</v>
      </c>
      <c r="Q2047" s="76" t="s">
        <v>2142</v>
      </c>
      <c r="R2047" s="73">
        <f t="shared" si="221"/>
        <v>1</v>
      </c>
      <c r="S2047" s="260" t="s">
        <v>1976</v>
      </c>
      <c r="T2047" s="260" t="s">
        <v>923</v>
      </c>
      <c r="Y2047" s="566">
        <v>0.47728009259259263</v>
      </c>
      <c r="Z2047" s="566">
        <v>0.48900462962962959</v>
      </c>
      <c r="AA2047" s="566">
        <f t="shared" si="222"/>
        <v>1.1724537037036964E-2</v>
      </c>
      <c r="AB2047" s="699"/>
    </row>
    <row r="2048" spans="1:28" x14ac:dyDescent="0.3">
      <c r="A2048" s="79" t="s">
        <v>6171</v>
      </c>
      <c r="C2048" s="115">
        <v>43928</v>
      </c>
      <c r="D2048" s="312">
        <v>43998</v>
      </c>
      <c r="E2048" s="81">
        <v>43976</v>
      </c>
      <c r="F2048" s="86" t="s">
        <v>6295</v>
      </c>
      <c r="G2048" s="86" t="s">
        <v>150</v>
      </c>
      <c r="H2048" s="96" t="s">
        <v>213</v>
      </c>
      <c r="I2048" s="97" t="s">
        <v>645</v>
      </c>
      <c r="J2048" s="73">
        <f t="shared" si="220"/>
        <v>1</v>
      </c>
      <c r="K2048" s="260" t="s">
        <v>204</v>
      </c>
      <c r="L2048" s="97" t="s">
        <v>7098</v>
      </c>
      <c r="N2048" s="76" t="s">
        <v>18</v>
      </c>
      <c r="Q2048" s="76" t="s">
        <v>2142</v>
      </c>
      <c r="R2048" s="73">
        <f t="shared" si="221"/>
        <v>1</v>
      </c>
      <c r="S2048" s="260" t="s">
        <v>1976</v>
      </c>
      <c r="T2048" s="260" t="s">
        <v>924</v>
      </c>
      <c r="Y2048" s="566">
        <v>0.46663194444444445</v>
      </c>
      <c r="Z2048" s="566">
        <v>0.47545138888888888</v>
      </c>
      <c r="AA2048" s="566">
        <f t="shared" si="222"/>
        <v>8.8194444444444353E-3</v>
      </c>
      <c r="AB2048" s="699"/>
    </row>
    <row r="2049" spans="1:28" x14ac:dyDescent="0.3">
      <c r="A2049" s="79" t="s">
        <v>6180</v>
      </c>
      <c r="C2049" s="115">
        <v>43928</v>
      </c>
      <c r="D2049" s="312">
        <v>43998</v>
      </c>
      <c r="E2049" s="81">
        <v>43976</v>
      </c>
      <c r="F2049" s="86" t="s">
        <v>6304</v>
      </c>
      <c r="G2049" s="86" t="s">
        <v>150</v>
      </c>
      <c r="H2049" s="96" t="s">
        <v>213</v>
      </c>
      <c r="I2049" s="97" t="s">
        <v>642</v>
      </c>
      <c r="J2049" s="73">
        <f t="shared" si="220"/>
        <v>1</v>
      </c>
      <c r="K2049" s="260" t="s">
        <v>204</v>
      </c>
      <c r="L2049" s="97" t="s">
        <v>7097</v>
      </c>
      <c r="N2049" s="76" t="s">
        <v>18</v>
      </c>
      <c r="Q2049" s="76" t="s">
        <v>2142</v>
      </c>
      <c r="R2049" s="73">
        <f t="shared" si="221"/>
        <v>1</v>
      </c>
      <c r="S2049" s="260" t="s">
        <v>1976</v>
      </c>
      <c r="T2049" s="260" t="s">
        <v>925</v>
      </c>
      <c r="Y2049" s="566">
        <v>0.4624537037037037</v>
      </c>
      <c r="Z2049" s="566">
        <v>0.47574074074074074</v>
      </c>
      <c r="AA2049" s="566">
        <f t="shared" si="222"/>
        <v>1.3287037037037042E-2</v>
      </c>
      <c r="AB2049" s="699"/>
    </row>
    <row r="2050" spans="1:28" x14ac:dyDescent="0.3">
      <c r="A2050" s="79" t="s">
        <v>6192</v>
      </c>
      <c r="C2050" s="115">
        <v>43928</v>
      </c>
      <c r="D2050" s="312">
        <v>43998</v>
      </c>
      <c r="E2050" s="81">
        <v>43976</v>
      </c>
      <c r="F2050" s="86" t="s">
        <v>6316</v>
      </c>
      <c r="G2050" s="86" t="s">
        <v>158</v>
      </c>
      <c r="H2050" s="96" t="s">
        <v>213</v>
      </c>
      <c r="I2050" s="97" t="s">
        <v>714</v>
      </c>
      <c r="J2050" s="73">
        <f t="shared" si="220"/>
        <v>1</v>
      </c>
      <c r="K2050" s="260" t="s">
        <v>204</v>
      </c>
      <c r="L2050" s="97" t="s">
        <v>7096</v>
      </c>
      <c r="N2050" s="76" t="s">
        <v>17</v>
      </c>
      <c r="Q2050" s="76" t="s">
        <v>2142</v>
      </c>
      <c r="R2050" s="73">
        <f t="shared" si="221"/>
        <v>1</v>
      </c>
      <c r="S2050" s="260" t="s">
        <v>1976</v>
      </c>
      <c r="T2050" s="260" t="s">
        <v>923</v>
      </c>
      <c r="Y2050" s="566">
        <v>0.45276620370370368</v>
      </c>
      <c r="Z2050" s="566">
        <v>0.46211805555555557</v>
      </c>
      <c r="AA2050" s="566">
        <f t="shared" si="222"/>
        <v>9.3518518518518889E-3</v>
      </c>
      <c r="AB2050" s="699"/>
    </row>
    <row r="2051" spans="1:28" x14ac:dyDescent="0.3">
      <c r="A2051" s="79" t="s">
        <v>6193</v>
      </c>
      <c r="C2051" s="115">
        <v>43928</v>
      </c>
      <c r="D2051" s="312">
        <v>43998</v>
      </c>
      <c r="E2051" s="81">
        <v>43976</v>
      </c>
      <c r="F2051" s="86" t="s">
        <v>6317</v>
      </c>
      <c r="G2051" s="86" t="s">
        <v>410</v>
      </c>
      <c r="H2051" s="96" t="s">
        <v>213</v>
      </c>
      <c r="I2051" s="97" t="s">
        <v>714</v>
      </c>
      <c r="J2051" s="73">
        <f t="shared" si="220"/>
        <v>1</v>
      </c>
      <c r="K2051" s="260" t="s">
        <v>204</v>
      </c>
      <c r="L2051" s="97" t="s">
        <v>7102</v>
      </c>
      <c r="N2051" s="76" t="s">
        <v>17</v>
      </c>
      <c r="Q2051" s="76" t="s">
        <v>2142</v>
      </c>
      <c r="R2051" s="73">
        <f t="shared" si="221"/>
        <v>1</v>
      </c>
      <c r="S2051" s="260" t="s">
        <v>1976</v>
      </c>
      <c r="T2051" s="260" t="s">
        <v>924</v>
      </c>
      <c r="U2051" s="301" t="s">
        <v>5283</v>
      </c>
      <c r="V2051" s="301" t="s">
        <v>7103</v>
      </c>
      <c r="Y2051" s="566">
        <v>0.50701388888888888</v>
      </c>
      <c r="Z2051" s="566">
        <v>0.51370370370370366</v>
      </c>
      <c r="AA2051" s="566">
        <f t="shared" si="222"/>
        <v>6.6898148148147873E-3</v>
      </c>
      <c r="AB2051" s="699"/>
    </row>
    <row r="2052" spans="1:28" x14ac:dyDescent="0.3">
      <c r="A2052" s="79" t="s">
        <v>6197</v>
      </c>
      <c r="C2052" s="115">
        <v>43928</v>
      </c>
      <c r="D2052" s="312">
        <v>43998</v>
      </c>
      <c r="E2052" s="81">
        <v>43976</v>
      </c>
      <c r="F2052" s="86" t="s">
        <v>6321</v>
      </c>
      <c r="G2052" s="86" t="s">
        <v>152</v>
      </c>
      <c r="H2052" s="96" t="s">
        <v>213</v>
      </c>
      <c r="I2052" s="97" t="s">
        <v>854</v>
      </c>
      <c r="J2052" s="73">
        <f t="shared" si="220"/>
        <v>1</v>
      </c>
      <c r="K2052" s="260" t="s">
        <v>204</v>
      </c>
      <c r="L2052" s="97" t="s">
        <v>7120</v>
      </c>
      <c r="N2052" s="76" t="s">
        <v>17</v>
      </c>
      <c r="Q2052" s="76" t="s">
        <v>2109</v>
      </c>
      <c r="R2052" s="73">
        <f t="shared" si="221"/>
        <v>1</v>
      </c>
      <c r="S2052" s="260" t="s">
        <v>1976</v>
      </c>
      <c r="T2052" s="260" t="s">
        <v>925</v>
      </c>
      <c r="Y2052" s="566">
        <v>0.94188657407407417</v>
      </c>
      <c r="Z2052" s="566">
        <v>0.95070601851851855</v>
      </c>
      <c r="AA2052" s="566">
        <f t="shared" si="222"/>
        <v>8.8194444444443798E-3</v>
      </c>
      <c r="AB2052" s="699"/>
    </row>
    <row r="2053" spans="1:28" x14ac:dyDescent="0.3">
      <c r="A2053" s="79" t="s">
        <v>6202</v>
      </c>
      <c r="C2053" s="115">
        <v>43929</v>
      </c>
      <c r="D2053" s="312">
        <v>43998</v>
      </c>
      <c r="E2053" s="81">
        <v>43976</v>
      </c>
      <c r="F2053" s="86" t="s">
        <v>6326</v>
      </c>
      <c r="G2053" s="86" t="s">
        <v>150</v>
      </c>
      <c r="H2053" s="96" t="s">
        <v>213</v>
      </c>
      <c r="I2053" s="97" t="s">
        <v>642</v>
      </c>
      <c r="J2053" s="73">
        <f t="shared" si="220"/>
        <v>1</v>
      </c>
      <c r="K2053" s="260" t="s">
        <v>204</v>
      </c>
      <c r="L2053" s="97" t="s">
        <v>7108</v>
      </c>
      <c r="N2053" s="76" t="s">
        <v>18</v>
      </c>
      <c r="Q2053" s="76" t="s">
        <v>2076</v>
      </c>
      <c r="R2053" s="73">
        <f t="shared" si="221"/>
        <v>1</v>
      </c>
      <c r="S2053" s="260" t="s">
        <v>1976</v>
      </c>
      <c r="T2053" s="260" t="s">
        <v>923</v>
      </c>
      <c r="Y2053" s="566">
        <v>0.64930555555555558</v>
      </c>
      <c r="Z2053" s="566">
        <v>0.65482638888888889</v>
      </c>
      <c r="AA2053" s="566">
        <f t="shared" si="222"/>
        <v>5.5208333333333082E-3</v>
      </c>
      <c r="AB2053" s="699"/>
    </row>
    <row r="2054" spans="1:28" x14ac:dyDescent="0.3">
      <c r="A2054" s="79" t="s">
        <v>6203</v>
      </c>
      <c r="C2054" s="115">
        <v>43929</v>
      </c>
      <c r="D2054" s="312">
        <v>43998</v>
      </c>
      <c r="E2054" s="81">
        <v>43976</v>
      </c>
      <c r="F2054" s="86" t="s">
        <v>6327</v>
      </c>
      <c r="G2054" s="86" t="s">
        <v>3605</v>
      </c>
      <c r="H2054" s="96" t="s">
        <v>213</v>
      </c>
      <c r="I2054" s="97" t="s">
        <v>645</v>
      </c>
      <c r="J2054" s="73">
        <f t="shared" si="220"/>
        <v>1</v>
      </c>
      <c r="K2054" s="260" t="s">
        <v>204</v>
      </c>
      <c r="L2054" s="97" t="s">
        <v>7117</v>
      </c>
      <c r="N2054" s="76" t="s">
        <v>18</v>
      </c>
      <c r="Q2054" s="76" t="s">
        <v>2142</v>
      </c>
      <c r="R2054" s="73">
        <f t="shared" si="221"/>
        <v>1</v>
      </c>
      <c r="S2054" s="260" t="s">
        <v>1976</v>
      </c>
      <c r="T2054" s="260" t="s">
        <v>924</v>
      </c>
      <c r="Y2054" s="566">
        <v>0.89579861111111114</v>
      </c>
      <c r="Z2054" s="566">
        <v>0.9081597222222223</v>
      </c>
      <c r="AA2054" s="566">
        <f t="shared" si="222"/>
        <v>1.2361111111111156E-2</v>
      </c>
      <c r="AB2054" s="699"/>
    </row>
    <row r="2055" spans="1:28" x14ac:dyDescent="0.3">
      <c r="A2055" s="79" t="s">
        <v>6204</v>
      </c>
      <c r="C2055" s="115">
        <v>43929</v>
      </c>
      <c r="D2055" s="312">
        <v>43998</v>
      </c>
      <c r="E2055" s="81">
        <v>43976</v>
      </c>
      <c r="F2055" s="86" t="s">
        <v>6328</v>
      </c>
      <c r="G2055" s="86" t="s">
        <v>152</v>
      </c>
      <c r="H2055" s="96" t="s">
        <v>213</v>
      </c>
      <c r="I2055" s="97" t="s">
        <v>649</v>
      </c>
      <c r="J2055" s="73">
        <f t="shared" si="220"/>
        <v>1</v>
      </c>
      <c r="K2055" s="260" t="s">
        <v>204</v>
      </c>
      <c r="L2055" s="97" t="s">
        <v>7092</v>
      </c>
      <c r="N2055" s="76" t="s">
        <v>17</v>
      </c>
      <c r="Q2055" s="76" t="s">
        <v>2037</v>
      </c>
      <c r="R2055" s="73">
        <f t="shared" si="221"/>
        <v>1</v>
      </c>
      <c r="S2055" s="260" t="s">
        <v>1976</v>
      </c>
      <c r="T2055" s="260" t="s">
        <v>923</v>
      </c>
      <c r="Y2055" s="566">
        <v>0.79106481481481483</v>
      </c>
      <c r="Z2055" s="566">
        <v>0.80527777777777787</v>
      </c>
      <c r="AA2055" s="566">
        <f t="shared" si="222"/>
        <v>1.4212962962963038E-2</v>
      </c>
      <c r="AB2055" s="699"/>
    </row>
    <row r="2056" spans="1:28" x14ac:dyDescent="0.3">
      <c r="A2056" s="79" t="s">
        <v>6210</v>
      </c>
      <c r="C2056" s="115">
        <v>43930</v>
      </c>
      <c r="D2056" s="312">
        <v>43998</v>
      </c>
      <c r="E2056" s="81">
        <v>43976</v>
      </c>
      <c r="F2056" s="86" t="s">
        <v>6335</v>
      </c>
      <c r="G2056" s="86" t="s">
        <v>154</v>
      </c>
      <c r="H2056" s="96" t="s">
        <v>213</v>
      </c>
      <c r="I2056" s="97" t="s">
        <v>714</v>
      </c>
      <c r="J2056" s="73">
        <f t="shared" si="220"/>
        <v>1</v>
      </c>
      <c r="K2056" s="260" t="s">
        <v>204</v>
      </c>
      <c r="L2056" s="97" t="s">
        <v>7071</v>
      </c>
      <c r="N2056" s="76" t="s">
        <v>18</v>
      </c>
      <c r="Q2056" s="76" t="s">
        <v>2142</v>
      </c>
      <c r="R2056" s="73">
        <f t="shared" si="221"/>
        <v>1</v>
      </c>
      <c r="S2056" s="260" t="s">
        <v>1976</v>
      </c>
      <c r="T2056" s="260" t="s">
        <v>925</v>
      </c>
      <c r="Y2056" s="566">
        <v>0.91262731481481474</v>
      </c>
      <c r="Z2056" s="566">
        <v>0.92106481481481473</v>
      </c>
      <c r="AA2056" s="566">
        <f t="shared" si="222"/>
        <v>8.4374999999999867E-3</v>
      </c>
      <c r="AB2056" s="699"/>
    </row>
    <row r="2057" spans="1:28" x14ac:dyDescent="0.3">
      <c r="A2057" s="79" t="s">
        <v>6424</v>
      </c>
      <c r="C2057" s="115">
        <v>43934</v>
      </c>
      <c r="D2057" s="312">
        <v>43998</v>
      </c>
      <c r="E2057" s="81">
        <v>43976</v>
      </c>
      <c r="F2057" s="86" t="s">
        <v>6451</v>
      </c>
      <c r="G2057" s="86" t="s">
        <v>150</v>
      </c>
      <c r="H2057" s="96" t="s">
        <v>213</v>
      </c>
      <c r="I2057" s="97" t="s">
        <v>714</v>
      </c>
      <c r="J2057" s="73">
        <f t="shared" ref="J2057:J2064" si="223">IF(OR(K2057="Документы готовы",K2057="Запрос в ФО",K2057="ЭЗ",K2057="РЕШ",K2057="РЕШ шаблон"),0.1,IF(OR(K2057="ЭЗ согласование",K2057="РЕШ согласование"),0.3,IF(OR(K2057="ЭЗ согласовано",K2057="РЕШ согласовано",K2057="РЕШ подписано"),0.6,IF(OR(K2057="ЭЗ ПР согласование",K2057="РЕШ УВ согласование"),0.9,IF(OR(K2057="ЭЗ ПР DONE",K2057="РЕШ УВ DONE"),1,0)))))</f>
        <v>1</v>
      </c>
      <c r="K2057" s="260" t="s">
        <v>204</v>
      </c>
      <c r="L2057" s="97" t="s">
        <v>7071</v>
      </c>
      <c r="N2057" s="76" t="s">
        <v>17</v>
      </c>
      <c r="Q2057" s="76" t="s">
        <v>2076</v>
      </c>
      <c r="R2057" s="73">
        <f t="shared" ref="R2057:R2064" si="224">IF(S2057="В работе",0.3,IF(S2057="Отписано",0.6,IF(S2057="На доработку",0.9,IF(S2057="Согласовано",1,0))))</f>
        <v>1</v>
      </c>
      <c r="S2057" s="260" t="s">
        <v>1976</v>
      </c>
      <c r="T2057" s="260" t="s">
        <v>924</v>
      </c>
      <c r="Y2057" s="566">
        <v>0.61699074074074078</v>
      </c>
      <c r="Z2057" s="566">
        <v>0.6231944444444445</v>
      </c>
      <c r="AA2057" s="566">
        <f t="shared" ref="AA2057:AA2064" si="225">Z2057-Y2057</f>
        <v>6.2037037037037113E-3</v>
      </c>
      <c r="AB2057" s="699"/>
    </row>
    <row r="2058" spans="1:28" x14ac:dyDescent="0.3">
      <c r="A2058" s="79" t="s">
        <v>6468</v>
      </c>
      <c r="C2058" s="115">
        <v>43935</v>
      </c>
      <c r="D2058" s="312">
        <v>43998</v>
      </c>
      <c r="E2058" s="81">
        <v>43976</v>
      </c>
      <c r="F2058" s="86" t="s">
        <v>6497</v>
      </c>
      <c r="G2058" s="86" t="s">
        <v>150</v>
      </c>
      <c r="H2058" s="96" t="s">
        <v>213</v>
      </c>
      <c r="I2058" s="97" t="s">
        <v>722</v>
      </c>
      <c r="J2058" s="73">
        <f t="shared" si="223"/>
        <v>1</v>
      </c>
      <c r="K2058" s="260" t="s">
        <v>204</v>
      </c>
      <c r="L2058" s="97" t="s">
        <v>7114</v>
      </c>
      <c r="N2058" s="76" t="s">
        <v>18</v>
      </c>
      <c r="Q2058" s="76" t="s">
        <v>2037</v>
      </c>
      <c r="R2058" s="73">
        <f t="shared" si="224"/>
        <v>1</v>
      </c>
      <c r="S2058" s="260" t="s">
        <v>1976</v>
      </c>
      <c r="T2058" s="260" t="s">
        <v>925</v>
      </c>
      <c r="Y2058" s="566">
        <v>0.77797453703703701</v>
      </c>
      <c r="Z2058" s="566">
        <v>0.79035879629629635</v>
      </c>
      <c r="AA2058" s="566">
        <f t="shared" si="225"/>
        <v>1.2384259259259345E-2</v>
      </c>
      <c r="AB2058" s="699"/>
    </row>
    <row r="2059" spans="1:28" x14ac:dyDescent="0.3">
      <c r="A2059" s="79" t="s">
        <v>6482</v>
      </c>
      <c r="C2059" s="115">
        <v>43938</v>
      </c>
      <c r="D2059" s="312">
        <v>43998</v>
      </c>
      <c r="E2059" s="81">
        <v>43976</v>
      </c>
      <c r="F2059" s="86" t="s">
        <v>6511</v>
      </c>
      <c r="G2059" s="86" t="s">
        <v>152</v>
      </c>
      <c r="H2059" s="96" t="s">
        <v>213</v>
      </c>
      <c r="I2059" s="97" t="s">
        <v>714</v>
      </c>
      <c r="J2059" s="73">
        <f t="shared" si="223"/>
        <v>1</v>
      </c>
      <c r="K2059" s="260" t="s">
        <v>204</v>
      </c>
      <c r="L2059" s="97" t="s">
        <v>7067</v>
      </c>
      <c r="N2059" s="76" t="s">
        <v>17</v>
      </c>
      <c r="Q2059" s="76" t="s">
        <v>2076</v>
      </c>
      <c r="R2059" s="73">
        <f t="shared" si="224"/>
        <v>1</v>
      </c>
      <c r="S2059" s="260" t="s">
        <v>1976</v>
      </c>
      <c r="T2059" s="260" t="s">
        <v>923</v>
      </c>
      <c r="Y2059" s="566">
        <v>0.62358796296296293</v>
      </c>
      <c r="Z2059" s="566">
        <v>0.63437500000000002</v>
      </c>
      <c r="AA2059" s="566">
        <f t="shared" si="225"/>
        <v>1.0787037037037095E-2</v>
      </c>
      <c r="AB2059" s="699"/>
    </row>
    <row r="2060" spans="1:28" x14ac:dyDescent="0.3">
      <c r="A2060" s="79" t="s">
        <v>6487</v>
      </c>
      <c r="C2060" s="115">
        <v>43942</v>
      </c>
      <c r="D2060" s="312">
        <v>43998</v>
      </c>
      <c r="E2060" s="81">
        <v>43976</v>
      </c>
      <c r="F2060" s="86" t="s">
        <v>6516</v>
      </c>
      <c r="G2060" s="86" t="s">
        <v>158</v>
      </c>
      <c r="H2060" s="96" t="s">
        <v>213</v>
      </c>
      <c r="I2060" s="97" t="s">
        <v>641</v>
      </c>
      <c r="J2060" s="73">
        <f t="shared" si="223"/>
        <v>1</v>
      </c>
      <c r="K2060" s="260" t="s">
        <v>204</v>
      </c>
      <c r="L2060" s="97" t="s">
        <v>7115</v>
      </c>
      <c r="N2060" s="76" t="s">
        <v>17</v>
      </c>
      <c r="Q2060" s="76" t="s">
        <v>2037</v>
      </c>
      <c r="R2060" s="73">
        <f t="shared" si="224"/>
        <v>1</v>
      </c>
      <c r="S2060" s="260" t="s">
        <v>1976</v>
      </c>
      <c r="T2060" s="260" t="s">
        <v>925</v>
      </c>
      <c r="U2060" s="301" t="s">
        <v>5283</v>
      </c>
      <c r="V2060" s="301" t="s">
        <v>7113</v>
      </c>
      <c r="Y2060" s="566">
        <v>0.76157407407407407</v>
      </c>
      <c r="Z2060" s="566">
        <v>0.76896990740740734</v>
      </c>
      <c r="AA2060" s="566">
        <f t="shared" si="225"/>
        <v>7.3958333333332682E-3</v>
      </c>
      <c r="AB2060" s="699"/>
    </row>
    <row r="2061" spans="1:28" x14ac:dyDescent="0.3">
      <c r="A2061" s="79" t="s">
        <v>6488</v>
      </c>
      <c r="C2061" s="115">
        <v>43942</v>
      </c>
      <c r="D2061" s="312">
        <v>43998</v>
      </c>
      <c r="E2061" s="81">
        <v>43976</v>
      </c>
      <c r="F2061" s="86" t="s">
        <v>6517</v>
      </c>
      <c r="G2061" s="86" t="s">
        <v>150</v>
      </c>
      <c r="H2061" s="96" t="s">
        <v>213</v>
      </c>
      <c r="I2061" s="97" t="s">
        <v>642</v>
      </c>
      <c r="J2061" s="73">
        <f t="shared" si="223"/>
        <v>1</v>
      </c>
      <c r="K2061" s="260" t="s">
        <v>204</v>
      </c>
      <c r="L2061" s="97" t="s">
        <v>7069</v>
      </c>
      <c r="N2061" s="76" t="s">
        <v>18</v>
      </c>
      <c r="Q2061" s="76" t="s">
        <v>2037</v>
      </c>
      <c r="R2061" s="73">
        <f t="shared" si="224"/>
        <v>1</v>
      </c>
      <c r="S2061" s="260" t="s">
        <v>1976</v>
      </c>
      <c r="T2061" s="260" t="s">
        <v>923</v>
      </c>
      <c r="Y2061" s="566">
        <v>0.76946759259259256</v>
      </c>
      <c r="Z2061" s="566">
        <v>0.77337962962962958</v>
      </c>
      <c r="AA2061" s="566">
        <f t="shared" si="225"/>
        <v>3.9120370370370194E-3</v>
      </c>
      <c r="AB2061" s="699"/>
    </row>
    <row r="2062" spans="1:28" x14ac:dyDescent="0.3">
      <c r="A2062" s="79" t="s">
        <v>6528</v>
      </c>
      <c r="C2062" s="115">
        <v>43944</v>
      </c>
      <c r="D2062" s="312">
        <v>43998</v>
      </c>
      <c r="E2062" s="81">
        <v>43976</v>
      </c>
      <c r="F2062" s="86" t="s">
        <v>6547</v>
      </c>
      <c r="G2062" s="86" t="s">
        <v>186</v>
      </c>
      <c r="H2062" s="96" t="s">
        <v>213</v>
      </c>
      <c r="I2062" s="97" t="s">
        <v>642</v>
      </c>
      <c r="J2062" s="73">
        <f t="shared" si="223"/>
        <v>1</v>
      </c>
      <c r="K2062" s="260" t="s">
        <v>204</v>
      </c>
      <c r="L2062" s="97" t="s">
        <v>7110</v>
      </c>
      <c r="N2062" s="76" t="s">
        <v>18</v>
      </c>
      <c r="Q2062" s="76" t="s">
        <v>2037</v>
      </c>
      <c r="R2062" s="73">
        <f t="shared" si="224"/>
        <v>1</v>
      </c>
      <c r="S2062" s="260" t="s">
        <v>1976</v>
      </c>
      <c r="T2062" s="260" t="s">
        <v>924</v>
      </c>
      <c r="Y2062" s="566">
        <v>0.77379629629629632</v>
      </c>
      <c r="Z2062" s="566">
        <v>0.77730324074074064</v>
      </c>
      <c r="AA2062" s="566">
        <f t="shared" si="225"/>
        <v>3.5069444444443265E-3</v>
      </c>
      <c r="AB2062" s="699"/>
    </row>
    <row r="2063" spans="1:28" x14ac:dyDescent="0.3">
      <c r="A2063" s="79" t="s">
        <v>6530</v>
      </c>
      <c r="C2063" s="115">
        <v>43944</v>
      </c>
      <c r="D2063" s="312">
        <v>43998</v>
      </c>
      <c r="E2063" s="81">
        <v>43976</v>
      </c>
      <c r="F2063" s="86" t="s">
        <v>6549</v>
      </c>
      <c r="G2063" s="86" t="s">
        <v>147</v>
      </c>
      <c r="H2063" s="96" t="s">
        <v>213</v>
      </c>
      <c r="I2063" s="97" t="s">
        <v>642</v>
      </c>
      <c r="J2063" s="73">
        <f t="shared" si="223"/>
        <v>1</v>
      </c>
      <c r="K2063" s="260" t="s">
        <v>204</v>
      </c>
      <c r="L2063" s="97" t="s">
        <v>7116</v>
      </c>
      <c r="N2063" s="76" t="s">
        <v>18</v>
      </c>
      <c r="Q2063" s="76" t="s">
        <v>2037</v>
      </c>
      <c r="R2063" s="73">
        <f t="shared" si="224"/>
        <v>1</v>
      </c>
      <c r="S2063" s="260" t="s">
        <v>1976</v>
      </c>
      <c r="T2063" s="260" t="s">
        <v>925</v>
      </c>
      <c r="Y2063" s="566">
        <v>0.84488425925925925</v>
      </c>
      <c r="Z2063" s="566">
        <v>0.85138888888888886</v>
      </c>
      <c r="AA2063" s="566">
        <f t="shared" si="225"/>
        <v>6.5046296296296102E-3</v>
      </c>
      <c r="AB2063" s="699"/>
    </row>
    <row r="2064" spans="1:28" x14ac:dyDescent="0.3">
      <c r="A2064" s="79" t="s">
        <v>6531</v>
      </c>
      <c r="C2064" s="115">
        <v>43944</v>
      </c>
      <c r="D2064" s="312">
        <v>43998</v>
      </c>
      <c r="E2064" s="81">
        <v>43976</v>
      </c>
      <c r="F2064" s="86" t="s">
        <v>6550</v>
      </c>
      <c r="G2064" s="86" t="s">
        <v>158</v>
      </c>
      <c r="H2064" s="96" t="s">
        <v>213</v>
      </c>
      <c r="I2064" s="97" t="s">
        <v>714</v>
      </c>
      <c r="J2064" s="73">
        <f t="shared" si="223"/>
        <v>1</v>
      </c>
      <c r="K2064" s="260" t="s">
        <v>204</v>
      </c>
      <c r="L2064" s="97" t="s">
        <v>7112</v>
      </c>
      <c r="N2064" s="76" t="s">
        <v>17</v>
      </c>
      <c r="Q2064" s="76" t="s">
        <v>2037</v>
      </c>
      <c r="R2064" s="73">
        <f t="shared" si="224"/>
        <v>1</v>
      </c>
      <c r="S2064" s="260" t="s">
        <v>1976</v>
      </c>
      <c r="T2064" s="260" t="s">
        <v>923</v>
      </c>
      <c r="Y2064" s="566">
        <v>0.75497685185185182</v>
      </c>
      <c r="Z2064" s="566">
        <v>0.76140046296296304</v>
      </c>
      <c r="AA2064" s="566">
        <f t="shared" si="225"/>
        <v>6.4236111111112271E-3</v>
      </c>
      <c r="AB2064" s="699"/>
    </row>
    <row r="2065" spans="1:28" x14ac:dyDescent="0.3">
      <c r="A2065" s="79" t="s">
        <v>6572</v>
      </c>
      <c r="C2065" s="115">
        <v>43948</v>
      </c>
      <c r="D2065" s="312">
        <v>43998</v>
      </c>
      <c r="E2065" s="81">
        <v>43976</v>
      </c>
      <c r="F2065" s="86" t="s">
        <v>6637</v>
      </c>
      <c r="G2065" s="86" t="s">
        <v>156</v>
      </c>
      <c r="H2065" s="96" t="s">
        <v>213</v>
      </c>
      <c r="I2065" s="97" t="s">
        <v>714</v>
      </c>
      <c r="J2065" s="73">
        <f t="shared" ref="J2065:J2070" si="226">IF(OR(K2065="Документы готовы",K2065="Запрос в ФО",K2065="ЭЗ",K2065="РЕШ",K2065="РЕШ шаблон"),0.1,IF(OR(K2065="ЭЗ согласование",K2065="РЕШ согласование"),0.3,IF(OR(K2065="ЭЗ согласовано",K2065="РЕШ согласовано",K2065="РЕШ подписано"),0.6,IF(OR(K2065="ЭЗ ПР согласование",K2065="РЕШ УВ согласование"),0.9,IF(OR(K2065="ЭЗ ПР DONE",K2065="РЕШ УВ DONE"),1,0)))))</f>
        <v>1</v>
      </c>
      <c r="K2065" s="260" t="s">
        <v>204</v>
      </c>
      <c r="L2065" s="97" t="s">
        <v>7072</v>
      </c>
      <c r="N2065" s="76" t="s">
        <v>17</v>
      </c>
      <c r="Q2065" s="76" t="s">
        <v>2142</v>
      </c>
      <c r="R2065" s="73">
        <f t="shared" ref="R2065:R2070" si="227">IF(S2065="В работе",0.3,IF(S2065="Отписано",0.6,IF(S2065="На доработку",0.9,IF(S2065="Согласовано",1,0))))</f>
        <v>1</v>
      </c>
      <c r="S2065" s="260" t="s">
        <v>1976</v>
      </c>
      <c r="T2065" s="260" t="s">
        <v>924</v>
      </c>
      <c r="Y2065" s="566">
        <v>0.44711805555555556</v>
      </c>
      <c r="Z2065" s="566">
        <v>0.45152777777777775</v>
      </c>
      <c r="AA2065" s="566">
        <f t="shared" ref="AA2065:AA2070" si="228">Z2065-Y2065</f>
        <v>4.4097222222221899E-3</v>
      </c>
      <c r="AB2065" s="699"/>
    </row>
    <row r="2066" spans="1:28" x14ac:dyDescent="0.3">
      <c r="A2066" s="79" t="s">
        <v>6592</v>
      </c>
      <c r="C2066" s="115">
        <v>43949</v>
      </c>
      <c r="D2066" s="312">
        <v>43998</v>
      </c>
      <c r="E2066" s="81">
        <v>43976</v>
      </c>
      <c r="F2066" s="86" t="s">
        <v>6655</v>
      </c>
      <c r="G2066" s="86" t="s">
        <v>152</v>
      </c>
      <c r="H2066" s="96" t="s">
        <v>213</v>
      </c>
      <c r="I2066" s="97" t="s">
        <v>645</v>
      </c>
      <c r="J2066" s="73">
        <f t="shared" si="226"/>
        <v>1</v>
      </c>
      <c r="K2066" s="260" t="s">
        <v>204</v>
      </c>
      <c r="L2066" s="97" t="s">
        <v>7324</v>
      </c>
      <c r="N2066" s="76" t="s">
        <v>19</v>
      </c>
      <c r="Q2066" s="76" t="s">
        <v>2076</v>
      </c>
      <c r="R2066" s="73">
        <f t="shared" si="227"/>
        <v>1</v>
      </c>
      <c r="S2066" s="260" t="s">
        <v>1976</v>
      </c>
      <c r="T2066" s="260" t="s">
        <v>923</v>
      </c>
      <c r="U2066" s="301" t="s">
        <v>5283</v>
      </c>
      <c r="V2066" s="301" t="s">
        <v>7107</v>
      </c>
      <c r="Y2066" s="566">
        <v>0.6347800925925926</v>
      </c>
      <c r="Z2066" s="566">
        <v>0.64887731481481481</v>
      </c>
      <c r="AA2066" s="566">
        <f t="shared" si="228"/>
        <v>1.4097222222222205E-2</v>
      </c>
      <c r="AB2066" s="699"/>
    </row>
    <row r="2067" spans="1:28" x14ac:dyDescent="0.3">
      <c r="A2067" s="79" t="s">
        <v>6599</v>
      </c>
      <c r="C2067" s="115">
        <v>43949</v>
      </c>
      <c r="D2067" s="312">
        <v>43998</v>
      </c>
      <c r="E2067" s="81">
        <v>43976</v>
      </c>
      <c r="F2067" s="86" t="s">
        <v>6662</v>
      </c>
      <c r="G2067" s="86" t="s">
        <v>3014</v>
      </c>
      <c r="H2067" s="96" t="s">
        <v>213</v>
      </c>
      <c r="I2067" s="97" t="s">
        <v>642</v>
      </c>
      <c r="J2067" s="73">
        <f t="shared" si="226"/>
        <v>1</v>
      </c>
      <c r="K2067" s="260" t="s">
        <v>204</v>
      </c>
      <c r="L2067" s="97" t="s">
        <v>7111</v>
      </c>
      <c r="N2067" s="76" t="s">
        <v>18</v>
      </c>
      <c r="Q2067" s="76" t="s">
        <v>2076</v>
      </c>
      <c r="R2067" s="73">
        <f t="shared" si="227"/>
        <v>1</v>
      </c>
      <c r="S2067" s="260" t="s">
        <v>1976</v>
      </c>
      <c r="T2067" s="260" t="s">
        <v>924</v>
      </c>
      <c r="Y2067" s="566">
        <v>0.74319444444444438</v>
      </c>
      <c r="Z2067" s="566">
        <v>0.75010416666666668</v>
      </c>
      <c r="AA2067" s="566">
        <f t="shared" si="228"/>
        <v>6.9097222222223031E-3</v>
      </c>
      <c r="AB2067" s="699"/>
    </row>
    <row r="2068" spans="1:28" x14ac:dyDescent="0.3">
      <c r="A2068" s="96" t="s">
        <v>6613</v>
      </c>
      <c r="C2068" s="115">
        <v>43950</v>
      </c>
      <c r="D2068" s="312">
        <v>43983</v>
      </c>
      <c r="E2068" s="81">
        <v>43976</v>
      </c>
      <c r="F2068" s="252" t="s">
        <v>6676</v>
      </c>
      <c r="G2068" s="86" t="s">
        <v>150</v>
      </c>
      <c r="H2068" s="96" t="s">
        <v>213</v>
      </c>
      <c r="I2068" s="97" t="s">
        <v>722</v>
      </c>
      <c r="J2068" s="73">
        <f t="shared" si="226"/>
        <v>1</v>
      </c>
      <c r="K2068" s="260" t="s">
        <v>204</v>
      </c>
      <c r="L2068" s="97" t="s">
        <v>7118</v>
      </c>
      <c r="N2068" s="76" t="s">
        <v>18</v>
      </c>
      <c r="Q2068" s="76" t="s">
        <v>2109</v>
      </c>
      <c r="R2068" s="73">
        <f t="shared" si="227"/>
        <v>1</v>
      </c>
      <c r="S2068" s="260" t="s">
        <v>1976</v>
      </c>
      <c r="T2068" s="260" t="s">
        <v>925</v>
      </c>
      <c r="U2068" s="301" t="s">
        <v>5283</v>
      </c>
      <c r="V2068" s="301" t="s">
        <v>7119</v>
      </c>
      <c r="Y2068" s="566">
        <v>0.92152777777777783</v>
      </c>
      <c r="Z2068" s="566">
        <v>0.9412152777777778</v>
      </c>
      <c r="AA2068" s="566">
        <f t="shared" si="228"/>
        <v>1.9687499999999969E-2</v>
      </c>
      <c r="AB2068" s="699"/>
    </row>
    <row r="2069" spans="1:28" x14ac:dyDescent="0.3">
      <c r="A2069" s="79" t="s">
        <v>6860</v>
      </c>
      <c r="C2069" s="115">
        <v>43951</v>
      </c>
      <c r="D2069" s="312">
        <v>43983</v>
      </c>
      <c r="E2069" s="81">
        <v>43972</v>
      </c>
      <c r="F2069" s="86" t="s">
        <v>6980</v>
      </c>
      <c r="G2069" s="86" t="s">
        <v>168</v>
      </c>
      <c r="H2069" s="96" t="s">
        <v>213</v>
      </c>
      <c r="I2069" s="97" t="s">
        <v>649</v>
      </c>
      <c r="J2069" s="73">
        <f t="shared" si="226"/>
        <v>1</v>
      </c>
      <c r="K2069" s="260" t="s">
        <v>204</v>
      </c>
      <c r="L2069" s="97" t="s">
        <v>7082</v>
      </c>
      <c r="N2069" s="76" t="s">
        <v>18</v>
      </c>
      <c r="Q2069" s="76" t="s">
        <v>2076</v>
      </c>
      <c r="R2069" s="73">
        <f t="shared" si="227"/>
        <v>1</v>
      </c>
      <c r="S2069" s="260" t="s">
        <v>1976</v>
      </c>
      <c r="T2069" s="260" t="s">
        <v>923</v>
      </c>
      <c r="Y2069" s="566">
        <v>0.5236574074074074</v>
      </c>
      <c r="Z2069" s="566">
        <v>0.59173611111111113</v>
      </c>
      <c r="AA2069" s="566">
        <f t="shared" si="228"/>
        <v>6.8078703703703725E-2</v>
      </c>
      <c r="AB2069" s="699"/>
    </row>
    <row r="2070" spans="1:28" x14ac:dyDescent="0.3">
      <c r="A2070" s="79" t="s">
        <v>6861</v>
      </c>
      <c r="C2070" s="115">
        <v>43951</v>
      </c>
      <c r="D2070" s="312">
        <v>43983</v>
      </c>
      <c r="E2070" s="81">
        <v>43971</v>
      </c>
      <c r="F2070" s="86" t="s">
        <v>6981</v>
      </c>
      <c r="G2070" s="86" t="s">
        <v>150</v>
      </c>
      <c r="H2070" s="96" t="s">
        <v>213</v>
      </c>
      <c r="I2070" s="97" t="s">
        <v>722</v>
      </c>
      <c r="J2070" s="73">
        <f t="shared" si="226"/>
        <v>1</v>
      </c>
      <c r="K2070" s="260" t="s">
        <v>204</v>
      </c>
      <c r="L2070" s="97" t="s">
        <v>7078</v>
      </c>
      <c r="N2070" s="76" t="s">
        <v>18</v>
      </c>
      <c r="Q2070" s="76" t="s">
        <v>2142</v>
      </c>
      <c r="R2070" s="73">
        <f t="shared" si="227"/>
        <v>1</v>
      </c>
      <c r="S2070" s="260" t="s">
        <v>1976</v>
      </c>
      <c r="T2070" s="260" t="s">
        <v>925</v>
      </c>
      <c r="X2070" s="301" t="s">
        <v>7094</v>
      </c>
      <c r="Y2070" s="566">
        <v>0.91465277777777787</v>
      </c>
      <c r="Z2070" s="566">
        <v>0.92849537037037033</v>
      </c>
      <c r="AA2070" s="566">
        <f t="shared" si="228"/>
        <v>1.3842592592592462E-2</v>
      </c>
      <c r="AB2070" s="699"/>
    </row>
    <row r="2071" spans="1:28" x14ac:dyDescent="0.3">
      <c r="A2071" s="96" t="s">
        <v>6866</v>
      </c>
      <c r="C2071" s="115">
        <v>43956</v>
      </c>
      <c r="D2071" s="312">
        <v>43983</v>
      </c>
      <c r="E2071" s="81">
        <v>43973</v>
      </c>
      <c r="F2071" s="86" t="s">
        <v>6986</v>
      </c>
      <c r="G2071" s="86" t="s">
        <v>154</v>
      </c>
      <c r="H2071" s="96" t="s">
        <v>213</v>
      </c>
      <c r="I2071" s="97" t="s">
        <v>645</v>
      </c>
      <c r="J2071" s="73">
        <f t="shared" ref="J2071:J2090" si="229">IF(OR(K2071="Документы готовы",K2071="Запрос в ФО",K2071="ЭЗ",K2071="РЕШ",K2071="РЕШ шаблон"),0.1,IF(OR(K2071="ЭЗ согласование",K2071="РЕШ согласование"),0.3,IF(OR(K2071="ЭЗ согласовано",K2071="РЕШ согласовано",K2071="РЕШ подписано"),0.6,IF(OR(K2071="ЭЗ ПР согласование",K2071="РЕШ УВ согласование"),0.9,IF(OR(K2071="ЭЗ ПР DONE",K2071="РЕШ УВ DONE"),1,0)))))</f>
        <v>1</v>
      </c>
      <c r="K2071" s="260" t="s">
        <v>204</v>
      </c>
      <c r="L2071" s="97" t="s">
        <v>7093</v>
      </c>
      <c r="N2071" s="76" t="s">
        <v>19</v>
      </c>
      <c r="Q2071" s="76" t="s">
        <v>2142</v>
      </c>
      <c r="R2071" s="73">
        <f t="shared" ref="R2071:R2090" si="230">IF(S2071="В работе",0.3,IF(S2071="Отписано",0.6,IF(S2071="На доработку",0.9,IF(S2071="Согласовано",1,0))))</f>
        <v>1</v>
      </c>
      <c r="S2071" s="260" t="s">
        <v>1976</v>
      </c>
      <c r="T2071" s="260" t="s">
        <v>924</v>
      </c>
      <c r="X2071" s="301" t="s">
        <v>7099</v>
      </c>
      <c r="Y2071" s="566">
        <v>0.86980324074074078</v>
      </c>
      <c r="Z2071" s="566">
        <v>0.88942129629629629</v>
      </c>
      <c r="AA2071" s="566">
        <f t="shared" ref="AA2071:AA2090" si="231">Z2071-Y2071</f>
        <v>1.9618055555555514E-2</v>
      </c>
      <c r="AB2071" s="699"/>
    </row>
    <row r="2072" spans="1:28" x14ac:dyDescent="0.3">
      <c r="A2072" s="79" t="s">
        <v>6867</v>
      </c>
      <c r="C2072" s="115">
        <v>43956</v>
      </c>
      <c r="D2072" s="312">
        <v>43983</v>
      </c>
      <c r="E2072" s="81">
        <v>43973</v>
      </c>
      <c r="F2072" s="86" t="s">
        <v>6987</v>
      </c>
      <c r="G2072" s="86" t="s">
        <v>158</v>
      </c>
      <c r="H2072" s="96" t="s">
        <v>213</v>
      </c>
      <c r="I2072" s="97" t="s">
        <v>649</v>
      </c>
      <c r="J2072" s="73">
        <f t="shared" si="229"/>
        <v>1</v>
      </c>
      <c r="K2072" s="260" t="s">
        <v>204</v>
      </c>
      <c r="L2072" s="97" t="s">
        <v>7060</v>
      </c>
      <c r="N2072" s="76" t="s">
        <v>17</v>
      </c>
      <c r="Q2072" s="76" t="s">
        <v>2142</v>
      </c>
      <c r="R2072" s="73">
        <f t="shared" si="230"/>
        <v>1</v>
      </c>
      <c r="S2072" s="260" t="s">
        <v>1976</v>
      </c>
      <c r="T2072" s="260" t="s">
        <v>925</v>
      </c>
      <c r="Y2072" s="566">
        <v>0.85271990740740744</v>
      </c>
      <c r="Z2072" s="566">
        <v>0.85834490740740732</v>
      </c>
      <c r="AA2072" s="566">
        <f t="shared" si="231"/>
        <v>5.6249999999998801E-3</v>
      </c>
      <c r="AB2072" s="699"/>
    </row>
    <row r="2073" spans="1:28" x14ac:dyDescent="0.3">
      <c r="A2073" s="79" t="s">
        <v>6869</v>
      </c>
      <c r="C2073" s="115">
        <v>43956</v>
      </c>
      <c r="D2073" s="312">
        <v>43983</v>
      </c>
      <c r="E2073" s="81">
        <v>43971</v>
      </c>
      <c r="F2073" s="86" t="s">
        <v>6989</v>
      </c>
      <c r="G2073" s="86" t="s">
        <v>147</v>
      </c>
      <c r="H2073" s="96" t="s">
        <v>213</v>
      </c>
      <c r="I2073" s="97" t="s">
        <v>6088</v>
      </c>
      <c r="J2073" s="73">
        <f t="shared" si="229"/>
        <v>1</v>
      </c>
      <c r="K2073" s="74" t="s">
        <v>204</v>
      </c>
      <c r="L2073" s="97" t="s">
        <v>7062</v>
      </c>
      <c r="N2073" s="76" t="s">
        <v>18</v>
      </c>
      <c r="Q2073" s="76" t="s">
        <v>2037</v>
      </c>
      <c r="R2073" s="73">
        <f t="shared" si="230"/>
        <v>1</v>
      </c>
      <c r="S2073" s="260" t="s">
        <v>1976</v>
      </c>
      <c r="T2073" s="260" t="s">
        <v>925</v>
      </c>
      <c r="Y2073" s="566">
        <v>0.41591435185185183</v>
      </c>
      <c r="Z2073" s="566">
        <v>0.42792824074074076</v>
      </c>
      <c r="AA2073" s="566">
        <f t="shared" si="231"/>
        <v>1.2013888888888935E-2</v>
      </c>
      <c r="AB2073" s="699"/>
    </row>
    <row r="2074" spans="1:28" x14ac:dyDescent="0.3">
      <c r="A2074" s="79" t="s">
        <v>6876</v>
      </c>
      <c r="C2074" s="115">
        <v>43956</v>
      </c>
      <c r="D2074" s="312">
        <v>43983</v>
      </c>
      <c r="E2074" s="81">
        <v>43972</v>
      </c>
      <c r="F2074" s="86" t="s">
        <v>6996</v>
      </c>
      <c r="G2074" s="86" t="s">
        <v>150</v>
      </c>
      <c r="H2074" s="96" t="s">
        <v>213</v>
      </c>
      <c r="I2074" s="97" t="s">
        <v>854</v>
      </c>
      <c r="J2074" s="73">
        <f t="shared" si="229"/>
        <v>1</v>
      </c>
      <c r="K2074" s="260" t="s">
        <v>204</v>
      </c>
      <c r="L2074" s="97" t="s">
        <v>7087</v>
      </c>
      <c r="N2074" s="76" t="s">
        <v>18</v>
      </c>
      <c r="Q2074" s="76" t="s">
        <v>2417</v>
      </c>
      <c r="R2074" s="73">
        <f t="shared" si="230"/>
        <v>1</v>
      </c>
      <c r="S2074" s="260" t="s">
        <v>1976</v>
      </c>
      <c r="T2074" s="260" t="s">
        <v>923</v>
      </c>
      <c r="Y2074" s="566">
        <v>0.70699074074074064</v>
      </c>
      <c r="Z2074" s="566">
        <v>0.72895833333333337</v>
      </c>
      <c r="AA2074" s="566">
        <f t="shared" si="231"/>
        <v>2.1967592592592733E-2</v>
      </c>
      <c r="AB2074" s="699"/>
    </row>
    <row r="2075" spans="1:28" x14ac:dyDescent="0.3">
      <c r="A2075" s="79" t="s">
        <v>6880</v>
      </c>
      <c r="C2075" s="115">
        <v>43957</v>
      </c>
      <c r="D2075" s="312">
        <v>43983</v>
      </c>
      <c r="E2075" s="81">
        <v>43971</v>
      </c>
      <c r="F2075" s="86" t="s">
        <v>7000</v>
      </c>
      <c r="G2075" s="86" t="s">
        <v>154</v>
      </c>
      <c r="H2075" s="96" t="s">
        <v>213</v>
      </c>
      <c r="I2075" s="97" t="s">
        <v>649</v>
      </c>
      <c r="J2075" s="73">
        <f t="shared" si="229"/>
        <v>1</v>
      </c>
      <c r="K2075" s="260" t="s">
        <v>204</v>
      </c>
      <c r="L2075" s="97" t="s">
        <v>7061</v>
      </c>
      <c r="N2075" s="76" t="s">
        <v>17</v>
      </c>
      <c r="Q2075" s="76" t="s">
        <v>2037</v>
      </c>
      <c r="R2075" s="73">
        <f t="shared" si="230"/>
        <v>1</v>
      </c>
      <c r="S2075" s="260" t="s">
        <v>1976</v>
      </c>
      <c r="T2075" s="260" t="s">
        <v>923</v>
      </c>
      <c r="Y2075" s="566">
        <v>0.40475694444444449</v>
      </c>
      <c r="Z2075" s="566">
        <v>0.41539351851851852</v>
      </c>
      <c r="AA2075" s="566">
        <f t="shared" si="231"/>
        <v>1.0636574074074034E-2</v>
      </c>
      <c r="AB2075" s="699"/>
    </row>
    <row r="2076" spans="1:28" x14ac:dyDescent="0.3">
      <c r="A2076" s="79" t="s">
        <v>6886</v>
      </c>
      <c r="C2076" s="115">
        <v>43957</v>
      </c>
      <c r="D2076" s="312">
        <v>43983</v>
      </c>
      <c r="E2076" s="81">
        <v>43971</v>
      </c>
      <c r="F2076" s="86" t="s">
        <v>7006</v>
      </c>
      <c r="G2076" s="86" t="s">
        <v>177</v>
      </c>
      <c r="H2076" s="96" t="s">
        <v>213</v>
      </c>
      <c r="I2076" s="97" t="s">
        <v>649</v>
      </c>
      <c r="J2076" s="73">
        <f t="shared" si="229"/>
        <v>1</v>
      </c>
      <c r="K2076" s="260" t="s">
        <v>204</v>
      </c>
      <c r="L2076" s="97" t="s">
        <v>7075</v>
      </c>
      <c r="N2076" s="76" t="s">
        <v>18</v>
      </c>
      <c r="Q2076" s="76" t="s">
        <v>2037</v>
      </c>
      <c r="R2076" s="73">
        <f t="shared" si="230"/>
        <v>1</v>
      </c>
      <c r="S2076" s="260" t="s">
        <v>1976</v>
      </c>
      <c r="T2076" s="260" t="s">
        <v>924</v>
      </c>
      <c r="Y2076" s="566">
        <v>0.75114583333333329</v>
      </c>
      <c r="Z2076" s="566">
        <v>0.77189814814814817</v>
      </c>
      <c r="AA2076" s="566">
        <f t="shared" si="231"/>
        <v>2.0752314814814876E-2</v>
      </c>
      <c r="AB2076" s="699"/>
    </row>
    <row r="2077" spans="1:28" x14ac:dyDescent="0.3">
      <c r="A2077" s="79" t="s">
        <v>6888</v>
      </c>
      <c r="C2077" s="115">
        <v>43957</v>
      </c>
      <c r="D2077" s="312">
        <v>43983</v>
      </c>
      <c r="E2077" s="81">
        <v>43972</v>
      </c>
      <c r="F2077" s="86" t="s">
        <v>7008</v>
      </c>
      <c r="G2077" s="86" t="s">
        <v>147</v>
      </c>
      <c r="H2077" s="96" t="s">
        <v>213</v>
      </c>
      <c r="I2077" s="97" t="s">
        <v>972</v>
      </c>
      <c r="J2077" s="73">
        <f t="shared" si="229"/>
        <v>1</v>
      </c>
      <c r="K2077" s="260" t="s">
        <v>204</v>
      </c>
      <c r="L2077" s="97" t="s">
        <v>7079</v>
      </c>
      <c r="N2077" s="76" t="s">
        <v>17</v>
      </c>
      <c r="Q2077" s="76" t="s">
        <v>2076</v>
      </c>
      <c r="R2077" s="73">
        <f t="shared" si="230"/>
        <v>1</v>
      </c>
      <c r="S2077" s="260" t="s">
        <v>1976</v>
      </c>
      <c r="T2077" s="260" t="s">
        <v>924</v>
      </c>
      <c r="Y2077" s="566">
        <v>0.41692129629629626</v>
      </c>
      <c r="Z2077" s="566">
        <v>0.44096064814814812</v>
      </c>
      <c r="AA2077" s="566">
        <f t="shared" si="231"/>
        <v>2.4039351851851853E-2</v>
      </c>
      <c r="AB2077" s="699"/>
    </row>
    <row r="2078" spans="1:28" x14ac:dyDescent="0.3">
      <c r="A2078" s="79" t="s">
        <v>6890</v>
      </c>
      <c r="C2078" s="115">
        <v>43957</v>
      </c>
      <c r="D2078" s="312">
        <v>43983</v>
      </c>
      <c r="E2078" s="81">
        <v>43972</v>
      </c>
      <c r="F2078" s="86" t="s">
        <v>7010</v>
      </c>
      <c r="G2078" s="86" t="s">
        <v>150</v>
      </c>
      <c r="H2078" s="96" t="s">
        <v>213</v>
      </c>
      <c r="I2078" s="97" t="s">
        <v>722</v>
      </c>
      <c r="J2078" s="73">
        <f t="shared" si="229"/>
        <v>1</v>
      </c>
      <c r="K2078" s="260" t="s">
        <v>204</v>
      </c>
      <c r="L2078" s="97" t="s">
        <v>7081</v>
      </c>
      <c r="N2078" s="76" t="s">
        <v>18</v>
      </c>
      <c r="Q2078" s="76" t="s">
        <v>2076</v>
      </c>
      <c r="R2078" s="73">
        <f t="shared" si="230"/>
        <v>1</v>
      </c>
      <c r="S2078" s="260" t="s">
        <v>1976</v>
      </c>
      <c r="T2078" s="260" t="s">
        <v>925</v>
      </c>
      <c r="Y2078" s="566">
        <v>0.49075231481481479</v>
      </c>
      <c r="Z2078" s="566">
        <v>0.51784722222222224</v>
      </c>
      <c r="AA2078" s="566">
        <f t="shared" si="231"/>
        <v>2.7094907407407443E-2</v>
      </c>
      <c r="AB2078" s="699"/>
    </row>
    <row r="2079" spans="1:28" x14ac:dyDescent="0.3">
      <c r="A2079" s="79" t="s">
        <v>6895</v>
      </c>
      <c r="C2079" s="115">
        <v>43958</v>
      </c>
      <c r="D2079" s="312">
        <v>43983</v>
      </c>
      <c r="E2079" s="81">
        <v>43971</v>
      </c>
      <c r="F2079" s="86" t="s">
        <v>7015</v>
      </c>
      <c r="G2079" s="86" t="s">
        <v>152</v>
      </c>
      <c r="H2079" s="96" t="s">
        <v>213</v>
      </c>
      <c r="I2079" s="97" t="s">
        <v>649</v>
      </c>
      <c r="J2079" s="73">
        <f t="shared" si="229"/>
        <v>1</v>
      </c>
      <c r="K2079" s="260" t="s">
        <v>204</v>
      </c>
      <c r="L2079" s="97" t="s">
        <v>7060</v>
      </c>
      <c r="N2079" s="76" t="s">
        <v>17</v>
      </c>
      <c r="Q2079" s="76" t="s">
        <v>2109</v>
      </c>
      <c r="R2079" s="73">
        <f t="shared" si="230"/>
        <v>1</v>
      </c>
      <c r="S2079" s="260" t="s">
        <v>1976</v>
      </c>
      <c r="T2079" s="260" t="s">
        <v>923</v>
      </c>
      <c r="Y2079" s="566">
        <v>0.71534722222222225</v>
      </c>
      <c r="Z2079" s="566">
        <v>0.7316435185185185</v>
      </c>
      <c r="AA2079" s="566">
        <f t="shared" si="231"/>
        <v>1.6296296296296253E-2</v>
      </c>
      <c r="AB2079" s="699"/>
    </row>
    <row r="2080" spans="1:28" x14ac:dyDescent="0.3">
      <c r="A2080" s="79" t="s">
        <v>6896</v>
      </c>
      <c r="C2080" s="115">
        <v>43958</v>
      </c>
      <c r="D2080" s="312">
        <v>43983</v>
      </c>
      <c r="E2080" s="81">
        <v>43972</v>
      </c>
      <c r="F2080" s="86" t="s">
        <v>7016</v>
      </c>
      <c r="G2080" s="86" t="s">
        <v>410</v>
      </c>
      <c r="H2080" s="96" t="s">
        <v>213</v>
      </c>
      <c r="I2080" s="97" t="s">
        <v>722</v>
      </c>
      <c r="J2080" s="73">
        <f t="shared" si="229"/>
        <v>1</v>
      </c>
      <c r="K2080" s="260" t="s">
        <v>204</v>
      </c>
      <c r="L2080" s="97" t="s">
        <v>7080</v>
      </c>
      <c r="N2080" s="76" t="s">
        <v>18</v>
      </c>
      <c r="Q2080" s="76" t="s">
        <v>2076</v>
      </c>
      <c r="R2080" s="73">
        <f t="shared" si="230"/>
        <v>1</v>
      </c>
      <c r="S2080" s="260" t="s">
        <v>1976</v>
      </c>
      <c r="T2080" s="260" t="s">
        <v>924</v>
      </c>
      <c r="Y2080" s="566">
        <v>0.4846064814814815</v>
      </c>
      <c r="Z2080" s="566">
        <v>0.49018518518518522</v>
      </c>
      <c r="AA2080" s="566">
        <f t="shared" si="231"/>
        <v>5.5787037037037246E-3</v>
      </c>
      <c r="AB2080" s="699"/>
    </row>
    <row r="2081" spans="1:28" x14ac:dyDescent="0.3">
      <c r="A2081" s="79" t="s">
        <v>6898</v>
      </c>
      <c r="C2081" s="115">
        <v>43958</v>
      </c>
      <c r="D2081" s="312">
        <v>43983</v>
      </c>
      <c r="E2081" s="81">
        <v>43972</v>
      </c>
      <c r="F2081" s="86" t="s">
        <v>7018</v>
      </c>
      <c r="G2081" s="86" t="s">
        <v>150</v>
      </c>
      <c r="H2081" s="96" t="s">
        <v>213</v>
      </c>
      <c r="I2081" s="97" t="s">
        <v>649</v>
      </c>
      <c r="J2081" s="73">
        <f t="shared" si="229"/>
        <v>1</v>
      </c>
      <c r="K2081" s="260" t="s">
        <v>204</v>
      </c>
      <c r="L2081" s="97" t="s">
        <v>7085</v>
      </c>
      <c r="N2081" s="76" t="s">
        <v>18</v>
      </c>
      <c r="Q2081" s="76" t="s">
        <v>2417</v>
      </c>
      <c r="R2081" s="73">
        <f t="shared" si="230"/>
        <v>1</v>
      </c>
      <c r="S2081" s="260" t="s">
        <v>1976</v>
      </c>
      <c r="T2081" s="260" t="s">
        <v>925</v>
      </c>
      <c r="Y2081" s="566">
        <v>0.69898148148148154</v>
      </c>
      <c r="Z2081" s="566">
        <v>0.70601851851851849</v>
      </c>
      <c r="AA2081" s="566">
        <f t="shared" si="231"/>
        <v>7.0370370370369528E-3</v>
      </c>
      <c r="AB2081" s="699"/>
    </row>
    <row r="2082" spans="1:28" x14ac:dyDescent="0.3">
      <c r="A2082" s="79" t="s">
        <v>6902</v>
      </c>
      <c r="C2082" s="115">
        <v>43958</v>
      </c>
      <c r="D2082" s="312">
        <v>43983</v>
      </c>
      <c r="E2082" s="81">
        <v>43976</v>
      </c>
      <c r="F2082" s="86" t="s">
        <v>7022</v>
      </c>
      <c r="G2082" s="86" t="s">
        <v>156</v>
      </c>
      <c r="H2082" s="96" t="s">
        <v>213</v>
      </c>
      <c r="I2082" s="97" t="s">
        <v>1113</v>
      </c>
      <c r="J2082" s="73">
        <f t="shared" si="229"/>
        <v>1</v>
      </c>
      <c r="K2082" s="260" t="s">
        <v>204</v>
      </c>
      <c r="L2082" s="97" t="s">
        <v>7104</v>
      </c>
      <c r="N2082" s="76" t="s">
        <v>18</v>
      </c>
      <c r="Q2082" s="76" t="s">
        <v>2109</v>
      </c>
      <c r="R2082" s="73">
        <f t="shared" si="230"/>
        <v>1</v>
      </c>
      <c r="S2082" s="260" t="s">
        <v>1976</v>
      </c>
      <c r="T2082" s="260" t="s">
        <v>924</v>
      </c>
      <c r="Y2082" s="566">
        <v>0.56380787037037039</v>
      </c>
      <c r="Z2082" s="566">
        <v>0.56773148148148145</v>
      </c>
      <c r="AA2082" s="566">
        <f t="shared" si="231"/>
        <v>3.9236111111110583E-3</v>
      </c>
      <c r="AB2082" s="699"/>
    </row>
    <row r="2083" spans="1:28" x14ac:dyDescent="0.3">
      <c r="A2083" s="79" t="s">
        <v>6909</v>
      </c>
      <c r="C2083" s="115">
        <v>43959</v>
      </c>
      <c r="D2083" s="312">
        <v>43984</v>
      </c>
      <c r="E2083" s="81">
        <v>43972</v>
      </c>
      <c r="F2083" s="86" t="s">
        <v>7028</v>
      </c>
      <c r="G2083" s="86" t="s">
        <v>152</v>
      </c>
      <c r="H2083" s="96" t="s">
        <v>213</v>
      </c>
      <c r="I2083" s="97" t="s">
        <v>3475</v>
      </c>
      <c r="J2083" s="73">
        <f t="shared" si="229"/>
        <v>1</v>
      </c>
      <c r="K2083" s="260" t="s">
        <v>204</v>
      </c>
      <c r="L2083" s="97" t="s">
        <v>7088</v>
      </c>
      <c r="N2083" s="76" t="s">
        <v>19</v>
      </c>
      <c r="Q2083" s="76" t="s">
        <v>2417</v>
      </c>
      <c r="R2083" s="73">
        <f t="shared" si="230"/>
        <v>1</v>
      </c>
      <c r="S2083" s="260" t="s">
        <v>1976</v>
      </c>
      <c r="T2083" s="260" t="s">
        <v>923</v>
      </c>
      <c r="Y2083" s="566">
        <v>0.77777777777777779</v>
      </c>
      <c r="Z2083" s="566">
        <v>0.78540509259259261</v>
      </c>
      <c r="AA2083" s="566">
        <f t="shared" si="231"/>
        <v>7.6273148148148229E-3</v>
      </c>
      <c r="AB2083" s="699"/>
    </row>
    <row r="2084" spans="1:28" x14ac:dyDescent="0.3">
      <c r="A2084" s="79" t="s">
        <v>6910</v>
      </c>
      <c r="C2084" s="115">
        <v>43959</v>
      </c>
      <c r="D2084" s="312">
        <v>43984</v>
      </c>
      <c r="E2084" s="81">
        <v>43973</v>
      </c>
      <c r="F2084" s="86" t="s">
        <v>7029</v>
      </c>
      <c r="G2084" s="86" t="s">
        <v>166</v>
      </c>
      <c r="H2084" s="96" t="s">
        <v>213</v>
      </c>
      <c r="I2084" s="97" t="s">
        <v>649</v>
      </c>
      <c r="J2084" s="73">
        <f t="shared" si="229"/>
        <v>1</v>
      </c>
      <c r="K2084" s="260" t="s">
        <v>204</v>
      </c>
      <c r="L2084" s="97" t="s">
        <v>7092</v>
      </c>
      <c r="N2084" s="76" t="s">
        <v>17</v>
      </c>
      <c r="Q2084" s="76" t="s">
        <v>2142</v>
      </c>
      <c r="R2084" s="73">
        <f t="shared" si="230"/>
        <v>1</v>
      </c>
      <c r="S2084" s="260" t="s">
        <v>1976</v>
      </c>
      <c r="T2084" s="260" t="s">
        <v>923</v>
      </c>
      <c r="Y2084" s="566">
        <v>0.85862268518518514</v>
      </c>
      <c r="Z2084" s="566">
        <v>0.86812500000000004</v>
      </c>
      <c r="AA2084" s="566">
        <f t="shared" si="231"/>
        <v>9.5023148148148939E-3</v>
      </c>
      <c r="AB2084" s="699"/>
    </row>
    <row r="2085" spans="1:28" x14ac:dyDescent="0.3">
      <c r="A2085" s="79" t="s">
        <v>6911</v>
      </c>
      <c r="C2085" s="115">
        <v>43959</v>
      </c>
      <c r="D2085" s="312">
        <v>43984</v>
      </c>
      <c r="E2085" s="81">
        <v>43972</v>
      </c>
      <c r="F2085" s="86" t="s">
        <v>7030</v>
      </c>
      <c r="G2085" s="86" t="s">
        <v>158</v>
      </c>
      <c r="H2085" s="96" t="s">
        <v>213</v>
      </c>
      <c r="I2085" s="97" t="s">
        <v>3187</v>
      </c>
      <c r="J2085" s="73">
        <f t="shared" si="229"/>
        <v>1</v>
      </c>
      <c r="K2085" s="260" t="s">
        <v>204</v>
      </c>
      <c r="N2085" s="76" t="s">
        <v>19</v>
      </c>
      <c r="Q2085" s="76" t="s">
        <v>2417</v>
      </c>
      <c r="R2085" s="73">
        <f t="shared" si="230"/>
        <v>1</v>
      </c>
      <c r="S2085" s="260" t="s">
        <v>1976</v>
      </c>
      <c r="T2085" s="260" t="s">
        <v>924</v>
      </c>
      <c r="X2085" s="301" t="s">
        <v>7341</v>
      </c>
      <c r="Y2085" s="566">
        <v>0.77188657407407402</v>
      </c>
      <c r="Z2085" s="566">
        <v>0.78942129629629632</v>
      </c>
      <c r="AA2085" s="566">
        <f t="shared" si="231"/>
        <v>1.7534722222222299E-2</v>
      </c>
      <c r="AB2085" s="699"/>
    </row>
    <row r="2086" spans="1:28" x14ac:dyDescent="0.3">
      <c r="A2086" s="79" t="s">
        <v>6912</v>
      </c>
      <c r="C2086" s="115">
        <v>43963</v>
      </c>
      <c r="D2086" s="312">
        <v>43985</v>
      </c>
      <c r="E2086" s="81">
        <v>43971</v>
      </c>
      <c r="F2086" s="86" t="s">
        <v>7031</v>
      </c>
      <c r="G2086" s="86" t="s">
        <v>152</v>
      </c>
      <c r="H2086" s="96" t="s">
        <v>213</v>
      </c>
      <c r="I2086" s="97" t="s">
        <v>4963</v>
      </c>
      <c r="J2086" s="73">
        <f t="shared" si="229"/>
        <v>1</v>
      </c>
      <c r="K2086" s="260" t="s">
        <v>204</v>
      </c>
      <c r="L2086" s="97" t="s">
        <v>7073</v>
      </c>
      <c r="N2086" s="76" t="s">
        <v>19</v>
      </c>
      <c r="Q2086" s="76" t="s">
        <v>2037</v>
      </c>
      <c r="R2086" s="73">
        <f t="shared" si="230"/>
        <v>1</v>
      </c>
      <c r="S2086" s="260" t="s">
        <v>1976</v>
      </c>
      <c r="T2086" s="260" t="s">
        <v>924</v>
      </c>
      <c r="Y2086" s="566">
        <v>0.77265046296296302</v>
      </c>
      <c r="Z2086" s="566">
        <v>0.7793402777777777</v>
      </c>
      <c r="AA2086" s="566">
        <f t="shared" si="231"/>
        <v>6.6898148148146763E-3</v>
      </c>
      <c r="AB2086" s="699"/>
    </row>
    <row r="2087" spans="1:28" x14ac:dyDescent="0.3">
      <c r="A2087" s="79" t="s">
        <v>6914</v>
      </c>
      <c r="C2087" s="115">
        <v>43963</v>
      </c>
      <c r="D2087" s="312">
        <v>43984</v>
      </c>
      <c r="E2087" s="81">
        <v>43971</v>
      </c>
      <c r="F2087" s="86" t="s">
        <v>7033</v>
      </c>
      <c r="G2087" s="86" t="s">
        <v>150</v>
      </c>
      <c r="H2087" s="96" t="s">
        <v>213</v>
      </c>
      <c r="I2087" s="97" t="s">
        <v>7077</v>
      </c>
      <c r="J2087" s="73">
        <f t="shared" si="229"/>
        <v>1</v>
      </c>
      <c r="K2087" s="260" t="s">
        <v>204</v>
      </c>
      <c r="L2087" s="97" t="s">
        <v>7076</v>
      </c>
      <c r="N2087" s="76" t="s">
        <v>19</v>
      </c>
      <c r="Q2087" s="76" t="s">
        <v>2037</v>
      </c>
      <c r="R2087" s="73">
        <f t="shared" si="230"/>
        <v>1</v>
      </c>
      <c r="S2087" s="260" t="s">
        <v>1976</v>
      </c>
      <c r="T2087" s="260" t="s">
        <v>923</v>
      </c>
      <c r="Y2087" s="566">
        <v>0.89908564814814806</v>
      </c>
      <c r="Z2087" s="566">
        <v>0.91372685185185187</v>
      </c>
      <c r="AA2087" s="566">
        <f t="shared" si="231"/>
        <v>1.4641203703703809E-2</v>
      </c>
      <c r="AB2087" s="699"/>
    </row>
    <row r="2088" spans="1:28" x14ac:dyDescent="0.3">
      <c r="A2088" s="79" t="s">
        <v>6915</v>
      </c>
      <c r="C2088" s="115">
        <v>43963</v>
      </c>
      <c r="D2088" s="312">
        <v>43984</v>
      </c>
      <c r="E2088" s="81">
        <v>43971</v>
      </c>
      <c r="F2088" s="86" t="s">
        <v>7034</v>
      </c>
      <c r="G2088" s="86" t="s">
        <v>166</v>
      </c>
      <c r="H2088" s="96" t="s">
        <v>213</v>
      </c>
      <c r="I2088" s="97" t="s">
        <v>649</v>
      </c>
      <c r="J2088" s="73">
        <f t="shared" si="229"/>
        <v>1</v>
      </c>
      <c r="K2088" s="260" t="s">
        <v>204</v>
      </c>
      <c r="L2088" s="97" t="s">
        <v>7060</v>
      </c>
      <c r="N2088" s="76" t="s">
        <v>17</v>
      </c>
      <c r="Q2088" s="76" t="s">
        <v>2037</v>
      </c>
      <c r="R2088" s="73">
        <f t="shared" si="230"/>
        <v>1</v>
      </c>
      <c r="S2088" s="260" t="s">
        <v>1976</v>
      </c>
      <c r="T2088" s="260" t="s">
        <v>925</v>
      </c>
      <c r="Y2088" s="566">
        <v>0.39613425925925921</v>
      </c>
      <c r="Z2088" s="566">
        <v>0.40432870370370372</v>
      </c>
      <c r="AA2088" s="566">
        <f t="shared" si="231"/>
        <v>8.1944444444445041E-3</v>
      </c>
      <c r="AB2088" s="699"/>
    </row>
    <row r="2089" spans="1:28" x14ac:dyDescent="0.3">
      <c r="A2089" s="79" t="s">
        <v>6916</v>
      </c>
      <c r="C2089" s="115">
        <v>43963</v>
      </c>
      <c r="D2089" s="312">
        <v>43984</v>
      </c>
      <c r="E2089" s="81">
        <v>43973</v>
      </c>
      <c r="F2089" s="86" t="s">
        <v>7035</v>
      </c>
      <c r="G2089" s="86" t="s">
        <v>168</v>
      </c>
      <c r="H2089" s="96" t="s">
        <v>213</v>
      </c>
      <c r="I2089" s="97" t="s">
        <v>649</v>
      </c>
      <c r="J2089" s="73">
        <f t="shared" si="229"/>
        <v>1</v>
      </c>
      <c r="K2089" s="260" t="s">
        <v>204</v>
      </c>
      <c r="L2089" s="97" t="s">
        <v>7089</v>
      </c>
      <c r="N2089" s="76" t="s">
        <v>17</v>
      </c>
      <c r="Q2089" s="76" t="s">
        <v>2076</v>
      </c>
      <c r="R2089" s="73">
        <f t="shared" si="230"/>
        <v>1</v>
      </c>
      <c r="S2089" s="260" t="s">
        <v>1976</v>
      </c>
      <c r="T2089" s="260" t="s">
        <v>923</v>
      </c>
      <c r="Y2089" s="566">
        <v>0.76986111111111111</v>
      </c>
      <c r="Z2089" s="566">
        <v>0.77872685185185186</v>
      </c>
      <c r="AA2089" s="566">
        <f t="shared" si="231"/>
        <v>8.8657407407407574E-3</v>
      </c>
      <c r="AB2089" s="699"/>
    </row>
    <row r="2090" spans="1:28" x14ac:dyDescent="0.3">
      <c r="A2090" s="79" t="s">
        <v>6918</v>
      </c>
      <c r="C2090" s="115">
        <v>43963</v>
      </c>
      <c r="D2090" s="312">
        <v>43985</v>
      </c>
      <c r="E2090" s="81">
        <v>43973</v>
      </c>
      <c r="F2090" s="86" t="s">
        <v>7037</v>
      </c>
      <c r="G2090" s="86" t="s">
        <v>147</v>
      </c>
      <c r="H2090" s="79" t="s">
        <v>268</v>
      </c>
      <c r="I2090" s="97" t="s">
        <v>649</v>
      </c>
      <c r="J2090" s="73">
        <f t="shared" si="229"/>
        <v>1</v>
      </c>
      <c r="K2090" s="260" t="s">
        <v>204</v>
      </c>
      <c r="L2090" s="97" t="s">
        <v>7091</v>
      </c>
      <c r="N2090" s="76" t="s">
        <v>17</v>
      </c>
      <c r="Q2090" s="76" t="s">
        <v>2076</v>
      </c>
      <c r="R2090" s="73">
        <f t="shared" si="230"/>
        <v>1</v>
      </c>
      <c r="S2090" s="260" t="s">
        <v>1976</v>
      </c>
      <c r="T2090" s="260" t="s">
        <v>923</v>
      </c>
      <c r="Y2090" s="566">
        <v>0.78710648148148143</v>
      </c>
      <c r="Z2090" s="566">
        <v>0.85063657407407411</v>
      </c>
      <c r="AA2090" s="566">
        <f t="shared" si="231"/>
        <v>6.353009259259268E-2</v>
      </c>
      <c r="AB2090" s="699"/>
    </row>
    <row r="2091" spans="1:28" x14ac:dyDescent="0.3">
      <c r="A2091" s="79" t="s">
        <v>6922</v>
      </c>
      <c r="C2091" s="115">
        <v>43963</v>
      </c>
      <c r="D2091" s="312">
        <v>43985</v>
      </c>
      <c r="E2091" s="81">
        <v>43972</v>
      </c>
      <c r="F2091" s="86" t="s">
        <v>7041</v>
      </c>
      <c r="G2091" s="86" t="s">
        <v>181</v>
      </c>
      <c r="H2091" s="79" t="s">
        <v>268</v>
      </c>
      <c r="I2091" s="97" t="s">
        <v>2793</v>
      </c>
      <c r="J2091" s="73">
        <f t="shared" ref="J2091:J2119" si="232">IF(OR(K2091="Документы готовы",K2091="Запрос в ФО",K2091="ЭЗ",K2091="РЕШ",K2091="РЕШ шаблон"),0.1,IF(OR(K2091="ЭЗ согласование",K2091="РЕШ согласование"),0.3,IF(OR(K2091="ЭЗ согласовано",K2091="РЕШ согласовано",K2091="РЕШ подписано"),0.6,IF(OR(K2091="ЭЗ ПР согласование",K2091="РЕШ УВ согласование"),0.9,IF(OR(K2091="ЭЗ ПР DONE",K2091="РЕШ УВ DONE"),1,0)))))</f>
        <v>1</v>
      </c>
      <c r="K2091" s="260" t="s">
        <v>204</v>
      </c>
      <c r="L2091" s="97" t="s">
        <v>7083</v>
      </c>
      <c r="N2091" s="76" t="s">
        <v>19</v>
      </c>
      <c r="Q2091" s="76" t="s">
        <v>2417</v>
      </c>
      <c r="R2091" s="73">
        <f t="shared" ref="R2091:R2119" si="233">IF(S2091="В работе",0.3,IF(S2091="Отписано",0.6,IF(S2091="На доработку",0.9,IF(S2091="Согласовано",1,0))))</f>
        <v>1</v>
      </c>
      <c r="S2091" s="260" t="s">
        <v>1976</v>
      </c>
      <c r="T2091" s="260" t="s">
        <v>925</v>
      </c>
      <c r="U2091" s="301" t="s">
        <v>5283</v>
      </c>
      <c r="V2091" s="301" t="s">
        <v>6793</v>
      </c>
      <c r="Y2091" s="566">
        <v>0.4422106481481482</v>
      </c>
      <c r="Z2091" s="566">
        <v>0.45748842592592592</v>
      </c>
      <c r="AA2091" s="566">
        <f t="shared" ref="AA2091:AA2119" si="234">Z2091-Y2091</f>
        <v>1.5277777777777724E-2</v>
      </c>
      <c r="AB2091" s="699"/>
    </row>
    <row r="2092" spans="1:28" x14ac:dyDescent="0.3">
      <c r="A2092" s="79" t="s">
        <v>6928</v>
      </c>
      <c r="C2092" s="115">
        <v>43963</v>
      </c>
      <c r="D2092" s="312">
        <v>43984</v>
      </c>
      <c r="E2092" s="81">
        <v>43971</v>
      </c>
      <c r="F2092" s="86" t="s">
        <v>7047</v>
      </c>
      <c r="G2092" s="86" t="s">
        <v>150</v>
      </c>
      <c r="H2092" s="96" t="s">
        <v>213</v>
      </c>
      <c r="I2092" s="97" t="s">
        <v>649</v>
      </c>
      <c r="J2092" s="73">
        <f t="shared" si="232"/>
        <v>1</v>
      </c>
      <c r="K2092" s="260" t="s">
        <v>204</v>
      </c>
      <c r="L2092" s="97" t="s">
        <v>7065</v>
      </c>
      <c r="N2092" s="76" t="s">
        <v>17</v>
      </c>
      <c r="Q2092" s="76" t="s">
        <v>2417</v>
      </c>
      <c r="R2092" s="73">
        <f t="shared" si="233"/>
        <v>1</v>
      </c>
      <c r="S2092" s="260" t="s">
        <v>1976</v>
      </c>
      <c r="T2092" s="260" t="s">
        <v>924</v>
      </c>
      <c r="Y2092" s="566">
        <v>0.45905092592592589</v>
      </c>
      <c r="Z2092" s="566">
        <v>0.465787037037037</v>
      </c>
      <c r="AA2092" s="566">
        <f t="shared" si="234"/>
        <v>6.7361111111111094E-3</v>
      </c>
      <c r="AB2092" s="699"/>
    </row>
    <row r="2093" spans="1:28" x14ac:dyDescent="0.3">
      <c r="A2093" s="79" t="s">
        <v>6931</v>
      </c>
      <c r="C2093" s="115">
        <v>43963</v>
      </c>
      <c r="D2093" s="312">
        <v>43985</v>
      </c>
      <c r="E2093" s="81">
        <v>43973</v>
      </c>
      <c r="F2093" s="86" t="s">
        <v>7050</v>
      </c>
      <c r="G2093" s="86" t="s">
        <v>158</v>
      </c>
      <c r="H2093" s="96" t="s">
        <v>213</v>
      </c>
      <c r="I2093" s="97" t="s">
        <v>755</v>
      </c>
      <c r="J2093" s="73">
        <f t="shared" si="232"/>
        <v>1</v>
      </c>
      <c r="K2093" s="260" t="s">
        <v>204</v>
      </c>
      <c r="L2093" s="97" t="s">
        <v>7106</v>
      </c>
      <c r="N2093" s="76" t="s">
        <v>18</v>
      </c>
      <c r="Q2093" s="76" t="s">
        <v>2076</v>
      </c>
      <c r="R2093" s="73">
        <f t="shared" si="233"/>
        <v>1</v>
      </c>
      <c r="S2093" s="260" t="s">
        <v>1976</v>
      </c>
      <c r="T2093" s="260" t="s">
        <v>924</v>
      </c>
      <c r="U2093" s="301" t="s">
        <v>5283</v>
      </c>
      <c r="V2093" s="301" t="s">
        <v>7090</v>
      </c>
      <c r="Y2093" s="566">
        <v>0.7791203703703703</v>
      </c>
      <c r="Z2093" s="566">
        <v>0.78636574074074073</v>
      </c>
      <c r="AA2093" s="566">
        <f t="shared" si="234"/>
        <v>7.2453703703704297E-3</v>
      </c>
      <c r="AB2093" s="699"/>
    </row>
    <row r="2094" spans="1:28" x14ac:dyDescent="0.3">
      <c r="A2094" s="96" t="s">
        <v>6932</v>
      </c>
      <c r="C2094" s="115">
        <v>43963</v>
      </c>
      <c r="D2094" s="312">
        <v>43985</v>
      </c>
      <c r="E2094" s="81">
        <v>43972</v>
      </c>
      <c r="F2094" s="86" t="s">
        <v>7051</v>
      </c>
      <c r="G2094" s="86" t="s">
        <v>189</v>
      </c>
      <c r="H2094" s="96" t="s">
        <v>213</v>
      </c>
      <c r="I2094" s="97" t="s">
        <v>649</v>
      </c>
      <c r="J2094" s="73">
        <f t="shared" si="232"/>
        <v>1</v>
      </c>
      <c r="K2094" s="260" t="s">
        <v>204</v>
      </c>
      <c r="L2094" s="97" t="s">
        <v>7084</v>
      </c>
      <c r="N2094" s="76" t="s">
        <v>17</v>
      </c>
      <c r="Q2094" s="76" t="s">
        <v>2417</v>
      </c>
      <c r="R2094" s="73">
        <f t="shared" si="233"/>
        <v>1</v>
      </c>
      <c r="S2094" s="260" t="s">
        <v>1976</v>
      </c>
      <c r="T2094" s="260" t="s">
        <v>924</v>
      </c>
      <c r="Y2094" s="566">
        <v>0.62534722222222217</v>
      </c>
      <c r="Z2094" s="566">
        <v>0.68916666666666659</v>
      </c>
      <c r="AA2094" s="566">
        <f t="shared" si="234"/>
        <v>6.3819444444444429E-2</v>
      </c>
      <c r="AB2094" s="699"/>
    </row>
    <row r="2095" spans="1:28" x14ac:dyDescent="0.3">
      <c r="A2095" s="79" t="s">
        <v>5982</v>
      </c>
      <c r="C2095" s="115">
        <v>43896</v>
      </c>
      <c r="D2095" s="312">
        <v>43991</v>
      </c>
      <c r="E2095" s="81">
        <v>43977</v>
      </c>
      <c r="F2095" s="252" t="s">
        <v>6024</v>
      </c>
      <c r="G2095" s="86" t="s">
        <v>166</v>
      </c>
      <c r="H2095" s="79" t="s">
        <v>268</v>
      </c>
      <c r="I2095" s="97" t="s">
        <v>995</v>
      </c>
      <c r="J2095" s="73">
        <f t="shared" si="232"/>
        <v>1</v>
      </c>
      <c r="K2095" s="260" t="s">
        <v>204</v>
      </c>
      <c r="L2095" s="97" t="s">
        <v>7317</v>
      </c>
      <c r="N2095" s="76" t="s">
        <v>19</v>
      </c>
      <c r="Q2095" s="76" t="s">
        <v>2417</v>
      </c>
      <c r="R2095" s="73">
        <f t="shared" si="233"/>
        <v>1</v>
      </c>
      <c r="S2095" s="260" t="s">
        <v>1976</v>
      </c>
      <c r="T2095" s="260" t="s">
        <v>923</v>
      </c>
      <c r="Y2095" s="566">
        <v>0.67421296296296296</v>
      </c>
      <c r="Z2095" s="566">
        <v>0.68443287037037026</v>
      </c>
      <c r="AA2095" s="566">
        <f t="shared" si="234"/>
        <v>1.0219907407407303E-2</v>
      </c>
      <c r="AB2095" s="699"/>
    </row>
    <row r="2096" spans="1:28" x14ac:dyDescent="0.3">
      <c r="A2096" s="79" t="s">
        <v>5743</v>
      </c>
      <c r="C2096" s="115">
        <v>43903</v>
      </c>
      <c r="D2096" s="312">
        <v>43984</v>
      </c>
      <c r="E2096" s="81">
        <v>43980</v>
      </c>
      <c r="F2096" s="86" t="s">
        <v>5773</v>
      </c>
      <c r="G2096" s="86" t="s">
        <v>6757</v>
      </c>
      <c r="H2096" s="96" t="s">
        <v>213</v>
      </c>
      <c r="I2096" s="97" t="s">
        <v>714</v>
      </c>
      <c r="J2096" s="73">
        <f t="shared" si="232"/>
        <v>1</v>
      </c>
      <c r="K2096" s="260" t="s">
        <v>204</v>
      </c>
      <c r="L2096" s="97" t="s">
        <v>7058</v>
      </c>
      <c r="N2096" s="76" t="s">
        <v>18</v>
      </c>
      <c r="Q2096" s="76" t="s">
        <v>2109</v>
      </c>
      <c r="R2096" s="73">
        <f t="shared" si="233"/>
        <v>1</v>
      </c>
      <c r="S2096" s="260" t="s">
        <v>1976</v>
      </c>
      <c r="T2096" s="260" t="s">
        <v>923</v>
      </c>
      <c r="Y2096" s="566">
        <v>0.52037037037037037</v>
      </c>
      <c r="Z2096" s="566">
        <v>0.53641203703703699</v>
      </c>
      <c r="AA2096" s="566">
        <f t="shared" si="234"/>
        <v>1.6041666666666621E-2</v>
      </c>
      <c r="AB2096" s="699"/>
    </row>
    <row r="2097" spans="1:28" x14ac:dyDescent="0.3">
      <c r="A2097" s="79" t="s">
        <v>5848</v>
      </c>
      <c r="C2097" s="115">
        <v>43907</v>
      </c>
      <c r="D2097" s="312">
        <v>43986</v>
      </c>
      <c r="E2097" s="81">
        <v>43983</v>
      </c>
      <c r="F2097" s="86" t="s">
        <v>5914</v>
      </c>
      <c r="G2097" s="86" t="s">
        <v>154</v>
      </c>
      <c r="H2097" s="79" t="s">
        <v>268</v>
      </c>
      <c r="I2097" s="97" t="s">
        <v>714</v>
      </c>
      <c r="J2097" s="73">
        <f t="shared" si="232"/>
        <v>1</v>
      </c>
      <c r="K2097" s="74" t="s">
        <v>204</v>
      </c>
      <c r="L2097" s="97" t="s">
        <v>7072</v>
      </c>
      <c r="N2097" s="76" t="s">
        <v>18</v>
      </c>
      <c r="Q2097" s="76" t="s">
        <v>2109</v>
      </c>
      <c r="R2097" s="73">
        <f t="shared" si="233"/>
        <v>1</v>
      </c>
      <c r="S2097" s="260" t="s">
        <v>1976</v>
      </c>
      <c r="T2097" s="260" t="s">
        <v>924</v>
      </c>
      <c r="Y2097" s="566">
        <v>0.43814814814814818</v>
      </c>
      <c r="Z2097" s="566">
        <v>0.45027777777777778</v>
      </c>
      <c r="AA2097" s="566">
        <f t="shared" si="234"/>
        <v>1.2129629629629601E-2</v>
      </c>
      <c r="AB2097" s="699"/>
    </row>
    <row r="2098" spans="1:28" x14ac:dyDescent="0.3">
      <c r="A2098" s="79" t="s">
        <v>6747</v>
      </c>
      <c r="C2098" s="115">
        <v>43907</v>
      </c>
      <c r="D2098" s="312">
        <v>43986</v>
      </c>
      <c r="E2098" s="81">
        <v>43978</v>
      </c>
      <c r="F2098" s="86" t="s">
        <v>6758</v>
      </c>
      <c r="G2098" s="86" t="s">
        <v>186</v>
      </c>
      <c r="H2098" s="96" t="s">
        <v>213</v>
      </c>
      <c r="I2098" s="97" t="s">
        <v>642</v>
      </c>
      <c r="J2098" s="73">
        <f t="shared" si="232"/>
        <v>1</v>
      </c>
      <c r="K2098" s="260" t="s">
        <v>204</v>
      </c>
      <c r="L2098" s="97" t="s">
        <v>7110</v>
      </c>
      <c r="N2098" s="76" t="s">
        <v>18</v>
      </c>
      <c r="Q2098" s="76" t="s">
        <v>2109</v>
      </c>
      <c r="R2098" s="73">
        <f t="shared" si="233"/>
        <v>1</v>
      </c>
      <c r="S2098" s="260" t="s">
        <v>1976</v>
      </c>
      <c r="T2098" s="260" t="s">
        <v>923</v>
      </c>
      <c r="Y2098" s="566">
        <v>0.84504629629629635</v>
      </c>
      <c r="Z2098" s="566">
        <v>0.85135416666666675</v>
      </c>
      <c r="AA2098" s="566">
        <f t="shared" si="234"/>
        <v>6.3078703703703942E-3</v>
      </c>
      <c r="AB2098" s="699"/>
    </row>
    <row r="2099" spans="1:28" x14ac:dyDescent="0.3">
      <c r="A2099" s="79" t="s">
        <v>6119</v>
      </c>
      <c r="C2099" s="115">
        <v>43915</v>
      </c>
      <c r="D2099" s="312">
        <v>43997</v>
      </c>
      <c r="E2099" s="81">
        <v>43978</v>
      </c>
      <c r="F2099" s="86" t="s">
        <v>6244</v>
      </c>
      <c r="G2099" s="86" t="s">
        <v>156</v>
      </c>
      <c r="H2099" s="96" t="s">
        <v>213</v>
      </c>
      <c r="I2099" s="97" t="s">
        <v>714</v>
      </c>
      <c r="J2099" s="73">
        <f t="shared" si="232"/>
        <v>1</v>
      </c>
      <c r="K2099" s="260" t="s">
        <v>204</v>
      </c>
      <c r="L2099" s="97" t="s">
        <v>7336</v>
      </c>
      <c r="N2099" s="76" t="s">
        <v>18</v>
      </c>
      <c r="Q2099" s="76" t="s">
        <v>2109</v>
      </c>
      <c r="R2099" s="73">
        <f t="shared" si="233"/>
        <v>1</v>
      </c>
      <c r="S2099" s="260" t="s">
        <v>1976</v>
      </c>
      <c r="T2099" s="260" t="s">
        <v>924</v>
      </c>
      <c r="Y2099" s="566">
        <v>0.5562731481481481</v>
      </c>
      <c r="Z2099" s="566">
        <v>0.57633101851851853</v>
      </c>
      <c r="AA2099" s="566">
        <f t="shared" si="234"/>
        <v>2.0057870370370434E-2</v>
      </c>
      <c r="AB2099" s="699"/>
    </row>
    <row r="2100" spans="1:28" x14ac:dyDescent="0.3">
      <c r="A2100" s="79" t="s">
        <v>6130</v>
      </c>
      <c r="C2100" s="115">
        <v>43916</v>
      </c>
      <c r="D2100" s="312">
        <v>43997</v>
      </c>
      <c r="E2100" s="81">
        <v>43977</v>
      </c>
      <c r="F2100" s="86" t="s">
        <v>6255</v>
      </c>
      <c r="G2100" s="86" t="s">
        <v>6757</v>
      </c>
      <c r="H2100" s="96" t="s">
        <v>213</v>
      </c>
      <c r="I2100" s="97" t="s">
        <v>642</v>
      </c>
      <c r="J2100" s="73">
        <f t="shared" si="232"/>
        <v>1</v>
      </c>
      <c r="K2100" s="260" t="s">
        <v>204</v>
      </c>
      <c r="L2100" s="97" t="s">
        <v>7069</v>
      </c>
      <c r="N2100" s="76" t="s">
        <v>18</v>
      </c>
      <c r="Q2100" s="76" t="s">
        <v>2417</v>
      </c>
      <c r="R2100" s="73">
        <f t="shared" si="233"/>
        <v>1</v>
      </c>
      <c r="S2100" s="260" t="s">
        <v>1976</v>
      </c>
      <c r="T2100" s="260" t="s">
        <v>923</v>
      </c>
      <c r="Y2100" s="566">
        <v>0.63521990740740741</v>
      </c>
      <c r="Z2100" s="566">
        <v>0.65697916666666667</v>
      </c>
      <c r="AA2100" s="566">
        <f t="shared" si="234"/>
        <v>2.1759259259259256E-2</v>
      </c>
      <c r="AB2100" s="699"/>
    </row>
    <row r="2101" spans="1:28" x14ac:dyDescent="0.3">
      <c r="A2101" s="79" t="s">
        <v>6131</v>
      </c>
      <c r="C2101" s="115">
        <v>43916</v>
      </c>
      <c r="D2101" s="312">
        <v>43998</v>
      </c>
      <c r="E2101" s="81">
        <v>43983</v>
      </c>
      <c r="F2101" s="86" t="s">
        <v>6256</v>
      </c>
      <c r="G2101" s="86" t="s">
        <v>3771</v>
      </c>
      <c r="H2101" s="96" t="s">
        <v>213</v>
      </c>
      <c r="I2101" s="97" t="s">
        <v>642</v>
      </c>
      <c r="J2101" s="73">
        <f t="shared" si="232"/>
        <v>1</v>
      </c>
      <c r="K2101" s="74" t="s">
        <v>204</v>
      </c>
      <c r="L2101" s="97" t="s">
        <v>7370</v>
      </c>
      <c r="N2101" s="76" t="s">
        <v>18</v>
      </c>
      <c r="Q2101" s="301" t="s">
        <v>2037</v>
      </c>
      <c r="R2101" s="73">
        <f t="shared" si="233"/>
        <v>1</v>
      </c>
      <c r="S2101" s="260" t="s">
        <v>1976</v>
      </c>
      <c r="T2101" s="260" t="s">
        <v>924</v>
      </c>
      <c r="Y2101" s="566">
        <v>0.48836805555555557</v>
      </c>
      <c r="Z2101" s="566">
        <v>0.49435185185185188</v>
      </c>
      <c r="AA2101" s="566">
        <f t="shared" si="234"/>
        <v>5.9837962962963065E-3</v>
      </c>
      <c r="AB2101" s="699"/>
    </row>
    <row r="2102" spans="1:28" x14ac:dyDescent="0.3">
      <c r="A2102" s="79" t="s">
        <v>6136</v>
      </c>
      <c r="C2102" s="115">
        <v>43916</v>
      </c>
      <c r="D2102" s="312">
        <v>43997</v>
      </c>
      <c r="E2102" s="81">
        <v>43978</v>
      </c>
      <c r="F2102" s="86" t="s">
        <v>6261</v>
      </c>
      <c r="G2102" s="86" t="s">
        <v>152</v>
      </c>
      <c r="H2102" s="96" t="s">
        <v>213</v>
      </c>
      <c r="I2102" s="97" t="s">
        <v>995</v>
      </c>
      <c r="J2102" s="73">
        <f t="shared" si="232"/>
        <v>1</v>
      </c>
      <c r="K2102" s="74" t="s">
        <v>204</v>
      </c>
      <c r="L2102" s="97" t="s">
        <v>7073</v>
      </c>
      <c r="N2102" s="76" t="s">
        <v>19</v>
      </c>
      <c r="Q2102" s="301" t="s">
        <v>2109</v>
      </c>
      <c r="R2102" s="73">
        <f t="shared" si="233"/>
        <v>1</v>
      </c>
      <c r="S2102" s="260" t="s">
        <v>1976</v>
      </c>
      <c r="T2102" s="260" t="s">
        <v>925</v>
      </c>
      <c r="U2102" s="301" t="s">
        <v>5283</v>
      </c>
      <c r="V2102" s="301" t="s">
        <v>7527</v>
      </c>
      <c r="Y2102" s="566">
        <v>0.54166666666666663</v>
      </c>
      <c r="Z2102" s="566">
        <v>0.56734953703703705</v>
      </c>
      <c r="AA2102" s="566">
        <f t="shared" si="234"/>
        <v>2.5682870370370425E-2</v>
      </c>
      <c r="AB2102" s="699"/>
    </row>
    <row r="2103" spans="1:28" x14ac:dyDescent="0.3">
      <c r="A2103" s="79" t="s">
        <v>6821</v>
      </c>
      <c r="C2103" s="115">
        <v>43927</v>
      </c>
      <c r="D2103" s="312">
        <v>43998</v>
      </c>
      <c r="E2103" s="81">
        <v>43977</v>
      </c>
      <c r="F2103" s="86" t="s">
        <v>6941</v>
      </c>
      <c r="G2103" s="86" t="s">
        <v>158</v>
      </c>
      <c r="H2103" s="96" t="s">
        <v>213</v>
      </c>
      <c r="I2103" s="97" t="s">
        <v>645</v>
      </c>
      <c r="J2103" s="73">
        <f t="shared" si="232"/>
        <v>1</v>
      </c>
      <c r="K2103" s="260" t="s">
        <v>204</v>
      </c>
      <c r="L2103" s="97" t="s">
        <v>7314</v>
      </c>
      <c r="N2103" s="76" t="s">
        <v>18</v>
      </c>
      <c r="Q2103" s="76" t="s">
        <v>2417</v>
      </c>
      <c r="R2103" s="73">
        <f t="shared" si="233"/>
        <v>1</v>
      </c>
      <c r="S2103" s="260" t="s">
        <v>1976</v>
      </c>
      <c r="T2103" s="260" t="s">
        <v>923</v>
      </c>
      <c r="Y2103" s="566">
        <v>0.5394444444444445</v>
      </c>
      <c r="Z2103" s="566">
        <v>0.546875</v>
      </c>
      <c r="AA2103" s="566">
        <f t="shared" si="234"/>
        <v>7.4305555555554959E-3</v>
      </c>
      <c r="AB2103" s="699"/>
    </row>
    <row r="2104" spans="1:28" x14ac:dyDescent="0.3">
      <c r="A2104" s="79" t="s">
        <v>6156</v>
      </c>
      <c r="C2104" s="115">
        <v>43927</v>
      </c>
      <c r="D2104" s="312">
        <v>43998</v>
      </c>
      <c r="E2104" s="81">
        <v>43977</v>
      </c>
      <c r="F2104" s="86" t="s">
        <v>6280</v>
      </c>
      <c r="G2104" s="86" t="s">
        <v>168</v>
      </c>
      <c r="H2104" s="96" t="s">
        <v>213</v>
      </c>
      <c r="I2104" s="97" t="s">
        <v>642</v>
      </c>
      <c r="J2104" s="73">
        <f t="shared" si="232"/>
        <v>1</v>
      </c>
      <c r="K2104" s="260" t="s">
        <v>204</v>
      </c>
      <c r="L2104" s="97" t="s">
        <v>7108</v>
      </c>
      <c r="N2104" s="76" t="s">
        <v>18</v>
      </c>
      <c r="Q2104" s="301" t="s">
        <v>2076</v>
      </c>
      <c r="R2104" s="73">
        <f t="shared" si="233"/>
        <v>1</v>
      </c>
      <c r="S2104" s="260" t="s">
        <v>1976</v>
      </c>
      <c r="T2104" s="260" t="s">
        <v>923</v>
      </c>
      <c r="Y2104" s="566">
        <v>0.82278935185185187</v>
      </c>
      <c r="Z2104" s="566">
        <v>0.85797453703703708</v>
      </c>
      <c r="AA2104" s="566">
        <f t="shared" si="234"/>
        <v>3.5185185185185208E-2</v>
      </c>
      <c r="AB2104" s="699"/>
    </row>
    <row r="2105" spans="1:28" x14ac:dyDescent="0.3">
      <c r="A2105" s="79" t="s">
        <v>6822</v>
      </c>
      <c r="C2105" s="115">
        <v>43927</v>
      </c>
      <c r="D2105" s="312">
        <v>43998</v>
      </c>
      <c r="E2105" s="81">
        <v>43977</v>
      </c>
      <c r="F2105" s="86" t="s">
        <v>6942</v>
      </c>
      <c r="G2105" s="86" t="s">
        <v>150</v>
      </c>
      <c r="H2105" s="96" t="s">
        <v>213</v>
      </c>
      <c r="I2105" s="97" t="s">
        <v>3187</v>
      </c>
      <c r="J2105" s="73">
        <f t="shared" si="232"/>
        <v>1</v>
      </c>
      <c r="K2105" s="260" t="s">
        <v>204</v>
      </c>
      <c r="L2105" s="97" t="s">
        <v>7313</v>
      </c>
      <c r="N2105" s="76" t="s">
        <v>19</v>
      </c>
      <c r="Q2105" s="76" t="s">
        <v>2417</v>
      </c>
      <c r="R2105" s="73">
        <f t="shared" si="233"/>
        <v>1</v>
      </c>
      <c r="S2105" s="260" t="s">
        <v>1976</v>
      </c>
      <c r="T2105" s="260" t="s">
        <v>925</v>
      </c>
      <c r="Y2105" s="566">
        <v>0.52776620370370375</v>
      </c>
      <c r="Z2105" s="566">
        <v>0.5387615740740741</v>
      </c>
      <c r="AA2105" s="566">
        <f t="shared" si="234"/>
        <v>1.099537037037035E-2</v>
      </c>
      <c r="AB2105" s="699"/>
    </row>
    <row r="2106" spans="1:28" x14ac:dyDescent="0.3">
      <c r="A2106" s="79" t="s">
        <v>6823</v>
      </c>
      <c r="C2106" s="115">
        <v>43927</v>
      </c>
      <c r="D2106" s="312">
        <v>43998</v>
      </c>
      <c r="E2106" s="81">
        <v>43977</v>
      </c>
      <c r="F2106" s="86" t="s">
        <v>6943</v>
      </c>
      <c r="G2106" s="86" t="s">
        <v>152</v>
      </c>
      <c r="H2106" s="96" t="s">
        <v>213</v>
      </c>
      <c r="I2106" s="97" t="s">
        <v>645</v>
      </c>
      <c r="J2106" s="73">
        <f t="shared" si="232"/>
        <v>1</v>
      </c>
      <c r="K2106" s="260" t="s">
        <v>204</v>
      </c>
      <c r="L2106" s="97" t="s">
        <v>7312</v>
      </c>
      <c r="N2106" s="76" t="s">
        <v>17</v>
      </c>
      <c r="Q2106" s="76" t="s">
        <v>2417</v>
      </c>
      <c r="R2106" s="73">
        <f t="shared" si="233"/>
        <v>1</v>
      </c>
      <c r="S2106" s="260" t="s">
        <v>1976</v>
      </c>
      <c r="T2106" s="260" t="s">
        <v>923</v>
      </c>
      <c r="Y2106" s="566">
        <v>0.51656250000000004</v>
      </c>
      <c r="Z2106" s="566">
        <v>0.52695601851851859</v>
      </c>
      <c r="AA2106" s="566">
        <f t="shared" si="234"/>
        <v>1.0393518518518552E-2</v>
      </c>
      <c r="AB2106" s="699"/>
    </row>
    <row r="2107" spans="1:28" x14ac:dyDescent="0.3">
      <c r="A2107" s="79" t="s">
        <v>6824</v>
      </c>
      <c r="C2107" s="115">
        <v>43927</v>
      </c>
      <c r="D2107" s="312">
        <v>43998</v>
      </c>
      <c r="E2107" s="81">
        <v>43977</v>
      </c>
      <c r="F2107" s="86" t="s">
        <v>6944</v>
      </c>
      <c r="G2107" s="86" t="s">
        <v>156</v>
      </c>
      <c r="H2107" s="96" t="s">
        <v>213</v>
      </c>
      <c r="I2107" s="97" t="s">
        <v>714</v>
      </c>
      <c r="J2107" s="73">
        <f t="shared" si="232"/>
        <v>1</v>
      </c>
      <c r="K2107" s="260" t="s">
        <v>204</v>
      </c>
      <c r="L2107" s="97" t="s">
        <v>7072</v>
      </c>
      <c r="N2107" s="76" t="s">
        <v>18</v>
      </c>
      <c r="Q2107" s="76" t="s">
        <v>2417</v>
      </c>
      <c r="R2107" s="73">
        <f t="shared" si="233"/>
        <v>1</v>
      </c>
      <c r="S2107" s="260" t="s">
        <v>1976</v>
      </c>
      <c r="T2107" s="260" t="s">
        <v>924</v>
      </c>
      <c r="Y2107" s="566">
        <v>0.51116898148148149</v>
      </c>
      <c r="Z2107" s="566">
        <v>0.51607638888888896</v>
      </c>
      <c r="AA2107" s="566">
        <f t="shared" si="234"/>
        <v>4.9074074074074714E-3</v>
      </c>
      <c r="AB2107" s="699"/>
    </row>
    <row r="2108" spans="1:28" x14ac:dyDescent="0.3">
      <c r="A2108" s="79" t="s">
        <v>6825</v>
      </c>
      <c r="C2108" s="115">
        <v>43927</v>
      </c>
      <c r="D2108" s="312">
        <v>43998</v>
      </c>
      <c r="E2108" s="81">
        <v>43977</v>
      </c>
      <c r="F2108" s="86" t="s">
        <v>6945</v>
      </c>
      <c r="G2108" s="86" t="s">
        <v>154</v>
      </c>
      <c r="H2108" s="96" t="s">
        <v>213</v>
      </c>
      <c r="I2108" s="97" t="s">
        <v>641</v>
      </c>
      <c r="J2108" s="73">
        <f t="shared" si="232"/>
        <v>1</v>
      </c>
      <c r="K2108" s="260" t="s">
        <v>204</v>
      </c>
      <c r="L2108" s="97" t="s">
        <v>7072</v>
      </c>
      <c r="N2108" s="76" t="s">
        <v>17</v>
      </c>
      <c r="Q2108" s="76" t="s">
        <v>2417</v>
      </c>
      <c r="R2108" s="73">
        <f t="shared" si="233"/>
        <v>1</v>
      </c>
      <c r="S2108" s="260" t="s">
        <v>1976</v>
      </c>
      <c r="T2108" s="260" t="s">
        <v>925</v>
      </c>
      <c r="Y2108" s="566">
        <v>0.46956018518518516</v>
      </c>
      <c r="Z2108" s="566">
        <v>0.50023148148148155</v>
      </c>
      <c r="AA2108" s="566">
        <f t="shared" si="234"/>
        <v>3.0671296296296391E-2</v>
      </c>
      <c r="AB2108" s="699"/>
    </row>
    <row r="2109" spans="1:28" x14ac:dyDescent="0.3">
      <c r="A2109" s="79" t="s">
        <v>6165</v>
      </c>
      <c r="C2109" s="115">
        <v>43928</v>
      </c>
      <c r="D2109" s="312">
        <v>43998</v>
      </c>
      <c r="E2109" s="81">
        <v>43977</v>
      </c>
      <c r="F2109" s="86" t="s">
        <v>6289</v>
      </c>
      <c r="G2109" s="86" t="s">
        <v>158</v>
      </c>
      <c r="H2109" s="96" t="s">
        <v>213</v>
      </c>
      <c r="I2109" s="97" t="s">
        <v>714</v>
      </c>
      <c r="J2109" s="73">
        <f t="shared" si="232"/>
        <v>1</v>
      </c>
      <c r="K2109" s="260" t="s">
        <v>204</v>
      </c>
      <c r="L2109" s="97" t="s">
        <v>7072</v>
      </c>
      <c r="N2109" s="76" t="s">
        <v>18</v>
      </c>
      <c r="Q2109" s="76" t="s">
        <v>2417</v>
      </c>
      <c r="R2109" s="73">
        <f t="shared" si="233"/>
        <v>1</v>
      </c>
      <c r="S2109" s="260" t="s">
        <v>1976</v>
      </c>
      <c r="T2109" s="260" t="s">
        <v>924</v>
      </c>
      <c r="Y2109" s="566">
        <v>0.44091435185185185</v>
      </c>
      <c r="Z2109" s="566">
        <v>0.46922453703703698</v>
      </c>
      <c r="AA2109" s="566">
        <f t="shared" si="234"/>
        <v>2.8310185185185133E-2</v>
      </c>
      <c r="AB2109" s="699"/>
    </row>
    <row r="2110" spans="1:28" x14ac:dyDescent="0.3">
      <c r="A2110" s="79" t="s">
        <v>6826</v>
      </c>
      <c r="C2110" s="115">
        <v>43928</v>
      </c>
      <c r="D2110" s="312">
        <v>43998</v>
      </c>
      <c r="E2110" s="81">
        <v>43977</v>
      </c>
      <c r="F2110" s="86" t="s">
        <v>6946</v>
      </c>
      <c r="G2110" s="86" t="s">
        <v>156</v>
      </c>
      <c r="H2110" s="96" t="s">
        <v>213</v>
      </c>
      <c r="I2110" s="97" t="s">
        <v>714</v>
      </c>
      <c r="J2110" s="73">
        <f t="shared" si="232"/>
        <v>1</v>
      </c>
      <c r="K2110" s="260" t="s">
        <v>204</v>
      </c>
      <c r="L2110" s="97" t="s">
        <v>7072</v>
      </c>
      <c r="N2110" s="76" t="s">
        <v>18</v>
      </c>
      <c r="Q2110" s="76" t="s">
        <v>2417</v>
      </c>
      <c r="R2110" s="73">
        <f t="shared" si="233"/>
        <v>1</v>
      </c>
      <c r="S2110" s="260" t="s">
        <v>1976</v>
      </c>
      <c r="T2110" s="260" t="s">
        <v>923</v>
      </c>
      <c r="Y2110" s="566">
        <v>0.43059027777777775</v>
      </c>
      <c r="Z2110" s="566">
        <v>0.44035879629629626</v>
      </c>
      <c r="AA2110" s="566">
        <f t="shared" si="234"/>
        <v>9.7685185185185097E-3</v>
      </c>
      <c r="AB2110" s="699"/>
    </row>
    <row r="2111" spans="1:28" x14ac:dyDescent="0.3">
      <c r="A2111" s="79" t="s">
        <v>6175</v>
      </c>
      <c r="C2111" s="115">
        <v>43928</v>
      </c>
      <c r="D2111" s="312">
        <v>43998</v>
      </c>
      <c r="E2111" s="81">
        <v>43977</v>
      </c>
      <c r="F2111" s="86" t="s">
        <v>6299</v>
      </c>
      <c r="G2111" s="86" t="s">
        <v>410</v>
      </c>
      <c r="H2111" s="96" t="s">
        <v>213</v>
      </c>
      <c r="I2111" s="97" t="s">
        <v>755</v>
      </c>
      <c r="J2111" s="73">
        <f t="shared" si="232"/>
        <v>1</v>
      </c>
      <c r="K2111" s="260" t="s">
        <v>204</v>
      </c>
      <c r="L2111" s="97" t="s">
        <v>7299</v>
      </c>
      <c r="N2111" s="76" t="s">
        <v>18</v>
      </c>
      <c r="Q2111" s="76" t="s">
        <v>2417</v>
      </c>
      <c r="R2111" s="73">
        <f t="shared" si="233"/>
        <v>1</v>
      </c>
      <c r="S2111" s="260" t="s">
        <v>1976</v>
      </c>
      <c r="T2111" s="260" t="s">
        <v>925</v>
      </c>
      <c r="Y2111" s="566">
        <v>0.41844907407407406</v>
      </c>
      <c r="Z2111" s="566">
        <v>0.43023148148148144</v>
      </c>
      <c r="AA2111" s="566">
        <f t="shared" si="234"/>
        <v>1.178240740740738E-2</v>
      </c>
      <c r="AB2111" s="699"/>
    </row>
    <row r="2112" spans="1:28" x14ac:dyDescent="0.3">
      <c r="A2112" s="79" t="s">
        <v>6176</v>
      </c>
      <c r="C2112" s="115">
        <v>43928</v>
      </c>
      <c r="D2112" s="312">
        <v>43998</v>
      </c>
      <c r="E2112" s="81">
        <v>43977</v>
      </c>
      <c r="F2112" s="86" t="s">
        <v>6300</v>
      </c>
      <c r="G2112" s="86" t="s">
        <v>147</v>
      </c>
      <c r="H2112" s="96" t="s">
        <v>213</v>
      </c>
      <c r="I2112" s="97" t="s">
        <v>642</v>
      </c>
      <c r="J2112" s="73">
        <f t="shared" si="232"/>
        <v>1</v>
      </c>
      <c r="K2112" s="260" t="s">
        <v>204</v>
      </c>
      <c r="L2112" s="97" t="s">
        <v>7110</v>
      </c>
      <c r="N2112" s="76" t="s">
        <v>18</v>
      </c>
      <c r="Q2112" s="76" t="s">
        <v>2417</v>
      </c>
      <c r="R2112" s="73">
        <f t="shared" si="233"/>
        <v>1</v>
      </c>
      <c r="S2112" s="260" t="s">
        <v>1976</v>
      </c>
      <c r="T2112" s="260" t="s">
        <v>923</v>
      </c>
      <c r="Y2112" s="566">
        <v>0.40916666666666668</v>
      </c>
      <c r="Z2112" s="566">
        <v>0.41809027777777774</v>
      </c>
      <c r="AA2112" s="566">
        <f t="shared" si="234"/>
        <v>8.9236111111110628E-3</v>
      </c>
      <c r="AB2112" s="699"/>
    </row>
    <row r="2113" spans="1:28" x14ac:dyDescent="0.3">
      <c r="A2113" s="79" t="s">
        <v>6828</v>
      </c>
      <c r="C2113" s="115">
        <v>43928</v>
      </c>
      <c r="D2113" s="312">
        <v>43998</v>
      </c>
      <c r="E2113" s="81">
        <v>43979</v>
      </c>
      <c r="F2113" s="86" t="s">
        <v>6948</v>
      </c>
      <c r="G2113" s="86" t="s">
        <v>150</v>
      </c>
      <c r="H2113" s="96" t="s">
        <v>213</v>
      </c>
      <c r="I2113" s="97" t="s">
        <v>642</v>
      </c>
      <c r="J2113" s="73">
        <f t="shared" si="232"/>
        <v>1</v>
      </c>
      <c r="K2113" s="260" t="s">
        <v>204</v>
      </c>
      <c r="L2113" s="97" t="s">
        <v>7069</v>
      </c>
      <c r="N2113" s="76" t="s">
        <v>18</v>
      </c>
      <c r="Q2113" s="76" t="s">
        <v>2417</v>
      </c>
      <c r="R2113" s="73">
        <f t="shared" si="233"/>
        <v>1</v>
      </c>
      <c r="S2113" s="260" t="s">
        <v>1976</v>
      </c>
      <c r="T2113" s="260" t="s">
        <v>923</v>
      </c>
      <c r="Y2113" s="566">
        <v>0.43986111111111109</v>
      </c>
      <c r="Z2113" s="566">
        <v>0.44563657407407403</v>
      </c>
      <c r="AA2113" s="566">
        <f t="shared" si="234"/>
        <v>5.7754629629629406E-3</v>
      </c>
      <c r="AB2113" s="699"/>
    </row>
    <row r="2114" spans="1:28" x14ac:dyDescent="0.3">
      <c r="A2114" s="79" t="s">
        <v>6179</v>
      </c>
      <c r="C2114" s="115">
        <v>43928</v>
      </c>
      <c r="D2114" s="312">
        <v>43998</v>
      </c>
      <c r="E2114" s="81">
        <v>43979</v>
      </c>
      <c r="F2114" s="86" t="s">
        <v>6303</v>
      </c>
      <c r="G2114" s="86" t="s">
        <v>150</v>
      </c>
      <c r="H2114" s="96" t="s">
        <v>213</v>
      </c>
      <c r="I2114" s="97" t="s">
        <v>714</v>
      </c>
      <c r="J2114" s="73">
        <f t="shared" si="232"/>
        <v>1</v>
      </c>
      <c r="K2114" s="260" t="s">
        <v>204</v>
      </c>
      <c r="L2114" s="97" t="s">
        <v>7072</v>
      </c>
      <c r="N2114" s="76" t="s">
        <v>18</v>
      </c>
      <c r="Q2114" s="76" t="s">
        <v>2417</v>
      </c>
      <c r="R2114" s="73">
        <f t="shared" si="233"/>
        <v>1</v>
      </c>
      <c r="S2114" s="260" t="s">
        <v>1976</v>
      </c>
      <c r="T2114" s="260" t="s">
        <v>924</v>
      </c>
      <c r="Y2114" s="566">
        <v>0.42796296296296293</v>
      </c>
      <c r="Z2114" s="566">
        <v>0.43438657407407405</v>
      </c>
      <c r="AA2114" s="566">
        <f t="shared" si="234"/>
        <v>6.423611111111116E-3</v>
      </c>
      <c r="AB2114" s="699"/>
    </row>
    <row r="2115" spans="1:28" x14ac:dyDescent="0.3">
      <c r="A2115" s="79" t="s">
        <v>6183</v>
      </c>
      <c r="C2115" s="115">
        <v>43928</v>
      </c>
      <c r="D2115" s="312">
        <v>43998</v>
      </c>
      <c r="E2115" s="81">
        <v>43979</v>
      </c>
      <c r="F2115" s="86" t="s">
        <v>6307</v>
      </c>
      <c r="G2115" s="86" t="s">
        <v>150</v>
      </c>
      <c r="H2115" s="96" t="s">
        <v>213</v>
      </c>
      <c r="I2115" s="97" t="s">
        <v>755</v>
      </c>
      <c r="J2115" s="73">
        <f t="shared" si="232"/>
        <v>1</v>
      </c>
      <c r="K2115" s="260" t="s">
        <v>204</v>
      </c>
      <c r="L2115" s="97" t="s">
        <v>7343</v>
      </c>
      <c r="N2115" s="76" t="s">
        <v>17</v>
      </c>
      <c r="Q2115" s="301" t="s">
        <v>2417</v>
      </c>
      <c r="R2115" s="73">
        <f t="shared" si="233"/>
        <v>1</v>
      </c>
      <c r="S2115" s="260" t="s">
        <v>1976</v>
      </c>
      <c r="T2115" s="260" t="s">
        <v>924</v>
      </c>
      <c r="Y2115" s="566">
        <v>0.41722222222222222</v>
      </c>
      <c r="Z2115" s="566">
        <v>0.42768518518518522</v>
      </c>
      <c r="AA2115" s="566">
        <f t="shared" si="234"/>
        <v>1.0462962962963007E-2</v>
      </c>
      <c r="AB2115" s="699"/>
    </row>
    <row r="2116" spans="1:28" x14ac:dyDescent="0.3">
      <c r="A2116" s="79" t="s">
        <v>6184</v>
      </c>
      <c r="C2116" s="115">
        <v>43928</v>
      </c>
      <c r="D2116" s="312">
        <v>43998</v>
      </c>
      <c r="E2116" s="81">
        <v>43979</v>
      </c>
      <c r="F2116" s="86" t="s">
        <v>6308</v>
      </c>
      <c r="G2116" s="86" t="s">
        <v>156</v>
      </c>
      <c r="H2116" s="96" t="s">
        <v>213</v>
      </c>
      <c r="I2116" s="97" t="s">
        <v>714</v>
      </c>
      <c r="J2116" s="73">
        <f t="shared" si="232"/>
        <v>1</v>
      </c>
      <c r="K2116" s="260" t="s">
        <v>204</v>
      </c>
      <c r="L2116" s="97" t="s">
        <v>7348</v>
      </c>
      <c r="N2116" s="76" t="s">
        <v>18</v>
      </c>
      <c r="Q2116" s="76" t="s">
        <v>2417</v>
      </c>
      <c r="R2116" s="73">
        <f t="shared" si="233"/>
        <v>1</v>
      </c>
      <c r="S2116" s="260" t="s">
        <v>1976</v>
      </c>
      <c r="T2116" s="260" t="s">
        <v>923</v>
      </c>
      <c r="Y2116" s="566">
        <v>0.53434027777777782</v>
      </c>
      <c r="Z2116" s="566">
        <v>0.54810185185185178</v>
      </c>
      <c r="AA2116" s="566">
        <f t="shared" si="234"/>
        <v>1.3761574074073968E-2</v>
      </c>
      <c r="AB2116" s="699"/>
    </row>
    <row r="2117" spans="1:28" x14ac:dyDescent="0.3">
      <c r="A2117" s="79" t="s">
        <v>6830</v>
      </c>
      <c r="C2117" s="115">
        <v>43928</v>
      </c>
      <c r="D2117" s="312">
        <v>43998</v>
      </c>
      <c r="E2117" s="81">
        <v>43978</v>
      </c>
      <c r="F2117" s="86" t="s">
        <v>6950</v>
      </c>
      <c r="G2117" s="86" t="s">
        <v>186</v>
      </c>
      <c r="H2117" s="96" t="s">
        <v>213</v>
      </c>
      <c r="I2117" s="97" t="s">
        <v>642</v>
      </c>
      <c r="J2117" s="73">
        <f t="shared" si="232"/>
        <v>1</v>
      </c>
      <c r="K2117" s="260" t="s">
        <v>204</v>
      </c>
      <c r="L2117" s="97" t="s">
        <v>7066</v>
      </c>
      <c r="N2117" s="76" t="s">
        <v>18</v>
      </c>
      <c r="Q2117" s="76" t="s">
        <v>2076</v>
      </c>
      <c r="R2117" s="73">
        <f t="shared" si="233"/>
        <v>1</v>
      </c>
      <c r="S2117" s="260" t="s">
        <v>1976</v>
      </c>
      <c r="T2117" s="260" t="s">
        <v>924</v>
      </c>
      <c r="Y2117" s="566">
        <v>0.68182870370370363</v>
      </c>
      <c r="Z2117" s="566">
        <v>0.68729166666666675</v>
      </c>
      <c r="AA2117" s="566">
        <f t="shared" si="234"/>
        <v>5.4629629629631138E-3</v>
      </c>
      <c r="AB2117" s="699"/>
    </row>
    <row r="2118" spans="1:28" x14ac:dyDescent="0.3">
      <c r="A2118" s="79" t="s">
        <v>6190</v>
      </c>
      <c r="C2118" s="115">
        <v>43928</v>
      </c>
      <c r="D2118" s="312">
        <v>43998</v>
      </c>
      <c r="E2118" s="81">
        <v>43979</v>
      </c>
      <c r="F2118" s="86" t="s">
        <v>6314</v>
      </c>
      <c r="G2118" s="86" t="s">
        <v>156</v>
      </c>
      <c r="H2118" s="96" t="s">
        <v>213</v>
      </c>
      <c r="I2118" s="97" t="s">
        <v>722</v>
      </c>
      <c r="J2118" s="73">
        <f t="shared" si="232"/>
        <v>1</v>
      </c>
      <c r="K2118" s="260" t="s">
        <v>204</v>
      </c>
      <c r="L2118" s="97" t="s">
        <v>7322</v>
      </c>
      <c r="N2118" s="76" t="s">
        <v>17</v>
      </c>
      <c r="Q2118" s="76" t="s">
        <v>2417</v>
      </c>
      <c r="R2118" s="73">
        <f t="shared" si="233"/>
        <v>1</v>
      </c>
      <c r="S2118" s="260" t="s">
        <v>1976</v>
      </c>
      <c r="T2118" s="260" t="s">
        <v>925</v>
      </c>
      <c r="Y2118" s="566">
        <v>0.52329861111111109</v>
      </c>
      <c r="Z2118" s="566">
        <v>0.53381944444444451</v>
      </c>
      <c r="AA2118" s="566">
        <f t="shared" si="234"/>
        <v>1.0520833333333424E-2</v>
      </c>
      <c r="AB2118" s="699"/>
    </row>
    <row r="2119" spans="1:28" x14ac:dyDescent="0.3">
      <c r="A2119" s="79" t="s">
        <v>6195</v>
      </c>
      <c r="C2119" s="115">
        <v>43928</v>
      </c>
      <c r="D2119" s="312">
        <v>43998</v>
      </c>
      <c r="E2119" s="81">
        <v>43979</v>
      </c>
      <c r="F2119" s="86" t="s">
        <v>6319</v>
      </c>
      <c r="G2119" s="86" t="s">
        <v>1682</v>
      </c>
      <c r="H2119" s="96" t="s">
        <v>213</v>
      </c>
      <c r="I2119" s="97" t="s">
        <v>714</v>
      </c>
      <c r="J2119" s="73">
        <f t="shared" si="232"/>
        <v>1</v>
      </c>
      <c r="K2119" s="260" t="s">
        <v>204</v>
      </c>
      <c r="L2119" s="97" t="s">
        <v>7071</v>
      </c>
      <c r="N2119" s="76" t="s">
        <v>17</v>
      </c>
      <c r="Q2119" s="76" t="s">
        <v>2417</v>
      </c>
      <c r="R2119" s="73">
        <f t="shared" si="233"/>
        <v>1</v>
      </c>
      <c r="S2119" s="260" t="s">
        <v>1976</v>
      </c>
      <c r="T2119" s="260" t="s">
        <v>924</v>
      </c>
      <c r="Y2119" s="566">
        <v>0.51469907407407411</v>
      </c>
      <c r="Z2119" s="566">
        <v>0.52274305555555556</v>
      </c>
      <c r="AA2119" s="566">
        <f t="shared" si="234"/>
        <v>8.0439814814814437E-3</v>
      </c>
      <c r="AB2119" s="699"/>
    </row>
    <row r="2120" spans="1:28" x14ac:dyDescent="0.3">
      <c r="A2120" s="79" t="s">
        <v>6832</v>
      </c>
      <c r="C2120" s="115">
        <v>43930</v>
      </c>
      <c r="D2120" s="312">
        <v>43998</v>
      </c>
      <c r="E2120" s="81">
        <v>43978</v>
      </c>
      <c r="F2120" s="86" t="s">
        <v>6952</v>
      </c>
      <c r="G2120" s="86" t="s">
        <v>150</v>
      </c>
      <c r="H2120" s="96" t="s">
        <v>213</v>
      </c>
      <c r="J2120" s="73">
        <f t="shared" ref="J2120:J2146" si="235">IF(OR(K2120="Документы готовы",K2120="Запрос в ФО",K2120="ЭЗ",K2120="РЕШ",K2120="РЕШ шаблон"),0.1,IF(OR(K2120="ЭЗ согласование",K2120="РЕШ согласование"),0.3,IF(OR(K2120="ЭЗ согласовано",K2120="РЕШ согласовано",K2120="РЕШ подписано"),0.6,IF(OR(K2120="ЭЗ ПР согласование",K2120="РЕШ УВ согласование"),0.9,IF(OR(K2120="ЭЗ ПР DONE",K2120="РЕШ УВ DONE"),1,0)))))</f>
        <v>1</v>
      </c>
      <c r="K2120" s="260" t="s">
        <v>204</v>
      </c>
      <c r="L2120" s="97" t="s">
        <v>7334</v>
      </c>
      <c r="N2120" s="76" t="s">
        <v>18</v>
      </c>
      <c r="Q2120" s="76" t="s">
        <v>2142</v>
      </c>
      <c r="R2120" s="73">
        <f t="shared" ref="R2120:R2146" si="236">IF(S2120="В работе",0.3,IF(S2120="Отписано",0.6,IF(S2120="На доработку",0.9,IF(S2120="Согласовано",1,0))))</f>
        <v>1</v>
      </c>
      <c r="S2120" s="260" t="s">
        <v>1976</v>
      </c>
      <c r="T2120" s="260" t="s">
        <v>923</v>
      </c>
      <c r="Y2120" s="566">
        <v>0.52473379629629624</v>
      </c>
      <c r="Z2120" s="566">
        <v>0.53194444444444444</v>
      </c>
      <c r="AA2120" s="566">
        <f t="shared" ref="AA2120:AA2146" si="237">Z2120-Y2120</f>
        <v>7.2106481481482021E-3</v>
      </c>
      <c r="AB2120" s="699"/>
    </row>
    <row r="2121" spans="1:28" x14ac:dyDescent="0.3">
      <c r="A2121" s="79" t="s">
        <v>6833</v>
      </c>
      <c r="C2121" s="115">
        <v>43930</v>
      </c>
      <c r="D2121" s="312">
        <v>43998</v>
      </c>
      <c r="E2121" s="81">
        <v>43979</v>
      </c>
      <c r="F2121" s="86" t="s">
        <v>6953</v>
      </c>
      <c r="G2121" s="86" t="s">
        <v>156</v>
      </c>
      <c r="H2121" s="96" t="s">
        <v>213</v>
      </c>
      <c r="I2121" s="97" t="s">
        <v>3651</v>
      </c>
      <c r="J2121" s="73">
        <f t="shared" si="235"/>
        <v>1</v>
      </c>
      <c r="K2121" s="74" t="s">
        <v>204</v>
      </c>
      <c r="L2121" s="97" t="s">
        <v>7352</v>
      </c>
      <c r="N2121" s="76" t="s">
        <v>17</v>
      </c>
      <c r="Q2121" s="76" t="s">
        <v>2417</v>
      </c>
      <c r="R2121" s="73">
        <f t="shared" si="236"/>
        <v>1</v>
      </c>
      <c r="S2121" s="260" t="s">
        <v>1976</v>
      </c>
      <c r="T2121" s="260" t="s">
        <v>925</v>
      </c>
      <c r="U2121" s="301" t="s">
        <v>5283</v>
      </c>
      <c r="V2121" s="301" t="s">
        <v>7353</v>
      </c>
      <c r="Y2121" s="566">
        <v>0.83229166666666676</v>
      </c>
      <c r="Z2121" s="566">
        <v>0.84629629629629621</v>
      </c>
      <c r="AA2121" s="566">
        <f t="shared" si="237"/>
        <v>1.400462962962945E-2</v>
      </c>
      <c r="AB2121" s="699"/>
    </row>
    <row r="2122" spans="1:28" x14ac:dyDescent="0.3">
      <c r="A2122" s="79" t="s">
        <v>6834</v>
      </c>
      <c r="C2122" s="115">
        <v>43930</v>
      </c>
      <c r="D2122" s="312">
        <v>43998</v>
      </c>
      <c r="E2122" s="81">
        <v>43983</v>
      </c>
      <c r="F2122" s="86" t="s">
        <v>6954</v>
      </c>
      <c r="G2122" s="86" t="s">
        <v>168</v>
      </c>
      <c r="H2122" s="96" t="s">
        <v>213</v>
      </c>
      <c r="I2122" s="97" t="s">
        <v>604</v>
      </c>
      <c r="J2122" s="73">
        <f t="shared" si="235"/>
        <v>1</v>
      </c>
      <c r="K2122" s="74" t="s">
        <v>204</v>
      </c>
      <c r="L2122" s="97" t="s">
        <v>7383</v>
      </c>
      <c r="N2122" s="76" t="s">
        <v>18</v>
      </c>
      <c r="Q2122" s="76" t="s">
        <v>2417</v>
      </c>
      <c r="R2122" s="73">
        <f t="shared" si="236"/>
        <v>1</v>
      </c>
      <c r="S2122" s="260" t="s">
        <v>1976</v>
      </c>
      <c r="T2122" s="260" t="s">
        <v>924</v>
      </c>
      <c r="Y2122" s="566">
        <v>0.82936342592592593</v>
      </c>
      <c r="Z2122" s="566">
        <v>0.84657407407407403</v>
      </c>
      <c r="AA2122" s="566">
        <f t="shared" si="237"/>
        <v>1.72106481481481E-2</v>
      </c>
      <c r="AB2122" s="699" t="s">
        <v>7361</v>
      </c>
    </row>
    <row r="2123" spans="1:28" x14ac:dyDescent="0.3">
      <c r="A2123" s="79" t="s">
        <v>6410</v>
      </c>
      <c r="C2123" s="115">
        <v>43931</v>
      </c>
      <c r="D2123" s="312">
        <v>43998</v>
      </c>
      <c r="E2123" s="81">
        <v>43978</v>
      </c>
      <c r="F2123" s="86" t="s">
        <v>6437</v>
      </c>
      <c r="G2123" s="86" t="s">
        <v>156</v>
      </c>
      <c r="H2123" s="96" t="s">
        <v>213</v>
      </c>
      <c r="I2123" s="97" t="s">
        <v>714</v>
      </c>
      <c r="J2123" s="73">
        <f t="shared" si="235"/>
        <v>1</v>
      </c>
      <c r="K2123" s="260" t="s">
        <v>204</v>
      </c>
      <c r="L2123" s="97" t="s">
        <v>7072</v>
      </c>
      <c r="N2123" s="76" t="s">
        <v>18</v>
      </c>
      <c r="Q2123" s="76" t="s">
        <v>2142</v>
      </c>
      <c r="R2123" s="73">
        <f t="shared" si="236"/>
        <v>1</v>
      </c>
      <c r="S2123" s="260" t="s">
        <v>1976</v>
      </c>
      <c r="T2123" s="260" t="s">
        <v>925</v>
      </c>
      <c r="Y2123" s="566">
        <v>0.51881944444444439</v>
      </c>
      <c r="Z2123" s="566">
        <v>0.52425925925925931</v>
      </c>
      <c r="AA2123" s="566">
        <f t="shared" si="237"/>
        <v>5.439814814814925E-3</v>
      </c>
      <c r="AB2123" s="699"/>
    </row>
    <row r="2124" spans="1:28" x14ac:dyDescent="0.3">
      <c r="A2124" s="79" t="s">
        <v>6412</v>
      </c>
      <c r="C2124" s="115">
        <v>43931</v>
      </c>
      <c r="D2124" s="312">
        <v>43998</v>
      </c>
      <c r="E2124" s="81">
        <v>43978</v>
      </c>
      <c r="F2124" s="86" t="s">
        <v>6439</v>
      </c>
      <c r="G2124" s="86" t="s">
        <v>150</v>
      </c>
      <c r="H2124" s="96" t="s">
        <v>213</v>
      </c>
      <c r="I2124" s="97" t="s">
        <v>714</v>
      </c>
      <c r="J2124" s="73">
        <f t="shared" si="235"/>
        <v>1</v>
      </c>
      <c r="K2124" s="260" t="s">
        <v>204</v>
      </c>
      <c r="L2124" s="97" t="s">
        <v>7333</v>
      </c>
      <c r="N2124" s="76" t="s">
        <v>17</v>
      </c>
      <c r="Q2124" s="76" t="s">
        <v>2142</v>
      </c>
      <c r="R2124" s="73">
        <f t="shared" si="236"/>
        <v>1</v>
      </c>
      <c r="S2124" s="260" t="s">
        <v>1976</v>
      </c>
      <c r="T2124" s="260" t="s">
        <v>923</v>
      </c>
      <c r="Y2124" s="566">
        <v>0.50537037037037036</v>
      </c>
      <c r="Z2124" s="566">
        <v>0.5131944444444444</v>
      </c>
      <c r="AA2124" s="566">
        <f t="shared" si="237"/>
        <v>7.8240740740740389E-3</v>
      </c>
      <c r="AB2124" s="699"/>
    </row>
    <row r="2125" spans="1:28" x14ac:dyDescent="0.3">
      <c r="A2125" s="79" t="s">
        <v>6836</v>
      </c>
      <c r="C2125" s="115">
        <v>43931</v>
      </c>
      <c r="D2125" s="312">
        <v>43998</v>
      </c>
      <c r="E2125" s="81">
        <v>43978</v>
      </c>
      <c r="F2125" s="86" t="s">
        <v>6956</v>
      </c>
      <c r="G2125" s="86" t="s">
        <v>158</v>
      </c>
      <c r="H2125" s="96" t="s">
        <v>213</v>
      </c>
      <c r="I2125" s="97" t="s">
        <v>642</v>
      </c>
      <c r="J2125" s="73">
        <f t="shared" si="235"/>
        <v>1</v>
      </c>
      <c r="K2125" s="260" t="s">
        <v>204</v>
      </c>
      <c r="L2125" s="97" t="s">
        <v>7071</v>
      </c>
      <c r="N2125" s="76" t="s">
        <v>17</v>
      </c>
      <c r="Q2125" s="76" t="s">
        <v>2142</v>
      </c>
      <c r="R2125" s="73">
        <f t="shared" si="236"/>
        <v>1</v>
      </c>
      <c r="S2125" s="260" t="s">
        <v>1976</v>
      </c>
      <c r="T2125" s="260" t="s">
        <v>924</v>
      </c>
      <c r="Y2125" s="566">
        <v>0.50157407407407406</v>
      </c>
      <c r="Z2125" s="566">
        <v>0.50490740740740747</v>
      </c>
      <c r="AA2125" s="566">
        <f t="shared" si="237"/>
        <v>3.3333333333334103E-3</v>
      </c>
      <c r="AB2125" s="699"/>
    </row>
    <row r="2126" spans="1:28" x14ac:dyDescent="0.3">
      <c r="A2126" s="79" t="s">
        <v>6413</v>
      </c>
      <c r="C2126" s="115">
        <v>43931</v>
      </c>
      <c r="D2126" s="115">
        <v>43998</v>
      </c>
      <c r="E2126" s="81">
        <v>43983</v>
      </c>
      <c r="F2126" s="86" t="s">
        <v>6440</v>
      </c>
      <c r="G2126" s="86" t="s">
        <v>156</v>
      </c>
      <c r="H2126" s="96" t="s">
        <v>213</v>
      </c>
      <c r="I2126" s="97" t="s">
        <v>714</v>
      </c>
      <c r="J2126" s="73">
        <f t="shared" si="235"/>
        <v>1</v>
      </c>
      <c r="K2126" s="74" t="s">
        <v>204</v>
      </c>
      <c r="L2126" s="97" t="s">
        <v>7072</v>
      </c>
      <c r="N2126" s="76" t="s">
        <v>18</v>
      </c>
      <c r="Q2126" s="76" t="s">
        <v>2037</v>
      </c>
      <c r="R2126" s="73">
        <f t="shared" si="236"/>
        <v>1</v>
      </c>
      <c r="S2126" s="260" t="s">
        <v>1976</v>
      </c>
      <c r="T2126" s="260" t="s">
        <v>924</v>
      </c>
      <c r="Y2126" s="566">
        <v>0.4826388888888889</v>
      </c>
      <c r="Z2126" s="566">
        <v>0.48807870370370371</v>
      </c>
      <c r="AA2126" s="566">
        <f t="shared" si="237"/>
        <v>5.439814814814814E-3</v>
      </c>
      <c r="AB2126" s="699"/>
    </row>
    <row r="2127" spans="1:28" x14ac:dyDescent="0.3">
      <c r="A2127" s="79" t="s">
        <v>6417</v>
      </c>
      <c r="C2127" s="115">
        <v>43934</v>
      </c>
      <c r="D2127" s="312">
        <v>43998</v>
      </c>
      <c r="E2127" s="81">
        <v>43978</v>
      </c>
      <c r="F2127" s="86" t="s">
        <v>6444</v>
      </c>
      <c r="G2127" s="86" t="s">
        <v>172</v>
      </c>
      <c r="H2127" s="96" t="s">
        <v>213</v>
      </c>
      <c r="I2127" s="97" t="s">
        <v>641</v>
      </c>
      <c r="J2127" s="73">
        <f t="shared" si="235"/>
        <v>1</v>
      </c>
      <c r="K2127" s="260" t="s">
        <v>204</v>
      </c>
      <c r="L2127" s="97" t="s">
        <v>7332</v>
      </c>
      <c r="N2127" s="76" t="s">
        <v>17</v>
      </c>
      <c r="Q2127" s="76" t="s">
        <v>2142</v>
      </c>
      <c r="R2127" s="73">
        <f t="shared" si="236"/>
        <v>1</v>
      </c>
      <c r="S2127" s="260" t="s">
        <v>1976</v>
      </c>
      <c r="T2127" s="260" t="s">
        <v>925</v>
      </c>
      <c r="Y2127" s="566">
        <v>0.48600694444444442</v>
      </c>
      <c r="Z2127" s="566">
        <v>0.50086805555555558</v>
      </c>
      <c r="AA2127" s="566">
        <f t="shared" si="237"/>
        <v>1.4861111111111158E-2</v>
      </c>
      <c r="AB2127" s="699"/>
    </row>
    <row r="2128" spans="1:28" x14ac:dyDescent="0.3">
      <c r="A2128" s="79" t="s">
        <v>6418</v>
      </c>
      <c r="C2128" s="115">
        <v>43934</v>
      </c>
      <c r="D2128" s="312">
        <v>43998</v>
      </c>
      <c r="E2128" s="81">
        <v>43977</v>
      </c>
      <c r="F2128" s="86" t="s">
        <v>6445</v>
      </c>
      <c r="G2128" s="86" t="s">
        <v>150</v>
      </c>
      <c r="H2128" s="96" t="s">
        <v>213</v>
      </c>
      <c r="I2128" s="97" t="s">
        <v>722</v>
      </c>
      <c r="J2128" s="73">
        <f t="shared" si="235"/>
        <v>1</v>
      </c>
      <c r="K2128" s="260" t="s">
        <v>204</v>
      </c>
      <c r="L2128" s="97" t="s">
        <v>7322</v>
      </c>
      <c r="N2128" s="76" t="s">
        <v>18</v>
      </c>
      <c r="Q2128" s="76" t="s">
        <v>2142</v>
      </c>
      <c r="R2128" s="73">
        <f t="shared" si="236"/>
        <v>1</v>
      </c>
      <c r="S2128" s="260" t="s">
        <v>1976</v>
      </c>
      <c r="T2128" s="260" t="s">
        <v>923</v>
      </c>
      <c r="Y2128" s="566">
        <v>0.93947916666666664</v>
      </c>
      <c r="Z2128" s="566">
        <v>0.94673611111111111</v>
      </c>
      <c r="AA2128" s="566">
        <f t="shared" si="237"/>
        <v>7.2569444444444686E-3</v>
      </c>
      <c r="AB2128" s="699"/>
    </row>
    <row r="2129" spans="1:28" x14ac:dyDescent="0.3">
      <c r="A2129" s="79" t="s">
        <v>6840</v>
      </c>
      <c r="C2129" s="115">
        <v>43934</v>
      </c>
      <c r="D2129" s="312">
        <v>43998</v>
      </c>
      <c r="E2129" s="81">
        <v>43977</v>
      </c>
      <c r="F2129" s="86" t="s">
        <v>6960</v>
      </c>
      <c r="G2129" s="86" t="s">
        <v>187</v>
      </c>
      <c r="H2129" s="96" t="s">
        <v>213</v>
      </c>
      <c r="I2129" s="97" t="s">
        <v>642</v>
      </c>
      <c r="J2129" s="73">
        <f t="shared" si="235"/>
        <v>1</v>
      </c>
      <c r="K2129" s="260" t="s">
        <v>204</v>
      </c>
      <c r="L2129" s="97" t="s">
        <v>7066</v>
      </c>
      <c r="N2129" s="76" t="s">
        <v>18</v>
      </c>
      <c r="Q2129" s="76" t="s">
        <v>2417</v>
      </c>
      <c r="R2129" s="73">
        <f t="shared" si="236"/>
        <v>1</v>
      </c>
      <c r="S2129" s="260" t="s">
        <v>1976</v>
      </c>
      <c r="T2129" s="260" t="s">
        <v>924</v>
      </c>
      <c r="Y2129" s="566">
        <v>0.55618055555555557</v>
      </c>
      <c r="Z2129" s="566">
        <v>0.57349537037037035</v>
      </c>
      <c r="AA2129" s="566">
        <f t="shared" si="237"/>
        <v>1.7314814814814783E-2</v>
      </c>
      <c r="AB2129" s="699"/>
    </row>
    <row r="2130" spans="1:28" x14ac:dyDescent="0.3">
      <c r="A2130" s="79" t="s">
        <v>6420</v>
      </c>
      <c r="C2130" s="115">
        <v>43934</v>
      </c>
      <c r="D2130" s="312">
        <v>43998</v>
      </c>
      <c r="E2130" s="81">
        <v>43977</v>
      </c>
      <c r="F2130" s="86" t="s">
        <v>6447</v>
      </c>
      <c r="G2130" s="86" t="s">
        <v>150</v>
      </c>
      <c r="H2130" s="96" t="s">
        <v>213</v>
      </c>
      <c r="I2130" s="97" t="s">
        <v>714</v>
      </c>
      <c r="J2130" s="73">
        <f t="shared" si="235"/>
        <v>1</v>
      </c>
      <c r="K2130" s="260" t="s">
        <v>204</v>
      </c>
      <c r="L2130" s="97" t="s">
        <v>7072</v>
      </c>
      <c r="N2130" s="76" t="s">
        <v>17</v>
      </c>
      <c r="Q2130" s="76" t="s">
        <v>2076</v>
      </c>
      <c r="R2130" s="73">
        <f t="shared" si="236"/>
        <v>1</v>
      </c>
      <c r="S2130" s="260" t="s">
        <v>1976</v>
      </c>
      <c r="T2130" s="260" t="s">
        <v>923</v>
      </c>
      <c r="Y2130" s="566">
        <v>0.858912037037037</v>
      </c>
      <c r="Z2130" s="566">
        <v>0.86600694444444448</v>
      </c>
      <c r="AA2130" s="566">
        <f t="shared" si="237"/>
        <v>7.0949074074074803E-3</v>
      </c>
      <c r="AB2130" s="699"/>
    </row>
    <row r="2131" spans="1:28" x14ac:dyDescent="0.3">
      <c r="A2131" s="79" t="s">
        <v>6422</v>
      </c>
      <c r="C2131" s="115">
        <v>43934</v>
      </c>
      <c r="D2131" s="312">
        <v>43998</v>
      </c>
      <c r="E2131" s="81">
        <v>43978</v>
      </c>
      <c r="F2131" s="86" t="s">
        <v>6449</v>
      </c>
      <c r="G2131" s="86" t="s">
        <v>186</v>
      </c>
      <c r="H2131" s="96" t="s">
        <v>213</v>
      </c>
      <c r="I2131" s="97" t="s">
        <v>645</v>
      </c>
      <c r="J2131" s="73">
        <f t="shared" si="235"/>
        <v>1</v>
      </c>
      <c r="K2131" s="260" t="s">
        <v>204</v>
      </c>
      <c r="L2131" s="97" t="s">
        <v>7359</v>
      </c>
      <c r="N2131" s="76" t="s">
        <v>17</v>
      </c>
      <c r="Q2131" s="76" t="s">
        <v>2142</v>
      </c>
      <c r="R2131" s="73">
        <f t="shared" si="236"/>
        <v>1</v>
      </c>
      <c r="S2131" s="260" t="s">
        <v>1976</v>
      </c>
      <c r="T2131" s="260" t="s">
        <v>924</v>
      </c>
      <c r="U2131" s="301" t="s">
        <v>5283</v>
      </c>
      <c r="V2131" s="301" t="s">
        <v>7330</v>
      </c>
      <c r="Y2131" s="566">
        <v>0.41628472222222218</v>
      </c>
      <c r="Z2131" s="566">
        <v>0.47062500000000002</v>
      </c>
      <c r="AA2131" s="566">
        <f t="shared" si="237"/>
        <v>5.4340277777777835E-2</v>
      </c>
      <c r="AB2131" s="699"/>
    </row>
    <row r="2132" spans="1:28" x14ac:dyDescent="0.3">
      <c r="A2132" s="79" t="s">
        <v>6842</v>
      </c>
      <c r="C2132" s="115">
        <v>43935</v>
      </c>
      <c r="D2132" s="312">
        <v>43998</v>
      </c>
      <c r="E2132" s="81">
        <v>43977</v>
      </c>
      <c r="F2132" s="86" t="s">
        <v>6962</v>
      </c>
      <c r="G2132" s="86" t="s">
        <v>156</v>
      </c>
      <c r="H2132" s="96" t="s">
        <v>213</v>
      </c>
      <c r="I2132" s="97" t="s">
        <v>755</v>
      </c>
      <c r="J2132" s="73">
        <f t="shared" si="235"/>
        <v>1</v>
      </c>
      <c r="K2132" s="260" t="s">
        <v>204</v>
      </c>
      <c r="L2132" s="97" t="s">
        <v>7315</v>
      </c>
      <c r="N2132" s="76" t="s">
        <v>17</v>
      </c>
      <c r="Q2132" s="76" t="s">
        <v>2417</v>
      </c>
      <c r="R2132" s="73">
        <f t="shared" si="236"/>
        <v>1</v>
      </c>
      <c r="S2132" s="260" t="s">
        <v>1976</v>
      </c>
      <c r="T2132" s="260" t="s">
        <v>924</v>
      </c>
      <c r="Y2132" s="566">
        <v>0.54758101851851848</v>
      </c>
      <c r="Z2132" s="566">
        <v>0.55589120370370371</v>
      </c>
      <c r="AA2132" s="566">
        <f t="shared" si="237"/>
        <v>8.310185185185226E-3</v>
      </c>
      <c r="AB2132" s="699"/>
    </row>
    <row r="2133" spans="1:28" x14ac:dyDescent="0.3">
      <c r="A2133" s="79" t="s">
        <v>6844</v>
      </c>
      <c r="C2133" s="115">
        <v>43935</v>
      </c>
      <c r="D2133" s="312">
        <v>43998</v>
      </c>
      <c r="E2133" s="81">
        <v>43983</v>
      </c>
      <c r="F2133" s="86" t="s">
        <v>6964</v>
      </c>
      <c r="G2133" s="86" t="s">
        <v>147</v>
      </c>
      <c r="H2133" s="96" t="s">
        <v>213</v>
      </c>
      <c r="I2133" s="97" t="s">
        <v>714</v>
      </c>
      <c r="J2133" s="73">
        <f t="shared" si="235"/>
        <v>1</v>
      </c>
      <c r="K2133" s="74" t="s">
        <v>204</v>
      </c>
      <c r="L2133" s="97" t="s">
        <v>7349</v>
      </c>
      <c r="N2133" s="76" t="s">
        <v>17</v>
      </c>
      <c r="Q2133" s="76" t="s">
        <v>2417</v>
      </c>
      <c r="R2133" s="73">
        <f t="shared" si="236"/>
        <v>1</v>
      </c>
      <c r="S2133" s="260" t="s">
        <v>1976</v>
      </c>
      <c r="T2133" s="260" t="s">
        <v>924</v>
      </c>
      <c r="U2133" s="301" t="s">
        <v>5283</v>
      </c>
      <c r="V2133" s="301" t="s">
        <v>7382</v>
      </c>
      <c r="Y2133" s="566">
        <v>0.81578703703703714</v>
      </c>
      <c r="Z2133" s="566">
        <v>0.82844907407407409</v>
      </c>
      <c r="AA2133" s="566">
        <f t="shared" si="237"/>
        <v>1.2662037037036944E-2</v>
      </c>
      <c r="AB2133" s="699"/>
    </row>
    <row r="2134" spans="1:28" x14ac:dyDescent="0.3">
      <c r="A2134" s="79" t="s">
        <v>6469</v>
      </c>
      <c r="C2134" s="115">
        <v>43935</v>
      </c>
      <c r="D2134" s="312">
        <v>43998</v>
      </c>
      <c r="E2134" s="81">
        <v>43978</v>
      </c>
      <c r="F2134" s="86" t="s">
        <v>6498</v>
      </c>
      <c r="G2134" s="86" t="s">
        <v>152</v>
      </c>
      <c r="H2134" s="96" t="s">
        <v>213</v>
      </c>
      <c r="I2134" s="97" t="s">
        <v>641</v>
      </c>
      <c r="J2134" s="73">
        <f t="shared" si="235"/>
        <v>1</v>
      </c>
      <c r="K2134" s="74" t="s">
        <v>204</v>
      </c>
      <c r="L2134" s="97" t="s">
        <v>7546</v>
      </c>
      <c r="N2134" s="76" t="s">
        <v>17</v>
      </c>
      <c r="Q2134" s="76" t="s">
        <v>2037</v>
      </c>
      <c r="R2134" s="73">
        <f t="shared" si="236"/>
        <v>1</v>
      </c>
      <c r="S2134" s="260" t="s">
        <v>1976</v>
      </c>
      <c r="T2134" s="260" t="s">
        <v>923</v>
      </c>
      <c r="U2134" s="301" t="s">
        <v>5283</v>
      </c>
      <c r="V2134" s="301" t="s">
        <v>7337</v>
      </c>
      <c r="X2134" s="301" t="s">
        <v>7384</v>
      </c>
      <c r="Y2134" s="566">
        <v>0.6293171296296296</v>
      </c>
      <c r="Z2134" s="566">
        <v>0.64452546296296298</v>
      </c>
      <c r="AA2134" s="566">
        <f t="shared" si="237"/>
        <v>1.5208333333333379E-2</v>
      </c>
      <c r="AB2134" s="699"/>
    </row>
    <row r="2135" spans="1:28" x14ac:dyDescent="0.3">
      <c r="A2135" s="79" t="s">
        <v>6845</v>
      </c>
      <c r="C2135" s="115">
        <v>43935</v>
      </c>
      <c r="D2135" s="312">
        <v>43998</v>
      </c>
      <c r="E2135" s="81">
        <v>43983</v>
      </c>
      <c r="F2135" s="86" t="s">
        <v>6965</v>
      </c>
      <c r="G2135" s="86" t="s">
        <v>158</v>
      </c>
      <c r="H2135" s="96" t="s">
        <v>213</v>
      </c>
      <c r="I2135" s="97" t="s">
        <v>714</v>
      </c>
      <c r="J2135" s="73">
        <f t="shared" si="235"/>
        <v>1</v>
      </c>
      <c r="K2135" s="74" t="s">
        <v>204</v>
      </c>
      <c r="L2135" s="97" t="s">
        <v>7058</v>
      </c>
      <c r="N2135" s="76" t="s">
        <v>18</v>
      </c>
      <c r="Q2135" s="76" t="s">
        <v>2417</v>
      </c>
      <c r="R2135" s="73">
        <f t="shared" si="236"/>
        <v>1</v>
      </c>
      <c r="S2135" s="260" t="s">
        <v>1976</v>
      </c>
      <c r="T2135" s="260" t="s">
        <v>924</v>
      </c>
      <c r="Y2135" s="566">
        <v>0.80989583333333337</v>
      </c>
      <c r="Z2135" s="566">
        <v>0.81556712962962974</v>
      </c>
      <c r="AA2135" s="566">
        <f t="shared" si="237"/>
        <v>5.6712962962963687E-3</v>
      </c>
      <c r="AB2135" s="699" t="s">
        <v>7361</v>
      </c>
    </row>
    <row r="2136" spans="1:28" x14ac:dyDescent="0.3">
      <c r="A2136" s="79" t="s">
        <v>6846</v>
      </c>
      <c r="C2136" s="115">
        <v>43935</v>
      </c>
      <c r="D2136" s="312">
        <v>43998</v>
      </c>
      <c r="E2136" s="81">
        <v>43983</v>
      </c>
      <c r="F2136" s="86" t="s">
        <v>6966</v>
      </c>
      <c r="G2136" s="86" t="s">
        <v>156</v>
      </c>
      <c r="H2136" s="96" t="s">
        <v>213</v>
      </c>
      <c r="I2136" s="97" t="s">
        <v>722</v>
      </c>
      <c r="J2136" s="73">
        <f t="shared" si="235"/>
        <v>1</v>
      </c>
      <c r="K2136" s="74" t="s">
        <v>204</v>
      </c>
      <c r="L2136" s="97" t="s">
        <v>7381</v>
      </c>
      <c r="N2136" s="76" t="s">
        <v>18</v>
      </c>
      <c r="Q2136" s="76" t="s">
        <v>2417</v>
      </c>
      <c r="R2136" s="73">
        <f t="shared" si="236"/>
        <v>1</v>
      </c>
      <c r="S2136" s="260" t="s">
        <v>1976</v>
      </c>
      <c r="T2136" s="260" t="s">
        <v>925</v>
      </c>
      <c r="Y2136" s="566">
        <v>0.80152777777777784</v>
      </c>
      <c r="Z2136" s="566">
        <v>0.80960648148148151</v>
      </c>
      <c r="AA2136" s="566">
        <f t="shared" si="237"/>
        <v>8.0787037037036713E-3</v>
      </c>
      <c r="AB2136" s="699" t="s">
        <v>7361</v>
      </c>
    </row>
    <row r="2137" spans="1:28" x14ac:dyDescent="0.3">
      <c r="A2137" s="79" t="s">
        <v>6847</v>
      </c>
      <c r="C2137" s="115">
        <v>43938</v>
      </c>
      <c r="D2137" s="312">
        <v>43998</v>
      </c>
      <c r="E2137" s="81">
        <v>43983</v>
      </c>
      <c r="F2137" s="86" t="s">
        <v>6967</v>
      </c>
      <c r="G2137" s="86" t="s">
        <v>1384</v>
      </c>
      <c r="H2137" s="96" t="s">
        <v>213</v>
      </c>
      <c r="I2137" s="97" t="s">
        <v>995</v>
      </c>
      <c r="J2137" s="73">
        <f t="shared" si="235"/>
        <v>1</v>
      </c>
      <c r="K2137" s="74" t="s">
        <v>204</v>
      </c>
      <c r="L2137" s="97" t="s">
        <v>7317</v>
      </c>
      <c r="N2137" s="76" t="s">
        <v>19</v>
      </c>
      <c r="Q2137" s="76" t="s">
        <v>2417</v>
      </c>
      <c r="R2137" s="73">
        <f t="shared" si="236"/>
        <v>1</v>
      </c>
      <c r="S2137" s="260" t="s">
        <v>1976</v>
      </c>
      <c r="T2137" s="260" t="s">
        <v>923</v>
      </c>
      <c r="Y2137" s="566">
        <v>0.79138888888888881</v>
      </c>
      <c r="Z2137" s="566">
        <v>0.80111111111111111</v>
      </c>
      <c r="AA2137" s="566">
        <f t="shared" si="237"/>
        <v>9.7222222222222987E-3</v>
      </c>
      <c r="AB2137" s="699" t="s">
        <v>7361</v>
      </c>
    </row>
    <row r="2138" spans="1:28" x14ac:dyDescent="0.3">
      <c r="A2138" s="79" t="s">
        <v>6472</v>
      </c>
      <c r="C2138" s="115">
        <v>43938</v>
      </c>
      <c r="D2138" s="312">
        <v>43998</v>
      </c>
      <c r="E2138" s="81">
        <v>43978</v>
      </c>
      <c r="F2138" s="86" t="s">
        <v>6501</v>
      </c>
      <c r="G2138" s="86" t="s">
        <v>181</v>
      </c>
      <c r="H2138" s="96" t="s">
        <v>213</v>
      </c>
      <c r="I2138" s="97" t="s">
        <v>714</v>
      </c>
      <c r="J2138" s="73">
        <f t="shared" si="235"/>
        <v>1</v>
      </c>
      <c r="K2138" s="260" t="s">
        <v>204</v>
      </c>
      <c r="L2138" s="97" t="s">
        <v>7335</v>
      </c>
      <c r="N2138" s="76" t="s">
        <v>17</v>
      </c>
      <c r="Q2138" s="76" t="s">
        <v>2142</v>
      </c>
      <c r="R2138" s="73">
        <f t="shared" si="236"/>
        <v>1</v>
      </c>
      <c r="S2138" s="260" t="s">
        <v>1976</v>
      </c>
      <c r="T2138" s="260" t="s">
        <v>924</v>
      </c>
      <c r="Y2138" s="566">
        <v>0.53236111111111117</v>
      </c>
      <c r="Z2138" s="566">
        <v>0.54160879629629632</v>
      </c>
      <c r="AA2138" s="566">
        <f t="shared" si="237"/>
        <v>9.2476851851851505E-3</v>
      </c>
      <c r="AB2138" s="699"/>
    </row>
    <row r="2139" spans="1:28" x14ac:dyDescent="0.3">
      <c r="A2139" s="79" t="s">
        <v>6849</v>
      </c>
      <c r="C2139" s="115">
        <v>43938</v>
      </c>
      <c r="D2139" s="312">
        <v>43998</v>
      </c>
      <c r="E2139" s="81">
        <v>43983</v>
      </c>
      <c r="F2139" s="86" t="s">
        <v>6969</v>
      </c>
      <c r="G2139" s="86" t="s">
        <v>158</v>
      </c>
      <c r="H2139" s="96" t="s">
        <v>213</v>
      </c>
      <c r="I2139" s="97" t="s">
        <v>642</v>
      </c>
      <c r="J2139" s="73">
        <f t="shared" si="235"/>
        <v>1</v>
      </c>
      <c r="K2139" s="74" t="s">
        <v>204</v>
      </c>
      <c r="L2139" s="97" t="s">
        <v>7380</v>
      </c>
      <c r="N2139" s="76" t="s">
        <v>17</v>
      </c>
      <c r="Q2139" s="76" t="s">
        <v>2417</v>
      </c>
      <c r="R2139" s="73">
        <f t="shared" si="236"/>
        <v>1</v>
      </c>
      <c r="S2139" s="260" t="s">
        <v>1976</v>
      </c>
      <c r="T2139" s="260" t="s">
        <v>924</v>
      </c>
      <c r="Y2139" s="566">
        <v>0.78391203703703705</v>
      </c>
      <c r="Z2139" s="566">
        <v>0.79120370370370363</v>
      </c>
      <c r="AA2139" s="566">
        <f t="shared" si="237"/>
        <v>7.2916666666665853E-3</v>
      </c>
      <c r="AB2139" s="699"/>
    </row>
    <row r="2140" spans="1:28" x14ac:dyDescent="0.3">
      <c r="A2140" s="79" t="s">
        <v>6850</v>
      </c>
      <c r="C2140" s="115">
        <v>43938</v>
      </c>
      <c r="D2140" s="312">
        <v>43998</v>
      </c>
      <c r="E2140" s="81">
        <v>43983</v>
      </c>
      <c r="F2140" s="86" t="s">
        <v>6970</v>
      </c>
      <c r="G2140" s="86" t="s">
        <v>157</v>
      </c>
      <c r="H2140" s="96" t="s">
        <v>213</v>
      </c>
      <c r="I2140" s="97" t="s">
        <v>714</v>
      </c>
      <c r="J2140" s="73">
        <f t="shared" si="235"/>
        <v>1</v>
      </c>
      <c r="K2140" s="74" t="s">
        <v>204</v>
      </c>
      <c r="L2140" s="97" t="s">
        <v>7379</v>
      </c>
      <c r="N2140" s="76" t="s">
        <v>18</v>
      </c>
      <c r="Q2140" s="76" t="s">
        <v>2417</v>
      </c>
      <c r="R2140" s="73">
        <f t="shared" si="236"/>
        <v>1</v>
      </c>
      <c r="S2140" s="260" t="s">
        <v>1976</v>
      </c>
      <c r="T2140" s="260" t="s">
        <v>925</v>
      </c>
      <c r="Y2140" s="566">
        <v>0.77488425925925919</v>
      </c>
      <c r="Z2140" s="566">
        <v>0.78371527777777772</v>
      </c>
      <c r="AA2140" s="566">
        <f t="shared" si="237"/>
        <v>8.8310185185185297E-3</v>
      </c>
      <c r="AB2140" s="699"/>
    </row>
    <row r="2141" spans="1:28" x14ac:dyDescent="0.3">
      <c r="A2141" s="79" t="s">
        <v>6475</v>
      </c>
      <c r="C2141" s="115">
        <v>43938</v>
      </c>
      <c r="D2141" s="312">
        <v>43998</v>
      </c>
      <c r="E2141" s="81">
        <v>43978</v>
      </c>
      <c r="F2141" s="86" t="s">
        <v>6504</v>
      </c>
      <c r="G2141" s="86" t="s">
        <v>152</v>
      </c>
      <c r="H2141" s="96" t="s">
        <v>213</v>
      </c>
      <c r="I2141" s="97" t="s">
        <v>722</v>
      </c>
      <c r="J2141" s="73">
        <f t="shared" si="235"/>
        <v>1</v>
      </c>
      <c r="K2141" s="260" t="s">
        <v>204</v>
      </c>
      <c r="L2141" s="97" t="s">
        <v>7340</v>
      </c>
      <c r="N2141" s="76" t="s">
        <v>17</v>
      </c>
      <c r="Q2141" s="76" t="s">
        <v>2142</v>
      </c>
      <c r="R2141" s="73">
        <f t="shared" si="236"/>
        <v>1</v>
      </c>
      <c r="S2141" s="260" t="s">
        <v>1976</v>
      </c>
      <c r="T2141" s="260" t="s">
        <v>925</v>
      </c>
      <c r="Y2141" s="566">
        <v>0.86302083333333324</v>
      </c>
      <c r="Z2141" s="566">
        <v>0.87195601851851856</v>
      </c>
      <c r="AA2141" s="566">
        <f t="shared" si="237"/>
        <v>8.9351851851853237E-3</v>
      </c>
      <c r="AB2141" s="699"/>
    </row>
    <row r="2142" spans="1:28" x14ac:dyDescent="0.3">
      <c r="A2142" s="79" t="s">
        <v>6476</v>
      </c>
      <c r="C2142" s="115">
        <v>43938</v>
      </c>
      <c r="D2142" s="312">
        <v>43998</v>
      </c>
      <c r="E2142" s="81">
        <v>43983</v>
      </c>
      <c r="F2142" s="86" t="s">
        <v>6505</v>
      </c>
      <c r="G2142" s="86" t="s">
        <v>152</v>
      </c>
      <c r="H2142" s="96" t="s">
        <v>213</v>
      </c>
      <c r="I2142" s="97" t="s">
        <v>714</v>
      </c>
      <c r="J2142" s="73">
        <f t="shared" si="235"/>
        <v>1</v>
      </c>
      <c r="K2142" s="74" t="s">
        <v>204</v>
      </c>
      <c r="L2142" s="97" t="s">
        <v>7378</v>
      </c>
      <c r="N2142" s="76" t="s">
        <v>17</v>
      </c>
      <c r="Q2142" s="76" t="s">
        <v>2417</v>
      </c>
      <c r="R2142" s="73">
        <f t="shared" si="236"/>
        <v>1</v>
      </c>
      <c r="S2142" s="260" t="s">
        <v>1976</v>
      </c>
      <c r="T2142" s="260" t="s">
        <v>925</v>
      </c>
      <c r="Y2142" s="566">
        <v>0.74206018518518524</v>
      </c>
      <c r="Z2142" s="566">
        <v>0.76520833333333327</v>
      </c>
      <c r="AA2142" s="566">
        <f t="shared" si="237"/>
        <v>2.3148148148148029E-2</v>
      </c>
      <c r="AB2142" s="699" t="s">
        <v>7362</v>
      </c>
    </row>
    <row r="2143" spans="1:28" x14ac:dyDescent="0.3">
      <c r="A2143" s="79" t="s">
        <v>6477</v>
      </c>
      <c r="C2143" s="115">
        <v>43938</v>
      </c>
      <c r="D2143" s="312">
        <v>43998</v>
      </c>
      <c r="E2143" s="81">
        <v>43980</v>
      </c>
      <c r="F2143" s="86" t="s">
        <v>6506</v>
      </c>
      <c r="G2143" s="86" t="s">
        <v>157</v>
      </c>
      <c r="H2143" s="96" t="s">
        <v>213</v>
      </c>
      <c r="I2143" s="97" t="s">
        <v>714</v>
      </c>
      <c r="J2143" s="73">
        <f t="shared" si="235"/>
        <v>1</v>
      </c>
      <c r="K2143" s="260" t="s">
        <v>204</v>
      </c>
      <c r="L2143" s="97" t="s">
        <v>7072</v>
      </c>
      <c r="N2143" s="76" t="s">
        <v>18</v>
      </c>
      <c r="Q2143" s="76" t="s">
        <v>2142</v>
      </c>
      <c r="R2143" s="73">
        <f t="shared" si="236"/>
        <v>1</v>
      </c>
      <c r="S2143" s="260" t="s">
        <v>1976</v>
      </c>
      <c r="T2143" s="260" t="s">
        <v>923</v>
      </c>
      <c r="Y2143" s="566">
        <v>0.47255787037037034</v>
      </c>
      <c r="Z2143" s="566">
        <v>0.47810185185185183</v>
      </c>
      <c r="AA2143" s="566">
        <f t="shared" si="237"/>
        <v>5.5439814814814969E-3</v>
      </c>
      <c r="AB2143" s="699"/>
    </row>
    <row r="2144" spans="1:28" x14ac:dyDescent="0.3">
      <c r="A2144" s="79" t="s">
        <v>6478</v>
      </c>
      <c r="C2144" s="115">
        <v>43938</v>
      </c>
      <c r="D2144" s="312">
        <v>43998</v>
      </c>
      <c r="E2144" s="81">
        <v>43978</v>
      </c>
      <c r="F2144" s="86" t="s">
        <v>6507</v>
      </c>
      <c r="G2144" s="86" t="s">
        <v>172</v>
      </c>
      <c r="H2144" s="96" t="s">
        <v>213</v>
      </c>
      <c r="I2144" s="97" t="s">
        <v>714</v>
      </c>
      <c r="J2144" s="73">
        <f t="shared" si="235"/>
        <v>1</v>
      </c>
      <c r="K2144" s="260" t="s">
        <v>204</v>
      </c>
      <c r="L2144" s="97" t="s">
        <v>7072</v>
      </c>
      <c r="N2144" s="76" t="s">
        <v>17</v>
      </c>
      <c r="Q2144" s="76" t="s">
        <v>2142</v>
      </c>
      <c r="R2144" s="73">
        <f t="shared" si="236"/>
        <v>1</v>
      </c>
      <c r="S2144" s="260" t="s">
        <v>1976</v>
      </c>
      <c r="T2144" s="260" t="s">
        <v>924</v>
      </c>
      <c r="Y2144" s="566">
        <v>0.85177083333333325</v>
      </c>
      <c r="Z2144" s="566">
        <v>0.85702546296296289</v>
      </c>
      <c r="AA2144" s="566">
        <f t="shared" si="237"/>
        <v>5.2546296296296369E-3</v>
      </c>
      <c r="AB2144" s="699"/>
    </row>
    <row r="2145" spans="1:28" x14ac:dyDescent="0.3">
      <c r="A2145" s="79" t="s">
        <v>6479</v>
      </c>
      <c r="C2145" s="115">
        <v>43938</v>
      </c>
      <c r="D2145" s="312">
        <v>43998</v>
      </c>
      <c r="E2145" s="81">
        <v>43983</v>
      </c>
      <c r="F2145" s="86" t="s">
        <v>6508</v>
      </c>
      <c r="G2145" s="86" t="s">
        <v>181</v>
      </c>
      <c r="H2145" s="96" t="s">
        <v>213</v>
      </c>
      <c r="I2145" s="97" t="s">
        <v>714</v>
      </c>
      <c r="J2145" s="73">
        <f t="shared" si="235"/>
        <v>1</v>
      </c>
      <c r="K2145" s="74" t="s">
        <v>204</v>
      </c>
      <c r="L2145" s="97" t="s">
        <v>7071</v>
      </c>
      <c r="N2145" s="76" t="s">
        <v>17</v>
      </c>
      <c r="Q2145" s="76" t="s">
        <v>2417</v>
      </c>
      <c r="R2145" s="73">
        <f t="shared" si="236"/>
        <v>1</v>
      </c>
      <c r="S2145" s="260" t="s">
        <v>1976</v>
      </c>
      <c r="T2145" s="260" t="s">
        <v>924</v>
      </c>
      <c r="Y2145" s="566">
        <v>0.73285879629629624</v>
      </c>
      <c r="Z2145" s="566">
        <v>0.74134259259259261</v>
      </c>
      <c r="AA2145" s="566">
        <f t="shared" si="237"/>
        <v>8.4837962962963642E-3</v>
      </c>
      <c r="AB2145" s="699"/>
    </row>
    <row r="2146" spans="1:28" x14ac:dyDescent="0.3">
      <c r="A2146" s="79" t="s">
        <v>6851</v>
      </c>
      <c r="C2146" s="115">
        <v>43938</v>
      </c>
      <c r="D2146" s="312">
        <v>43998</v>
      </c>
      <c r="E2146" s="81">
        <v>43983</v>
      </c>
      <c r="F2146" s="86" t="s">
        <v>6971</v>
      </c>
      <c r="G2146" s="86" t="s">
        <v>6493</v>
      </c>
      <c r="H2146" s="96" t="s">
        <v>213</v>
      </c>
      <c r="I2146" s="97" t="s">
        <v>642</v>
      </c>
      <c r="J2146" s="73">
        <f t="shared" si="235"/>
        <v>1</v>
      </c>
      <c r="K2146" s="74" t="s">
        <v>204</v>
      </c>
      <c r="L2146" s="97" t="s">
        <v>7110</v>
      </c>
      <c r="N2146" s="76" t="s">
        <v>18</v>
      </c>
      <c r="Q2146" s="76" t="s">
        <v>2417</v>
      </c>
      <c r="R2146" s="73">
        <f t="shared" si="236"/>
        <v>1</v>
      </c>
      <c r="S2146" s="260" t="s">
        <v>1976</v>
      </c>
      <c r="T2146" s="260" t="s">
        <v>923</v>
      </c>
      <c r="Y2146" s="566">
        <v>0.76594907407407409</v>
      </c>
      <c r="Z2146" s="566">
        <v>0.77457175925925925</v>
      </c>
      <c r="AA2146" s="566">
        <f t="shared" si="237"/>
        <v>8.6226851851851638E-3</v>
      </c>
      <c r="AB2146" s="699"/>
    </row>
    <row r="2147" spans="1:28" x14ac:dyDescent="0.3">
      <c r="A2147" s="79" t="s">
        <v>6854</v>
      </c>
      <c r="C2147" s="115">
        <v>43938</v>
      </c>
      <c r="D2147" s="312">
        <v>43998</v>
      </c>
      <c r="E2147" s="81">
        <v>43977</v>
      </c>
      <c r="F2147" s="86" t="s">
        <v>6974</v>
      </c>
      <c r="G2147" s="86" t="s">
        <v>158</v>
      </c>
      <c r="H2147" s="96" t="s">
        <v>213</v>
      </c>
      <c r="I2147" s="97" t="s">
        <v>714</v>
      </c>
      <c r="J2147" s="73">
        <f t="shared" ref="J2147:J2174" si="238">IF(OR(K2147="Документы готовы",K2147="Запрос в ФО",K2147="ЭЗ",K2147="РЕШ",K2147="РЕШ шаблон"),0.1,IF(OR(K2147="ЭЗ согласование",K2147="РЕШ согласование"),0.3,IF(OR(K2147="ЭЗ согласовано",K2147="РЕШ согласовано",K2147="РЕШ подписано"),0.6,IF(OR(K2147="ЭЗ ПР согласование",K2147="РЕШ УВ согласование"),0.9,IF(OR(K2147="ЭЗ ПР DONE",K2147="РЕШ УВ DONE"),1,0)))))</f>
        <v>1</v>
      </c>
      <c r="K2147" s="260" t="s">
        <v>204</v>
      </c>
      <c r="L2147" s="97" t="s">
        <v>7071</v>
      </c>
      <c r="N2147" s="76" t="s">
        <v>18</v>
      </c>
      <c r="Q2147" s="76" t="s">
        <v>2417</v>
      </c>
      <c r="R2147" s="73">
        <f t="shared" ref="R2147:R2174" si="239">IF(S2147="В работе",0.3,IF(S2147="Отписано",0.6,IF(S2147="На доработку",0.9,IF(S2147="Согласовано",1,0))))</f>
        <v>1</v>
      </c>
      <c r="S2147" s="260" t="s">
        <v>1976</v>
      </c>
      <c r="T2147" s="260" t="s">
        <v>924</v>
      </c>
      <c r="Y2147" s="566">
        <v>0.68525462962962969</v>
      </c>
      <c r="Z2147" s="566">
        <v>0.69391203703703708</v>
      </c>
      <c r="AA2147" s="566">
        <f t="shared" ref="AA2147:AA2174" si="240">Z2147-Y2147</f>
        <v>8.6574074074073915E-3</v>
      </c>
      <c r="AB2147" s="699"/>
    </row>
    <row r="2148" spans="1:28" x14ac:dyDescent="0.3">
      <c r="A2148" s="79" t="s">
        <v>6485</v>
      </c>
      <c r="C2148" s="115">
        <v>43938</v>
      </c>
      <c r="D2148" s="312">
        <v>43998</v>
      </c>
      <c r="E2148" s="81">
        <v>43977</v>
      </c>
      <c r="F2148" s="86" t="s">
        <v>6514</v>
      </c>
      <c r="G2148" s="86" t="s">
        <v>181</v>
      </c>
      <c r="H2148" s="96" t="s">
        <v>213</v>
      </c>
      <c r="I2148" s="97" t="s">
        <v>722</v>
      </c>
      <c r="J2148" s="73">
        <f t="shared" si="238"/>
        <v>1</v>
      </c>
      <c r="K2148" s="260" t="s">
        <v>204</v>
      </c>
      <c r="L2148" s="97" t="s">
        <v>7322</v>
      </c>
      <c r="N2148" s="76" t="s">
        <v>17</v>
      </c>
      <c r="Q2148" s="76" t="s">
        <v>2076</v>
      </c>
      <c r="R2148" s="73">
        <f t="shared" si="239"/>
        <v>1</v>
      </c>
      <c r="S2148" s="260" t="s">
        <v>1976</v>
      </c>
      <c r="T2148" s="260" t="s">
        <v>925</v>
      </c>
      <c r="Y2148" s="566">
        <v>0.7915740740740741</v>
      </c>
      <c r="Z2148" s="566">
        <v>0.80494212962962963</v>
      </c>
      <c r="AA2148" s="566">
        <f t="shared" si="240"/>
        <v>1.3368055555555536E-2</v>
      </c>
      <c r="AB2148" s="699"/>
    </row>
    <row r="2149" spans="1:28" x14ac:dyDescent="0.3">
      <c r="A2149" s="79" t="s">
        <v>6490</v>
      </c>
      <c r="C2149" s="115">
        <v>43942</v>
      </c>
      <c r="D2149" s="312">
        <v>43998</v>
      </c>
      <c r="E2149" s="81">
        <v>43978</v>
      </c>
      <c r="F2149" s="86" t="s">
        <v>6519</v>
      </c>
      <c r="G2149" s="86" t="s">
        <v>733</v>
      </c>
      <c r="H2149" s="96" t="s">
        <v>213</v>
      </c>
      <c r="I2149" s="97" t="s">
        <v>642</v>
      </c>
      <c r="J2149" s="73">
        <f t="shared" si="238"/>
        <v>1</v>
      </c>
      <c r="K2149" s="260" t="s">
        <v>204</v>
      </c>
      <c r="L2149" s="97" t="s">
        <v>7069</v>
      </c>
      <c r="N2149" s="76" t="s">
        <v>18</v>
      </c>
      <c r="Q2149" s="76" t="s">
        <v>2037</v>
      </c>
      <c r="R2149" s="73">
        <f t="shared" si="239"/>
        <v>1</v>
      </c>
      <c r="S2149" s="260" t="s">
        <v>1976</v>
      </c>
      <c r="T2149" s="260" t="s">
        <v>925</v>
      </c>
      <c r="Y2149" s="566">
        <v>0.61758101851851854</v>
      </c>
      <c r="Z2149" s="566">
        <v>0.62403935185185189</v>
      </c>
      <c r="AA2149" s="566">
        <f t="shared" si="240"/>
        <v>6.4583333333333437E-3</v>
      </c>
      <c r="AB2149" s="699"/>
    </row>
    <row r="2150" spans="1:28" x14ac:dyDescent="0.3">
      <c r="A2150" s="79" t="s">
        <v>6529</v>
      </c>
      <c r="C2150" s="115">
        <v>43944</v>
      </c>
      <c r="D2150" s="312">
        <v>43998</v>
      </c>
      <c r="E2150" s="81">
        <v>43978</v>
      </c>
      <c r="F2150" s="86" t="s">
        <v>6548</v>
      </c>
      <c r="G2150" s="86" t="s">
        <v>150</v>
      </c>
      <c r="H2150" s="96" t="s">
        <v>213</v>
      </c>
      <c r="I2150" s="97" t="s">
        <v>714</v>
      </c>
      <c r="J2150" s="73">
        <f t="shared" si="238"/>
        <v>1</v>
      </c>
      <c r="K2150" s="260" t="s">
        <v>204</v>
      </c>
      <c r="L2150" s="97" t="s">
        <v>7072</v>
      </c>
      <c r="N2150" s="76" t="s">
        <v>18</v>
      </c>
      <c r="Q2150" s="76" t="s">
        <v>2037</v>
      </c>
      <c r="R2150" s="73">
        <f t="shared" si="239"/>
        <v>1</v>
      </c>
      <c r="S2150" s="260" t="s">
        <v>1976</v>
      </c>
      <c r="T2150" s="260" t="s">
        <v>924</v>
      </c>
      <c r="Y2150" s="566">
        <v>0.62454861111111104</v>
      </c>
      <c r="Z2150" s="566">
        <v>0.63091435185185185</v>
      </c>
      <c r="AA2150" s="566">
        <f t="shared" si="240"/>
        <v>6.3657407407408106E-3</v>
      </c>
      <c r="AB2150" s="699"/>
    </row>
    <row r="2151" spans="1:28" x14ac:dyDescent="0.3">
      <c r="A2151" s="79" t="s">
        <v>6532</v>
      </c>
      <c r="C2151" s="115">
        <v>43944</v>
      </c>
      <c r="D2151" s="312">
        <v>43998</v>
      </c>
      <c r="E2151" s="81">
        <v>43978</v>
      </c>
      <c r="F2151" s="86" t="s">
        <v>6551</v>
      </c>
      <c r="G2151" s="86" t="s">
        <v>186</v>
      </c>
      <c r="H2151" s="96" t="s">
        <v>213</v>
      </c>
      <c r="I2151" s="97" t="s">
        <v>714</v>
      </c>
      <c r="J2151" s="73">
        <f t="shared" si="238"/>
        <v>1</v>
      </c>
      <c r="K2151" s="260" t="s">
        <v>204</v>
      </c>
      <c r="L2151" s="97" t="s">
        <v>7066</v>
      </c>
      <c r="N2151" s="76" t="s">
        <v>17</v>
      </c>
      <c r="Q2151" s="76" t="s">
        <v>2037</v>
      </c>
      <c r="R2151" s="73">
        <f t="shared" si="239"/>
        <v>1</v>
      </c>
      <c r="S2151" s="260" t="s">
        <v>1976</v>
      </c>
      <c r="T2151" s="260" t="s">
        <v>925</v>
      </c>
      <c r="Y2151" s="566">
        <v>0.57770833333333338</v>
      </c>
      <c r="Z2151" s="566">
        <v>0.60682870370370368</v>
      </c>
      <c r="AA2151" s="566">
        <f t="shared" si="240"/>
        <v>2.9120370370370297E-2</v>
      </c>
      <c r="AB2151" s="699"/>
    </row>
    <row r="2152" spans="1:28" x14ac:dyDescent="0.3">
      <c r="A2152" s="79" t="s">
        <v>6534</v>
      </c>
      <c r="C2152" s="115">
        <v>43944</v>
      </c>
      <c r="D2152" s="312">
        <v>43998</v>
      </c>
      <c r="E2152" s="81">
        <v>43979</v>
      </c>
      <c r="F2152" s="86" t="s">
        <v>6553</v>
      </c>
      <c r="G2152" s="86" t="s">
        <v>156</v>
      </c>
      <c r="H2152" s="96" t="s">
        <v>213</v>
      </c>
      <c r="I2152" s="97" t="s">
        <v>714</v>
      </c>
      <c r="J2152" s="73">
        <f t="shared" si="238"/>
        <v>1</v>
      </c>
      <c r="K2152" s="260" t="s">
        <v>204</v>
      </c>
      <c r="L2152" s="97" t="s">
        <v>7072</v>
      </c>
      <c r="N2152" s="76" t="s">
        <v>18</v>
      </c>
      <c r="Q2152" s="76" t="s">
        <v>2037</v>
      </c>
      <c r="R2152" s="73">
        <f t="shared" si="239"/>
        <v>1</v>
      </c>
      <c r="S2152" s="260" t="s">
        <v>1976</v>
      </c>
      <c r="T2152" s="260" t="s">
        <v>924</v>
      </c>
      <c r="Y2152" s="566">
        <v>0.43460648148148145</v>
      </c>
      <c r="Z2152" s="566">
        <v>0.4394675925925926</v>
      </c>
      <c r="AA2152" s="566">
        <f t="shared" si="240"/>
        <v>4.8611111111111494E-3</v>
      </c>
      <c r="AB2152" s="699"/>
    </row>
    <row r="2153" spans="1:28" x14ac:dyDescent="0.3">
      <c r="A2153" s="79" t="s">
        <v>6535</v>
      </c>
      <c r="C2153" s="115">
        <v>43944</v>
      </c>
      <c r="D2153" s="312">
        <v>43998</v>
      </c>
      <c r="E2153" s="81">
        <v>43983</v>
      </c>
      <c r="F2153" s="86" t="s">
        <v>6554</v>
      </c>
      <c r="G2153" s="86" t="s">
        <v>154</v>
      </c>
      <c r="H2153" s="79" t="s">
        <v>268</v>
      </c>
      <c r="I2153" s="97" t="s">
        <v>714</v>
      </c>
      <c r="J2153" s="73">
        <f t="shared" si="238"/>
        <v>1</v>
      </c>
      <c r="K2153" s="74" t="s">
        <v>204</v>
      </c>
      <c r="L2153" s="97" t="s">
        <v>7373</v>
      </c>
      <c r="N2153" s="76" t="s">
        <v>17</v>
      </c>
      <c r="Q2153" s="76" t="s">
        <v>2037</v>
      </c>
      <c r="R2153" s="73">
        <f t="shared" si="239"/>
        <v>1</v>
      </c>
      <c r="S2153" s="260" t="s">
        <v>1976</v>
      </c>
      <c r="T2153" s="260" t="s">
        <v>923</v>
      </c>
      <c r="Y2153" s="566">
        <v>0.50972222222222219</v>
      </c>
      <c r="Z2153" s="566">
        <v>0.52834490740740747</v>
      </c>
      <c r="AA2153" s="566">
        <f t="shared" si="240"/>
        <v>1.8622685185185284E-2</v>
      </c>
      <c r="AB2153" s="699" t="s">
        <v>7362</v>
      </c>
    </row>
    <row r="2154" spans="1:28" x14ac:dyDescent="0.3">
      <c r="A2154" s="79" t="s">
        <v>6537</v>
      </c>
      <c r="C2154" s="115">
        <v>43944</v>
      </c>
      <c r="D2154" s="312">
        <v>43998</v>
      </c>
      <c r="E2154" s="81">
        <v>43978</v>
      </c>
      <c r="F2154" s="86" t="s">
        <v>6556</v>
      </c>
      <c r="G2154" s="86" t="s">
        <v>154</v>
      </c>
      <c r="H2154" s="96" t="s">
        <v>213</v>
      </c>
      <c r="I2154" s="97" t="s">
        <v>995</v>
      </c>
      <c r="J2154" s="73">
        <f t="shared" si="238"/>
        <v>1</v>
      </c>
      <c r="K2154" s="260" t="s">
        <v>204</v>
      </c>
      <c r="L2154" s="97" t="s">
        <v>7073</v>
      </c>
      <c r="N2154" s="76" t="s">
        <v>19</v>
      </c>
      <c r="Q2154" s="76" t="s">
        <v>2037</v>
      </c>
      <c r="R2154" s="73">
        <f t="shared" si="239"/>
        <v>1</v>
      </c>
      <c r="S2154" s="260" t="s">
        <v>1976</v>
      </c>
      <c r="T2154" s="260" t="s">
        <v>923</v>
      </c>
      <c r="Y2154" s="566">
        <v>0.857488425925926</v>
      </c>
      <c r="Z2154" s="566">
        <v>0.86251157407407408</v>
      </c>
      <c r="AA2154" s="566">
        <f t="shared" si="240"/>
        <v>5.0231481481480822E-3</v>
      </c>
      <c r="AB2154" s="699"/>
    </row>
    <row r="2155" spans="1:28" x14ac:dyDescent="0.3">
      <c r="A2155" s="79" t="s">
        <v>6538</v>
      </c>
      <c r="C2155" s="115">
        <v>43944</v>
      </c>
      <c r="D2155" s="312">
        <v>43998</v>
      </c>
      <c r="E2155" s="81">
        <v>43979</v>
      </c>
      <c r="F2155" s="86" t="s">
        <v>6557</v>
      </c>
      <c r="G2155" s="86" t="s">
        <v>152</v>
      </c>
      <c r="H2155" s="96" t="s">
        <v>213</v>
      </c>
      <c r="I2155" s="97" t="s">
        <v>642</v>
      </c>
      <c r="J2155" s="73">
        <f t="shared" si="238"/>
        <v>1</v>
      </c>
      <c r="K2155" s="260" t="s">
        <v>204</v>
      </c>
      <c r="L2155" s="97" t="s">
        <v>7342</v>
      </c>
      <c r="N2155" s="76" t="s">
        <v>18</v>
      </c>
      <c r="Q2155" s="76" t="s">
        <v>2037</v>
      </c>
      <c r="R2155" s="73">
        <f t="shared" si="239"/>
        <v>1</v>
      </c>
      <c r="S2155" s="260" t="s">
        <v>1976</v>
      </c>
      <c r="T2155" s="260" t="s">
        <v>924</v>
      </c>
      <c r="Y2155" s="566">
        <v>0.37081018518518521</v>
      </c>
      <c r="Z2155" s="566">
        <v>0.38894675925925926</v>
      </c>
      <c r="AA2155" s="566">
        <f t="shared" si="240"/>
        <v>1.8136574074074041E-2</v>
      </c>
      <c r="AB2155" s="699"/>
    </row>
    <row r="2156" spans="1:28" x14ac:dyDescent="0.3">
      <c r="A2156" s="79" t="s">
        <v>6540</v>
      </c>
      <c r="C2156" s="115">
        <v>43944</v>
      </c>
      <c r="D2156" s="312">
        <v>43998</v>
      </c>
      <c r="E2156" s="81">
        <v>43983</v>
      </c>
      <c r="F2156" s="86" t="s">
        <v>6559</v>
      </c>
      <c r="G2156" s="86" t="s">
        <v>150</v>
      </c>
      <c r="H2156" s="96" t="s">
        <v>213</v>
      </c>
      <c r="I2156" s="97" t="s">
        <v>6525</v>
      </c>
      <c r="J2156" s="73">
        <f t="shared" si="238"/>
        <v>1</v>
      </c>
      <c r="K2156" s="74" t="s">
        <v>204</v>
      </c>
      <c r="L2156" s="97" t="s">
        <v>7374</v>
      </c>
      <c r="N2156" s="76" t="s">
        <v>18</v>
      </c>
      <c r="Q2156" s="76" t="s">
        <v>2037</v>
      </c>
      <c r="R2156" s="73">
        <f t="shared" si="239"/>
        <v>1</v>
      </c>
      <c r="S2156" s="260" t="s">
        <v>1976</v>
      </c>
      <c r="T2156" s="260" t="s">
        <v>925</v>
      </c>
      <c r="U2156" s="301" t="s">
        <v>5283</v>
      </c>
      <c r="V2156" s="301" t="s">
        <v>7375</v>
      </c>
      <c r="Y2156" s="566">
        <v>0.53549768518518526</v>
      </c>
      <c r="Z2156" s="566">
        <v>0.5433796296296296</v>
      </c>
      <c r="AA2156" s="566">
        <f t="shared" si="240"/>
        <v>7.8819444444443443E-3</v>
      </c>
      <c r="AB2156" s="699"/>
    </row>
    <row r="2157" spans="1:28" x14ac:dyDescent="0.3">
      <c r="A2157" s="79" t="s">
        <v>6541</v>
      </c>
      <c r="C2157" s="115">
        <v>43944</v>
      </c>
      <c r="D2157" s="312">
        <v>43998</v>
      </c>
      <c r="E2157" s="81">
        <v>43979</v>
      </c>
      <c r="F2157" s="86" t="s">
        <v>6560</v>
      </c>
      <c r="G2157" s="86" t="s">
        <v>156</v>
      </c>
      <c r="H2157" s="96" t="s">
        <v>213</v>
      </c>
      <c r="I2157" s="97" t="s">
        <v>995</v>
      </c>
      <c r="J2157" s="73">
        <f t="shared" si="238"/>
        <v>1</v>
      </c>
      <c r="K2157" s="260" t="s">
        <v>204</v>
      </c>
      <c r="L2157" s="97" t="s">
        <v>7073</v>
      </c>
      <c r="N2157" s="76" t="s">
        <v>19</v>
      </c>
      <c r="Q2157" s="76" t="s">
        <v>2037</v>
      </c>
      <c r="R2157" s="73">
        <f t="shared" si="239"/>
        <v>1</v>
      </c>
      <c r="S2157" s="260" t="s">
        <v>1976</v>
      </c>
      <c r="T2157" s="260" t="s">
        <v>925</v>
      </c>
      <c r="Y2157" s="566">
        <v>0.80596064814814816</v>
      </c>
      <c r="Z2157" s="566">
        <v>0.81070601851851853</v>
      </c>
      <c r="AA2157" s="566">
        <f t="shared" si="240"/>
        <v>4.745370370370372E-3</v>
      </c>
      <c r="AB2157" s="699"/>
    </row>
    <row r="2158" spans="1:28" x14ac:dyDescent="0.3">
      <c r="A2158" s="79" t="s">
        <v>6542</v>
      </c>
      <c r="C2158" s="115">
        <v>43944</v>
      </c>
      <c r="D2158" s="312">
        <v>43998</v>
      </c>
      <c r="E2158" s="81">
        <v>43979</v>
      </c>
      <c r="F2158" s="86" t="s">
        <v>6561</v>
      </c>
      <c r="G2158" s="86" t="s">
        <v>410</v>
      </c>
      <c r="H2158" s="96" t="s">
        <v>213</v>
      </c>
      <c r="I2158" s="97" t="s">
        <v>642</v>
      </c>
      <c r="J2158" s="73">
        <f t="shared" si="238"/>
        <v>1</v>
      </c>
      <c r="K2158" s="260" t="s">
        <v>204</v>
      </c>
      <c r="L2158" s="97" t="s">
        <v>7110</v>
      </c>
      <c r="N2158" s="76" t="s">
        <v>18</v>
      </c>
      <c r="Q2158" s="76" t="s">
        <v>2037</v>
      </c>
      <c r="R2158" s="73">
        <f t="shared" si="239"/>
        <v>1</v>
      </c>
      <c r="S2158" s="260" t="s">
        <v>1976</v>
      </c>
      <c r="T2158" s="260" t="s">
        <v>924</v>
      </c>
      <c r="Y2158" s="566">
        <v>0.40121527777777777</v>
      </c>
      <c r="Z2158" s="566">
        <v>0.40567129629629628</v>
      </c>
      <c r="AA2158" s="566">
        <f t="shared" si="240"/>
        <v>4.4560185185185119E-3</v>
      </c>
      <c r="AB2158" s="699"/>
    </row>
    <row r="2159" spans="1:28" x14ac:dyDescent="0.3">
      <c r="A2159" s="79" t="s">
        <v>6543</v>
      </c>
      <c r="C2159" s="115">
        <v>43944</v>
      </c>
      <c r="D2159" s="312">
        <v>43998</v>
      </c>
      <c r="E2159" s="81">
        <v>43979</v>
      </c>
      <c r="F2159" s="86" t="s">
        <v>6562</v>
      </c>
      <c r="G2159" s="86" t="s">
        <v>189</v>
      </c>
      <c r="H2159" s="96" t="s">
        <v>213</v>
      </c>
      <c r="I2159" s="97" t="s">
        <v>714</v>
      </c>
      <c r="J2159" s="73">
        <f t="shared" si="238"/>
        <v>1</v>
      </c>
      <c r="K2159" s="260" t="s">
        <v>204</v>
      </c>
      <c r="L2159" s="97" t="s">
        <v>7071</v>
      </c>
      <c r="N2159" s="76" t="s">
        <v>17</v>
      </c>
      <c r="Q2159" s="76" t="s">
        <v>2037</v>
      </c>
      <c r="R2159" s="73">
        <f t="shared" si="239"/>
        <v>1</v>
      </c>
      <c r="S2159" s="260" t="s">
        <v>1976</v>
      </c>
      <c r="T2159" s="260" t="s">
        <v>923</v>
      </c>
      <c r="Y2159" s="566">
        <v>0.81120370370370365</v>
      </c>
      <c r="Z2159" s="566">
        <v>0.8175810185185185</v>
      </c>
      <c r="AA2159" s="566">
        <f t="shared" si="240"/>
        <v>6.3773148148148495E-3</v>
      </c>
      <c r="AB2159" s="699"/>
    </row>
    <row r="2160" spans="1:28" x14ac:dyDescent="0.3">
      <c r="A2160" s="79" t="s">
        <v>6564</v>
      </c>
      <c r="C2160" s="115">
        <v>43948</v>
      </c>
      <c r="D2160" s="312">
        <v>43998</v>
      </c>
      <c r="E2160" s="81">
        <v>43979</v>
      </c>
      <c r="F2160" s="86" t="s">
        <v>6629</v>
      </c>
      <c r="G2160" s="86" t="s">
        <v>158</v>
      </c>
      <c r="H2160" s="96" t="s">
        <v>213</v>
      </c>
      <c r="I2160" s="97" t="s">
        <v>714</v>
      </c>
      <c r="J2160" s="73">
        <f t="shared" si="238"/>
        <v>1</v>
      </c>
      <c r="K2160" s="260" t="s">
        <v>204</v>
      </c>
      <c r="L2160" s="97" t="s">
        <v>7071</v>
      </c>
      <c r="N2160" s="76" t="s">
        <v>18</v>
      </c>
      <c r="Q2160" s="76" t="s">
        <v>2142</v>
      </c>
      <c r="R2160" s="73">
        <f t="shared" si="239"/>
        <v>1</v>
      </c>
      <c r="S2160" s="260" t="s">
        <v>1976</v>
      </c>
      <c r="T2160" s="260" t="s">
        <v>925</v>
      </c>
      <c r="Y2160" s="566">
        <v>0.40614583333333337</v>
      </c>
      <c r="Z2160" s="566">
        <v>0.41689814814814818</v>
      </c>
      <c r="AA2160" s="566">
        <f t="shared" si="240"/>
        <v>1.0752314814814812E-2</v>
      </c>
      <c r="AB2160" s="699"/>
    </row>
    <row r="2161" spans="1:28" x14ac:dyDescent="0.3">
      <c r="A2161" s="79" t="s">
        <v>6567</v>
      </c>
      <c r="C2161" s="115">
        <v>43948</v>
      </c>
      <c r="D2161" s="312">
        <v>43998</v>
      </c>
      <c r="E2161" s="81">
        <v>43979</v>
      </c>
      <c r="F2161" s="86" t="s">
        <v>6632</v>
      </c>
      <c r="G2161" s="86" t="s">
        <v>156</v>
      </c>
      <c r="H2161" s="96" t="s">
        <v>213</v>
      </c>
      <c r="I2161" s="97" t="s">
        <v>714</v>
      </c>
      <c r="J2161" s="73">
        <f t="shared" si="238"/>
        <v>1</v>
      </c>
      <c r="K2161" s="260" t="s">
        <v>204</v>
      </c>
      <c r="L2161" s="97" t="s">
        <v>7072</v>
      </c>
      <c r="N2161" s="76" t="s">
        <v>17</v>
      </c>
      <c r="Q2161" s="76" t="s">
        <v>2142</v>
      </c>
      <c r="R2161" s="73">
        <f t="shared" si="239"/>
        <v>1</v>
      </c>
      <c r="S2161" s="260" t="s">
        <v>1976</v>
      </c>
      <c r="T2161" s="260" t="s">
        <v>923</v>
      </c>
      <c r="Y2161" s="566">
        <v>0.5484606481481481</v>
      </c>
      <c r="Z2161" s="566">
        <v>0.55424768518518519</v>
      </c>
      <c r="AA2161" s="566">
        <f t="shared" si="240"/>
        <v>5.7870370370370905E-3</v>
      </c>
      <c r="AB2161" s="699"/>
    </row>
    <row r="2162" spans="1:28" x14ac:dyDescent="0.3">
      <c r="A2162" s="96" t="s">
        <v>6570</v>
      </c>
      <c r="C2162" s="115">
        <v>43948</v>
      </c>
      <c r="D2162" s="312">
        <v>43998</v>
      </c>
      <c r="E2162" s="81">
        <v>43979</v>
      </c>
      <c r="F2162" s="86" t="s">
        <v>6635</v>
      </c>
      <c r="G2162" s="86" t="s">
        <v>168</v>
      </c>
      <c r="H2162" s="96" t="s">
        <v>213</v>
      </c>
      <c r="I2162" s="97" t="s">
        <v>714</v>
      </c>
      <c r="J2162" s="73">
        <f t="shared" si="238"/>
        <v>1</v>
      </c>
      <c r="K2162" s="260" t="s">
        <v>204</v>
      </c>
      <c r="L2162" s="97" t="s">
        <v>7349</v>
      </c>
      <c r="N2162" s="76" t="s">
        <v>17</v>
      </c>
      <c r="Q2162" s="76" t="s">
        <v>2142</v>
      </c>
      <c r="R2162" s="73">
        <f t="shared" si="239"/>
        <v>1</v>
      </c>
      <c r="S2162" s="260" t="s">
        <v>1976</v>
      </c>
      <c r="T2162" s="260" t="s">
        <v>924</v>
      </c>
      <c r="Y2162" s="566">
        <v>0.55146990740740742</v>
      </c>
      <c r="Z2162" s="566">
        <v>0.56258101851851849</v>
      </c>
      <c r="AA2162" s="566">
        <f t="shared" si="240"/>
        <v>1.1111111111111072E-2</v>
      </c>
      <c r="AB2162" s="699"/>
    </row>
    <row r="2163" spans="1:28" x14ac:dyDescent="0.3">
      <c r="A2163" s="96" t="s">
        <v>6573</v>
      </c>
      <c r="C2163" s="115">
        <v>43948</v>
      </c>
      <c r="D2163" s="312">
        <v>43983</v>
      </c>
      <c r="E2163" s="81">
        <v>43978</v>
      </c>
      <c r="F2163" s="86" t="s">
        <v>6637</v>
      </c>
      <c r="G2163" s="86" t="s">
        <v>156</v>
      </c>
      <c r="H2163" s="96" t="s">
        <v>213</v>
      </c>
      <c r="I2163" s="97" t="s">
        <v>649</v>
      </c>
      <c r="J2163" s="73">
        <f t="shared" si="238"/>
        <v>1</v>
      </c>
      <c r="K2163" s="260" t="s">
        <v>204</v>
      </c>
      <c r="L2163" s="97" t="s">
        <v>7331</v>
      </c>
      <c r="N2163" s="76" t="s">
        <v>19</v>
      </c>
      <c r="Q2163" s="301" t="s">
        <v>2142</v>
      </c>
      <c r="R2163" s="73">
        <f t="shared" si="239"/>
        <v>1</v>
      </c>
      <c r="S2163" s="260" t="s">
        <v>1976</v>
      </c>
      <c r="T2163" s="260" t="s">
        <v>924</v>
      </c>
      <c r="Y2163" s="566">
        <v>0.47135416666666669</v>
      </c>
      <c r="Z2163" s="566">
        <v>0.48428240740740741</v>
      </c>
      <c r="AA2163" s="566">
        <f t="shared" si="240"/>
        <v>1.2928240740740726E-2</v>
      </c>
      <c r="AB2163" s="699"/>
    </row>
    <row r="2164" spans="1:28" x14ac:dyDescent="0.3">
      <c r="A2164" s="79" t="s">
        <v>6574</v>
      </c>
      <c r="C2164" s="115">
        <v>43948</v>
      </c>
      <c r="D2164" s="312">
        <v>43998</v>
      </c>
      <c r="E2164" s="81">
        <v>43979</v>
      </c>
      <c r="F2164" s="86" t="s">
        <v>6638</v>
      </c>
      <c r="G2164" s="86" t="s">
        <v>156</v>
      </c>
      <c r="H2164" s="96" t="s">
        <v>213</v>
      </c>
      <c r="I2164" s="97" t="s">
        <v>722</v>
      </c>
      <c r="J2164" s="73">
        <f t="shared" si="238"/>
        <v>1</v>
      </c>
      <c r="K2164" s="260" t="s">
        <v>204</v>
      </c>
      <c r="L2164" s="97" t="s">
        <v>7351</v>
      </c>
      <c r="N2164" s="76" t="s">
        <v>18</v>
      </c>
      <c r="Q2164" s="76" t="s">
        <v>2142</v>
      </c>
      <c r="R2164" s="73">
        <f t="shared" si="239"/>
        <v>1</v>
      </c>
      <c r="S2164" s="260" t="s">
        <v>1976</v>
      </c>
      <c r="T2164" s="260" t="s">
        <v>925</v>
      </c>
      <c r="Y2164" s="566">
        <v>0.82203703703703701</v>
      </c>
      <c r="Z2164" s="566">
        <v>0.83182870370370365</v>
      </c>
      <c r="AA2164" s="566">
        <f t="shared" si="240"/>
        <v>9.791666666666643E-3</v>
      </c>
      <c r="AB2164" s="699"/>
    </row>
    <row r="2165" spans="1:28" x14ac:dyDescent="0.3">
      <c r="A2165" s="79" t="s">
        <v>6575</v>
      </c>
      <c r="C2165" s="115">
        <v>43948</v>
      </c>
      <c r="D2165" s="312">
        <v>43998</v>
      </c>
      <c r="E2165" s="81">
        <v>43979</v>
      </c>
      <c r="F2165" s="86" t="s">
        <v>6639</v>
      </c>
      <c r="G2165" s="86" t="s">
        <v>158</v>
      </c>
      <c r="H2165" s="96" t="s">
        <v>213</v>
      </c>
      <c r="I2165" s="97" t="s">
        <v>642</v>
      </c>
      <c r="J2165" s="73">
        <f t="shared" si="238"/>
        <v>1</v>
      </c>
      <c r="K2165" s="260" t="s">
        <v>204</v>
      </c>
      <c r="L2165" s="97" t="s">
        <v>7110</v>
      </c>
      <c r="N2165" s="76" t="s">
        <v>18</v>
      </c>
      <c r="Q2165" s="76" t="s">
        <v>2142</v>
      </c>
      <c r="R2165" s="73">
        <f t="shared" si="239"/>
        <v>1</v>
      </c>
      <c r="S2165" s="260" t="s">
        <v>1976</v>
      </c>
      <c r="T2165" s="260" t="s">
        <v>923</v>
      </c>
      <c r="Y2165" s="566">
        <v>0.81802083333333331</v>
      </c>
      <c r="Z2165" s="566">
        <v>0.82149305555555552</v>
      </c>
      <c r="AA2165" s="566">
        <f t="shared" si="240"/>
        <v>3.4722222222222099E-3</v>
      </c>
      <c r="AB2165" s="699"/>
    </row>
    <row r="2166" spans="1:28" x14ac:dyDescent="0.3">
      <c r="A2166" s="79" t="s">
        <v>6578</v>
      </c>
      <c r="C2166" s="115">
        <v>43948</v>
      </c>
      <c r="D2166" s="312">
        <v>43998</v>
      </c>
      <c r="E2166" s="81">
        <v>43979</v>
      </c>
      <c r="F2166" s="86" t="s">
        <v>6642</v>
      </c>
      <c r="G2166" s="86" t="s">
        <v>158</v>
      </c>
      <c r="H2166" s="96" t="s">
        <v>213</v>
      </c>
      <c r="I2166" s="97" t="s">
        <v>714</v>
      </c>
      <c r="J2166" s="73">
        <f t="shared" si="238"/>
        <v>1</v>
      </c>
      <c r="K2166" s="260" t="s">
        <v>204</v>
      </c>
      <c r="L2166" s="97" t="s">
        <v>7350</v>
      </c>
      <c r="N2166" s="76" t="s">
        <v>17</v>
      </c>
      <c r="Q2166" s="76" t="s">
        <v>2142</v>
      </c>
      <c r="R2166" s="73">
        <f t="shared" si="239"/>
        <v>1</v>
      </c>
      <c r="S2166" s="260" t="s">
        <v>1976</v>
      </c>
      <c r="T2166" s="260" t="s">
        <v>924</v>
      </c>
      <c r="Y2166" s="566">
        <v>0.79682870370370373</v>
      </c>
      <c r="Z2166" s="566">
        <v>0.8053703703703704</v>
      </c>
      <c r="AA2166" s="566">
        <f t="shared" si="240"/>
        <v>8.5416666666666696E-3</v>
      </c>
      <c r="AB2166" s="699"/>
    </row>
    <row r="2167" spans="1:28" x14ac:dyDescent="0.3">
      <c r="A2167" s="79" t="s">
        <v>6579</v>
      </c>
      <c r="C2167" s="115">
        <v>43948</v>
      </c>
      <c r="D2167" s="312">
        <v>43998</v>
      </c>
      <c r="E2167" s="81">
        <v>43980</v>
      </c>
      <c r="F2167" s="86" t="s">
        <v>6643</v>
      </c>
      <c r="G2167" s="86" t="s">
        <v>166</v>
      </c>
      <c r="H2167" s="96" t="s">
        <v>213</v>
      </c>
      <c r="I2167" s="97" t="s">
        <v>645</v>
      </c>
      <c r="J2167" s="73">
        <f t="shared" si="238"/>
        <v>1</v>
      </c>
      <c r="K2167" s="260" t="s">
        <v>204</v>
      </c>
      <c r="L2167" s="97" t="s">
        <v>7117</v>
      </c>
      <c r="N2167" s="76" t="s">
        <v>18</v>
      </c>
      <c r="Q2167" s="76" t="s">
        <v>2142</v>
      </c>
      <c r="R2167" s="73">
        <f t="shared" si="239"/>
        <v>1</v>
      </c>
      <c r="S2167" s="260" t="s">
        <v>1976</v>
      </c>
      <c r="T2167" s="260" t="s">
        <v>924</v>
      </c>
      <c r="Y2167" s="566">
        <v>0.49377314814814816</v>
      </c>
      <c r="Z2167" s="566">
        <v>0.51937500000000003</v>
      </c>
      <c r="AA2167" s="566">
        <f t="shared" si="240"/>
        <v>2.5601851851851876E-2</v>
      </c>
      <c r="AB2167" s="699"/>
    </row>
    <row r="2168" spans="1:28" x14ac:dyDescent="0.3">
      <c r="A2168" s="79" t="s">
        <v>6584</v>
      </c>
      <c r="C2168" s="115">
        <v>43948</v>
      </c>
      <c r="D2168" s="312">
        <v>43998</v>
      </c>
      <c r="E2168" s="81">
        <v>43980</v>
      </c>
      <c r="F2168" s="86" t="s">
        <v>6647</v>
      </c>
      <c r="G2168" s="86" t="s">
        <v>152</v>
      </c>
      <c r="H2168" s="96" t="s">
        <v>213</v>
      </c>
      <c r="I2168" s="97" t="s">
        <v>722</v>
      </c>
      <c r="J2168" s="73">
        <f t="shared" si="238"/>
        <v>1</v>
      </c>
      <c r="K2168" s="260" t="s">
        <v>204</v>
      </c>
      <c r="L2168" s="97" t="s">
        <v>7358</v>
      </c>
      <c r="N2168" s="76" t="s">
        <v>17</v>
      </c>
      <c r="Q2168" s="76" t="s">
        <v>2142</v>
      </c>
      <c r="R2168" s="73">
        <f t="shared" si="239"/>
        <v>1</v>
      </c>
      <c r="S2168" s="260" t="s">
        <v>1976</v>
      </c>
      <c r="T2168" s="260" t="s">
        <v>925</v>
      </c>
      <c r="Y2168" s="566">
        <v>0.47836805555555556</v>
      </c>
      <c r="Z2168" s="566">
        <v>0.48496527777777776</v>
      </c>
      <c r="AA2168" s="566">
        <f t="shared" si="240"/>
        <v>6.5972222222221988E-3</v>
      </c>
      <c r="AB2168" s="699"/>
    </row>
    <row r="2169" spans="1:28" x14ac:dyDescent="0.3">
      <c r="A2169" s="79" t="s">
        <v>6586</v>
      </c>
      <c r="C2169" s="115">
        <v>43949</v>
      </c>
      <c r="D2169" s="312">
        <v>43998</v>
      </c>
      <c r="E2169" s="81">
        <v>43977</v>
      </c>
      <c r="F2169" s="86" t="s">
        <v>6649</v>
      </c>
      <c r="G2169" s="86" t="s">
        <v>154</v>
      </c>
      <c r="H2169" s="96" t="s">
        <v>213</v>
      </c>
      <c r="I2169" s="97" t="s">
        <v>714</v>
      </c>
      <c r="J2169" s="73">
        <f t="shared" si="238"/>
        <v>1</v>
      </c>
      <c r="K2169" s="260" t="s">
        <v>204</v>
      </c>
      <c r="L2169" s="97" t="s">
        <v>7318</v>
      </c>
      <c r="N2169" s="76" t="s">
        <v>17</v>
      </c>
      <c r="Q2169" s="76" t="s">
        <v>2076</v>
      </c>
      <c r="R2169" s="73">
        <f t="shared" si="239"/>
        <v>1</v>
      </c>
      <c r="S2169" s="260" t="s">
        <v>1976</v>
      </c>
      <c r="T2169" s="260" t="s">
        <v>924</v>
      </c>
      <c r="Y2169" s="566">
        <v>0.7612268518518519</v>
      </c>
      <c r="Z2169" s="566">
        <v>0.77052083333333332</v>
      </c>
      <c r="AA2169" s="566">
        <f t="shared" si="240"/>
        <v>9.293981481481417E-3</v>
      </c>
      <c r="AB2169" s="699"/>
    </row>
    <row r="2170" spans="1:28" x14ac:dyDescent="0.3">
      <c r="A2170" s="79" t="s">
        <v>6587</v>
      </c>
      <c r="C2170" s="115">
        <v>43949</v>
      </c>
      <c r="D2170" s="312">
        <v>43998</v>
      </c>
      <c r="E2170" s="81">
        <v>43978</v>
      </c>
      <c r="F2170" s="86" t="s">
        <v>6650</v>
      </c>
      <c r="G2170" s="86" t="s">
        <v>147</v>
      </c>
      <c r="H2170" s="96" t="s">
        <v>213</v>
      </c>
      <c r="I2170" s="97" t="s">
        <v>642</v>
      </c>
      <c r="J2170" s="73">
        <f t="shared" si="238"/>
        <v>1</v>
      </c>
      <c r="K2170" s="260" t="s">
        <v>204</v>
      </c>
      <c r="L2170" s="97" t="s">
        <v>7108</v>
      </c>
      <c r="N2170" s="76" t="s">
        <v>18</v>
      </c>
      <c r="Q2170" s="301" t="s">
        <v>2076</v>
      </c>
      <c r="R2170" s="73">
        <f t="shared" si="239"/>
        <v>1</v>
      </c>
      <c r="S2170" s="260" t="s">
        <v>1976</v>
      </c>
      <c r="T2170" s="260" t="s">
        <v>925</v>
      </c>
      <c r="Y2170" s="566">
        <v>0.65706018518518516</v>
      </c>
      <c r="Z2170" s="566">
        <v>0.68128472222222225</v>
      </c>
      <c r="AA2170" s="566">
        <f t="shared" si="240"/>
        <v>2.4224537037037086E-2</v>
      </c>
      <c r="AB2170" s="699"/>
    </row>
    <row r="2171" spans="1:28" x14ac:dyDescent="0.3">
      <c r="A2171" s="79" t="s">
        <v>6589</v>
      </c>
      <c r="C2171" s="115">
        <v>43949</v>
      </c>
      <c r="D2171" s="312">
        <v>43998</v>
      </c>
      <c r="E2171" s="81">
        <v>43977</v>
      </c>
      <c r="F2171" s="86" t="s">
        <v>6652</v>
      </c>
      <c r="G2171" s="86" t="s">
        <v>158</v>
      </c>
      <c r="H2171" s="96" t="s">
        <v>213</v>
      </c>
      <c r="I2171" s="97" t="s">
        <v>714</v>
      </c>
      <c r="J2171" s="73">
        <f t="shared" si="238"/>
        <v>1</v>
      </c>
      <c r="K2171" s="260" t="s">
        <v>204</v>
      </c>
      <c r="L2171" s="97" t="s">
        <v>7321</v>
      </c>
      <c r="N2171" s="76" t="s">
        <v>18</v>
      </c>
      <c r="Q2171" s="76" t="s">
        <v>2076</v>
      </c>
      <c r="R2171" s="73">
        <f t="shared" si="239"/>
        <v>1</v>
      </c>
      <c r="S2171" s="260" t="s">
        <v>1976</v>
      </c>
      <c r="T2171" s="260" t="s">
        <v>924</v>
      </c>
      <c r="X2171" s="301" t="s">
        <v>7347</v>
      </c>
      <c r="Y2171" s="566">
        <v>0.77737268518518521</v>
      </c>
      <c r="Z2171" s="566">
        <v>0.79115740740740748</v>
      </c>
      <c r="AA2171" s="566">
        <f t="shared" si="240"/>
        <v>1.3784722222222268E-2</v>
      </c>
      <c r="AB2171" s="699"/>
    </row>
    <row r="2172" spans="1:28" x14ac:dyDescent="0.3">
      <c r="A2172" s="79" t="s">
        <v>6596</v>
      </c>
      <c r="C2172" s="115">
        <v>43949</v>
      </c>
      <c r="D2172" s="312">
        <v>43998</v>
      </c>
      <c r="E2172" s="81">
        <v>43977</v>
      </c>
      <c r="F2172" s="86" t="s">
        <v>6659</v>
      </c>
      <c r="G2172" s="86" t="s">
        <v>152</v>
      </c>
      <c r="H2172" s="96" t="s">
        <v>213</v>
      </c>
      <c r="I2172" s="97" t="s">
        <v>714</v>
      </c>
      <c r="J2172" s="73">
        <f t="shared" si="238"/>
        <v>1</v>
      </c>
      <c r="K2172" s="260" t="s">
        <v>204</v>
      </c>
      <c r="L2172" s="97" t="s">
        <v>7323</v>
      </c>
      <c r="N2172" s="76" t="s">
        <v>18</v>
      </c>
      <c r="Q2172" s="76" t="s">
        <v>2076</v>
      </c>
      <c r="R2172" s="73">
        <f t="shared" si="239"/>
        <v>1</v>
      </c>
      <c r="S2172" s="260" t="s">
        <v>1976</v>
      </c>
      <c r="T2172" s="260" t="s">
        <v>925</v>
      </c>
      <c r="Y2172" s="566">
        <v>0.80524305555555553</v>
      </c>
      <c r="Z2172" s="566">
        <v>0.81864583333333341</v>
      </c>
      <c r="AA2172" s="566">
        <f t="shared" si="240"/>
        <v>1.3402777777777874E-2</v>
      </c>
      <c r="AB2172" s="699"/>
    </row>
    <row r="2173" spans="1:28" x14ac:dyDescent="0.3">
      <c r="A2173" s="79" t="s">
        <v>6604</v>
      </c>
      <c r="C2173" s="115">
        <v>43949</v>
      </c>
      <c r="D2173" s="312">
        <v>43998</v>
      </c>
      <c r="E2173" s="81">
        <v>43977</v>
      </c>
      <c r="F2173" s="86" t="s">
        <v>6667</v>
      </c>
      <c r="G2173" s="86" t="s">
        <v>156</v>
      </c>
      <c r="H2173" s="96" t="s">
        <v>213</v>
      </c>
      <c r="I2173" s="97" t="s">
        <v>642</v>
      </c>
      <c r="J2173" s="73">
        <f t="shared" si="238"/>
        <v>1</v>
      </c>
      <c r="K2173" s="260" t="s">
        <v>204</v>
      </c>
      <c r="L2173" s="97" t="s">
        <v>7066</v>
      </c>
      <c r="N2173" s="76" t="s">
        <v>18</v>
      </c>
      <c r="Q2173" s="76" t="s">
        <v>2076</v>
      </c>
      <c r="R2173" s="73">
        <f t="shared" si="239"/>
        <v>1</v>
      </c>
      <c r="S2173" s="260" t="s">
        <v>1976</v>
      </c>
      <c r="T2173" s="260" t="s">
        <v>923</v>
      </c>
      <c r="Y2173" s="566">
        <v>0.77093750000000005</v>
      </c>
      <c r="Z2173" s="566">
        <v>0.77701388888888889</v>
      </c>
      <c r="AA2173" s="566">
        <f t="shared" si="240"/>
        <v>6.0763888888888395E-3</v>
      </c>
      <c r="AB2173" s="699"/>
    </row>
    <row r="2174" spans="1:28" x14ac:dyDescent="0.3">
      <c r="A2174" s="79" t="s">
        <v>6859</v>
      </c>
      <c r="C2174" s="115">
        <v>43951</v>
      </c>
      <c r="D2174" s="312">
        <v>43998</v>
      </c>
      <c r="E2174" s="81">
        <v>43986</v>
      </c>
      <c r="F2174" s="86" t="s">
        <v>6979</v>
      </c>
      <c r="G2174" s="86" t="s">
        <v>158</v>
      </c>
      <c r="H2174" s="96" t="s">
        <v>213</v>
      </c>
      <c r="I2174" s="97" t="s">
        <v>642</v>
      </c>
      <c r="J2174" s="73">
        <f t="shared" si="238"/>
        <v>1</v>
      </c>
      <c r="K2174" s="74" t="s">
        <v>204</v>
      </c>
      <c r="L2174" s="97" t="s">
        <v>7568</v>
      </c>
      <c r="N2174" s="76" t="s">
        <v>17</v>
      </c>
      <c r="Q2174" s="76" t="s">
        <v>2076</v>
      </c>
      <c r="R2174" s="73">
        <f t="shared" si="239"/>
        <v>1</v>
      </c>
      <c r="S2174" s="260" t="s">
        <v>1976</v>
      </c>
      <c r="T2174" s="260" t="s">
        <v>923</v>
      </c>
      <c r="Y2174" s="566">
        <v>0.80003472222222216</v>
      </c>
      <c r="Z2174" s="566">
        <v>0.80574074074074076</v>
      </c>
      <c r="AA2174" s="566">
        <f t="shared" si="240"/>
        <v>5.7060185185185963E-3</v>
      </c>
      <c r="AB2174" s="699"/>
    </row>
    <row r="2175" spans="1:28" x14ac:dyDescent="0.3">
      <c r="A2175" s="79" t="s">
        <v>6874</v>
      </c>
      <c r="C2175" s="115">
        <v>43956</v>
      </c>
      <c r="D2175" s="312">
        <v>43983</v>
      </c>
      <c r="E2175" s="81">
        <v>43977</v>
      </c>
      <c r="F2175" s="86" t="s">
        <v>6994</v>
      </c>
      <c r="G2175" s="86" t="s">
        <v>158</v>
      </c>
      <c r="H2175" s="96" t="s">
        <v>213</v>
      </c>
      <c r="I2175" s="97" t="s">
        <v>1284</v>
      </c>
      <c r="J2175" s="73">
        <f t="shared" ref="J2175:J2181" si="241">IF(OR(K2175="Документы готовы",K2175="Запрос в ФО",K2175="ЭЗ",K2175="РЕШ",K2175="РЕШ шаблон"),0.1,IF(OR(K2175="ЭЗ согласование",K2175="РЕШ согласование"),0.3,IF(OR(K2175="ЭЗ согласовано",K2175="РЕШ согласовано",K2175="РЕШ подписано"),0.6,IF(OR(K2175="ЭЗ ПР согласование",K2175="РЕШ УВ согласование"),0.9,IF(OR(K2175="ЭЗ ПР DONE",K2175="РЕШ УВ DONE"),1,0)))))</f>
        <v>1</v>
      </c>
      <c r="K2175" s="260" t="s">
        <v>204</v>
      </c>
      <c r="L2175" s="97" t="s">
        <v>7326</v>
      </c>
      <c r="N2175" s="76" t="s">
        <v>19</v>
      </c>
      <c r="Q2175" s="76" t="s">
        <v>2109</v>
      </c>
      <c r="R2175" s="73">
        <f t="shared" ref="R2175:R2181" si="242">IF(S2175="В работе",0.3,IF(S2175="Отписано",0.6,IF(S2175="На доработку",0.9,IF(S2175="Согласовано",1,0))))</f>
        <v>1</v>
      </c>
      <c r="S2175" s="260" t="s">
        <v>1976</v>
      </c>
      <c r="T2175" s="260" t="s">
        <v>925</v>
      </c>
      <c r="U2175" s="301" t="s">
        <v>5283</v>
      </c>
      <c r="V2175" s="301" t="s">
        <v>7327</v>
      </c>
      <c r="Y2175" s="566">
        <v>0.87936342592592587</v>
      </c>
      <c r="Z2175" s="566">
        <v>0.89167824074074076</v>
      </c>
      <c r="AA2175" s="566">
        <f t="shared" ref="AA2175:AA2181" si="243">Z2175-Y2175</f>
        <v>1.2314814814814889E-2</v>
      </c>
      <c r="AB2175" s="699"/>
    </row>
    <row r="2176" spans="1:28" x14ac:dyDescent="0.3">
      <c r="A2176" s="79" t="s">
        <v>6913</v>
      </c>
      <c r="C2176" s="115">
        <v>43963</v>
      </c>
      <c r="D2176" s="312">
        <v>43984</v>
      </c>
      <c r="E2176" s="81">
        <v>43977</v>
      </c>
      <c r="F2176" s="86" t="s">
        <v>7032</v>
      </c>
      <c r="G2176" s="86" t="s">
        <v>154</v>
      </c>
      <c r="H2176" s="96" t="s">
        <v>213</v>
      </c>
      <c r="I2176" s="97" t="s">
        <v>649</v>
      </c>
      <c r="J2176" s="73">
        <f t="shared" si="241"/>
        <v>1</v>
      </c>
      <c r="K2176" s="260" t="s">
        <v>204</v>
      </c>
      <c r="L2176" s="97" t="s">
        <v>7325</v>
      </c>
      <c r="N2176" s="76" t="s">
        <v>17</v>
      </c>
      <c r="Q2176" s="76" t="s">
        <v>2109</v>
      </c>
      <c r="R2176" s="73">
        <f t="shared" si="242"/>
        <v>1</v>
      </c>
      <c r="S2176" s="260" t="s">
        <v>1976</v>
      </c>
      <c r="T2176" s="260" t="s">
        <v>923</v>
      </c>
      <c r="Y2176" s="566">
        <v>0.86885416666666659</v>
      </c>
      <c r="Z2176" s="566">
        <v>0.87912037037037039</v>
      </c>
      <c r="AA2176" s="566">
        <f t="shared" si="243"/>
        <v>1.0266203703703791E-2</v>
      </c>
      <c r="AB2176" s="699"/>
    </row>
    <row r="2177" spans="1:28" x14ac:dyDescent="0.3">
      <c r="A2177" s="79" t="s">
        <v>6923</v>
      </c>
      <c r="C2177" s="115">
        <v>43963</v>
      </c>
      <c r="D2177" s="312">
        <v>43984</v>
      </c>
      <c r="E2177" s="81">
        <v>43978</v>
      </c>
      <c r="F2177" s="86" t="s">
        <v>7042</v>
      </c>
      <c r="G2177" s="86" t="s">
        <v>147</v>
      </c>
      <c r="H2177" s="96" t="s">
        <v>213</v>
      </c>
      <c r="I2177" s="97" t="s">
        <v>649</v>
      </c>
      <c r="J2177" s="73">
        <f t="shared" si="241"/>
        <v>1</v>
      </c>
      <c r="K2177" s="260" t="s">
        <v>204</v>
      </c>
      <c r="L2177" s="97" t="s">
        <v>7092</v>
      </c>
      <c r="N2177" s="76" t="s">
        <v>18</v>
      </c>
      <c r="Q2177" s="76" t="s">
        <v>2109</v>
      </c>
      <c r="R2177" s="73">
        <f t="shared" si="242"/>
        <v>1</v>
      </c>
      <c r="S2177" s="260" t="s">
        <v>1976</v>
      </c>
      <c r="T2177" s="260" t="s">
        <v>923</v>
      </c>
      <c r="Y2177" s="566">
        <v>0.64564814814814808</v>
      </c>
      <c r="Z2177" s="566">
        <v>0.65570601851851851</v>
      </c>
      <c r="AA2177" s="566">
        <f t="shared" si="243"/>
        <v>1.0057870370370425E-2</v>
      </c>
      <c r="AB2177" s="699"/>
    </row>
    <row r="2178" spans="1:28" x14ac:dyDescent="0.3">
      <c r="A2178" s="79" t="s">
        <v>6926</v>
      </c>
      <c r="C2178" s="115">
        <v>43963</v>
      </c>
      <c r="D2178" s="312">
        <v>43984</v>
      </c>
      <c r="E2178" s="81">
        <v>43978</v>
      </c>
      <c r="F2178" s="86" t="s">
        <v>7045</v>
      </c>
      <c r="G2178" s="86" t="s">
        <v>166</v>
      </c>
      <c r="H2178" s="96" t="s">
        <v>213</v>
      </c>
      <c r="I2178" s="97" t="s">
        <v>649</v>
      </c>
      <c r="J2178" s="73">
        <f t="shared" si="241"/>
        <v>1</v>
      </c>
      <c r="K2178" s="260" t="s">
        <v>204</v>
      </c>
      <c r="L2178" s="97" t="s">
        <v>7065</v>
      </c>
      <c r="N2178" s="76" t="s">
        <v>17</v>
      </c>
      <c r="Q2178" s="76" t="s">
        <v>2109</v>
      </c>
      <c r="R2178" s="73">
        <f t="shared" si="242"/>
        <v>1</v>
      </c>
      <c r="S2178" s="260" t="s">
        <v>1976</v>
      </c>
      <c r="T2178" s="260" t="s">
        <v>924</v>
      </c>
      <c r="Y2178" s="566">
        <v>0.70109953703703709</v>
      </c>
      <c r="Z2178" s="566">
        <v>0.71326388888888881</v>
      </c>
      <c r="AA2178" s="566">
        <f t="shared" si="243"/>
        <v>1.2164351851851718E-2</v>
      </c>
      <c r="AB2178" s="699"/>
    </row>
    <row r="2179" spans="1:28" x14ac:dyDescent="0.3">
      <c r="A2179" s="79" t="s">
        <v>6927</v>
      </c>
      <c r="C2179" s="115">
        <v>43963</v>
      </c>
      <c r="D2179" s="312">
        <v>43985</v>
      </c>
      <c r="E2179" s="81">
        <v>43978</v>
      </c>
      <c r="F2179" s="86" t="s">
        <v>7046</v>
      </c>
      <c r="G2179" s="86" t="s">
        <v>158</v>
      </c>
      <c r="H2179" s="96" t="s">
        <v>213</v>
      </c>
      <c r="I2179" s="97" t="s">
        <v>649</v>
      </c>
      <c r="J2179" s="73">
        <f t="shared" si="241"/>
        <v>1</v>
      </c>
      <c r="K2179" s="260" t="s">
        <v>204</v>
      </c>
      <c r="L2179" s="97" t="s">
        <v>7060</v>
      </c>
      <c r="N2179" s="76" t="s">
        <v>17</v>
      </c>
      <c r="Q2179" s="76" t="s">
        <v>2109</v>
      </c>
      <c r="R2179" s="73">
        <f t="shared" si="242"/>
        <v>1</v>
      </c>
      <c r="S2179" s="260" t="s">
        <v>1976</v>
      </c>
      <c r="T2179" s="260" t="s">
        <v>925</v>
      </c>
      <c r="U2179" s="301" t="s">
        <v>5283</v>
      </c>
      <c r="V2179" s="301" t="s">
        <v>7339</v>
      </c>
      <c r="Y2179" s="566">
        <v>0.7895833333333333</v>
      </c>
      <c r="Z2179" s="566">
        <v>0.83223379629629635</v>
      </c>
      <c r="AA2179" s="566">
        <f t="shared" si="243"/>
        <v>4.2650462962963043E-2</v>
      </c>
      <c r="AB2179" s="699"/>
    </row>
    <row r="2180" spans="1:28" x14ac:dyDescent="0.3">
      <c r="A2180" s="79" t="s">
        <v>7123</v>
      </c>
      <c r="C2180" s="115">
        <v>43964</v>
      </c>
      <c r="D2180" s="312">
        <v>43986</v>
      </c>
      <c r="E2180" s="81">
        <v>43979</v>
      </c>
      <c r="F2180" s="86" t="s">
        <v>7212</v>
      </c>
      <c r="G2180" s="86" t="s">
        <v>181</v>
      </c>
      <c r="H2180" s="96" t="s">
        <v>213</v>
      </c>
      <c r="I2180" s="97" t="s">
        <v>995</v>
      </c>
      <c r="J2180" s="73">
        <f t="shared" si="241"/>
        <v>1</v>
      </c>
      <c r="K2180" s="260" t="s">
        <v>204</v>
      </c>
      <c r="L2180" s="97" t="s">
        <v>7073</v>
      </c>
      <c r="N2180" s="76" t="s">
        <v>19</v>
      </c>
      <c r="Q2180" s="76" t="s">
        <v>2109</v>
      </c>
      <c r="R2180" s="73">
        <f t="shared" si="242"/>
        <v>1</v>
      </c>
      <c r="S2180" s="260" t="s">
        <v>1976</v>
      </c>
      <c r="T2180" s="260" t="s">
        <v>923</v>
      </c>
      <c r="Y2180" s="566">
        <v>0.47917824074074072</v>
      </c>
      <c r="Z2180" s="566">
        <v>0.51437500000000003</v>
      </c>
      <c r="AA2180" s="566">
        <f t="shared" si="243"/>
        <v>3.5196759259259303E-2</v>
      </c>
      <c r="AB2180" s="699"/>
    </row>
    <row r="2181" spans="1:28" x14ac:dyDescent="0.3">
      <c r="A2181" s="96" t="s">
        <v>7124</v>
      </c>
      <c r="C2181" s="115">
        <v>43964</v>
      </c>
      <c r="D2181" s="614">
        <v>44001</v>
      </c>
      <c r="E2181" s="81">
        <v>43992</v>
      </c>
      <c r="F2181" s="86" t="s">
        <v>7213</v>
      </c>
      <c r="G2181" s="86" t="s">
        <v>152</v>
      </c>
      <c r="H2181" s="96" t="s">
        <v>213</v>
      </c>
      <c r="I2181" s="97" t="s">
        <v>4584</v>
      </c>
      <c r="J2181" s="73">
        <f t="shared" si="241"/>
        <v>1</v>
      </c>
      <c r="K2181" s="74" t="s">
        <v>204</v>
      </c>
      <c r="L2181" s="97" t="s">
        <v>7713</v>
      </c>
      <c r="N2181" s="76" t="s">
        <v>19</v>
      </c>
      <c r="Q2181" s="301" t="s">
        <v>2142</v>
      </c>
      <c r="R2181" s="73">
        <f t="shared" si="242"/>
        <v>1</v>
      </c>
      <c r="S2181" s="260" t="s">
        <v>1976</v>
      </c>
      <c r="T2181" s="260" t="s">
        <v>924</v>
      </c>
      <c r="U2181" s="301" t="s">
        <v>5283</v>
      </c>
      <c r="V2181" s="301" t="s">
        <v>7354</v>
      </c>
      <c r="Y2181" s="566">
        <v>0.85613425925925923</v>
      </c>
      <c r="Z2181" s="566">
        <v>0.9048842592592593</v>
      </c>
      <c r="AA2181" s="566">
        <f t="shared" si="243"/>
        <v>4.8750000000000071E-2</v>
      </c>
      <c r="AB2181" s="699"/>
    </row>
    <row r="2182" spans="1:28" x14ac:dyDescent="0.3">
      <c r="A2182" s="79" t="s">
        <v>6937</v>
      </c>
      <c r="C2182" s="115">
        <v>43964</v>
      </c>
      <c r="D2182" s="312">
        <v>43985</v>
      </c>
      <c r="E2182" s="81">
        <v>43978</v>
      </c>
      <c r="F2182" s="86" t="s">
        <v>7056</v>
      </c>
      <c r="G2182" s="86" t="s">
        <v>157</v>
      </c>
      <c r="H2182" s="96" t="s">
        <v>213</v>
      </c>
      <c r="I2182" s="97" t="s">
        <v>649</v>
      </c>
      <c r="J2182" s="73">
        <f t="shared" ref="J2182:J2198" si="244">IF(OR(K2182="Документы готовы",K2182="Запрос в ФО",K2182="ЭЗ",K2182="РЕШ",K2182="РЕШ шаблон"),0.1,IF(OR(K2182="ЭЗ согласование",K2182="РЕШ согласование"),0.3,IF(OR(K2182="ЭЗ согласовано",K2182="РЕШ согласовано",K2182="РЕШ подписано"),0.6,IF(OR(K2182="ЭЗ ПР согласование",K2182="РЕШ УВ согласование"),0.9,IF(OR(K2182="ЭЗ ПР DONE",K2182="РЕШ УВ DONE"),1,0)))))</f>
        <v>1</v>
      </c>
      <c r="K2182" s="260" t="s">
        <v>204</v>
      </c>
      <c r="L2182" s="97" t="s">
        <v>7060</v>
      </c>
      <c r="N2182" s="76" t="s">
        <v>17</v>
      </c>
      <c r="Q2182" s="76" t="s">
        <v>2142</v>
      </c>
      <c r="R2182" s="73">
        <f t="shared" ref="R2182:R2198" si="245">IF(S2182="В работе",0.3,IF(S2182="Отписано",0.6,IF(S2182="На доработку",0.9,IF(S2182="Согласовано",1,0))))</f>
        <v>1</v>
      </c>
      <c r="S2182" s="260" t="s">
        <v>1976</v>
      </c>
      <c r="T2182" s="260" t="s">
        <v>923</v>
      </c>
      <c r="Y2182" s="566">
        <v>0.40349537037037037</v>
      </c>
      <c r="Z2182" s="566">
        <v>0.41498842592592594</v>
      </c>
      <c r="AA2182" s="566">
        <f t="shared" ref="AA2182:AA2198" si="246">Z2182-Y2182</f>
        <v>1.1493055555555576E-2</v>
      </c>
      <c r="AB2182" s="699"/>
    </row>
    <row r="2183" spans="1:28" x14ac:dyDescent="0.3">
      <c r="A2183" s="79" t="s">
        <v>7125</v>
      </c>
      <c r="C2183" s="115">
        <v>43964</v>
      </c>
      <c r="D2183" s="312">
        <v>43986</v>
      </c>
      <c r="E2183" s="81">
        <v>43977</v>
      </c>
      <c r="F2183" s="86" t="s">
        <v>7214</v>
      </c>
      <c r="G2183" s="86" t="s">
        <v>147</v>
      </c>
      <c r="H2183" s="96" t="s">
        <v>213</v>
      </c>
      <c r="I2183" s="97" t="s">
        <v>649</v>
      </c>
      <c r="J2183" s="73">
        <f t="shared" si="244"/>
        <v>1</v>
      </c>
      <c r="K2183" s="260" t="s">
        <v>204</v>
      </c>
      <c r="L2183" s="97" t="s">
        <v>7311</v>
      </c>
      <c r="N2183" s="76" t="s">
        <v>18</v>
      </c>
      <c r="Q2183" s="76" t="s">
        <v>2417</v>
      </c>
      <c r="R2183" s="73">
        <f t="shared" si="245"/>
        <v>1</v>
      </c>
      <c r="S2183" s="260" t="s">
        <v>1976</v>
      </c>
      <c r="T2183" s="260" t="s">
        <v>925</v>
      </c>
      <c r="Y2183" s="566">
        <v>0.50113425925925925</v>
      </c>
      <c r="Z2183" s="566">
        <v>0.51055555555555554</v>
      </c>
      <c r="AA2183" s="566">
        <f t="shared" si="246"/>
        <v>9.4212962962962887E-3</v>
      </c>
      <c r="AB2183" s="699"/>
    </row>
    <row r="2184" spans="1:28" x14ac:dyDescent="0.3">
      <c r="A2184" s="79" t="s">
        <v>7127</v>
      </c>
      <c r="C2184" s="115">
        <v>43964</v>
      </c>
      <c r="D2184" s="312">
        <v>43986</v>
      </c>
      <c r="E2184" s="81">
        <v>43978</v>
      </c>
      <c r="F2184" s="86" t="s">
        <v>7216</v>
      </c>
      <c r="G2184" s="86" t="s">
        <v>150</v>
      </c>
      <c r="H2184" s="96" t="s">
        <v>213</v>
      </c>
      <c r="I2184" s="97" t="s">
        <v>722</v>
      </c>
      <c r="J2184" s="73">
        <f t="shared" si="244"/>
        <v>1</v>
      </c>
      <c r="K2184" s="260" t="s">
        <v>204</v>
      </c>
      <c r="L2184" s="97" t="s">
        <v>7080</v>
      </c>
      <c r="N2184" s="76" t="s">
        <v>18</v>
      </c>
      <c r="Q2184" s="76" t="s">
        <v>2417</v>
      </c>
      <c r="R2184" s="73">
        <f t="shared" si="245"/>
        <v>1</v>
      </c>
      <c r="S2184" s="260" t="s">
        <v>1976</v>
      </c>
      <c r="T2184" s="260" t="s">
        <v>925</v>
      </c>
      <c r="Y2184" s="566">
        <v>0.833125</v>
      </c>
      <c r="Z2184" s="566">
        <v>0.83966435185185195</v>
      </c>
      <c r="AA2184" s="566">
        <f t="shared" si="246"/>
        <v>6.5393518518519489E-3</v>
      </c>
      <c r="AB2184" s="699"/>
    </row>
    <row r="2185" spans="1:28" x14ac:dyDescent="0.3">
      <c r="A2185" s="79" t="s">
        <v>7128</v>
      </c>
      <c r="C2185" s="115">
        <v>43964</v>
      </c>
      <c r="D2185" s="312">
        <v>43986</v>
      </c>
      <c r="E2185" s="81">
        <v>43983</v>
      </c>
      <c r="F2185" s="86" t="s">
        <v>7217</v>
      </c>
      <c r="G2185" s="86" t="s">
        <v>733</v>
      </c>
      <c r="H2185" s="79" t="s">
        <v>268</v>
      </c>
      <c r="I2185" s="97" t="s">
        <v>649</v>
      </c>
      <c r="J2185" s="73">
        <f t="shared" si="244"/>
        <v>1</v>
      </c>
      <c r="K2185" s="74" t="s">
        <v>204</v>
      </c>
      <c r="L2185" s="97" t="s">
        <v>7369</v>
      </c>
      <c r="N2185" s="76" t="s">
        <v>17</v>
      </c>
      <c r="Q2185" s="76" t="s">
        <v>2142</v>
      </c>
      <c r="R2185" s="73">
        <f t="shared" si="245"/>
        <v>1</v>
      </c>
      <c r="S2185" s="260" t="s">
        <v>1976</v>
      </c>
      <c r="T2185" s="260" t="s">
        <v>924</v>
      </c>
      <c r="Y2185" s="566">
        <v>0.45049768518518518</v>
      </c>
      <c r="Z2185" s="566">
        <v>0.47695601851851849</v>
      </c>
      <c r="AA2185" s="566">
        <f t="shared" si="246"/>
        <v>2.6458333333333306E-2</v>
      </c>
      <c r="AB2185" s="699"/>
    </row>
    <row r="2186" spans="1:28" x14ac:dyDescent="0.3">
      <c r="A2186" s="96" t="s">
        <v>7129</v>
      </c>
      <c r="C2186" s="115">
        <v>43964</v>
      </c>
      <c r="D2186" s="312">
        <v>43986</v>
      </c>
      <c r="E2186" s="81">
        <v>43984</v>
      </c>
      <c r="F2186" s="86" t="s">
        <v>7218</v>
      </c>
      <c r="G2186" s="86" t="s">
        <v>150</v>
      </c>
      <c r="H2186" s="96" t="s">
        <v>213</v>
      </c>
      <c r="I2186" s="97" t="s">
        <v>657</v>
      </c>
      <c r="J2186" s="73">
        <f t="shared" si="244"/>
        <v>1</v>
      </c>
      <c r="K2186" s="74" t="s">
        <v>204</v>
      </c>
      <c r="L2186" s="97" t="s">
        <v>7534</v>
      </c>
      <c r="N2186" s="76" t="s">
        <v>17</v>
      </c>
      <c r="Q2186" s="76" t="s">
        <v>2142</v>
      </c>
      <c r="R2186" s="73">
        <f t="shared" si="245"/>
        <v>1</v>
      </c>
      <c r="S2186" s="260" t="s">
        <v>1976</v>
      </c>
      <c r="T2186" s="260" t="s">
        <v>923</v>
      </c>
      <c r="Y2186" s="566">
        <v>0.7621296296296296</v>
      </c>
      <c r="Z2186" s="566">
        <v>0.77863425925925922</v>
      </c>
      <c r="AA2186" s="566">
        <f t="shared" si="246"/>
        <v>1.6504629629629619E-2</v>
      </c>
      <c r="AB2186" s="699" t="s">
        <v>7362</v>
      </c>
    </row>
    <row r="2187" spans="1:28" x14ac:dyDescent="0.3">
      <c r="A2187" s="79" t="s">
        <v>7130</v>
      </c>
      <c r="C2187" s="115">
        <v>43964</v>
      </c>
      <c r="D2187" s="312">
        <v>43986</v>
      </c>
      <c r="E2187" s="81">
        <v>43977</v>
      </c>
      <c r="F2187" s="86" t="s">
        <v>7219</v>
      </c>
      <c r="G2187" s="86" t="s">
        <v>152</v>
      </c>
      <c r="H2187" s="96" t="s">
        <v>213</v>
      </c>
      <c r="I2187" s="97" t="s">
        <v>649</v>
      </c>
      <c r="J2187" s="73">
        <f t="shared" si="244"/>
        <v>1</v>
      </c>
      <c r="K2187" s="260" t="s">
        <v>204</v>
      </c>
      <c r="L2187" s="97" t="s">
        <v>7329</v>
      </c>
      <c r="N2187" s="76" t="s">
        <v>18</v>
      </c>
      <c r="Q2187" s="76" t="s">
        <v>2037</v>
      </c>
      <c r="R2187" s="73">
        <f t="shared" si="245"/>
        <v>1</v>
      </c>
      <c r="S2187" s="260" t="s">
        <v>1976</v>
      </c>
      <c r="T2187" s="260" t="s">
        <v>924</v>
      </c>
      <c r="Y2187" s="566">
        <v>0.92835648148148142</v>
      </c>
      <c r="Z2187" s="566">
        <v>0.93879629629629635</v>
      </c>
      <c r="AA2187" s="566">
        <f t="shared" si="246"/>
        <v>1.0439814814814929E-2</v>
      </c>
      <c r="AB2187" s="699"/>
    </row>
    <row r="2188" spans="1:28" x14ac:dyDescent="0.3">
      <c r="A2188" s="79" t="s">
        <v>7133</v>
      </c>
      <c r="C2188" s="115">
        <v>43964</v>
      </c>
      <c r="D2188" s="312">
        <v>43986</v>
      </c>
      <c r="E2188" s="81">
        <v>43979</v>
      </c>
      <c r="F2188" s="86" t="s">
        <v>7222</v>
      </c>
      <c r="G2188" s="86" t="s">
        <v>158</v>
      </c>
      <c r="H2188" s="96" t="s">
        <v>213</v>
      </c>
      <c r="I2188" s="97" t="s">
        <v>649</v>
      </c>
      <c r="J2188" s="73">
        <f t="shared" si="244"/>
        <v>1</v>
      </c>
      <c r="K2188" s="260" t="s">
        <v>204</v>
      </c>
      <c r="L2188" s="97" t="s">
        <v>7060</v>
      </c>
      <c r="N2188" s="76" t="s">
        <v>17</v>
      </c>
      <c r="Q2188" s="76" t="s">
        <v>2076</v>
      </c>
      <c r="R2188" s="73">
        <f t="shared" si="245"/>
        <v>1</v>
      </c>
      <c r="S2188" s="260" t="s">
        <v>1976</v>
      </c>
      <c r="T2188" s="260" t="s">
        <v>925</v>
      </c>
      <c r="U2188" s="301" t="s">
        <v>5283</v>
      </c>
      <c r="V2188" s="301" t="s">
        <v>6725</v>
      </c>
      <c r="Y2188" s="566">
        <v>0.93513888888888896</v>
      </c>
      <c r="Z2188" s="566">
        <v>0.95042824074074073</v>
      </c>
      <c r="AA2188" s="566">
        <f t="shared" si="246"/>
        <v>1.5289351851851762E-2</v>
      </c>
      <c r="AB2188" s="699"/>
    </row>
    <row r="2189" spans="1:28" x14ac:dyDescent="0.3">
      <c r="A2189" s="79" t="s">
        <v>7136</v>
      </c>
      <c r="C2189" s="115">
        <v>43965</v>
      </c>
      <c r="D2189" s="312">
        <v>43987</v>
      </c>
      <c r="E2189" s="81">
        <v>43978</v>
      </c>
      <c r="F2189" s="86" t="s">
        <v>7225</v>
      </c>
      <c r="G2189" s="86" t="s">
        <v>154</v>
      </c>
      <c r="H2189" s="96" t="s">
        <v>213</v>
      </c>
      <c r="I2189" s="97" t="s">
        <v>972</v>
      </c>
      <c r="J2189" s="73">
        <f t="shared" si="244"/>
        <v>1</v>
      </c>
      <c r="K2189" s="260" t="s">
        <v>204</v>
      </c>
      <c r="L2189" s="97" t="s">
        <v>7338</v>
      </c>
      <c r="N2189" s="76" t="s">
        <v>17</v>
      </c>
      <c r="Q2189" s="76" t="s">
        <v>2076</v>
      </c>
      <c r="R2189" s="73">
        <f t="shared" si="245"/>
        <v>1</v>
      </c>
      <c r="S2189" s="260" t="s">
        <v>1976</v>
      </c>
      <c r="T2189" s="260" t="s">
        <v>925</v>
      </c>
      <c r="Y2189" s="566">
        <v>0.68774305555555559</v>
      </c>
      <c r="Z2189" s="566">
        <v>0.69890046296296304</v>
      </c>
      <c r="AA2189" s="566">
        <f t="shared" si="246"/>
        <v>1.1157407407407449E-2</v>
      </c>
      <c r="AB2189" s="699"/>
    </row>
    <row r="2190" spans="1:28" x14ac:dyDescent="0.3">
      <c r="A2190" s="79" t="s">
        <v>7143</v>
      </c>
      <c r="C2190" s="115">
        <v>43966</v>
      </c>
      <c r="D2190" s="312">
        <v>43990</v>
      </c>
      <c r="E2190" s="81">
        <v>43983</v>
      </c>
      <c r="F2190" s="86" t="s">
        <v>7232</v>
      </c>
      <c r="G2190" s="86" t="s">
        <v>156</v>
      </c>
      <c r="H2190" s="96" t="s">
        <v>213</v>
      </c>
      <c r="I2190" s="97" t="s">
        <v>649</v>
      </c>
      <c r="J2190" s="73">
        <f t="shared" si="244"/>
        <v>1</v>
      </c>
      <c r="K2190" s="74" t="s">
        <v>204</v>
      </c>
      <c r="L2190" s="97" t="s">
        <v>7089</v>
      </c>
      <c r="N2190" s="76" t="s">
        <v>18</v>
      </c>
      <c r="Q2190" s="76" t="s">
        <v>2142</v>
      </c>
      <c r="R2190" s="73">
        <f t="shared" si="245"/>
        <v>1</v>
      </c>
      <c r="S2190" s="260" t="s">
        <v>1976</v>
      </c>
      <c r="T2190" s="260" t="s">
        <v>923</v>
      </c>
      <c r="Y2190" s="566">
        <v>0.84767361111111106</v>
      </c>
      <c r="Z2190" s="566">
        <v>0.85215277777777787</v>
      </c>
      <c r="AA2190" s="566">
        <f t="shared" si="246"/>
        <v>4.4791666666668117E-3</v>
      </c>
      <c r="AB2190" s="699" t="s">
        <v>7361</v>
      </c>
    </row>
    <row r="2191" spans="1:28" x14ac:dyDescent="0.3">
      <c r="A2191" s="79" t="s">
        <v>7145</v>
      </c>
      <c r="C2191" s="115">
        <v>43966</v>
      </c>
      <c r="D2191" s="312">
        <v>43990</v>
      </c>
      <c r="E2191" s="81">
        <v>43983</v>
      </c>
      <c r="F2191" s="86" t="s">
        <v>7234</v>
      </c>
      <c r="G2191" s="86" t="s">
        <v>150</v>
      </c>
      <c r="H2191" s="96" t="s">
        <v>213</v>
      </c>
      <c r="I2191" s="97" t="s">
        <v>3642</v>
      </c>
      <c r="J2191" s="73">
        <f t="shared" si="244"/>
        <v>1</v>
      </c>
      <c r="K2191" s="74" t="s">
        <v>204</v>
      </c>
      <c r="L2191" s="97" t="s">
        <v>7073</v>
      </c>
      <c r="N2191" s="76" t="s">
        <v>19</v>
      </c>
      <c r="Q2191" s="76" t="s">
        <v>2142</v>
      </c>
      <c r="R2191" s="73">
        <f t="shared" si="245"/>
        <v>1</v>
      </c>
      <c r="S2191" s="260" t="s">
        <v>1976</v>
      </c>
      <c r="T2191" s="260" t="s">
        <v>925</v>
      </c>
      <c r="Y2191" s="566">
        <v>0.85251157407407396</v>
      </c>
      <c r="Z2191" s="566">
        <v>0.8595949074074074</v>
      </c>
      <c r="AA2191" s="566">
        <f t="shared" si="246"/>
        <v>7.0833333333334414E-3</v>
      </c>
      <c r="AB2191" s="699"/>
    </row>
    <row r="2192" spans="1:28" x14ac:dyDescent="0.3">
      <c r="A2192" s="79" t="s">
        <v>7146</v>
      </c>
      <c r="C2192" s="115">
        <v>43966</v>
      </c>
      <c r="D2192" s="312">
        <v>43990</v>
      </c>
      <c r="E2192" s="81">
        <v>43977</v>
      </c>
      <c r="F2192" s="86" t="s">
        <v>7235</v>
      </c>
      <c r="G2192" s="86" t="s">
        <v>152</v>
      </c>
      <c r="H2192" s="96" t="s">
        <v>213</v>
      </c>
      <c r="I2192" s="97" t="s">
        <v>1113</v>
      </c>
      <c r="J2192" s="73">
        <f t="shared" si="244"/>
        <v>1</v>
      </c>
      <c r="K2192" s="260" t="s">
        <v>204</v>
      </c>
      <c r="L2192" s="97" t="s">
        <v>7104</v>
      </c>
      <c r="N2192" s="76" t="s">
        <v>18</v>
      </c>
      <c r="Q2192" s="76" t="s">
        <v>2417</v>
      </c>
      <c r="R2192" s="73">
        <f t="shared" si="245"/>
        <v>1</v>
      </c>
      <c r="S2192" s="260" t="s">
        <v>1976</v>
      </c>
      <c r="T2192" s="260" t="s">
        <v>925</v>
      </c>
      <c r="Y2192" s="566">
        <v>0.65777777777777779</v>
      </c>
      <c r="Z2192" s="566">
        <v>0.66341435185185182</v>
      </c>
      <c r="AA2192" s="566">
        <f t="shared" si="246"/>
        <v>5.63657407407403E-3</v>
      </c>
      <c r="AB2192" s="699"/>
    </row>
    <row r="2193" spans="1:28" x14ac:dyDescent="0.3">
      <c r="A2193" s="79" t="s">
        <v>7147</v>
      </c>
      <c r="C2193" s="115">
        <v>43966</v>
      </c>
      <c r="D2193" s="312">
        <v>43987</v>
      </c>
      <c r="E2193" s="81">
        <v>43977</v>
      </c>
      <c r="F2193" s="86" t="s">
        <v>7236</v>
      </c>
      <c r="G2193" s="86" t="s">
        <v>410</v>
      </c>
      <c r="H2193" s="96" t="s">
        <v>213</v>
      </c>
      <c r="I2193" s="97" t="s">
        <v>649</v>
      </c>
      <c r="J2193" s="73">
        <f t="shared" si="244"/>
        <v>1</v>
      </c>
      <c r="K2193" s="260" t="s">
        <v>204</v>
      </c>
      <c r="L2193" s="97" t="s">
        <v>7316</v>
      </c>
      <c r="N2193" s="76" t="s">
        <v>17</v>
      </c>
      <c r="Q2193" s="76" t="s">
        <v>2417</v>
      </c>
      <c r="R2193" s="73">
        <f t="shared" si="245"/>
        <v>1</v>
      </c>
      <c r="S2193" s="260" t="s">
        <v>1976</v>
      </c>
      <c r="T2193" s="260" t="s">
        <v>923</v>
      </c>
      <c r="Y2193" s="566">
        <v>0.66378472222222229</v>
      </c>
      <c r="Z2193" s="566">
        <v>0.67355324074074074</v>
      </c>
      <c r="AA2193" s="566">
        <f t="shared" si="246"/>
        <v>9.7685185185184542E-3</v>
      </c>
      <c r="AB2193" s="699"/>
    </row>
    <row r="2194" spans="1:28" x14ac:dyDescent="0.3">
      <c r="A2194" s="79" t="s">
        <v>7148</v>
      </c>
      <c r="C2194" s="115">
        <v>43966</v>
      </c>
      <c r="D2194" s="312">
        <v>43990</v>
      </c>
      <c r="E2194" s="81">
        <v>43983</v>
      </c>
      <c r="F2194" s="86" t="s">
        <v>7237</v>
      </c>
      <c r="G2194" s="86" t="s">
        <v>152</v>
      </c>
      <c r="H2194" s="96" t="s">
        <v>213</v>
      </c>
      <c r="I2194" s="97" t="s">
        <v>1113</v>
      </c>
      <c r="J2194" s="73">
        <f t="shared" si="244"/>
        <v>1</v>
      </c>
      <c r="K2194" s="74" t="s">
        <v>204</v>
      </c>
      <c r="L2194" s="97" t="s">
        <v>7104</v>
      </c>
      <c r="N2194" s="76" t="s">
        <v>18</v>
      </c>
      <c r="Q2194" s="76" t="s">
        <v>2037</v>
      </c>
      <c r="R2194" s="73">
        <f t="shared" si="245"/>
        <v>1</v>
      </c>
      <c r="S2194" s="260" t="s">
        <v>1976</v>
      </c>
      <c r="T2194" s="260" t="s">
        <v>925</v>
      </c>
      <c r="Y2194" s="566">
        <v>0.52906249999999999</v>
      </c>
      <c r="Z2194" s="566">
        <v>0.53490740740740739</v>
      </c>
      <c r="AA2194" s="566">
        <f t="shared" si="246"/>
        <v>5.8449074074073959E-3</v>
      </c>
      <c r="AB2194" s="699" t="s">
        <v>7361</v>
      </c>
    </row>
    <row r="2195" spans="1:28" x14ac:dyDescent="0.3">
      <c r="A2195" s="96" t="s">
        <v>7150</v>
      </c>
      <c r="C2195" s="115">
        <v>43966</v>
      </c>
      <c r="D2195" s="312">
        <v>43987</v>
      </c>
      <c r="E2195" s="81">
        <v>43983</v>
      </c>
      <c r="F2195" s="86" t="s">
        <v>7239</v>
      </c>
      <c r="G2195" s="86" t="s">
        <v>152</v>
      </c>
      <c r="H2195" s="79" t="s">
        <v>268</v>
      </c>
      <c r="I2195" s="97" t="s">
        <v>649</v>
      </c>
      <c r="J2195" s="73">
        <f t="shared" si="244"/>
        <v>1</v>
      </c>
      <c r="K2195" s="74" t="s">
        <v>204</v>
      </c>
      <c r="L2195" s="97" t="s">
        <v>7065</v>
      </c>
      <c r="N2195" s="76" t="s">
        <v>18</v>
      </c>
      <c r="Q2195" s="76" t="s">
        <v>2142</v>
      </c>
      <c r="R2195" s="73">
        <f t="shared" si="245"/>
        <v>1</v>
      </c>
      <c r="S2195" s="260" t="s">
        <v>1976</v>
      </c>
      <c r="T2195" s="260" t="s">
        <v>924</v>
      </c>
      <c r="U2195" s="301" t="s">
        <v>5283</v>
      </c>
      <c r="V2195" s="301" t="s">
        <v>7735</v>
      </c>
      <c r="Y2195" s="566">
        <v>0.6095370370370371</v>
      </c>
      <c r="Z2195" s="566">
        <v>0.62366898148148142</v>
      </c>
      <c r="AA2195" s="566">
        <f t="shared" si="246"/>
        <v>1.4131944444444322E-2</v>
      </c>
      <c r="AB2195" s="699"/>
    </row>
    <row r="2196" spans="1:28" x14ac:dyDescent="0.3">
      <c r="A2196" s="79" t="s">
        <v>7160</v>
      </c>
      <c r="C2196" s="115">
        <v>43969</v>
      </c>
      <c r="D2196" s="312">
        <v>43990</v>
      </c>
      <c r="E2196" s="81">
        <v>43977</v>
      </c>
      <c r="F2196" s="86" t="s">
        <v>7249</v>
      </c>
      <c r="G2196" s="86" t="s">
        <v>152</v>
      </c>
      <c r="H2196" s="96" t="s">
        <v>213</v>
      </c>
      <c r="I2196" s="97" t="s">
        <v>649</v>
      </c>
      <c r="J2196" s="73">
        <f t="shared" si="244"/>
        <v>1</v>
      </c>
      <c r="K2196" s="260" t="s">
        <v>204</v>
      </c>
      <c r="L2196" s="97" t="s">
        <v>7060</v>
      </c>
      <c r="N2196" s="76" t="s">
        <v>17</v>
      </c>
      <c r="Q2196" s="76" t="s">
        <v>2417</v>
      </c>
      <c r="R2196" s="73">
        <f t="shared" si="245"/>
        <v>1</v>
      </c>
      <c r="S2196" s="260" t="s">
        <v>1976</v>
      </c>
      <c r="T2196" s="260" t="s">
        <v>924</v>
      </c>
      <c r="Y2196" s="566">
        <v>0.69442129629629623</v>
      </c>
      <c r="Z2196" s="566">
        <v>0.70500000000000007</v>
      </c>
      <c r="AA2196" s="566">
        <f t="shared" si="246"/>
        <v>1.057870370370384E-2</v>
      </c>
      <c r="AB2196" s="699"/>
    </row>
    <row r="2197" spans="1:28" x14ac:dyDescent="0.3">
      <c r="A2197" s="79" t="s">
        <v>7165</v>
      </c>
      <c r="C2197" s="115">
        <v>43969</v>
      </c>
      <c r="D2197" s="312">
        <v>43991</v>
      </c>
      <c r="E2197" s="81">
        <v>43983</v>
      </c>
      <c r="F2197" s="86" t="s">
        <v>7254</v>
      </c>
      <c r="G2197" s="86" t="s">
        <v>154</v>
      </c>
      <c r="H2197" s="96" t="s">
        <v>213</v>
      </c>
      <c r="I2197" s="97" t="s">
        <v>649</v>
      </c>
      <c r="J2197" s="73">
        <f t="shared" si="244"/>
        <v>1</v>
      </c>
      <c r="K2197" s="74" t="s">
        <v>204</v>
      </c>
      <c r="L2197" s="97" t="s">
        <v>7376</v>
      </c>
      <c r="N2197" s="76" t="s">
        <v>17</v>
      </c>
      <c r="Q2197" s="76" t="s">
        <v>2037</v>
      </c>
      <c r="R2197" s="73">
        <f t="shared" si="245"/>
        <v>1</v>
      </c>
      <c r="S2197" s="260" t="s">
        <v>1976</v>
      </c>
      <c r="T2197" s="260" t="s">
        <v>925</v>
      </c>
      <c r="U2197" s="301" t="s">
        <v>5283</v>
      </c>
      <c r="V2197" s="301" t="s">
        <v>7377</v>
      </c>
      <c r="Y2197" s="566">
        <v>0.58917824074074077</v>
      </c>
      <c r="Z2197" s="566">
        <v>0.608912037037037</v>
      </c>
      <c r="AA2197" s="566">
        <f t="shared" si="246"/>
        <v>1.9733796296296235E-2</v>
      </c>
      <c r="AB2197" s="699"/>
    </row>
    <row r="2198" spans="1:28" x14ac:dyDescent="0.3">
      <c r="A2198" s="79" t="s">
        <v>7168</v>
      </c>
      <c r="C2198" s="115">
        <v>43969</v>
      </c>
      <c r="D2198" s="312">
        <v>43991</v>
      </c>
      <c r="E2198" s="81">
        <v>43984</v>
      </c>
      <c r="F2198" s="86" t="s">
        <v>7257</v>
      </c>
      <c r="G2198" s="86" t="s">
        <v>150</v>
      </c>
      <c r="H2198" s="96" t="s">
        <v>213</v>
      </c>
      <c r="I2198" s="97" t="s">
        <v>649</v>
      </c>
      <c r="J2198" s="73">
        <f t="shared" si="244"/>
        <v>1</v>
      </c>
      <c r="K2198" s="74" t="s">
        <v>204</v>
      </c>
      <c r="L2198" s="97" t="s">
        <v>7538</v>
      </c>
      <c r="N2198" s="76" t="s">
        <v>17</v>
      </c>
      <c r="Q2198" s="76" t="s">
        <v>2076</v>
      </c>
      <c r="R2198" s="73">
        <f t="shared" si="245"/>
        <v>1</v>
      </c>
      <c r="S2198" s="260" t="s">
        <v>1976</v>
      </c>
      <c r="T2198" s="260" t="s">
        <v>925</v>
      </c>
      <c r="U2198" s="301" t="s">
        <v>5283</v>
      </c>
      <c r="V2198" s="301" t="s">
        <v>7539</v>
      </c>
      <c r="Y2198" s="566">
        <v>0.82149305555555552</v>
      </c>
      <c r="Z2198" s="566">
        <v>0.83766203703703701</v>
      </c>
      <c r="AA2198" s="566">
        <f t="shared" si="246"/>
        <v>1.6168981481481493E-2</v>
      </c>
      <c r="AB2198" s="699"/>
    </row>
    <row r="2199" spans="1:28" x14ac:dyDescent="0.3">
      <c r="A2199" s="79" t="s">
        <v>7174</v>
      </c>
      <c r="C2199" s="115">
        <v>43969</v>
      </c>
      <c r="D2199" s="312">
        <v>43990</v>
      </c>
      <c r="E2199" s="81">
        <v>43984</v>
      </c>
      <c r="F2199" s="86" t="s">
        <v>7263</v>
      </c>
      <c r="G2199" s="86" t="s">
        <v>152</v>
      </c>
      <c r="H2199" s="96" t="s">
        <v>213</v>
      </c>
      <c r="I2199" s="97" t="s">
        <v>972</v>
      </c>
      <c r="J2199" s="73">
        <f t="shared" ref="J2199:J2222" si="247">IF(OR(K2199="Документы готовы",K2199="Запрос в ФО",K2199="ЭЗ",K2199="РЕШ",K2199="РЕШ шаблон"),0.1,IF(OR(K2199="ЭЗ согласование",K2199="РЕШ согласование"),0.3,IF(OR(K2199="ЭЗ согласовано",K2199="РЕШ согласовано",K2199="РЕШ подписано"),0.6,IF(OR(K2199="ЭЗ ПР согласование",K2199="РЕШ УВ согласование"),0.9,IF(OR(K2199="ЭЗ ПР DONE",K2199="РЕШ УВ DONE"),1,0)))))</f>
        <v>1</v>
      </c>
      <c r="K2199" s="74" t="s">
        <v>204</v>
      </c>
      <c r="L2199" s="97" t="s">
        <v>7531</v>
      </c>
      <c r="N2199" s="76" t="s">
        <v>19</v>
      </c>
      <c r="Q2199" s="301" t="s">
        <v>2142</v>
      </c>
      <c r="R2199" s="73">
        <f t="shared" ref="R2199:R2222" si="248">IF(S2199="В работе",0.3,IF(S2199="Отписано",0.6,IF(S2199="На доработку",0.9,IF(S2199="Согласовано",1,0))))</f>
        <v>1</v>
      </c>
      <c r="S2199" s="260" t="s">
        <v>1976</v>
      </c>
      <c r="T2199" s="260" t="s">
        <v>924</v>
      </c>
      <c r="Y2199" s="566">
        <v>0.63658564814814811</v>
      </c>
      <c r="Z2199" s="566">
        <v>0.68327546296296304</v>
      </c>
      <c r="AA2199" s="566">
        <f t="shared" ref="AA2199:AA2222" si="249">Z2199-Y2199</f>
        <v>4.6689814814814934E-2</v>
      </c>
      <c r="AB2199" s="699"/>
    </row>
    <row r="2200" spans="1:28" x14ac:dyDescent="0.3">
      <c r="A2200" s="79" t="s">
        <v>7178</v>
      </c>
      <c r="C2200" s="115">
        <v>43969</v>
      </c>
      <c r="D2200" s="312">
        <v>43991</v>
      </c>
      <c r="E2200" s="81">
        <v>43983</v>
      </c>
      <c r="F2200" s="86" t="s">
        <v>7267</v>
      </c>
      <c r="G2200" s="86" t="s">
        <v>166</v>
      </c>
      <c r="H2200" s="96" t="s">
        <v>213</v>
      </c>
      <c r="I2200" s="97" t="s">
        <v>649</v>
      </c>
      <c r="J2200" s="73">
        <f t="shared" si="247"/>
        <v>1</v>
      </c>
      <c r="K2200" s="74" t="s">
        <v>204</v>
      </c>
      <c r="L2200" s="97" t="s">
        <v>7089</v>
      </c>
      <c r="N2200" s="76" t="s">
        <v>17</v>
      </c>
      <c r="Q2200" s="76" t="s">
        <v>2037</v>
      </c>
      <c r="R2200" s="73">
        <f t="shared" si="248"/>
        <v>1</v>
      </c>
      <c r="S2200" s="260" t="s">
        <v>1976</v>
      </c>
      <c r="T2200" s="260" t="s">
        <v>924</v>
      </c>
      <c r="Y2200" s="566">
        <v>0.62408564814814815</v>
      </c>
      <c r="Z2200" s="566">
        <v>0.63091435185185185</v>
      </c>
      <c r="AA2200" s="566">
        <f t="shared" si="249"/>
        <v>6.8287037037036979E-3</v>
      </c>
      <c r="AB2200" s="699"/>
    </row>
    <row r="2201" spans="1:28" x14ac:dyDescent="0.3">
      <c r="A2201" s="96" t="s">
        <v>7181</v>
      </c>
      <c r="C2201" s="115">
        <v>43970</v>
      </c>
      <c r="D2201" s="312">
        <v>43992</v>
      </c>
      <c r="E2201" s="81">
        <v>43980</v>
      </c>
      <c r="F2201" s="86" t="s">
        <v>7270</v>
      </c>
      <c r="G2201" s="86" t="s">
        <v>150</v>
      </c>
      <c r="H2201" s="79" t="s">
        <v>268</v>
      </c>
      <c r="I2201" s="97" t="s">
        <v>649</v>
      </c>
      <c r="J2201" s="73">
        <f t="shared" si="247"/>
        <v>1</v>
      </c>
      <c r="K2201" s="260" t="s">
        <v>204</v>
      </c>
      <c r="L2201" s="97" t="s">
        <v>7366</v>
      </c>
      <c r="N2201" s="76" t="s">
        <v>18</v>
      </c>
      <c r="Q2201" s="76" t="s">
        <v>2076</v>
      </c>
      <c r="R2201" s="73">
        <f t="shared" si="248"/>
        <v>1</v>
      </c>
      <c r="S2201" s="260" t="s">
        <v>1976</v>
      </c>
      <c r="T2201" s="260" t="s">
        <v>923</v>
      </c>
      <c r="Y2201" s="566">
        <v>0.85319444444444448</v>
      </c>
      <c r="Z2201" s="566">
        <v>0.89167824074074076</v>
      </c>
      <c r="AA2201" s="566">
        <f t="shared" si="249"/>
        <v>3.848379629629628E-2</v>
      </c>
      <c r="AB2201" s="699" t="s">
        <v>7362</v>
      </c>
    </row>
    <row r="2202" spans="1:28" x14ac:dyDescent="0.3">
      <c r="A2202" s="79" t="s">
        <v>7183</v>
      </c>
      <c r="C2202" s="115">
        <v>43970</v>
      </c>
      <c r="D2202" s="312">
        <v>43992</v>
      </c>
      <c r="E2202" s="81">
        <v>43979</v>
      </c>
      <c r="F2202" s="86" t="s">
        <v>7272</v>
      </c>
      <c r="G2202" s="86" t="s">
        <v>152</v>
      </c>
      <c r="H2202" s="96" t="s">
        <v>213</v>
      </c>
      <c r="I2202" s="97" t="s">
        <v>1113</v>
      </c>
      <c r="J2202" s="73">
        <f t="shared" si="247"/>
        <v>1</v>
      </c>
      <c r="K2202" s="260" t="s">
        <v>204</v>
      </c>
      <c r="L2202" s="97" t="s">
        <v>7346</v>
      </c>
      <c r="N2202" s="76" t="s">
        <v>18</v>
      </c>
      <c r="Q2202" s="76" t="s">
        <v>2417</v>
      </c>
      <c r="R2202" s="73">
        <f t="shared" si="248"/>
        <v>1</v>
      </c>
      <c r="S2202" s="260" t="s">
        <v>1976</v>
      </c>
      <c r="T2202" s="260" t="s">
        <v>925</v>
      </c>
      <c r="Y2202" s="566">
        <v>0.45693287037037034</v>
      </c>
      <c r="Z2202" s="566">
        <v>0.46258101851851857</v>
      </c>
      <c r="AA2202" s="566">
        <f t="shared" si="249"/>
        <v>5.6481481481482354E-3</v>
      </c>
      <c r="AB2202" s="699"/>
    </row>
    <row r="2203" spans="1:28" x14ac:dyDescent="0.3">
      <c r="A2203" s="79" t="s">
        <v>7185</v>
      </c>
      <c r="C2203" s="115">
        <v>43970</v>
      </c>
      <c r="D2203" s="312">
        <v>43991</v>
      </c>
      <c r="E2203" s="81">
        <v>43980</v>
      </c>
      <c r="F2203" s="86" t="s">
        <v>7274</v>
      </c>
      <c r="G2203" s="86" t="s">
        <v>189</v>
      </c>
      <c r="H2203" s="96" t="s">
        <v>213</v>
      </c>
      <c r="I2203" s="97" t="s">
        <v>649</v>
      </c>
      <c r="J2203" s="73">
        <f t="shared" si="247"/>
        <v>1</v>
      </c>
      <c r="K2203" s="74" t="s">
        <v>204</v>
      </c>
      <c r="L2203" s="97" t="s">
        <v>7089</v>
      </c>
      <c r="N2203" s="76" t="s">
        <v>18</v>
      </c>
      <c r="Q2203" s="76" t="s">
        <v>2076</v>
      </c>
      <c r="R2203" s="73">
        <f t="shared" si="248"/>
        <v>1</v>
      </c>
      <c r="S2203" s="260" t="s">
        <v>1976</v>
      </c>
      <c r="T2203" s="260" t="s">
        <v>923</v>
      </c>
      <c r="U2203" s="301" t="s">
        <v>5283</v>
      </c>
      <c r="V2203" s="301" t="s">
        <v>6725</v>
      </c>
      <c r="Y2203" s="566">
        <v>0.84430555555555553</v>
      </c>
      <c r="Z2203" s="566">
        <v>0.85281250000000008</v>
      </c>
      <c r="AA2203" s="566">
        <f t="shared" si="249"/>
        <v>8.506944444444553E-3</v>
      </c>
      <c r="AB2203" s="699"/>
    </row>
    <row r="2204" spans="1:28" x14ac:dyDescent="0.3">
      <c r="A2204" s="79" t="s">
        <v>7189</v>
      </c>
      <c r="C2204" s="115">
        <v>43970</v>
      </c>
      <c r="D2204" s="312">
        <v>43992</v>
      </c>
      <c r="E2204" s="81">
        <v>43980</v>
      </c>
      <c r="F2204" s="86" t="s">
        <v>7278</v>
      </c>
      <c r="G2204" s="86" t="s">
        <v>156</v>
      </c>
      <c r="H2204" s="96" t="s">
        <v>213</v>
      </c>
      <c r="I2204" s="97" t="s">
        <v>649</v>
      </c>
      <c r="J2204" s="73">
        <f t="shared" si="247"/>
        <v>1</v>
      </c>
      <c r="K2204" s="74" t="s">
        <v>204</v>
      </c>
      <c r="L2204" s="97" t="s">
        <v>7089</v>
      </c>
      <c r="N2204" s="76" t="s">
        <v>17</v>
      </c>
      <c r="Q2204" s="76" t="s">
        <v>2076</v>
      </c>
      <c r="R2204" s="73">
        <f t="shared" si="248"/>
        <v>1</v>
      </c>
      <c r="S2204" s="260" t="s">
        <v>1976</v>
      </c>
      <c r="T2204" s="260" t="s">
        <v>925</v>
      </c>
      <c r="U2204" s="301" t="s">
        <v>5283</v>
      </c>
      <c r="V2204" s="301" t="s">
        <v>6725</v>
      </c>
      <c r="Y2204" s="566">
        <v>0.81668981481481484</v>
      </c>
      <c r="Z2204" s="566">
        <v>0.82768518518518519</v>
      </c>
      <c r="AA2204" s="566">
        <f t="shared" si="249"/>
        <v>1.099537037037035E-2</v>
      </c>
      <c r="AB2204" s="699"/>
    </row>
    <row r="2205" spans="1:28" x14ac:dyDescent="0.3">
      <c r="A2205" s="79" t="s">
        <v>7192</v>
      </c>
      <c r="C2205" s="115">
        <v>43970</v>
      </c>
      <c r="D2205" s="312">
        <v>43992</v>
      </c>
      <c r="E2205" s="81">
        <v>43980</v>
      </c>
      <c r="F2205" s="86" t="s">
        <v>7281</v>
      </c>
      <c r="G2205" s="86" t="s">
        <v>158</v>
      </c>
      <c r="H2205" s="96" t="s">
        <v>213</v>
      </c>
      <c r="I2205" s="97" t="s">
        <v>649</v>
      </c>
      <c r="J2205" s="73">
        <f t="shared" si="247"/>
        <v>1</v>
      </c>
      <c r="K2205" s="74" t="s">
        <v>204</v>
      </c>
      <c r="L2205" s="97" t="s">
        <v>7364</v>
      </c>
      <c r="N2205" s="76" t="s">
        <v>18</v>
      </c>
      <c r="Q2205" s="76" t="s">
        <v>2076</v>
      </c>
      <c r="R2205" s="73">
        <f t="shared" si="248"/>
        <v>1</v>
      </c>
      <c r="S2205" s="260" t="s">
        <v>1976</v>
      </c>
      <c r="T2205" s="260" t="s">
        <v>924</v>
      </c>
      <c r="U2205" s="301" t="s">
        <v>5283</v>
      </c>
      <c r="V2205" s="301" t="s">
        <v>7365</v>
      </c>
      <c r="Y2205" s="566">
        <v>0.82859953703703704</v>
      </c>
      <c r="Z2205" s="566">
        <v>0.84387731481481476</v>
      </c>
      <c r="AA2205" s="566">
        <f t="shared" si="249"/>
        <v>1.5277777777777724E-2</v>
      </c>
      <c r="AB2205" s="699"/>
    </row>
    <row r="2206" spans="1:28" x14ac:dyDescent="0.3">
      <c r="A2206" s="79" t="s">
        <v>7198</v>
      </c>
      <c r="C2206" s="115">
        <v>43971</v>
      </c>
      <c r="D2206" s="312">
        <v>43992</v>
      </c>
      <c r="E2206" s="81">
        <v>43979</v>
      </c>
      <c r="F2206" s="86" t="s">
        <v>7287</v>
      </c>
      <c r="G2206" s="86" t="s">
        <v>147</v>
      </c>
      <c r="H2206" s="96" t="s">
        <v>213</v>
      </c>
      <c r="I2206" s="97" t="s">
        <v>649</v>
      </c>
      <c r="J2206" s="73">
        <f t="shared" si="247"/>
        <v>1</v>
      </c>
      <c r="K2206" s="260" t="s">
        <v>204</v>
      </c>
      <c r="L2206" s="97" t="s">
        <v>7344</v>
      </c>
      <c r="N2206" s="76" t="s">
        <v>18</v>
      </c>
      <c r="Q2206" s="76" t="s">
        <v>2417</v>
      </c>
      <c r="R2206" s="73">
        <f t="shared" si="248"/>
        <v>1</v>
      </c>
      <c r="S2206" s="260" t="s">
        <v>1976</v>
      </c>
      <c r="T2206" s="260" t="s">
        <v>925</v>
      </c>
      <c r="U2206" s="301" t="s">
        <v>5283</v>
      </c>
      <c r="V2206" s="301" t="s">
        <v>7345</v>
      </c>
      <c r="Y2206" s="566">
        <v>0.44601851851851854</v>
      </c>
      <c r="Z2206" s="566">
        <v>0.45168981481481479</v>
      </c>
      <c r="AA2206" s="566">
        <f t="shared" si="249"/>
        <v>5.6712962962962576E-3</v>
      </c>
      <c r="AB2206" s="699"/>
    </row>
    <row r="2207" spans="1:28" x14ac:dyDescent="0.3">
      <c r="A2207" s="79" t="s">
        <v>7199</v>
      </c>
      <c r="C2207" s="115">
        <v>43971</v>
      </c>
      <c r="D2207" s="312">
        <v>43992</v>
      </c>
      <c r="E2207" s="81">
        <v>43983</v>
      </c>
      <c r="F2207" s="86" t="s">
        <v>7288</v>
      </c>
      <c r="G2207" s="86" t="s">
        <v>150</v>
      </c>
      <c r="H2207" s="96" t="s">
        <v>213</v>
      </c>
      <c r="I2207" s="97" t="s">
        <v>649</v>
      </c>
      <c r="J2207" s="73">
        <f t="shared" si="247"/>
        <v>1</v>
      </c>
      <c r="K2207" s="74" t="s">
        <v>204</v>
      </c>
      <c r="L2207" s="97" t="s">
        <v>7061</v>
      </c>
      <c r="N2207" s="76" t="s">
        <v>17</v>
      </c>
      <c r="Q2207" s="76" t="s">
        <v>2037</v>
      </c>
      <c r="R2207" s="73">
        <f t="shared" si="248"/>
        <v>1</v>
      </c>
      <c r="S2207" s="260" t="s">
        <v>1976</v>
      </c>
      <c r="T2207" s="260" t="s">
        <v>923</v>
      </c>
      <c r="U2207" s="301" t="s">
        <v>5283</v>
      </c>
      <c r="V2207" s="301" t="s">
        <v>7385</v>
      </c>
      <c r="Y2207" s="566">
        <v>0.87043981481481481</v>
      </c>
      <c r="Z2207" s="566">
        <v>0.88486111111111121</v>
      </c>
      <c r="AA2207" s="566">
        <f t="shared" si="249"/>
        <v>1.4421296296296404E-2</v>
      </c>
      <c r="AB2207" s="699"/>
    </row>
    <row r="2208" spans="1:28" x14ac:dyDescent="0.3">
      <c r="A2208" s="79" t="s">
        <v>7208</v>
      </c>
      <c r="C2208" s="115">
        <v>43972</v>
      </c>
      <c r="D2208" s="312">
        <v>43993</v>
      </c>
      <c r="E2208" s="81">
        <v>43980</v>
      </c>
      <c r="F2208" s="86" t="s">
        <v>7297</v>
      </c>
      <c r="G2208" s="86" t="s">
        <v>181</v>
      </c>
      <c r="H2208" s="96" t="s">
        <v>213</v>
      </c>
      <c r="I2208" s="97" t="s">
        <v>657</v>
      </c>
      <c r="J2208" s="73">
        <f t="shared" si="247"/>
        <v>1</v>
      </c>
      <c r="K2208" s="74" t="s">
        <v>204</v>
      </c>
      <c r="L2208" s="97" t="s">
        <v>7360</v>
      </c>
      <c r="N2208" s="76" t="s">
        <v>18</v>
      </c>
      <c r="Q2208" s="76" t="s">
        <v>2076</v>
      </c>
      <c r="R2208" s="73">
        <f t="shared" si="248"/>
        <v>1</v>
      </c>
      <c r="S2208" s="260" t="s">
        <v>1976</v>
      </c>
      <c r="T2208" s="260" t="s">
        <v>925</v>
      </c>
      <c r="U2208" s="301" t="s">
        <v>5283</v>
      </c>
      <c r="V2208" s="301" t="s">
        <v>7363</v>
      </c>
      <c r="Y2208" s="566">
        <v>0.74497685185185192</v>
      </c>
      <c r="Z2208" s="566">
        <v>0.81601851851851848</v>
      </c>
      <c r="AA2208" s="566">
        <f t="shared" si="249"/>
        <v>7.1041666666666559E-2</v>
      </c>
      <c r="AB2208" s="699" t="s">
        <v>7362</v>
      </c>
    </row>
    <row r="2209" spans="1:28" ht="43.2" x14ac:dyDescent="0.3">
      <c r="A2209" s="96" t="s">
        <v>7355</v>
      </c>
      <c r="C2209" s="81">
        <v>43948</v>
      </c>
      <c r="D2209" s="109">
        <v>43998</v>
      </c>
      <c r="E2209" s="81">
        <v>43980</v>
      </c>
      <c r="F2209" s="698" t="s">
        <v>7356</v>
      </c>
      <c r="G2209" s="97" t="s">
        <v>152</v>
      </c>
      <c r="H2209" s="96" t="s">
        <v>213</v>
      </c>
      <c r="I2209" s="97" t="s">
        <v>641</v>
      </c>
      <c r="J2209" s="73">
        <f t="shared" si="247"/>
        <v>1</v>
      </c>
      <c r="K2209" s="260" t="s">
        <v>204</v>
      </c>
      <c r="L2209" s="97" t="s">
        <v>7349</v>
      </c>
      <c r="N2209" s="76" t="s">
        <v>17</v>
      </c>
      <c r="Q2209" s="76" t="s">
        <v>2142</v>
      </c>
      <c r="R2209" s="73">
        <f t="shared" si="248"/>
        <v>1</v>
      </c>
      <c r="S2209" s="260" t="s">
        <v>1976</v>
      </c>
      <c r="T2209" s="260" t="s">
        <v>923</v>
      </c>
      <c r="Y2209" s="566">
        <v>0.46206018518518516</v>
      </c>
      <c r="Z2209" s="566">
        <v>0.47234953703703703</v>
      </c>
      <c r="AA2209" s="566">
        <f t="shared" si="249"/>
        <v>1.0289351851851869E-2</v>
      </c>
      <c r="AB2209" s="699"/>
    </row>
    <row r="2210" spans="1:28" x14ac:dyDescent="0.3">
      <c r="A2210" s="96" t="s">
        <v>7371</v>
      </c>
      <c r="C2210" s="81">
        <v>43937</v>
      </c>
      <c r="D2210" s="109">
        <v>43998</v>
      </c>
      <c r="E2210" s="81">
        <v>43983</v>
      </c>
      <c r="F2210" s="124" t="s">
        <v>7372</v>
      </c>
      <c r="G2210" s="97" t="s">
        <v>152</v>
      </c>
      <c r="H2210" s="96" t="s">
        <v>213</v>
      </c>
      <c r="I2210" s="97" t="s">
        <v>645</v>
      </c>
      <c r="J2210" s="73">
        <f t="shared" si="247"/>
        <v>1</v>
      </c>
      <c r="K2210" s="74" t="s">
        <v>204</v>
      </c>
      <c r="L2210" s="97" t="s">
        <v>7117</v>
      </c>
      <c r="N2210" s="76" t="s">
        <v>18</v>
      </c>
      <c r="Q2210" s="301" t="s">
        <v>2037</v>
      </c>
      <c r="R2210" s="73">
        <f t="shared" si="248"/>
        <v>1</v>
      </c>
      <c r="S2210" s="260" t="s">
        <v>1976</v>
      </c>
      <c r="T2210" s="260" t="s">
        <v>924</v>
      </c>
      <c r="Y2210" s="566">
        <v>0.49614583333333334</v>
      </c>
      <c r="Z2210" s="566">
        <v>0.50075231481481486</v>
      </c>
      <c r="AA2210" s="566">
        <f t="shared" si="249"/>
        <v>4.6064814814815169E-3</v>
      </c>
      <c r="AB2210" s="699" t="s">
        <v>7361</v>
      </c>
    </row>
    <row r="2211" spans="1:28" x14ac:dyDescent="0.3">
      <c r="A2211" s="79" t="s">
        <v>7386</v>
      </c>
      <c r="C2211" s="115">
        <v>43913</v>
      </c>
      <c r="D2211" s="312">
        <v>44000</v>
      </c>
      <c r="E2211" s="81">
        <v>43990</v>
      </c>
      <c r="F2211" s="86" t="s">
        <v>7454</v>
      </c>
      <c r="G2211" s="86" t="s">
        <v>164</v>
      </c>
      <c r="H2211" s="96" t="s">
        <v>213</v>
      </c>
      <c r="I2211" s="97" t="s">
        <v>649</v>
      </c>
      <c r="J2211" s="73">
        <f t="shared" si="247"/>
        <v>1</v>
      </c>
      <c r="K2211" s="74" t="s">
        <v>204</v>
      </c>
      <c r="L2211" s="97" t="s">
        <v>7621</v>
      </c>
      <c r="N2211" s="76" t="s">
        <v>17</v>
      </c>
      <c r="Q2211" s="76" t="s">
        <v>2076</v>
      </c>
      <c r="R2211" s="73">
        <f t="shared" si="248"/>
        <v>1</v>
      </c>
      <c r="S2211" s="260" t="s">
        <v>1976</v>
      </c>
      <c r="T2211" s="260" t="s">
        <v>923</v>
      </c>
      <c r="U2211" s="301" t="s">
        <v>5283</v>
      </c>
      <c r="V2211" s="301" t="s">
        <v>7585</v>
      </c>
      <c r="Y2211" s="566">
        <v>0.46325231481481483</v>
      </c>
      <c r="Z2211" s="566">
        <v>0.49532407407407408</v>
      </c>
      <c r="AA2211" s="566">
        <f t="shared" si="249"/>
        <v>3.2071759259259258E-2</v>
      </c>
      <c r="AB2211" s="699"/>
    </row>
    <row r="2212" spans="1:28" x14ac:dyDescent="0.3">
      <c r="A2212" s="79" t="s">
        <v>6164</v>
      </c>
      <c r="C2212" s="115">
        <v>43928</v>
      </c>
      <c r="D2212" s="312">
        <v>43998</v>
      </c>
      <c r="E2212" s="81">
        <v>43990</v>
      </c>
      <c r="F2212" s="86" t="s">
        <v>6288</v>
      </c>
      <c r="G2212" s="86" t="s">
        <v>1682</v>
      </c>
      <c r="H2212" s="96" t="s">
        <v>213</v>
      </c>
      <c r="I2212" s="97" t="s">
        <v>714</v>
      </c>
      <c r="J2212" s="73">
        <f t="shared" si="247"/>
        <v>1</v>
      </c>
      <c r="K2212" s="74" t="s">
        <v>204</v>
      </c>
      <c r="L2212" s="97" t="s">
        <v>7072</v>
      </c>
      <c r="N2212" s="76" t="s">
        <v>18</v>
      </c>
      <c r="Q2212" s="76" t="s">
        <v>2109</v>
      </c>
      <c r="R2212" s="73">
        <f t="shared" si="248"/>
        <v>1</v>
      </c>
      <c r="S2212" s="260" t="s">
        <v>1976</v>
      </c>
      <c r="T2212" s="260" t="s">
        <v>924</v>
      </c>
      <c r="Y2212" s="566">
        <v>0.43775462962962958</v>
      </c>
      <c r="Z2212" s="566">
        <v>0.44056712962962963</v>
      </c>
      <c r="AA2212" s="566">
        <f t="shared" si="249"/>
        <v>2.8125000000000511E-3</v>
      </c>
      <c r="AB2212" s="699"/>
    </row>
    <row r="2213" spans="1:28" x14ac:dyDescent="0.3">
      <c r="A2213" s="79" t="s">
        <v>6168</v>
      </c>
      <c r="C2213" s="115">
        <v>43928</v>
      </c>
      <c r="D2213" s="312">
        <v>43998</v>
      </c>
      <c r="E2213" s="81">
        <v>43990</v>
      </c>
      <c r="F2213" s="86" t="s">
        <v>6292</v>
      </c>
      <c r="G2213" s="86" t="s">
        <v>156</v>
      </c>
      <c r="H2213" s="96" t="s">
        <v>213</v>
      </c>
      <c r="I2213" s="97" t="s">
        <v>1635</v>
      </c>
      <c r="J2213" s="73">
        <f t="shared" si="247"/>
        <v>1</v>
      </c>
      <c r="K2213" s="74" t="s">
        <v>204</v>
      </c>
      <c r="L2213" s="97" t="s">
        <v>7719</v>
      </c>
      <c r="N2213" s="76" t="s">
        <v>17</v>
      </c>
      <c r="Q2213" s="76" t="s">
        <v>2109</v>
      </c>
      <c r="R2213" s="73">
        <f t="shared" si="248"/>
        <v>1</v>
      </c>
      <c r="S2213" s="260" t="s">
        <v>1976</v>
      </c>
      <c r="T2213" s="260" t="s">
        <v>924</v>
      </c>
      <c r="U2213" s="301"/>
      <c r="V2213" s="301"/>
      <c r="Y2213" s="566">
        <v>0.44081018518518517</v>
      </c>
      <c r="Z2213" s="566">
        <v>0.4524305555555555</v>
      </c>
      <c r="AA2213" s="566">
        <f t="shared" si="249"/>
        <v>1.1620370370370336E-2</v>
      </c>
      <c r="AB2213" s="699"/>
    </row>
    <row r="2214" spans="1:28" x14ac:dyDescent="0.3">
      <c r="A2214" s="79" t="s">
        <v>6172</v>
      </c>
      <c r="C2214" s="115">
        <v>43928</v>
      </c>
      <c r="D2214" s="312">
        <v>43998</v>
      </c>
      <c r="E2214" s="81">
        <v>43990</v>
      </c>
      <c r="F2214" s="86" t="s">
        <v>6296</v>
      </c>
      <c r="G2214" s="86" t="s">
        <v>147</v>
      </c>
      <c r="H2214" s="96" t="s">
        <v>213</v>
      </c>
      <c r="I2214" s="97" t="s">
        <v>642</v>
      </c>
      <c r="J2214" s="73">
        <f t="shared" si="247"/>
        <v>1</v>
      </c>
      <c r="K2214" s="74" t="s">
        <v>204</v>
      </c>
      <c r="L2214" s="97" t="s">
        <v>7110</v>
      </c>
      <c r="N2214" s="76" t="s">
        <v>18</v>
      </c>
      <c r="Q2214" s="76" t="s">
        <v>2109</v>
      </c>
      <c r="R2214" s="73">
        <f t="shared" si="248"/>
        <v>1</v>
      </c>
      <c r="S2214" s="260" t="s">
        <v>1976</v>
      </c>
      <c r="T2214" s="260" t="s">
        <v>923</v>
      </c>
      <c r="Y2214" s="566">
        <v>0.40733796296296299</v>
      </c>
      <c r="Z2214" s="566">
        <v>0.41130787037037037</v>
      </c>
      <c r="AA2214" s="566">
        <f t="shared" si="249"/>
        <v>3.9699074074073804E-3</v>
      </c>
      <c r="AB2214" s="699"/>
    </row>
    <row r="2215" spans="1:28" x14ac:dyDescent="0.3">
      <c r="A2215" s="79" t="s">
        <v>6827</v>
      </c>
      <c r="C2215" s="115">
        <v>43928</v>
      </c>
      <c r="D2215" s="312">
        <v>43998</v>
      </c>
      <c r="E2215" s="81">
        <v>43985</v>
      </c>
      <c r="F2215" s="86" t="s">
        <v>6947</v>
      </c>
      <c r="G2215" s="86" t="s">
        <v>166</v>
      </c>
      <c r="H2215" s="96" t="s">
        <v>213</v>
      </c>
      <c r="I2215" s="97" t="s">
        <v>714</v>
      </c>
      <c r="J2215" s="73">
        <f t="shared" si="247"/>
        <v>1</v>
      </c>
      <c r="K2215" s="74" t="s">
        <v>204</v>
      </c>
      <c r="L2215" s="97" t="s">
        <v>7336</v>
      </c>
      <c r="N2215" s="76" t="s">
        <v>17</v>
      </c>
      <c r="Q2215" s="76" t="s">
        <v>2076</v>
      </c>
      <c r="R2215" s="73">
        <f t="shared" si="248"/>
        <v>1</v>
      </c>
      <c r="S2215" s="260" t="s">
        <v>1976</v>
      </c>
      <c r="T2215" s="260" t="s">
        <v>924</v>
      </c>
      <c r="Y2215" s="566">
        <v>0.48473379629629632</v>
      </c>
      <c r="Z2215" s="566">
        <v>0.51918981481481474</v>
      </c>
      <c r="AA2215" s="566">
        <f t="shared" si="249"/>
        <v>3.4456018518518428E-2</v>
      </c>
      <c r="AB2215" s="699"/>
    </row>
    <row r="2216" spans="1:28" x14ac:dyDescent="0.3">
      <c r="A2216" s="79" t="s">
        <v>6829</v>
      </c>
      <c r="C2216" s="115">
        <v>43928</v>
      </c>
      <c r="D2216" s="312">
        <v>43998</v>
      </c>
      <c r="E2216" s="81">
        <v>43985</v>
      </c>
      <c r="F2216" s="86" t="s">
        <v>6949</v>
      </c>
      <c r="G2216" s="86" t="s">
        <v>156</v>
      </c>
      <c r="H2216" s="96" t="s">
        <v>213</v>
      </c>
      <c r="I2216" s="97" t="s">
        <v>642</v>
      </c>
      <c r="J2216" s="73">
        <f t="shared" si="247"/>
        <v>1</v>
      </c>
      <c r="K2216" s="74" t="s">
        <v>204</v>
      </c>
      <c r="L2216" s="97" t="s">
        <v>7110</v>
      </c>
      <c r="N2216" s="76" t="s">
        <v>18</v>
      </c>
      <c r="Q2216" s="76" t="s">
        <v>2076</v>
      </c>
      <c r="R2216" s="73">
        <f t="shared" si="248"/>
        <v>1</v>
      </c>
      <c r="S2216" s="260" t="s">
        <v>1976</v>
      </c>
      <c r="T2216" s="260" t="s">
        <v>923</v>
      </c>
      <c r="Y2216" s="566">
        <v>0.57371527777777775</v>
      </c>
      <c r="Z2216" s="566">
        <v>0.59502314814814816</v>
      </c>
      <c r="AA2216" s="566">
        <f t="shared" si="249"/>
        <v>2.1307870370370408E-2</v>
      </c>
      <c r="AB2216" s="699"/>
    </row>
    <row r="2217" spans="1:28" x14ac:dyDescent="0.3">
      <c r="A2217" s="79" t="s">
        <v>6181</v>
      </c>
      <c r="C2217" s="115">
        <v>43928</v>
      </c>
      <c r="D2217" s="312">
        <v>43998</v>
      </c>
      <c r="E2217" s="81">
        <v>43990</v>
      </c>
      <c r="F2217" s="86" t="s">
        <v>6305</v>
      </c>
      <c r="G2217" s="86" t="s">
        <v>410</v>
      </c>
      <c r="H2217" s="96" t="s">
        <v>213</v>
      </c>
      <c r="I2217" s="97" t="s">
        <v>641</v>
      </c>
      <c r="J2217" s="73">
        <f t="shared" si="247"/>
        <v>1</v>
      </c>
      <c r="K2217" s="74" t="s">
        <v>204</v>
      </c>
      <c r="L2217" s="97" t="s">
        <v>7072</v>
      </c>
      <c r="N2217" s="76" t="s">
        <v>17</v>
      </c>
      <c r="Q2217" s="76" t="s">
        <v>2109</v>
      </c>
      <c r="R2217" s="73">
        <f t="shared" si="248"/>
        <v>1</v>
      </c>
      <c r="S2217" s="260" t="s">
        <v>1976</v>
      </c>
      <c r="T2217" s="260" t="s">
        <v>924</v>
      </c>
      <c r="U2217" s="301" t="s">
        <v>5283</v>
      </c>
      <c r="V2217" s="301" t="s">
        <v>7583</v>
      </c>
      <c r="Y2217" s="566">
        <v>0.43027777777777776</v>
      </c>
      <c r="Z2217" s="566">
        <v>0.43740740740740741</v>
      </c>
      <c r="AA2217" s="566">
        <f t="shared" si="249"/>
        <v>7.1296296296296524E-3</v>
      </c>
      <c r="AB2217" s="699"/>
    </row>
    <row r="2218" spans="1:28" x14ac:dyDescent="0.3">
      <c r="A2218" s="79" t="s">
        <v>6186</v>
      </c>
      <c r="C2218" s="115">
        <v>43928</v>
      </c>
      <c r="D2218" s="312">
        <v>43998</v>
      </c>
      <c r="E2218" s="81">
        <v>43990</v>
      </c>
      <c r="F2218" s="86" t="s">
        <v>6310</v>
      </c>
      <c r="G2218" s="86" t="s">
        <v>172</v>
      </c>
      <c r="H2218" s="96" t="s">
        <v>213</v>
      </c>
      <c r="I2218" s="97" t="s">
        <v>714</v>
      </c>
      <c r="J2218" s="73">
        <f t="shared" si="247"/>
        <v>1</v>
      </c>
      <c r="K2218" s="74" t="s">
        <v>204</v>
      </c>
      <c r="L2218" s="97" t="s">
        <v>7071</v>
      </c>
      <c r="N2218" s="76" t="s">
        <v>18</v>
      </c>
      <c r="Q2218" s="76" t="s">
        <v>2109</v>
      </c>
      <c r="R2218" s="73">
        <f t="shared" si="248"/>
        <v>1</v>
      </c>
      <c r="S2218" s="260" t="s">
        <v>1976</v>
      </c>
      <c r="T2218" s="260" t="s">
        <v>924</v>
      </c>
      <c r="Y2218" s="566">
        <v>0.41172453703703704</v>
      </c>
      <c r="Z2218" s="566">
        <v>0.41572916666666665</v>
      </c>
      <c r="AA2218" s="566">
        <f t="shared" si="249"/>
        <v>4.004629629629608E-3</v>
      </c>
      <c r="AB2218" s="699"/>
    </row>
    <row r="2219" spans="1:28" x14ac:dyDescent="0.3">
      <c r="A2219" s="96" t="s">
        <v>6831</v>
      </c>
      <c r="C2219" s="115">
        <v>43928</v>
      </c>
      <c r="D2219" s="312">
        <v>43998</v>
      </c>
      <c r="E2219" s="81">
        <v>43985</v>
      </c>
      <c r="F2219" s="86" t="s">
        <v>6951</v>
      </c>
      <c r="G2219" s="86" t="s">
        <v>181</v>
      </c>
      <c r="H2219" s="96" t="s">
        <v>213</v>
      </c>
      <c r="I2219" s="97" t="s">
        <v>714</v>
      </c>
      <c r="J2219" s="73">
        <f t="shared" si="247"/>
        <v>1</v>
      </c>
      <c r="K2219" s="74" t="s">
        <v>204</v>
      </c>
      <c r="L2219" s="97" t="s">
        <v>7072</v>
      </c>
      <c r="N2219" s="76" t="s">
        <v>18</v>
      </c>
      <c r="Q2219" s="76" t="s">
        <v>2076</v>
      </c>
      <c r="R2219" s="73">
        <f t="shared" si="248"/>
        <v>1</v>
      </c>
      <c r="S2219" s="260" t="s">
        <v>1976</v>
      </c>
      <c r="T2219" s="260" t="s">
        <v>925</v>
      </c>
      <c r="U2219" s="301" t="s">
        <v>5283</v>
      </c>
      <c r="V2219" s="301" t="s">
        <v>7559</v>
      </c>
      <c r="Y2219" s="566">
        <v>0.74887731481481479</v>
      </c>
      <c r="Z2219" s="566">
        <v>0.75825231481481481</v>
      </c>
      <c r="AA2219" s="566">
        <f t="shared" si="249"/>
        <v>9.3750000000000222E-3</v>
      </c>
      <c r="AB2219" s="699"/>
    </row>
    <row r="2220" spans="1:28" x14ac:dyDescent="0.3">
      <c r="A2220" s="79" t="s">
        <v>6191</v>
      </c>
      <c r="C2220" s="115">
        <v>43928</v>
      </c>
      <c r="D2220" s="312">
        <v>43998</v>
      </c>
      <c r="E2220" s="81">
        <v>43990</v>
      </c>
      <c r="F2220" s="86" t="s">
        <v>6315</v>
      </c>
      <c r="G2220" s="86" t="s">
        <v>147</v>
      </c>
      <c r="H2220" s="96" t="s">
        <v>213</v>
      </c>
      <c r="I2220" s="97" t="s">
        <v>641</v>
      </c>
      <c r="J2220" s="73">
        <f t="shared" si="247"/>
        <v>1</v>
      </c>
      <c r="K2220" s="74" t="s">
        <v>204</v>
      </c>
      <c r="L2220" s="97" t="s">
        <v>7336</v>
      </c>
      <c r="N2220" s="76" t="s">
        <v>18</v>
      </c>
      <c r="Q2220" s="76" t="s">
        <v>2109</v>
      </c>
      <c r="R2220" s="73">
        <f t="shared" si="248"/>
        <v>1</v>
      </c>
      <c r="S2220" s="260" t="s">
        <v>1976</v>
      </c>
      <c r="T2220" s="260" t="s">
        <v>925</v>
      </c>
      <c r="Y2220" s="566">
        <v>0.41618055555555555</v>
      </c>
      <c r="Z2220" s="566">
        <v>0.4231712962962963</v>
      </c>
      <c r="AA2220" s="566">
        <f t="shared" si="249"/>
        <v>6.9907407407407418E-3</v>
      </c>
      <c r="AB2220" s="699"/>
    </row>
    <row r="2221" spans="1:28" x14ac:dyDescent="0.3">
      <c r="A2221" s="79" t="s">
        <v>6196</v>
      </c>
      <c r="C2221" s="115">
        <v>43928</v>
      </c>
      <c r="D2221" s="312">
        <v>43998</v>
      </c>
      <c r="E2221" s="81">
        <v>43990</v>
      </c>
      <c r="F2221" s="86" t="s">
        <v>6320</v>
      </c>
      <c r="G2221" s="86" t="s">
        <v>156</v>
      </c>
      <c r="H2221" s="96" t="s">
        <v>213</v>
      </c>
      <c r="I2221" s="97" t="s">
        <v>722</v>
      </c>
      <c r="J2221" s="73">
        <f t="shared" si="247"/>
        <v>1</v>
      </c>
      <c r="K2221" s="74" t="s">
        <v>204</v>
      </c>
      <c r="L2221" s="97" t="s">
        <v>7358</v>
      </c>
      <c r="N2221" s="76" t="s">
        <v>17</v>
      </c>
      <c r="Q2221" s="76" t="s">
        <v>2109</v>
      </c>
      <c r="R2221" s="73">
        <f t="shared" si="248"/>
        <v>1</v>
      </c>
      <c r="S2221" s="260" t="s">
        <v>1976</v>
      </c>
      <c r="T2221" s="260" t="s">
        <v>923</v>
      </c>
      <c r="Y2221" s="566">
        <v>0.42334490740740738</v>
      </c>
      <c r="Z2221" s="566">
        <v>0.43002314814814818</v>
      </c>
      <c r="AA2221" s="566">
        <f t="shared" si="249"/>
        <v>6.678240740740804E-3</v>
      </c>
      <c r="AB2221" s="699"/>
    </row>
    <row r="2222" spans="1:28" x14ac:dyDescent="0.3">
      <c r="A2222" s="79" t="s">
        <v>6200</v>
      </c>
      <c r="C2222" s="115">
        <v>43929</v>
      </c>
      <c r="D2222" s="312">
        <v>43998</v>
      </c>
      <c r="E2222" s="81">
        <v>43984</v>
      </c>
      <c r="F2222" s="86" t="s">
        <v>6324</v>
      </c>
      <c r="G2222" s="86" t="s">
        <v>172</v>
      </c>
      <c r="H2222" s="96" t="s">
        <v>213</v>
      </c>
      <c r="I2222" s="97" t="s">
        <v>755</v>
      </c>
      <c r="J2222" s="73">
        <f t="shared" si="247"/>
        <v>1</v>
      </c>
      <c r="K2222" s="74" t="s">
        <v>204</v>
      </c>
      <c r="L2222" s="97" t="s">
        <v>7522</v>
      </c>
      <c r="N2222" s="76" t="s">
        <v>17</v>
      </c>
      <c r="Q2222" s="76" t="s">
        <v>2037</v>
      </c>
      <c r="R2222" s="73">
        <f t="shared" si="248"/>
        <v>1</v>
      </c>
      <c r="S2222" s="260" t="s">
        <v>1976</v>
      </c>
      <c r="T2222" s="260" t="s">
        <v>924</v>
      </c>
      <c r="Y2222" s="566">
        <v>0.3973842592592593</v>
      </c>
      <c r="Z2222" s="566">
        <v>0.40843750000000001</v>
      </c>
      <c r="AA2222" s="566">
        <f t="shared" si="249"/>
        <v>1.1053240740740711E-2</v>
      </c>
      <c r="AB2222" s="699"/>
    </row>
    <row r="2223" spans="1:28" x14ac:dyDescent="0.3">
      <c r="A2223" s="79" t="s">
        <v>6211</v>
      </c>
      <c r="C2223" s="115">
        <v>43930</v>
      </c>
      <c r="D2223" s="312">
        <v>43998</v>
      </c>
      <c r="E2223" s="81">
        <v>43987</v>
      </c>
      <c r="F2223" s="86" t="s">
        <v>6336</v>
      </c>
      <c r="G2223" s="86" t="s">
        <v>147</v>
      </c>
      <c r="H2223" s="96" t="s">
        <v>213</v>
      </c>
      <c r="I2223" s="97" t="s">
        <v>642</v>
      </c>
      <c r="J2223" s="73">
        <f t="shared" ref="J2223:J2269" si="250">IF(OR(K2223="Документы готовы",K2223="Запрос в ФО",K2223="ЭЗ",K2223="РЕШ",K2223="РЕШ шаблон"),0.1,IF(OR(K2223="ЭЗ согласование",K2223="РЕШ согласование"),0.3,IF(OR(K2223="ЭЗ согласовано",K2223="РЕШ согласовано",K2223="РЕШ подписано"),0.6,IF(OR(K2223="ЭЗ ПР согласование",K2223="РЕШ УВ согласование"),0.9,IF(OR(K2223="ЭЗ ПР DONE",K2223="РЕШ УВ DONE"),1,0)))))</f>
        <v>1</v>
      </c>
      <c r="K2223" s="74" t="s">
        <v>204</v>
      </c>
      <c r="L2223" s="97" t="s">
        <v>7110</v>
      </c>
      <c r="N2223" s="76" t="s">
        <v>18</v>
      </c>
      <c r="Q2223" s="76" t="s">
        <v>2109</v>
      </c>
      <c r="R2223" s="73">
        <f t="shared" ref="R2223:R2269" si="251">IF(S2223="В работе",0.3,IF(S2223="Отписано",0.6,IF(S2223="На доработку",0.9,IF(S2223="Согласовано",1,0))))</f>
        <v>1</v>
      </c>
      <c r="S2223" s="260" t="s">
        <v>1976</v>
      </c>
      <c r="T2223" s="260" t="s">
        <v>925</v>
      </c>
      <c r="Y2223" s="566">
        <v>0.76834490740740735</v>
      </c>
      <c r="Z2223" s="566">
        <v>0.77527777777777773</v>
      </c>
      <c r="AA2223" s="566">
        <f t="shared" ref="AA2223:AA2269" si="252">Z2223-Y2223</f>
        <v>6.9328703703703809E-3</v>
      </c>
      <c r="AB2223" s="699"/>
    </row>
    <row r="2224" spans="1:28" x14ac:dyDescent="0.3">
      <c r="A2224" s="79" t="s">
        <v>6215</v>
      </c>
      <c r="C2224" s="115">
        <v>43930</v>
      </c>
      <c r="D2224" s="312">
        <v>43998</v>
      </c>
      <c r="E2224" s="81">
        <v>43990</v>
      </c>
      <c r="F2224" s="86" t="s">
        <v>6340</v>
      </c>
      <c r="G2224" s="86" t="s">
        <v>150</v>
      </c>
      <c r="H2224" s="96" t="s">
        <v>213</v>
      </c>
      <c r="I2224" s="97" t="s">
        <v>645</v>
      </c>
      <c r="J2224" s="73">
        <f t="shared" si="250"/>
        <v>1</v>
      </c>
      <c r="K2224" s="74" t="s">
        <v>204</v>
      </c>
      <c r="L2224" s="97" t="s">
        <v>7582</v>
      </c>
      <c r="N2224" s="76" t="s">
        <v>17</v>
      </c>
      <c r="Q2224" s="76" t="s">
        <v>2109</v>
      </c>
      <c r="R2224" s="73">
        <f t="shared" si="251"/>
        <v>1</v>
      </c>
      <c r="S2224" s="260" t="s">
        <v>1976</v>
      </c>
      <c r="T2224" s="260" t="s">
        <v>924</v>
      </c>
      <c r="X2224" s="301" t="s">
        <v>7711</v>
      </c>
      <c r="Y2224" s="566">
        <v>0.3964699074074074</v>
      </c>
      <c r="Z2224" s="566">
        <v>0.4070833333333333</v>
      </c>
      <c r="AA2224" s="566">
        <f t="shared" si="252"/>
        <v>1.0613425925925901E-2</v>
      </c>
      <c r="AB2224" s="699"/>
    </row>
    <row r="2225" spans="1:28" x14ac:dyDescent="0.3">
      <c r="A2225" s="79" t="s">
        <v>6217</v>
      </c>
      <c r="C2225" s="115">
        <v>43930</v>
      </c>
      <c r="D2225" s="312">
        <v>43998</v>
      </c>
      <c r="E2225" s="81">
        <v>43987</v>
      </c>
      <c r="F2225" s="86" t="s">
        <v>6342</v>
      </c>
      <c r="G2225" s="86" t="s">
        <v>154</v>
      </c>
      <c r="H2225" s="96" t="s">
        <v>213</v>
      </c>
      <c r="I2225" s="97" t="s">
        <v>4584</v>
      </c>
      <c r="J2225" s="73">
        <f t="shared" si="250"/>
        <v>1</v>
      </c>
      <c r="K2225" s="74" t="s">
        <v>204</v>
      </c>
      <c r="L2225" s="97" t="s">
        <v>7576</v>
      </c>
      <c r="N2225" s="76" t="s">
        <v>17</v>
      </c>
      <c r="Q2225" s="76" t="s">
        <v>2109</v>
      </c>
      <c r="R2225" s="73">
        <f t="shared" si="251"/>
        <v>1</v>
      </c>
      <c r="S2225" s="260" t="s">
        <v>1976</v>
      </c>
      <c r="T2225" s="260" t="s">
        <v>924</v>
      </c>
      <c r="Y2225" s="566">
        <v>0.74445601851851861</v>
      </c>
      <c r="Z2225" s="566">
        <v>0.75224537037037031</v>
      </c>
      <c r="AA2225" s="566">
        <f t="shared" si="252"/>
        <v>7.7893518518517002E-3</v>
      </c>
      <c r="AB2225" s="699"/>
    </row>
    <row r="2226" spans="1:28" x14ac:dyDescent="0.3">
      <c r="A2226" s="79" t="s">
        <v>6835</v>
      </c>
      <c r="C2226" s="115">
        <v>43931</v>
      </c>
      <c r="D2226" s="312">
        <v>43998</v>
      </c>
      <c r="E2226" s="81">
        <v>43984</v>
      </c>
      <c r="F2226" s="86" t="s">
        <v>6955</v>
      </c>
      <c r="G2226" s="86" t="s">
        <v>152</v>
      </c>
      <c r="H2226" s="96" t="s">
        <v>213</v>
      </c>
      <c r="I2226" s="97" t="s">
        <v>714</v>
      </c>
      <c r="J2226" s="73">
        <f t="shared" si="250"/>
        <v>1</v>
      </c>
      <c r="K2226" s="74" t="s">
        <v>204</v>
      </c>
      <c r="L2226" s="97" t="s">
        <v>7530</v>
      </c>
      <c r="N2226" s="76" t="s">
        <v>17</v>
      </c>
      <c r="Q2226" s="76" t="s">
        <v>2417</v>
      </c>
      <c r="R2226" s="73">
        <f t="shared" si="251"/>
        <v>1</v>
      </c>
      <c r="S2226" s="260" t="s">
        <v>1976</v>
      </c>
      <c r="T2226" s="260" t="s">
        <v>924</v>
      </c>
      <c r="Y2226" s="566">
        <v>0.61474537037037036</v>
      </c>
      <c r="Z2226" s="566">
        <v>0.62922453703703707</v>
      </c>
      <c r="AA2226" s="566">
        <f t="shared" si="252"/>
        <v>1.447916666666671E-2</v>
      </c>
      <c r="AB2226" s="699"/>
    </row>
    <row r="2227" spans="1:28" x14ac:dyDescent="0.3">
      <c r="A2227" s="79" t="s">
        <v>6409</v>
      </c>
      <c r="C2227" s="115">
        <v>43931</v>
      </c>
      <c r="D2227" s="312">
        <v>43998</v>
      </c>
      <c r="E2227" s="81">
        <v>43987</v>
      </c>
      <c r="F2227" s="86" t="s">
        <v>6436</v>
      </c>
      <c r="G2227" s="86" t="s">
        <v>147</v>
      </c>
      <c r="H2227" s="96" t="s">
        <v>213</v>
      </c>
      <c r="I2227" s="97" t="s">
        <v>714</v>
      </c>
      <c r="J2227" s="73">
        <f t="shared" si="250"/>
        <v>1</v>
      </c>
      <c r="K2227" s="74" t="s">
        <v>204</v>
      </c>
      <c r="L2227" s="97" t="s">
        <v>7071</v>
      </c>
      <c r="N2227" s="76" t="s">
        <v>17</v>
      </c>
      <c r="Q2227" s="76" t="s">
        <v>2109</v>
      </c>
      <c r="R2227" s="73">
        <f t="shared" si="251"/>
        <v>1</v>
      </c>
      <c r="S2227" s="260" t="s">
        <v>1976</v>
      </c>
      <c r="T2227" s="260" t="s">
        <v>923</v>
      </c>
      <c r="Y2227" s="566">
        <v>0.75261574074074078</v>
      </c>
      <c r="Z2227" s="566">
        <v>0.75813657407407409</v>
      </c>
      <c r="AA2227" s="566">
        <f t="shared" si="252"/>
        <v>5.5208333333333082E-3</v>
      </c>
      <c r="AB2227" s="699"/>
    </row>
    <row r="2228" spans="1:28" x14ac:dyDescent="0.3">
      <c r="A2228" s="79" t="s">
        <v>6837</v>
      </c>
      <c r="C2228" s="115">
        <v>43934</v>
      </c>
      <c r="D2228" s="312">
        <v>43998</v>
      </c>
      <c r="E2228" s="81">
        <v>43992</v>
      </c>
      <c r="F2228" s="86" t="s">
        <v>6957</v>
      </c>
      <c r="G2228" s="86" t="s">
        <v>189</v>
      </c>
      <c r="H2228" s="96" t="s">
        <v>213</v>
      </c>
      <c r="I2228" s="97" t="s">
        <v>714</v>
      </c>
      <c r="J2228" s="73">
        <f t="shared" si="250"/>
        <v>1</v>
      </c>
      <c r="K2228" s="74" t="s">
        <v>204</v>
      </c>
      <c r="L2228" s="97" t="s">
        <v>7072</v>
      </c>
      <c r="N2228" s="76" t="s">
        <v>18</v>
      </c>
      <c r="Q2228" s="76" t="s">
        <v>2109</v>
      </c>
      <c r="R2228" s="73">
        <f t="shared" si="251"/>
        <v>1</v>
      </c>
      <c r="S2228" s="260" t="s">
        <v>1976</v>
      </c>
      <c r="T2228" s="260" t="s">
        <v>923</v>
      </c>
      <c r="Y2228" s="566">
        <v>0.51288194444444446</v>
      </c>
      <c r="Z2228" s="566">
        <v>0.51631944444444444</v>
      </c>
      <c r="AA2228" s="566">
        <f t="shared" si="252"/>
        <v>3.4374999999999822E-3</v>
      </c>
      <c r="AB2228" s="699"/>
    </row>
    <row r="2229" spans="1:28" x14ac:dyDescent="0.3">
      <c r="A2229" s="79" t="s">
        <v>6838</v>
      </c>
      <c r="C2229" s="115">
        <v>43934</v>
      </c>
      <c r="D2229" s="312">
        <v>43998</v>
      </c>
      <c r="E2229" s="81">
        <v>43984</v>
      </c>
      <c r="F2229" s="86" t="s">
        <v>6958</v>
      </c>
      <c r="G2229" s="86" t="s">
        <v>410</v>
      </c>
      <c r="H2229" s="96" t="s">
        <v>213</v>
      </c>
      <c r="I2229" s="97" t="s">
        <v>714</v>
      </c>
      <c r="J2229" s="73">
        <f t="shared" si="250"/>
        <v>1</v>
      </c>
      <c r="K2229" s="74" t="s">
        <v>204</v>
      </c>
      <c r="L2229" s="97" t="s">
        <v>7072</v>
      </c>
      <c r="N2229" s="76" t="s">
        <v>17</v>
      </c>
      <c r="Q2229" s="76" t="s">
        <v>2417</v>
      </c>
      <c r="R2229" s="73">
        <f t="shared" si="251"/>
        <v>1</v>
      </c>
      <c r="S2229" s="260" t="s">
        <v>1976</v>
      </c>
      <c r="T2229" s="260" t="s">
        <v>923</v>
      </c>
      <c r="Y2229" s="566">
        <v>0.62993055555555555</v>
      </c>
      <c r="Z2229" s="566">
        <v>0.63620370370370372</v>
      </c>
      <c r="AA2229" s="566">
        <f t="shared" si="252"/>
        <v>6.2731481481481666E-3</v>
      </c>
      <c r="AB2229" s="699"/>
    </row>
    <row r="2230" spans="1:28" x14ac:dyDescent="0.3">
      <c r="A2230" s="79" t="s">
        <v>6839</v>
      </c>
      <c r="C2230" s="115">
        <v>43934</v>
      </c>
      <c r="D2230" s="312">
        <v>43998</v>
      </c>
      <c r="E2230" s="81">
        <v>43984</v>
      </c>
      <c r="F2230" s="86" t="s">
        <v>6959</v>
      </c>
      <c r="G2230" s="86" t="s">
        <v>152</v>
      </c>
      <c r="H2230" s="96" t="s">
        <v>213</v>
      </c>
      <c r="I2230" s="97" t="s">
        <v>714</v>
      </c>
      <c r="J2230" s="73">
        <f t="shared" si="250"/>
        <v>1</v>
      </c>
      <c r="K2230" s="74" t="s">
        <v>204</v>
      </c>
      <c r="L2230" s="97" t="s">
        <v>7532</v>
      </c>
      <c r="N2230" s="76" t="s">
        <v>18</v>
      </c>
      <c r="Q2230" s="76" t="s">
        <v>2417</v>
      </c>
      <c r="R2230" s="73">
        <f t="shared" si="251"/>
        <v>1</v>
      </c>
      <c r="S2230" s="260" t="s">
        <v>1976</v>
      </c>
      <c r="T2230" s="260" t="s">
        <v>923</v>
      </c>
      <c r="Y2230" s="566">
        <v>0.70606481481481476</v>
      </c>
      <c r="Z2230" s="566">
        <v>0.71300925925925929</v>
      </c>
      <c r="AA2230" s="566">
        <f t="shared" si="252"/>
        <v>6.9444444444445308E-3</v>
      </c>
      <c r="AB2230" s="699"/>
    </row>
    <row r="2231" spans="1:28" x14ac:dyDescent="0.3">
      <c r="A2231" s="79" t="s">
        <v>6419</v>
      </c>
      <c r="C2231" s="115">
        <v>43934</v>
      </c>
      <c r="D2231" s="312">
        <v>43998</v>
      </c>
      <c r="E2231" s="81">
        <v>43987</v>
      </c>
      <c r="F2231" s="86" t="s">
        <v>6446</v>
      </c>
      <c r="G2231" s="86" t="s">
        <v>147</v>
      </c>
      <c r="H2231" s="96" t="s">
        <v>213</v>
      </c>
      <c r="I2231" s="97" t="s">
        <v>645</v>
      </c>
      <c r="J2231" s="73">
        <f t="shared" si="250"/>
        <v>1</v>
      </c>
      <c r="K2231" s="74" t="s">
        <v>204</v>
      </c>
      <c r="L2231" s="97" t="s">
        <v>7117</v>
      </c>
      <c r="N2231" s="76" t="s">
        <v>18</v>
      </c>
      <c r="Q2231" s="76" t="s">
        <v>2109</v>
      </c>
      <c r="R2231" s="73">
        <f t="shared" si="251"/>
        <v>1</v>
      </c>
      <c r="S2231" s="260" t="s">
        <v>1976</v>
      </c>
      <c r="T2231" s="260" t="s">
        <v>924</v>
      </c>
      <c r="Y2231" s="566">
        <v>0.73835648148148147</v>
      </c>
      <c r="Z2231" s="566">
        <v>0.74408564814814815</v>
      </c>
      <c r="AA2231" s="566">
        <f t="shared" si="252"/>
        <v>5.7291666666666741E-3</v>
      </c>
      <c r="AB2231" s="699"/>
    </row>
    <row r="2232" spans="1:28" x14ac:dyDescent="0.3">
      <c r="A2232" s="79" t="s">
        <v>6841</v>
      </c>
      <c r="C2232" s="115">
        <v>43934</v>
      </c>
      <c r="D2232" s="312">
        <v>43998</v>
      </c>
      <c r="E2232" s="81">
        <v>43992</v>
      </c>
      <c r="F2232" s="86" t="s">
        <v>6961</v>
      </c>
      <c r="G2232" s="86" t="s">
        <v>189</v>
      </c>
      <c r="H2232" s="96" t="s">
        <v>213</v>
      </c>
      <c r="I2232" s="97" t="s">
        <v>714</v>
      </c>
      <c r="J2232" s="73">
        <f t="shared" si="250"/>
        <v>1</v>
      </c>
      <c r="K2232" s="74" t="s">
        <v>204</v>
      </c>
      <c r="L2232" s="97" t="s">
        <v>7618</v>
      </c>
      <c r="N2232" s="76" t="s">
        <v>17</v>
      </c>
      <c r="Q2232" s="76" t="s">
        <v>2417</v>
      </c>
      <c r="R2232" s="73">
        <f t="shared" si="251"/>
        <v>1</v>
      </c>
      <c r="S2232" s="260" t="s">
        <v>1976</v>
      </c>
      <c r="T2232" s="260" t="s">
        <v>923</v>
      </c>
      <c r="Y2232" s="566">
        <v>0.46197916666666666</v>
      </c>
      <c r="Z2232" s="566">
        <v>0.49341435185185184</v>
      </c>
      <c r="AA2232" s="566">
        <f t="shared" si="252"/>
        <v>3.1435185185185177E-2</v>
      </c>
      <c r="AB2232" s="699"/>
    </row>
    <row r="2233" spans="1:28" x14ac:dyDescent="0.3">
      <c r="A2233" s="79" t="s">
        <v>6425</v>
      </c>
      <c r="C2233" s="115">
        <v>43935</v>
      </c>
      <c r="D2233" s="312">
        <v>43998</v>
      </c>
      <c r="E2233" s="81">
        <v>43984</v>
      </c>
      <c r="F2233" s="86" t="s">
        <v>6452</v>
      </c>
      <c r="G2233" s="86" t="s">
        <v>158</v>
      </c>
      <c r="H2233" s="96" t="s">
        <v>213</v>
      </c>
      <c r="I2233" s="97" t="s">
        <v>714</v>
      </c>
      <c r="J2233" s="73">
        <f t="shared" si="250"/>
        <v>1</v>
      </c>
      <c r="K2233" s="74" t="s">
        <v>204</v>
      </c>
      <c r="L2233" s="97" t="s">
        <v>7072</v>
      </c>
      <c r="N2233" s="76" t="s">
        <v>17</v>
      </c>
      <c r="Q2233" s="76" t="s">
        <v>2109</v>
      </c>
      <c r="R2233" s="73">
        <f t="shared" si="251"/>
        <v>1</v>
      </c>
      <c r="S2233" s="260" t="s">
        <v>1976</v>
      </c>
      <c r="T2233" s="260" t="s">
        <v>923</v>
      </c>
      <c r="Y2233" s="566">
        <v>0.44947916666666665</v>
      </c>
      <c r="Z2233" s="566">
        <v>0.45423611111111112</v>
      </c>
      <c r="AA2233" s="566">
        <f t="shared" si="252"/>
        <v>4.7569444444444664E-3</v>
      </c>
      <c r="AB2233" s="699" t="s">
        <v>7361</v>
      </c>
    </row>
    <row r="2234" spans="1:28" x14ac:dyDescent="0.3">
      <c r="A2234" s="79" t="s">
        <v>6467</v>
      </c>
      <c r="C2234" s="115">
        <v>43935</v>
      </c>
      <c r="D2234" s="312">
        <v>43998</v>
      </c>
      <c r="E2234" s="81">
        <v>43986</v>
      </c>
      <c r="F2234" s="86" t="s">
        <v>6496</v>
      </c>
      <c r="G2234" s="86" t="s">
        <v>150</v>
      </c>
      <c r="H2234" s="96" t="s">
        <v>213</v>
      </c>
      <c r="I2234" s="97" t="s">
        <v>642</v>
      </c>
      <c r="J2234" s="73">
        <f t="shared" si="250"/>
        <v>1</v>
      </c>
      <c r="K2234" s="74" t="s">
        <v>204</v>
      </c>
      <c r="L2234" s="97" t="s">
        <v>7569</v>
      </c>
      <c r="N2234" s="76" t="s">
        <v>18</v>
      </c>
      <c r="Q2234" s="76" t="s">
        <v>2037</v>
      </c>
      <c r="R2234" s="73">
        <f t="shared" si="251"/>
        <v>1</v>
      </c>
      <c r="S2234" s="260" t="s">
        <v>1976</v>
      </c>
      <c r="T2234" s="260" t="s">
        <v>925</v>
      </c>
      <c r="Y2234" s="566">
        <v>0.80555555555555547</v>
      </c>
      <c r="Z2234" s="566">
        <v>0.81256944444444434</v>
      </c>
      <c r="AA2234" s="566">
        <f t="shared" si="252"/>
        <v>7.0138888888888751E-3</v>
      </c>
      <c r="AB2234" s="699"/>
    </row>
    <row r="2235" spans="1:28" x14ac:dyDescent="0.3">
      <c r="A2235" s="79" t="s">
        <v>6843</v>
      </c>
      <c r="C2235" s="115">
        <v>43935</v>
      </c>
      <c r="D2235" s="312">
        <v>43998</v>
      </c>
      <c r="E2235" s="81">
        <v>43984</v>
      </c>
      <c r="F2235" s="86" t="s">
        <v>6963</v>
      </c>
      <c r="G2235" s="86" t="s">
        <v>152</v>
      </c>
      <c r="H2235" s="96" t="s">
        <v>213</v>
      </c>
      <c r="I2235" s="97" t="s">
        <v>642</v>
      </c>
      <c r="J2235" s="73">
        <f t="shared" si="250"/>
        <v>1</v>
      </c>
      <c r="K2235" s="74" t="s">
        <v>204</v>
      </c>
      <c r="L2235" s="97" t="s">
        <v>7533</v>
      </c>
      <c r="N2235" s="76" t="s">
        <v>18</v>
      </c>
      <c r="Q2235" s="76" t="s">
        <v>2417</v>
      </c>
      <c r="R2235" s="73">
        <f t="shared" si="251"/>
        <v>1</v>
      </c>
      <c r="S2235" s="260" t="s">
        <v>1976</v>
      </c>
      <c r="T2235" s="260" t="s">
        <v>925</v>
      </c>
      <c r="Y2235" s="566">
        <v>0.74829861111111118</v>
      </c>
      <c r="Z2235" s="566">
        <v>0.7554050925925927</v>
      </c>
      <c r="AA2235" s="566">
        <f t="shared" si="252"/>
        <v>7.1064814814815191E-3</v>
      </c>
      <c r="AB2235" s="699"/>
    </row>
    <row r="2236" spans="1:28" x14ac:dyDescent="0.3">
      <c r="A2236" s="79" t="s">
        <v>6427</v>
      </c>
      <c r="C2236" s="115">
        <v>43935</v>
      </c>
      <c r="D2236" s="312">
        <v>43998</v>
      </c>
      <c r="E2236" s="81">
        <v>43984</v>
      </c>
      <c r="F2236" s="86" t="s">
        <v>6454</v>
      </c>
      <c r="G2236" s="86" t="s">
        <v>175</v>
      </c>
      <c r="H2236" s="96" t="s">
        <v>213</v>
      </c>
      <c r="I2236" s="97" t="s">
        <v>641</v>
      </c>
      <c r="J2236" s="73">
        <f t="shared" si="250"/>
        <v>1</v>
      </c>
      <c r="K2236" s="74" t="s">
        <v>204</v>
      </c>
      <c r="L2236" s="97" t="s">
        <v>7523</v>
      </c>
      <c r="N2236" s="76" t="s">
        <v>18</v>
      </c>
      <c r="Q2236" s="76" t="s">
        <v>2109</v>
      </c>
      <c r="R2236" s="73">
        <f t="shared" si="251"/>
        <v>1</v>
      </c>
      <c r="S2236" s="260" t="s">
        <v>1976</v>
      </c>
      <c r="T2236" s="260" t="s">
        <v>925</v>
      </c>
      <c r="Y2236" s="566">
        <v>0.46006944444444442</v>
      </c>
      <c r="Z2236" s="566">
        <v>0.46733796296296298</v>
      </c>
      <c r="AA2236" s="566">
        <f t="shared" si="252"/>
        <v>7.268518518518563E-3</v>
      </c>
      <c r="AB2236" s="699"/>
    </row>
    <row r="2237" spans="1:28" x14ac:dyDescent="0.3">
      <c r="A2237" s="79" t="s">
        <v>6428</v>
      </c>
      <c r="C2237" s="115">
        <v>43935</v>
      </c>
      <c r="D2237" s="312">
        <v>43998</v>
      </c>
      <c r="E2237" s="81">
        <v>43987</v>
      </c>
      <c r="F2237" s="86" t="s">
        <v>6455</v>
      </c>
      <c r="G2237" s="86" t="s">
        <v>150</v>
      </c>
      <c r="H2237" s="96" t="s">
        <v>213</v>
      </c>
      <c r="I2237" s="97" t="s">
        <v>854</v>
      </c>
      <c r="J2237" s="73">
        <f t="shared" si="250"/>
        <v>1</v>
      </c>
      <c r="K2237" s="74" t="s">
        <v>204</v>
      </c>
      <c r="L2237" s="97" t="s">
        <v>7577</v>
      </c>
      <c r="N2237" s="76" t="s">
        <v>17</v>
      </c>
      <c r="Q2237" s="76" t="s">
        <v>2109</v>
      </c>
      <c r="R2237" s="73">
        <f t="shared" si="251"/>
        <v>1</v>
      </c>
      <c r="S2237" s="260" t="s">
        <v>1976</v>
      </c>
      <c r="T2237" s="260" t="s">
        <v>924</v>
      </c>
      <c r="Y2237" s="566">
        <v>0.7584143518518518</v>
      </c>
      <c r="Z2237" s="566">
        <v>0.76797453703703711</v>
      </c>
      <c r="AA2237" s="566">
        <f t="shared" si="252"/>
        <v>9.5601851851853104E-3</v>
      </c>
      <c r="AB2237" s="699"/>
    </row>
    <row r="2238" spans="1:28" x14ac:dyDescent="0.3">
      <c r="A2238" s="79" t="s">
        <v>6429</v>
      </c>
      <c r="C2238" s="115">
        <v>43935</v>
      </c>
      <c r="D2238" s="312">
        <v>43998</v>
      </c>
      <c r="E2238" s="81">
        <v>43985</v>
      </c>
      <c r="F2238" s="86" t="s">
        <v>6456</v>
      </c>
      <c r="G2238" s="86" t="s">
        <v>156</v>
      </c>
      <c r="H2238" s="96" t="s">
        <v>213</v>
      </c>
      <c r="I2238" s="97" t="s">
        <v>649</v>
      </c>
      <c r="J2238" s="73">
        <f t="shared" si="250"/>
        <v>1</v>
      </c>
      <c r="K2238" s="74" t="s">
        <v>204</v>
      </c>
      <c r="L2238" s="97" t="s">
        <v>7732</v>
      </c>
      <c r="N2238" s="76" t="s">
        <v>18</v>
      </c>
      <c r="Q2238" s="76" t="s">
        <v>2109</v>
      </c>
      <c r="R2238" s="73">
        <f t="shared" si="251"/>
        <v>1</v>
      </c>
      <c r="S2238" s="260" t="s">
        <v>1976</v>
      </c>
      <c r="T2238" s="260" t="s">
        <v>924</v>
      </c>
      <c r="U2238" s="301" t="s">
        <v>5283</v>
      </c>
      <c r="V2238" s="301" t="s">
        <v>7544</v>
      </c>
      <c r="Y2238" s="566">
        <v>0.45953703703703702</v>
      </c>
      <c r="Z2238" s="566">
        <v>0.48261574074074076</v>
      </c>
      <c r="AA2238" s="566">
        <f t="shared" si="252"/>
        <v>2.307870370370374E-2</v>
      </c>
      <c r="AB2238" s="699"/>
    </row>
    <row r="2239" spans="1:28" x14ac:dyDescent="0.3">
      <c r="A2239" s="79" t="s">
        <v>6431</v>
      </c>
      <c r="C2239" s="115">
        <v>43935</v>
      </c>
      <c r="D2239" s="312">
        <v>43998</v>
      </c>
      <c r="E2239" s="81">
        <v>43987</v>
      </c>
      <c r="F2239" s="86" t="s">
        <v>6458</v>
      </c>
      <c r="G2239" s="86" t="s">
        <v>152</v>
      </c>
      <c r="H2239" s="96" t="s">
        <v>213</v>
      </c>
      <c r="I2239" s="97" t="s">
        <v>4963</v>
      </c>
      <c r="J2239" s="73">
        <f t="shared" si="250"/>
        <v>1</v>
      </c>
      <c r="K2239" s="74" t="s">
        <v>204</v>
      </c>
      <c r="L2239" s="97" t="s">
        <v>7578</v>
      </c>
      <c r="N2239" s="76" t="s">
        <v>19</v>
      </c>
      <c r="Q2239" s="76" t="s">
        <v>2109</v>
      </c>
      <c r="R2239" s="73">
        <f t="shared" si="251"/>
        <v>1</v>
      </c>
      <c r="S2239" s="260" t="s">
        <v>1976</v>
      </c>
      <c r="T2239" s="260" t="s">
        <v>925</v>
      </c>
      <c r="Y2239" s="566">
        <v>0.79719907407407409</v>
      </c>
      <c r="Z2239" s="566">
        <v>0.8022569444444444</v>
      </c>
      <c r="AA2239" s="566">
        <f t="shared" si="252"/>
        <v>5.0578703703703098E-3</v>
      </c>
      <c r="AB2239" s="699"/>
    </row>
    <row r="2240" spans="1:28" x14ac:dyDescent="0.3">
      <c r="A2240" s="79" t="s">
        <v>6432</v>
      </c>
      <c r="C2240" s="115">
        <v>43935</v>
      </c>
      <c r="D2240" s="312">
        <v>43998</v>
      </c>
      <c r="E2240" s="81">
        <v>43984</v>
      </c>
      <c r="F2240" s="86" t="s">
        <v>6459</v>
      </c>
      <c r="G2240" s="86" t="s">
        <v>186</v>
      </c>
      <c r="H2240" s="96" t="s">
        <v>213</v>
      </c>
      <c r="I2240" s="97" t="s">
        <v>722</v>
      </c>
      <c r="J2240" s="73">
        <f t="shared" si="250"/>
        <v>1</v>
      </c>
      <c r="K2240" s="74" t="s">
        <v>204</v>
      </c>
      <c r="L2240" s="97" t="s">
        <v>7524</v>
      </c>
      <c r="N2240" s="76" t="s">
        <v>17</v>
      </c>
      <c r="Q2240" s="76" t="s">
        <v>2109</v>
      </c>
      <c r="R2240" s="73">
        <f t="shared" si="251"/>
        <v>1</v>
      </c>
      <c r="S2240" s="260" t="s">
        <v>1976</v>
      </c>
      <c r="T2240" s="260" t="s">
        <v>924</v>
      </c>
      <c r="Y2240" s="566">
        <v>0.4676967592592593</v>
      </c>
      <c r="Z2240" s="566">
        <v>0.47417824074074072</v>
      </c>
      <c r="AA2240" s="566">
        <f t="shared" si="252"/>
        <v>6.4814814814814214E-3</v>
      </c>
      <c r="AB2240" s="699"/>
    </row>
    <row r="2241" spans="1:28" x14ac:dyDescent="0.3">
      <c r="A2241" s="79" t="s">
        <v>6848</v>
      </c>
      <c r="C2241" s="115">
        <v>43938</v>
      </c>
      <c r="D2241" s="312">
        <v>43998</v>
      </c>
      <c r="E2241" s="81">
        <v>43985</v>
      </c>
      <c r="F2241" s="86" t="s">
        <v>6968</v>
      </c>
      <c r="G2241" s="86" t="s">
        <v>156</v>
      </c>
      <c r="H2241" s="96" t="s">
        <v>213</v>
      </c>
      <c r="I2241" s="97" t="s">
        <v>642</v>
      </c>
      <c r="J2241" s="73">
        <f t="shared" si="250"/>
        <v>1</v>
      </c>
      <c r="K2241" s="74" t="s">
        <v>204</v>
      </c>
      <c r="L2241" s="97" t="s">
        <v>7110</v>
      </c>
      <c r="N2241" s="76" t="s">
        <v>18</v>
      </c>
      <c r="Q2241" s="76" t="s">
        <v>2076</v>
      </c>
      <c r="R2241" s="73">
        <f t="shared" si="251"/>
        <v>1</v>
      </c>
      <c r="S2241" s="260" t="s">
        <v>1976</v>
      </c>
      <c r="T2241" s="260" t="s">
        <v>924</v>
      </c>
      <c r="Y2241" s="566">
        <v>0.54462962962962969</v>
      </c>
      <c r="Z2241" s="566">
        <v>0.54844907407407406</v>
      </c>
      <c r="AA2241" s="566">
        <f t="shared" si="252"/>
        <v>3.8194444444443754E-3</v>
      </c>
      <c r="AB2241" s="699"/>
    </row>
    <row r="2242" spans="1:28" x14ac:dyDescent="0.3">
      <c r="A2242" s="79" t="s">
        <v>6473</v>
      </c>
      <c r="C2242" s="115">
        <v>43938</v>
      </c>
      <c r="D2242" s="312">
        <v>43998</v>
      </c>
      <c r="E2242" s="81">
        <v>43984</v>
      </c>
      <c r="F2242" s="86" t="s">
        <v>6502</v>
      </c>
      <c r="G2242" s="86" t="s">
        <v>156</v>
      </c>
      <c r="H2242" s="96" t="s">
        <v>213</v>
      </c>
      <c r="I2242" s="97" t="s">
        <v>714</v>
      </c>
      <c r="J2242" s="73">
        <f t="shared" si="250"/>
        <v>1</v>
      </c>
      <c r="K2242" s="74" t="s">
        <v>204</v>
      </c>
      <c r="L2242" s="97" t="s">
        <v>7072</v>
      </c>
      <c r="N2242" s="76" t="s">
        <v>17</v>
      </c>
      <c r="Q2242" s="76" t="s">
        <v>2109</v>
      </c>
      <c r="R2242" s="73">
        <f t="shared" si="251"/>
        <v>1</v>
      </c>
      <c r="S2242" s="260" t="s">
        <v>1976</v>
      </c>
      <c r="T2242" s="260" t="s">
        <v>924</v>
      </c>
      <c r="Y2242" s="566">
        <v>0.45557870370370374</v>
      </c>
      <c r="Z2242" s="566">
        <v>0.45973379629629635</v>
      </c>
      <c r="AA2242" s="566">
        <f t="shared" si="252"/>
        <v>4.155092592592613E-3</v>
      </c>
      <c r="AB2242" s="699" t="s">
        <v>7361</v>
      </c>
    </row>
    <row r="2243" spans="1:28" x14ac:dyDescent="0.3">
      <c r="A2243" s="79" t="s">
        <v>6474</v>
      </c>
      <c r="C2243" s="115">
        <v>43938</v>
      </c>
      <c r="D2243" s="312">
        <v>43998</v>
      </c>
      <c r="E2243" s="81">
        <v>43984</v>
      </c>
      <c r="F2243" s="86" t="s">
        <v>6503</v>
      </c>
      <c r="G2243" s="86" t="s">
        <v>189</v>
      </c>
      <c r="H2243" s="96" t="s">
        <v>213</v>
      </c>
      <c r="I2243" s="97" t="s">
        <v>642</v>
      </c>
      <c r="J2243" s="73">
        <f t="shared" si="250"/>
        <v>1</v>
      </c>
      <c r="K2243" s="74" t="s">
        <v>204</v>
      </c>
      <c r="L2243" s="97" t="s">
        <v>7525</v>
      </c>
      <c r="N2243" s="76" t="s">
        <v>18</v>
      </c>
      <c r="Q2243" s="76" t="s">
        <v>2109</v>
      </c>
      <c r="R2243" s="73">
        <f t="shared" si="251"/>
        <v>1</v>
      </c>
      <c r="S2243" s="260" t="s">
        <v>1976</v>
      </c>
      <c r="T2243" s="260" t="s">
        <v>923</v>
      </c>
      <c r="U2243" s="301" t="s">
        <v>5283</v>
      </c>
      <c r="V2243" s="301" t="s">
        <v>7526</v>
      </c>
      <c r="Y2243" s="566">
        <v>0.47460648148148149</v>
      </c>
      <c r="Z2243" s="566">
        <v>0.48792824074074076</v>
      </c>
      <c r="AA2243" s="566">
        <f t="shared" si="252"/>
        <v>1.3321759259259269E-2</v>
      </c>
      <c r="AB2243" s="699"/>
    </row>
    <row r="2244" spans="1:28" x14ac:dyDescent="0.3">
      <c r="A2244" s="96" t="s">
        <v>6480</v>
      </c>
      <c r="C2244" s="115">
        <v>43938</v>
      </c>
      <c r="D2244" s="312">
        <v>43998</v>
      </c>
      <c r="E2244" s="81">
        <v>43984</v>
      </c>
      <c r="F2244" s="86" t="s">
        <v>6509</v>
      </c>
      <c r="G2244" s="86" t="s">
        <v>156</v>
      </c>
      <c r="H2244" s="96" t="s">
        <v>213</v>
      </c>
      <c r="I2244" s="97" t="s">
        <v>714</v>
      </c>
      <c r="J2244" s="73">
        <f t="shared" si="250"/>
        <v>1</v>
      </c>
      <c r="K2244" s="74" t="s">
        <v>204</v>
      </c>
      <c r="L2244" s="97" t="s">
        <v>7336</v>
      </c>
      <c r="N2244" s="76" t="s">
        <v>17</v>
      </c>
      <c r="Q2244" s="76" t="s">
        <v>2109</v>
      </c>
      <c r="R2244" s="73">
        <f t="shared" si="251"/>
        <v>1</v>
      </c>
      <c r="S2244" s="260" t="s">
        <v>1976</v>
      </c>
      <c r="T2244" s="260" t="s">
        <v>923</v>
      </c>
      <c r="Y2244" s="566">
        <v>0.5229166666666667</v>
      </c>
      <c r="Z2244" s="566">
        <v>0.53275462962962961</v>
      </c>
      <c r="AA2244" s="566">
        <f t="shared" si="252"/>
        <v>9.8379629629629095E-3</v>
      </c>
      <c r="AB2244" s="699"/>
    </row>
    <row r="2245" spans="1:28" x14ac:dyDescent="0.3">
      <c r="A2245" s="79" t="s">
        <v>6481</v>
      </c>
      <c r="C2245" s="115">
        <v>43938</v>
      </c>
      <c r="D2245" s="312">
        <v>43998</v>
      </c>
      <c r="E2245" s="81">
        <v>43985</v>
      </c>
      <c r="F2245" s="86" t="s">
        <v>6510</v>
      </c>
      <c r="G2245" s="86" t="s">
        <v>157</v>
      </c>
      <c r="H2245" s="96" t="s">
        <v>213</v>
      </c>
      <c r="I2245" s="97" t="s">
        <v>642</v>
      </c>
      <c r="J2245" s="73">
        <f t="shared" si="250"/>
        <v>1</v>
      </c>
      <c r="K2245" s="74" t="s">
        <v>204</v>
      </c>
      <c r="L2245" s="97" t="s">
        <v>7110</v>
      </c>
      <c r="N2245" s="76" t="s">
        <v>18</v>
      </c>
      <c r="Q2245" s="76" t="s">
        <v>2417</v>
      </c>
      <c r="R2245" s="73">
        <f t="shared" si="251"/>
        <v>1</v>
      </c>
      <c r="S2245" s="260" t="s">
        <v>1976</v>
      </c>
      <c r="T2245" s="260" t="s">
        <v>923</v>
      </c>
      <c r="Y2245" s="566">
        <v>0.81180555555555556</v>
      </c>
      <c r="Z2245" s="566">
        <v>0.81665509259259261</v>
      </c>
      <c r="AA2245" s="566">
        <f t="shared" si="252"/>
        <v>4.849537037037055E-3</v>
      </c>
      <c r="AB2245" s="699"/>
    </row>
    <row r="2246" spans="1:28" x14ac:dyDescent="0.3">
      <c r="A2246" s="79" t="s">
        <v>6852</v>
      </c>
      <c r="C2246" s="115">
        <v>43938</v>
      </c>
      <c r="D2246" s="312">
        <v>43998</v>
      </c>
      <c r="E2246" s="81">
        <v>43985</v>
      </c>
      <c r="F2246" s="86" t="s">
        <v>6972</v>
      </c>
      <c r="G2246" s="86" t="s">
        <v>156</v>
      </c>
      <c r="H2246" s="96" t="s">
        <v>213</v>
      </c>
      <c r="I2246" s="97" t="s">
        <v>714</v>
      </c>
      <c r="J2246" s="73">
        <f t="shared" si="250"/>
        <v>1</v>
      </c>
      <c r="K2246" s="74" t="s">
        <v>204</v>
      </c>
      <c r="L2246" s="97" t="s">
        <v>7336</v>
      </c>
      <c r="N2246" s="76" t="s">
        <v>18</v>
      </c>
      <c r="Q2246" s="76" t="s">
        <v>2417</v>
      </c>
      <c r="R2246" s="73">
        <f t="shared" si="251"/>
        <v>1</v>
      </c>
      <c r="S2246" s="260" t="s">
        <v>1976</v>
      </c>
      <c r="T2246" s="260" t="s">
        <v>923</v>
      </c>
      <c r="Y2246" s="566">
        <v>0.69859953703703714</v>
      </c>
      <c r="Z2246" s="566">
        <v>0.70847222222222228</v>
      </c>
      <c r="AA2246" s="566">
        <f t="shared" si="252"/>
        <v>9.8726851851851372E-3</v>
      </c>
      <c r="AB2246" s="699"/>
    </row>
    <row r="2247" spans="1:28" x14ac:dyDescent="0.3">
      <c r="A2247" s="79" t="s">
        <v>6853</v>
      </c>
      <c r="C2247" s="115">
        <v>43938</v>
      </c>
      <c r="D2247" s="312">
        <v>43998</v>
      </c>
      <c r="E2247" s="81">
        <v>43990</v>
      </c>
      <c r="F2247" s="86" t="s">
        <v>6973</v>
      </c>
      <c r="G2247" s="86" t="s">
        <v>154</v>
      </c>
      <c r="H2247" s="96" t="s">
        <v>213</v>
      </c>
      <c r="I2247" s="97" t="s">
        <v>755</v>
      </c>
      <c r="J2247" s="73">
        <f t="shared" si="250"/>
        <v>1</v>
      </c>
      <c r="K2247" s="74" t="s">
        <v>204</v>
      </c>
      <c r="L2247" s="97" t="s">
        <v>7592</v>
      </c>
      <c r="N2247" s="76" t="s">
        <v>17</v>
      </c>
      <c r="Q2247" s="76" t="s">
        <v>2417</v>
      </c>
      <c r="R2247" s="73">
        <f t="shared" si="251"/>
        <v>1</v>
      </c>
      <c r="S2247" s="260" t="s">
        <v>1976</v>
      </c>
      <c r="T2247" s="260" t="s">
        <v>924</v>
      </c>
      <c r="Y2247" s="566">
        <v>0.63046296296296289</v>
      </c>
      <c r="Z2247" s="566">
        <v>0.64788194444444447</v>
      </c>
      <c r="AA2247" s="566">
        <f t="shared" si="252"/>
        <v>1.7418981481481577E-2</v>
      </c>
      <c r="AB2247" s="699"/>
    </row>
    <row r="2248" spans="1:28" x14ac:dyDescent="0.3">
      <c r="A2248" s="96" t="s">
        <v>6484</v>
      </c>
      <c r="C2248" s="115">
        <v>43938</v>
      </c>
      <c r="D2248" s="312">
        <v>43998</v>
      </c>
      <c r="E2248" s="81">
        <v>43984</v>
      </c>
      <c r="F2248" s="86" t="s">
        <v>6513</v>
      </c>
      <c r="G2248" s="86" t="s">
        <v>166</v>
      </c>
      <c r="H2248" s="96" t="s">
        <v>213</v>
      </c>
      <c r="I2248" s="97" t="s">
        <v>714</v>
      </c>
      <c r="J2248" s="73">
        <f t="shared" si="250"/>
        <v>1</v>
      </c>
      <c r="K2248" s="74" t="s">
        <v>204</v>
      </c>
      <c r="L2248" s="97" t="s">
        <v>7334</v>
      </c>
      <c r="N2248" s="76" t="s">
        <v>17</v>
      </c>
      <c r="Q2248" s="76" t="s">
        <v>2109</v>
      </c>
      <c r="R2248" s="73">
        <f t="shared" si="251"/>
        <v>1</v>
      </c>
      <c r="S2248" s="260" t="s">
        <v>1976</v>
      </c>
      <c r="T2248" s="260" t="s">
        <v>925</v>
      </c>
      <c r="Y2248" s="566">
        <v>0.5678009259259259</v>
      </c>
      <c r="Z2248" s="566">
        <v>0.59283564814814815</v>
      </c>
      <c r="AA2248" s="566">
        <f t="shared" si="252"/>
        <v>2.503472222222225E-2</v>
      </c>
      <c r="AB2248" s="699"/>
    </row>
    <row r="2249" spans="1:28" x14ac:dyDescent="0.3">
      <c r="A2249" s="79" t="s">
        <v>6855</v>
      </c>
      <c r="C2249" s="115">
        <v>43945</v>
      </c>
      <c r="D2249" s="312">
        <v>43998</v>
      </c>
      <c r="E2249" s="81">
        <v>43985</v>
      </c>
      <c r="F2249" s="86" t="s">
        <v>6975</v>
      </c>
      <c r="G2249" s="86" t="s">
        <v>189</v>
      </c>
      <c r="H2249" s="96" t="s">
        <v>213</v>
      </c>
      <c r="I2249" s="97" t="s">
        <v>642</v>
      </c>
      <c r="J2249" s="73">
        <f t="shared" si="250"/>
        <v>1</v>
      </c>
      <c r="K2249" s="74" t="s">
        <v>204</v>
      </c>
      <c r="L2249" s="97" t="s">
        <v>7110</v>
      </c>
      <c r="N2249" s="76" t="s">
        <v>18</v>
      </c>
      <c r="Q2249" s="76" t="s">
        <v>2417</v>
      </c>
      <c r="R2249" s="73">
        <f t="shared" si="251"/>
        <v>1</v>
      </c>
      <c r="S2249" s="260" t="s">
        <v>1976</v>
      </c>
      <c r="T2249" s="260" t="s">
        <v>925</v>
      </c>
      <c r="Y2249" s="566">
        <v>0.72111111111111104</v>
      </c>
      <c r="Z2249" s="566">
        <v>0.72906249999999995</v>
      </c>
      <c r="AA2249" s="566">
        <f t="shared" si="252"/>
        <v>7.9513888888889106E-3</v>
      </c>
      <c r="AB2249" s="699"/>
    </row>
    <row r="2250" spans="1:28" x14ac:dyDescent="0.3">
      <c r="A2250" s="79" t="s">
        <v>6568</v>
      </c>
      <c r="C2250" s="115">
        <v>43948</v>
      </c>
      <c r="D2250" s="312">
        <v>43998</v>
      </c>
      <c r="E2250" s="81">
        <v>43987</v>
      </c>
      <c r="F2250" s="86" t="s">
        <v>6633</v>
      </c>
      <c r="G2250" s="86" t="s">
        <v>154</v>
      </c>
      <c r="H2250" s="96" t="s">
        <v>213</v>
      </c>
      <c r="I2250" s="97" t="s">
        <v>722</v>
      </c>
      <c r="J2250" s="73">
        <f t="shared" si="250"/>
        <v>1</v>
      </c>
      <c r="K2250" s="74" t="s">
        <v>204</v>
      </c>
      <c r="L2250" s="97" t="s">
        <v>7358</v>
      </c>
      <c r="N2250" s="76" t="s">
        <v>18</v>
      </c>
      <c r="Q2250" s="76" t="s">
        <v>2142</v>
      </c>
      <c r="R2250" s="73">
        <f t="shared" si="251"/>
        <v>1</v>
      </c>
      <c r="S2250" s="260" t="s">
        <v>1976</v>
      </c>
      <c r="T2250" s="260" t="s">
        <v>924</v>
      </c>
      <c r="Y2250" s="566">
        <v>0.80290509259259257</v>
      </c>
      <c r="Z2250" s="566">
        <v>0.81509259259259259</v>
      </c>
      <c r="AA2250" s="566">
        <f t="shared" si="252"/>
        <v>1.2187500000000018E-2</v>
      </c>
      <c r="AB2250" s="699"/>
    </row>
    <row r="2251" spans="1:28" x14ac:dyDescent="0.3">
      <c r="A2251" s="79" t="s">
        <v>6580</v>
      </c>
      <c r="C2251" s="115">
        <v>43948</v>
      </c>
      <c r="D2251" s="312">
        <v>43998</v>
      </c>
      <c r="E2251" s="81">
        <v>43987</v>
      </c>
      <c r="F2251" s="86" t="s">
        <v>6644</v>
      </c>
      <c r="G2251" s="86" t="s">
        <v>150</v>
      </c>
      <c r="H2251" s="96" t="s">
        <v>213</v>
      </c>
      <c r="I2251" s="97" t="s">
        <v>645</v>
      </c>
      <c r="J2251" s="73">
        <f t="shared" si="250"/>
        <v>1</v>
      </c>
      <c r="K2251" s="74" t="s">
        <v>204</v>
      </c>
      <c r="L2251" s="97" t="s">
        <v>7314</v>
      </c>
      <c r="N2251" s="76" t="s">
        <v>18</v>
      </c>
      <c r="Q2251" s="76" t="s">
        <v>2142</v>
      </c>
      <c r="R2251" s="73">
        <f t="shared" si="251"/>
        <v>1</v>
      </c>
      <c r="S2251" s="260" t="s">
        <v>1976</v>
      </c>
      <c r="T2251" s="260" t="s">
        <v>924</v>
      </c>
      <c r="Y2251" s="566">
        <v>0.81548611111111102</v>
      </c>
      <c r="Z2251" s="566">
        <v>0.82037037037037042</v>
      </c>
      <c r="AA2251" s="566">
        <f t="shared" si="252"/>
        <v>4.8842592592593936E-3</v>
      </c>
      <c r="AB2251" s="699"/>
    </row>
    <row r="2252" spans="1:28" x14ac:dyDescent="0.3">
      <c r="A2252" s="79" t="s">
        <v>6581</v>
      </c>
      <c r="C2252" s="115">
        <v>43948</v>
      </c>
      <c r="D2252" s="312">
        <v>43998</v>
      </c>
      <c r="E2252" s="81">
        <v>43991</v>
      </c>
      <c r="F2252" s="86" t="s">
        <v>6645</v>
      </c>
      <c r="G2252" s="86" t="s">
        <v>172</v>
      </c>
      <c r="H2252" s="96" t="s">
        <v>213</v>
      </c>
      <c r="I2252" s="97" t="s">
        <v>722</v>
      </c>
      <c r="J2252" s="73">
        <f t="shared" si="250"/>
        <v>1</v>
      </c>
      <c r="K2252" s="74" t="s">
        <v>204</v>
      </c>
      <c r="L2252" s="97" t="s">
        <v>7601</v>
      </c>
      <c r="N2252" s="76" t="s">
        <v>17</v>
      </c>
      <c r="Q2252" s="76" t="s">
        <v>2142</v>
      </c>
      <c r="R2252" s="73">
        <f t="shared" si="251"/>
        <v>1</v>
      </c>
      <c r="S2252" s="260" t="s">
        <v>1976</v>
      </c>
      <c r="T2252" s="260" t="s">
        <v>925</v>
      </c>
      <c r="Y2252" s="566">
        <v>0.58381944444444445</v>
      </c>
      <c r="Z2252" s="566">
        <v>0.59024305555555556</v>
      </c>
      <c r="AA2252" s="566">
        <f t="shared" si="252"/>
        <v>6.423611111111116E-3</v>
      </c>
      <c r="AB2252" s="699"/>
    </row>
    <row r="2253" spans="1:28" x14ac:dyDescent="0.3">
      <c r="A2253" s="79" t="s">
        <v>6582</v>
      </c>
      <c r="C2253" s="115">
        <v>43948</v>
      </c>
      <c r="D2253" s="312">
        <v>43998</v>
      </c>
      <c r="E2253" s="81">
        <v>43987</v>
      </c>
      <c r="F2253" s="86" t="s">
        <v>6646</v>
      </c>
      <c r="G2253" s="86" t="s">
        <v>158</v>
      </c>
      <c r="H2253" s="96" t="s">
        <v>213</v>
      </c>
      <c r="I2253" s="97" t="s">
        <v>645</v>
      </c>
      <c r="J2253" s="73">
        <f t="shared" si="250"/>
        <v>1</v>
      </c>
      <c r="K2253" s="74" t="s">
        <v>204</v>
      </c>
      <c r="L2253" s="97" t="s">
        <v>7579</v>
      </c>
      <c r="N2253" s="76" t="s">
        <v>17</v>
      </c>
      <c r="Q2253" s="76" t="s">
        <v>2142</v>
      </c>
      <c r="R2253" s="73">
        <f t="shared" si="251"/>
        <v>1</v>
      </c>
      <c r="S2253" s="260" t="s">
        <v>1976</v>
      </c>
      <c r="T2253" s="260" t="s">
        <v>924</v>
      </c>
      <c r="Y2253" s="566">
        <v>0.82054398148148155</v>
      </c>
      <c r="Z2253" s="566">
        <v>0.82887731481481486</v>
      </c>
      <c r="AA2253" s="566">
        <f t="shared" si="252"/>
        <v>8.3333333333333037E-3</v>
      </c>
      <c r="AB2253" s="699"/>
    </row>
    <row r="2254" spans="1:28" x14ac:dyDescent="0.3">
      <c r="A2254" s="79" t="s">
        <v>7387</v>
      </c>
      <c r="C2254" s="115">
        <v>43948</v>
      </c>
      <c r="D2254" s="312">
        <v>43998</v>
      </c>
      <c r="E2254" s="81">
        <v>43991</v>
      </c>
      <c r="F2254" s="86" t="s">
        <v>7455</v>
      </c>
      <c r="G2254" s="86" t="s">
        <v>147</v>
      </c>
      <c r="H2254" s="96" t="s">
        <v>213</v>
      </c>
      <c r="I2254" s="97" t="s">
        <v>642</v>
      </c>
      <c r="J2254" s="73">
        <f t="shared" si="250"/>
        <v>1</v>
      </c>
      <c r="K2254" s="74" t="s">
        <v>204</v>
      </c>
      <c r="L2254" s="97" t="s">
        <v>7110</v>
      </c>
      <c r="N2254" s="76" t="s">
        <v>17</v>
      </c>
      <c r="Q2254" s="76" t="s">
        <v>2109</v>
      </c>
      <c r="R2254" s="73">
        <f t="shared" si="251"/>
        <v>1</v>
      </c>
      <c r="S2254" s="260" t="s">
        <v>1976</v>
      </c>
      <c r="T2254" s="260" t="s">
        <v>924</v>
      </c>
      <c r="U2254" s="301" t="s">
        <v>5283</v>
      </c>
      <c r="V2254" s="301" t="s">
        <v>7602</v>
      </c>
      <c r="Y2254" s="566">
        <v>0.5904166666666667</v>
      </c>
      <c r="Z2254" s="566">
        <v>0.59805555555555556</v>
      </c>
      <c r="AA2254" s="566">
        <f t="shared" si="252"/>
        <v>7.6388888888888618E-3</v>
      </c>
      <c r="AB2254" s="699"/>
    </row>
    <row r="2255" spans="1:28" x14ac:dyDescent="0.3">
      <c r="A2255" s="79" t="s">
        <v>6588</v>
      </c>
      <c r="C2255" s="115">
        <v>43949</v>
      </c>
      <c r="D2255" s="312">
        <v>43998</v>
      </c>
      <c r="E2255" s="81">
        <v>43985</v>
      </c>
      <c r="F2255" s="86" t="s">
        <v>6651</v>
      </c>
      <c r="G2255" s="86" t="s">
        <v>158</v>
      </c>
      <c r="H2255" s="96" t="s">
        <v>213</v>
      </c>
      <c r="I2255" s="97" t="s">
        <v>714</v>
      </c>
      <c r="J2255" s="73">
        <f t="shared" si="250"/>
        <v>1</v>
      </c>
      <c r="K2255" s="74" t="s">
        <v>204</v>
      </c>
      <c r="L2255" s="97" t="s">
        <v>7547</v>
      </c>
      <c r="N2255" s="76" t="s">
        <v>17</v>
      </c>
      <c r="Q2255" s="76" t="s">
        <v>2076</v>
      </c>
      <c r="R2255" s="73">
        <f t="shared" si="251"/>
        <v>1</v>
      </c>
      <c r="S2255" s="260" t="s">
        <v>1976</v>
      </c>
      <c r="T2255" s="260" t="s">
        <v>923</v>
      </c>
      <c r="Y2255" s="566">
        <v>0.6029282407407407</v>
      </c>
      <c r="Z2255" s="566">
        <v>0.60886574074074074</v>
      </c>
      <c r="AA2255" s="566">
        <f t="shared" si="252"/>
        <v>5.93750000000004E-3</v>
      </c>
      <c r="AB2255" s="699"/>
    </row>
    <row r="2256" spans="1:28" x14ac:dyDescent="0.3">
      <c r="A2256" s="79" t="s">
        <v>6591</v>
      </c>
      <c r="C2256" s="115">
        <v>43949</v>
      </c>
      <c r="D2256" s="312">
        <v>43998</v>
      </c>
      <c r="F2256" s="86" t="s">
        <v>6654</v>
      </c>
      <c r="G2256" s="86" t="s">
        <v>1042</v>
      </c>
      <c r="H2256" s="96" t="s">
        <v>213</v>
      </c>
      <c r="I2256" s="97" t="s">
        <v>6782</v>
      </c>
      <c r="J2256" s="73">
        <f t="shared" si="250"/>
        <v>1</v>
      </c>
      <c r="K2256" s="74" t="s">
        <v>204</v>
      </c>
      <c r="L2256" s="97" t="s">
        <v>7620</v>
      </c>
      <c r="N2256" s="76" t="s">
        <v>19</v>
      </c>
      <c r="Q2256" s="76" t="s">
        <v>2076</v>
      </c>
      <c r="R2256" s="73">
        <f t="shared" si="251"/>
        <v>1</v>
      </c>
      <c r="S2256" s="260" t="s">
        <v>1976</v>
      </c>
      <c r="T2256" s="260" t="s">
        <v>925</v>
      </c>
      <c r="U2256" s="301" t="s">
        <v>5283</v>
      </c>
      <c r="V2256" s="301" t="s">
        <v>7603</v>
      </c>
      <c r="Y2256" s="566">
        <v>0.59722222222222221</v>
      </c>
      <c r="Z2256" s="566">
        <v>0.61033564814814811</v>
      </c>
      <c r="AA2256" s="566">
        <f t="shared" si="252"/>
        <v>1.3113425925925903E-2</v>
      </c>
      <c r="AB2256" s="699"/>
    </row>
    <row r="2257" spans="1:28" x14ac:dyDescent="0.3">
      <c r="A2257" s="79" t="s">
        <v>6597</v>
      </c>
      <c r="C2257" s="115">
        <v>43949</v>
      </c>
      <c r="D2257" s="312">
        <v>43998</v>
      </c>
      <c r="E2257" s="81">
        <v>43985</v>
      </c>
      <c r="F2257" s="86" t="s">
        <v>6660</v>
      </c>
      <c r="G2257" s="86" t="s">
        <v>158</v>
      </c>
      <c r="H2257" s="96" t="s">
        <v>213</v>
      </c>
      <c r="I2257" s="97" t="s">
        <v>642</v>
      </c>
      <c r="J2257" s="73">
        <f t="shared" si="250"/>
        <v>1</v>
      </c>
      <c r="K2257" s="74" t="s">
        <v>204</v>
      </c>
      <c r="L2257" s="97" t="s">
        <v>7110</v>
      </c>
      <c r="N2257" s="76" t="s">
        <v>18</v>
      </c>
      <c r="Q2257" s="76" t="s">
        <v>2076</v>
      </c>
      <c r="R2257" s="73">
        <f t="shared" si="251"/>
        <v>1</v>
      </c>
      <c r="S2257" s="260" t="s">
        <v>1976</v>
      </c>
      <c r="T2257" s="260" t="s">
        <v>923</v>
      </c>
      <c r="Y2257" s="566">
        <v>0.59842592592592592</v>
      </c>
      <c r="Z2257" s="566">
        <v>0.60230324074074071</v>
      </c>
      <c r="AA2257" s="566">
        <f t="shared" si="252"/>
        <v>3.8773148148147918E-3</v>
      </c>
      <c r="AB2257" s="699"/>
    </row>
    <row r="2258" spans="1:28" x14ac:dyDescent="0.3">
      <c r="A2258" s="79" t="s">
        <v>6605</v>
      </c>
      <c r="C2258" s="115">
        <v>43949</v>
      </c>
      <c r="D2258" s="312">
        <v>43998</v>
      </c>
      <c r="E2258" s="81">
        <v>43985</v>
      </c>
      <c r="F2258" s="86" t="s">
        <v>6668</v>
      </c>
      <c r="G2258" s="86" t="s">
        <v>156</v>
      </c>
      <c r="H2258" s="96" t="s">
        <v>213</v>
      </c>
      <c r="I2258" s="97" t="s">
        <v>722</v>
      </c>
      <c r="J2258" s="73">
        <f t="shared" si="250"/>
        <v>1</v>
      </c>
      <c r="K2258" s="74" t="s">
        <v>204</v>
      </c>
      <c r="L2258" s="97" t="s">
        <v>7556</v>
      </c>
      <c r="N2258" s="76" t="s">
        <v>17</v>
      </c>
      <c r="Q2258" s="76" t="s">
        <v>2076</v>
      </c>
      <c r="R2258" s="73">
        <f t="shared" si="251"/>
        <v>1</v>
      </c>
      <c r="S2258" s="260" t="s">
        <v>1976</v>
      </c>
      <c r="T2258" s="260" t="s">
        <v>925</v>
      </c>
      <c r="Y2258" s="566">
        <v>0.60932870370370373</v>
      </c>
      <c r="Z2258" s="566">
        <v>0.65871527777777772</v>
      </c>
      <c r="AA2258" s="566">
        <f t="shared" si="252"/>
        <v>4.9386574074073986E-2</v>
      </c>
      <c r="AB2258" s="699"/>
    </row>
    <row r="2259" spans="1:28" x14ac:dyDescent="0.3">
      <c r="A2259" s="79" t="s">
        <v>6608</v>
      </c>
      <c r="C2259" s="115">
        <v>43950</v>
      </c>
      <c r="D2259" s="312">
        <v>43998</v>
      </c>
      <c r="E2259" s="81">
        <v>43985</v>
      </c>
      <c r="F2259" s="86" t="s">
        <v>6671</v>
      </c>
      <c r="G2259" s="86" t="s">
        <v>6493</v>
      </c>
      <c r="H2259" s="96" t="s">
        <v>213</v>
      </c>
      <c r="I2259" s="97" t="s">
        <v>995</v>
      </c>
      <c r="J2259" s="73">
        <f>IF(OR(K2259="Документы готовы",K2259="Запрос в ФО",K2259="ЭЗ",K2259="РЕШ",K2259="РЕШ шаблон"),0.1,IF(OR(K2259="ЭЗ согласование",K2259="РЕШ согласование"),0.3,IF(OR(K2259="ЭЗ согласовано",K2259="РЕШ согласовано",K2259="РЕШ подписано"),0.6,IF(OR(K2259="ЭЗ ПР согласование",K2259="РЕШ УВ согласование"),0.9,IF(OR(K2259="ЭЗ ПР DONE",K2259="РЕШ УВ DONE"),1,0)))))</f>
        <v>1</v>
      </c>
      <c r="K2259" s="74" t="s">
        <v>204</v>
      </c>
      <c r="L2259" s="97" t="s">
        <v>7073</v>
      </c>
      <c r="N2259" s="76" t="s">
        <v>19</v>
      </c>
      <c r="Q2259" s="76" t="s">
        <v>2109</v>
      </c>
      <c r="R2259" s="73">
        <f t="shared" si="251"/>
        <v>1</v>
      </c>
      <c r="S2259" s="260" t="s">
        <v>1976</v>
      </c>
      <c r="T2259" s="260" t="s">
        <v>924</v>
      </c>
      <c r="U2259" s="301" t="s">
        <v>5283</v>
      </c>
      <c r="V2259" s="301" t="s">
        <v>7543</v>
      </c>
      <c r="Y2259" s="566">
        <v>0.44185185185185188</v>
      </c>
      <c r="Z2259" s="566">
        <v>0.45144675925925926</v>
      </c>
      <c r="AA2259" s="566">
        <f>Z2259-Y2259</f>
        <v>9.5949074074073715E-3</v>
      </c>
      <c r="AB2259" s="699"/>
    </row>
    <row r="2260" spans="1:28" x14ac:dyDescent="0.3">
      <c r="A2260" s="79" t="s">
        <v>6614</v>
      </c>
      <c r="C2260" s="115">
        <v>43950</v>
      </c>
      <c r="D2260" s="312">
        <v>43998</v>
      </c>
      <c r="E2260" s="81">
        <v>43992</v>
      </c>
      <c r="F2260" s="86" t="s">
        <v>6677</v>
      </c>
      <c r="G2260" s="86" t="s">
        <v>156</v>
      </c>
      <c r="H2260" s="96" t="s">
        <v>213</v>
      </c>
      <c r="I2260" s="97" t="s">
        <v>642</v>
      </c>
      <c r="J2260" s="73">
        <f t="shared" si="250"/>
        <v>1</v>
      </c>
      <c r="K2260" s="74" t="s">
        <v>204</v>
      </c>
      <c r="L2260" s="97" t="s">
        <v>7066</v>
      </c>
      <c r="N2260" s="76" t="s">
        <v>18</v>
      </c>
      <c r="Q2260" s="76" t="s">
        <v>2109</v>
      </c>
      <c r="R2260" s="73">
        <f t="shared" si="251"/>
        <v>1</v>
      </c>
      <c r="S2260" s="260" t="s">
        <v>1976</v>
      </c>
      <c r="T2260" s="260" t="s">
        <v>925</v>
      </c>
      <c r="Y2260" s="566">
        <v>0.62711805555555555</v>
      </c>
      <c r="Z2260" s="566">
        <v>0.63679398148148147</v>
      </c>
      <c r="AA2260" s="566">
        <f t="shared" si="252"/>
        <v>9.6759259259259212E-3</v>
      </c>
      <c r="AB2260" s="699"/>
    </row>
    <row r="2261" spans="1:28" x14ac:dyDescent="0.3">
      <c r="A2261" s="96" t="s">
        <v>6620</v>
      </c>
      <c r="C2261" s="115">
        <v>43950</v>
      </c>
      <c r="D2261" s="312">
        <v>43998</v>
      </c>
      <c r="E2261" s="81">
        <v>43984</v>
      </c>
      <c r="F2261" s="86" t="s">
        <v>6683</v>
      </c>
      <c r="G2261" s="86" t="s">
        <v>189</v>
      </c>
      <c r="H2261" s="96" t="s">
        <v>213</v>
      </c>
      <c r="I2261" s="97" t="s">
        <v>714</v>
      </c>
      <c r="J2261" s="73">
        <f>IF(OR(K2261="Документы готовы",K2261="Запрос в ФО",K2261="ЭЗ",K2261="РЕШ",K2261="РЕШ шаблон"),0.1,IF(OR(K2261="ЭЗ согласование",K2261="РЕШ согласование"),0.3,IF(OR(K2261="ЭЗ согласовано",K2261="РЕШ согласовано",K2261="РЕШ подписано"),0.6,IF(OR(K2261="ЭЗ ПР согласование",K2261="РЕШ УВ согласование"),0.9,IF(OR(K2261="ЭЗ ПР DONE",K2261="РЕШ УВ DONE"),1,0)))))</f>
        <v>1</v>
      </c>
      <c r="K2261" s="74" t="s">
        <v>204</v>
      </c>
      <c r="L2261" s="97" t="s">
        <v>7528</v>
      </c>
      <c r="N2261" s="76" t="s">
        <v>17</v>
      </c>
      <c r="Q2261" s="76" t="s">
        <v>2109</v>
      </c>
      <c r="R2261" s="73">
        <f>IF(S2261="В работе",0.3,IF(S2261="Отписано",0.6,IF(S2261="На доработку",0.9,IF(S2261="Согласовано",1,0))))</f>
        <v>1</v>
      </c>
      <c r="S2261" s="260" t="s">
        <v>1976</v>
      </c>
      <c r="T2261" s="260" t="s">
        <v>924</v>
      </c>
      <c r="U2261" s="301" t="s">
        <v>5283</v>
      </c>
      <c r="V2261" s="301" t="s">
        <v>7529</v>
      </c>
      <c r="Y2261" s="566">
        <v>0.59333333333333338</v>
      </c>
      <c r="Z2261" s="566">
        <v>0.60539351851851853</v>
      </c>
      <c r="AA2261" s="566">
        <f t="shared" si="252"/>
        <v>1.2060185185185146E-2</v>
      </c>
      <c r="AB2261" s="699"/>
    </row>
    <row r="2262" spans="1:28" x14ac:dyDescent="0.3">
      <c r="A2262" s="79" t="s">
        <v>6856</v>
      </c>
      <c r="C2262" s="115">
        <v>43950</v>
      </c>
      <c r="D2262" s="312">
        <v>43998</v>
      </c>
      <c r="E2262" s="81">
        <v>43991</v>
      </c>
      <c r="F2262" s="86" t="s">
        <v>6976</v>
      </c>
      <c r="G2262" s="86" t="s">
        <v>181</v>
      </c>
      <c r="H2262" s="96" t="s">
        <v>213</v>
      </c>
      <c r="I2262" s="97" t="s">
        <v>714</v>
      </c>
      <c r="J2262" s="73">
        <f t="shared" si="250"/>
        <v>1</v>
      </c>
      <c r="K2262" s="74" t="s">
        <v>204</v>
      </c>
      <c r="L2262" s="97" t="s">
        <v>7611</v>
      </c>
      <c r="N2262" s="76" t="s">
        <v>18</v>
      </c>
      <c r="Q2262" s="76" t="s">
        <v>2109</v>
      </c>
      <c r="R2262" s="73">
        <f t="shared" si="251"/>
        <v>1</v>
      </c>
      <c r="S2262" s="260" t="s">
        <v>1976</v>
      </c>
      <c r="T2262" s="260" t="s">
        <v>924</v>
      </c>
      <c r="Y2262" s="566">
        <v>0.90670138888888896</v>
      </c>
      <c r="Z2262" s="566">
        <v>0.91280092592592599</v>
      </c>
      <c r="AA2262" s="566">
        <f t="shared" si="252"/>
        <v>6.0995370370370283E-3</v>
      </c>
      <c r="AB2262" s="699"/>
    </row>
    <row r="2263" spans="1:28" x14ac:dyDescent="0.3">
      <c r="A2263" s="79" t="s">
        <v>6857</v>
      </c>
      <c r="C2263" s="115">
        <v>43950</v>
      </c>
      <c r="D2263" s="312">
        <v>43998</v>
      </c>
      <c r="E2263" s="81">
        <v>43991</v>
      </c>
      <c r="F2263" s="86" t="s">
        <v>6977</v>
      </c>
      <c r="G2263" s="86" t="s">
        <v>147</v>
      </c>
      <c r="H2263" s="96" t="s">
        <v>213</v>
      </c>
      <c r="I2263" s="97" t="s">
        <v>714</v>
      </c>
      <c r="J2263" s="73">
        <f t="shared" si="250"/>
        <v>1</v>
      </c>
      <c r="K2263" s="74" t="s">
        <v>204</v>
      </c>
      <c r="L2263" s="97" t="s">
        <v>7072</v>
      </c>
      <c r="N2263" s="76" t="s">
        <v>17</v>
      </c>
      <c r="Q2263" s="76" t="s">
        <v>2109</v>
      </c>
      <c r="R2263" s="73">
        <f t="shared" si="251"/>
        <v>1</v>
      </c>
      <c r="S2263" s="260" t="s">
        <v>1976</v>
      </c>
      <c r="T2263" s="260" t="s">
        <v>923</v>
      </c>
      <c r="Y2263" s="566">
        <v>0.62997685185185182</v>
      </c>
      <c r="Z2263" s="566">
        <v>0.63375000000000004</v>
      </c>
      <c r="AA2263" s="566">
        <f t="shared" si="252"/>
        <v>3.7731481481482199E-3</v>
      </c>
      <c r="AB2263" s="699"/>
    </row>
    <row r="2264" spans="1:28" x14ac:dyDescent="0.3">
      <c r="A2264" s="79" t="s">
        <v>6858</v>
      </c>
      <c r="C2264" s="115">
        <v>43950</v>
      </c>
      <c r="D2264" s="312">
        <v>43998</v>
      </c>
      <c r="E2264" s="81">
        <v>43991</v>
      </c>
      <c r="F2264" s="86" t="s">
        <v>6978</v>
      </c>
      <c r="G2264" s="86" t="s">
        <v>147</v>
      </c>
      <c r="H2264" s="96" t="s">
        <v>213</v>
      </c>
      <c r="I2264" s="97" t="s">
        <v>642</v>
      </c>
      <c r="J2264" s="73">
        <f t="shared" si="250"/>
        <v>1</v>
      </c>
      <c r="K2264" s="74" t="s">
        <v>204</v>
      </c>
      <c r="L2264" s="97" t="s">
        <v>7066</v>
      </c>
      <c r="N2264" s="76" t="s">
        <v>18</v>
      </c>
      <c r="Q2264" s="76" t="s">
        <v>2109</v>
      </c>
      <c r="R2264" s="73">
        <f t="shared" si="251"/>
        <v>1</v>
      </c>
      <c r="S2264" s="260" t="s">
        <v>1976</v>
      </c>
      <c r="T2264" s="260" t="s">
        <v>925</v>
      </c>
      <c r="Y2264" s="566">
        <v>0.62539351851851854</v>
      </c>
      <c r="Z2264" s="566">
        <v>0.62962962962962965</v>
      </c>
      <c r="AA2264" s="566">
        <f t="shared" si="252"/>
        <v>4.2361111111111072E-3</v>
      </c>
      <c r="AB2264" s="699"/>
    </row>
    <row r="2265" spans="1:28" x14ac:dyDescent="0.3">
      <c r="A2265" s="79" t="s">
        <v>6862</v>
      </c>
      <c r="C2265" s="115">
        <v>43951</v>
      </c>
      <c r="D2265" s="312">
        <v>43998</v>
      </c>
      <c r="E2265" s="81">
        <v>43985</v>
      </c>
      <c r="F2265" s="86" t="s">
        <v>6982</v>
      </c>
      <c r="G2265" s="86" t="s">
        <v>1682</v>
      </c>
      <c r="H2265" s="96" t="s">
        <v>213</v>
      </c>
      <c r="I2265" s="97" t="s">
        <v>642</v>
      </c>
      <c r="J2265" s="73">
        <f t="shared" si="250"/>
        <v>1</v>
      </c>
      <c r="K2265" s="74" t="s">
        <v>204</v>
      </c>
      <c r="L2265" s="97" t="s">
        <v>7066</v>
      </c>
      <c r="N2265" s="76" t="s">
        <v>18</v>
      </c>
      <c r="Q2265" s="76" t="s">
        <v>2037</v>
      </c>
      <c r="R2265" s="73">
        <f t="shared" si="251"/>
        <v>1</v>
      </c>
      <c r="S2265" s="260" t="s">
        <v>1976</v>
      </c>
      <c r="T2265" s="260" t="s">
        <v>924</v>
      </c>
      <c r="Y2265" s="566">
        <v>0.70896990740740751</v>
      </c>
      <c r="Z2265" s="566">
        <v>0.71457175925925931</v>
      </c>
      <c r="AA2265" s="566">
        <f t="shared" si="252"/>
        <v>5.6018518518518023E-3</v>
      </c>
      <c r="AB2265" s="699"/>
    </row>
    <row r="2266" spans="1:28" x14ac:dyDescent="0.3">
      <c r="A2266" s="79" t="s">
        <v>6863</v>
      </c>
      <c r="C2266" s="115">
        <v>43951</v>
      </c>
      <c r="D2266" s="312">
        <v>43998</v>
      </c>
      <c r="E2266" s="81">
        <v>43986</v>
      </c>
      <c r="F2266" s="86" t="s">
        <v>6983</v>
      </c>
      <c r="G2266" s="86" t="s">
        <v>189</v>
      </c>
      <c r="H2266" s="96" t="s">
        <v>213</v>
      </c>
      <c r="I2266" s="97" t="s">
        <v>714</v>
      </c>
      <c r="J2266" s="73">
        <f t="shared" si="250"/>
        <v>1</v>
      </c>
      <c r="K2266" s="74" t="s">
        <v>204</v>
      </c>
      <c r="L2266" s="97" t="s">
        <v>7349</v>
      </c>
      <c r="N2266" s="76" t="s">
        <v>17</v>
      </c>
      <c r="Q2266" s="76" t="s">
        <v>2076</v>
      </c>
      <c r="R2266" s="73">
        <f t="shared" si="251"/>
        <v>1</v>
      </c>
      <c r="S2266" s="260" t="s">
        <v>1976</v>
      </c>
      <c r="T2266" s="260" t="s">
        <v>925</v>
      </c>
      <c r="Y2266" s="566">
        <v>0.8131018518518518</v>
      </c>
      <c r="Z2266" s="566">
        <v>0.82100694444444444</v>
      </c>
      <c r="AA2266" s="566">
        <f t="shared" si="252"/>
        <v>7.9050925925926441E-3</v>
      </c>
      <c r="AB2266" s="699"/>
    </row>
    <row r="2267" spans="1:28" x14ac:dyDescent="0.3">
      <c r="A2267" s="96" t="s">
        <v>6864</v>
      </c>
      <c r="C2267" s="115">
        <v>43956</v>
      </c>
      <c r="D2267" s="312">
        <v>43998</v>
      </c>
      <c r="E2267" s="81">
        <v>43987</v>
      </c>
      <c r="F2267" s="86" t="s">
        <v>6984</v>
      </c>
      <c r="G2267" s="86" t="s">
        <v>147</v>
      </c>
      <c r="H2267" s="96" t="s">
        <v>213</v>
      </c>
      <c r="I2267" s="97" t="s">
        <v>714</v>
      </c>
      <c r="J2267" s="73">
        <f t="shared" si="250"/>
        <v>1</v>
      </c>
      <c r="K2267" s="74" t="s">
        <v>204</v>
      </c>
      <c r="L2267" s="97" t="s">
        <v>7573</v>
      </c>
      <c r="N2267" s="76" t="s">
        <v>17</v>
      </c>
      <c r="Q2267" s="76" t="s">
        <v>2076</v>
      </c>
      <c r="R2267" s="73">
        <f t="shared" si="251"/>
        <v>1</v>
      </c>
      <c r="S2267" s="260" t="s">
        <v>1976</v>
      </c>
      <c r="T2267" s="260" t="s">
        <v>925</v>
      </c>
      <c r="Y2267" s="566">
        <v>0.53357638888888892</v>
      </c>
      <c r="Z2267" s="566">
        <v>0.56619212962962961</v>
      </c>
      <c r="AA2267" s="566">
        <f t="shared" si="252"/>
        <v>3.2615740740740695E-2</v>
      </c>
      <c r="AB2267" s="699"/>
    </row>
    <row r="2268" spans="1:28" x14ac:dyDescent="0.3">
      <c r="A2268" s="79" t="s">
        <v>6868</v>
      </c>
      <c r="C2268" s="115">
        <v>43956</v>
      </c>
      <c r="D2268" s="312">
        <v>43998</v>
      </c>
      <c r="E2268" s="81">
        <v>43987</v>
      </c>
      <c r="F2268" s="86" t="s">
        <v>6988</v>
      </c>
      <c r="G2268" s="86" t="s">
        <v>147</v>
      </c>
      <c r="H2268" s="96" t="s">
        <v>213</v>
      </c>
      <c r="I2268" s="97" t="s">
        <v>714</v>
      </c>
      <c r="J2268" s="73">
        <f t="shared" si="250"/>
        <v>1</v>
      </c>
      <c r="K2268" s="74" t="s">
        <v>204</v>
      </c>
      <c r="L2268" s="97" t="s">
        <v>7072</v>
      </c>
      <c r="N2268" s="76" t="s">
        <v>17</v>
      </c>
      <c r="Q2268" s="76" t="s">
        <v>2076</v>
      </c>
      <c r="R2268" s="73">
        <f t="shared" si="251"/>
        <v>1</v>
      </c>
      <c r="S2268" s="260" t="s">
        <v>1976</v>
      </c>
      <c r="T2268" s="260" t="s">
        <v>923</v>
      </c>
      <c r="Y2268" s="566">
        <v>0.56657407407407401</v>
      </c>
      <c r="Z2268" s="566">
        <v>0.57101851851851848</v>
      </c>
      <c r="AA2268" s="566">
        <f t="shared" si="252"/>
        <v>4.4444444444444731E-3</v>
      </c>
      <c r="AB2268" s="699"/>
    </row>
    <row r="2269" spans="1:28" x14ac:dyDescent="0.3">
      <c r="A2269" s="79" t="s">
        <v>6870</v>
      </c>
      <c r="C2269" s="115">
        <v>43956</v>
      </c>
      <c r="D2269" s="312">
        <v>43998</v>
      </c>
      <c r="E2269" s="81">
        <v>43990</v>
      </c>
      <c r="F2269" s="86" t="s">
        <v>6990</v>
      </c>
      <c r="G2269" s="86" t="s">
        <v>733</v>
      </c>
      <c r="H2269" s="96" t="s">
        <v>213</v>
      </c>
      <c r="I2269" s="97" t="s">
        <v>642</v>
      </c>
      <c r="J2269" s="73">
        <f t="shared" si="250"/>
        <v>1</v>
      </c>
      <c r="K2269" s="74" t="s">
        <v>204</v>
      </c>
      <c r="L2269" s="97" t="s">
        <v>7069</v>
      </c>
      <c r="N2269" s="76" t="s">
        <v>18</v>
      </c>
      <c r="Q2269" s="76" t="s">
        <v>2142</v>
      </c>
      <c r="R2269" s="73">
        <f t="shared" si="251"/>
        <v>1</v>
      </c>
      <c r="S2269" s="260" t="s">
        <v>1976</v>
      </c>
      <c r="T2269" s="260" t="s">
        <v>923</v>
      </c>
      <c r="Y2269" s="566">
        <v>0.86121527777777773</v>
      </c>
      <c r="Z2269" s="566">
        <v>0.86496527777777776</v>
      </c>
      <c r="AA2269" s="566">
        <f t="shared" si="252"/>
        <v>3.7500000000000311E-3</v>
      </c>
      <c r="AB2269" s="699"/>
    </row>
    <row r="2270" spans="1:28" x14ac:dyDescent="0.3">
      <c r="A2270" s="79" t="s">
        <v>6871</v>
      </c>
      <c r="C2270" s="115">
        <v>43956</v>
      </c>
      <c r="D2270" s="312">
        <v>43998</v>
      </c>
      <c r="E2270" s="81">
        <v>43990</v>
      </c>
      <c r="F2270" s="86" t="s">
        <v>6991</v>
      </c>
      <c r="G2270" s="86" t="s">
        <v>158</v>
      </c>
      <c r="H2270" s="96" t="s">
        <v>213</v>
      </c>
      <c r="I2270" s="97" t="s">
        <v>642</v>
      </c>
      <c r="J2270" s="73">
        <f t="shared" ref="J2270:J2316" si="253">IF(OR(K2270="Документы готовы",K2270="Запрос в ФО",K2270="ЭЗ",K2270="РЕШ",K2270="РЕШ шаблон"),0.1,IF(OR(K2270="ЭЗ согласование",K2270="РЕШ согласование"),0.3,IF(OR(K2270="ЭЗ согласовано",K2270="РЕШ согласовано",K2270="РЕШ подписано"),0.6,IF(OR(K2270="ЭЗ ПР согласование",K2270="РЕШ УВ согласование"),0.9,IF(OR(K2270="ЭЗ ПР DONE",K2270="РЕШ УВ DONE"),1,0)))))</f>
        <v>1</v>
      </c>
      <c r="K2270" s="74" t="s">
        <v>204</v>
      </c>
      <c r="L2270" s="97" t="s">
        <v>7110</v>
      </c>
      <c r="N2270" s="76" t="s">
        <v>18</v>
      </c>
      <c r="Q2270" s="76" t="s">
        <v>2076</v>
      </c>
      <c r="R2270" s="73">
        <f t="shared" ref="R2270:R2316" si="254">IF(S2270="В работе",0.3,IF(S2270="Отписано",0.6,IF(S2270="На доработку",0.9,IF(S2270="Согласовано",1,0))))</f>
        <v>1</v>
      </c>
      <c r="S2270" s="260" t="s">
        <v>1976</v>
      </c>
      <c r="T2270" s="260" t="s">
        <v>924</v>
      </c>
      <c r="Y2270" s="566">
        <v>0.51143518518518516</v>
      </c>
      <c r="Z2270" s="566">
        <v>0.51527777777777783</v>
      </c>
      <c r="AA2270" s="566">
        <f t="shared" ref="AA2270:AA2316" si="255">Z2270-Y2270</f>
        <v>3.8425925925926752E-3</v>
      </c>
      <c r="AB2270" s="699"/>
    </row>
    <row r="2271" spans="1:28" x14ac:dyDescent="0.3">
      <c r="A2271" s="79" t="s">
        <v>6872</v>
      </c>
      <c r="C2271" s="115">
        <v>43956</v>
      </c>
      <c r="D2271" s="312">
        <v>43998</v>
      </c>
      <c r="E2271" s="81">
        <v>43990</v>
      </c>
      <c r="F2271" s="86" t="s">
        <v>6992</v>
      </c>
      <c r="G2271" s="86" t="s">
        <v>147</v>
      </c>
      <c r="H2271" s="96" t="s">
        <v>213</v>
      </c>
      <c r="I2271" s="97" t="s">
        <v>642</v>
      </c>
      <c r="J2271" s="73">
        <f t="shared" si="253"/>
        <v>1</v>
      </c>
      <c r="K2271" s="74" t="s">
        <v>204</v>
      </c>
      <c r="L2271" s="97" t="s">
        <v>7069</v>
      </c>
      <c r="N2271" s="76" t="s">
        <v>18</v>
      </c>
      <c r="Q2271" s="76" t="s">
        <v>2142</v>
      </c>
      <c r="R2271" s="73">
        <f t="shared" si="254"/>
        <v>1</v>
      </c>
      <c r="S2271" s="260" t="s">
        <v>1976</v>
      </c>
      <c r="T2271" s="260" t="s">
        <v>925</v>
      </c>
      <c r="Y2271" s="566">
        <v>0.77972222222222232</v>
      </c>
      <c r="Z2271" s="566">
        <v>0.78953703703703704</v>
      </c>
      <c r="AA2271" s="566">
        <f t="shared" si="255"/>
        <v>9.8148148148147207E-3</v>
      </c>
      <c r="AB2271" s="699"/>
    </row>
    <row r="2272" spans="1:28" x14ac:dyDescent="0.3">
      <c r="A2272" s="79" t="s">
        <v>6873</v>
      </c>
      <c r="C2272" s="115">
        <v>43956</v>
      </c>
      <c r="D2272" s="312">
        <v>43998</v>
      </c>
      <c r="E2272" s="81">
        <v>43985</v>
      </c>
      <c r="F2272" s="86" t="s">
        <v>6993</v>
      </c>
      <c r="G2272" s="86" t="s">
        <v>187</v>
      </c>
      <c r="H2272" s="96" t="s">
        <v>213</v>
      </c>
      <c r="I2272" s="97" t="s">
        <v>642</v>
      </c>
      <c r="J2272" s="73">
        <f t="shared" si="253"/>
        <v>1</v>
      </c>
      <c r="K2272" s="74" t="s">
        <v>204</v>
      </c>
      <c r="L2272" s="97" t="s">
        <v>7110</v>
      </c>
      <c r="N2272" s="76" t="s">
        <v>18</v>
      </c>
      <c r="Q2272" s="76" t="s">
        <v>2037</v>
      </c>
      <c r="R2272" s="73">
        <f t="shared" si="254"/>
        <v>1</v>
      </c>
      <c r="S2272" s="260" t="s">
        <v>1976</v>
      </c>
      <c r="T2272" s="260" t="s">
        <v>923</v>
      </c>
      <c r="Y2272" s="566">
        <v>0.82960648148148142</v>
      </c>
      <c r="Z2272" s="566">
        <v>0.83373842592592595</v>
      </c>
      <c r="AA2272" s="566">
        <f t="shared" si="255"/>
        <v>4.1319444444445352E-3</v>
      </c>
      <c r="AB2272" s="699"/>
    </row>
    <row r="2273" spans="1:28" x14ac:dyDescent="0.3">
      <c r="A2273" s="79" t="s">
        <v>6875</v>
      </c>
      <c r="C2273" s="115">
        <v>43956</v>
      </c>
      <c r="D2273" s="312">
        <v>43998</v>
      </c>
      <c r="E2273" s="81">
        <v>43987</v>
      </c>
      <c r="F2273" s="86" t="s">
        <v>6995</v>
      </c>
      <c r="G2273" s="86" t="s">
        <v>150</v>
      </c>
      <c r="H2273" s="96" t="s">
        <v>213</v>
      </c>
      <c r="I2273" s="97" t="s">
        <v>714</v>
      </c>
      <c r="J2273" s="73">
        <f t="shared" si="253"/>
        <v>1</v>
      </c>
      <c r="K2273" s="74" t="s">
        <v>204</v>
      </c>
      <c r="L2273" s="97" t="s">
        <v>7072</v>
      </c>
      <c r="N2273" s="76" t="s">
        <v>17</v>
      </c>
      <c r="Q2273" s="76" t="s">
        <v>2142</v>
      </c>
      <c r="R2273" s="73">
        <f t="shared" si="254"/>
        <v>1</v>
      </c>
      <c r="S2273" s="260" t="s">
        <v>1976</v>
      </c>
      <c r="T2273" s="260" t="s">
        <v>923</v>
      </c>
      <c r="Y2273" s="566">
        <v>0.82906250000000004</v>
      </c>
      <c r="Z2273" s="566">
        <v>0.83298611111111109</v>
      </c>
      <c r="AA2273" s="566">
        <f t="shared" si="255"/>
        <v>3.9236111111110583E-3</v>
      </c>
      <c r="AB2273" s="699"/>
    </row>
    <row r="2274" spans="1:28" x14ac:dyDescent="0.3">
      <c r="A2274" s="79" t="s">
        <v>6877</v>
      </c>
      <c r="C2274" s="115">
        <v>43956</v>
      </c>
      <c r="D2274" s="312">
        <v>43998</v>
      </c>
      <c r="E2274" s="81">
        <v>43986</v>
      </c>
      <c r="F2274" s="86" t="s">
        <v>6997</v>
      </c>
      <c r="G2274" s="86" t="s">
        <v>157</v>
      </c>
      <c r="H2274" s="96" t="s">
        <v>213</v>
      </c>
      <c r="I2274" s="97" t="s">
        <v>755</v>
      </c>
      <c r="J2274" s="73">
        <f t="shared" si="253"/>
        <v>1</v>
      </c>
      <c r="K2274" s="74" t="s">
        <v>204</v>
      </c>
      <c r="L2274" s="97" t="s">
        <v>7315</v>
      </c>
      <c r="N2274" s="76" t="s">
        <v>18</v>
      </c>
      <c r="Q2274" s="76" t="s">
        <v>2037</v>
      </c>
      <c r="R2274" s="73">
        <f t="shared" si="254"/>
        <v>1</v>
      </c>
      <c r="S2274" s="260" t="s">
        <v>1976</v>
      </c>
      <c r="T2274" s="260" t="s">
        <v>925</v>
      </c>
      <c r="Y2274" s="566">
        <v>0.67158564814814825</v>
      </c>
      <c r="Z2274" s="566">
        <v>0.67796296296296299</v>
      </c>
      <c r="AA2274" s="566">
        <f t="shared" si="255"/>
        <v>6.3773148148147385E-3</v>
      </c>
      <c r="AB2274" s="699"/>
    </row>
    <row r="2275" spans="1:28" x14ac:dyDescent="0.3">
      <c r="A2275" s="79" t="s">
        <v>6878</v>
      </c>
      <c r="C2275" s="115">
        <v>43956</v>
      </c>
      <c r="D2275" s="312">
        <v>43998</v>
      </c>
      <c r="E2275" s="81">
        <v>43987</v>
      </c>
      <c r="F2275" s="86" t="s">
        <v>6998</v>
      </c>
      <c r="G2275" s="86" t="s">
        <v>172</v>
      </c>
      <c r="H2275" s="96" t="s">
        <v>213</v>
      </c>
      <c r="I2275" s="97" t="s">
        <v>714</v>
      </c>
      <c r="J2275" s="73">
        <f t="shared" si="253"/>
        <v>1</v>
      </c>
      <c r="K2275" s="74" t="s">
        <v>204</v>
      </c>
      <c r="L2275" s="97" t="s">
        <v>7334</v>
      </c>
      <c r="N2275" s="76" t="s">
        <v>18</v>
      </c>
      <c r="Q2275" s="76" t="s">
        <v>2142</v>
      </c>
      <c r="R2275" s="73">
        <f t="shared" si="254"/>
        <v>1</v>
      </c>
      <c r="S2275" s="260" t="s">
        <v>1976</v>
      </c>
      <c r="T2275" s="260" t="s">
        <v>925</v>
      </c>
      <c r="Y2275" s="566">
        <v>0.83334490740740741</v>
      </c>
      <c r="Z2275" s="566">
        <v>0.83964120370370365</v>
      </c>
      <c r="AA2275" s="566">
        <f t="shared" si="255"/>
        <v>6.2962962962962443E-3</v>
      </c>
      <c r="AB2275" s="699"/>
    </row>
    <row r="2276" spans="1:28" x14ac:dyDescent="0.3">
      <c r="A2276" s="96" t="s">
        <v>6879</v>
      </c>
      <c r="C2276" s="115">
        <v>43956</v>
      </c>
      <c r="D2276" s="312">
        <v>43998</v>
      </c>
      <c r="E2276" s="81">
        <v>43991</v>
      </c>
      <c r="F2276" s="86" t="s">
        <v>6999</v>
      </c>
      <c r="G2276" s="86" t="s">
        <v>150</v>
      </c>
      <c r="H2276" s="96" t="s">
        <v>213</v>
      </c>
      <c r="I2276" s="97" t="s">
        <v>642</v>
      </c>
      <c r="J2276" s="73">
        <f t="shared" si="253"/>
        <v>1</v>
      </c>
      <c r="K2276" s="74" t="s">
        <v>204</v>
      </c>
      <c r="L2276" s="97" t="s">
        <v>7110</v>
      </c>
      <c r="N2276" s="76" t="s">
        <v>17</v>
      </c>
      <c r="Q2276" s="76" t="s">
        <v>2109</v>
      </c>
      <c r="R2276" s="73">
        <f t="shared" si="254"/>
        <v>1</v>
      </c>
      <c r="S2276" s="260" t="s">
        <v>1976</v>
      </c>
      <c r="T2276" s="260" t="s">
        <v>924</v>
      </c>
      <c r="U2276" s="301" t="s">
        <v>5283</v>
      </c>
      <c r="V2276" s="301" t="s">
        <v>7600</v>
      </c>
      <c r="Y2276" s="566">
        <v>0.55874999999999997</v>
      </c>
      <c r="Z2276" s="566">
        <v>0.58138888888888884</v>
      </c>
      <c r="AA2276" s="566">
        <f t="shared" si="255"/>
        <v>2.2638888888888875E-2</v>
      </c>
      <c r="AB2276" s="699"/>
    </row>
    <row r="2277" spans="1:28" x14ac:dyDescent="0.3">
      <c r="A2277" s="79" t="s">
        <v>6881</v>
      </c>
      <c r="C2277" s="115">
        <v>43957</v>
      </c>
      <c r="D2277" s="312">
        <v>43998</v>
      </c>
      <c r="E2277" s="81">
        <v>43985</v>
      </c>
      <c r="F2277" s="86" t="s">
        <v>7001</v>
      </c>
      <c r="G2277" s="86" t="s">
        <v>1328</v>
      </c>
      <c r="H2277" s="96" t="s">
        <v>213</v>
      </c>
      <c r="I2277" s="97" t="s">
        <v>995</v>
      </c>
      <c r="J2277" s="73">
        <f t="shared" si="253"/>
        <v>1</v>
      </c>
      <c r="K2277" s="74" t="s">
        <v>204</v>
      </c>
      <c r="L2277" s="97" t="s">
        <v>7073</v>
      </c>
      <c r="N2277" s="76" t="s">
        <v>19</v>
      </c>
      <c r="Q2277" s="76" t="s">
        <v>2417</v>
      </c>
      <c r="R2277" s="73">
        <f t="shared" si="254"/>
        <v>1</v>
      </c>
      <c r="S2277" s="260" t="s">
        <v>1976</v>
      </c>
      <c r="T2277" s="260" t="s">
        <v>923</v>
      </c>
      <c r="Y2277" s="566">
        <v>0.73903935185185177</v>
      </c>
      <c r="Z2277" s="566">
        <v>0.74791666666666667</v>
      </c>
      <c r="AA2277" s="566">
        <f t="shared" si="255"/>
        <v>8.8773148148149073E-3</v>
      </c>
      <c r="AB2277" s="699"/>
    </row>
    <row r="2278" spans="1:28" x14ac:dyDescent="0.3">
      <c r="A2278" s="79" t="s">
        <v>6882</v>
      </c>
      <c r="C2278" s="115">
        <v>43957</v>
      </c>
      <c r="D2278" s="312">
        <v>43998</v>
      </c>
      <c r="E2278" s="81">
        <v>43990</v>
      </c>
      <c r="F2278" s="86" t="s">
        <v>7002</v>
      </c>
      <c r="G2278" s="86" t="s">
        <v>152</v>
      </c>
      <c r="H2278" s="96" t="s">
        <v>213</v>
      </c>
      <c r="I2278" s="97" t="s">
        <v>642</v>
      </c>
      <c r="J2278" s="73">
        <f t="shared" si="253"/>
        <v>1</v>
      </c>
      <c r="K2278" s="74" t="s">
        <v>204</v>
      </c>
      <c r="L2278" s="97" t="s">
        <v>7595</v>
      </c>
      <c r="N2278" s="76" t="s">
        <v>18</v>
      </c>
      <c r="Q2278" s="76" t="s">
        <v>2142</v>
      </c>
      <c r="R2278" s="73">
        <f t="shared" si="254"/>
        <v>1</v>
      </c>
      <c r="S2278" s="260" t="s">
        <v>1976</v>
      </c>
      <c r="T2278" s="260" t="s">
        <v>924</v>
      </c>
      <c r="Y2278" s="566">
        <v>0.73135416666666664</v>
      </c>
      <c r="Z2278" s="566">
        <v>0.73685185185185187</v>
      </c>
      <c r="AA2278" s="566">
        <f t="shared" si="255"/>
        <v>5.4976851851852304E-3</v>
      </c>
      <c r="AB2278" s="699"/>
    </row>
    <row r="2279" spans="1:28" x14ac:dyDescent="0.3">
      <c r="A2279" s="79" t="s">
        <v>6883</v>
      </c>
      <c r="C2279" s="115">
        <v>43957</v>
      </c>
      <c r="D2279" s="312">
        <v>43998</v>
      </c>
      <c r="E2279" s="81">
        <v>43990</v>
      </c>
      <c r="F2279" s="86" t="s">
        <v>7003</v>
      </c>
      <c r="G2279" s="86" t="s">
        <v>172</v>
      </c>
      <c r="H2279" s="96" t="s">
        <v>213</v>
      </c>
      <c r="I2279" s="97" t="s">
        <v>714</v>
      </c>
      <c r="J2279" s="73">
        <f t="shared" si="253"/>
        <v>1</v>
      </c>
      <c r="K2279" s="74" t="s">
        <v>204</v>
      </c>
      <c r="L2279" s="97" t="s">
        <v>7072</v>
      </c>
      <c r="N2279" s="76" t="s">
        <v>18</v>
      </c>
      <c r="Q2279" s="76" t="s">
        <v>2109</v>
      </c>
      <c r="R2279" s="73">
        <f t="shared" si="254"/>
        <v>1</v>
      </c>
      <c r="S2279" s="260" t="s">
        <v>1976</v>
      </c>
      <c r="T2279" s="260" t="s">
        <v>923</v>
      </c>
      <c r="Y2279" s="566">
        <v>0.61254629629629631</v>
      </c>
      <c r="Z2279" s="566">
        <v>0.61952546296296296</v>
      </c>
      <c r="AA2279" s="566">
        <f t="shared" si="255"/>
        <v>6.9791666666666474E-3</v>
      </c>
      <c r="AB2279" s="699"/>
    </row>
    <row r="2280" spans="1:28" x14ac:dyDescent="0.3">
      <c r="A2280" s="79" t="s">
        <v>6884</v>
      </c>
      <c r="C2280" s="115">
        <v>43957</v>
      </c>
      <c r="D2280" s="312">
        <v>43998</v>
      </c>
      <c r="E2280" s="81">
        <v>43985</v>
      </c>
      <c r="F2280" s="86" t="s">
        <v>7004</v>
      </c>
      <c r="G2280" s="86" t="s">
        <v>150</v>
      </c>
      <c r="H2280" s="96" t="s">
        <v>213</v>
      </c>
      <c r="I2280" s="97" t="s">
        <v>7557</v>
      </c>
      <c r="J2280" s="73">
        <f t="shared" si="253"/>
        <v>1</v>
      </c>
      <c r="K2280" s="74" t="s">
        <v>204</v>
      </c>
      <c r="L2280" s="97" t="s">
        <v>7558</v>
      </c>
      <c r="N2280" s="76" t="s">
        <v>17</v>
      </c>
      <c r="Q2280" s="76" t="s">
        <v>2076</v>
      </c>
      <c r="R2280" s="73">
        <f t="shared" si="254"/>
        <v>1</v>
      </c>
      <c r="S2280" s="260" t="s">
        <v>1976</v>
      </c>
      <c r="T2280" s="260" t="s">
        <v>924</v>
      </c>
      <c r="Y2280" s="566">
        <v>0.65954861111111118</v>
      </c>
      <c r="Z2280" s="566">
        <v>0.69489583333333327</v>
      </c>
      <c r="AA2280" s="566">
        <f t="shared" si="255"/>
        <v>3.5347222222222086E-2</v>
      </c>
      <c r="AB2280" s="699"/>
    </row>
    <row r="2281" spans="1:28" x14ac:dyDescent="0.3">
      <c r="A2281" s="79" t="s">
        <v>6885</v>
      </c>
      <c r="C2281" s="115">
        <v>43957</v>
      </c>
      <c r="D2281" s="312">
        <v>43998</v>
      </c>
      <c r="E2281" s="81">
        <v>43986</v>
      </c>
      <c r="F2281" s="86" t="s">
        <v>7005</v>
      </c>
      <c r="G2281" s="86" t="s">
        <v>156</v>
      </c>
      <c r="H2281" s="96" t="s">
        <v>213</v>
      </c>
      <c r="I2281" s="97" t="s">
        <v>642</v>
      </c>
      <c r="J2281" s="73">
        <f t="shared" si="253"/>
        <v>1</v>
      </c>
      <c r="K2281" s="74" t="s">
        <v>204</v>
      </c>
      <c r="L2281" s="97" t="s">
        <v>7066</v>
      </c>
      <c r="N2281" s="76" t="s">
        <v>18</v>
      </c>
      <c r="Q2281" s="76" t="s">
        <v>2076</v>
      </c>
      <c r="R2281" s="73">
        <f t="shared" si="254"/>
        <v>1</v>
      </c>
      <c r="S2281" s="260" t="s">
        <v>1976</v>
      </c>
      <c r="T2281" s="260" t="s">
        <v>923</v>
      </c>
      <c r="Y2281" s="566">
        <v>0.82141203703703702</v>
      </c>
      <c r="Z2281" s="566">
        <v>0.82634259259259257</v>
      </c>
      <c r="AA2281" s="566">
        <f t="shared" si="255"/>
        <v>4.9305555555555491E-3</v>
      </c>
      <c r="AB2281" s="699"/>
    </row>
    <row r="2282" spans="1:28" x14ac:dyDescent="0.3">
      <c r="A2282" s="79" t="s">
        <v>6887</v>
      </c>
      <c r="C2282" s="115">
        <v>43957</v>
      </c>
      <c r="D2282" s="312">
        <v>43998</v>
      </c>
      <c r="E2282" s="81">
        <v>43985</v>
      </c>
      <c r="F2282" s="86" t="s">
        <v>7007</v>
      </c>
      <c r="G2282" s="86" t="s">
        <v>150</v>
      </c>
      <c r="H2282" s="96" t="s">
        <v>213</v>
      </c>
      <c r="I2282" s="97" t="s">
        <v>714</v>
      </c>
      <c r="J2282" s="73">
        <f t="shared" si="253"/>
        <v>1</v>
      </c>
      <c r="K2282" s="74" t="s">
        <v>204</v>
      </c>
      <c r="L2282" s="97" t="s">
        <v>7334</v>
      </c>
      <c r="N2282" s="76" t="s">
        <v>18</v>
      </c>
      <c r="Q2282" s="76" t="s">
        <v>2037</v>
      </c>
      <c r="R2282" s="73">
        <f t="shared" si="254"/>
        <v>1</v>
      </c>
      <c r="S2282" s="260" t="s">
        <v>1976</v>
      </c>
      <c r="T2282" s="260" t="s">
        <v>925</v>
      </c>
      <c r="Y2282" s="566">
        <v>0.8175810185185185</v>
      </c>
      <c r="Z2282" s="566">
        <v>0.82726851851851846</v>
      </c>
      <c r="AA2282" s="566">
        <f t="shared" si="255"/>
        <v>9.68749999999996E-3</v>
      </c>
      <c r="AB2282" s="699"/>
    </row>
    <row r="2283" spans="1:28" x14ac:dyDescent="0.3">
      <c r="A2283" s="79" t="s">
        <v>6889</v>
      </c>
      <c r="C2283" s="115">
        <v>43957</v>
      </c>
      <c r="D2283" s="312">
        <v>43998</v>
      </c>
      <c r="E2283" s="81">
        <v>43986</v>
      </c>
      <c r="F2283" s="86" t="s">
        <v>7009</v>
      </c>
      <c r="G2283" s="86" t="s">
        <v>2652</v>
      </c>
      <c r="H2283" s="96" t="s">
        <v>213</v>
      </c>
      <c r="I2283" s="97" t="s">
        <v>642</v>
      </c>
      <c r="J2283" s="73">
        <f t="shared" si="253"/>
        <v>1</v>
      </c>
      <c r="K2283" s="74" t="s">
        <v>204</v>
      </c>
      <c r="L2283" s="97" t="s">
        <v>7342</v>
      </c>
      <c r="N2283" s="76" t="s">
        <v>18</v>
      </c>
      <c r="Q2283" s="76" t="s">
        <v>2417</v>
      </c>
      <c r="R2283" s="73">
        <f t="shared" si="254"/>
        <v>1</v>
      </c>
      <c r="S2283" s="260" t="s">
        <v>1976</v>
      </c>
      <c r="T2283" s="260" t="s">
        <v>923</v>
      </c>
      <c r="Y2283" s="566">
        <v>0.6381134259259259</v>
      </c>
      <c r="Z2283" s="566">
        <v>0.64368055555555559</v>
      </c>
      <c r="AA2283" s="566">
        <f t="shared" si="255"/>
        <v>5.5671296296296857E-3</v>
      </c>
      <c r="AB2283" s="699"/>
    </row>
    <row r="2284" spans="1:28" x14ac:dyDescent="0.3">
      <c r="A2284" s="79" t="s">
        <v>6891</v>
      </c>
      <c r="C2284" s="115">
        <v>43957</v>
      </c>
      <c r="D2284" s="312">
        <v>43998</v>
      </c>
      <c r="E2284" s="81">
        <v>43991</v>
      </c>
      <c r="F2284" s="86" t="s">
        <v>7011</v>
      </c>
      <c r="G2284" s="86" t="s">
        <v>152</v>
      </c>
      <c r="H2284" s="96" t="s">
        <v>213</v>
      </c>
      <c r="I2284" s="97" t="s">
        <v>7604</v>
      </c>
      <c r="J2284" s="73">
        <f t="shared" si="253"/>
        <v>1</v>
      </c>
      <c r="K2284" s="74" t="s">
        <v>204</v>
      </c>
      <c r="L2284" s="97" t="s">
        <v>7718</v>
      </c>
      <c r="N2284" s="76" t="s">
        <v>18</v>
      </c>
      <c r="Q2284" s="76" t="s">
        <v>2109</v>
      </c>
      <c r="R2284" s="73">
        <f t="shared" si="254"/>
        <v>1</v>
      </c>
      <c r="S2284" s="260" t="s">
        <v>1976</v>
      </c>
      <c r="T2284" s="260" t="s">
        <v>924</v>
      </c>
      <c r="U2284" s="301" t="s">
        <v>5283</v>
      </c>
      <c r="V2284" s="301" t="s">
        <v>7605</v>
      </c>
      <c r="Y2284" s="566">
        <v>0.61082175925925919</v>
      </c>
      <c r="Z2284" s="566">
        <v>0.62422453703703706</v>
      </c>
      <c r="AA2284" s="566">
        <f t="shared" si="255"/>
        <v>1.3402777777777874E-2</v>
      </c>
      <c r="AB2284" s="699"/>
    </row>
    <row r="2285" spans="1:28" x14ac:dyDescent="0.3">
      <c r="A2285" s="79" t="s">
        <v>6892</v>
      </c>
      <c r="C2285" s="115">
        <v>43957</v>
      </c>
      <c r="D2285" s="312">
        <v>43998</v>
      </c>
      <c r="E2285" s="81">
        <v>43992</v>
      </c>
      <c r="F2285" s="86" t="s">
        <v>7012</v>
      </c>
      <c r="G2285" s="86" t="s">
        <v>156</v>
      </c>
      <c r="H2285" s="96" t="s">
        <v>213</v>
      </c>
      <c r="I2285" s="97" t="s">
        <v>714</v>
      </c>
      <c r="J2285" s="73">
        <f t="shared" si="253"/>
        <v>1</v>
      </c>
      <c r="K2285" s="74" t="s">
        <v>204</v>
      </c>
      <c r="L2285" s="97" t="s">
        <v>7624</v>
      </c>
      <c r="N2285" s="76" t="s">
        <v>17</v>
      </c>
      <c r="Q2285" s="76" t="s">
        <v>2109</v>
      </c>
      <c r="R2285" s="73">
        <f t="shared" si="254"/>
        <v>1</v>
      </c>
      <c r="S2285" s="260" t="s">
        <v>1976</v>
      </c>
      <c r="T2285" s="260" t="s">
        <v>924</v>
      </c>
      <c r="Y2285" s="566">
        <v>0.6141550925925926</v>
      </c>
      <c r="Z2285" s="566">
        <v>0.62644675925925919</v>
      </c>
      <c r="AA2285" s="566">
        <f t="shared" si="255"/>
        <v>1.229166666666659E-2</v>
      </c>
      <c r="AB2285" s="699"/>
    </row>
    <row r="2286" spans="1:28" x14ac:dyDescent="0.3">
      <c r="A2286" s="79" t="s">
        <v>6893</v>
      </c>
      <c r="C2286" s="115">
        <v>43957</v>
      </c>
      <c r="D2286" s="312">
        <v>43998</v>
      </c>
      <c r="E2286" s="81">
        <v>43991</v>
      </c>
      <c r="F2286" s="86" t="s">
        <v>7013</v>
      </c>
      <c r="G2286" s="86" t="s">
        <v>150</v>
      </c>
      <c r="H2286" s="96" t="s">
        <v>213</v>
      </c>
      <c r="I2286" s="97" t="s">
        <v>657</v>
      </c>
      <c r="J2286" s="73">
        <f t="shared" si="253"/>
        <v>1</v>
      </c>
      <c r="K2286" s="74" t="s">
        <v>204</v>
      </c>
      <c r="L2286" s="97" t="s">
        <v>7606</v>
      </c>
      <c r="N2286" s="76" t="s">
        <v>17</v>
      </c>
      <c r="Q2286" s="76" t="s">
        <v>2037</v>
      </c>
      <c r="R2286" s="73">
        <f t="shared" si="254"/>
        <v>1</v>
      </c>
      <c r="S2286" s="260" t="s">
        <v>1976</v>
      </c>
      <c r="T2286" s="260" t="s">
        <v>925</v>
      </c>
      <c r="Y2286" s="566">
        <v>0.65019675925925924</v>
      </c>
      <c r="Z2286" s="566">
        <v>0.7095717592592593</v>
      </c>
      <c r="AA2286" s="566">
        <f t="shared" si="255"/>
        <v>5.9375000000000067E-2</v>
      </c>
      <c r="AB2286" s="699"/>
    </row>
    <row r="2287" spans="1:28" x14ac:dyDescent="0.3">
      <c r="A2287" s="79" t="s">
        <v>7388</v>
      </c>
      <c r="C2287" s="115">
        <v>43957</v>
      </c>
      <c r="D2287" s="312">
        <v>43998</v>
      </c>
      <c r="E2287" s="81">
        <v>43986</v>
      </c>
      <c r="F2287" s="86" t="s">
        <v>7456</v>
      </c>
      <c r="G2287" s="86" t="s">
        <v>2652</v>
      </c>
      <c r="H2287" s="96" t="s">
        <v>213</v>
      </c>
      <c r="I2287" s="97" t="s">
        <v>714</v>
      </c>
      <c r="J2287" s="73">
        <f t="shared" si="253"/>
        <v>1</v>
      </c>
      <c r="K2287" s="74" t="s">
        <v>204</v>
      </c>
      <c r="L2287" s="97" t="s">
        <v>7071</v>
      </c>
      <c r="N2287" s="76" t="s">
        <v>18</v>
      </c>
      <c r="Q2287" s="76" t="s">
        <v>2037</v>
      </c>
      <c r="R2287" s="73">
        <f t="shared" si="254"/>
        <v>1</v>
      </c>
      <c r="S2287" s="260" t="s">
        <v>1976</v>
      </c>
      <c r="T2287" s="260" t="s">
        <v>923</v>
      </c>
      <c r="Y2287" s="566">
        <v>0.77690972222222221</v>
      </c>
      <c r="Z2287" s="566">
        <v>0.79204861111111102</v>
      </c>
      <c r="AA2287" s="566">
        <f t="shared" si="255"/>
        <v>1.5138888888888813E-2</v>
      </c>
      <c r="AB2287" s="699"/>
    </row>
    <row r="2288" spans="1:28" x14ac:dyDescent="0.3">
      <c r="A2288" s="79" t="s">
        <v>6894</v>
      </c>
      <c r="C2288" s="115">
        <v>43958</v>
      </c>
      <c r="D2288" s="312">
        <v>43998</v>
      </c>
      <c r="E2288" s="81">
        <v>43987</v>
      </c>
      <c r="F2288" s="86" t="s">
        <v>7014</v>
      </c>
      <c r="G2288" s="86" t="s">
        <v>189</v>
      </c>
      <c r="H2288" s="96" t="s">
        <v>213</v>
      </c>
      <c r="I2288" s="97" t="s">
        <v>714</v>
      </c>
      <c r="J2288" s="73">
        <f t="shared" si="253"/>
        <v>1</v>
      </c>
      <c r="K2288" s="74" t="s">
        <v>204</v>
      </c>
      <c r="L2288" s="97" t="s">
        <v>7071</v>
      </c>
      <c r="N2288" s="76" t="s">
        <v>17</v>
      </c>
      <c r="Q2288" s="76" t="s">
        <v>2142</v>
      </c>
      <c r="R2288" s="73">
        <f t="shared" si="254"/>
        <v>1</v>
      </c>
      <c r="S2288" s="260" t="s">
        <v>1976</v>
      </c>
      <c r="T2288" s="260" t="s">
        <v>923</v>
      </c>
      <c r="Y2288" s="566">
        <v>0.83981481481481479</v>
      </c>
      <c r="Z2288" s="566">
        <v>0.84657407407407403</v>
      </c>
      <c r="AA2288" s="566">
        <f t="shared" si="255"/>
        <v>6.7592592592592426E-3</v>
      </c>
      <c r="AB2288" s="699"/>
    </row>
    <row r="2289" spans="1:28" x14ac:dyDescent="0.3">
      <c r="A2289" s="79" t="s">
        <v>6897</v>
      </c>
      <c r="C2289" s="115">
        <v>43958</v>
      </c>
      <c r="D2289" s="312">
        <v>43998</v>
      </c>
      <c r="E2289" s="81">
        <v>43986</v>
      </c>
      <c r="F2289" s="86" t="s">
        <v>7017</v>
      </c>
      <c r="G2289" s="86" t="s">
        <v>154</v>
      </c>
      <c r="H2289" s="96" t="s">
        <v>213</v>
      </c>
      <c r="I2289" s="97" t="s">
        <v>714</v>
      </c>
      <c r="J2289" s="73">
        <f t="shared" si="253"/>
        <v>1</v>
      </c>
      <c r="K2289" s="74" t="s">
        <v>204</v>
      </c>
      <c r="L2289" s="97" t="s">
        <v>7072</v>
      </c>
      <c r="N2289" s="76" t="s">
        <v>18</v>
      </c>
      <c r="Q2289" s="76" t="s">
        <v>2417</v>
      </c>
      <c r="R2289" s="73">
        <f t="shared" si="254"/>
        <v>1</v>
      </c>
      <c r="S2289" s="260" t="s">
        <v>1976</v>
      </c>
      <c r="T2289" s="260" t="s">
        <v>924</v>
      </c>
      <c r="Y2289" s="566">
        <v>0.66710648148148144</v>
      </c>
      <c r="Z2289" s="566">
        <v>0.67099537037037038</v>
      </c>
      <c r="AA2289" s="566">
        <f t="shared" si="255"/>
        <v>3.8888888888889417E-3</v>
      </c>
      <c r="AB2289" s="699"/>
    </row>
    <row r="2290" spans="1:28" x14ac:dyDescent="0.3">
      <c r="A2290" s="79" t="s">
        <v>6899</v>
      </c>
      <c r="C2290" s="115">
        <v>43958</v>
      </c>
      <c r="D2290" s="312">
        <v>43998</v>
      </c>
      <c r="E2290" s="81">
        <v>43986</v>
      </c>
      <c r="F2290" s="86" t="s">
        <v>7019</v>
      </c>
      <c r="G2290" s="86" t="s">
        <v>157</v>
      </c>
      <c r="H2290" s="96" t="s">
        <v>213</v>
      </c>
      <c r="I2290" s="97" t="s">
        <v>714</v>
      </c>
      <c r="J2290" s="73">
        <f t="shared" si="253"/>
        <v>1</v>
      </c>
      <c r="K2290" s="74" t="s">
        <v>204</v>
      </c>
      <c r="L2290" s="97" t="s">
        <v>7567</v>
      </c>
      <c r="N2290" s="76" t="s">
        <v>17</v>
      </c>
      <c r="Q2290" s="76" t="s">
        <v>2037</v>
      </c>
      <c r="R2290" s="73">
        <f t="shared" si="254"/>
        <v>1</v>
      </c>
      <c r="S2290" s="260" t="s">
        <v>1976</v>
      </c>
      <c r="T2290" s="260" t="s">
        <v>924</v>
      </c>
      <c r="Y2290" s="566">
        <v>0.74664351851851851</v>
      </c>
      <c r="Z2290" s="566">
        <v>0.76217592592592587</v>
      </c>
      <c r="AA2290" s="566">
        <f t="shared" si="255"/>
        <v>1.5532407407407356E-2</v>
      </c>
      <c r="AB2290" s="699"/>
    </row>
    <row r="2291" spans="1:28" x14ac:dyDescent="0.3">
      <c r="A2291" s="79" t="s">
        <v>6900</v>
      </c>
      <c r="C2291" s="115">
        <v>43958</v>
      </c>
      <c r="D2291" s="312">
        <v>43998</v>
      </c>
      <c r="E2291" s="81">
        <v>43986</v>
      </c>
      <c r="F2291" s="86" t="s">
        <v>7020</v>
      </c>
      <c r="G2291" s="86" t="s">
        <v>158</v>
      </c>
      <c r="H2291" s="96" t="s">
        <v>213</v>
      </c>
      <c r="I2291" s="97" t="s">
        <v>714</v>
      </c>
      <c r="J2291" s="73">
        <f t="shared" si="253"/>
        <v>1</v>
      </c>
      <c r="K2291" s="74" t="s">
        <v>204</v>
      </c>
      <c r="L2291" s="97" t="s">
        <v>7336</v>
      </c>
      <c r="N2291" s="76" t="s">
        <v>17</v>
      </c>
      <c r="Q2291" s="76" t="s">
        <v>2076</v>
      </c>
      <c r="R2291" s="73">
        <f t="shared" si="254"/>
        <v>1</v>
      </c>
      <c r="S2291" s="260" t="s">
        <v>1976</v>
      </c>
      <c r="T2291" s="260" t="s">
        <v>924</v>
      </c>
      <c r="Y2291" s="566">
        <v>0.79320601851851846</v>
      </c>
      <c r="Z2291" s="566">
        <v>0.7992824074074073</v>
      </c>
      <c r="AA2291" s="566">
        <f t="shared" si="255"/>
        <v>6.0763888888888395E-3</v>
      </c>
      <c r="AB2291" s="699"/>
    </row>
    <row r="2292" spans="1:28" x14ac:dyDescent="0.3">
      <c r="A2292" s="79" t="s">
        <v>6901</v>
      </c>
      <c r="C2292" s="115">
        <v>43958</v>
      </c>
      <c r="D2292" s="312">
        <v>43998</v>
      </c>
      <c r="E2292" s="81">
        <v>43990</v>
      </c>
      <c r="F2292" s="86" t="s">
        <v>7021</v>
      </c>
      <c r="G2292" s="86" t="s">
        <v>158</v>
      </c>
      <c r="H2292" s="96" t="s">
        <v>213</v>
      </c>
      <c r="I2292" s="97" t="s">
        <v>714</v>
      </c>
      <c r="J2292" s="73">
        <f t="shared" si="253"/>
        <v>1</v>
      </c>
      <c r="K2292" s="74" t="s">
        <v>204</v>
      </c>
      <c r="L2292" s="97" t="s">
        <v>7591</v>
      </c>
      <c r="N2292" s="76" t="s">
        <v>17</v>
      </c>
      <c r="Q2292" s="76" t="s">
        <v>2109</v>
      </c>
      <c r="R2292" s="73">
        <f t="shared" si="254"/>
        <v>1</v>
      </c>
      <c r="S2292" s="260" t="s">
        <v>1976</v>
      </c>
      <c r="T2292" s="260" t="s">
        <v>924</v>
      </c>
      <c r="Y2292" s="566">
        <v>0.62156250000000002</v>
      </c>
      <c r="Z2292" s="566">
        <v>0.63009259259259254</v>
      </c>
      <c r="AA2292" s="566">
        <f t="shared" si="255"/>
        <v>8.5300925925925197E-3</v>
      </c>
      <c r="AB2292" s="699"/>
    </row>
    <row r="2293" spans="1:28" x14ac:dyDescent="0.3">
      <c r="A2293" s="79" t="s">
        <v>6903</v>
      </c>
      <c r="C2293" s="115">
        <v>43959</v>
      </c>
      <c r="D2293" s="312">
        <v>43998</v>
      </c>
      <c r="E2293" s="81">
        <v>43990</v>
      </c>
      <c r="F2293" s="86" t="s">
        <v>7023</v>
      </c>
      <c r="G2293" s="86" t="s">
        <v>3280</v>
      </c>
      <c r="H2293" s="96" t="s">
        <v>213</v>
      </c>
      <c r="I2293" s="97" t="s">
        <v>642</v>
      </c>
      <c r="J2293" s="73">
        <f t="shared" si="253"/>
        <v>1</v>
      </c>
      <c r="K2293" s="74" t="s">
        <v>204</v>
      </c>
      <c r="L2293" s="97" t="s">
        <v>7066</v>
      </c>
      <c r="N2293" s="76" t="s">
        <v>18</v>
      </c>
      <c r="Q2293" s="76" t="s">
        <v>2109</v>
      </c>
      <c r="R2293" s="73">
        <f t="shared" si="254"/>
        <v>1</v>
      </c>
      <c r="S2293" s="260" t="s">
        <v>1976</v>
      </c>
      <c r="T2293" s="260" t="s">
        <v>923</v>
      </c>
      <c r="Y2293" s="566">
        <v>0.73723379629629626</v>
      </c>
      <c r="Z2293" s="566">
        <v>0.7418865740740741</v>
      </c>
      <c r="AA2293" s="566">
        <f t="shared" si="255"/>
        <v>4.652777777777839E-3</v>
      </c>
      <c r="AB2293" s="699"/>
    </row>
    <row r="2294" spans="1:28" x14ac:dyDescent="0.3">
      <c r="A2294" s="79" t="s">
        <v>6904</v>
      </c>
      <c r="C2294" s="115">
        <v>43959</v>
      </c>
      <c r="D2294" s="312">
        <v>43998</v>
      </c>
      <c r="E2294" s="81">
        <v>43986</v>
      </c>
      <c r="F2294" s="86" t="s">
        <v>7024</v>
      </c>
      <c r="G2294" s="86" t="s">
        <v>158</v>
      </c>
      <c r="H2294" s="96" t="s">
        <v>213</v>
      </c>
      <c r="I2294" s="97" t="s">
        <v>722</v>
      </c>
      <c r="J2294" s="73">
        <f t="shared" si="253"/>
        <v>1</v>
      </c>
      <c r="K2294" s="74" t="s">
        <v>204</v>
      </c>
      <c r="L2294" s="97" t="s">
        <v>7566</v>
      </c>
      <c r="N2294" s="76" t="s">
        <v>17</v>
      </c>
      <c r="Q2294" s="76" t="s">
        <v>2417</v>
      </c>
      <c r="R2294" s="73">
        <f t="shared" si="254"/>
        <v>1</v>
      </c>
      <c r="S2294" s="260" t="s">
        <v>1976</v>
      </c>
      <c r="T2294" s="260" t="s">
        <v>925</v>
      </c>
      <c r="Y2294" s="566">
        <v>0.7198148148148148</v>
      </c>
      <c r="Z2294" s="566">
        <v>0.74333333333333329</v>
      </c>
      <c r="AA2294" s="566">
        <f t="shared" si="255"/>
        <v>2.3518518518518494E-2</v>
      </c>
      <c r="AB2294" s="699"/>
    </row>
    <row r="2295" spans="1:28" x14ac:dyDescent="0.3">
      <c r="A2295" s="79" t="s">
        <v>6905</v>
      </c>
      <c r="C2295" s="115">
        <v>43959</v>
      </c>
      <c r="D2295" s="312">
        <v>43998</v>
      </c>
      <c r="E2295" s="81">
        <v>43986</v>
      </c>
      <c r="F2295" s="86" t="s">
        <v>6551</v>
      </c>
      <c r="G2295" s="86" t="s">
        <v>3771</v>
      </c>
      <c r="H2295" s="96" t="s">
        <v>213</v>
      </c>
      <c r="I2295" s="97" t="s">
        <v>714</v>
      </c>
      <c r="J2295" s="73">
        <f t="shared" si="253"/>
        <v>1</v>
      </c>
      <c r="K2295" s="74" t="s">
        <v>204</v>
      </c>
      <c r="L2295" s="97" t="s">
        <v>7071</v>
      </c>
      <c r="N2295" s="76" t="s">
        <v>18</v>
      </c>
      <c r="Q2295" s="76" t="s">
        <v>2417</v>
      </c>
      <c r="R2295" s="73">
        <f t="shared" si="254"/>
        <v>1</v>
      </c>
      <c r="S2295" s="260" t="s">
        <v>1976</v>
      </c>
      <c r="T2295" s="260" t="s">
        <v>924</v>
      </c>
      <c r="Y2295" s="566">
        <v>0.76406249999999998</v>
      </c>
      <c r="Z2295" s="566">
        <v>0.77146990740740751</v>
      </c>
      <c r="AA2295" s="566">
        <f t="shared" si="255"/>
        <v>7.4074074074075291E-3</v>
      </c>
      <c r="AB2295" s="699"/>
    </row>
    <row r="2296" spans="1:28" x14ac:dyDescent="0.3">
      <c r="A2296" s="79" t="s">
        <v>6906</v>
      </c>
      <c r="C2296" s="115">
        <v>43959</v>
      </c>
      <c r="D2296" s="312">
        <v>43998</v>
      </c>
      <c r="E2296" s="81">
        <v>43986</v>
      </c>
      <c r="F2296" s="86" t="s">
        <v>7025</v>
      </c>
      <c r="G2296" s="86" t="s">
        <v>147</v>
      </c>
      <c r="H2296" s="96" t="s">
        <v>213</v>
      </c>
      <c r="I2296" s="97" t="s">
        <v>642</v>
      </c>
      <c r="J2296" s="73">
        <f t="shared" si="253"/>
        <v>1</v>
      </c>
      <c r="K2296" s="74" t="s">
        <v>204</v>
      </c>
      <c r="L2296" s="97" t="s">
        <v>7110</v>
      </c>
      <c r="N2296" s="76" t="s">
        <v>18</v>
      </c>
      <c r="Q2296" s="76" t="s">
        <v>2417</v>
      </c>
      <c r="R2296" s="73">
        <f t="shared" si="254"/>
        <v>1</v>
      </c>
      <c r="S2296" s="260" t="s">
        <v>1976</v>
      </c>
      <c r="T2296" s="260" t="s">
        <v>924</v>
      </c>
      <c r="Y2296" s="566">
        <v>0.77170138888888884</v>
      </c>
      <c r="Z2296" s="566">
        <v>0.77572916666666669</v>
      </c>
      <c r="AA2296" s="566">
        <f t="shared" si="255"/>
        <v>4.0277777777778523E-3</v>
      </c>
      <c r="AB2296" s="699"/>
    </row>
    <row r="2297" spans="1:28" x14ac:dyDescent="0.3">
      <c r="A2297" s="79" t="s">
        <v>6907</v>
      </c>
      <c r="C2297" s="115">
        <v>43959</v>
      </c>
      <c r="D2297" s="312">
        <v>43998</v>
      </c>
      <c r="E2297" s="81">
        <v>43990</v>
      </c>
      <c r="F2297" s="86" t="s">
        <v>7026</v>
      </c>
      <c r="G2297" s="86" t="s">
        <v>152</v>
      </c>
      <c r="H2297" s="96" t="s">
        <v>213</v>
      </c>
      <c r="I2297" s="97" t="s">
        <v>722</v>
      </c>
      <c r="J2297" s="73">
        <f t="shared" si="253"/>
        <v>1</v>
      </c>
      <c r="K2297" s="74" t="s">
        <v>204</v>
      </c>
      <c r="L2297" s="97" t="s">
        <v>7596</v>
      </c>
      <c r="N2297" s="76" t="s">
        <v>17</v>
      </c>
      <c r="Q2297" s="76" t="s">
        <v>2109</v>
      </c>
      <c r="R2297" s="73">
        <f t="shared" si="254"/>
        <v>1</v>
      </c>
      <c r="S2297" s="260" t="s">
        <v>1976</v>
      </c>
      <c r="T2297" s="260" t="s">
        <v>924</v>
      </c>
      <c r="U2297" s="301" t="s">
        <v>5283</v>
      </c>
      <c r="V2297" s="301" t="s">
        <v>7597</v>
      </c>
      <c r="Y2297" s="566">
        <v>0.74550925925925926</v>
      </c>
      <c r="Z2297" s="566">
        <v>0.77824074074074068</v>
      </c>
      <c r="AA2297" s="566">
        <f t="shared" si="255"/>
        <v>3.2731481481481417E-2</v>
      </c>
      <c r="AB2297" s="699"/>
    </row>
    <row r="2298" spans="1:28" x14ac:dyDescent="0.3">
      <c r="A2298" s="79" t="s">
        <v>7389</v>
      </c>
      <c r="C2298" s="115">
        <v>43959</v>
      </c>
      <c r="D2298" s="312">
        <v>43998</v>
      </c>
      <c r="E2298" s="81">
        <v>43987</v>
      </c>
      <c r="F2298" s="86" t="s">
        <v>7457</v>
      </c>
      <c r="G2298" s="86" t="s">
        <v>157</v>
      </c>
      <c r="H2298" s="96" t="s">
        <v>213</v>
      </c>
      <c r="I2298" s="97" t="s">
        <v>714</v>
      </c>
      <c r="J2298" s="73">
        <f t="shared" si="253"/>
        <v>1</v>
      </c>
      <c r="K2298" s="74" t="s">
        <v>204</v>
      </c>
      <c r="L2298" s="97" t="s">
        <v>7571</v>
      </c>
      <c r="N2298" s="76" t="s">
        <v>18</v>
      </c>
      <c r="Q2298" s="76" t="s">
        <v>2417</v>
      </c>
      <c r="R2298" s="73">
        <f t="shared" si="254"/>
        <v>1</v>
      </c>
      <c r="S2298" s="260" t="s">
        <v>1976</v>
      </c>
      <c r="T2298" s="260" t="s">
        <v>925</v>
      </c>
      <c r="U2298" s="301" t="s">
        <v>5283</v>
      </c>
      <c r="V2298" s="301" t="s">
        <v>7572</v>
      </c>
      <c r="Y2298" s="566">
        <v>0.52008101851851851</v>
      </c>
      <c r="Z2298" s="566">
        <v>0.52826388888888887</v>
      </c>
      <c r="AA2298" s="566">
        <f t="shared" si="255"/>
        <v>8.1828703703703543E-3</v>
      </c>
      <c r="AB2298" s="699"/>
    </row>
    <row r="2299" spans="1:28" x14ac:dyDescent="0.3">
      <c r="A2299" s="79" t="s">
        <v>6908</v>
      </c>
      <c r="C2299" s="115">
        <v>43959</v>
      </c>
      <c r="D2299" s="312">
        <v>43998</v>
      </c>
      <c r="E2299" s="81">
        <v>43987</v>
      </c>
      <c r="F2299" s="86" t="s">
        <v>7027</v>
      </c>
      <c r="G2299" s="86" t="s">
        <v>154</v>
      </c>
      <c r="H2299" s="96" t="s">
        <v>213</v>
      </c>
      <c r="I2299" s="97" t="s">
        <v>645</v>
      </c>
      <c r="J2299" s="73">
        <f t="shared" si="253"/>
        <v>1</v>
      </c>
      <c r="K2299" s="74" t="s">
        <v>204</v>
      </c>
      <c r="L2299" s="97" t="s">
        <v>7580</v>
      </c>
      <c r="N2299" s="76" t="s">
        <v>17</v>
      </c>
      <c r="Q2299" s="76" t="s">
        <v>2142</v>
      </c>
      <c r="R2299" s="73">
        <f t="shared" si="254"/>
        <v>1</v>
      </c>
      <c r="S2299" s="260" t="s">
        <v>1976</v>
      </c>
      <c r="T2299" s="260" t="s">
        <v>924</v>
      </c>
      <c r="Y2299" s="566">
        <v>0.84672453703703709</v>
      </c>
      <c r="Z2299" s="566">
        <v>0.8520833333333333</v>
      </c>
      <c r="AA2299" s="566">
        <f t="shared" si="255"/>
        <v>5.3587962962962088E-3</v>
      </c>
      <c r="AB2299" s="699"/>
    </row>
    <row r="2300" spans="1:28" x14ac:dyDescent="0.3">
      <c r="A2300" s="79" t="s">
        <v>7390</v>
      </c>
      <c r="C2300" s="115">
        <v>43963</v>
      </c>
      <c r="D2300" s="312">
        <v>43999</v>
      </c>
      <c r="E2300" s="81">
        <v>43990</v>
      </c>
      <c r="F2300" s="86" t="s">
        <v>7458</v>
      </c>
      <c r="G2300" s="86" t="s">
        <v>150</v>
      </c>
      <c r="H2300" s="96" t="s">
        <v>213</v>
      </c>
      <c r="I2300" s="97" t="s">
        <v>714</v>
      </c>
      <c r="J2300" s="73">
        <f t="shared" si="253"/>
        <v>1</v>
      </c>
      <c r="K2300" s="74" t="s">
        <v>204</v>
      </c>
      <c r="L2300" s="97" t="s">
        <v>7593</v>
      </c>
      <c r="N2300" s="76" t="s">
        <v>17</v>
      </c>
      <c r="Q2300" s="76" t="s">
        <v>2417</v>
      </c>
      <c r="R2300" s="73">
        <f t="shared" si="254"/>
        <v>1</v>
      </c>
      <c r="S2300" s="260" t="s">
        <v>1976</v>
      </c>
      <c r="T2300" s="260" t="s">
        <v>925</v>
      </c>
      <c r="Y2300" s="566">
        <v>0.64839120370370373</v>
      </c>
      <c r="Z2300" s="566">
        <v>0.65991898148148154</v>
      </c>
      <c r="AA2300" s="566">
        <f t="shared" si="255"/>
        <v>1.1527777777777803E-2</v>
      </c>
      <c r="AB2300" s="699"/>
    </row>
    <row r="2301" spans="1:28" x14ac:dyDescent="0.3">
      <c r="A2301" s="79" t="s">
        <v>7391</v>
      </c>
      <c r="C2301" s="115">
        <v>43963</v>
      </c>
      <c r="D2301" s="312">
        <v>43999</v>
      </c>
      <c r="E2301" s="81">
        <v>43990</v>
      </c>
      <c r="F2301" s="86" t="s">
        <v>7459</v>
      </c>
      <c r="G2301" s="86" t="s">
        <v>150</v>
      </c>
      <c r="H2301" s="96" t="s">
        <v>213</v>
      </c>
      <c r="I2301" s="97" t="s">
        <v>641</v>
      </c>
      <c r="J2301" s="73">
        <f t="shared" si="253"/>
        <v>1</v>
      </c>
      <c r="K2301" s="74" t="s">
        <v>204</v>
      </c>
      <c r="L2301" s="97" t="s">
        <v>7071</v>
      </c>
      <c r="N2301" s="76" t="s">
        <v>17</v>
      </c>
      <c r="Q2301" s="76" t="s">
        <v>2037</v>
      </c>
      <c r="R2301" s="73">
        <f t="shared" si="254"/>
        <v>1</v>
      </c>
      <c r="S2301" s="260" t="s">
        <v>1976</v>
      </c>
      <c r="T2301" s="260" t="s">
        <v>924</v>
      </c>
      <c r="Y2301" s="566">
        <v>0.79530092592592594</v>
      </c>
      <c r="Z2301" s="566">
        <v>0.80071759259259256</v>
      </c>
      <c r="AA2301" s="566">
        <f t="shared" si="255"/>
        <v>5.4166666666666252E-3</v>
      </c>
      <c r="AB2301" s="699"/>
    </row>
    <row r="2302" spans="1:28" x14ac:dyDescent="0.3">
      <c r="A2302" s="79" t="s">
        <v>6917</v>
      </c>
      <c r="C2302" s="115">
        <v>43963</v>
      </c>
      <c r="D2302" s="312">
        <v>43999</v>
      </c>
      <c r="E2302" s="81">
        <v>43990</v>
      </c>
      <c r="F2302" s="86" t="s">
        <v>7036</v>
      </c>
      <c r="G2302" s="86" t="s">
        <v>175</v>
      </c>
      <c r="H2302" s="96" t="s">
        <v>213</v>
      </c>
      <c r="I2302" s="97" t="s">
        <v>714</v>
      </c>
      <c r="J2302" s="73">
        <f t="shared" si="253"/>
        <v>1</v>
      </c>
      <c r="K2302" s="74" t="s">
        <v>204</v>
      </c>
      <c r="L2302" s="97" t="s">
        <v>7336</v>
      </c>
      <c r="N2302" s="76" t="s">
        <v>18</v>
      </c>
      <c r="Q2302" s="76" t="s">
        <v>2037</v>
      </c>
      <c r="R2302" s="73">
        <f t="shared" si="254"/>
        <v>1</v>
      </c>
      <c r="S2302" s="260" t="s">
        <v>1976</v>
      </c>
      <c r="T2302" s="260" t="s">
        <v>923</v>
      </c>
      <c r="Y2302" s="566">
        <v>0.80122685185185183</v>
      </c>
      <c r="Z2302" s="566">
        <v>0.81576388888888884</v>
      </c>
      <c r="AA2302" s="566">
        <f t="shared" si="255"/>
        <v>1.4537037037037015E-2</v>
      </c>
      <c r="AB2302" s="699"/>
    </row>
    <row r="2303" spans="1:28" x14ac:dyDescent="0.3">
      <c r="A2303" s="79" t="s">
        <v>6919</v>
      </c>
      <c r="C2303" s="115">
        <v>43963</v>
      </c>
      <c r="D2303" s="312">
        <v>44000</v>
      </c>
      <c r="E2303" s="81">
        <v>43990</v>
      </c>
      <c r="F2303" s="86" t="s">
        <v>7038</v>
      </c>
      <c r="G2303" s="86" t="s">
        <v>147</v>
      </c>
      <c r="H2303" s="96" t="s">
        <v>213</v>
      </c>
      <c r="I2303" s="97" t="s">
        <v>6525</v>
      </c>
      <c r="J2303" s="73">
        <f t="shared" si="253"/>
        <v>1</v>
      </c>
      <c r="K2303" s="74" t="s">
        <v>204</v>
      </c>
      <c r="L2303" s="97" t="s">
        <v>7586</v>
      </c>
      <c r="N2303" s="76" t="s">
        <v>18</v>
      </c>
      <c r="Q2303" s="76" t="s">
        <v>2076</v>
      </c>
      <c r="R2303" s="73">
        <f t="shared" si="254"/>
        <v>1</v>
      </c>
      <c r="S2303" s="260" t="s">
        <v>1976</v>
      </c>
      <c r="T2303" s="260" t="s">
        <v>925</v>
      </c>
      <c r="U2303" s="301" t="s">
        <v>5283</v>
      </c>
      <c r="V2303" s="301" t="s">
        <v>7587</v>
      </c>
      <c r="Y2303" s="566">
        <v>0.50026620370370367</v>
      </c>
      <c r="Z2303" s="566">
        <v>0.51105324074074077</v>
      </c>
      <c r="AA2303" s="566">
        <f t="shared" si="255"/>
        <v>1.0787037037037095E-2</v>
      </c>
      <c r="AB2303" s="699"/>
    </row>
    <row r="2304" spans="1:28" x14ac:dyDescent="0.3">
      <c r="A2304" s="79" t="s">
        <v>6920</v>
      </c>
      <c r="C2304" s="115">
        <v>43963</v>
      </c>
      <c r="D2304" s="312">
        <v>44000</v>
      </c>
      <c r="E2304" s="81">
        <v>43990</v>
      </c>
      <c r="F2304" s="86" t="s">
        <v>7039</v>
      </c>
      <c r="G2304" s="86" t="s">
        <v>152</v>
      </c>
      <c r="H2304" s="96" t="s">
        <v>213</v>
      </c>
      <c r="I2304" s="97" t="s">
        <v>645</v>
      </c>
      <c r="J2304" s="73">
        <f t="shared" si="253"/>
        <v>1</v>
      </c>
      <c r="K2304" s="74" t="s">
        <v>204</v>
      </c>
      <c r="L2304" s="97" t="s">
        <v>7598</v>
      </c>
      <c r="N2304" s="76" t="s">
        <v>17</v>
      </c>
      <c r="Q2304" s="76" t="s">
        <v>2417</v>
      </c>
      <c r="R2304" s="73">
        <f t="shared" si="254"/>
        <v>1</v>
      </c>
      <c r="S2304" s="260" t="s">
        <v>1976</v>
      </c>
      <c r="T2304" s="260" t="s">
        <v>923</v>
      </c>
      <c r="U2304" s="301" t="s">
        <v>5283</v>
      </c>
      <c r="V2304" s="301" t="s">
        <v>7599</v>
      </c>
      <c r="Y2304" s="566">
        <v>0.81628472222222215</v>
      </c>
      <c r="Z2304" s="566">
        <v>0.857488425925926</v>
      </c>
      <c r="AA2304" s="566">
        <f t="shared" si="255"/>
        <v>4.1203703703703853E-2</v>
      </c>
      <c r="AB2304" s="699"/>
    </row>
    <row r="2305" spans="1:28" x14ac:dyDescent="0.3">
      <c r="A2305" s="79" t="s">
        <v>6921</v>
      </c>
      <c r="C2305" s="115">
        <v>43963</v>
      </c>
      <c r="D2305" s="312">
        <v>43999</v>
      </c>
      <c r="E2305" s="81">
        <v>43987</v>
      </c>
      <c r="F2305" s="86" t="s">
        <v>7040</v>
      </c>
      <c r="G2305" s="86" t="s">
        <v>156</v>
      </c>
      <c r="H2305" s="96" t="s">
        <v>213</v>
      </c>
      <c r="I2305" s="97" t="s">
        <v>714</v>
      </c>
      <c r="J2305" s="73">
        <f t="shared" si="253"/>
        <v>1</v>
      </c>
      <c r="K2305" s="74" t="s">
        <v>204</v>
      </c>
      <c r="L2305" s="97" t="s">
        <v>7574</v>
      </c>
      <c r="N2305" s="76" t="s">
        <v>17</v>
      </c>
      <c r="Q2305" s="76" t="s">
        <v>2076</v>
      </c>
      <c r="R2305" s="73">
        <f t="shared" si="254"/>
        <v>1</v>
      </c>
      <c r="S2305" s="260" t="s">
        <v>1976</v>
      </c>
      <c r="T2305" s="260" t="s">
        <v>925</v>
      </c>
      <c r="Y2305" s="566">
        <v>0.58233796296296292</v>
      </c>
      <c r="Z2305" s="566">
        <v>0.59063657407407411</v>
      </c>
      <c r="AA2305" s="566">
        <f t="shared" si="255"/>
        <v>8.2986111111111871E-3</v>
      </c>
      <c r="AB2305" s="699"/>
    </row>
    <row r="2306" spans="1:28" x14ac:dyDescent="0.3">
      <c r="A2306" s="79" t="s">
        <v>6924</v>
      </c>
      <c r="C2306" s="115">
        <v>43963</v>
      </c>
      <c r="D2306" s="312">
        <v>44000</v>
      </c>
      <c r="E2306" s="81">
        <v>43992</v>
      </c>
      <c r="F2306" s="86" t="s">
        <v>7043</v>
      </c>
      <c r="G2306" s="86" t="s">
        <v>152</v>
      </c>
      <c r="H2306" s="96" t="s">
        <v>213</v>
      </c>
      <c r="I2306" s="97" t="s">
        <v>714</v>
      </c>
      <c r="J2306" s="73">
        <f t="shared" si="253"/>
        <v>1</v>
      </c>
      <c r="K2306" s="74" t="s">
        <v>204</v>
      </c>
      <c r="L2306" s="97" t="s">
        <v>7336</v>
      </c>
      <c r="N2306" s="76" t="s">
        <v>17</v>
      </c>
      <c r="Q2306" s="76" t="s">
        <v>2142</v>
      </c>
      <c r="R2306" s="73">
        <f t="shared" si="254"/>
        <v>1</v>
      </c>
      <c r="S2306" s="260" t="s">
        <v>1976</v>
      </c>
      <c r="T2306" s="260" t="s">
        <v>923</v>
      </c>
      <c r="Y2306" s="566">
        <v>0.52026620370370369</v>
      </c>
      <c r="Z2306" s="566">
        <v>0.53055555555555556</v>
      </c>
      <c r="AA2306" s="566">
        <f t="shared" si="255"/>
        <v>1.0289351851851869E-2</v>
      </c>
      <c r="AB2306" s="699"/>
    </row>
    <row r="2307" spans="1:28" x14ac:dyDescent="0.3">
      <c r="A2307" s="79" t="s">
        <v>6925</v>
      </c>
      <c r="C2307" s="115">
        <v>43963</v>
      </c>
      <c r="D2307" s="312">
        <v>43999</v>
      </c>
      <c r="E2307" s="81">
        <v>43987</v>
      </c>
      <c r="F2307" s="86" t="s">
        <v>7044</v>
      </c>
      <c r="G2307" s="86" t="s">
        <v>156</v>
      </c>
      <c r="H2307" s="96" t="s">
        <v>213</v>
      </c>
      <c r="I2307" s="97" t="s">
        <v>641</v>
      </c>
      <c r="J2307" s="73">
        <f t="shared" si="253"/>
        <v>1</v>
      </c>
      <c r="K2307" s="74" t="s">
        <v>204</v>
      </c>
      <c r="L2307" s="97" t="s">
        <v>7349</v>
      </c>
      <c r="N2307" s="76" t="s">
        <v>17</v>
      </c>
      <c r="Q2307" s="76" t="s">
        <v>2076</v>
      </c>
      <c r="R2307" s="73">
        <f t="shared" si="254"/>
        <v>1</v>
      </c>
      <c r="S2307" s="260" t="s">
        <v>1976</v>
      </c>
      <c r="T2307" s="260" t="s">
        <v>923</v>
      </c>
      <c r="Y2307" s="566">
        <v>0.57119212962962962</v>
      </c>
      <c r="Z2307" s="566">
        <v>0.58215277777777774</v>
      </c>
      <c r="AA2307" s="566">
        <f t="shared" si="255"/>
        <v>1.0960648148148122E-2</v>
      </c>
      <c r="AB2307" s="699"/>
    </row>
    <row r="2308" spans="1:28" x14ac:dyDescent="0.3">
      <c r="A2308" s="79" t="s">
        <v>6929</v>
      </c>
      <c r="C2308" s="115">
        <v>43963</v>
      </c>
      <c r="D2308" s="312">
        <v>44000</v>
      </c>
      <c r="E2308" s="81">
        <v>43990</v>
      </c>
      <c r="F2308" s="86" t="s">
        <v>7048</v>
      </c>
      <c r="G2308" s="86" t="s">
        <v>156</v>
      </c>
      <c r="H2308" s="96" t="s">
        <v>213</v>
      </c>
      <c r="I2308" s="97" t="s">
        <v>642</v>
      </c>
      <c r="J2308" s="73">
        <f t="shared" si="253"/>
        <v>1</v>
      </c>
      <c r="K2308" s="74" t="s">
        <v>204</v>
      </c>
      <c r="L2308" s="97" t="s">
        <v>7108</v>
      </c>
      <c r="N2308" s="76" t="s">
        <v>18</v>
      </c>
      <c r="Q2308" s="76" t="s">
        <v>2076</v>
      </c>
      <c r="R2308" s="73">
        <f t="shared" si="254"/>
        <v>1</v>
      </c>
      <c r="S2308" s="260" t="s">
        <v>1976</v>
      </c>
      <c r="T2308" s="260" t="s">
        <v>924</v>
      </c>
      <c r="Y2308" s="566">
        <v>0.49640046296296297</v>
      </c>
      <c r="Z2308" s="566">
        <v>0.49993055555555554</v>
      </c>
      <c r="AA2308" s="566">
        <f t="shared" si="255"/>
        <v>3.5300925925925708E-3</v>
      </c>
      <c r="AB2308" s="699"/>
    </row>
    <row r="2309" spans="1:28" x14ac:dyDescent="0.3">
      <c r="A2309" s="79" t="s">
        <v>6930</v>
      </c>
      <c r="C2309" s="115">
        <v>43963</v>
      </c>
      <c r="D2309" s="312">
        <v>43999</v>
      </c>
      <c r="E2309" s="81">
        <v>43991</v>
      </c>
      <c r="F2309" s="86" t="s">
        <v>7049</v>
      </c>
      <c r="G2309" s="86" t="s">
        <v>147</v>
      </c>
      <c r="H2309" s="96" t="s">
        <v>213</v>
      </c>
      <c r="I2309" s="97" t="s">
        <v>714</v>
      </c>
      <c r="J2309" s="73">
        <f t="shared" si="253"/>
        <v>1</v>
      </c>
      <c r="K2309" s="74" t="s">
        <v>204</v>
      </c>
      <c r="L2309" s="97" t="s">
        <v>7607</v>
      </c>
      <c r="N2309" s="76" t="s">
        <v>17</v>
      </c>
      <c r="Q2309" s="76" t="s">
        <v>2142</v>
      </c>
      <c r="R2309" s="73">
        <f t="shared" si="254"/>
        <v>1</v>
      </c>
      <c r="S2309" s="260" t="s">
        <v>1976</v>
      </c>
      <c r="T2309" s="260" t="s">
        <v>924</v>
      </c>
      <c r="Y2309" s="566">
        <v>0.71577546296296291</v>
      </c>
      <c r="Z2309" s="566">
        <v>0.72075231481481483</v>
      </c>
      <c r="AA2309" s="566">
        <f t="shared" si="255"/>
        <v>4.9768518518519267E-3</v>
      </c>
      <c r="AB2309" s="699"/>
    </row>
    <row r="2310" spans="1:28" x14ac:dyDescent="0.3">
      <c r="A2310" s="79" t="s">
        <v>6934</v>
      </c>
      <c r="C2310" s="115">
        <v>43963</v>
      </c>
      <c r="D2310" s="312">
        <v>44000</v>
      </c>
      <c r="E2310" s="81">
        <v>43992</v>
      </c>
      <c r="F2310" s="86" t="s">
        <v>7053</v>
      </c>
      <c r="G2310" s="86" t="s">
        <v>154</v>
      </c>
      <c r="H2310" s="96" t="s">
        <v>213</v>
      </c>
      <c r="I2310" s="97" t="s">
        <v>722</v>
      </c>
      <c r="J2310" s="73">
        <f t="shared" si="253"/>
        <v>1</v>
      </c>
      <c r="K2310" s="74" t="s">
        <v>204</v>
      </c>
      <c r="L2310" s="97" t="s">
        <v>7615</v>
      </c>
      <c r="N2310" s="76" t="s">
        <v>18</v>
      </c>
      <c r="Q2310" s="76" t="s">
        <v>2417</v>
      </c>
      <c r="R2310" s="73">
        <f t="shared" si="254"/>
        <v>1</v>
      </c>
      <c r="S2310" s="260" t="s">
        <v>1976</v>
      </c>
      <c r="T2310" s="260" t="s">
        <v>925</v>
      </c>
      <c r="Y2310" s="566">
        <v>0.41589120370370369</v>
      </c>
      <c r="Z2310" s="566">
        <v>0.42495370370370367</v>
      </c>
      <c r="AA2310" s="566">
        <f t="shared" si="255"/>
        <v>9.0624999999999734E-3</v>
      </c>
      <c r="AB2310" s="699"/>
    </row>
    <row r="2311" spans="1:28" x14ac:dyDescent="0.3">
      <c r="A2311" s="79" t="s">
        <v>6935</v>
      </c>
      <c r="C2311" s="115">
        <v>43964</v>
      </c>
      <c r="D2311" s="312">
        <v>44000</v>
      </c>
      <c r="E2311" s="81">
        <v>43991</v>
      </c>
      <c r="F2311" s="86" t="s">
        <v>7054</v>
      </c>
      <c r="G2311" s="86" t="s">
        <v>147</v>
      </c>
      <c r="H2311" s="96" t="s">
        <v>213</v>
      </c>
      <c r="I2311" s="97" t="s">
        <v>641</v>
      </c>
      <c r="J2311" s="73">
        <f t="shared" si="253"/>
        <v>1</v>
      </c>
      <c r="K2311" s="74" t="s">
        <v>204</v>
      </c>
      <c r="L2311" s="97" t="s">
        <v>7334</v>
      </c>
      <c r="N2311" s="76" t="s">
        <v>18</v>
      </c>
      <c r="Q2311" s="76" t="s">
        <v>2037</v>
      </c>
      <c r="R2311" s="73">
        <f t="shared" si="254"/>
        <v>1</v>
      </c>
      <c r="S2311" s="260" t="s">
        <v>1976</v>
      </c>
      <c r="T2311" s="260" t="s">
        <v>923</v>
      </c>
      <c r="Y2311" s="566">
        <v>0.74672453703703701</v>
      </c>
      <c r="Z2311" s="566">
        <v>0.75543981481481481</v>
      </c>
      <c r="AA2311" s="566">
        <f t="shared" si="255"/>
        <v>8.7152777777778079E-3</v>
      </c>
      <c r="AB2311" s="699"/>
    </row>
    <row r="2312" spans="1:28" x14ac:dyDescent="0.3">
      <c r="A2312" s="96" t="s">
        <v>6936</v>
      </c>
      <c r="C2312" s="115">
        <v>43964</v>
      </c>
      <c r="D2312" s="312">
        <v>44000</v>
      </c>
      <c r="E2312" s="81">
        <v>43992</v>
      </c>
      <c r="F2312" s="86" t="s">
        <v>7055</v>
      </c>
      <c r="G2312" s="86" t="s">
        <v>158</v>
      </c>
      <c r="H2312" s="79" t="s">
        <v>268</v>
      </c>
      <c r="I2312" s="97" t="s">
        <v>641</v>
      </c>
      <c r="J2312" s="73">
        <f t="shared" si="253"/>
        <v>1</v>
      </c>
      <c r="K2312" s="74" t="s">
        <v>204</v>
      </c>
      <c r="L2312" s="97" t="s">
        <v>7622</v>
      </c>
      <c r="N2312" s="76" t="s">
        <v>18</v>
      </c>
      <c r="Q2312" s="76" t="s">
        <v>2037</v>
      </c>
      <c r="R2312" s="73">
        <f t="shared" si="254"/>
        <v>1</v>
      </c>
      <c r="S2312" s="260" t="s">
        <v>1976</v>
      </c>
      <c r="T2312" s="260" t="s">
        <v>923</v>
      </c>
      <c r="U2312" s="301" t="s">
        <v>5283</v>
      </c>
      <c r="V2312" s="301" t="s">
        <v>7623</v>
      </c>
      <c r="Y2312" s="566">
        <v>0.57831018518518518</v>
      </c>
      <c r="Z2312" s="566">
        <v>0.61106481481481478</v>
      </c>
      <c r="AA2312" s="566">
        <f t="shared" si="255"/>
        <v>3.2754629629629606E-2</v>
      </c>
      <c r="AB2312" s="699"/>
    </row>
    <row r="2313" spans="1:28" x14ac:dyDescent="0.3">
      <c r="A2313" s="79" t="s">
        <v>7131</v>
      </c>
      <c r="C2313" s="115">
        <v>43964</v>
      </c>
      <c r="D2313" s="312">
        <v>44001</v>
      </c>
      <c r="E2313" s="81">
        <v>43991</v>
      </c>
      <c r="F2313" s="86" t="s">
        <v>7220</v>
      </c>
      <c r="G2313" s="86" t="s">
        <v>156</v>
      </c>
      <c r="H2313" s="96" t="s">
        <v>213</v>
      </c>
      <c r="I2313" s="97" t="s">
        <v>722</v>
      </c>
      <c r="J2313" s="73">
        <f t="shared" si="253"/>
        <v>1</v>
      </c>
      <c r="K2313" s="74" t="s">
        <v>204</v>
      </c>
      <c r="L2313" s="97" t="s">
        <v>7524</v>
      </c>
      <c r="N2313" s="76" t="s">
        <v>18</v>
      </c>
      <c r="Q2313" s="76" t="s">
        <v>2076</v>
      </c>
      <c r="R2313" s="73">
        <f t="shared" si="254"/>
        <v>1</v>
      </c>
      <c r="S2313" s="260" t="s">
        <v>1976</v>
      </c>
      <c r="T2313" s="260" t="s">
        <v>925</v>
      </c>
      <c r="U2313" s="301" t="s">
        <v>5283</v>
      </c>
      <c r="V2313" s="301" t="s">
        <v>7613</v>
      </c>
      <c r="Y2313" s="566">
        <v>0.93210648148148145</v>
      </c>
      <c r="Z2313" s="566">
        <v>0.94177083333333333</v>
      </c>
      <c r="AA2313" s="566">
        <f t="shared" si="255"/>
        <v>9.6643518518518823E-3</v>
      </c>
      <c r="AB2313" s="699"/>
    </row>
    <row r="2314" spans="1:28" x14ac:dyDescent="0.3">
      <c r="A2314" s="79" t="s">
        <v>7132</v>
      </c>
      <c r="C2314" s="115">
        <v>43964</v>
      </c>
      <c r="D2314" s="312">
        <v>44001</v>
      </c>
      <c r="E2314" s="81">
        <v>43991</v>
      </c>
      <c r="F2314" s="86" t="s">
        <v>7221</v>
      </c>
      <c r="G2314" s="86" t="s">
        <v>156</v>
      </c>
      <c r="H2314" s="96" t="s">
        <v>213</v>
      </c>
      <c r="I2314" s="97" t="s">
        <v>714</v>
      </c>
      <c r="J2314" s="73">
        <f t="shared" si="253"/>
        <v>1</v>
      </c>
      <c r="K2314" s="74" t="s">
        <v>204</v>
      </c>
      <c r="L2314" s="97" t="s">
        <v>7072</v>
      </c>
      <c r="N2314" s="76" t="s">
        <v>18</v>
      </c>
      <c r="Q2314" s="76" t="s">
        <v>2037</v>
      </c>
      <c r="R2314" s="73">
        <f t="shared" si="254"/>
        <v>1</v>
      </c>
      <c r="S2314" s="260" t="s">
        <v>1976</v>
      </c>
      <c r="T2314" s="260" t="s">
        <v>924</v>
      </c>
      <c r="Y2314" s="566">
        <v>0.84599537037037031</v>
      </c>
      <c r="Z2314" s="566">
        <v>0.85482638888888884</v>
      </c>
      <c r="AA2314" s="566">
        <f t="shared" si="255"/>
        <v>8.8310185185185297E-3</v>
      </c>
      <c r="AB2314" s="699"/>
    </row>
    <row r="2315" spans="1:28" x14ac:dyDescent="0.3">
      <c r="A2315" s="79" t="s">
        <v>7137</v>
      </c>
      <c r="C2315" s="115">
        <v>43965</v>
      </c>
      <c r="D2315" s="312">
        <v>44001</v>
      </c>
      <c r="E2315" s="81">
        <v>43992</v>
      </c>
      <c r="F2315" s="86" t="s">
        <v>7226</v>
      </c>
      <c r="G2315" s="86" t="s">
        <v>157</v>
      </c>
      <c r="H2315" s="96" t="s">
        <v>213</v>
      </c>
      <c r="I2315" s="97" t="s">
        <v>714</v>
      </c>
      <c r="J2315" s="73">
        <f t="shared" si="253"/>
        <v>1</v>
      </c>
      <c r="K2315" s="74" t="s">
        <v>204</v>
      </c>
      <c r="L2315" s="97" t="s">
        <v>7072</v>
      </c>
      <c r="N2315" s="76" t="s">
        <v>17</v>
      </c>
      <c r="Q2315" s="76" t="s">
        <v>2417</v>
      </c>
      <c r="R2315" s="73">
        <f t="shared" si="254"/>
        <v>1</v>
      </c>
      <c r="S2315" s="260" t="s">
        <v>1976</v>
      </c>
      <c r="T2315" s="260" t="s">
        <v>923</v>
      </c>
      <c r="Y2315" s="566">
        <v>0.44124999999999998</v>
      </c>
      <c r="Z2315" s="566">
        <v>0.45278935185185182</v>
      </c>
      <c r="AA2315" s="566">
        <f t="shared" si="255"/>
        <v>1.1539351851851842E-2</v>
      </c>
      <c r="AB2315" s="699"/>
    </row>
    <row r="2316" spans="1:28" x14ac:dyDescent="0.3">
      <c r="A2316" s="79" t="s">
        <v>7394</v>
      </c>
      <c r="C2316" s="115">
        <v>43965</v>
      </c>
      <c r="D2316" s="312">
        <v>44001</v>
      </c>
      <c r="E2316" s="81">
        <v>43992</v>
      </c>
      <c r="F2316" s="86" t="s">
        <v>7462</v>
      </c>
      <c r="G2316" s="86" t="s">
        <v>154</v>
      </c>
      <c r="H2316" s="96" t="s">
        <v>213</v>
      </c>
      <c r="I2316" s="97" t="s">
        <v>722</v>
      </c>
      <c r="J2316" s="73">
        <f t="shared" si="253"/>
        <v>1</v>
      </c>
      <c r="K2316" s="74" t="s">
        <v>204</v>
      </c>
      <c r="L2316" s="97" t="s">
        <v>7358</v>
      </c>
      <c r="N2316" s="76" t="s">
        <v>17</v>
      </c>
      <c r="Q2316" s="76" t="s">
        <v>2417</v>
      </c>
      <c r="R2316" s="73">
        <f t="shared" si="254"/>
        <v>1</v>
      </c>
      <c r="S2316" s="260" t="s">
        <v>1976</v>
      </c>
      <c r="T2316" s="260" t="s">
        <v>925</v>
      </c>
      <c r="Y2316" s="566">
        <v>0.45305555555555554</v>
      </c>
      <c r="Z2316" s="566">
        <v>0.46136574074074077</v>
      </c>
      <c r="AA2316" s="566">
        <f t="shared" si="255"/>
        <v>8.310185185185226E-3</v>
      </c>
      <c r="AB2316" s="699"/>
    </row>
    <row r="2317" spans="1:28" x14ac:dyDescent="0.3">
      <c r="A2317" s="79" t="s">
        <v>7152</v>
      </c>
      <c r="C2317" s="115">
        <v>43966</v>
      </c>
      <c r="D2317" s="312">
        <v>43990</v>
      </c>
      <c r="E2317" s="81">
        <v>43984</v>
      </c>
      <c r="F2317" s="86" t="s">
        <v>7241</v>
      </c>
      <c r="G2317" s="86" t="s">
        <v>156</v>
      </c>
      <c r="H2317" s="96" t="s">
        <v>213</v>
      </c>
      <c r="I2317" s="97" t="s">
        <v>649</v>
      </c>
      <c r="J2317" s="73">
        <f t="shared" ref="J2317:J2323" si="256">IF(OR(K2317="Документы готовы",K2317="Запрос в ФО",K2317="ЭЗ",K2317="РЕШ",K2317="РЕШ шаблон"),0.1,IF(OR(K2317="ЭЗ согласование",K2317="РЕШ согласование"),0.3,IF(OR(K2317="ЭЗ согласовано",K2317="РЕШ согласовано",K2317="РЕШ подписано"),0.6,IF(OR(K2317="ЭЗ ПР согласование",K2317="РЕШ УВ согласование"),0.9,IF(OR(K2317="ЭЗ ПР DONE",K2317="РЕШ УВ DONE"),1,0)))))</f>
        <v>1</v>
      </c>
      <c r="K2317" s="74" t="s">
        <v>204</v>
      </c>
      <c r="L2317" s="97" t="s">
        <v>7535</v>
      </c>
      <c r="N2317" s="76" t="s">
        <v>17</v>
      </c>
      <c r="Q2317" s="76" t="s">
        <v>2142</v>
      </c>
      <c r="R2317" s="73">
        <f t="shared" ref="R2317:R2323" si="257">IF(S2317="В работе",0.3,IF(S2317="Отписано",0.6,IF(S2317="На доработку",0.9,IF(S2317="Согласовано",1,0))))</f>
        <v>1</v>
      </c>
      <c r="S2317" s="260" t="s">
        <v>1976</v>
      </c>
      <c r="T2317" s="260" t="s">
        <v>923</v>
      </c>
      <c r="Y2317" s="566">
        <v>0.79174768518518512</v>
      </c>
      <c r="Z2317" s="566">
        <v>0.80245370370370372</v>
      </c>
      <c r="AA2317" s="566">
        <f t="shared" ref="AA2317:AA2323" si="258">Z2317-Y2317</f>
        <v>1.0706018518518601E-2</v>
      </c>
      <c r="AB2317" s="699"/>
    </row>
    <row r="2318" spans="1:28" x14ac:dyDescent="0.3">
      <c r="A2318" s="79" t="s">
        <v>7155</v>
      </c>
      <c r="C2318" s="115">
        <v>43966</v>
      </c>
      <c r="D2318" s="312">
        <v>43990</v>
      </c>
      <c r="E2318" s="81">
        <v>43984</v>
      </c>
      <c r="F2318" s="86" t="s">
        <v>7244</v>
      </c>
      <c r="G2318" s="86" t="s">
        <v>154</v>
      </c>
      <c r="H2318" s="96" t="s">
        <v>213</v>
      </c>
      <c r="I2318" s="97" t="s">
        <v>722</v>
      </c>
      <c r="J2318" s="73">
        <f t="shared" si="256"/>
        <v>1</v>
      </c>
      <c r="K2318" s="74" t="s">
        <v>204</v>
      </c>
      <c r="L2318" s="97" t="s">
        <v>7536</v>
      </c>
      <c r="N2318" s="76" t="s">
        <v>18</v>
      </c>
      <c r="Q2318" s="76" t="s">
        <v>2109</v>
      </c>
      <c r="R2318" s="73">
        <f t="shared" si="257"/>
        <v>1</v>
      </c>
      <c r="S2318" s="260" t="s">
        <v>1976</v>
      </c>
      <c r="T2318" s="260" t="s">
        <v>924</v>
      </c>
      <c r="Y2318" s="566">
        <v>0.8028819444444445</v>
      </c>
      <c r="Z2318" s="566">
        <v>0.81349537037037034</v>
      </c>
      <c r="AA2318" s="566">
        <f t="shared" si="258"/>
        <v>1.0613425925925846E-2</v>
      </c>
      <c r="AB2318" s="699" t="s">
        <v>7361</v>
      </c>
    </row>
    <row r="2319" spans="1:28" x14ac:dyDescent="0.3">
      <c r="A2319" s="79" t="s">
        <v>7156</v>
      </c>
      <c r="C2319" s="115">
        <v>43966</v>
      </c>
      <c r="D2319" s="312">
        <v>43990</v>
      </c>
      <c r="E2319" s="81">
        <v>43984</v>
      </c>
      <c r="F2319" s="86" t="s">
        <v>7245</v>
      </c>
      <c r="G2319" s="86" t="s">
        <v>186</v>
      </c>
      <c r="H2319" s="96" t="s">
        <v>213</v>
      </c>
      <c r="I2319" s="97" t="s">
        <v>649</v>
      </c>
      <c r="J2319" s="73">
        <f t="shared" si="256"/>
        <v>1</v>
      </c>
      <c r="K2319" s="74" t="s">
        <v>204</v>
      </c>
      <c r="L2319" s="97" t="s">
        <v>7537</v>
      </c>
      <c r="N2319" s="76" t="s">
        <v>17</v>
      </c>
      <c r="Q2319" s="76" t="s">
        <v>2109</v>
      </c>
      <c r="R2319" s="73">
        <f t="shared" si="257"/>
        <v>1</v>
      </c>
      <c r="S2319" s="260" t="s">
        <v>1976</v>
      </c>
      <c r="T2319" s="260" t="s">
        <v>923</v>
      </c>
      <c r="Y2319" s="566">
        <v>0.81387731481481485</v>
      </c>
      <c r="Z2319" s="566">
        <v>0.820775462962963</v>
      </c>
      <c r="AA2319" s="566">
        <f t="shared" si="258"/>
        <v>6.8981481481481532E-3</v>
      </c>
      <c r="AB2319" s="699"/>
    </row>
    <row r="2320" spans="1:28" x14ac:dyDescent="0.3">
      <c r="A2320" s="79" t="s">
        <v>7159</v>
      </c>
      <c r="C2320" s="115">
        <v>43969</v>
      </c>
      <c r="D2320" s="312">
        <v>43991</v>
      </c>
      <c r="E2320" s="81">
        <v>43984</v>
      </c>
      <c r="F2320" s="86" t="s">
        <v>7248</v>
      </c>
      <c r="G2320" s="86" t="s">
        <v>147</v>
      </c>
      <c r="H2320" s="96" t="s">
        <v>213</v>
      </c>
      <c r="I2320" s="97" t="s">
        <v>3642</v>
      </c>
      <c r="J2320" s="73">
        <f t="shared" si="256"/>
        <v>1</v>
      </c>
      <c r="K2320" s="74" t="s">
        <v>204</v>
      </c>
      <c r="L2320" s="97" t="s">
        <v>7540</v>
      </c>
      <c r="N2320" s="76" t="s">
        <v>19</v>
      </c>
      <c r="Q2320" s="76" t="s">
        <v>2142</v>
      </c>
      <c r="R2320" s="73">
        <f t="shared" si="257"/>
        <v>1</v>
      </c>
      <c r="S2320" s="260" t="s">
        <v>1976</v>
      </c>
      <c r="T2320" s="260" t="s">
        <v>924</v>
      </c>
      <c r="Y2320" s="566">
        <v>0.84685185185185186</v>
      </c>
      <c r="Z2320" s="566">
        <v>0.85921296296296301</v>
      </c>
      <c r="AA2320" s="566">
        <f t="shared" si="258"/>
        <v>1.2361111111111156E-2</v>
      </c>
      <c r="AB2320" s="699"/>
    </row>
    <row r="2321" spans="1:28" x14ac:dyDescent="0.3">
      <c r="A2321" s="79" t="s">
        <v>7173</v>
      </c>
      <c r="C2321" s="115">
        <v>43969</v>
      </c>
      <c r="D2321" s="312">
        <v>43991</v>
      </c>
      <c r="E2321" s="81">
        <v>43984</v>
      </c>
      <c r="F2321" s="86" t="s">
        <v>7262</v>
      </c>
      <c r="G2321" s="86" t="s">
        <v>172</v>
      </c>
      <c r="H2321" s="96" t="s">
        <v>213</v>
      </c>
      <c r="I2321" s="97" t="s">
        <v>1204</v>
      </c>
      <c r="J2321" s="73">
        <f t="shared" si="256"/>
        <v>1</v>
      </c>
      <c r="K2321" s="74" t="s">
        <v>204</v>
      </c>
      <c r="L2321" s="97" t="s">
        <v>7346</v>
      </c>
      <c r="N2321" s="76" t="s">
        <v>18</v>
      </c>
      <c r="Q2321" s="76" t="s">
        <v>2109</v>
      </c>
      <c r="R2321" s="73">
        <f t="shared" si="257"/>
        <v>1</v>
      </c>
      <c r="S2321" s="260" t="s">
        <v>1976</v>
      </c>
      <c r="T2321" s="260" t="s">
        <v>925</v>
      </c>
      <c r="Y2321" s="566">
        <v>0.83810185185185182</v>
      </c>
      <c r="Z2321" s="566">
        <v>0.84630787037037036</v>
      </c>
      <c r="AA2321" s="566">
        <f t="shared" si="258"/>
        <v>8.206018518518543E-3</v>
      </c>
      <c r="AB2321" s="699"/>
    </row>
    <row r="2322" spans="1:28" x14ac:dyDescent="0.3">
      <c r="A2322" s="79" t="s">
        <v>7186</v>
      </c>
      <c r="C2322" s="115">
        <v>43970</v>
      </c>
      <c r="D2322" s="312">
        <v>43992</v>
      </c>
      <c r="E2322" s="81">
        <v>43986</v>
      </c>
      <c r="F2322" s="86" t="s">
        <v>7275</v>
      </c>
      <c r="G2322" s="86" t="s">
        <v>173</v>
      </c>
      <c r="H2322" s="96" t="s">
        <v>213</v>
      </c>
      <c r="I2322" s="97" t="s">
        <v>3475</v>
      </c>
      <c r="J2322" s="73">
        <f t="shared" si="256"/>
        <v>1</v>
      </c>
      <c r="K2322" s="74" t="s">
        <v>204</v>
      </c>
      <c r="L2322" s="97" t="s">
        <v>7561</v>
      </c>
      <c r="N2322" s="76" t="s">
        <v>19</v>
      </c>
      <c r="Q2322" s="76" t="s">
        <v>2109</v>
      </c>
      <c r="R2322" s="73">
        <f t="shared" si="257"/>
        <v>1</v>
      </c>
      <c r="S2322" s="260" t="s">
        <v>1976</v>
      </c>
      <c r="T2322" s="260" t="s">
        <v>924</v>
      </c>
      <c r="Y2322" s="566">
        <v>0.57415509259259256</v>
      </c>
      <c r="Z2322" s="566">
        <v>0.58221064814814816</v>
      </c>
      <c r="AA2322" s="566">
        <f t="shared" si="258"/>
        <v>8.0555555555555935E-3</v>
      </c>
      <c r="AB2322" s="699"/>
    </row>
    <row r="2323" spans="1:28" x14ac:dyDescent="0.3">
      <c r="A2323" s="79" t="s">
        <v>7197</v>
      </c>
      <c r="C2323" s="115">
        <v>43971</v>
      </c>
      <c r="D2323" s="312">
        <v>43992</v>
      </c>
      <c r="E2323" s="81">
        <v>43990</v>
      </c>
      <c r="F2323" s="86" t="s">
        <v>7286</v>
      </c>
      <c r="G2323" s="86" t="s">
        <v>152</v>
      </c>
      <c r="H2323" s="96" t="s">
        <v>213</v>
      </c>
      <c r="I2323" s="97" t="s">
        <v>684</v>
      </c>
      <c r="J2323" s="73">
        <f t="shared" si="256"/>
        <v>1</v>
      </c>
      <c r="K2323" s="74" t="s">
        <v>204</v>
      </c>
      <c r="L2323" s="97" t="s">
        <v>7589</v>
      </c>
      <c r="N2323" s="76" t="s">
        <v>18</v>
      </c>
      <c r="Q2323" s="76" t="s">
        <v>2142</v>
      </c>
      <c r="R2323" s="73">
        <f t="shared" si="257"/>
        <v>1</v>
      </c>
      <c r="S2323" s="260" t="s">
        <v>1976</v>
      </c>
      <c r="T2323" s="260" t="s">
        <v>925</v>
      </c>
      <c r="Y2323" s="566">
        <v>0.57689814814814822</v>
      </c>
      <c r="Z2323" s="566">
        <v>0.5880671296296297</v>
      </c>
      <c r="AA2323" s="566">
        <f t="shared" si="258"/>
        <v>1.1168981481481488E-2</v>
      </c>
      <c r="AB2323" s="699"/>
    </row>
    <row r="2324" spans="1:28" x14ac:dyDescent="0.3">
      <c r="A2324" s="79" t="s">
        <v>7205</v>
      </c>
      <c r="C2324" s="115">
        <v>43972</v>
      </c>
      <c r="D2324" s="312">
        <v>43993</v>
      </c>
      <c r="E2324" s="81">
        <v>43984</v>
      </c>
      <c r="F2324" s="86" t="s">
        <v>7294</v>
      </c>
      <c r="G2324" s="86" t="s">
        <v>158</v>
      </c>
      <c r="H2324" s="96" t="s">
        <v>213</v>
      </c>
      <c r="I2324" s="97" t="s">
        <v>649</v>
      </c>
      <c r="J2324" s="73">
        <f t="shared" ref="J2324:J2341" si="259">IF(OR(K2324="Документы готовы",K2324="Запрос в ФО",K2324="ЭЗ",K2324="РЕШ",K2324="РЕШ шаблон"),0.1,IF(OR(K2324="ЭЗ согласование",K2324="РЕШ согласование"),0.3,IF(OR(K2324="ЭЗ согласовано",K2324="РЕШ согласовано",K2324="РЕШ подписано"),0.6,IF(OR(K2324="ЭЗ ПР согласование",K2324="РЕШ УВ согласование"),0.9,IF(OR(K2324="ЭЗ ПР DONE",K2324="РЕШ УВ DONE"),1,0)))))</f>
        <v>1</v>
      </c>
      <c r="K2324" s="74" t="s">
        <v>204</v>
      </c>
      <c r="L2324" s="97" t="s">
        <v>7089</v>
      </c>
      <c r="N2324" s="76" t="s">
        <v>17</v>
      </c>
      <c r="Q2324" s="76" t="s">
        <v>2037</v>
      </c>
      <c r="R2324" s="73">
        <f t="shared" ref="R2324:R2341" si="260">IF(S2324="В работе",0.3,IF(S2324="Отписано",0.6,IF(S2324="На доработку",0.9,IF(S2324="Согласовано",1,0))))</f>
        <v>1</v>
      </c>
      <c r="S2324" s="260" t="s">
        <v>1976</v>
      </c>
      <c r="T2324" s="260" t="s">
        <v>924</v>
      </c>
      <c r="Y2324" s="566">
        <v>0.86136574074074079</v>
      </c>
      <c r="Z2324" s="566">
        <v>0.87615740740740744</v>
      </c>
      <c r="AA2324" s="566">
        <f t="shared" ref="AA2324:AA2341" si="261">Z2324-Y2324</f>
        <v>1.4791666666666647E-2</v>
      </c>
      <c r="AB2324" s="699"/>
    </row>
    <row r="2325" spans="1:28" x14ac:dyDescent="0.3">
      <c r="A2325" s="79" t="s">
        <v>7397</v>
      </c>
      <c r="C2325" s="115">
        <v>43972</v>
      </c>
      <c r="D2325" s="312">
        <v>43997</v>
      </c>
      <c r="E2325" s="81">
        <v>43986</v>
      </c>
      <c r="F2325" s="86" t="s">
        <v>7465</v>
      </c>
      <c r="G2325" s="86" t="s">
        <v>158</v>
      </c>
      <c r="H2325" s="96" t="s">
        <v>213</v>
      </c>
      <c r="I2325" s="97" t="s">
        <v>722</v>
      </c>
      <c r="J2325" s="73">
        <f t="shared" si="259"/>
        <v>1</v>
      </c>
      <c r="K2325" s="74" t="s">
        <v>204</v>
      </c>
      <c r="L2325" s="97" t="s">
        <v>7562</v>
      </c>
      <c r="N2325" s="76" t="s">
        <v>18</v>
      </c>
      <c r="Q2325" s="76" t="s">
        <v>2142</v>
      </c>
      <c r="R2325" s="73">
        <f t="shared" si="260"/>
        <v>1</v>
      </c>
      <c r="S2325" s="260" t="s">
        <v>1976</v>
      </c>
      <c r="T2325" s="260" t="s">
        <v>925</v>
      </c>
      <c r="Y2325" s="566">
        <v>0.58915509259259258</v>
      </c>
      <c r="Z2325" s="566">
        <v>0.61443287037037042</v>
      </c>
      <c r="AA2325" s="566">
        <f t="shared" si="261"/>
        <v>2.5277777777777843E-2</v>
      </c>
      <c r="AB2325" s="699"/>
    </row>
    <row r="2326" spans="1:28" x14ac:dyDescent="0.3">
      <c r="A2326" s="79" t="s">
        <v>7398</v>
      </c>
      <c r="C2326" s="115">
        <v>43972</v>
      </c>
      <c r="D2326" s="312">
        <v>43997</v>
      </c>
      <c r="E2326" s="81">
        <v>43985</v>
      </c>
      <c r="F2326" s="86" t="s">
        <v>7466</v>
      </c>
      <c r="G2326" s="86" t="s">
        <v>150</v>
      </c>
      <c r="H2326" s="96" t="s">
        <v>213</v>
      </c>
      <c r="I2326" s="97" t="s">
        <v>3187</v>
      </c>
      <c r="J2326" s="73">
        <f t="shared" si="259"/>
        <v>1</v>
      </c>
      <c r="K2326" s="74" t="s">
        <v>204</v>
      </c>
      <c r="L2326" s="97" t="s">
        <v>7545</v>
      </c>
      <c r="N2326" s="76" t="s">
        <v>19</v>
      </c>
      <c r="Q2326" s="76" t="s">
        <v>2109</v>
      </c>
      <c r="R2326" s="73">
        <f t="shared" si="260"/>
        <v>1</v>
      </c>
      <c r="S2326" s="260" t="s">
        <v>1976</v>
      </c>
      <c r="T2326" s="260" t="s">
        <v>923</v>
      </c>
      <c r="Y2326" s="566">
        <v>0.53089120370370368</v>
      </c>
      <c r="Z2326" s="566">
        <v>0.54283564814814811</v>
      </c>
      <c r="AA2326" s="566">
        <f t="shared" si="261"/>
        <v>1.1944444444444424E-2</v>
      </c>
      <c r="AB2326" s="699"/>
    </row>
    <row r="2327" spans="1:28" x14ac:dyDescent="0.3">
      <c r="A2327" s="96" t="s">
        <v>7399</v>
      </c>
      <c r="C2327" s="115">
        <v>43972</v>
      </c>
      <c r="D2327" s="312">
        <v>43997</v>
      </c>
      <c r="E2327" s="81">
        <v>43987</v>
      </c>
      <c r="F2327" s="86" t="s">
        <v>7467</v>
      </c>
      <c r="G2327" s="86" t="s">
        <v>152</v>
      </c>
      <c r="H2327" s="96" t="s">
        <v>213</v>
      </c>
      <c r="I2327" s="97" t="s">
        <v>649</v>
      </c>
      <c r="J2327" s="73">
        <f t="shared" si="259"/>
        <v>1</v>
      </c>
      <c r="K2327" s="74" t="s">
        <v>204</v>
      </c>
      <c r="L2327" s="97" t="s">
        <v>7733</v>
      </c>
      <c r="N2327" s="76" t="s">
        <v>17</v>
      </c>
      <c r="Q2327" s="76" t="s">
        <v>2076</v>
      </c>
      <c r="R2327" s="73">
        <f t="shared" si="260"/>
        <v>1</v>
      </c>
      <c r="S2327" s="260" t="s">
        <v>1976</v>
      </c>
      <c r="T2327" s="260" t="s">
        <v>923</v>
      </c>
      <c r="X2327" s="301" t="s">
        <v>7717</v>
      </c>
      <c r="Y2327" s="566">
        <v>0.66836805555555545</v>
      </c>
      <c r="Z2327" s="566">
        <v>0.68709490740740742</v>
      </c>
      <c r="AA2327" s="566">
        <f t="shared" si="261"/>
        <v>1.8726851851851967E-2</v>
      </c>
      <c r="AB2327" s="699"/>
    </row>
    <row r="2328" spans="1:28" x14ac:dyDescent="0.3">
      <c r="A2328" s="79" t="s">
        <v>7401</v>
      </c>
      <c r="C2328" s="115">
        <v>43972</v>
      </c>
      <c r="D2328" s="312">
        <v>43997</v>
      </c>
      <c r="E2328" s="81">
        <v>43985</v>
      </c>
      <c r="F2328" s="86" t="s">
        <v>7469</v>
      </c>
      <c r="G2328" s="86" t="s">
        <v>3771</v>
      </c>
      <c r="H2328" s="96" t="s">
        <v>213</v>
      </c>
      <c r="I2328" s="97" t="s">
        <v>649</v>
      </c>
      <c r="J2328" s="73">
        <f t="shared" si="259"/>
        <v>1</v>
      </c>
      <c r="K2328" s="74" t="s">
        <v>204</v>
      </c>
      <c r="L2328" s="97" t="s">
        <v>7065</v>
      </c>
      <c r="N2328" s="76" t="s">
        <v>17</v>
      </c>
      <c r="Q2328" s="76" t="s">
        <v>2417</v>
      </c>
      <c r="R2328" s="73">
        <f t="shared" si="260"/>
        <v>1</v>
      </c>
      <c r="S2328" s="260" t="s">
        <v>1976</v>
      </c>
      <c r="T2328" s="260" t="s">
        <v>924</v>
      </c>
      <c r="Y2328" s="566">
        <v>0.52466435185185178</v>
      </c>
      <c r="Z2328" s="566">
        <v>0.53047453703703706</v>
      </c>
      <c r="AA2328" s="566">
        <f t="shared" si="261"/>
        <v>5.8101851851852793E-3</v>
      </c>
      <c r="AB2328" s="699"/>
    </row>
    <row r="2329" spans="1:28" x14ac:dyDescent="0.3">
      <c r="A2329" s="79" t="s">
        <v>7403</v>
      </c>
      <c r="C2329" s="115">
        <v>43973</v>
      </c>
      <c r="D2329" s="312">
        <v>43998</v>
      </c>
      <c r="E2329" s="81">
        <v>43987</v>
      </c>
      <c r="F2329" s="86" t="s">
        <v>7471</v>
      </c>
      <c r="G2329" s="86" t="s">
        <v>150</v>
      </c>
      <c r="H2329" s="96" t="s">
        <v>213</v>
      </c>
      <c r="I2329" s="97" t="s">
        <v>755</v>
      </c>
      <c r="J2329" s="73">
        <f t="shared" si="259"/>
        <v>1</v>
      </c>
      <c r="K2329" s="74" t="s">
        <v>204</v>
      </c>
      <c r="L2329" s="97" t="s">
        <v>7299</v>
      </c>
      <c r="N2329" s="76" t="s">
        <v>18</v>
      </c>
      <c r="Q2329" s="76" t="s">
        <v>2037</v>
      </c>
      <c r="R2329" s="73">
        <f t="shared" si="260"/>
        <v>1</v>
      </c>
      <c r="S2329" s="260" t="s">
        <v>1976</v>
      </c>
      <c r="T2329" s="260" t="s">
        <v>924</v>
      </c>
      <c r="Y2329" s="566">
        <v>0.52859953703703699</v>
      </c>
      <c r="Z2329" s="566">
        <v>0.53318287037037038</v>
      </c>
      <c r="AA2329" s="566">
        <f t="shared" si="261"/>
        <v>4.5833333333333837E-3</v>
      </c>
      <c r="AB2329" s="699"/>
    </row>
    <row r="2330" spans="1:28" x14ac:dyDescent="0.3">
      <c r="A2330" s="79" t="s">
        <v>7405</v>
      </c>
      <c r="C2330" s="115">
        <v>43973</v>
      </c>
      <c r="D2330" s="312">
        <v>43998</v>
      </c>
      <c r="E2330" s="81">
        <v>43990</v>
      </c>
      <c r="F2330" s="86" t="s">
        <v>7473</v>
      </c>
      <c r="G2330" s="86" t="s">
        <v>152</v>
      </c>
      <c r="H2330" s="79" t="s">
        <v>268</v>
      </c>
      <c r="I2330" s="97" t="s">
        <v>649</v>
      </c>
      <c r="J2330" s="73">
        <f t="shared" si="259"/>
        <v>1</v>
      </c>
      <c r="K2330" s="74" t="s">
        <v>204</v>
      </c>
      <c r="L2330" s="97" t="s">
        <v>7588</v>
      </c>
      <c r="N2330" s="76" t="s">
        <v>18</v>
      </c>
      <c r="Q2330" s="76" t="s">
        <v>2076</v>
      </c>
      <c r="R2330" s="73">
        <f t="shared" si="260"/>
        <v>1</v>
      </c>
      <c r="S2330" s="260" t="s">
        <v>1976</v>
      </c>
      <c r="T2330" s="260" t="s">
        <v>923</v>
      </c>
      <c r="Y2330" s="566">
        <v>0.54831018518518515</v>
      </c>
      <c r="Z2330" s="566">
        <v>0.56533564814814818</v>
      </c>
      <c r="AA2330" s="566">
        <f t="shared" si="261"/>
        <v>1.7025462962963034E-2</v>
      </c>
      <c r="AB2330" s="699"/>
    </row>
    <row r="2331" spans="1:28" x14ac:dyDescent="0.3">
      <c r="A2331" s="79" t="s">
        <v>7406</v>
      </c>
      <c r="C2331" s="115">
        <v>43973</v>
      </c>
      <c r="D2331" s="312">
        <v>43998</v>
      </c>
      <c r="E2331" s="81">
        <v>43986</v>
      </c>
      <c r="F2331" s="86" t="s">
        <v>7474</v>
      </c>
      <c r="G2331" s="86" t="s">
        <v>152</v>
      </c>
      <c r="H2331" s="96" t="s">
        <v>213</v>
      </c>
      <c r="I2331" s="97" t="s">
        <v>684</v>
      </c>
      <c r="J2331" s="73">
        <f t="shared" si="259"/>
        <v>1</v>
      </c>
      <c r="K2331" s="74" t="s">
        <v>204</v>
      </c>
      <c r="L2331" s="97" t="s">
        <v>7570</v>
      </c>
      <c r="N2331" s="76" t="s">
        <v>17</v>
      </c>
      <c r="Q2331" s="76" t="s">
        <v>2037</v>
      </c>
      <c r="R2331" s="73">
        <f t="shared" si="260"/>
        <v>1</v>
      </c>
      <c r="S2331" s="260" t="s">
        <v>1976</v>
      </c>
      <c r="T2331" s="260" t="s">
        <v>925</v>
      </c>
      <c r="Y2331" s="566">
        <v>0.91009259259259256</v>
      </c>
      <c r="Z2331" s="566">
        <v>0.92359953703703701</v>
      </c>
      <c r="AA2331" s="566">
        <f t="shared" si="261"/>
        <v>1.3506944444444446E-2</v>
      </c>
      <c r="AB2331" s="699"/>
    </row>
    <row r="2332" spans="1:28" x14ac:dyDescent="0.3">
      <c r="A2332" s="79" t="s">
        <v>7409</v>
      </c>
      <c r="C2332" s="115">
        <v>43976</v>
      </c>
      <c r="D2332" s="312">
        <v>43998</v>
      </c>
      <c r="E2332" s="81">
        <v>43990</v>
      </c>
      <c r="F2332" s="86" t="s">
        <v>7477</v>
      </c>
      <c r="G2332" s="86" t="s">
        <v>166</v>
      </c>
      <c r="H2332" s="96" t="s">
        <v>213</v>
      </c>
      <c r="I2332" s="97" t="s">
        <v>722</v>
      </c>
      <c r="J2332" s="73">
        <f t="shared" si="259"/>
        <v>1</v>
      </c>
      <c r="K2332" s="74" t="s">
        <v>204</v>
      </c>
      <c r="L2332" s="97" t="s">
        <v>7590</v>
      </c>
      <c r="N2332" s="76" t="s">
        <v>18</v>
      </c>
      <c r="Q2332" s="76" t="s">
        <v>2417</v>
      </c>
      <c r="R2332" s="73">
        <f t="shared" si="260"/>
        <v>1</v>
      </c>
      <c r="S2332" s="260" t="s">
        <v>1976</v>
      </c>
      <c r="T2332" s="260" t="s">
        <v>923</v>
      </c>
      <c r="Y2332" s="566">
        <v>0.6010416666666667</v>
      </c>
      <c r="Z2332" s="566">
        <v>0.61219907407407403</v>
      </c>
      <c r="AA2332" s="566">
        <f t="shared" si="261"/>
        <v>1.1157407407407338E-2</v>
      </c>
      <c r="AB2332" s="699"/>
    </row>
    <row r="2333" spans="1:28" x14ac:dyDescent="0.3">
      <c r="A2333" s="79" t="s">
        <v>7415</v>
      </c>
      <c r="C2333" s="115">
        <v>43976</v>
      </c>
      <c r="D2333" s="312">
        <v>43998</v>
      </c>
      <c r="E2333" s="81">
        <v>43990</v>
      </c>
      <c r="F2333" s="86" t="s">
        <v>7483</v>
      </c>
      <c r="G2333" s="86" t="s">
        <v>172</v>
      </c>
      <c r="H2333" s="96" t="s">
        <v>213</v>
      </c>
      <c r="I2333" s="97" t="s">
        <v>649</v>
      </c>
      <c r="J2333" s="73">
        <f t="shared" si="259"/>
        <v>1</v>
      </c>
      <c r="K2333" s="74" t="s">
        <v>204</v>
      </c>
      <c r="L2333" s="97" t="s">
        <v>7060</v>
      </c>
      <c r="N2333" s="76" t="s">
        <v>17</v>
      </c>
      <c r="Q2333" s="76" t="s">
        <v>2142</v>
      </c>
      <c r="R2333" s="73">
        <f t="shared" si="260"/>
        <v>1</v>
      </c>
      <c r="S2333" s="260" t="s">
        <v>1976</v>
      </c>
      <c r="T2333" s="260" t="s">
        <v>923</v>
      </c>
      <c r="Y2333" s="566">
        <v>0.58850694444444451</v>
      </c>
      <c r="Z2333" s="566">
        <v>0.5980671296296296</v>
      </c>
      <c r="AA2333" s="566">
        <f t="shared" si="261"/>
        <v>9.5601851851850883E-3</v>
      </c>
      <c r="AB2333" s="699"/>
    </row>
    <row r="2334" spans="1:28" x14ac:dyDescent="0.3">
      <c r="A2334" s="79" t="s">
        <v>7416</v>
      </c>
      <c r="C2334" s="115">
        <v>43976</v>
      </c>
      <c r="D2334" s="312">
        <v>43998</v>
      </c>
      <c r="E2334" s="81">
        <v>43986</v>
      </c>
      <c r="F2334" s="86" t="s">
        <v>7484</v>
      </c>
      <c r="G2334" s="86" t="s">
        <v>150</v>
      </c>
      <c r="H2334" s="96" t="s">
        <v>213</v>
      </c>
      <c r="I2334" s="97" t="s">
        <v>7563</v>
      </c>
      <c r="J2334" s="73">
        <f t="shared" si="259"/>
        <v>1</v>
      </c>
      <c r="K2334" s="74" t="s">
        <v>204</v>
      </c>
      <c r="L2334" s="97" t="s">
        <v>7564</v>
      </c>
      <c r="N2334" s="76" t="s">
        <v>19</v>
      </c>
      <c r="Q2334" s="76" t="s">
        <v>2417</v>
      </c>
      <c r="R2334" s="73">
        <f t="shared" si="260"/>
        <v>1</v>
      </c>
      <c r="S2334" s="260" t="s">
        <v>1976</v>
      </c>
      <c r="T2334" s="260" t="s">
        <v>923</v>
      </c>
      <c r="Y2334" s="566">
        <v>0.65371527777777783</v>
      </c>
      <c r="Z2334" s="566">
        <v>0.66236111111111107</v>
      </c>
      <c r="AA2334" s="566">
        <f t="shared" si="261"/>
        <v>8.6458333333332416E-3</v>
      </c>
      <c r="AB2334" s="699"/>
    </row>
    <row r="2335" spans="1:28" x14ac:dyDescent="0.3">
      <c r="A2335" s="79" t="s">
        <v>7417</v>
      </c>
      <c r="C2335" s="115">
        <v>43976</v>
      </c>
      <c r="D2335" s="312">
        <v>43998</v>
      </c>
      <c r="E2335" s="81">
        <v>43986</v>
      </c>
      <c r="F2335" s="86" t="s">
        <v>7485</v>
      </c>
      <c r="G2335" s="86" t="s">
        <v>189</v>
      </c>
      <c r="H2335" s="96" t="s">
        <v>213</v>
      </c>
      <c r="I2335" s="97" t="s">
        <v>3642</v>
      </c>
      <c r="J2335" s="73">
        <f t="shared" si="259"/>
        <v>1</v>
      </c>
      <c r="K2335" s="74" t="s">
        <v>204</v>
      </c>
      <c r="L2335" s="97" t="s">
        <v>7565</v>
      </c>
      <c r="N2335" s="76" t="s">
        <v>19</v>
      </c>
      <c r="Q2335" s="76" t="s">
        <v>2417</v>
      </c>
      <c r="R2335" s="73">
        <f t="shared" si="260"/>
        <v>1</v>
      </c>
      <c r="S2335" s="260" t="s">
        <v>1976</v>
      </c>
      <c r="T2335" s="260" t="s">
        <v>925</v>
      </c>
      <c r="Y2335" s="566">
        <v>0.66280092592592588</v>
      </c>
      <c r="Z2335" s="566">
        <v>0.66664351851851855</v>
      </c>
      <c r="AA2335" s="566">
        <f t="shared" si="261"/>
        <v>3.8425925925926752E-3</v>
      </c>
      <c r="AB2335" s="699"/>
    </row>
    <row r="2336" spans="1:28" x14ac:dyDescent="0.3">
      <c r="A2336" s="79" t="s">
        <v>7418</v>
      </c>
      <c r="C2336" s="115">
        <v>43976</v>
      </c>
      <c r="D2336" s="312">
        <v>43999</v>
      </c>
      <c r="E2336" s="81">
        <v>43991</v>
      </c>
      <c r="F2336" s="86" t="s">
        <v>7486</v>
      </c>
      <c r="G2336" s="86" t="s">
        <v>152</v>
      </c>
      <c r="H2336" s="96" t="s">
        <v>213</v>
      </c>
      <c r="I2336" s="97" t="s">
        <v>684</v>
      </c>
      <c r="J2336" s="73">
        <f t="shared" si="259"/>
        <v>1</v>
      </c>
      <c r="K2336" s="74" t="s">
        <v>204</v>
      </c>
      <c r="L2336" s="97" t="s">
        <v>7608</v>
      </c>
      <c r="N2336" s="76" t="s">
        <v>18</v>
      </c>
      <c r="Q2336" s="76" t="s">
        <v>2142</v>
      </c>
      <c r="R2336" s="73">
        <f t="shared" si="260"/>
        <v>1</v>
      </c>
      <c r="S2336" s="260" t="s">
        <v>1976</v>
      </c>
      <c r="T2336" s="260" t="s">
        <v>923</v>
      </c>
      <c r="Y2336" s="566">
        <v>0.72530092592592599</v>
      </c>
      <c r="Z2336" s="566">
        <v>0.73182870370370379</v>
      </c>
      <c r="AA2336" s="566">
        <f t="shared" si="261"/>
        <v>6.527777777777799E-3</v>
      </c>
      <c r="AB2336" s="699"/>
    </row>
    <row r="2337" spans="1:28" x14ac:dyDescent="0.3">
      <c r="A2337" s="96" t="s">
        <v>7427</v>
      </c>
      <c r="C2337" s="115">
        <v>43977</v>
      </c>
      <c r="D2337" s="312">
        <v>44018</v>
      </c>
      <c r="E2337" s="81">
        <v>44008</v>
      </c>
      <c r="F2337" s="86" t="s">
        <v>7495</v>
      </c>
      <c r="G2337" s="86" t="s">
        <v>152</v>
      </c>
      <c r="H2337" s="96" t="s">
        <v>213</v>
      </c>
      <c r="I2337" s="97" t="s">
        <v>722</v>
      </c>
      <c r="J2337" s="73">
        <f t="shared" si="259"/>
        <v>1</v>
      </c>
      <c r="K2337" s="74" t="s">
        <v>204</v>
      </c>
      <c r="L2337" s="97" t="s">
        <v>8102</v>
      </c>
      <c r="N2337" s="76" t="s">
        <v>18</v>
      </c>
      <c r="Q2337" s="76" t="s">
        <v>2076</v>
      </c>
      <c r="R2337" s="73">
        <f t="shared" si="260"/>
        <v>1</v>
      </c>
      <c r="S2337" s="260" t="s">
        <v>1976</v>
      </c>
      <c r="T2337" s="260" t="s">
        <v>924</v>
      </c>
      <c r="U2337" s="301" t="s">
        <v>5283</v>
      </c>
      <c r="V2337" s="301" t="s">
        <v>7612</v>
      </c>
      <c r="Y2337" s="566">
        <v>0.68753472222222223</v>
      </c>
      <c r="Z2337" s="566">
        <v>0.69400462962962972</v>
      </c>
      <c r="AA2337" s="566">
        <f t="shared" si="261"/>
        <v>6.4699074074074936E-3</v>
      </c>
      <c r="AB2337" s="699"/>
    </row>
    <row r="2338" spans="1:28" x14ac:dyDescent="0.3">
      <c r="A2338" s="79" t="s">
        <v>7428</v>
      </c>
      <c r="C2338" s="115">
        <v>43977</v>
      </c>
      <c r="D2338" s="312">
        <v>43999</v>
      </c>
      <c r="E2338" s="81">
        <v>43992</v>
      </c>
      <c r="F2338" s="86" t="s">
        <v>7496</v>
      </c>
      <c r="G2338" s="86" t="s">
        <v>156</v>
      </c>
      <c r="H2338" s="96" t="s">
        <v>213</v>
      </c>
      <c r="I2338" s="97" t="s">
        <v>1204</v>
      </c>
      <c r="J2338" s="73">
        <f t="shared" si="259"/>
        <v>1</v>
      </c>
      <c r="K2338" s="74" t="s">
        <v>204</v>
      </c>
      <c r="L2338" s="97" t="s">
        <v>7625</v>
      </c>
      <c r="N2338" s="76" t="s">
        <v>17</v>
      </c>
      <c r="Q2338" s="76" t="s">
        <v>2037</v>
      </c>
      <c r="R2338" s="73">
        <f t="shared" si="260"/>
        <v>1</v>
      </c>
      <c r="S2338" s="260" t="s">
        <v>1976</v>
      </c>
      <c r="T2338" s="260" t="s">
        <v>925</v>
      </c>
      <c r="Y2338" s="566">
        <v>0.63744212962962965</v>
      </c>
      <c r="Z2338" s="566">
        <v>0.65575231481481489</v>
      </c>
      <c r="AA2338" s="566">
        <f t="shared" si="261"/>
        <v>1.8310185185185235E-2</v>
      </c>
      <c r="AB2338" s="699"/>
    </row>
    <row r="2339" spans="1:28" x14ac:dyDescent="0.3">
      <c r="A2339" s="79" t="s">
        <v>7429</v>
      </c>
      <c r="C2339" s="115">
        <v>43977</v>
      </c>
      <c r="D2339" s="312">
        <v>43999</v>
      </c>
      <c r="E2339" s="81">
        <v>43991</v>
      </c>
      <c r="F2339" s="86" t="s">
        <v>7497</v>
      </c>
      <c r="G2339" s="86" t="s">
        <v>166</v>
      </c>
      <c r="H2339" s="96" t="s">
        <v>213</v>
      </c>
      <c r="I2339" s="97" t="s">
        <v>7604</v>
      </c>
      <c r="J2339" s="73">
        <f t="shared" si="259"/>
        <v>1</v>
      </c>
      <c r="K2339" s="74" t="s">
        <v>204</v>
      </c>
      <c r="L2339" s="97" t="s">
        <v>7609</v>
      </c>
      <c r="N2339" s="76" t="s">
        <v>18</v>
      </c>
      <c r="Q2339" s="76" t="s">
        <v>2142</v>
      </c>
      <c r="R2339" s="73">
        <f t="shared" si="260"/>
        <v>1</v>
      </c>
      <c r="S2339" s="260" t="s">
        <v>1976</v>
      </c>
      <c r="T2339" s="260" t="s">
        <v>924</v>
      </c>
      <c r="Y2339" s="566">
        <v>0.73820601851851853</v>
      </c>
      <c r="Z2339" s="566">
        <v>0.74509259259259253</v>
      </c>
      <c r="AA2339" s="566">
        <f t="shared" si="261"/>
        <v>6.8865740740740033E-3</v>
      </c>
      <c r="AB2339" s="699"/>
    </row>
    <row r="2340" spans="1:28" x14ac:dyDescent="0.3">
      <c r="A2340" s="79" t="s">
        <v>7431</v>
      </c>
      <c r="C2340" s="115">
        <v>43977</v>
      </c>
      <c r="D2340" s="312">
        <v>44000</v>
      </c>
      <c r="E2340" s="81">
        <v>43986</v>
      </c>
      <c r="F2340" s="86" t="s">
        <v>7499</v>
      </c>
      <c r="G2340" s="86" t="s">
        <v>175</v>
      </c>
      <c r="H2340" s="96" t="s">
        <v>213</v>
      </c>
      <c r="I2340" s="97" t="s">
        <v>5280</v>
      </c>
      <c r="J2340" s="73">
        <f t="shared" si="259"/>
        <v>1</v>
      </c>
      <c r="K2340" s="74" t="s">
        <v>204</v>
      </c>
      <c r="L2340" s="97" t="s">
        <v>7560</v>
      </c>
      <c r="N2340" s="76" t="s">
        <v>19</v>
      </c>
      <c r="Q2340" s="76" t="s">
        <v>2417</v>
      </c>
      <c r="R2340" s="73">
        <f t="shared" si="260"/>
        <v>1</v>
      </c>
      <c r="S2340" s="260" t="s">
        <v>1976</v>
      </c>
      <c r="T2340" s="260" t="s">
        <v>925</v>
      </c>
      <c r="Y2340" s="566">
        <v>0.52765046296296292</v>
      </c>
      <c r="Z2340" s="566">
        <v>0.53021990740740743</v>
      </c>
      <c r="AA2340" s="566">
        <f t="shared" si="261"/>
        <v>2.569444444444513E-3</v>
      </c>
      <c r="AB2340" s="699"/>
    </row>
    <row r="2341" spans="1:28" x14ac:dyDescent="0.3">
      <c r="A2341" s="79" t="s">
        <v>7433</v>
      </c>
      <c r="C2341" s="115">
        <v>43977</v>
      </c>
      <c r="D2341" s="312">
        <v>43999</v>
      </c>
      <c r="E2341" s="81">
        <v>43990</v>
      </c>
      <c r="F2341" s="86" t="s">
        <v>7501</v>
      </c>
      <c r="G2341" s="86" t="s">
        <v>157</v>
      </c>
      <c r="H2341" s="96" t="s">
        <v>213</v>
      </c>
      <c r="I2341" s="97" t="s">
        <v>684</v>
      </c>
      <c r="J2341" s="73">
        <f t="shared" si="259"/>
        <v>1</v>
      </c>
      <c r="K2341" s="74" t="s">
        <v>204</v>
      </c>
      <c r="L2341" s="97" t="s">
        <v>7594</v>
      </c>
      <c r="N2341" s="76" t="s">
        <v>18</v>
      </c>
      <c r="Q2341" s="76" t="s">
        <v>2417</v>
      </c>
      <c r="R2341" s="73">
        <f t="shared" si="260"/>
        <v>1</v>
      </c>
      <c r="S2341" s="260" t="s">
        <v>1976</v>
      </c>
      <c r="T2341" s="260" t="s">
        <v>925</v>
      </c>
      <c r="Y2341" s="566">
        <v>0.66024305555555551</v>
      </c>
      <c r="Z2341" s="566">
        <v>0.66773148148148154</v>
      </c>
      <c r="AA2341" s="566">
        <f t="shared" si="261"/>
        <v>7.4884259259260233E-3</v>
      </c>
      <c r="AB2341" s="699"/>
    </row>
    <row r="2342" spans="1:28" x14ac:dyDescent="0.3">
      <c r="A2342" s="79" t="s">
        <v>7435</v>
      </c>
      <c r="C2342" s="115">
        <v>43977</v>
      </c>
      <c r="D2342" s="312">
        <v>43999</v>
      </c>
      <c r="E2342" s="81">
        <v>43990</v>
      </c>
      <c r="F2342" s="86" t="s">
        <v>7503</v>
      </c>
      <c r="G2342" s="86" t="s">
        <v>150</v>
      </c>
      <c r="H2342" s="96" t="s">
        <v>213</v>
      </c>
      <c r="I2342" s="97" t="s">
        <v>6387</v>
      </c>
      <c r="J2342" s="73">
        <f t="shared" ref="J2342:J2346" si="262">IF(OR(K2342="Документы готовы",K2342="Запрос в ФО",K2342="ЭЗ",K2342="РЕШ",K2342="РЕШ шаблон"),0.1,IF(OR(K2342="ЭЗ согласование",K2342="РЕШ согласование"),0.3,IF(OR(K2342="ЭЗ согласовано",K2342="РЕШ согласовано",K2342="РЕШ подписано"),0.6,IF(OR(K2342="ЭЗ ПР согласование",K2342="РЕШ УВ согласование"),0.9,IF(OR(K2342="ЭЗ ПР DONE",K2342="РЕШ УВ DONE"),1,0)))))</f>
        <v>1</v>
      </c>
      <c r="K2342" s="74" t="s">
        <v>204</v>
      </c>
      <c r="L2342" s="97" t="s">
        <v>7619</v>
      </c>
      <c r="N2342" s="76" t="s">
        <v>17</v>
      </c>
      <c r="Q2342" s="76" t="s">
        <v>2417</v>
      </c>
      <c r="R2342" s="73">
        <f t="shared" ref="R2342:R2346" si="263">IF(S2342="В работе",0.3,IF(S2342="Отписано",0.6,IF(S2342="На доработку",0.9,IF(S2342="Согласовано",1,0))))</f>
        <v>1</v>
      </c>
      <c r="S2342" s="260" t="s">
        <v>1976</v>
      </c>
      <c r="T2342" s="260" t="s">
        <v>924</v>
      </c>
      <c r="Y2342" s="566">
        <v>0.67763888888888879</v>
      </c>
      <c r="Z2342" s="566">
        <v>0.68440972222222218</v>
      </c>
      <c r="AA2342" s="566">
        <f t="shared" ref="AA2342:AA2358" si="264">Z2342-Y2342</f>
        <v>6.7708333333333925E-3</v>
      </c>
      <c r="AB2342" s="699"/>
    </row>
    <row r="2343" spans="1:28" x14ac:dyDescent="0.3">
      <c r="A2343" s="79" t="s">
        <v>7438</v>
      </c>
      <c r="C2343" s="115">
        <v>43978</v>
      </c>
      <c r="D2343" s="312">
        <v>44000</v>
      </c>
      <c r="E2343" s="81">
        <v>43992</v>
      </c>
      <c r="F2343" s="86" t="s">
        <v>7506</v>
      </c>
      <c r="G2343" s="86" t="s">
        <v>152</v>
      </c>
      <c r="H2343" s="96" t="s">
        <v>213</v>
      </c>
      <c r="I2343" s="97" t="s">
        <v>1204</v>
      </c>
      <c r="J2343" s="73">
        <f t="shared" si="262"/>
        <v>1</v>
      </c>
      <c r="K2343" s="74" t="s">
        <v>204</v>
      </c>
      <c r="L2343" s="97" t="s">
        <v>7616</v>
      </c>
      <c r="N2343" s="76" t="s">
        <v>18</v>
      </c>
      <c r="Q2343" s="76" t="s">
        <v>2417</v>
      </c>
      <c r="R2343" s="73">
        <f t="shared" si="263"/>
        <v>1</v>
      </c>
      <c r="S2343" s="260" t="s">
        <v>1976</v>
      </c>
      <c r="T2343" s="260" t="s">
        <v>925</v>
      </c>
      <c r="Y2343" s="566">
        <v>0.4253587962962963</v>
      </c>
      <c r="Z2343" s="566">
        <v>0.43309027777777781</v>
      </c>
      <c r="AA2343" s="566">
        <f t="shared" si="264"/>
        <v>7.7314814814815058E-3</v>
      </c>
      <c r="AB2343" s="699"/>
    </row>
    <row r="2344" spans="1:28" x14ac:dyDescent="0.3">
      <c r="A2344" s="79" t="s">
        <v>7443</v>
      </c>
      <c r="C2344" s="115">
        <v>43978</v>
      </c>
      <c r="D2344" s="312">
        <v>44001</v>
      </c>
      <c r="E2344" s="81">
        <v>43991</v>
      </c>
      <c r="F2344" s="86" t="s">
        <v>7511</v>
      </c>
      <c r="G2344" s="86" t="s">
        <v>150</v>
      </c>
      <c r="H2344" s="79" t="s">
        <v>268</v>
      </c>
      <c r="I2344" s="97" t="s">
        <v>722</v>
      </c>
      <c r="J2344" s="73">
        <f t="shared" si="262"/>
        <v>1</v>
      </c>
      <c r="K2344" s="74" t="s">
        <v>204</v>
      </c>
      <c r="L2344" s="97" t="s">
        <v>7742</v>
      </c>
      <c r="N2344" s="76" t="s">
        <v>18</v>
      </c>
      <c r="Q2344" s="76" t="s">
        <v>2037</v>
      </c>
      <c r="R2344" s="73">
        <f t="shared" si="263"/>
        <v>1</v>
      </c>
      <c r="S2344" s="260" t="s">
        <v>1976</v>
      </c>
      <c r="T2344" s="260" t="s">
        <v>924</v>
      </c>
      <c r="Y2344" s="566">
        <v>0.75564814814814818</v>
      </c>
      <c r="Z2344" s="566">
        <v>0.7761689814814815</v>
      </c>
      <c r="AA2344" s="566">
        <f t="shared" si="264"/>
        <v>2.0520833333333321E-2</v>
      </c>
      <c r="AB2344" s="699"/>
    </row>
    <row r="2345" spans="1:28" x14ac:dyDescent="0.3">
      <c r="A2345" s="79" t="s">
        <v>7444</v>
      </c>
      <c r="C2345" s="115">
        <v>43978</v>
      </c>
      <c r="D2345" s="312">
        <v>44001</v>
      </c>
      <c r="E2345" s="81">
        <v>43992</v>
      </c>
      <c r="F2345" s="86" t="s">
        <v>7512</v>
      </c>
      <c r="G2345" s="86" t="s">
        <v>3280</v>
      </c>
      <c r="H2345" s="96" t="s">
        <v>213</v>
      </c>
      <c r="I2345" s="97" t="s">
        <v>649</v>
      </c>
      <c r="J2345" s="73">
        <f t="shared" si="262"/>
        <v>1</v>
      </c>
      <c r="K2345" s="74" t="s">
        <v>204</v>
      </c>
      <c r="L2345" s="97" t="s">
        <v>7617</v>
      </c>
      <c r="N2345" s="76" t="s">
        <v>18</v>
      </c>
      <c r="Q2345" s="76" t="s">
        <v>2417</v>
      </c>
      <c r="R2345" s="73">
        <f t="shared" si="263"/>
        <v>1</v>
      </c>
      <c r="S2345" s="260" t="s">
        <v>1976</v>
      </c>
      <c r="T2345" s="260" t="s">
        <v>923</v>
      </c>
      <c r="Y2345" s="566">
        <v>0.43326388888888889</v>
      </c>
      <c r="Z2345" s="566">
        <v>0.44107638888888889</v>
      </c>
      <c r="AA2345" s="566">
        <f t="shared" si="264"/>
        <v>7.8125E-3</v>
      </c>
      <c r="AB2345" s="699"/>
    </row>
    <row r="2346" spans="1:28" x14ac:dyDescent="0.3">
      <c r="A2346" s="79" t="s">
        <v>7451</v>
      </c>
      <c r="C2346" s="115">
        <v>43979</v>
      </c>
      <c r="D2346" s="312">
        <v>44001</v>
      </c>
      <c r="E2346" s="81">
        <v>43991</v>
      </c>
      <c r="F2346" s="86" t="s">
        <v>7519</v>
      </c>
      <c r="G2346" s="86" t="s">
        <v>150</v>
      </c>
      <c r="H2346" s="96" t="s">
        <v>213</v>
      </c>
      <c r="I2346" s="97" t="s">
        <v>1204</v>
      </c>
      <c r="J2346" s="73">
        <f t="shared" si="262"/>
        <v>1</v>
      </c>
      <c r="K2346" s="74" t="s">
        <v>204</v>
      </c>
      <c r="L2346" s="97" t="s">
        <v>7610</v>
      </c>
      <c r="N2346" s="76" t="s">
        <v>18</v>
      </c>
      <c r="Q2346" s="76" t="s">
        <v>2037</v>
      </c>
      <c r="R2346" s="73">
        <f t="shared" si="263"/>
        <v>1</v>
      </c>
      <c r="S2346" s="260" t="s">
        <v>1976</v>
      </c>
      <c r="T2346" s="260" t="s">
        <v>925</v>
      </c>
      <c r="Y2346" s="566">
        <v>0.85516203703703697</v>
      </c>
      <c r="Z2346" s="566">
        <v>0.8611805555555555</v>
      </c>
      <c r="AA2346" s="566">
        <f t="shared" si="264"/>
        <v>6.0185185185185341E-3</v>
      </c>
      <c r="AB2346" s="699"/>
    </row>
    <row r="2347" spans="1:28" x14ac:dyDescent="0.3">
      <c r="A2347" s="79" t="s">
        <v>7548</v>
      </c>
      <c r="C2347" s="115">
        <v>43958</v>
      </c>
      <c r="D2347" s="312">
        <v>43998</v>
      </c>
      <c r="E2347" s="81">
        <v>43991</v>
      </c>
      <c r="F2347" s="86" t="s">
        <v>7552</v>
      </c>
      <c r="G2347" s="86" t="s">
        <v>158</v>
      </c>
      <c r="H2347" s="96" t="s">
        <v>213</v>
      </c>
      <c r="I2347" s="97" t="s">
        <v>4391</v>
      </c>
      <c r="J2347" s="73">
        <f t="shared" ref="J2347:J2349" si="265">IF(OR(K2347="Документы готовы",K2347="Запрос в ФО",K2347="ЭЗ",K2347="РЕШ",K2347="РЕШ шаблон"),0.1,IF(OR(K2347="ЭЗ согласование",K2347="РЕШ согласование"),0.3,IF(OR(K2347="ЭЗ согласовано",K2347="РЕШ согласовано",K2347="РЕШ подписано"),0.6,IF(OR(K2347="ЭЗ ПР согласование",K2347="РЕШ УВ согласование"),0.9,IF(OR(K2347="ЭЗ ПР DONE",K2347="РЕШ УВ DONE"),1,0)))))</f>
        <v>1</v>
      </c>
      <c r="K2347" s="74" t="s">
        <v>204</v>
      </c>
      <c r="L2347" s="97" t="s">
        <v>7614</v>
      </c>
      <c r="N2347" s="76" t="s">
        <v>17</v>
      </c>
      <c r="Q2347" s="76" t="s">
        <v>2037</v>
      </c>
      <c r="R2347" s="73">
        <f t="shared" ref="R2347" si="266">IF(S2347="В работе",0.3,IF(S2347="Отписано",0.6,IF(S2347="На доработку",0.9,IF(S2347="Согласовано",1,0))))</f>
        <v>1</v>
      </c>
      <c r="S2347" s="260" t="s">
        <v>1976</v>
      </c>
      <c r="T2347" s="260" t="s">
        <v>923</v>
      </c>
      <c r="Y2347" s="566">
        <v>0.86163194444444446</v>
      </c>
      <c r="Z2347" s="566">
        <v>0.88769675925925917</v>
      </c>
      <c r="AA2347" s="566">
        <f t="shared" si="264"/>
        <v>2.6064814814814707E-2</v>
      </c>
    </row>
    <row r="2348" spans="1:28" x14ac:dyDescent="0.3">
      <c r="A2348" s="79" t="s">
        <v>7549</v>
      </c>
      <c r="C2348" s="115">
        <v>43959</v>
      </c>
      <c r="D2348" s="312">
        <v>43998</v>
      </c>
      <c r="E2348" s="81">
        <v>43990</v>
      </c>
      <c r="F2348" s="86" t="s">
        <v>7553</v>
      </c>
      <c r="G2348" s="86" t="s">
        <v>150</v>
      </c>
      <c r="H2348" s="96" t="s">
        <v>213</v>
      </c>
      <c r="I2348" s="97" t="s">
        <v>642</v>
      </c>
      <c r="J2348" s="73">
        <f t="shared" si="265"/>
        <v>1</v>
      </c>
      <c r="K2348" s="74" t="s">
        <v>204</v>
      </c>
      <c r="L2348" s="97" t="s">
        <v>7110</v>
      </c>
      <c r="N2348" s="76" t="s">
        <v>18</v>
      </c>
      <c r="Q2348" s="76" t="s">
        <v>2142</v>
      </c>
      <c r="R2348" s="73">
        <f t="shared" ref="R2348:R2349" si="267">IF(S2348="В работе",0.3,IF(S2348="Отписано",0.6,IF(S2348="На доработку",0.9,IF(S2348="Согласовано",1,0))))</f>
        <v>1</v>
      </c>
      <c r="S2348" s="260" t="s">
        <v>1976</v>
      </c>
      <c r="T2348" s="260" t="s">
        <v>923</v>
      </c>
      <c r="Y2348" s="566">
        <v>0.6850694444444444</v>
      </c>
      <c r="Z2348" s="566">
        <v>0.69049768518518517</v>
      </c>
      <c r="AA2348" s="566">
        <f t="shared" si="264"/>
        <v>5.4282407407407751E-3</v>
      </c>
    </row>
    <row r="2349" spans="1:28" x14ac:dyDescent="0.3">
      <c r="A2349" s="79" t="s">
        <v>7550</v>
      </c>
      <c r="C2349" s="115">
        <v>43963</v>
      </c>
      <c r="D2349" s="312">
        <v>43999</v>
      </c>
      <c r="E2349" s="81">
        <v>43990</v>
      </c>
      <c r="F2349" s="252" t="s">
        <v>7554</v>
      </c>
      <c r="G2349" s="86" t="s">
        <v>1042</v>
      </c>
      <c r="H2349" s="96" t="s">
        <v>213</v>
      </c>
      <c r="I2349" s="97" t="s">
        <v>642</v>
      </c>
      <c r="J2349" s="73">
        <f t="shared" si="265"/>
        <v>1</v>
      </c>
      <c r="K2349" s="74" t="s">
        <v>204</v>
      </c>
      <c r="L2349" s="97" t="s">
        <v>7110</v>
      </c>
      <c r="N2349" s="76" t="s">
        <v>18</v>
      </c>
      <c r="Q2349" s="76" t="s">
        <v>2417</v>
      </c>
      <c r="R2349" s="73">
        <f t="shared" si="267"/>
        <v>1</v>
      </c>
      <c r="S2349" s="260" t="s">
        <v>1976</v>
      </c>
      <c r="T2349" s="260" t="s">
        <v>925</v>
      </c>
      <c r="Y2349" s="566">
        <v>0.66822916666666676</v>
      </c>
      <c r="Z2349" s="566">
        <v>0.67732638888888885</v>
      </c>
      <c r="AA2349" s="566">
        <f t="shared" si="264"/>
        <v>9.09722222222209E-3</v>
      </c>
    </row>
    <row r="2350" spans="1:28" x14ac:dyDescent="0.3">
      <c r="A2350" s="79" t="s">
        <v>7121</v>
      </c>
      <c r="C2350" s="115">
        <v>43900</v>
      </c>
      <c r="D2350" s="312">
        <v>44001</v>
      </c>
      <c r="E2350" s="81">
        <v>43996</v>
      </c>
      <c r="F2350" s="252" t="s">
        <v>7210</v>
      </c>
      <c r="G2350" s="86" t="s">
        <v>150</v>
      </c>
      <c r="H2350" s="96" t="s">
        <v>213</v>
      </c>
      <c r="I2350" s="97" t="s">
        <v>642</v>
      </c>
      <c r="J2350" s="73">
        <f t="shared" ref="J2350:J2376" si="268">IF(OR(K2350="Документы готовы",K2350="Запрос в ФО",K2350="ЭЗ",K2350="РЕШ",K2350="РЕШ шаблон"),0.1,IF(OR(K2350="ЭЗ согласование",K2350="РЕШ согласование"),0.3,IF(OR(K2350="ЭЗ согласовано",K2350="РЕШ согласовано",K2350="РЕШ подписано"),0.6,IF(OR(K2350="ЭЗ ПР согласование",K2350="РЕШ УВ согласование"),0.9,IF(OR(K2350="ЭЗ ПР DONE",K2350="РЕШ УВ DONE"),1,0)))))</f>
        <v>1</v>
      </c>
      <c r="K2350" s="74" t="s">
        <v>204</v>
      </c>
      <c r="L2350" s="97" t="s">
        <v>7110</v>
      </c>
      <c r="N2350" s="76" t="s">
        <v>18</v>
      </c>
      <c r="Q2350" s="76" t="s">
        <v>2109</v>
      </c>
      <c r="R2350" s="73">
        <f t="shared" ref="R2350" si="269">IF(S2350="В работе",0.3,IF(S2350="Отписано",0.6,IF(S2350="На доработку",0.9,IF(S2350="Согласовано",1,0))))</f>
        <v>1</v>
      </c>
      <c r="S2350" s="260" t="s">
        <v>1976</v>
      </c>
      <c r="T2350" s="260" t="s">
        <v>924</v>
      </c>
      <c r="Y2350" s="566">
        <v>0.93664351851851846</v>
      </c>
      <c r="Z2350" s="566">
        <v>0.9400115740740741</v>
      </c>
      <c r="AA2350" s="566">
        <f t="shared" si="264"/>
        <v>3.368055555555638E-3</v>
      </c>
    </row>
    <row r="2351" spans="1:28" x14ac:dyDescent="0.3">
      <c r="A2351" s="79" t="s">
        <v>7626</v>
      </c>
      <c r="C2351" s="115">
        <v>43915</v>
      </c>
      <c r="D2351" s="312">
        <v>44004</v>
      </c>
      <c r="E2351" s="81">
        <v>43993</v>
      </c>
      <c r="F2351" s="86" t="s">
        <v>7674</v>
      </c>
      <c r="G2351" s="86" t="s">
        <v>156</v>
      </c>
      <c r="H2351" s="96" t="s">
        <v>213</v>
      </c>
      <c r="I2351" s="97" t="s">
        <v>649</v>
      </c>
      <c r="J2351" s="73">
        <f t="shared" si="268"/>
        <v>1</v>
      </c>
      <c r="K2351" s="74" t="s">
        <v>204</v>
      </c>
      <c r="L2351" s="97" t="s">
        <v>7065</v>
      </c>
      <c r="N2351" s="76" t="s">
        <v>17</v>
      </c>
      <c r="Q2351" s="76" t="s">
        <v>2417</v>
      </c>
      <c r="R2351" s="73">
        <f t="shared" ref="R2351:R2377" si="270">IF(S2351="В работе",0.3,IF(S2351="Отписано",0.6,IF(S2351="На доработку",0.9,IF(S2351="Согласовано",1,0))))</f>
        <v>1</v>
      </c>
      <c r="S2351" s="260" t="s">
        <v>1976</v>
      </c>
      <c r="T2351" s="260" t="s">
        <v>923</v>
      </c>
      <c r="Y2351" s="566">
        <v>0.4619907407407407</v>
      </c>
      <c r="Z2351" s="566">
        <v>0.47083333333333338</v>
      </c>
      <c r="AA2351" s="566">
        <f t="shared" si="264"/>
        <v>8.8425925925926796E-3</v>
      </c>
    </row>
    <row r="2352" spans="1:28" x14ac:dyDescent="0.3">
      <c r="A2352" s="79" t="s">
        <v>7628</v>
      </c>
      <c r="C2352" s="115">
        <v>43917</v>
      </c>
      <c r="D2352" s="312">
        <v>44005</v>
      </c>
      <c r="E2352" s="81">
        <v>43994</v>
      </c>
      <c r="F2352" s="86" t="s">
        <v>7675</v>
      </c>
      <c r="G2352" s="86" t="s">
        <v>152</v>
      </c>
      <c r="H2352" s="96" t="s">
        <v>213</v>
      </c>
      <c r="I2352" s="97" t="s">
        <v>649</v>
      </c>
      <c r="J2352" s="73">
        <f t="shared" si="268"/>
        <v>1</v>
      </c>
      <c r="K2352" s="74" t="s">
        <v>204</v>
      </c>
      <c r="L2352" s="97" t="s">
        <v>7065</v>
      </c>
      <c r="N2352" s="76" t="s">
        <v>18</v>
      </c>
      <c r="Q2352" s="76" t="s">
        <v>2417</v>
      </c>
      <c r="R2352" s="73">
        <f t="shared" si="270"/>
        <v>1</v>
      </c>
      <c r="S2352" s="260" t="s">
        <v>1976</v>
      </c>
      <c r="T2352" s="260" t="s">
        <v>923</v>
      </c>
      <c r="Y2352" s="566">
        <v>0.43072916666666666</v>
      </c>
      <c r="Z2352" s="566">
        <v>0.44797453703703699</v>
      </c>
      <c r="AA2352" s="566">
        <f t="shared" si="264"/>
        <v>1.7245370370370328E-2</v>
      </c>
    </row>
    <row r="2353" spans="1:27" x14ac:dyDescent="0.3">
      <c r="A2353" s="79" t="s">
        <v>7629</v>
      </c>
      <c r="C2353" s="115">
        <v>43935</v>
      </c>
      <c r="D2353" s="312">
        <v>44005</v>
      </c>
      <c r="E2353" s="81">
        <v>43994</v>
      </c>
      <c r="F2353" s="86" t="s">
        <v>7676</v>
      </c>
      <c r="G2353" s="86" t="s">
        <v>150</v>
      </c>
      <c r="H2353" s="96" t="s">
        <v>213</v>
      </c>
      <c r="I2353" s="97" t="s">
        <v>1113</v>
      </c>
      <c r="J2353" s="73">
        <f t="shared" si="268"/>
        <v>1</v>
      </c>
      <c r="K2353" s="74" t="s">
        <v>204</v>
      </c>
      <c r="L2353" s="97" t="s">
        <v>7727</v>
      </c>
      <c r="N2353" s="76" t="s">
        <v>18</v>
      </c>
      <c r="Q2353" s="76" t="s">
        <v>2417</v>
      </c>
      <c r="R2353" s="73">
        <f t="shared" si="270"/>
        <v>1</v>
      </c>
      <c r="S2353" s="260" t="s">
        <v>1976</v>
      </c>
      <c r="T2353" s="260" t="s">
        <v>923</v>
      </c>
      <c r="Y2353" s="566">
        <v>0.39974537037037039</v>
      </c>
      <c r="Z2353" s="566">
        <v>0.4053356481481481</v>
      </c>
      <c r="AA2353" s="566">
        <f t="shared" si="264"/>
        <v>5.590277777777708E-3</v>
      </c>
    </row>
    <row r="2354" spans="1:27" x14ac:dyDescent="0.3">
      <c r="A2354" s="79" t="s">
        <v>7630</v>
      </c>
      <c r="C2354" s="115">
        <v>43936</v>
      </c>
      <c r="D2354" s="312">
        <v>44005</v>
      </c>
      <c r="E2354" s="81">
        <v>43997</v>
      </c>
      <c r="F2354" s="86" t="s">
        <v>7676</v>
      </c>
      <c r="G2354" s="86" t="s">
        <v>150</v>
      </c>
      <c r="H2354" s="96" t="s">
        <v>213</v>
      </c>
      <c r="I2354" s="97" t="s">
        <v>1113</v>
      </c>
      <c r="J2354" s="73">
        <f t="shared" si="268"/>
        <v>1</v>
      </c>
      <c r="K2354" s="74" t="s">
        <v>204</v>
      </c>
      <c r="L2354" s="97" t="s">
        <v>7727</v>
      </c>
      <c r="N2354" s="76" t="s">
        <v>18</v>
      </c>
      <c r="Q2354" s="76" t="s">
        <v>2037</v>
      </c>
      <c r="R2354" s="73">
        <f t="shared" si="270"/>
        <v>1</v>
      </c>
      <c r="S2354" s="260" t="s">
        <v>1976</v>
      </c>
      <c r="T2354" s="260" t="s">
        <v>924</v>
      </c>
      <c r="Y2354" s="566">
        <v>0.73172453703703699</v>
      </c>
      <c r="Z2354" s="566">
        <v>0.73607638888888882</v>
      </c>
      <c r="AA2354" s="566">
        <f t="shared" si="264"/>
        <v>4.351851851851829E-3</v>
      </c>
    </row>
    <row r="2355" spans="1:27" x14ac:dyDescent="0.3">
      <c r="A2355" s="79" t="s">
        <v>7631</v>
      </c>
      <c r="C2355" s="115">
        <v>43936</v>
      </c>
      <c r="D2355" s="312">
        <v>44005</v>
      </c>
      <c r="E2355" s="81">
        <v>43997</v>
      </c>
      <c r="F2355" s="86" t="s">
        <v>7676</v>
      </c>
      <c r="G2355" s="86" t="s">
        <v>150</v>
      </c>
      <c r="H2355" s="96" t="s">
        <v>213</v>
      </c>
      <c r="I2355" s="97" t="s">
        <v>1113</v>
      </c>
      <c r="J2355" s="73">
        <f t="shared" si="268"/>
        <v>1</v>
      </c>
      <c r="K2355" s="74" t="s">
        <v>204</v>
      </c>
      <c r="L2355" s="97" t="s">
        <v>7727</v>
      </c>
      <c r="N2355" s="76" t="s">
        <v>18</v>
      </c>
      <c r="Q2355" s="76" t="s">
        <v>2037</v>
      </c>
      <c r="R2355" s="73">
        <f t="shared" si="270"/>
        <v>1</v>
      </c>
      <c r="S2355" s="260" t="s">
        <v>1976</v>
      </c>
      <c r="T2355" s="260" t="s">
        <v>924</v>
      </c>
      <c r="Y2355" s="566">
        <v>0.72649305555555566</v>
      </c>
      <c r="Z2355" s="566">
        <v>0.73148148148148151</v>
      </c>
      <c r="AA2355" s="566">
        <f t="shared" si="264"/>
        <v>4.9884259259258545E-3</v>
      </c>
    </row>
    <row r="2356" spans="1:27" x14ac:dyDescent="0.3">
      <c r="A2356" s="79" t="s">
        <v>7633</v>
      </c>
      <c r="C2356" s="115">
        <v>43943</v>
      </c>
      <c r="D2356" s="312">
        <v>44005</v>
      </c>
      <c r="E2356" s="81">
        <v>43997</v>
      </c>
      <c r="F2356" s="86" t="s">
        <v>7676</v>
      </c>
      <c r="G2356" s="86" t="s">
        <v>150</v>
      </c>
      <c r="H2356" s="96" t="s">
        <v>213</v>
      </c>
      <c r="I2356" s="97" t="s">
        <v>1113</v>
      </c>
      <c r="J2356" s="73">
        <f t="shared" si="268"/>
        <v>1</v>
      </c>
      <c r="K2356" s="74" t="s">
        <v>204</v>
      </c>
      <c r="L2356" s="97" t="s">
        <v>7727</v>
      </c>
      <c r="N2356" s="76" t="s">
        <v>18</v>
      </c>
      <c r="Q2356" s="76" t="s">
        <v>2037</v>
      </c>
      <c r="R2356" s="73">
        <f t="shared" si="270"/>
        <v>1</v>
      </c>
      <c r="S2356" s="260" t="s">
        <v>1976</v>
      </c>
      <c r="T2356" s="260" t="s">
        <v>925</v>
      </c>
      <c r="Y2356" s="566">
        <v>0.71725694444444443</v>
      </c>
      <c r="Z2356" s="566">
        <v>0.7259606481481482</v>
      </c>
      <c r="AA2356" s="566">
        <f t="shared" si="264"/>
        <v>8.703703703703769E-3</v>
      </c>
    </row>
    <row r="2357" spans="1:27" x14ac:dyDescent="0.3">
      <c r="A2357" s="96" t="s">
        <v>6619</v>
      </c>
      <c r="C2357" s="115">
        <v>43950</v>
      </c>
      <c r="D2357" s="312">
        <v>43998</v>
      </c>
      <c r="E2357" s="81">
        <v>43993</v>
      </c>
      <c r="F2357" s="86" t="s">
        <v>6682</v>
      </c>
      <c r="G2357" s="86" t="s">
        <v>177</v>
      </c>
      <c r="H2357" s="96" t="s">
        <v>268</v>
      </c>
      <c r="I2357" s="97" t="s">
        <v>714</v>
      </c>
      <c r="J2357" s="73">
        <f t="shared" si="268"/>
        <v>1</v>
      </c>
      <c r="K2357" s="74" t="s">
        <v>204</v>
      </c>
      <c r="L2357" s="97" t="s">
        <v>7071</v>
      </c>
      <c r="N2357" s="76" t="s">
        <v>17</v>
      </c>
      <c r="Q2357" s="76" t="s">
        <v>2109</v>
      </c>
      <c r="R2357" s="73">
        <f t="shared" si="270"/>
        <v>1</v>
      </c>
      <c r="S2357" s="260" t="s">
        <v>1976</v>
      </c>
      <c r="T2357" s="260" t="s">
        <v>924</v>
      </c>
      <c r="Y2357" s="566">
        <v>0.53784722222222225</v>
      </c>
      <c r="Z2357" s="566">
        <v>0.54982638888888891</v>
      </c>
      <c r="AA2357" s="566">
        <f t="shared" si="264"/>
        <v>1.1979166666666652E-2</v>
      </c>
    </row>
    <row r="2358" spans="1:27" x14ac:dyDescent="0.3">
      <c r="A2358" s="79" t="s">
        <v>6621</v>
      </c>
      <c r="C2358" s="115">
        <v>43950</v>
      </c>
      <c r="D2358" s="312">
        <v>43998</v>
      </c>
      <c r="E2358" s="81">
        <v>43992</v>
      </c>
      <c r="F2358" s="86" t="s">
        <v>6684</v>
      </c>
      <c r="G2358" s="86" t="s">
        <v>410</v>
      </c>
      <c r="H2358" s="96" t="s">
        <v>213</v>
      </c>
      <c r="I2358" s="97" t="s">
        <v>714</v>
      </c>
      <c r="J2358" s="73">
        <f t="shared" si="268"/>
        <v>1</v>
      </c>
      <c r="K2358" s="74" t="s">
        <v>204</v>
      </c>
      <c r="L2358" s="97" t="s">
        <v>7712</v>
      </c>
      <c r="N2358" s="76" t="s">
        <v>18</v>
      </c>
      <c r="Q2358" s="76" t="s">
        <v>2109</v>
      </c>
      <c r="R2358" s="73">
        <f t="shared" si="270"/>
        <v>1</v>
      </c>
      <c r="S2358" s="260" t="s">
        <v>1976</v>
      </c>
      <c r="T2358" s="260" t="s">
        <v>924</v>
      </c>
      <c r="Y2358" s="566">
        <v>0.82168981481481485</v>
      </c>
      <c r="Z2358" s="566">
        <v>0.83314814814814808</v>
      </c>
      <c r="AA2358" s="566">
        <f t="shared" si="264"/>
        <v>1.1458333333333237E-2</v>
      </c>
    </row>
    <row r="2359" spans="1:27" x14ac:dyDescent="0.3">
      <c r="A2359" s="79" t="s">
        <v>7638</v>
      </c>
      <c r="C2359" s="115">
        <v>43956</v>
      </c>
      <c r="D2359" s="312">
        <v>44005</v>
      </c>
      <c r="E2359" s="81">
        <v>43997</v>
      </c>
      <c r="F2359" s="86" t="s">
        <v>7676</v>
      </c>
      <c r="G2359" s="86" t="s">
        <v>150</v>
      </c>
      <c r="H2359" s="96" t="s">
        <v>213</v>
      </c>
      <c r="I2359" s="97" t="s">
        <v>1113</v>
      </c>
      <c r="J2359" s="73">
        <f t="shared" si="268"/>
        <v>1</v>
      </c>
      <c r="K2359" s="74" t="s">
        <v>204</v>
      </c>
      <c r="L2359" s="97" t="s">
        <v>7727</v>
      </c>
      <c r="N2359" s="76" t="s">
        <v>18</v>
      </c>
      <c r="Q2359" s="76" t="s">
        <v>2037</v>
      </c>
      <c r="R2359" s="73">
        <f t="shared" si="270"/>
        <v>1</v>
      </c>
      <c r="S2359" s="260" t="s">
        <v>1976</v>
      </c>
      <c r="T2359" s="260" t="s">
        <v>925</v>
      </c>
      <c r="Y2359" s="566">
        <v>0.69869212962962957</v>
      </c>
      <c r="Z2359" s="566">
        <v>0.70574074074074078</v>
      </c>
      <c r="AA2359" s="566">
        <f t="shared" ref="AA2359:AA2380" si="271">Z2359-Y2359</f>
        <v>7.0486111111112137E-3</v>
      </c>
    </row>
    <row r="2360" spans="1:27" x14ac:dyDescent="0.3">
      <c r="A2360" s="79" t="s">
        <v>7392</v>
      </c>
      <c r="C2360" s="115">
        <v>43963</v>
      </c>
      <c r="D2360" s="312">
        <v>43999</v>
      </c>
      <c r="E2360" s="81">
        <v>43994</v>
      </c>
      <c r="F2360" s="86" t="s">
        <v>7460</v>
      </c>
      <c r="G2360" s="86" t="s">
        <v>2652</v>
      </c>
      <c r="H2360" s="96" t="s">
        <v>213</v>
      </c>
      <c r="I2360" s="97" t="s">
        <v>714</v>
      </c>
      <c r="J2360" s="73">
        <f t="shared" si="268"/>
        <v>1</v>
      </c>
      <c r="K2360" s="74" t="s">
        <v>204</v>
      </c>
      <c r="L2360" s="97" t="s">
        <v>7737</v>
      </c>
      <c r="N2360" s="76" t="s">
        <v>17</v>
      </c>
      <c r="Q2360" s="76" t="s">
        <v>2109</v>
      </c>
      <c r="R2360" s="73">
        <f t="shared" si="270"/>
        <v>1</v>
      </c>
      <c r="S2360" s="260" t="s">
        <v>1976</v>
      </c>
      <c r="T2360" s="260" t="s">
        <v>924</v>
      </c>
      <c r="Y2360" s="566">
        <v>0.60826388888888883</v>
      </c>
      <c r="Z2360" s="566">
        <v>0.61714120370370373</v>
      </c>
      <c r="AA2360" s="566">
        <f t="shared" si="271"/>
        <v>8.8773148148149073E-3</v>
      </c>
    </row>
    <row r="2361" spans="1:27" x14ac:dyDescent="0.3">
      <c r="A2361" s="79" t="s">
        <v>6933</v>
      </c>
      <c r="C2361" s="115">
        <v>43963</v>
      </c>
      <c r="D2361" s="312">
        <v>44000</v>
      </c>
      <c r="E2361" s="81">
        <v>43996</v>
      </c>
      <c r="F2361" s="86" t="s">
        <v>7052</v>
      </c>
      <c r="G2361" s="86" t="s">
        <v>150</v>
      </c>
      <c r="H2361" s="96" t="s">
        <v>213</v>
      </c>
      <c r="I2361" s="97" t="s">
        <v>642</v>
      </c>
      <c r="J2361" s="73">
        <f t="shared" si="268"/>
        <v>1</v>
      </c>
      <c r="K2361" s="74" t="s">
        <v>204</v>
      </c>
      <c r="L2361" s="97" t="s">
        <v>7110</v>
      </c>
      <c r="N2361" s="76" t="s">
        <v>18</v>
      </c>
      <c r="Q2361" s="76" t="s">
        <v>2109</v>
      </c>
      <c r="R2361" s="73">
        <f t="shared" si="270"/>
        <v>1</v>
      </c>
      <c r="S2361" s="260" t="s">
        <v>1976</v>
      </c>
      <c r="T2361" s="260" t="s">
        <v>923</v>
      </c>
      <c r="Y2361" s="566">
        <v>0.92663194444444441</v>
      </c>
      <c r="Z2361" s="566">
        <v>0.93146990740740743</v>
      </c>
      <c r="AA2361" s="566">
        <f t="shared" si="271"/>
        <v>4.8379629629630161E-3</v>
      </c>
    </row>
    <row r="2362" spans="1:27" x14ac:dyDescent="0.3">
      <c r="A2362" s="79" t="s">
        <v>7393</v>
      </c>
      <c r="C2362" s="115">
        <v>43964</v>
      </c>
      <c r="D2362" s="312">
        <v>44001</v>
      </c>
      <c r="E2362" s="81">
        <v>43992</v>
      </c>
      <c r="F2362" s="86" t="s">
        <v>7461</v>
      </c>
      <c r="G2362" s="86" t="s">
        <v>150</v>
      </c>
      <c r="H2362" s="96" t="s">
        <v>213</v>
      </c>
      <c r="I2362" s="97" t="s">
        <v>714</v>
      </c>
      <c r="J2362" s="73">
        <f t="shared" si="268"/>
        <v>1</v>
      </c>
      <c r="K2362" s="74" t="s">
        <v>204</v>
      </c>
      <c r="L2362" s="97" t="s">
        <v>7072</v>
      </c>
      <c r="N2362" s="76" t="s">
        <v>18</v>
      </c>
      <c r="Q2362" s="76" t="s">
        <v>2142</v>
      </c>
      <c r="R2362" s="73">
        <f t="shared" si="270"/>
        <v>1</v>
      </c>
      <c r="S2362" s="260" t="s">
        <v>1976</v>
      </c>
      <c r="T2362" s="260" t="s">
        <v>925</v>
      </c>
      <c r="Y2362" s="566">
        <v>0.84260416666666671</v>
      </c>
      <c r="Z2362" s="566">
        <v>0.85385416666666669</v>
      </c>
      <c r="AA2362" s="566">
        <f t="shared" si="271"/>
        <v>1.1249999999999982E-2</v>
      </c>
    </row>
    <row r="2363" spans="1:27" x14ac:dyDescent="0.3">
      <c r="A2363" s="96" t="s">
        <v>7126</v>
      </c>
      <c r="C2363" s="115">
        <v>43964</v>
      </c>
      <c r="D2363" s="312">
        <v>44001</v>
      </c>
      <c r="E2363" s="81">
        <v>43996</v>
      </c>
      <c r="F2363" s="86" t="s">
        <v>7215</v>
      </c>
      <c r="G2363" s="86" t="s">
        <v>181</v>
      </c>
      <c r="H2363" s="96" t="s">
        <v>213</v>
      </c>
      <c r="I2363" s="97" t="s">
        <v>714</v>
      </c>
      <c r="J2363" s="73">
        <f t="shared" si="268"/>
        <v>1</v>
      </c>
      <c r="K2363" s="74" t="s">
        <v>204</v>
      </c>
      <c r="L2363" s="97" t="s">
        <v>7740</v>
      </c>
      <c r="N2363" s="76" t="s">
        <v>18</v>
      </c>
      <c r="Q2363" s="76" t="s">
        <v>2109</v>
      </c>
      <c r="R2363" s="73">
        <f t="shared" si="270"/>
        <v>1</v>
      </c>
      <c r="S2363" s="260" t="s">
        <v>1976</v>
      </c>
      <c r="T2363" s="260" t="s">
        <v>925</v>
      </c>
      <c r="Y2363" s="566">
        <v>0.90910879629629626</v>
      </c>
      <c r="Z2363" s="566">
        <v>0.91737268518518522</v>
      </c>
      <c r="AA2363" s="566">
        <f t="shared" si="271"/>
        <v>8.2638888888889594E-3</v>
      </c>
    </row>
    <row r="2364" spans="1:27" x14ac:dyDescent="0.3">
      <c r="A2364" s="79" t="s">
        <v>6938</v>
      </c>
      <c r="C2364" s="115">
        <v>43964</v>
      </c>
      <c r="D2364" s="312">
        <v>44000</v>
      </c>
      <c r="E2364" s="81">
        <v>43996</v>
      </c>
      <c r="F2364" s="86" t="s">
        <v>7057</v>
      </c>
      <c r="G2364" s="86" t="s">
        <v>158</v>
      </c>
      <c r="H2364" s="96" t="s">
        <v>213</v>
      </c>
      <c r="I2364" s="97" t="s">
        <v>642</v>
      </c>
      <c r="J2364" s="73">
        <f t="shared" si="268"/>
        <v>1</v>
      </c>
      <c r="K2364" s="74" t="s">
        <v>204</v>
      </c>
      <c r="L2364" s="97" t="s">
        <v>7110</v>
      </c>
      <c r="N2364" s="76" t="s">
        <v>18</v>
      </c>
      <c r="Q2364" s="76" t="s">
        <v>2109</v>
      </c>
      <c r="R2364" s="73">
        <f t="shared" si="270"/>
        <v>1</v>
      </c>
      <c r="S2364" s="260" t="s">
        <v>1976</v>
      </c>
      <c r="T2364" s="260" t="s">
        <v>925</v>
      </c>
      <c r="Y2364" s="566">
        <v>0.92256944444444444</v>
      </c>
      <c r="Z2364" s="566">
        <v>0.92638888888888893</v>
      </c>
      <c r="AA2364" s="566">
        <f t="shared" si="271"/>
        <v>3.8194444444444864E-3</v>
      </c>
    </row>
    <row r="2365" spans="1:27" x14ac:dyDescent="0.3">
      <c r="A2365" s="79" t="s">
        <v>7134</v>
      </c>
      <c r="C2365" s="115">
        <v>43964</v>
      </c>
      <c r="D2365" s="312">
        <v>44001</v>
      </c>
      <c r="E2365" s="81">
        <v>43993</v>
      </c>
      <c r="F2365" s="86" t="s">
        <v>7223</v>
      </c>
      <c r="G2365" s="86" t="s">
        <v>147</v>
      </c>
      <c r="H2365" s="96" t="s">
        <v>213</v>
      </c>
      <c r="I2365" s="97" t="s">
        <v>645</v>
      </c>
      <c r="J2365" s="73">
        <f t="shared" si="268"/>
        <v>1</v>
      </c>
      <c r="K2365" s="74" t="s">
        <v>204</v>
      </c>
      <c r="L2365" s="97" t="s">
        <v>7314</v>
      </c>
      <c r="N2365" s="76" t="s">
        <v>18</v>
      </c>
      <c r="Q2365" s="76" t="s">
        <v>2142</v>
      </c>
      <c r="R2365" s="73">
        <f t="shared" si="270"/>
        <v>1</v>
      </c>
      <c r="S2365" s="260" t="s">
        <v>1976</v>
      </c>
      <c r="T2365" s="260" t="s">
        <v>924</v>
      </c>
      <c r="Y2365" s="566">
        <v>0.45437499999999997</v>
      </c>
      <c r="Z2365" s="566">
        <v>0.46159722222222221</v>
      </c>
      <c r="AA2365" s="566">
        <f t="shared" si="271"/>
        <v>7.222222222222241E-3</v>
      </c>
    </row>
    <row r="2366" spans="1:27" x14ac:dyDescent="0.3">
      <c r="A2366" s="79" t="s">
        <v>7135</v>
      </c>
      <c r="C2366" s="115">
        <v>43965</v>
      </c>
      <c r="D2366" s="312">
        <v>44004</v>
      </c>
      <c r="E2366" s="81">
        <v>43997</v>
      </c>
      <c r="F2366" s="86" t="s">
        <v>7224</v>
      </c>
      <c r="G2366" s="86" t="s">
        <v>156</v>
      </c>
      <c r="H2366" s="96" t="s">
        <v>213</v>
      </c>
      <c r="I2366" s="97" t="s">
        <v>714</v>
      </c>
      <c r="J2366" s="73">
        <f t="shared" si="268"/>
        <v>1</v>
      </c>
      <c r="K2366" s="74" t="s">
        <v>204</v>
      </c>
      <c r="L2366" s="97" t="s">
        <v>7072</v>
      </c>
      <c r="N2366" s="76" t="s">
        <v>17</v>
      </c>
      <c r="Q2366" s="76" t="s">
        <v>2109</v>
      </c>
      <c r="R2366" s="73">
        <f t="shared" si="270"/>
        <v>1</v>
      </c>
      <c r="S2366" s="260" t="s">
        <v>1976</v>
      </c>
      <c r="T2366" s="260" t="s">
        <v>923</v>
      </c>
      <c r="Y2366" s="566">
        <v>0.6881018518518518</v>
      </c>
      <c r="Z2366" s="566">
        <v>0.69319444444444445</v>
      </c>
      <c r="AA2366" s="566">
        <f t="shared" si="271"/>
        <v>5.0925925925926485E-3</v>
      </c>
    </row>
    <row r="2367" spans="1:27" x14ac:dyDescent="0.3">
      <c r="A2367" s="79" t="s">
        <v>7138</v>
      </c>
      <c r="C2367" s="115">
        <v>43965</v>
      </c>
      <c r="D2367" s="312">
        <v>44004</v>
      </c>
      <c r="E2367" s="81">
        <v>43993</v>
      </c>
      <c r="F2367" s="86" t="s">
        <v>7227</v>
      </c>
      <c r="G2367" s="86" t="s">
        <v>156</v>
      </c>
      <c r="H2367" s="96" t="s">
        <v>213</v>
      </c>
      <c r="I2367" s="97" t="s">
        <v>714</v>
      </c>
      <c r="J2367" s="73">
        <f t="shared" si="268"/>
        <v>1</v>
      </c>
      <c r="K2367" s="74" t="s">
        <v>204</v>
      </c>
      <c r="L2367" s="97" t="s">
        <v>7072</v>
      </c>
      <c r="N2367" s="76" t="s">
        <v>17</v>
      </c>
      <c r="Q2367" s="76" t="s">
        <v>2076</v>
      </c>
      <c r="R2367" s="73">
        <f t="shared" si="270"/>
        <v>1</v>
      </c>
      <c r="S2367" s="260" t="s">
        <v>1976</v>
      </c>
      <c r="T2367" s="260" t="s">
        <v>923</v>
      </c>
      <c r="Y2367" s="566">
        <v>0.73400462962962953</v>
      </c>
      <c r="Z2367" s="566">
        <v>0.74078703703703708</v>
      </c>
      <c r="AA2367" s="566">
        <f t="shared" si="271"/>
        <v>6.7824074074075424E-3</v>
      </c>
    </row>
    <row r="2368" spans="1:27" x14ac:dyDescent="0.3">
      <c r="A2368" s="79" t="s">
        <v>7139</v>
      </c>
      <c r="C2368" s="115">
        <v>43965</v>
      </c>
      <c r="D2368" s="312">
        <v>44004</v>
      </c>
      <c r="E2368" s="81">
        <v>43993</v>
      </c>
      <c r="F2368" s="86" t="s">
        <v>7228</v>
      </c>
      <c r="G2368" s="86" t="s">
        <v>164</v>
      </c>
      <c r="H2368" s="96" t="s">
        <v>213</v>
      </c>
      <c r="I2368" s="97" t="s">
        <v>642</v>
      </c>
      <c r="J2368" s="73">
        <f t="shared" si="268"/>
        <v>1</v>
      </c>
      <c r="K2368" s="74" t="s">
        <v>204</v>
      </c>
      <c r="L2368" s="97" t="s">
        <v>7721</v>
      </c>
      <c r="N2368" s="76" t="s">
        <v>18</v>
      </c>
      <c r="Q2368" s="76" t="s">
        <v>2417</v>
      </c>
      <c r="R2368" s="73">
        <f t="shared" si="270"/>
        <v>1</v>
      </c>
      <c r="S2368" s="260" t="s">
        <v>1976</v>
      </c>
      <c r="T2368" s="260" t="s">
        <v>924</v>
      </c>
      <c r="Y2368" s="566">
        <v>0.74100694444444448</v>
      </c>
      <c r="Z2368" s="566">
        <v>0.74754629629629632</v>
      </c>
      <c r="AA2368" s="566">
        <f t="shared" si="271"/>
        <v>6.5393518518518379E-3</v>
      </c>
    </row>
    <row r="2369" spans="1:27" x14ac:dyDescent="0.3">
      <c r="A2369" s="79" t="s">
        <v>7140</v>
      </c>
      <c r="C2369" s="115">
        <v>43965</v>
      </c>
      <c r="D2369" s="312">
        <v>44004</v>
      </c>
      <c r="E2369" s="81">
        <v>43997</v>
      </c>
      <c r="F2369" s="86" t="s">
        <v>7229</v>
      </c>
      <c r="G2369" s="86" t="s">
        <v>156</v>
      </c>
      <c r="H2369" s="96" t="s">
        <v>213</v>
      </c>
      <c r="I2369" s="97" t="s">
        <v>714</v>
      </c>
      <c r="J2369" s="73">
        <f t="shared" si="268"/>
        <v>1</v>
      </c>
      <c r="K2369" s="74" t="s">
        <v>204</v>
      </c>
      <c r="L2369" s="97" t="s">
        <v>7071</v>
      </c>
      <c r="N2369" s="76" t="s">
        <v>17</v>
      </c>
      <c r="Q2369" s="76" t="s">
        <v>2109</v>
      </c>
      <c r="R2369" s="73">
        <f t="shared" si="270"/>
        <v>1</v>
      </c>
      <c r="S2369" s="260" t="s">
        <v>1976</v>
      </c>
      <c r="T2369" s="260" t="s">
        <v>924</v>
      </c>
      <c r="Y2369" s="566">
        <v>0.69349537037037035</v>
      </c>
      <c r="Z2369" s="566">
        <v>0.69832175925925932</v>
      </c>
      <c r="AA2369" s="566">
        <f t="shared" si="271"/>
        <v>4.8263888888889772E-3</v>
      </c>
    </row>
    <row r="2370" spans="1:27" x14ac:dyDescent="0.3">
      <c r="A2370" s="79" t="s">
        <v>7640</v>
      </c>
      <c r="C2370" s="115">
        <v>43965</v>
      </c>
      <c r="D2370" s="312">
        <v>44004</v>
      </c>
      <c r="E2370" s="81">
        <v>43993</v>
      </c>
      <c r="F2370" s="86" t="s">
        <v>7677</v>
      </c>
      <c r="G2370" s="86" t="s">
        <v>177</v>
      </c>
      <c r="H2370" s="96" t="s">
        <v>213</v>
      </c>
      <c r="I2370" s="97" t="s">
        <v>714</v>
      </c>
      <c r="J2370" s="73">
        <f t="shared" si="268"/>
        <v>1</v>
      </c>
      <c r="K2370" s="74" t="s">
        <v>204</v>
      </c>
      <c r="L2370" s="97" t="s">
        <v>7723</v>
      </c>
      <c r="N2370" s="76" t="s">
        <v>18</v>
      </c>
      <c r="Q2370" s="76" t="s">
        <v>2142</v>
      </c>
      <c r="R2370" s="73">
        <f t="shared" si="270"/>
        <v>1</v>
      </c>
      <c r="S2370" s="260" t="s">
        <v>1976</v>
      </c>
      <c r="T2370" s="260" t="s">
        <v>923</v>
      </c>
      <c r="Y2370" s="566">
        <v>0.75907407407407401</v>
      </c>
      <c r="Z2370" s="566">
        <v>0.76513888888888892</v>
      </c>
      <c r="AA2370" s="566">
        <f t="shared" si="271"/>
        <v>6.0648148148149117E-3</v>
      </c>
    </row>
    <row r="2371" spans="1:27" x14ac:dyDescent="0.3">
      <c r="A2371" s="79" t="s">
        <v>7395</v>
      </c>
      <c r="C2371" s="115">
        <v>43965</v>
      </c>
      <c r="D2371" s="312">
        <v>44001</v>
      </c>
      <c r="E2371" s="81">
        <v>43996</v>
      </c>
      <c r="F2371" s="86" t="s">
        <v>7463</v>
      </c>
      <c r="G2371" s="86" t="s">
        <v>172</v>
      </c>
      <c r="H2371" s="96" t="s">
        <v>213</v>
      </c>
      <c r="I2371" s="97" t="s">
        <v>714</v>
      </c>
      <c r="J2371" s="73">
        <f t="shared" si="268"/>
        <v>1</v>
      </c>
      <c r="K2371" s="74" t="s">
        <v>204</v>
      </c>
      <c r="L2371" s="97" t="s">
        <v>7741</v>
      </c>
      <c r="N2371" s="76" t="s">
        <v>18</v>
      </c>
      <c r="Q2371" s="76" t="s">
        <v>2109</v>
      </c>
      <c r="R2371" s="73">
        <f t="shared" si="270"/>
        <v>1</v>
      </c>
      <c r="S2371" s="260" t="s">
        <v>1976</v>
      </c>
      <c r="T2371" s="260" t="s">
        <v>923</v>
      </c>
      <c r="Y2371" s="566">
        <v>0.91766203703703697</v>
      </c>
      <c r="Z2371" s="566">
        <v>0.92175925925925928</v>
      </c>
      <c r="AA2371" s="566">
        <f t="shared" si="271"/>
        <v>4.0972222222223076E-3</v>
      </c>
    </row>
    <row r="2372" spans="1:27" x14ac:dyDescent="0.3">
      <c r="A2372" s="79" t="s">
        <v>7141</v>
      </c>
      <c r="C2372" s="115">
        <v>43965</v>
      </c>
      <c r="D2372" s="312">
        <v>44004</v>
      </c>
      <c r="E2372" s="81">
        <v>43993</v>
      </c>
      <c r="F2372" s="86" t="s">
        <v>7230</v>
      </c>
      <c r="G2372" s="86" t="s">
        <v>147</v>
      </c>
      <c r="H2372" s="96" t="s">
        <v>213</v>
      </c>
      <c r="I2372" s="97" t="s">
        <v>642</v>
      </c>
      <c r="J2372" s="73">
        <f t="shared" si="268"/>
        <v>1</v>
      </c>
      <c r="K2372" s="74" t="s">
        <v>204</v>
      </c>
      <c r="L2372" s="97" t="s">
        <v>7110</v>
      </c>
      <c r="N2372" s="76" t="s">
        <v>18</v>
      </c>
      <c r="Q2372" s="76" t="s">
        <v>2417</v>
      </c>
      <c r="R2372" s="73">
        <f t="shared" si="270"/>
        <v>1</v>
      </c>
      <c r="S2372" s="260" t="s">
        <v>1976</v>
      </c>
      <c r="T2372" s="260" t="s">
        <v>925</v>
      </c>
      <c r="Y2372" s="566">
        <v>0.78513888888888894</v>
      </c>
      <c r="Z2372" s="566">
        <v>0.78961805555555553</v>
      </c>
      <c r="AA2372" s="566">
        <f t="shared" si="271"/>
        <v>4.4791666666665897E-3</v>
      </c>
    </row>
    <row r="2373" spans="1:27" x14ac:dyDescent="0.3">
      <c r="A2373" s="79" t="s">
        <v>7142</v>
      </c>
      <c r="C2373" s="115">
        <v>43965</v>
      </c>
      <c r="D2373" s="312">
        <v>44004</v>
      </c>
      <c r="E2373" s="81">
        <v>43993</v>
      </c>
      <c r="F2373" s="86" t="s">
        <v>7231</v>
      </c>
      <c r="G2373" s="86" t="s">
        <v>152</v>
      </c>
      <c r="H2373" s="96" t="s">
        <v>213</v>
      </c>
      <c r="I2373" s="97" t="s">
        <v>714</v>
      </c>
      <c r="J2373" s="73">
        <f t="shared" si="268"/>
        <v>1</v>
      </c>
      <c r="K2373" s="74" t="s">
        <v>204</v>
      </c>
      <c r="L2373" s="97" t="s">
        <v>7336</v>
      </c>
      <c r="N2373" s="76" t="s">
        <v>18</v>
      </c>
      <c r="Q2373" s="76" t="s">
        <v>2142</v>
      </c>
      <c r="R2373" s="73">
        <f t="shared" si="270"/>
        <v>1</v>
      </c>
      <c r="S2373" s="260" t="s">
        <v>1976</v>
      </c>
      <c r="T2373" s="260" t="s">
        <v>924</v>
      </c>
      <c r="Y2373" s="566">
        <v>0.76560185185185192</v>
      </c>
      <c r="Z2373" s="566">
        <v>0.77678240740740734</v>
      </c>
      <c r="AA2373" s="566">
        <f t="shared" si="271"/>
        <v>1.1180555555555416E-2</v>
      </c>
    </row>
    <row r="2374" spans="1:27" x14ac:dyDescent="0.3">
      <c r="A2374" s="79" t="s">
        <v>7144</v>
      </c>
      <c r="C2374" s="115">
        <v>43966</v>
      </c>
      <c r="D2374" s="312">
        <v>44005</v>
      </c>
      <c r="E2374" s="81">
        <v>43993</v>
      </c>
      <c r="F2374" s="86" t="s">
        <v>7233</v>
      </c>
      <c r="G2374" s="86" t="s">
        <v>154</v>
      </c>
      <c r="H2374" s="96" t="s">
        <v>213</v>
      </c>
      <c r="I2374" s="97" t="s">
        <v>642</v>
      </c>
      <c r="J2374" s="73">
        <f t="shared" si="268"/>
        <v>1</v>
      </c>
      <c r="K2374" s="74" t="s">
        <v>204</v>
      </c>
      <c r="L2374" s="97" t="s">
        <v>7716</v>
      </c>
      <c r="N2374" s="76" t="s">
        <v>17</v>
      </c>
      <c r="Q2374" s="76" t="s">
        <v>2037</v>
      </c>
      <c r="R2374" s="73">
        <f t="shared" si="270"/>
        <v>1</v>
      </c>
      <c r="S2374" s="260" t="s">
        <v>1976</v>
      </c>
      <c r="T2374" s="260" t="s">
        <v>925</v>
      </c>
      <c r="Y2374" s="566">
        <v>0.44729166666666664</v>
      </c>
      <c r="Z2374" s="566">
        <v>0.45402777777777775</v>
      </c>
      <c r="AA2374" s="566">
        <f t="shared" si="271"/>
        <v>6.7361111111111094E-3</v>
      </c>
    </row>
    <row r="2375" spans="1:27" x14ac:dyDescent="0.3">
      <c r="A2375" s="79" t="s">
        <v>7149</v>
      </c>
      <c r="C2375" s="115">
        <v>43966</v>
      </c>
      <c r="D2375" s="312">
        <v>44004</v>
      </c>
      <c r="E2375" s="81">
        <v>43994</v>
      </c>
      <c r="F2375" s="86" t="s">
        <v>7238</v>
      </c>
      <c r="G2375" s="86" t="s">
        <v>154</v>
      </c>
      <c r="H2375" s="96" t="s">
        <v>213</v>
      </c>
      <c r="I2375" s="97" t="s">
        <v>714</v>
      </c>
      <c r="J2375" s="73">
        <f t="shared" si="268"/>
        <v>1</v>
      </c>
      <c r="K2375" s="74" t="s">
        <v>204</v>
      </c>
      <c r="L2375" s="97" t="s">
        <v>7349</v>
      </c>
      <c r="N2375" s="76" t="s">
        <v>17</v>
      </c>
      <c r="Q2375" s="76" t="s">
        <v>2076</v>
      </c>
      <c r="R2375" s="73">
        <f t="shared" si="270"/>
        <v>1</v>
      </c>
      <c r="S2375" s="260" t="s">
        <v>1976</v>
      </c>
      <c r="T2375" s="260" t="s">
        <v>924</v>
      </c>
      <c r="Y2375" s="566">
        <v>0.33162037037037034</v>
      </c>
      <c r="Z2375" s="566">
        <v>0.3379861111111111</v>
      </c>
      <c r="AA2375" s="566">
        <f t="shared" si="271"/>
        <v>6.3657407407407551E-3</v>
      </c>
    </row>
    <row r="2376" spans="1:27" x14ac:dyDescent="0.3">
      <c r="A2376" s="79" t="s">
        <v>7151</v>
      </c>
      <c r="C2376" s="115">
        <v>43966</v>
      </c>
      <c r="D2376" s="312">
        <v>44004</v>
      </c>
      <c r="E2376" s="81">
        <v>43993</v>
      </c>
      <c r="F2376" s="86" t="s">
        <v>7240</v>
      </c>
      <c r="G2376" s="86" t="s">
        <v>158</v>
      </c>
      <c r="H2376" s="96" t="s">
        <v>213</v>
      </c>
      <c r="I2376" s="97" t="s">
        <v>714</v>
      </c>
      <c r="J2376" s="73">
        <f t="shared" si="268"/>
        <v>1</v>
      </c>
      <c r="K2376" s="74" t="s">
        <v>204</v>
      </c>
      <c r="L2376" s="97" t="s">
        <v>7715</v>
      </c>
      <c r="N2376" s="76" t="s">
        <v>18</v>
      </c>
      <c r="Q2376" s="76" t="s">
        <v>2037</v>
      </c>
      <c r="R2376" s="73">
        <f t="shared" si="270"/>
        <v>1</v>
      </c>
      <c r="S2376" s="260" t="s">
        <v>1976</v>
      </c>
      <c r="T2376" s="260" t="s">
        <v>924</v>
      </c>
      <c r="Y2376" s="566">
        <v>0.41995370370370372</v>
      </c>
      <c r="Z2376" s="566">
        <v>0.42456018518518518</v>
      </c>
      <c r="AA2376" s="566">
        <f t="shared" si="271"/>
        <v>4.6064814814814614E-3</v>
      </c>
    </row>
    <row r="2377" spans="1:27" x14ac:dyDescent="0.3">
      <c r="A2377" s="79" t="s">
        <v>7153</v>
      </c>
      <c r="C2377" s="115">
        <v>43966</v>
      </c>
      <c r="D2377" s="312">
        <v>44005</v>
      </c>
      <c r="E2377" s="81">
        <v>43993</v>
      </c>
      <c r="F2377" s="86" t="s">
        <v>7242</v>
      </c>
      <c r="G2377" s="86" t="s">
        <v>157</v>
      </c>
      <c r="H2377" s="96" t="s">
        <v>213</v>
      </c>
      <c r="I2377" s="97" t="s">
        <v>714</v>
      </c>
      <c r="J2377" s="73">
        <f t="shared" ref="J2377:J2381" si="272">IF(OR(K2377="Документы готовы",K2377="Запрос в ФО",K2377="ЭЗ",K2377="РЕШ",K2377="РЕШ шаблон"),0.1,IF(OR(K2377="ЭЗ согласование",K2377="РЕШ согласование"),0.3,IF(OR(K2377="ЭЗ согласовано",K2377="РЕШ согласовано",K2377="РЕШ подписано"),0.6,IF(OR(K2377="ЭЗ ПР согласование",K2377="РЕШ УВ согласование"),0.9,IF(OR(K2377="ЭЗ ПР DONE",K2377="РЕШ УВ DONE"),1,0)))))</f>
        <v>1</v>
      </c>
      <c r="K2377" s="74" t="s">
        <v>204</v>
      </c>
      <c r="L2377" s="97" t="s">
        <v>7071</v>
      </c>
      <c r="N2377" s="76" t="s">
        <v>17</v>
      </c>
      <c r="Q2377" s="76" t="s">
        <v>2037</v>
      </c>
      <c r="R2377" s="73">
        <f t="shared" si="270"/>
        <v>1</v>
      </c>
      <c r="S2377" s="260" t="s">
        <v>1976</v>
      </c>
      <c r="T2377" s="260" t="s">
        <v>924</v>
      </c>
      <c r="Y2377" s="566">
        <v>0.4406018518518518</v>
      </c>
      <c r="Z2377" s="566">
        <v>0.44699074074074074</v>
      </c>
      <c r="AA2377" s="566">
        <f t="shared" si="271"/>
        <v>6.3888888888889439E-3</v>
      </c>
    </row>
    <row r="2378" spans="1:27" x14ac:dyDescent="0.3">
      <c r="A2378" s="79" t="s">
        <v>7154</v>
      </c>
      <c r="C2378" s="115">
        <v>43966</v>
      </c>
      <c r="D2378" s="312">
        <v>44005</v>
      </c>
      <c r="E2378" s="81">
        <v>43994</v>
      </c>
      <c r="F2378" s="86" t="s">
        <v>7243</v>
      </c>
      <c r="G2378" s="86" t="s">
        <v>152</v>
      </c>
      <c r="H2378" s="96" t="s">
        <v>213</v>
      </c>
      <c r="I2378" s="97" t="s">
        <v>7725</v>
      </c>
      <c r="J2378" s="73">
        <f t="shared" si="272"/>
        <v>1</v>
      </c>
      <c r="K2378" s="74" t="s">
        <v>204</v>
      </c>
      <c r="L2378" s="97" t="s">
        <v>7744</v>
      </c>
      <c r="N2378" s="76" t="s">
        <v>17</v>
      </c>
      <c r="Q2378" s="76" t="s">
        <v>2076</v>
      </c>
      <c r="R2378" s="73">
        <f t="shared" ref="R2378:R2381" si="273">IF(S2378="В работе",0.3,IF(S2378="Отписано",0.6,IF(S2378="На доработку",0.9,IF(S2378="Согласовано",1,0))))</f>
        <v>1</v>
      </c>
      <c r="S2378" s="260" t="s">
        <v>1976</v>
      </c>
      <c r="T2378" s="260" t="s">
        <v>923</v>
      </c>
      <c r="U2378" s="301" t="s">
        <v>5283</v>
      </c>
      <c r="V2378" s="301" t="s">
        <v>7726</v>
      </c>
      <c r="Y2378" s="566">
        <v>0.36694444444444446</v>
      </c>
      <c r="Z2378" s="566">
        <v>0.37584490740740745</v>
      </c>
      <c r="AA2378" s="566">
        <f t="shared" si="271"/>
        <v>8.900462962962985E-3</v>
      </c>
    </row>
    <row r="2379" spans="1:27" x14ac:dyDescent="0.3">
      <c r="A2379" s="79" t="s">
        <v>7158</v>
      </c>
      <c r="C2379" s="115">
        <v>43966</v>
      </c>
      <c r="D2379" s="312">
        <v>44005</v>
      </c>
      <c r="E2379" s="81">
        <v>43994</v>
      </c>
      <c r="F2379" s="86" t="s">
        <v>7247</v>
      </c>
      <c r="G2379" s="86" t="s">
        <v>158</v>
      </c>
      <c r="H2379" s="96" t="s">
        <v>213</v>
      </c>
      <c r="I2379" s="97" t="s">
        <v>714</v>
      </c>
      <c r="J2379" s="73">
        <f t="shared" si="272"/>
        <v>1</v>
      </c>
      <c r="K2379" s="74" t="s">
        <v>204</v>
      </c>
      <c r="L2379" s="97" t="s">
        <v>7729</v>
      </c>
      <c r="N2379" s="76" t="s">
        <v>17</v>
      </c>
      <c r="Q2379" s="76" t="s">
        <v>2417</v>
      </c>
      <c r="R2379" s="73">
        <f t="shared" si="273"/>
        <v>1</v>
      </c>
      <c r="S2379" s="260" t="s">
        <v>1976</v>
      </c>
      <c r="T2379" s="260" t="s">
        <v>924</v>
      </c>
      <c r="Y2379" s="566">
        <v>0.44825231481481481</v>
      </c>
      <c r="Z2379" s="566">
        <v>0.4621527777777778</v>
      </c>
      <c r="AA2379" s="566">
        <f t="shared" si="271"/>
        <v>1.3900462962962989E-2</v>
      </c>
    </row>
    <row r="2380" spans="1:27" x14ac:dyDescent="0.3">
      <c r="A2380" s="79" t="s">
        <v>7176</v>
      </c>
      <c r="C2380" s="115">
        <v>43969</v>
      </c>
      <c r="D2380" s="312">
        <v>44005</v>
      </c>
      <c r="E2380" s="81">
        <v>43997</v>
      </c>
      <c r="F2380" s="86" t="s">
        <v>7265</v>
      </c>
      <c r="G2380" s="86" t="s">
        <v>158</v>
      </c>
      <c r="H2380" s="96" t="s">
        <v>213</v>
      </c>
      <c r="I2380" s="97" t="s">
        <v>714</v>
      </c>
      <c r="J2380" s="73">
        <f t="shared" si="272"/>
        <v>1</v>
      </c>
      <c r="K2380" s="74" t="s">
        <v>204</v>
      </c>
      <c r="L2380" s="97" t="s">
        <v>7547</v>
      </c>
      <c r="N2380" s="76" t="s">
        <v>17</v>
      </c>
      <c r="Q2380" s="76" t="s">
        <v>2109</v>
      </c>
      <c r="R2380" s="73">
        <f t="shared" si="273"/>
        <v>1</v>
      </c>
      <c r="S2380" s="260" t="s">
        <v>1976</v>
      </c>
      <c r="T2380" s="260" t="s">
        <v>925</v>
      </c>
      <c r="Y2380" s="566">
        <v>0.74979166666666675</v>
      </c>
      <c r="Z2380" s="566">
        <v>0.75843749999999999</v>
      </c>
      <c r="AA2380" s="566">
        <f t="shared" si="271"/>
        <v>8.6458333333332416E-3</v>
      </c>
    </row>
    <row r="2381" spans="1:27" x14ac:dyDescent="0.3">
      <c r="A2381" s="79" t="s">
        <v>7203</v>
      </c>
      <c r="C2381" s="115">
        <v>43972</v>
      </c>
      <c r="D2381" s="312">
        <v>43993</v>
      </c>
      <c r="E2381" s="81">
        <v>43993</v>
      </c>
      <c r="F2381" s="86" t="s">
        <v>7292</v>
      </c>
      <c r="G2381" s="86" t="s">
        <v>152</v>
      </c>
      <c r="H2381" s="96" t="s">
        <v>213</v>
      </c>
      <c r="I2381" s="97" t="s">
        <v>995</v>
      </c>
      <c r="J2381" s="73">
        <f t="shared" si="272"/>
        <v>1</v>
      </c>
      <c r="K2381" s="74" t="s">
        <v>204</v>
      </c>
      <c r="L2381" s="97" t="s">
        <v>7073</v>
      </c>
      <c r="N2381" s="76" t="s">
        <v>19</v>
      </c>
      <c r="Q2381" s="76" t="s">
        <v>2417</v>
      </c>
      <c r="R2381" s="73">
        <f t="shared" si="273"/>
        <v>1</v>
      </c>
      <c r="S2381" s="260" t="s">
        <v>1976</v>
      </c>
      <c r="T2381" s="260" t="s">
        <v>923</v>
      </c>
      <c r="Y2381" s="566">
        <v>0.39052083333333337</v>
      </c>
      <c r="Z2381" s="566">
        <v>0.40751157407407407</v>
      </c>
      <c r="AA2381" s="566">
        <f t="shared" ref="AA2381:AA2382" si="274">Z2381-Y2381</f>
        <v>1.6990740740740695E-2</v>
      </c>
    </row>
    <row r="2382" spans="1:27" x14ac:dyDescent="0.3">
      <c r="A2382" s="79" t="s">
        <v>7424</v>
      </c>
      <c r="C2382" s="115">
        <v>43976</v>
      </c>
      <c r="D2382" s="312">
        <v>43998</v>
      </c>
      <c r="E2382" s="81">
        <v>43993</v>
      </c>
      <c r="F2382" s="86" t="s">
        <v>7492</v>
      </c>
      <c r="G2382" s="86" t="s">
        <v>150</v>
      </c>
      <c r="H2382" s="96" t="s">
        <v>213</v>
      </c>
      <c r="I2382" s="97" t="s">
        <v>649</v>
      </c>
      <c r="J2382" s="73">
        <f t="shared" ref="J2382:J2388" si="275">IF(OR(K2382="Документы готовы",K2382="Запрос в ФО",K2382="ЭЗ",K2382="РЕШ",K2382="РЕШ шаблон"),0.1,IF(OR(K2382="ЭЗ согласование",K2382="РЕШ согласование"),0.3,IF(OR(K2382="ЭЗ согласовано",K2382="РЕШ согласовано",K2382="РЕШ подписано"),0.6,IF(OR(K2382="ЭЗ ПР согласование",K2382="РЕШ УВ согласование"),0.9,IF(OR(K2382="ЭЗ ПР DONE",K2382="РЕШ УВ DONE"),1,0)))))</f>
        <v>1</v>
      </c>
      <c r="K2382" s="74" t="s">
        <v>204</v>
      </c>
      <c r="L2382" s="97" t="s">
        <v>7714</v>
      </c>
      <c r="N2382" s="76" t="s">
        <v>17</v>
      </c>
      <c r="Q2382" s="76" t="s">
        <v>2109</v>
      </c>
      <c r="R2382" s="73">
        <f t="shared" ref="R2382:R2388" si="276">IF(S2382="В работе",0.3,IF(S2382="Отписано",0.6,IF(S2382="На доработку",0.9,IF(S2382="Согласовано",1,0))))</f>
        <v>1</v>
      </c>
      <c r="S2382" s="260" t="s">
        <v>1976</v>
      </c>
      <c r="T2382" s="260" t="s">
        <v>925</v>
      </c>
      <c r="Y2382" s="566">
        <v>0.40777777777777779</v>
      </c>
      <c r="Z2382" s="566">
        <v>0.41939814814814813</v>
      </c>
      <c r="AA2382" s="566">
        <f t="shared" si="274"/>
        <v>1.1620370370370336E-2</v>
      </c>
    </row>
    <row r="2383" spans="1:27" x14ac:dyDescent="0.3">
      <c r="A2383" s="79" t="s">
        <v>7445</v>
      </c>
      <c r="C2383" s="115">
        <v>43978</v>
      </c>
      <c r="D2383" s="312">
        <v>44001</v>
      </c>
      <c r="E2383" s="81">
        <v>43997</v>
      </c>
      <c r="F2383" s="86" t="s">
        <v>7239</v>
      </c>
      <c r="G2383" s="86" t="s">
        <v>152</v>
      </c>
      <c r="H2383" s="79" t="s">
        <v>268</v>
      </c>
      <c r="I2383" s="97" t="s">
        <v>622</v>
      </c>
      <c r="J2383" s="73">
        <f t="shared" si="275"/>
        <v>1</v>
      </c>
      <c r="K2383" s="74" t="s">
        <v>204</v>
      </c>
      <c r="L2383" s="97" t="s">
        <v>7743</v>
      </c>
      <c r="N2383" s="76" t="s">
        <v>19</v>
      </c>
      <c r="Q2383" s="76" t="s">
        <v>2109</v>
      </c>
      <c r="R2383" s="73">
        <f t="shared" si="276"/>
        <v>1</v>
      </c>
      <c r="S2383" s="260" t="s">
        <v>1976</v>
      </c>
      <c r="T2383" s="260" t="s">
        <v>924</v>
      </c>
      <c r="Y2383" s="566">
        <v>0.39767361111111116</v>
      </c>
      <c r="Z2383" s="566">
        <v>0.41701388888888885</v>
      </c>
      <c r="AA2383" s="566">
        <f t="shared" ref="AA2383:AA2396" si="277">Z2383-Y2383</f>
        <v>1.9340277777777692E-2</v>
      </c>
    </row>
    <row r="2384" spans="1:27" x14ac:dyDescent="0.3">
      <c r="A2384" s="79" t="s">
        <v>7449</v>
      </c>
      <c r="C2384" s="115">
        <v>43979</v>
      </c>
      <c r="D2384" s="312">
        <v>44001</v>
      </c>
      <c r="E2384" s="81">
        <v>43993</v>
      </c>
      <c r="F2384" s="86" t="s">
        <v>7517</v>
      </c>
      <c r="G2384" s="86" t="s">
        <v>152</v>
      </c>
      <c r="H2384" s="96" t="s">
        <v>213</v>
      </c>
      <c r="I2384" s="97" t="s">
        <v>649</v>
      </c>
      <c r="J2384" s="73">
        <f t="shared" si="275"/>
        <v>1</v>
      </c>
      <c r="K2384" s="74" t="s">
        <v>204</v>
      </c>
      <c r="L2384" s="97" t="s">
        <v>7720</v>
      </c>
      <c r="N2384" s="76" t="s">
        <v>17</v>
      </c>
      <c r="Q2384" s="76" t="s">
        <v>2142</v>
      </c>
      <c r="R2384" s="73">
        <f t="shared" si="276"/>
        <v>1</v>
      </c>
      <c r="S2384" s="260" t="s">
        <v>1976</v>
      </c>
      <c r="T2384" s="260" t="s">
        <v>925</v>
      </c>
      <c r="Y2384" s="566">
        <v>0.72234953703703697</v>
      </c>
      <c r="Z2384" s="566">
        <v>0.73362268518518514</v>
      </c>
      <c r="AA2384" s="566">
        <f t="shared" si="277"/>
        <v>1.1273148148148171E-2</v>
      </c>
    </row>
    <row r="2385" spans="1:27" x14ac:dyDescent="0.3">
      <c r="A2385" s="79" t="s">
        <v>7643</v>
      </c>
      <c r="C2385" s="115">
        <v>43979</v>
      </c>
      <c r="D2385" s="312">
        <v>44004</v>
      </c>
      <c r="E2385" s="81">
        <v>43993</v>
      </c>
      <c r="F2385" s="86" t="s">
        <v>7680</v>
      </c>
      <c r="G2385" s="86" t="s">
        <v>150</v>
      </c>
      <c r="H2385" s="96" t="s">
        <v>213</v>
      </c>
      <c r="I2385" s="97" t="s">
        <v>1204</v>
      </c>
      <c r="J2385" s="73">
        <f t="shared" si="275"/>
        <v>1</v>
      </c>
      <c r="K2385" s="74" t="s">
        <v>204</v>
      </c>
      <c r="L2385" s="97" t="s">
        <v>7724</v>
      </c>
      <c r="N2385" s="76" t="s">
        <v>18</v>
      </c>
      <c r="Q2385" s="76" t="s">
        <v>2142</v>
      </c>
      <c r="R2385" s="73">
        <f t="shared" si="276"/>
        <v>1</v>
      </c>
      <c r="S2385" s="260" t="s">
        <v>1976</v>
      </c>
      <c r="T2385" s="260" t="s">
        <v>925</v>
      </c>
      <c r="Y2385" s="566">
        <v>0.77828703703703705</v>
      </c>
      <c r="Z2385" s="566">
        <v>0.78403935185185192</v>
      </c>
      <c r="AA2385" s="566">
        <f t="shared" si="277"/>
        <v>5.7523148148148628E-3</v>
      </c>
    </row>
    <row r="2386" spans="1:27" x14ac:dyDescent="0.3">
      <c r="A2386" s="79" t="s">
        <v>7644</v>
      </c>
      <c r="C2386" s="115">
        <v>43979</v>
      </c>
      <c r="D2386" s="312">
        <v>44004</v>
      </c>
      <c r="E2386" s="81">
        <v>43993</v>
      </c>
      <c r="F2386" s="86" t="s">
        <v>7681</v>
      </c>
      <c r="G2386" s="86" t="s">
        <v>181</v>
      </c>
      <c r="H2386" s="96" t="s">
        <v>213</v>
      </c>
      <c r="I2386" s="97" t="s">
        <v>3187</v>
      </c>
      <c r="J2386" s="73">
        <f t="shared" si="275"/>
        <v>1</v>
      </c>
      <c r="K2386" s="74" t="s">
        <v>204</v>
      </c>
      <c r="L2386" s="97" t="s">
        <v>7073</v>
      </c>
      <c r="N2386" s="76" t="s">
        <v>19</v>
      </c>
      <c r="Q2386" s="76" t="s">
        <v>2037</v>
      </c>
      <c r="R2386" s="73">
        <f t="shared" si="276"/>
        <v>1</v>
      </c>
      <c r="S2386" s="260" t="s">
        <v>1976</v>
      </c>
      <c r="T2386" s="260" t="s">
        <v>925</v>
      </c>
      <c r="Y2386" s="566">
        <v>0.42473379629629626</v>
      </c>
      <c r="Z2386" s="566">
        <v>0.4329513888888889</v>
      </c>
      <c r="AA2386" s="566">
        <f t="shared" si="277"/>
        <v>8.2175925925926374E-3</v>
      </c>
    </row>
    <row r="2387" spans="1:27" x14ac:dyDescent="0.3">
      <c r="A2387" s="79" t="s">
        <v>7647</v>
      </c>
      <c r="C2387" s="115">
        <v>43979</v>
      </c>
      <c r="D2387" s="312">
        <v>44004</v>
      </c>
      <c r="E2387" s="81">
        <v>43993</v>
      </c>
      <c r="F2387" s="86" t="s">
        <v>7684</v>
      </c>
      <c r="G2387" s="86" t="s">
        <v>150</v>
      </c>
      <c r="H2387" s="96" t="s">
        <v>213</v>
      </c>
      <c r="I2387" s="97" t="s">
        <v>1204</v>
      </c>
      <c r="J2387" s="73">
        <f t="shared" si="275"/>
        <v>1</v>
      </c>
      <c r="K2387" s="74" t="s">
        <v>204</v>
      </c>
      <c r="L2387" s="97" t="s">
        <v>7610</v>
      </c>
      <c r="N2387" s="76" t="s">
        <v>18</v>
      </c>
      <c r="Q2387" s="76" t="s">
        <v>2037</v>
      </c>
      <c r="R2387" s="73">
        <f t="shared" si="276"/>
        <v>1</v>
      </c>
      <c r="S2387" s="260" t="s">
        <v>1976</v>
      </c>
      <c r="T2387" s="260" t="s">
        <v>924</v>
      </c>
      <c r="Y2387" s="566">
        <v>0.43328703703703703</v>
      </c>
      <c r="Z2387" s="566">
        <v>0.44040509259259258</v>
      </c>
      <c r="AA2387" s="566">
        <f t="shared" si="277"/>
        <v>7.118055555555558E-3</v>
      </c>
    </row>
    <row r="2388" spans="1:27" x14ac:dyDescent="0.3">
      <c r="A2388" s="79" t="s">
        <v>7649</v>
      </c>
      <c r="C2388" s="115">
        <v>43979</v>
      </c>
      <c r="D2388" s="312">
        <v>44004</v>
      </c>
      <c r="E2388" s="81">
        <v>43993</v>
      </c>
      <c r="F2388" s="86" t="s">
        <v>7686</v>
      </c>
      <c r="G2388" s="86" t="s">
        <v>175</v>
      </c>
      <c r="H2388" s="96" t="s">
        <v>213</v>
      </c>
      <c r="I2388" s="97" t="s">
        <v>722</v>
      </c>
      <c r="J2388" s="73">
        <f t="shared" si="275"/>
        <v>1</v>
      </c>
      <c r="K2388" s="74" t="s">
        <v>204</v>
      </c>
      <c r="L2388" s="97" t="s">
        <v>7722</v>
      </c>
      <c r="N2388" s="76" t="s">
        <v>18</v>
      </c>
      <c r="Q2388" s="76" t="s">
        <v>2417</v>
      </c>
      <c r="R2388" s="73">
        <f t="shared" si="276"/>
        <v>1</v>
      </c>
      <c r="S2388" s="260" t="s">
        <v>1976</v>
      </c>
      <c r="T2388" s="260" t="s">
        <v>925</v>
      </c>
      <c r="Y2388" s="566">
        <v>0.74829861111111118</v>
      </c>
      <c r="Z2388" s="566">
        <v>0.75862268518518527</v>
      </c>
      <c r="AA2388" s="566">
        <f t="shared" si="277"/>
        <v>1.0324074074074097E-2</v>
      </c>
    </row>
    <row r="2389" spans="1:27" x14ac:dyDescent="0.3">
      <c r="A2389" s="79" t="s">
        <v>7663</v>
      </c>
      <c r="C2389" s="115">
        <v>43983</v>
      </c>
      <c r="D2389" s="312">
        <v>44005</v>
      </c>
      <c r="E2389" s="81">
        <v>43994</v>
      </c>
      <c r="F2389" s="86" t="s">
        <v>7700</v>
      </c>
      <c r="G2389" s="86" t="s">
        <v>152</v>
      </c>
      <c r="H2389" s="96" t="s">
        <v>213</v>
      </c>
      <c r="I2389" s="97" t="s">
        <v>649</v>
      </c>
      <c r="J2389" s="73">
        <f t="shared" ref="J2389:J2411" si="278">IF(OR(K2389="Документы готовы",K2389="Запрос в ФО",K2389="ЭЗ",K2389="РЕШ",K2389="РЕШ шаблон"),0.1,IF(OR(K2389="ЭЗ согласование",K2389="РЕШ согласование"),0.3,IF(OR(K2389="ЭЗ согласовано",K2389="РЕШ согласовано",K2389="РЕШ подписано"),0.6,IF(OR(K2389="ЭЗ ПР согласование",K2389="РЕШ УВ согласование"),0.9,IF(OR(K2389="ЭЗ ПР DONE",K2389="РЕШ УВ DONE"),1,0)))))</f>
        <v>1</v>
      </c>
      <c r="K2389" s="74" t="s">
        <v>204</v>
      </c>
      <c r="L2389" s="97" t="s">
        <v>7060</v>
      </c>
      <c r="N2389" s="76" t="s">
        <v>17</v>
      </c>
      <c r="Q2389" s="76" t="s">
        <v>2417</v>
      </c>
      <c r="R2389" s="73">
        <f t="shared" ref="R2389:R2412" si="279">IF(S2389="В работе",0.3,IF(S2389="Отписано",0.6,IF(S2389="На доработку",0.9,IF(S2389="Согласовано",1,0))))</f>
        <v>1</v>
      </c>
      <c r="S2389" s="260" t="s">
        <v>1976</v>
      </c>
      <c r="T2389" s="260" t="s">
        <v>924</v>
      </c>
      <c r="Y2389" s="566">
        <v>0.6175694444444445</v>
      </c>
      <c r="Z2389" s="566">
        <v>0.62922453703703707</v>
      </c>
      <c r="AA2389" s="566">
        <f t="shared" si="277"/>
        <v>1.1655092592592564E-2</v>
      </c>
    </row>
    <row r="2390" spans="1:27" x14ac:dyDescent="0.3">
      <c r="A2390" s="79" t="s">
        <v>7664</v>
      </c>
      <c r="C2390" s="115">
        <v>43983</v>
      </c>
      <c r="D2390" s="312">
        <v>44005</v>
      </c>
      <c r="E2390" s="81">
        <v>43994</v>
      </c>
      <c r="F2390" s="86" t="s">
        <v>7701</v>
      </c>
      <c r="G2390" s="86" t="s">
        <v>152</v>
      </c>
      <c r="H2390" s="96" t="s">
        <v>213</v>
      </c>
      <c r="I2390" s="97" t="s">
        <v>649</v>
      </c>
      <c r="J2390" s="73">
        <f t="shared" si="278"/>
        <v>1</v>
      </c>
      <c r="K2390" s="74" t="s">
        <v>204</v>
      </c>
      <c r="L2390" s="97" t="s">
        <v>7736</v>
      </c>
      <c r="N2390" s="76" t="s">
        <v>19</v>
      </c>
      <c r="Q2390" s="76" t="s">
        <v>2417</v>
      </c>
      <c r="R2390" s="73">
        <f t="shared" si="279"/>
        <v>1</v>
      </c>
      <c r="S2390" s="260" t="s">
        <v>1976</v>
      </c>
      <c r="T2390" s="260" t="s">
        <v>925</v>
      </c>
      <c r="Y2390" s="566">
        <v>0.5774421296296296</v>
      </c>
      <c r="Z2390" s="566">
        <v>0.60805555555555557</v>
      </c>
      <c r="AA2390" s="566">
        <f t="shared" si="277"/>
        <v>3.0613425925925974E-2</v>
      </c>
    </row>
    <row r="2391" spans="1:27" x14ac:dyDescent="0.3">
      <c r="A2391" s="79" t="s">
        <v>7665</v>
      </c>
      <c r="C2391" s="115">
        <v>43983</v>
      </c>
      <c r="D2391" s="312">
        <v>44005</v>
      </c>
      <c r="E2391" s="81">
        <v>43994</v>
      </c>
      <c r="F2391" s="86" t="s">
        <v>7702</v>
      </c>
      <c r="G2391" s="86" t="s">
        <v>166</v>
      </c>
      <c r="H2391" s="96" t="s">
        <v>213</v>
      </c>
      <c r="I2391" s="97" t="s">
        <v>658</v>
      </c>
      <c r="J2391" s="73">
        <f t="shared" si="278"/>
        <v>1</v>
      </c>
      <c r="K2391" s="74" t="s">
        <v>204</v>
      </c>
      <c r="L2391" s="97" t="s">
        <v>7728</v>
      </c>
      <c r="N2391" s="76" t="s">
        <v>18</v>
      </c>
      <c r="Q2391" s="76" t="s">
        <v>2417</v>
      </c>
      <c r="R2391" s="73">
        <f t="shared" si="279"/>
        <v>1</v>
      </c>
      <c r="S2391" s="260" t="s">
        <v>1976</v>
      </c>
      <c r="T2391" s="260" t="s">
        <v>925</v>
      </c>
      <c r="Y2391" s="566">
        <v>0.40578703703703706</v>
      </c>
      <c r="Z2391" s="566">
        <v>0.41584490740740737</v>
      </c>
      <c r="AA2391" s="566">
        <f t="shared" si="277"/>
        <v>1.0057870370370314E-2</v>
      </c>
    </row>
    <row r="2392" spans="1:27" x14ac:dyDescent="0.3">
      <c r="A2392" s="79" t="s">
        <v>7667</v>
      </c>
      <c r="C2392" s="115">
        <v>43983</v>
      </c>
      <c r="D2392" s="312">
        <v>44005</v>
      </c>
      <c r="E2392" s="81">
        <v>43994</v>
      </c>
      <c r="F2392" s="86" t="s">
        <v>7704</v>
      </c>
      <c r="G2392" s="86" t="s">
        <v>156</v>
      </c>
      <c r="H2392" s="96" t="s">
        <v>213</v>
      </c>
      <c r="I2392" s="97" t="s">
        <v>649</v>
      </c>
      <c r="J2392" s="73">
        <f t="shared" si="278"/>
        <v>1</v>
      </c>
      <c r="K2392" s="74" t="s">
        <v>204</v>
      </c>
      <c r="L2392" s="97" t="s">
        <v>7089</v>
      </c>
      <c r="N2392" s="76" t="s">
        <v>18</v>
      </c>
      <c r="Q2392" s="76" t="s">
        <v>2417</v>
      </c>
      <c r="R2392" s="73">
        <f t="shared" si="279"/>
        <v>1</v>
      </c>
      <c r="S2392" s="260" t="s">
        <v>1976</v>
      </c>
      <c r="T2392" s="260" t="s">
        <v>924</v>
      </c>
      <c r="Y2392" s="566">
        <v>0.41615740740740742</v>
      </c>
      <c r="Z2392" s="566">
        <v>0.43032407407407408</v>
      </c>
      <c r="AA2392" s="566">
        <f t="shared" si="277"/>
        <v>1.4166666666666661E-2</v>
      </c>
    </row>
    <row r="2393" spans="1:27" x14ac:dyDescent="0.3">
      <c r="A2393" s="79" t="s">
        <v>7672</v>
      </c>
      <c r="C2393" s="115">
        <v>43983</v>
      </c>
      <c r="D2393" s="312">
        <v>44005</v>
      </c>
      <c r="E2393" s="81">
        <v>43994</v>
      </c>
      <c r="F2393" s="86" t="s">
        <v>7709</v>
      </c>
      <c r="G2393" s="86" t="s">
        <v>156</v>
      </c>
      <c r="H2393" s="79" t="s">
        <v>268</v>
      </c>
      <c r="I2393" s="97" t="s">
        <v>649</v>
      </c>
      <c r="J2393" s="73">
        <f t="shared" si="278"/>
        <v>1</v>
      </c>
      <c r="K2393" s="74" t="s">
        <v>204</v>
      </c>
      <c r="L2393" s="97" t="s">
        <v>7859</v>
      </c>
      <c r="N2393" s="76" t="s">
        <v>19</v>
      </c>
      <c r="Q2393" s="76" t="s">
        <v>2076</v>
      </c>
      <c r="R2393" s="73">
        <f t="shared" si="279"/>
        <v>1</v>
      </c>
      <c r="S2393" s="260" t="s">
        <v>1976</v>
      </c>
      <c r="T2393" s="260" t="s">
        <v>924</v>
      </c>
      <c r="U2393" s="301" t="s">
        <v>5283</v>
      </c>
      <c r="V2393" s="301" t="s">
        <v>7860</v>
      </c>
      <c r="Y2393" s="566">
        <v>0.35446759259259258</v>
      </c>
      <c r="Z2393" s="566">
        <v>0.36622685185185189</v>
      </c>
      <c r="AA2393" s="566">
        <f t="shared" si="277"/>
        <v>1.1759259259259303E-2</v>
      </c>
    </row>
    <row r="2394" spans="1:27" x14ac:dyDescent="0.3">
      <c r="A2394" s="79" t="s">
        <v>7673</v>
      </c>
      <c r="C2394" s="115">
        <v>43983</v>
      </c>
      <c r="D2394" s="312">
        <v>44005</v>
      </c>
      <c r="E2394" s="81">
        <v>43994</v>
      </c>
      <c r="F2394" s="252" t="s">
        <v>7710</v>
      </c>
      <c r="G2394" s="86" t="s">
        <v>152</v>
      </c>
      <c r="H2394" s="96" t="s">
        <v>213</v>
      </c>
      <c r="I2394" s="97" t="s">
        <v>649</v>
      </c>
      <c r="J2394" s="73">
        <f t="shared" si="278"/>
        <v>1</v>
      </c>
      <c r="K2394" s="74" t="s">
        <v>204</v>
      </c>
      <c r="L2394" s="97" t="s">
        <v>7089</v>
      </c>
      <c r="N2394" s="76" t="s">
        <v>18</v>
      </c>
      <c r="Q2394" s="76" t="s">
        <v>2076</v>
      </c>
      <c r="R2394" s="73">
        <f t="shared" si="279"/>
        <v>1</v>
      </c>
      <c r="S2394" s="260" t="s">
        <v>1976</v>
      </c>
      <c r="T2394" s="260" t="s">
        <v>923</v>
      </c>
      <c r="Y2394" s="566">
        <v>0.33826388888888892</v>
      </c>
      <c r="Z2394" s="566">
        <v>0.35401620370370374</v>
      </c>
      <c r="AA2394" s="566">
        <f t="shared" si="277"/>
        <v>1.5752314814814816E-2</v>
      </c>
    </row>
    <row r="2395" spans="1:27" x14ac:dyDescent="0.3">
      <c r="A2395" s="79" t="s">
        <v>7122</v>
      </c>
      <c r="C2395" s="115">
        <v>43906</v>
      </c>
      <c r="D2395" s="312">
        <v>44008</v>
      </c>
      <c r="E2395" s="81">
        <v>44004</v>
      </c>
      <c r="F2395" s="252" t="s">
        <v>7211</v>
      </c>
      <c r="G2395" s="86" t="s">
        <v>179</v>
      </c>
      <c r="H2395" s="96" t="s">
        <v>213</v>
      </c>
      <c r="I2395" s="97" t="s">
        <v>2479</v>
      </c>
      <c r="J2395" s="73">
        <f t="shared" si="278"/>
        <v>1</v>
      </c>
      <c r="K2395" s="74" t="s">
        <v>204</v>
      </c>
      <c r="L2395" s="97" t="s">
        <v>7912</v>
      </c>
      <c r="N2395" s="76" t="s">
        <v>18</v>
      </c>
      <c r="Q2395" s="76" t="s">
        <v>2109</v>
      </c>
      <c r="R2395" s="73">
        <f t="shared" si="279"/>
        <v>1</v>
      </c>
      <c r="S2395" s="260" t="s">
        <v>1976</v>
      </c>
      <c r="T2395" s="260" t="s">
        <v>924</v>
      </c>
      <c r="Y2395" s="566">
        <v>0.46640046296296295</v>
      </c>
      <c r="Z2395" s="566">
        <v>0.48859953703703707</v>
      </c>
      <c r="AA2395" s="566">
        <f t="shared" si="277"/>
        <v>2.2199074074074121E-2</v>
      </c>
    </row>
    <row r="2396" spans="1:27" x14ac:dyDescent="0.3">
      <c r="A2396" s="79" t="s">
        <v>7627</v>
      </c>
      <c r="C2396" s="115">
        <v>43916</v>
      </c>
      <c r="D2396" s="312">
        <v>44005</v>
      </c>
      <c r="E2396" s="81">
        <v>43998</v>
      </c>
      <c r="F2396" s="86" t="s">
        <v>4245</v>
      </c>
      <c r="G2396" s="86" t="s">
        <v>152</v>
      </c>
      <c r="H2396" s="96" t="s">
        <v>213</v>
      </c>
      <c r="I2396" s="97" t="s">
        <v>7856</v>
      </c>
      <c r="J2396" s="73">
        <f t="shared" si="278"/>
        <v>1</v>
      </c>
      <c r="K2396" s="74" t="s">
        <v>204</v>
      </c>
      <c r="L2396" s="97" t="s">
        <v>7545</v>
      </c>
      <c r="N2396" s="76" t="s">
        <v>19</v>
      </c>
      <c r="Q2396" s="76" t="s">
        <v>2109</v>
      </c>
      <c r="R2396" s="73">
        <f t="shared" si="279"/>
        <v>1</v>
      </c>
      <c r="S2396" s="260" t="s">
        <v>1976</v>
      </c>
      <c r="T2396" s="260" t="s">
        <v>924</v>
      </c>
      <c r="U2396" s="301" t="s">
        <v>5283</v>
      </c>
      <c r="V2396" s="301" t="s">
        <v>7857</v>
      </c>
      <c r="Y2396" s="566">
        <v>0.46804398148148146</v>
      </c>
      <c r="Z2396" s="566">
        <v>0.48207175925925921</v>
      </c>
      <c r="AA2396" s="566">
        <f t="shared" si="277"/>
        <v>1.402777777777775E-2</v>
      </c>
    </row>
    <row r="2397" spans="1:27" x14ac:dyDescent="0.3">
      <c r="A2397" s="79" t="s">
        <v>7632</v>
      </c>
      <c r="C2397" s="115">
        <v>43937</v>
      </c>
      <c r="D2397" s="312">
        <v>44005</v>
      </c>
      <c r="E2397" s="81">
        <v>43998</v>
      </c>
      <c r="F2397" s="86" t="s">
        <v>7676</v>
      </c>
      <c r="G2397" s="86" t="s">
        <v>150</v>
      </c>
      <c r="H2397" s="96" t="s">
        <v>213</v>
      </c>
      <c r="I2397" s="97" t="s">
        <v>1113</v>
      </c>
      <c r="J2397" s="73">
        <f t="shared" si="278"/>
        <v>1</v>
      </c>
      <c r="K2397" s="74" t="s">
        <v>204</v>
      </c>
      <c r="L2397" s="97" t="s">
        <v>7727</v>
      </c>
      <c r="N2397" s="76" t="s">
        <v>18</v>
      </c>
      <c r="Q2397" s="76" t="s">
        <v>2142</v>
      </c>
      <c r="R2397" s="73">
        <f t="shared" si="279"/>
        <v>1</v>
      </c>
      <c r="S2397" s="260" t="s">
        <v>1976</v>
      </c>
      <c r="T2397" s="260" t="s">
        <v>923</v>
      </c>
      <c r="Y2397" s="566">
        <v>0.39217592592592593</v>
      </c>
      <c r="Z2397" s="566">
        <v>0.39799768518518519</v>
      </c>
      <c r="AA2397" s="566">
        <f t="shared" ref="AA2397:AA2436" si="280">Z2397-Y2397</f>
        <v>5.8217592592592626E-3</v>
      </c>
    </row>
    <row r="2398" spans="1:27" x14ac:dyDescent="0.3">
      <c r="A2398" s="79" t="s">
        <v>7634</v>
      </c>
      <c r="C2398" s="115">
        <v>43950</v>
      </c>
      <c r="D2398" s="312">
        <v>44005</v>
      </c>
      <c r="E2398" s="81">
        <v>43998</v>
      </c>
      <c r="F2398" s="86" t="s">
        <v>7676</v>
      </c>
      <c r="G2398" s="86" t="s">
        <v>150</v>
      </c>
      <c r="H2398" s="96" t="s">
        <v>213</v>
      </c>
      <c r="I2398" s="97" t="s">
        <v>1113</v>
      </c>
      <c r="J2398" s="73">
        <f t="shared" si="278"/>
        <v>1</v>
      </c>
      <c r="K2398" s="74" t="s">
        <v>204</v>
      </c>
      <c r="L2398" s="97" t="s">
        <v>7863</v>
      </c>
      <c r="N2398" s="76" t="s">
        <v>18</v>
      </c>
      <c r="Q2398" s="76" t="s">
        <v>2109</v>
      </c>
      <c r="R2398" s="73">
        <f t="shared" si="279"/>
        <v>1</v>
      </c>
      <c r="S2398" s="260" t="s">
        <v>1976</v>
      </c>
      <c r="T2398" s="260" t="s">
        <v>925</v>
      </c>
      <c r="U2398" s="301" t="s">
        <v>5283</v>
      </c>
      <c r="V2398" s="301" t="s">
        <v>7864</v>
      </c>
      <c r="Y2398" s="566">
        <v>0.90546296296296302</v>
      </c>
      <c r="Z2398" s="566">
        <v>0.91812499999999997</v>
      </c>
      <c r="AA2398" s="566">
        <f t="shared" si="280"/>
        <v>1.2662037037036944E-2</v>
      </c>
    </row>
    <row r="2399" spans="1:27" x14ac:dyDescent="0.3">
      <c r="A2399" s="96" t="s">
        <v>7635</v>
      </c>
      <c r="C2399" s="115">
        <v>43956</v>
      </c>
      <c r="D2399" s="312">
        <v>44005</v>
      </c>
      <c r="E2399" s="81">
        <v>43998</v>
      </c>
      <c r="F2399" s="86" t="s">
        <v>7676</v>
      </c>
      <c r="G2399" s="86" t="s">
        <v>150</v>
      </c>
      <c r="H2399" s="96" t="s">
        <v>213</v>
      </c>
      <c r="I2399" s="97" t="s">
        <v>1113</v>
      </c>
      <c r="J2399" s="73">
        <f t="shared" si="278"/>
        <v>1</v>
      </c>
      <c r="K2399" s="74" t="s">
        <v>204</v>
      </c>
      <c r="L2399" s="97" t="s">
        <v>7727</v>
      </c>
      <c r="N2399" s="76" t="s">
        <v>18</v>
      </c>
      <c r="Q2399" s="76" t="s">
        <v>2142</v>
      </c>
      <c r="R2399" s="73">
        <f t="shared" si="279"/>
        <v>1</v>
      </c>
      <c r="S2399" s="260" t="s">
        <v>1976</v>
      </c>
      <c r="T2399" s="260" t="s">
        <v>924</v>
      </c>
      <c r="Y2399" s="566">
        <v>0.3982175925925926</v>
      </c>
      <c r="Z2399" s="566">
        <v>0.40203703703703703</v>
      </c>
      <c r="AA2399" s="566">
        <f t="shared" si="280"/>
        <v>3.8194444444444309E-3</v>
      </c>
    </row>
    <row r="2400" spans="1:27" x14ac:dyDescent="0.3">
      <c r="A2400" s="79" t="s">
        <v>7636</v>
      </c>
      <c r="C2400" s="115">
        <v>43956</v>
      </c>
      <c r="D2400" s="312">
        <v>44005</v>
      </c>
      <c r="E2400" s="81">
        <v>43998</v>
      </c>
      <c r="F2400" s="86" t="s">
        <v>7676</v>
      </c>
      <c r="G2400" s="86" t="s">
        <v>150</v>
      </c>
      <c r="H2400" s="96" t="s">
        <v>213</v>
      </c>
      <c r="I2400" s="97" t="s">
        <v>1113</v>
      </c>
      <c r="J2400" s="73">
        <f t="shared" si="278"/>
        <v>1</v>
      </c>
      <c r="K2400" s="74" t="s">
        <v>204</v>
      </c>
      <c r="L2400" s="97" t="s">
        <v>7727</v>
      </c>
      <c r="N2400" s="76" t="s">
        <v>18</v>
      </c>
      <c r="Q2400" s="76" t="s">
        <v>2142</v>
      </c>
      <c r="R2400" s="73">
        <f t="shared" si="279"/>
        <v>1</v>
      </c>
      <c r="S2400" s="260" t="s">
        <v>1976</v>
      </c>
      <c r="T2400" s="260" t="s">
        <v>925</v>
      </c>
      <c r="Y2400" s="566">
        <v>0.40221064814814816</v>
      </c>
      <c r="Z2400" s="566">
        <v>0.40612268518518518</v>
      </c>
      <c r="AA2400" s="566">
        <f t="shared" si="280"/>
        <v>3.9120370370370194E-3</v>
      </c>
    </row>
    <row r="2401" spans="1:27" x14ac:dyDescent="0.3">
      <c r="A2401" s="79" t="s">
        <v>7637</v>
      </c>
      <c r="C2401" s="115">
        <v>43956</v>
      </c>
      <c r="D2401" s="312">
        <v>44005</v>
      </c>
      <c r="E2401" s="81">
        <v>43998</v>
      </c>
      <c r="F2401" s="86" t="s">
        <v>7676</v>
      </c>
      <c r="G2401" s="86" t="s">
        <v>150</v>
      </c>
      <c r="H2401" s="96" t="s">
        <v>213</v>
      </c>
      <c r="I2401" s="97" t="s">
        <v>3475</v>
      </c>
      <c r="J2401" s="73">
        <f t="shared" si="278"/>
        <v>1</v>
      </c>
      <c r="K2401" s="74" t="s">
        <v>204</v>
      </c>
      <c r="L2401" s="97" t="s">
        <v>7073</v>
      </c>
      <c r="N2401" s="76" t="s">
        <v>19</v>
      </c>
      <c r="Q2401" s="76" t="s">
        <v>2142</v>
      </c>
      <c r="R2401" s="73">
        <f t="shared" si="279"/>
        <v>1</v>
      </c>
      <c r="S2401" s="260" t="s">
        <v>1976</v>
      </c>
      <c r="T2401" s="260" t="s">
        <v>923</v>
      </c>
      <c r="Y2401" s="566">
        <v>0.41011574074074075</v>
      </c>
      <c r="Z2401" s="566">
        <v>0.43723379629629627</v>
      </c>
      <c r="AA2401" s="566">
        <f t="shared" si="280"/>
        <v>2.711805555555552E-2</v>
      </c>
    </row>
    <row r="2402" spans="1:27" x14ac:dyDescent="0.3">
      <c r="A2402" s="79" t="s">
        <v>7639</v>
      </c>
      <c r="C2402" s="115">
        <v>43956</v>
      </c>
      <c r="D2402" s="312">
        <v>44005</v>
      </c>
      <c r="E2402" s="81">
        <v>43998</v>
      </c>
      <c r="F2402" s="86" t="s">
        <v>7676</v>
      </c>
      <c r="G2402" s="86" t="s">
        <v>150</v>
      </c>
      <c r="H2402" s="96" t="s">
        <v>213</v>
      </c>
      <c r="I2402" s="97" t="s">
        <v>1113</v>
      </c>
      <c r="J2402" s="73">
        <f t="shared" si="278"/>
        <v>1</v>
      </c>
      <c r="K2402" s="74" t="s">
        <v>204</v>
      </c>
      <c r="L2402" s="97" t="s">
        <v>7727</v>
      </c>
      <c r="N2402" s="76" t="s">
        <v>18</v>
      </c>
      <c r="Q2402" s="76" t="s">
        <v>2142</v>
      </c>
      <c r="R2402" s="73">
        <f t="shared" si="279"/>
        <v>1</v>
      </c>
      <c r="S2402" s="260" t="s">
        <v>1976</v>
      </c>
      <c r="T2402" s="260" t="s">
        <v>924</v>
      </c>
      <c r="Y2402" s="566">
        <v>0.40651620370370373</v>
      </c>
      <c r="Z2402" s="566">
        <v>0.40989583333333335</v>
      </c>
      <c r="AA2402" s="566">
        <f t="shared" si="280"/>
        <v>3.3796296296296213E-3</v>
      </c>
    </row>
    <row r="2403" spans="1:27" x14ac:dyDescent="0.3">
      <c r="A2403" s="79" t="s">
        <v>7745</v>
      </c>
      <c r="C2403" s="115">
        <v>43959</v>
      </c>
      <c r="D2403" s="312">
        <v>44007</v>
      </c>
      <c r="E2403" s="81">
        <v>44000</v>
      </c>
      <c r="F2403" s="86" t="s">
        <v>2210</v>
      </c>
      <c r="G2403" s="86" t="s">
        <v>150</v>
      </c>
      <c r="H2403" s="96" t="s">
        <v>213</v>
      </c>
      <c r="I2403" s="97" t="s">
        <v>649</v>
      </c>
      <c r="J2403" s="73">
        <f t="shared" si="278"/>
        <v>1</v>
      </c>
      <c r="K2403" s="74" t="s">
        <v>204</v>
      </c>
      <c r="L2403" s="97" t="s">
        <v>7060</v>
      </c>
      <c r="N2403" s="76" t="s">
        <v>17</v>
      </c>
      <c r="Q2403" s="76" t="s">
        <v>2109</v>
      </c>
      <c r="R2403" s="73">
        <f t="shared" si="279"/>
        <v>1</v>
      </c>
      <c r="S2403" s="260" t="s">
        <v>1976</v>
      </c>
      <c r="T2403" s="260" t="s">
        <v>923</v>
      </c>
      <c r="Y2403" s="566">
        <v>0.84644675925925927</v>
      </c>
      <c r="Z2403" s="566">
        <v>0.85751157407407408</v>
      </c>
      <c r="AA2403" s="566">
        <f t="shared" si="280"/>
        <v>1.1064814814814805E-2</v>
      </c>
    </row>
    <row r="2404" spans="1:27" x14ac:dyDescent="0.3">
      <c r="A2404" s="79" t="s">
        <v>7746</v>
      </c>
      <c r="C2404" s="115">
        <v>43963</v>
      </c>
      <c r="D2404" s="312">
        <v>44008</v>
      </c>
      <c r="E2404" s="81">
        <v>44001</v>
      </c>
      <c r="F2404" s="86" t="s">
        <v>7802</v>
      </c>
      <c r="G2404" s="86" t="s">
        <v>158</v>
      </c>
      <c r="H2404" s="96" t="s">
        <v>213</v>
      </c>
      <c r="I2404" s="97" t="s">
        <v>649</v>
      </c>
      <c r="J2404" s="73">
        <f t="shared" si="278"/>
        <v>1</v>
      </c>
      <c r="K2404" s="74" t="s">
        <v>204</v>
      </c>
      <c r="L2404" s="97" t="s">
        <v>7898</v>
      </c>
      <c r="N2404" s="76" t="s">
        <v>17</v>
      </c>
      <c r="Q2404" s="76" t="s">
        <v>2076</v>
      </c>
      <c r="R2404" s="73">
        <f t="shared" si="279"/>
        <v>1</v>
      </c>
      <c r="S2404" s="260" t="s">
        <v>1976</v>
      </c>
      <c r="T2404" s="260" t="s">
        <v>924</v>
      </c>
      <c r="U2404" s="301" t="s">
        <v>5283</v>
      </c>
      <c r="V2404" s="301" t="s">
        <v>6725</v>
      </c>
      <c r="Y2404" s="566">
        <v>0.51096064814814812</v>
      </c>
      <c r="Z2404" s="566">
        <v>0.52396990740740745</v>
      </c>
      <c r="AA2404" s="566">
        <f t="shared" si="280"/>
        <v>1.3009259259259331E-2</v>
      </c>
    </row>
    <row r="2405" spans="1:27" x14ac:dyDescent="0.3">
      <c r="A2405" s="79" t="s">
        <v>7747</v>
      </c>
      <c r="C2405" s="115">
        <v>43963</v>
      </c>
      <c r="D2405" s="312">
        <v>44008</v>
      </c>
      <c r="E2405" s="81">
        <v>44004</v>
      </c>
      <c r="F2405" s="86" t="s">
        <v>7803</v>
      </c>
      <c r="G2405" s="86" t="s">
        <v>156</v>
      </c>
      <c r="H2405" s="96" t="s">
        <v>213</v>
      </c>
      <c r="I2405" s="97" t="s">
        <v>649</v>
      </c>
      <c r="J2405" s="73">
        <f t="shared" si="278"/>
        <v>1</v>
      </c>
      <c r="K2405" s="74" t="s">
        <v>204</v>
      </c>
      <c r="L2405" s="97" t="s">
        <v>7898</v>
      </c>
      <c r="N2405" s="76" t="s">
        <v>18</v>
      </c>
      <c r="Q2405" s="76" t="s">
        <v>2109</v>
      </c>
      <c r="R2405" s="73">
        <f t="shared" si="279"/>
        <v>1</v>
      </c>
      <c r="S2405" s="260" t="s">
        <v>1976</v>
      </c>
      <c r="T2405" s="260" t="s">
        <v>924</v>
      </c>
      <c r="U2405" s="301" t="s">
        <v>5283</v>
      </c>
      <c r="V2405" s="301" t="s">
        <v>7911</v>
      </c>
      <c r="Y2405" s="566">
        <v>0.45274305555555555</v>
      </c>
      <c r="Z2405" s="566">
        <v>0.46583333333333332</v>
      </c>
      <c r="AA2405" s="566">
        <f t="shared" si="280"/>
        <v>1.309027777777777E-2</v>
      </c>
    </row>
    <row r="2406" spans="1:27" x14ac:dyDescent="0.3">
      <c r="A2406" s="79" t="s">
        <v>7748</v>
      </c>
      <c r="C2406" s="115">
        <v>43964</v>
      </c>
      <c r="D2406" s="312">
        <v>44008</v>
      </c>
      <c r="E2406" s="81">
        <v>44001</v>
      </c>
      <c r="F2406" s="86" t="s">
        <v>7676</v>
      </c>
      <c r="G2406" s="86" t="s">
        <v>150</v>
      </c>
      <c r="H2406" s="96" t="s">
        <v>213</v>
      </c>
      <c r="I2406" s="97" t="s">
        <v>1113</v>
      </c>
      <c r="J2406" s="73">
        <f t="shared" si="278"/>
        <v>1</v>
      </c>
      <c r="K2406" s="74" t="s">
        <v>204</v>
      </c>
      <c r="L2406" s="97" t="s">
        <v>7727</v>
      </c>
      <c r="N2406" s="76" t="s">
        <v>18</v>
      </c>
      <c r="Q2406" s="76" t="s">
        <v>2076</v>
      </c>
      <c r="R2406" s="73">
        <f t="shared" si="279"/>
        <v>1</v>
      </c>
      <c r="S2406" s="260" t="s">
        <v>1976</v>
      </c>
      <c r="T2406" s="260" t="s">
        <v>923</v>
      </c>
      <c r="U2406" s="301" t="s">
        <v>5283</v>
      </c>
      <c r="V2406" s="301" t="s">
        <v>7902</v>
      </c>
      <c r="Y2406" s="566">
        <v>0.65430555555555558</v>
      </c>
      <c r="Z2406" s="566">
        <v>0.66418981481481476</v>
      </c>
      <c r="AA2406" s="566">
        <f t="shared" si="280"/>
        <v>9.884259259259176E-3</v>
      </c>
    </row>
    <row r="2407" spans="1:27" x14ac:dyDescent="0.3">
      <c r="A2407" s="79" t="s">
        <v>7641</v>
      </c>
      <c r="C2407" s="115">
        <v>43966</v>
      </c>
      <c r="D2407" s="312">
        <v>44005</v>
      </c>
      <c r="E2407" s="81">
        <v>44000</v>
      </c>
      <c r="F2407" s="86" t="s">
        <v>7678</v>
      </c>
      <c r="G2407" s="86" t="s">
        <v>189</v>
      </c>
      <c r="H2407" s="96" t="s">
        <v>213</v>
      </c>
      <c r="I2407" s="97" t="s">
        <v>722</v>
      </c>
      <c r="J2407" s="73">
        <f t="shared" si="278"/>
        <v>1</v>
      </c>
      <c r="K2407" s="74" t="s">
        <v>204</v>
      </c>
      <c r="L2407" s="97" t="s">
        <v>7876</v>
      </c>
      <c r="N2407" s="76" t="s">
        <v>18</v>
      </c>
      <c r="Q2407" s="76" t="s">
        <v>2142</v>
      </c>
      <c r="R2407" s="73">
        <f t="shared" si="279"/>
        <v>1</v>
      </c>
      <c r="S2407" s="260" t="s">
        <v>1976</v>
      </c>
      <c r="T2407" s="260" t="s">
        <v>925</v>
      </c>
      <c r="Y2407" s="566">
        <v>0.6572337962962963</v>
      </c>
      <c r="Z2407" s="566">
        <v>0.68457175925925917</v>
      </c>
      <c r="AA2407" s="566">
        <f t="shared" si="280"/>
        <v>2.733796296296287E-2</v>
      </c>
    </row>
    <row r="2408" spans="1:27" x14ac:dyDescent="0.3">
      <c r="A2408" s="79" t="s">
        <v>7157</v>
      </c>
      <c r="C2408" s="115">
        <v>43969</v>
      </c>
      <c r="D2408" s="312">
        <v>44007</v>
      </c>
      <c r="E2408" s="81">
        <v>43999</v>
      </c>
      <c r="F2408" s="86" t="s">
        <v>7246</v>
      </c>
      <c r="G2408" s="86" t="s">
        <v>2718</v>
      </c>
      <c r="H2408" s="96" t="s">
        <v>213</v>
      </c>
      <c r="I2408" s="97" t="s">
        <v>714</v>
      </c>
      <c r="J2408" s="73">
        <f t="shared" si="278"/>
        <v>1</v>
      </c>
      <c r="K2408" s="74" t="s">
        <v>204</v>
      </c>
      <c r="L2408" s="97" t="s">
        <v>7058</v>
      </c>
      <c r="N2408" s="76" t="s">
        <v>18</v>
      </c>
      <c r="Q2408" s="76" t="s">
        <v>2142</v>
      </c>
      <c r="R2408" s="73">
        <f t="shared" si="279"/>
        <v>1</v>
      </c>
      <c r="S2408" s="260" t="s">
        <v>1976</v>
      </c>
      <c r="T2408" s="260" t="s">
        <v>924</v>
      </c>
      <c r="Y2408" s="566">
        <v>0.57937499999999997</v>
      </c>
      <c r="Z2408" s="566">
        <v>0.58407407407407408</v>
      </c>
      <c r="AA2408" s="566">
        <f t="shared" si="280"/>
        <v>4.6990740740741055E-3</v>
      </c>
    </row>
    <row r="2409" spans="1:27" x14ac:dyDescent="0.3">
      <c r="A2409" s="79" t="s">
        <v>7161</v>
      </c>
      <c r="C2409" s="115">
        <v>43969</v>
      </c>
      <c r="D2409" s="312">
        <v>44007</v>
      </c>
      <c r="E2409" s="81">
        <v>43999</v>
      </c>
      <c r="F2409" s="86" t="s">
        <v>7250</v>
      </c>
      <c r="G2409" s="86" t="s">
        <v>187</v>
      </c>
      <c r="H2409" s="96" t="s">
        <v>213</v>
      </c>
      <c r="I2409" s="97" t="s">
        <v>642</v>
      </c>
      <c r="J2409" s="73">
        <f t="shared" si="278"/>
        <v>1</v>
      </c>
      <c r="K2409" s="74" t="s">
        <v>204</v>
      </c>
      <c r="L2409" s="97" t="s">
        <v>7066</v>
      </c>
      <c r="N2409" s="76" t="s">
        <v>18</v>
      </c>
      <c r="Q2409" s="76" t="s">
        <v>2076</v>
      </c>
      <c r="R2409" s="73">
        <f t="shared" si="279"/>
        <v>1</v>
      </c>
      <c r="S2409" s="260" t="s">
        <v>1976</v>
      </c>
      <c r="T2409" s="260" t="s">
        <v>924</v>
      </c>
      <c r="Y2409" s="566">
        <v>0.6023263888888889</v>
      </c>
      <c r="Z2409" s="566">
        <v>0.60685185185185186</v>
      </c>
      <c r="AA2409" s="566">
        <f t="shared" si="280"/>
        <v>4.5254629629629672E-3</v>
      </c>
    </row>
    <row r="2410" spans="1:27" x14ac:dyDescent="0.3">
      <c r="A2410" s="79" t="s">
        <v>7162</v>
      </c>
      <c r="C2410" s="115">
        <v>43969</v>
      </c>
      <c r="D2410" s="312">
        <v>44007</v>
      </c>
      <c r="E2410" s="81">
        <v>44000</v>
      </c>
      <c r="F2410" s="86" t="s">
        <v>7251</v>
      </c>
      <c r="G2410" s="86" t="s">
        <v>158</v>
      </c>
      <c r="H2410" s="96" t="s">
        <v>213</v>
      </c>
      <c r="I2410" s="97" t="s">
        <v>714</v>
      </c>
      <c r="J2410" s="73">
        <f t="shared" si="278"/>
        <v>1</v>
      </c>
      <c r="K2410" s="74" t="s">
        <v>204</v>
      </c>
      <c r="L2410" s="97" t="s">
        <v>7892</v>
      </c>
      <c r="N2410" s="76" t="s">
        <v>17</v>
      </c>
      <c r="Q2410" s="76" t="s">
        <v>2109</v>
      </c>
      <c r="R2410" s="73">
        <f t="shared" si="279"/>
        <v>1</v>
      </c>
      <c r="S2410" s="260" t="s">
        <v>1976</v>
      </c>
      <c r="T2410" s="260" t="s">
        <v>923</v>
      </c>
      <c r="Y2410" s="566">
        <v>0.90232638888888894</v>
      </c>
      <c r="Z2410" s="566">
        <v>0.90952546296296299</v>
      </c>
      <c r="AA2410" s="566">
        <f t="shared" si="280"/>
        <v>7.1990740740740522E-3</v>
      </c>
    </row>
    <row r="2411" spans="1:27" x14ac:dyDescent="0.3">
      <c r="A2411" s="79" t="s">
        <v>7163</v>
      </c>
      <c r="C2411" s="115">
        <v>43969</v>
      </c>
      <c r="D2411" s="312">
        <v>44007</v>
      </c>
      <c r="E2411" s="81">
        <v>43999</v>
      </c>
      <c r="F2411" s="86" t="s">
        <v>7252</v>
      </c>
      <c r="G2411" s="86" t="s">
        <v>147</v>
      </c>
      <c r="H2411" s="96" t="s">
        <v>213</v>
      </c>
      <c r="I2411" s="97" t="s">
        <v>4584</v>
      </c>
      <c r="J2411" s="73">
        <f t="shared" si="278"/>
        <v>1</v>
      </c>
      <c r="K2411" s="74" t="s">
        <v>204</v>
      </c>
      <c r="L2411" s="97" t="s">
        <v>7874</v>
      </c>
      <c r="N2411" s="76" t="s">
        <v>18</v>
      </c>
      <c r="Q2411" s="76" t="s">
        <v>2142</v>
      </c>
      <c r="R2411" s="73">
        <f t="shared" si="279"/>
        <v>1</v>
      </c>
      <c r="S2411" s="260" t="s">
        <v>1976</v>
      </c>
      <c r="T2411" s="260" t="s">
        <v>924</v>
      </c>
      <c r="Y2411" s="566">
        <v>0.66733796296296299</v>
      </c>
      <c r="Z2411" s="566">
        <v>0.70215277777777774</v>
      </c>
      <c r="AA2411" s="566">
        <f t="shared" si="280"/>
        <v>3.4814814814814743E-2</v>
      </c>
    </row>
    <row r="2412" spans="1:27" x14ac:dyDescent="0.3">
      <c r="A2412" s="79" t="s">
        <v>7164</v>
      </c>
      <c r="C2412" s="115">
        <v>43969</v>
      </c>
      <c r="D2412" s="312">
        <v>44007</v>
      </c>
      <c r="E2412" s="81">
        <v>43999</v>
      </c>
      <c r="F2412" s="86" t="s">
        <v>7253</v>
      </c>
      <c r="G2412" s="86" t="s">
        <v>158</v>
      </c>
      <c r="H2412" s="96" t="s">
        <v>213</v>
      </c>
      <c r="I2412" s="97" t="s">
        <v>714</v>
      </c>
      <c r="J2412" s="73">
        <f t="shared" ref="J2412:J2440" si="281">IF(OR(K2412="Документы готовы",K2412="Запрос в ФО",K2412="ЭЗ",K2412="РЕШ",K2412="РЕШ шаблон"),0.1,IF(OR(K2412="ЭЗ согласование",K2412="РЕШ согласование"),0.3,IF(OR(K2412="ЭЗ согласовано",K2412="РЕШ согласовано",K2412="РЕШ подписано"),0.6,IF(OR(K2412="ЭЗ ПР согласование",K2412="РЕШ УВ согласование"),0.9,IF(OR(K2412="ЭЗ ПР DONE",K2412="РЕШ УВ DONE"),1,0)))))</f>
        <v>1</v>
      </c>
      <c r="K2412" s="74" t="s">
        <v>204</v>
      </c>
      <c r="L2412" s="97" t="s">
        <v>7071</v>
      </c>
      <c r="N2412" s="76" t="s">
        <v>18</v>
      </c>
      <c r="Q2412" s="76" t="s">
        <v>2076</v>
      </c>
      <c r="R2412" s="73">
        <f t="shared" si="279"/>
        <v>1</v>
      </c>
      <c r="S2412" s="260" t="s">
        <v>1976</v>
      </c>
      <c r="T2412" s="260" t="s">
        <v>925</v>
      </c>
      <c r="Y2412" s="566">
        <v>0.50913194444444443</v>
      </c>
      <c r="Z2412" s="566">
        <v>0.51702546296296303</v>
      </c>
      <c r="AA2412" s="566">
        <f t="shared" si="280"/>
        <v>7.8935185185186052E-3</v>
      </c>
    </row>
    <row r="2413" spans="1:27" x14ac:dyDescent="0.3">
      <c r="A2413" s="79" t="s">
        <v>7166</v>
      </c>
      <c r="C2413" s="115">
        <v>43969</v>
      </c>
      <c r="D2413" s="312">
        <v>44007</v>
      </c>
      <c r="E2413" s="81">
        <v>44000</v>
      </c>
      <c r="F2413" s="86" t="s">
        <v>7255</v>
      </c>
      <c r="G2413" s="86" t="s">
        <v>150</v>
      </c>
      <c r="H2413" s="96" t="s">
        <v>213</v>
      </c>
      <c r="I2413" s="97" t="s">
        <v>714</v>
      </c>
      <c r="J2413" s="73">
        <f t="shared" si="281"/>
        <v>1</v>
      </c>
      <c r="K2413" s="74" t="s">
        <v>204</v>
      </c>
      <c r="L2413" s="97" t="s">
        <v>7891</v>
      </c>
      <c r="N2413" s="76" t="s">
        <v>17</v>
      </c>
      <c r="Q2413" s="76" t="s">
        <v>2109</v>
      </c>
      <c r="R2413" s="73">
        <f t="shared" ref="R2413:R2440" si="282">IF(S2413="В работе",0.3,IF(S2413="Отписано",0.6,IF(S2413="На доработку",0.9,IF(S2413="Согласовано",1,0))))</f>
        <v>1</v>
      </c>
      <c r="S2413" s="260" t="s">
        <v>1976</v>
      </c>
      <c r="T2413" s="260" t="s">
        <v>924</v>
      </c>
      <c r="Y2413" s="566">
        <v>0.89679398148148148</v>
      </c>
      <c r="Z2413" s="566">
        <v>0.9019907407407407</v>
      </c>
      <c r="AA2413" s="566">
        <f t="shared" si="280"/>
        <v>5.1967592592592204E-3</v>
      </c>
    </row>
    <row r="2414" spans="1:27" x14ac:dyDescent="0.3">
      <c r="A2414" s="79" t="s">
        <v>7167</v>
      </c>
      <c r="C2414" s="115">
        <v>43969</v>
      </c>
      <c r="D2414" s="312">
        <v>44007</v>
      </c>
      <c r="E2414" s="81">
        <v>43999</v>
      </c>
      <c r="F2414" s="86" t="s">
        <v>7256</v>
      </c>
      <c r="G2414" s="86" t="s">
        <v>152</v>
      </c>
      <c r="H2414" s="96" t="s">
        <v>213</v>
      </c>
      <c r="I2414" s="97" t="s">
        <v>7870</v>
      </c>
      <c r="J2414" s="73">
        <f t="shared" si="281"/>
        <v>1</v>
      </c>
      <c r="K2414" s="74" t="s">
        <v>204</v>
      </c>
      <c r="L2414" s="97" t="s">
        <v>7871</v>
      </c>
      <c r="N2414" s="76" t="s">
        <v>17</v>
      </c>
      <c r="Q2414" s="76" t="s">
        <v>2076</v>
      </c>
      <c r="R2414" s="73">
        <f t="shared" si="282"/>
        <v>1</v>
      </c>
      <c r="S2414" s="260" t="s">
        <v>1976</v>
      </c>
      <c r="T2414" s="260" t="s">
        <v>923</v>
      </c>
      <c r="Y2414" s="566">
        <v>0.51729166666666659</v>
      </c>
      <c r="Z2414" s="566">
        <v>0.52663194444444439</v>
      </c>
      <c r="AA2414" s="566">
        <f t="shared" si="280"/>
        <v>9.3402777777777946E-3</v>
      </c>
    </row>
    <row r="2415" spans="1:27" x14ac:dyDescent="0.3">
      <c r="A2415" s="79" t="s">
        <v>7169</v>
      </c>
      <c r="C2415" s="115">
        <v>43969</v>
      </c>
      <c r="D2415" s="312">
        <v>44007</v>
      </c>
      <c r="E2415" s="81">
        <v>43999</v>
      </c>
      <c r="F2415" s="86" t="s">
        <v>7258</v>
      </c>
      <c r="G2415" s="86" t="s">
        <v>157</v>
      </c>
      <c r="H2415" s="96" t="s">
        <v>213</v>
      </c>
      <c r="I2415" s="97" t="s">
        <v>642</v>
      </c>
      <c r="J2415" s="73">
        <f t="shared" si="281"/>
        <v>1</v>
      </c>
      <c r="K2415" s="74" t="s">
        <v>204</v>
      </c>
      <c r="L2415" s="97" t="s">
        <v>7108</v>
      </c>
      <c r="N2415" s="76" t="s">
        <v>18</v>
      </c>
      <c r="Q2415" s="76" t="s">
        <v>2417</v>
      </c>
      <c r="R2415" s="73">
        <f t="shared" si="282"/>
        <v>1</v>
      </c>
      <c r="S2415" s="260" t="s">
        <v>1976</v>
      </c>
      <c r="T2415" s="260" t="s">
        <v>925</v>
      </c>
      <c r="Y2415" s="566">
        <v>0.43559027777777781</v>
      </c>
      <c r="Z2415" s="566">
        <v>0.44483796296296302</v>
      </c>
      <c r="AA2415" s="566">
        <f t="shared" si="280"/>
        <v>9.247685185185206E-3</v>
      </c>
    </row>
    <row r="2416" spans="1:27" x14ac:dyDescent="0.3">
      <c r="A2416" s="79" t="s">
        <v>7170</v>
      </c>
      <c r="C2416" s="115">
        <v>43969</v>
      </c>
      <c r="D2416" s="312">
        <v>44007</v>
      </c>
      <c r="E2416" s="81">
        <v>44000</v>
      </c>
      <c r="F2416" s="86" t="s">
        <v>7259</v>
      </c>
      <c r="G2416" s="86" t="s">
        <v>157</v>
      </c>
      <c r="H2416" s="96" t="s">
        <v>213</v>
      </c>
      <c r="I2416" s="97" t="s">
        <v>7856</v>
      </c>
      <c r="J2416" s="73">
        <f t="shared" si="281"/>
        <v>1</v>
      </c>
      <c r="K2416" s="74" t="s">
        <v>204</v>
      </c>
      <c r="L2416" s="97" t="s">
        <v>7545</v>
      </c>
      <c r="N2416" s="76" t="s">
        <v>19</v>
      </c>
      <c r="Q2416" s="76" t="s">
        <v>2109</v>
      </c>
      <c r="R2416" s="73">
        <f t="shared" si="282"/>
        <v>1</v>
      </c>
      <c r="S2416" s="260" t="s">
        <v>1976</v>
      </c>
      <c r="T2416" s="260" t="s">
        <v>923</v>
      </c>
      <c r="U2416" s="301" t="s">
        <v>5283</v>
      </c>
      <c r="V2416" s="301" t="s">
        <v>7890</v>
      </c>
      <c r="Y2416" s="566">
        <v>0.87697916666666664</v>
      </c>
      <c r="Z2416" s="566">
        <v>0.89097222222222217</v>
      </c>
      <c r="AA2416" s="566">
        <f t="shared" si="280"/>
        <v>1.3993055555555522E-2</v>
      </c>
    </row>
    <row r="2417" spans="1:27" x14ac:dyDescent="0.3">
      <c r="A2417" s="79" t="s">
        <v>7171</v>
      </c>
      <c r="C2417" s="115">
        <v>43969</v>
      </c>
      <c r="D2417" s="312">
        <v>44007</v>
      </c>
      <c r="E2417" s="81">
        <v>43999</v>
      </c>
      <c r="F2417" s="86" t="s">
        <v>7260</v>
      </c>
      <c r="G2417" s="86" t="s">
        <v>158</v>
      </c>
      <c r="H2417" s="96" t="s">
        <v>213</v>
      </c>
      <c r="I2417" s="97" t="s">
        <v>714</v>
      </c>
      <c r="J2417" s="73">
        <f t="shared" si="281"/>
        <v>1</v>
      </c>
      <c r="K2417" s="74" t="s">
        <v>204</v>
      </c>
      <c r="L2417" s="97" t="s">
        <v>7071</v>
      </c>
      <c r="N2417" s="76" t="s">
        <v>17</v>
      </c>
      <c r="Q2417" s="76" t="s">
        <v>2037</v>
      </c>
      <c r="R2417" s="73">
        <f t="shared" si="282"/>
        <v>1</v>
      </c>
      <c r="S2417" s="260" t="s">
        <v>1976</v>
      </c>
      <c r="T2417" s="260" t="s">
        <v>923</v>
      </c>
      <c r="Y2417" s="566">
        <v>0.44521990740740741</v>
      </c>
      <c r="Z2417" s="566">
        <v>0.4495601851851852</v>
      </c>
      <c r="AA2417" s="566">
        <f t="shared" si="280"/>
        <v>4.3402777777777901E-3</v>
      </c>
    </row>
    <row r="2418" spans="1:27" x14ac:dyDescent="0.3">
      <c r="A2418" s="79" t="s">
        <v>7172</v>
      </c>
      <c r="C2418" s="115">
        <v>43969</v>
      </c>
      <c r="D2418" s="312">
        <v>44007</v>
      </c>
      <c r="E2418" s="81">
        <v>43999</v>
      </c>
      <c r="F2418" s="86" t="s">
        <v>7261</v>
      </c>
      <c r="G2418" s="86" t="s">
        <v>147</v>
      </c>
      <c r="H2418" s="96" t="s">
        <v>213</v>
      </c>
      <c r="I2418" s="97" t="s">
        <v>642</v>
      </c>
      <c r="J2418" s="73">
        <f t="shared" si="281"/>
        <v>1</v>
      </c>
      <c r="K2418" s="74" t="s">
        <v>204</v>
      </c>
      <c r="L2418" s="97" t="s">
        <v>7066</v>
      </c>
      <c r="N2418" s="76" t="s">
        <v>18</v>
      </c>
      <c r="Q2418" s="76" t="s">
        <v>2142</v>
      </c>
      <c r="R2418" s="73">
        <f t="shared" si="282"/>
        <v>1</v>
      </c>
      <c r="S2418" s="260" t="s">
        <v>1976</v>
      </c>
      <c r="T2418" s="260" t="s">
        <v>925</v>
      </c>
      <c r="Y2418" s="566">
        <v>0.65631944444444446</v>
      </c>
      <c r="Z2418" s="566">
        <v>0.66054398148148141</v>
      </c>
      <c r="AA2418" s="566">
        <f t="shared" si="280"/>
        <v>4.2245370370369573E-3</v>
      </c>
    </row>
    <row r="2419" spans="1:27" x14ac:dyDescent="0.3">
      <c r="A2419" s="79" t="s">
        <v>7175</v>
      </c>
      <c r="C2419" s="115">
        <v>43969</v>
      </c>
      <c r="D2419" s="312">
        <v>44007</v>
      </c>
      <c r="E2419" s="81">
        <v>43999</v>
      </c>
      <c r="F2419" s="86" t="s">
        <v>7264</v>
      </c>
      <c r="G2419" s="86" t="s">
        <v>1682</v>
      </c>
      <c r="H2419" s="96" t="s">
        <v>213</v>
      </c>
      <c r="I2419" s="97" t="s">
        <v>642</v>
      </c>
      <c r="J2419" s="73">
        <f t="shared" si="281"/>
        <v>1</v>
      </c>
      <c r="K2419" s="74" t="s">
        <v>204</v>
      </c>
      <c r="L2419" s="97" t="s">
        <v>7108</v>
      </c>
      <c r="N2419" s="76" t="s">
        <v>18</v>
      </c>
      <c r="Q2419" s="76" t="s">
        <v>2417</v>
      </c>
      <c r="R2419" s="73">
        <f t="shared" si="282"/>
        <v>1</v>
      </c>
      <c r="S2419" s="260" t="s">
        <v>1976</v>
      </c>
      <c r="T2419" s="260" t="s">
        <v>924</v>
      </c>
      <c r="Y2419" s="566">
        <v>0.62869212962962961</v>
      </c>
      <c r="Z2419" s="566">
        <v>0.63609953703703703</v>
      </c>
      <c r="AA2419" s="566">
        <f t="shared" si="280"/>
        <v>7.4074074074074181E-3</v>
      </c>
    </row>
    <row r="2420" spans="1:27" x14ac:dyDescent="0.3">
      <c r="A2420" s="79" t="s">
        <v>7177</v>
      </c>
      <c r="C2420" s="115">
        <v>43969</v>
      </c>
      <c r="D2420" s="312">
        <v>44007</v>
      </c>
      <c r="E2420" s="81">
        <v>43998</v>
      </c>
      <c r="F2420" s="86" t="s">
        <v>7266</v>
      </c>
      <c r="G2420" s="86" t="s">
        <v>175</v>
      </c>
      <c r="H2420" s="96" t="s">
        <v>213</v>
      </c>
      <c r="I2420" s="97" t="s">
        <v>714</v>
      </c>
      <c r="J2420" s="73">
        <f t="shared" si="281"/>
        <v>1</v>
      </c>
      <c r="K2420" s="74" t="s">
        <v>204</v>
      </c>
      <c r="L2420" s="97" t="s">
        <v>7336</v>
      </c>
      <c r="N2420" s="76" t="s">
        <v>18</v>
      </c>
      <c r="Q2420" s="76" t="s">
        <v>2417</v>
      </c>
      <c r="R2420" s="73">
        <f t="shared" si="282"/>
        <v>1</v>
      </c>
      <c r="S2420" s="260" t="s">
        <v>1976</v>
      </c>
      <c r="T2420" s="260" t="s">
        <v>924</v>
      </c>
      <c r="Y2420" s="566">
        <v>0.61381944444444447</v>
      </c>
      <c r="Z2420" s="566">
        <v>0.62041666666666673</v>
      </c>
      <c r="AA2420" s="566">
        <f t="shared" si="280"/>
        <v>6.5972222222222543E-3</v>
      </c>
    </row>
    <row r="2421" spans="1:27" x14ac:dyDescent="0.3">
      <c r="A2421" s="79" t="s">
        <v>7179</v>
      </c>
      <c r="C2421" s="115">
        <v>43969</v>
      </c>
      <c r="D2421" s="312">
        <v>44007</v>
      </c>
      <c r="E2421" s="81">
        <v>44000</v>
      </c>
      <c r="F2421" s="86" t="s">
        <v>7268</v>
      </c>
      <c r="G2421" s="86" t="s">
        <v>152</v>
      </c>
      <c r="H2421" s="96" t="s">
        <v>213</v>
      </c>
      <c r="I2421" s="97" t="s">
        <v>642</v>
      </c>
      <c r="J2421" s="73">
        <f t="shared" si="281"/>
        <v>1</v>
      </c>
      <c r="K2421" s="74" t="s">
        <v>204</v>
      </c>
      <c r="L2421" s="97" t="s">
        <v>7108</v>
      </c>
      <c r="N2421" s="76" t="s">
        <v>18</v>
      </c>
      <c r="Q2421" s="76" t="s">
        <v>2109</v>
      </c>
      <c r="R2421" s="73">
        <f t="shared" si="282"/>
        <v>1</v>
      </c>
      <c r="S2421" s="260" t="s">
        <v>1976</v>
      </c>
      <c r="T2421" s="260" t="s">
        <v>925</v>
      </c>
      <c r="Y2421" s="566">
        <v>0.89167824074074076</v>
      </c>
      <c r="Z2421" s="566">
        <v>0.8966087962962962</v>
      </c>
      <c r="AA2421" s="566">
        <f t="shared" si="280"/>
        <v>4.9305555555554381E-3</v>
      </c>
    </row>
    <row r="2422" spans="1:27" x14ac:dyDescent="0.3">
      <c r="A2422" s="79" t="s">
        <v>7180</v>
      </c>
      <c r="C2422" s="115">
        <v>43970</v>
      </c>
      <c r="D2422" s="312">
        <v>44007</v>
      </c>
      <c r="E2422" s="81">
        <v>43999</v>
      </c>
      <c r="F2422" s="86" t="s">
        <v>7269</v>
      </c>
      <c r="G2422" s="86" t="s">
        <v>158</v>
      </c>
      <c r="H2422" s="96" t="s">
        <v>213</v>
      </c>
      <c r="I2422" s="97" t="s">
        <v>714</v>
      </c>
      <c r="J2422" s="73">
        <f t="shared" si="281"/>
        <v>1</v>
      </c>
      <c r="K2422" s="74" t="s">
        <v>204</v>
      </c>
      <c r="L2422" s="97" t="s">
        <v>7866</v>
      </c>
      <c r="N2422" s="76" t="s">
        <v>18</v>
      </c>
      <c r="Q2422" s="76" t="s">
        <v>2037</v>
      </c>
      <c r="R2422" s="73">
        <f t="shared" si="282"/>
        <v>1</v>
      </c>
      <c r="S2422" s="260" t="s">
        <v>1976</v>
      </c>
      <c r="T2422" s="260" t="s">
        <v>925</v>
      </c>
      <c r="Y2422" s="566">
        <v>0.44987268518518514</v>
      </c>
      <c r="Z2422" s="566">
        <v>0.45872685185185186</v>
      </c>
      <c r="AA2422" s="566">
        <f t="shared" si="280"/>
        <v>8.8541666666667185E-3</v>
      </c>
    </row>
    <row r="2423" spans="1:27" x14ac:dyDescent="0.3">
      <c r="A2423" s="79" t="s">
        <v>7182</v>
      </c>
      <c r="C2423" s="115">
        <v>43970</v>
      </c>
      <c r="D2423" s="312">
        <v>44007</v>
      </c>
      <c r="E2423" s="81">
        <v>44000</v>
      </c>
      <c r="F2423" s="86" t="s">
        <v>7271</v>
      </c>
      <c r="G2423" s="86" t="s">
        <v>152</v>
      </c>
      <c r="H2423" s="96" t="s">
        <v>213</v>
      </c>
      <c r="I2423" s="97" t="s">
        <v>714</v>
      </c>
      <c r="J2423" s="73">
        <f t="shared" si="281"/>
        <v>1</v>
      </c>
      <c r="K2423" s="74" t="s">
        <v>204</v>
      </c>
      <c r="L2423" s="97" t="s">
        <v>7547</v>
      </c>
      <c r="N2423" s="76" t="s">
        <v>17</v>
      </c>
      <c r="Q2423" s="76" t="s">
        <v>2142</v>
      </c>
      <c r="R2423" s="73">
        <f t="shared" si="282"/>
        <v>1</v>
      </c>
      <c r="S2423" s="260" t="s">
        <v>1976</v>
      </c>
      <c r="T2423" s="260" t="s">
        <v>923</v>
      </c>
      <c r="U2423" s="301" t="s">
        <v>5283</v>
      </c>
      <c r="V2423" s="301" t="s">
        <v>7880</v>
      </c>
      <c r="Y2423" s="566">
        <v>0.7540972222222222</v>
      </c>
      <c r="Z2423" s="566">
        <v>0.76240740740740742</v>
      </c>
      <c r="AA2423" s="566">
        <f t="shared" si="280"/>
        <v>8.310185185185226E-3</v>
      </c>
    </row>
    <row r="2424" spans="1:27" x14ac:dyDescent="0.3">
      <c r="A2424" s="79" t="s">
        <v>7184</v>
      </c>
      <c r="C2424" s="115">
        <v>43970</v>
      </c>
      <c r="D2424" s="312">
        <v>44007</v>
      </c>
      <c r="E2424" s="81">
        <v>43998</v>
      </c>
      <c r="F2424" s="86" t="s">
        <v>7273</v>
      </c>
      <c r="G2424" s="86" t="s">
        <v>181</v>
      </c>
      <c r="H2424" s="96" t="s">
        <v>213</v>
      </c>
      <c r="I2424" s="97" t="s">
        <v>722</v>
      </c>
      <c r="J2424" s="73">
        <f t="shared" si="281"/>
        <v>1</v>
      </c>
      <c r="K2424" s="74" t="s">
        <v>204</v>
      </c>
      <c r="L2424" s="97" t="s">
        <v>7861</v>
      </c>
      <c r="N2424" s="76" t="s">
        <v>18</v>
      </c>
      <c r="Q2424" s="76" t="s">
        <v>2037</v>
      </c>
      <c r="R2424" s="73">
        <f t="shared" si="282"/>
        <v>1</v>
      </c>
      <c r="S2424" s="260" t="s">
        <v>1976</v>
      </c>
      <c r="T2424" s="260" t="s">
        <v>924</v>
      </c>
      <c r="Y2424" s="566">
        <v>0.62519675925925922</v>
      </c>
      <c r="Z2424" s="566">
        <v>0.63276620370370373</v>
      </c>
      <c r="AA2424" s="566">
        <f t="shared" si="280"/>
        <v>7.5694444444445175E-3</v>
      </c>
    </row>
    <row r="2425" spans="1:27" x14ac:dyDescent="0.3">
      <c r="A2425" s="79" t="s">
        <v>7187</v>
      </c>
      <c r="C2425" s="115">
        <v>43970</v>
      </c>
      <c r="D2425" s="312">
        <v>44008</v>
      </c>
      <c r="E2425" s="81">
        <v>44000</v>
      </c>
      <c r="F2425" s="86" t="s">
        <v>7276</v>
      </c>
      <c r="G2425" s="86" t="s">
        <v>147</v>
      </c>
      <c r="H2425" s="96" t="s">
        <v>213</v>
      </c>
      <c r="I2425" s="97" t="s">
        <v>604</v>
      </c>
      <c r="J2425" s="73">
        <f t="shared" si="281"/>
        <v>1</v>
      </c>
      <c r="K2425" s="74" t="s">
        <v>204</v>
      </c>
      <c r="L2425" s="97" t="s">
        <v>7885</v>
      </c>
      <c r="N2425" s="76" t="s">
        <v>18</v>
      </c>
      <c r="Q2425" s="76" t="s">
        <v>2142</v>
      </c>
      <c r="R2425" s="73">
        <f t="shared" si="282"/>
        <v>1</v>
      </c>
      <c r="S2425" s="260" t="s">
        <v>1976</v>
      </c>
      <c r="T2425" s="260" t="s">
        <v>924</v>
      </c>
      <c r="Y2425" s="566">
        <v>0.79829861111111111</v>
      </c>
      <c r="Z2425" s="566">
        <v>0.80417824074074085</v>
      </c>
      <c r="AA2425" s="566">
        <f t="shared" si="280"/>
        <v>5.8796296296297346E-3</v>
      </c>
    </row>
    <row r="2426" spans="1:27" x14ac:dyDescent="0.3">
      <c r="A2426" s="79" t="s">
        <v>7188</v>
      </c>
      <c r="C2426" s="115">
        <v>43970</v>
      </c>
      <c r="D2426" s="312">
        <v>44007</v>
      </c>
      <c r="E2426" s="81">
        <v>43999</v>
      </c>
      <c r="F2426" s="86" t="s">
        <v>7277</v>
      </c>
      <c r="G2426" s="86" t="s">
        <v>156</v>
      </c>
      <c r="H2426" s="96" t="s">
        <v>213</v>
      </c>
      <c r="I2426" s="97" t="s">
        <v>642</v>
      </c>
      <c r="J2426" s="73">
        <f t="shared" si="281"/>
        <v>1</v>
      </c>
      <c r="K2426" s="74" t="s">
        <v>204</v>
      </c>
      <c r="L2426" s="97" t="s">
        <v>7108</v>
      </c>
      <c r="N2426" s="76" t="s">
        <v>18</v>
      </c>
      <c r="Q2426" s="76" t="s">
        <v>2076</v>
      </c>
      <c r="R2426" s="73">
        <f t="shared" si="282"/>
        <v>1</v>
      </c>
      <c r="S2426" s="260" t="s">
        <v>1976</v>
      </c>
      <c r="T2426" s="260" t="s">
        <v>925</v>
      </c>
      <c r="Y2426" s="566">
        <v>0.52700231481481474</v>
      </c>
      <c r="Z2426" s="566">
        <v>0.53478009259259263</v>
      </c>
      <c r="AA2426" s="566">
        <f t="shared" si="280"/>
        <v>7.7777777777778834E-3</v>
      </c>
    </row>
    <row r="2427" spans="1:27" x14ac:dyDescent="0.3">
      <c r="A2427" s="79" t="s">
        <v>7190</v>
      </c>
      <c r="C2427" s="115">
        <v>43970</v>
      </c>
      <c r="D2427" s="312">
        <v>44007</v>
      </c>
      <c r="E2427" s="81">
        <v>43999</v>
      </c>
      <c r="F2427" s="86" t="s">
        <v>7279</v>
      </c>
      <c r="G2427" s="86" t="s">
        <v>158</v>
      </c>
      <c r="H2427" s="96" t="s">
        <v>213</v>
      </c>
      <c r="I2427" s="97" t="s">
        <v>642</v>
      </c>
      <c r="J2427" s="73">
        <f t="shared" si="281"/>
        <v>1</v>
      </c>
      <c r="K2427" s="74" t="s">
        <v>204</v>
      </c>
      <c r="L2427" s="97" t="s">
        <v>7066</v>
      </c>
      <c r="N2427" s="76" t="s">
        <v>18</v>
      </c>
      <c r="Q2427" s="76" t="s">
        <v>2417</v>
      </c>
      <c r="R2427" s="73">
        <f t="shared" si="282"/>
        <v>1</v>
      </c>
      <c r="S2427" s="260" t="s">
        <v>1976</v>
      </c>
      <c r="T2427" s="260" t="s">
        <v>924</v>
      </c>
      <c r="Y2427" s="566">
        <v>0.62351851851851847</v>
      </c>
      <c r="Z2427" s="566">
        <v>0.62804398148148144</v>
      </c>
      <c r="AA2427" s="566">
        <f t="shared" si="280"/>
        <v>4.5254629629629672E-3</v>
      </c>
    </row>
    <row r="2428" spans="1:27" x14ac:dyDescent="0.3">
      <c r="A2428" s="79" t="s">
        <v>7191</v>
      </c>
      <c r="C2428" s="115">
        <v>43970</v>
      </c>
      <c r="D2428" s="312">
        <v>44008</v>
      </c>
      <c r="E2428" s="81">
        <v>44000</v>
      </c>
      <c r="F2428" s="86" t="s">
        <v>7280</v>
      </c>
      <c r="G2428" s="86" t="s">
        <v>147</v>
      </c>
      <c r="H2428" s="96" t="s">
        <v>213</v>
      </c>
      <c r="I2428" s="97" t="s">
        <v>604</v>
      </c>
      <c r="J2428" s="73">
        <f t="shared" si="281"/>
        <v>1</v>
      </c>
      <c r="K2428" s="74" t="s">
        <v>204</v>
      </c>
      <c r="L2428" s="97" t="s">
        <v>7886</v>
      </c>
      <c r="N2428" s="76" t="s">
        <v>18</v>
      </c>
      <c r="Q2428" s="76" t="s">
        <v>2142</v>
      </c>
      <c r="R2428" s="73">
        <f t="shared" si="282"/>
        <v>1</v>
      </c>
      <c r="S2428" s="260" t="s">
        <v>1976</v>
      </c>
      <c r="T2428" s="260" t="s">
        <v>925</v>
      </c>
      <c r="U2428" s="301" t="s">
        <v>5283</v>
      </c>
      <c r="V2428" s="301" t="s">
        <v>7887</v>
      </c>
      <c r="Y2428" s="566">
        <v>0.80436342592592591</v>
      </c>
      <c r="Z2428" s="566">
        <v>0.81306712962962957</v>
      </c>
      <c r="AA2428" s="566">
        <f t="shared" si="280"/>
        <v>8.703703703703658E-3</v>
      </c>
    </row>
    <row r="2429" spans="1:27" x14ac:dyDescent="0.3">
      <c r="A2429" s="79" t="s">
        <v>7193</v>
      </c>
      <c r="C2429" s="115">
        <v>43970</v>
      </c>
      <c r="D2429" s="312">
        <v>44008</v>
      </c>
      <c r="E2429" s="81">
        <v>43999</v>
      </c>
      <c r="F2429" s="86" t="s">
        <v>7282</v>
      </c>
      <c r="G2429" s="86" t="s">
        <v>150</v>
      </c>
      <c r="H2429" s="96" t="s">
        <v>213</v>
      </c>
      <c r="I2429" s="97" t="s">
        <v>642</v>
      </c>
      <c r="J2429" s="73">
        <f t="shared" si="281"/>
        <v>1</v>
      </c>
      <c r="K2429" s="74" t="s">
        <v>204</v>
      </c>
      <c r="L2429" s="97" t="s">
        <v>7110</v>
      </c>
      <c r="N2429" s="76" t="s">
        <v>18</v>
      </c>
      <c r="Q2429" s="76" t="s">
        <v>2417</v>
      </c>
      <c r="R2429" s="73">
        <f t="shared" si="282"/>
        <v>1</v>
      </c>
      <c r="S2429" s="260" t="s">
        <v>1976</v>
      </c>
      <c r="T2429" s="260" t="s">
        <v>923</v>
      </c>
      <c r="Y2429" s="566">
        <v>0.63641203703703708</v>
      </c>
      <c r="Z2429" s="566">
        <v>0.64074074074074072</v>
      </c>
      <c r="AA2429" s="566">
        <f t="shared" si="280"/>
        <v>4.3287037037036402E-3</v>
      </c>
    </row>
    <row r="2430" spans="1:27" x14ac:dyDescent="0.3">
      <c r="A2430" s="79" t="s">
        <v>7194</v>
      </c>
      <c r="C2430" s="115">
        <v>43970</v>
      </c>
      <c r="D2430" s="312">
        <v>44008</v>
      </c>
      <c r="E2430" s="81">
        <v>44000</v>
      </c>
      <c r="F2430" s="86" t="s">
        <v>7283</v>
      </c>
      <c r="G2430" s="86" t="s">
        <v>147</v>
      </c>
      <c r="H2430" s="96" t="s">
        <v>213</v>
      </c>
      <c r="I2430" s="97" t="s">
        <v>642</v>
      </c>
      <c r="J2430" s="73">
        <f t="shared" si="281"/>
        <v>1</v>
      </c>
      <c r="K2430" s="74" t="s">
        <v>204</v>
      </c>
      <c r="L2430" s="97" t="s">
        <v>7110</v>
      </c>
      <c r="N2430" s="76" t="s">
        <v>18</v>
      </c>
      <c r="Q2430" s="76" t="s">
        <v>2076</v>
      </c>
      <c r="R2430" s="73">
        <f t="shared" si="282"/>
        <v>1</v>
      </c>
      <c r="S2430" s="260" t="s">
        <v>1976</v>
      </c>
      <c r="T2430" s="260" t="s">
        <v>923</v>
      </c>
      <c r="Y2430" s="566">
        <v>0.91001157407407407</v>
      </c>
      <c r="Z2430" s="566">
        <v>0.91519675925925925</v>
      </c>
      <c r="AA2430" s="566">
        <f t="shared" si="280"/>
        <v>5.1851851851851816E-3</v>
      </c>
    </row>
    <row r="2431" spans="1:27" x14ac:dyDescent="0.3">
      <c r="A2431" s="79" t="s">
        <v>7195</v>
      </c>
      <c r="C2431" s="115">
        <v>43971</v>
      </c>
      <c r="D2431" s="312">
        <v>44008</v>
      </c>
      <c r="E2431" s="81">
        <v>44000</v>
      </c>
      <c r="F2431" s="86" t="s">
        <v>7284</v>
      </c>
      <c r="G2431" s="86" t="s">
        <v>410</v>
      </c>
      <c r="H2431" s="96" t="s">
        <v>213</v>
      </c>
      <c r="I2431" s="97" t="s">
        <v>714</v>
      </c>
      <c r="J2431" s="73">
        <f t="shared" si="281"/>
        <v>1</v>
      </c>
      <c r="K2431" s="74" t="s">
        <v>204</v>
      </c>
      <c r="L2431" s="97" t="s">
        <v>7071</v>
      </c>
      <c r="N2431" s="76" t="s">
        <v>17</v>
      </c>
      <c r="Q2431" s="76" t="s">
        <v>2037</v>
      </c>
      <c r="R2431" s="73">
        <f t="shared" si="282"/>
        <v>1</v>
      </c>
      <c r="S2431" s="260" t="s">
        <v>1976</v>
      </c>
      <c r="T2431" s="260" t="s">
        <v>924</v>
      </c>
      <c r="Y2431" s="566">
        <v>0.7023032407407408</v>
      </c>
      <c r="Z2431" s="566">
        <v>0.70811342592592597</v>
      </c>
      <c r="AA2431" s="566">
        <f t="shared" si="280"/>
        <v>5.8101851851851682E-3</v>
      </c>
    </row>
    <row r="2432" spans="1:27" x14ac:dyDescent="0.3">
      <c r="A2432" s="79" t="s">
        <v>7196</v>
      </c>
      <c r="C2432" s="115">
        <v>43971</v>
      </c>
      <c r="D2432" s="312">
        <v>44008</v>
      </c>
      <c r="E2432" s="81">
        <v>44000</v>
      </c>
      <c r="F2432" s="86" t="s">
        <v>7285</v>
      </c>
      <c r="G2432" s="86" t="s">
        <v>6493</v>
      </c>
      <c r="H2432" s="96" t="s">
        <v>213</v>
      </c>
      <c r="I2432" s="97" t="s">
        <v>722</v>
      </c>
      <c r="J2432" s="73">
        <f t="shared" si="281"/>
        <v>1</v>
      </c>
      <c r="K2432" s="74" t="s">
        <v>204</v>
      </c>
      <c r="L2432" s="97" t="s">
        <v>7358</v>
      </c>
      <c r="N2432" s="76" t="s">
        <v>17</v>
      </c>
      <c r="Q2432" s="76" t="s">
        <v>2037</v>
      </c>
      <c r="R2432" s="73">
        <f t="shared" si="282"/>
        <v>1</v>
      </c>
      <c r="S2432" s="260" t="s">
        <v>1976</v>
      </c>
      <c r="T2432" s="260" t="s">
        <v>925</v>
      </c>
      <c r="Y2432" s="566">
        <v>0.69708333333333339</v>
      </c>
      <c r="Z2432" s="566">
        <v>0.70199074074074075</v>
      </c>
      <c r="AA2432" s="566">
        <f t="shared" si="280"/>
        <v>4.9074074074073604E-3</v>
      </c>
    </row>
    <row r="2433" spans="1:27" x14ac:dyDescent="0.3">
      <c r="A2433" s="79" t="s">
        <v>7749</v>
      </c>
      <c r="C2433" s="115">
        <v>43971</v>
      </c>
      <c r="D2433" s="312">
        <v>44008</v>
      </c>
      <c r="E2433" s="81">
        <v>44000</v>
      </c>
      <c r="F2433" s="86" t="s">
        <v>7804</v>
      </c>
      <c r="G2433" s="86" t="s">
        <v>175</v>
      </c>
      <c r="H2433" s="96" t="s">
        <v>213</v>
      </c>
      <c r="I2433" s="97" t="s">
        <v>722</v>
      </c>
      <c r="J2433" s="73">
        <f t="shared" si="281"/>
        <v>1</v>
      </c>
      <c r="K2433" s="74" t="s">
        <v>204</v>
      </c>
      <c r="L2433" s="97" t="s">
        <v>7893</v>
      </c>
      <c r="N2433" s="76" t="s">
        <v>17</v>
      </c>
      <c r="Q2433" s="76" t="s">
        <v>2076</v>
      </c>
      <c r="R2433" s="73">
        <f t="shared" si="282"/>
        <v>1</v>
      </c>
      <c r="S2433" s="260" t="s">
        <v>1976</v>
      </c>
      <c r="T2433" s="260" t="s">
        <v>924</v>
      </c>
      <c r="U2433" s="301" t="s">
        <v>5283</v>
      </c>
      <c r="V2433" s="301" t="s">
        <v>7894</v>
      </c>
      <c r="Y2433" s="566">
        <v>0.91550925925925919</v>
      </c>
      <c r="Z2433" s="566">
        <v>0.92311342592592593</v>
      </c>
      <c r="AA2433" s="566">
        <f t="shared" si="280"/>
        <v>7.6041666666667451E-3</v>
      </c>
    </row>
    <row r="2434" spans="1:27" x14ac:dyDescent="0.3">
      <c r="A2434" s="79" t="s">
        <v>7200</v>
      </c>
      <c r="C2434" s="115">
        <v>43971</v>
      </c>
      <c r="D2434" s="312">
        <v>44011</v>
      </c>
      <c r="E2434" s="81">
        <v>44000</v>
      </c>
      <c r="F2434" s="86" t="s">
        <v>7289</v>
      </c>
      <c r="G2434" s="86" t="s">
        <v>173</v>
      </c>
      <c r="H2434" s="96" t="s">
        <v>213</v>
      </c>
      <c r="I2434" s="97" t="s">
        <v>714</v>
      </c>
      <c r="J2434" s="73">
        <f t="shared" si="281"/>
        <v>1</v>
      </c>
      <c r="K2434" s="74" t="s">
        <v>204</v>
      </c>
      <c r="L2434" s="97" t="s">
        <v>7336</v>
      </c>
      <c r="N2434" s="76" t="s">
        <v>18</v>
      </c>
      <c r="Q2434" s="76" t="s">
        <v>2417</v>
      </c>
      <c r="R2434" s="73">
        <f t="shared" si="282"/>
        <v>1</v>
      </c>
      <c r="S2434" s="260" t="s">
        <v>1976</v>
      </c>
      <c r="T2434" s="260" t="s">
        <v>925</v>
      </c>
      <c r="Y2434" s="566">
        <v>0.4982638888888889</v>
      </c>
      <c r="Z2434" s="566">
        <v>0.50565972222222222</v>
      </c>
      <c r="AA2434" s="566">
        <f t="shared" si="280"/>
        <v>7.3958333333333237E-3</v>
      </c>
    </row>
    <row r="2435" spans="1:27" x14ac:dyDescent="0.3">
      <c r="A2435" s="79" t="s">
        <v>7201</v>
      </c>
      <c r="C2435" s="115">
        <v>43971</v>
      </c>
      <c r="D2435" s="312">
        <v>44011</v>
      </c>
      <c r="E2435" s="81">
        <v>43999</v>
      </c>
      <c r="F2435" s="86" t="s">
        <v>7290</v>
      </c>
      <c r="G2435" s="86" t="s">
        <v>152</v>
      </c>
      <c r="H2435" s="96" t="s">
        <v>213</v>
      </c>
      <c r="I2435" s="97" t="s">
        <v>722</v>
      </c>
      <c r="J2435" s="73">
        <f t="shared" si="281"/>
        <v>1</v>
      </c>
      <c r="K2435" s="74" t="s">
        <v>204</v>
      </c>
      <c r="L2435" s="97" t="s">
        <v>7322</v>
      </c>
      <c r="N2435" s="76" t="s">
        <v>17</v>
      </c>
      <c r="Q2435" s="76" t="s">
        <v>2417</v>
      </c>
      <c r="R2435" s="73">
        <f t="shared" si="282"/>
        <v>1</v>
      </c>
      <c r="S2435" s="260" t="s">
        <v>1976</v>
      </c>
      <c r="T2435" s="260" t="s">
        <v>923</v>
      </c>
      <c r="Y2435" s="566">
        <v>0.64118055555555553</v>
      </c>
      <c r="Z2435" s="566">
        <v>0.64884259259259258</v>
      </c>
      <c r="AA2435" s="566">
        <f t="shared" si="280"/>
        <v>7.6620370370370505E-3</v>
      </c>
    </row>
    <row r="2436" spans="1:27" x14ac:dyDescent="0.3">
      <c r="A2436" s="79" t="s">
        <v>7202</v>
      </c>
      <c r="C2436" s="115">
        <v>43972</v>
      </c>
      <c r="D2436" s="312">
        <v>44011</v>
      </c>
      <c r="E2436" s="81">
        <v>44001</v>
      </c>
      <c r="F2436" s="86" t="s">
        <v>7291</v>
      </c>
      <c r="G2436" s="86" t="s">
        <v>157</v>
      </c>
      <c r="H2436" s="96" t="s">
        <v>213</v>
      </c>
      <c r="I2436" s="97" t="s">
        <v>755</v>
      </c>
      <c r="J2436" s="73">
        <f t="shared" si="281"/>
        <v>1</v>
      </c>
      <c r="K2436" s="74" t="s">
        <v>204</v>
      </c>
      <c r="L2436" s="97" t="s">
        <v>7899</v>
      </c>
      <c r="N2436" s="76" t="s">
        <v>18</v>
      </c>
      <c r="Q2436" s="76" t="s">
        <v>2037</v>
      </c>
      <c r="R2436" s="73">
        <f t="shared" si="282"/>
        <v>1</v>
      </c>
      <c r="S2436" s="260" t="s">
        <v>1976</v>
      </c>
      <c r="T2436" s="260" t="s">
        <v>925</v>
      </c>
      <c r="U2436" s="301" t="s">
        <v>5283</v>
      </c>
      <c r="V2436" s="301" t="s">
        <v>7900</v>
      </c>
      <c r="Y2436" s="566">
        <v>0.53383101851851855</v>
      </c>
      <c r="Z2436" s="566">
        <v>0.53991898148148143</v>
      </c>
      <c r="AA2436" s="566">
        <f t="shared" si="280"/>
        <v>6.0879629629628784E-3</v>
      </c>
    </row>
    <row r="2437" spans="1:27" x14ac:dyDescent="0.3">
      <c r="A2437" s="79" t="s">
        <v>7204</v>
      </c>
      <c r="C2437" s="115">
        <v>43972</v>
      </c>
      <c r="D2437" s="312">
        <v>44011</v>
      </c>
      <c r="E2437" s="81">
        <v>44000</v>
      </c>
      <c r="F2437" s="86" t="s">
        <v>7293</v>
      </c>
      <c r="G2437" s="86" t="s">
        <v>733</v>
      </c>
      <c r="H2437" s="96" t="s">
        <v>213</v>
      </c>
      <c r="I2437" s="97" t="s">
        <v>714</v>
      </c>
      <c r="J2437" s="73">
        <f t="shared" si="281"/>
        <v>1</v>
      </c>
      <c r="K2437" s="74" t="s">
        <v>204</v>
      </c>
      <c r="L2437" s="97" t="s">
        <v>7072</v>
      </c>
      <c r="N2437" s="76" t="s">
        <v>18</v>
      </c>
      <c r="Q2437" s="76" t="s">
        <v>2037</v>
      </c>
      <c r="R2437" s="73">
        <f t="shared" si="282"/>
        <v>1</v>
      </c>
      <c r="S2437" s="260" t="s">
        <v>1976</v>
      </c>
      <c r="T2437" s="260" t="s">
        <v>923</v>
      </c>
      <c r="Y2437" s="566">
        <v>0.72706018518518523</v>
      </c>
      <c r="Z2437" s="566">
        <v>0.73170138888888892</v>
      </c>
      <c r="AA2437" s="566">
        <f t="shared" ref="AA2437:AA2440" si="283">Z2437-Y2437</f>
        <v>4.6412037037036891E-3</v>
      </c>
    </row>
    <row r="2438" spans="1:27" x14ac:dyDescent="0.3">
      <c r="A2438" s="79" t="s">
        <v>7206</v>
      </c>
      <c r="C2438" s="115">
        <v>43972</v>
      </c>
      <c r="D2438" s="312">
        <v>44011</v>
      </c>
      <c r="E2438" s="81">
        <v>44001</v>
      </c>
      <c r="F2438" s="86" t="s">
        <v>7295</v>
      </c>
      <c r="G2438" s="86" t="s">
        <v>156</v>
      </c>
      <c r="H2438" s="96" t="s">
        <v>213</v>
      </c>
      <c r="I2438" s="97" t="s">
        <v>714</v>
      </c>
      <c r="J2438" s="73">
        <f t="shared" si="281"/>
        <v>1</v>
      </c>
      <c r="K2438" s="74" t="s">
        <v>204</v>
      </c>
      <c r="L2438" s="97" t="s">
        <v>7072</v>
      </c>
      <c r="N2438" s="76" t="s">
        <v>18</v>
      </c>
      <c r="Q2438" s="76" t="s">
        <v>2076</v>
      </c>
      <c r="R2438" s="73">
        <f t="shared" si="282"/>
        <v>1</v>
      </c>
      <c r="S2438" s="260" t="s">
        <v>1976</v>
      </c>
      <c r="T2438" s="260" t="s">
        <v>924</v>
      </c>
      <c r="Y2438" s="566">
        <v>0.6645833333333333</v>
      </c>
      <c r="Z2438" s="566">
        <v>0.67100694444444453</v>
      </c>
      <c r="AA2438" s="566">
        <f t="shared" si="283"/>
        <v>6.4236111111112271E-3</v>
      </c>
    </row>
    <row r="2439" spans="1:27" x14ac:dyDescent="0.3">
      <c r="A2439" s="79" t="s">
        <v>7209</v>
      </c>
      <c r="C2439" s="115">
        <v>43972</v>
      </c>
      <c r="D2439" s="312">
        <v>44011</v>
      </c>
      <c r="E2439" s="81">
        <v>44004</v>
      </c>
      <c r="F2439" s="86" t="s">
        <v>7298</v>
      </c>
      <c r="G2439" s="86" t="s">
        <v>158</v>
      </c>
      <c r="H2439" s="96" t="s">
        <v>213</v>
      </c>
      <c r="I2439" s="97" t="s">
        <v>604</v>
      </c>
      <c r="J2439" s="73">
        <f t="shared" si="281"/>
        <v>1</v>
      </c>
      <c r="K2439" s="74" t="s">
        <v>204</v>
      </c>
      <c r="L2439" s="97" t="s">
        <v>7906</v>
      </c>
      <c r="N2439" s="76" t="s">
        <v>17</v>
      </c>
      <c r="Q2439" s="76" t="s">
        <v>2109</v>
      </c>
      <c r="R2439" s="73">
        <f t="shared" si="282"/>
        <v>1</v>
      </c>
      <c r="S2439" s="260" t="s">
        <v>1976</v>
      </c>
      <c r="T2439" s="260" t="s">
        <v>925</v>
      </c>
      <c r="U2439" s="301" t="s">
        <v>5283</v>
      </c>
      <c r="V2439" s="301" t="s">
        <v>7907</v>
      </c>
      <c r="Y2439" s="566">
        <v>0.39333333333333331</v>
      </c>
      <c r="Z2439" s="566">
        <v>0.40469907407407407</v>
      </c>
      <c r="AA2439" s="566">
        <f t="shared" si="283"/>
        <v>1.136574074074076E-2</v>
      </c>
    </row>
    <row r="2440" spans="1:27" x14ac:dyDescent="0.3">
      <c r="A2440" s="79" t="s">
        <v>7402</v>
      </c>
      <c r="C2440" s="115">
        <v>43973</v>
      </c>
      <c r="D2440" s="312">
        <v>44012</v>
      </c>
      <c r="E2440" s="81">
        <v>44004</v>
      </c>
      <c r="F2440" s="86" t="s">
        <v>7470</v>
      </c>
      <c r="G2440" s="86" t="s">
        <v>156</v>
      </c>
      <c r="H2440" s="96" t="s">
        <v>213</v>
      </c>
      <c r="I2440" s="97" t="s">
        <v>642</v>
      </c>
      <c r="J2440" s="73">
        <f t="shared" si="281"/>
        <v>1</v>
      </c>
      <c r="K2440" s="74" t="s">
        <v>204</v>
      </c>
      <c r="L2440" s="97" t="s">
        <v>7066</v>
      </c>
      <c r="N2440" s="76" t="s">
        <v>18</v>
      </c>
      <c r="Q2440" s="76" t="s">
        <v>2417</v>
      </c>
      <c r="R2440" s="73">
        <f t="shared" si="282"/>
        <v>1</v>
      </c>
      <c r="S2440" s="260" t="s">
        <v>1976</v>
      </c>
      <c r="T2440" s="260" t="s">
        <v>923</v>
      </c>
      <c r="Y2440" s="566">
        <v>0.6175694444444445</v>
      </c>
      <c r="Z2440" s="566">
        <v>0.63222222222222224</v>
      </c>
      <c r="AA2440" s="566">
        <f t="shared" si="283"/>
        <v>1.4652777777777737E-2</v>
      </c>
    </row>
    <row r="2441" spans="1:27" x14ac:dyDescent="0.3">
      <c r="A2441" s="79" t="s">
        <v>7453</v>
      </c>
      <c r="C2441" s="115">
        <v>43979</v>
      </c>
      <c r="D2441" s="312">
        <v>44001</v>
      </c>
      <c r="E2441" s="81">
        <v>44001</v>
      </c>
      <c r="F2441" s="86" t="s">
        <v>7521</v>
      </c>
      <c r="G2441" s="86" t="s">
        <v>157</v>
      </c>
      <c r="H2441" s="96" t="s">
        <v>213</v>
      </c>
      <c r="I2441" s="97" t="s">
        <v>649</v>
      </c>
      <c r="J2441" s="73">
        <f t="shared" ref="J2441:J2447" si="284">IF(OR(K2441="Документы готовы",K2441="Запрос в ФО",K2441="ЭЗ",K2441="РЕШ",K2441="РЕШ шаблон"),0.1,IF(OR(K2441="ЭЗ согласование",K2441="РЕШ согласование"),0.3,IF(OR(K2441="ЭЗ согласовано",K2441="РЕШ согласовано",K2441="РЕШ подписано"),0.6,IF(OR(K2441="ЭЗ ПР согласование",K2441="РЕШ УВ согласование"),0.9,IF(OR(K2441="ЭЗ ПР DONE",K2441="РЕШ УВ DONE"),1,0)))))</f>
        <v>1</v>
      </c>
      <c r="K2441" s="74" t="s">
        <v>204</v>
      </c>
      <c r="L2441" s="97" t="s">
        <v>7896</v>
      </c>
      <c r="N2441" s="76" t="s">
        <v>17</v>
      </c>
      <c r="Q2441" s="76" t="s">
        <v>2037</v>
      </c>
      <c r="R2441" s="73">
        <f t="shared" ref="R2441:R2447" si="285">IF(S2441="В работе",0.3,IF(S2441="Отписано",0.6,IF(S2441="На доработку",0.9,IF(S2441="Согласовано",1,0))))</f>
        <v>1</v>
      </c>
      <c r="S2441" s="260" t="s">
        <v>1976</v>
      </c>
      <c r="T2441" s="260" t="s">
        <v>924</v>
      </c>
      <c r="U2441" s="301" t="s">
        <v>5283</v>
      </c>
      <c r="V2441" s="301" t="s">
        <v>7897</v>
      </c>
      <c r="Y2441" s="566">
        <v>0.44314814814814812</v>
      </c>
      <c r="Z2441" s="566">
        <v>0.45678240740740739</v>
      </c>
      <c r="AA2441" s="566">
        <f t="shared" ref="AA2441:AA2460" si="286">Z2441-Y2441</f>
        <v>1.3634259259259263E-2</v>
      </c>
    </row>
    <row r="2442" spans="1:27" x14ac:dyDescent="0.3">
      <c r="A2442" s="79" t="s">
        <v>7653</v>
      </c>
      <c r="C2442" s="115">
        <v>43980</v>
      </c>
      <c r="D2442" s="312">
        <v>44021</v>
      </c>
      <c r="E2442" s="81">
        <v>44014</v>
      </c>
      <c r="F2442" s="86" t="s">
        <v>7690</v>
      </c>
      <c r="G2442" s="86" t="s">
        <v>150</v>
      </c>
      <c r="H2442" s="96" t="s">
        <v>213</v>
      </c>
      <c r="I2442" s="97" t="s">
        <v>722</v>
      </c>
      <c r="J2442" s="73">
        <f t="shared" si="284"/>
        <v>1</v>
      </c>
      <c r="K2442" s="74" t="s">
        <v>204</v>
      </c>
      <c r="L2442" s="97" t="s">
        <v>8388</v>
      </c>
      <c r="N2442" s="76" t="s">
        <v>18</v>
      </c>
      <c r="Q2442" s="76" t="s">
        <v>2109</v>
      </c>
      <c r="R2442" s="73">
        <f t="shared" si="285"/>
        <v>1</v>
      </c>
      <c r="S2442" s="260" t="s">
        <v>1976</v>
      </c>
      <c r="T2442" s="260" t="s">
        <v>924</v>
      </c>
      <c r="U2442" s="301" t="s">
        <v>5283</v>
      </c>
      <c r="V2442" s="301" t="s">
        <v>6724</v>
      </c>
      <c r="Y2442" s="566">
        <v>0.52200231481481485</v>
      </c>
      <c r="Z2442" s="566">
        <v>0.52854166666666669</v>
      </c>
      <c r="AA2442" s="566">
        <f t="shared" si="286"/>
        <v>6.5393518518518379E-3</v>
      </c>
    </row>
    <row r="2443" spans="1:27" x14ac:dyDescent="0.3">
      <c r="A2443" s="79" t="s">
        <v>7654</v>
      </c>
      <c r="C2443" s="115">
        <v>43980</v>
      </c>
      <c r="D2443" s="312">
        <v>44005</v>
      </c>
      <c r="E2443" s="81">
        <v>43998</v>
      </c>
      <c r="F2443" s="86" t="s">
        <v>7691</v>
      </c>
      <c r="G2443" s="86" t="s">
        <v>152</v>
      </c>
      <c r="H2443" s="96" t="s">
        <v>213</v>
      </c>
      <c r="I2443" s="97" t="s">
        <v>1284</v>
      </c>
      <c r="J2443" s="73">
        <f t="shared" si="284"/>
        <v>1</v>
      </c>
      <c r="K2443" s="74" t="s">
        <v>204</v>
      </c>
      <c r="L2443" s="97" t="s">
        <v>7858</v>
      </c>
      <c r="N2443" s="76" t="s">
        <v>19</v>
      </c>
      <c r="Q2443" s="76" t="s">
        <v>2142</v>
      </c>
      <c r="R2443" s="73">
        <f t="shared" si="285"/>
        <v>1</v>
      </c>
      <c r="S2443" s="260" t="s">
        <v>1976</v>
      </c>
      <c r="T2443" s="260" t="s">
        <v>923</v>
      </c>
      <c r="Y2443" s="566">
        <v>0.48502314814814818</v>
      </c>
      <c r="Z2443" s="566">
        <v>0.48984953703703704</v>
      </c>
      <c r="AA2443" s="566">
        <f t="shared" si="286"/>
        <v>4.8263888888888662E-3</v>
      </c>
    </row>
    <row r="2444" spans="1:27" x14ac:dyDescent="0.3">
      <c r="A2444" s="79" t="s">
        <v>7655</v>
      </c>
      <c r="C2444" s="115">
        <v>43980</v>
      </c>
      <c r="D2444" s="312">
        <v>44005</v>
      </c>
      <c r="E2444" s="81">
        <v>43997</v>
      </c>
      <c r="F2444" s="86" t="s">
        <v>7692</v>
      </c>
      <c r="G2444" s="86" t="s">
        <v>150</v>
      </c>
      <c r="H2444" s="96" t="s">
        <v>213</v>
      </c>
      <c r="I2444" s="97" t="s">
        <v>722</v>
      </c>
      <c r="J2444" s="73">
        <f t="shared" si="284"/>
        <v>1</v>
      </c>
      <c r="K2444" s="74" t="s">
        <v>204</v>
      </c>
      <c r="L2444" s="97" t="s">
        <v>7742</v>
      </c>
      <c r="N2444" s="76" t="s">
        <v>18</v>
      </c>
      <c r="Q2444" s="76" t="s">
        <v>2109</v>
      </c>
      <c r="R2444" s="73">
        <f t="shared" si="285"/>
        <v>1</v>
      </c>
      <c r="S2444" s="260" t="s">
        <v>1976</v>
      </c>
      <c r="T2444" s="260" t="s">
        <v>924</v>
      </c>
      <c r="X2444" s="301" t="s">
        <v>7862</v>
      </c>
      <c r="Y2444" s="566">
        <v>0.7810300925925926</v>
      </c>
      <c r="Z2444" s="566">
        <v>0.78753472222222232</v>
      </c>
      <c r="AA2444" s="566">
        <f t="shared" si="286"/>
        <v>6.5046296296297212E-3</v>
      </c>
    </row>
    <row r="2445" spans="1:27" x14ac:dyDescent="0.3">
      <c r="A2445" s="79" t="s">
        <v>7656</v>
      </c>
      <c r="C2445" s="115">
        <v>43980</v>
      </c>
      <c r="D2445" s="312">
        <v>44005</v>
      </c>
      <c r="E2445" s="81">
        <v>43998</v>
      </c>
      <c r="F2445" s="86" t="s">
        <v>7693</v>
      </c>
      <c r="G2445" s="86" t="s">
        <v>158</v>
      </c>
      <c r="H2445" s="96" t="s">
        <v>213</v>
      </c>
      <c r="I2445" s="97" t="s">
        <v>722</v>
      </c>
      <c r="J2445" s="73">
        <f t="shared" si="284"/>
        <v>1</v>
      </c>
      <c r="K2445" s="74" t="s">
        <v>204</v>
      </c>
      <c r="L2445" s="97" t="s">
        <v>7322</v>
      </c>
      <c r="N2445" s="76" t="s">
        <v>18</v>
      </c>
      <c r="Q2445" s="76" t="s">
        <v>2037</v>
      </c>
      <c r="R2445" s="73">
        <f t="shared" si="285"/>
        <v>1</v>
      </c>
      <c r="S2445" s="260" t="s">
        <v>1976</v>
      </c>
      <c r="T2445" s="260" t="s">
        <v>925</v>
      </c>
      <c r="Y2445" s="566">
        <v>0.37983796296296296</v>
      </c>
      <c r="Z2445" s="566">
        <v>0.39180555555555552</v>
      </c>
      <c r="AA2445" s="566">
        <f t="shared" si="286"/>
        <v>1.1967592592592557E-2</v>
      </c>
    </row>
    <row r="2446" spans="1:27" x14ac:dyDescent="0.3">
      <c r="A2446" s="79" t="s">
        <v>7658</v>
      </c>
      <c r="C2446" s="115">
        <v>43980</v>
      </c>
      <c r="D2446" s="312">
        <v>44005</v>
      </c>
      <c r="E2446" s="81">
        <v>43998</v>
      </c>
      <c r="F2446" s="86" t="s">
        <v>7695</v>
      </c>
      <c r="G2446" s="86" t="s">
        <v>152</v>
      </c>
      <c r="H2446" s="96" t="s">
        <v>213</v>
      </c>
      <c r="I2446" s="97" t="s">
        <v>649</v>
      </c>
      <c r="J2446" s="73">
        <f t="shared" si="284"/>
        <v>1</v>
      </c>
      <c r="K2446" s="74" t="s">
        <v>204</v>
      </c>
      <c r="L2446" s="97" t="s">
        <v>7865</v>
      </c>
      <c r="N2446" s="76" t="s">
        <v>17</v>
      </c>
      <c r="Q2446" s="76" t="s">
        <v>2142</v>
      </c>
      <c r="R2446" s="73">
        <f t="shared" si="285"/>
        <v>1</v>
      </c>
      <c r="S2446" s="260" t="s">
        <v>1976</v>
      </c>
      <c r="T2446" s="260" t="s">
        <v>924</v>
      </c>
      <c r="Y2446" s="566">
        <v>0.91850694444444436</v>
      </c>
      <c r="Z2446" s="566">
        <v>0.93393518518518526</v>
      </c>
      <c r="AA2446" s="566">
        <f t="shared" si="286"/>
        <v>1.5428240740740895E-2</v>
      </c>
    </row>
    <row r="2447" spans="1:27" x14ac:dyDescent="0.3">
      <c r="A2447" s="79" t="s">
        <v>7659</v>
      </c>
      <c r="C2447" s="115">
        <v>43980</v>
      </c>
      <c r="D2447" s="312">
        <v>44005</v>
      </c>
      <c r="E2447" s="81">
        <v>43998</v>
      </c>
      <c r="F2447" s="86" t="s">
        <v>7696</v>
      </c>
      <c r="G2447" s="86" t="s">
        <v>3509</v>
      </c>
      <c r="H2447" s="96" t="s">
        <v>213</v>
      </c>
      <c r="I2447" s="97" t="s">
        <v>649</v>
      </c>
      <c r="J2447" s="73">
        <f t="shared" si="284"/>
        <v>1</v>
      </c>
      <c r="K2447" s="74" t="s">
        <v>204</v>
      </c>
      <c r="L2447" s="97" t="s">
        <v>7082</v>
      </c>
      <c r="N2447" s="76" t="s">
        <v>17</v>
      </c>
      <c r="Q2447" s="76" t="s">
        <v>2142</v>
      </c>
      <c r="R2447" s="73">
        <f t="shared" si="285"/>
        <v>1</v>
      </c>
      <c r="S2447" s="260" t="s">
        <v>1976</v>
      </c>
      <c r="T2447" s="260" t="s">
        <v>923</v>
      </c>
      <c r="Y2447" s="566">
        <v>0.88704861111111111</v>
      </c>
      <c r="Z2447" s="566">
        <v>0.8968287037037036</v>
      </c>
      <c r="AA2447" s="566">
        <f t="shared" si="286"/>
        <v>9.7800925925924931E-3</v>
      </c>
    </row>
    <row r="2448" spans="1:27" x14ac:dyDescent="0.3">
      <c r="A2448" s="79" t="s">
        <v>7750</v>
      </c>
      <c r="C2448" s="115">
        <v>43983</v>
      </c>
      <c r="D2448" s="312">
        <v>44007</v>
      </c>
      <c r="E2448" s="81">
        <v>44000</v>
      </c>
      <c r="F2448" s="86" t="s">
        <v>7805</v>
      </c>
      <c r="G2448" s="86" t="s">
        <v>156</v>
      </c>
      <c r="H2448" s="96" t="s">
        <v>213</v>
      </c>
      <c r="I2448" s="97" t="s">
        <v>649</v>
      </c>
      <c r="J2448" s="73">
        <f t="shared" ref="J2448:J2473" si="287">IF(OR(K2448="Документы готовы",K2448="Запрос в ФО",K2448="ЭЗ",K2448="РЕШ",K2448="РЕШ шаблон"),0.1,IF(OR(K2448="ЭЗ согласование",K2448="РЕШ согласование"),0.3,IF(OR(K2448="ЭЗ согласовано",K2448="РЕШ согласовано",K2448="РЕШ подписано"),0.6,IF(OR(K2448="ЭЗ ПР согласование",K2448="РЕШ УВ согласование"),0.9,IF(OR(K2448="ЭЗ ПР DONE",K2448="РЕШ УВ DONE"),1,0)))))</f>
        <v>1</v>
      </c>
      <c r="K2448" s="74" t="s">
        <v>204</v>
      </c>
      <c r="L2448" s="97" t="s">
        <v>7065</v>
      </c>
      <c r="N2448" s="76" t="s">
        <v>18</v>
      </c>
      <c r="Q2448" s="76" t="s">
        <v>2109</v>
      </c>
      <c r="R2448" s="73">
        <f t="shared" ref="R2448:R2473" si="288">IF(S2448="В работе",0.3,IF(S2448="Отписано",0.6,IF(S2448="На доработку",0.9,IF(S2448="Согласовано",1,0))))</f>
        <v>1</v>
      </c>
      <c r="S2448" s="260" t="s">
        <v>1976</v>
      </c>
      <c r="T2448" s="260" t="s">
        <v>924</v>
      </c>
      <c r="U2448" s="301" t="s">
        <v>5283</v>
      </c>
      <c r="V2448" s="301" t="s">
        <v>7889</v>
      </c>
      <c r="Y2448" s="566">
        <v>0.86432870370370374</v>
      </c>
      <c r="Z2448" s="566">
        <v>0.87657407407407406</v>
      </c>
      <c r="AA2448" s="566">
        <f t="shared" si="286"/>
        <v>1.2245370370370323E-2</v>
      </c>
    </row>
    <row r="2449" spans="1:27" x14ac:dyDescent="0.3">
      <c r="A2449" s="79" t="s">
        <v>7751</v>
      </c>
      <c r="C2449" s="115">
        <v>43983</v>
      </c>
      <c r="D2449" s="312">
        <v>44007</v>
      </c>
      <c r="E2449" s="81">
        <v>44000</v>
      </c>
      <c r="F2449" s="86" t="s">
        <v>7806</v>
      </c>
      <c r="G2449" s="86" t="s">
        <v>158</v>
      </c>
      <c r="H2449" s="96" t="s">
        <v>213</v>
      </c>
      <c r="I2449" s="97" t="s">
        <v>649</v>
      </c>
      <c r="J2449" s="73">
        <f t="shared" si="287"/>
        <v>1</v>
      </c>
      <c r="K2449" s="74" t="s">
        <v>204</v>
      </c>
      <c r="L2449" s="97" t="s">
        <v>7060</v>
      </c>
      <c r="N2449" s="76" t="s">
        <v>17</v>
      </c>
      <c r="Q2449" s="76" t="s">
        <v>2037</v>
      </c>
      <c r="R2449" s="73">
        <f t="shared" si="288"/>
        <v>1</v>
      </c>
      <c r="S2449" s="260" t="s">
        <v>1976</v>
      </c>
      <c r="T2449" s="260" t="s">
        <v>925</v>
      </c>
      <c r="Y2449" s="566">
        <v>0.7166203703703703</v>
      </c>
      <c r="Z2449" s="566">
        <v>0.72578703703703706</v>
      </c>
      <c r="AA2449" s="566">
        <f t="shared" si="286"/>
        <v>9.1666666666667673E-3</v>
      </c>
    </row>
    <row r="2450" spans="1:27" x14ac:dyDescent="0.3">
      <c r="A2450" s="79" t="s">
        <v>7752</v>
      </c>
      <c r="C2450" s="115">
        <v>43983</v>
      </c>
      <c r="D2450" s="312">
        <v>44007</v>
      </c>
      <c r="E2450" s="81">
        <v>44004</v>
      </c>
      <c r="F2450" s="86" t="s">
        <v>7807</v>
      </c>
      <c r="G2450" s="86" t="s">
        <v>152</v>
      </c>
      <c r="H2450" s="79" t="s">
        <v>268</v>
      </c>
      <c r="I2450" s="97" t="s">
        <v>649</v>
      </c>
      <c r="J2450" s="73">
        <f t="shared" si="287"/>
        <v>1</v>
      </c>
      <c r="K2450" s="74" t="s">
        <v>204</v>
      </c>
      <c r="L2450" s="97" t="s">
        <v>7060</v>
      </c>
      <c r="N2450" s="76" t="s">
        <v>18</v>
      </c>
      <c r="Q2450" s="76" t="s">
        <v>2076</v>
      </c>
      <c r="R2450" s="73">
        <f t="shared" si="288"/>
        <v>1</v>
      </c>
      <c r="S2450" s="260" t="s">
        <v>1976</v>
      </c>
      <c r="T2450" s="260" t="s">
        <v>923</v>
      </c>
      <c r="U2450" s="301" t="s">
        <v>5283</v>
      </c>
      <c r="V2450" s="301" t="s">
        <v>7913</v>
      </c>
      <c r="Y2450" s="566">
        <v>0.49835648148148143</v>
      </c>
      <c r="Z2450" s="566">
        <v>0.52067129629629627</v>
      </c>
      <c r="AA2450" s="566">
        <f t="shared" si="286"/>
        <v>2.2314814814814843E-2</v>
      </c>
    </row>
    <row r="2451" spans="1:27" x14ac:dyDescent="0.3">
      <c r="A2451" s="96" t="s">
        <v>7753</v>
      </c>
      <c r="C2451" s="115">
        <v>43983</v>
      </c>
      <c r="D2451" s="312">
        <v>44022</v>
      </c>
      <c r="E2451" s="81">
        <v>44014</v>
      </c>
      <c r="F2451" s="86" t="s">
        <v>7808</v>
      </c>
      <c r="G2451" s="86" t="s">
        <v>150</v>
      </c>
      <c r="H2451" s="96" t="s">
        <v>213</v>
      </c>
      <c r="I2451" s="97" t="s">
        <v>722</v>
      </c>
      <c r="J2451" s="73">
        <f t="shared" si="287"/>
        <v>1</v>
      </c>
      <c r="K2451" s="74" t="s">
        <v>204</v>
      </c>
      <c r="L2451" s="97" t="s">
        <v>7893</v>
      </c>
      <c r="N2451" s="76" t="s">
        <v>17</v>
      </c>
      <c r="Q2451" s="76" t="s">
        <v>2109</v>
      </c>
      <c r="R2451" s="73">
        <f t="shared" si="288"/>
        <v>1</v>
      </c>
      <c r="S2451" s="260" t="s">
        <v>1976</v>
      </c>
      <c r="T2451" s="260" t="s">
        <v>923</v>
      </c>
      <c r="U2451" s="301" t="s">
        <v>5283</v>
      </c>
      <c r="V2451" s="301" t="s">
        <v>7888</v>
      </c>
      <c r="Y2451" s="566">
        <v>0.86319444444444438</v>
      </c>
      <c r="Z2451" s="566">
        <v>0.87430555555555556</v>
      </c>
      <c r="AA2451" s="566">
        <f t="shared" si="286"/>
        <v>1.1111111111111183E-2</v>
      </c>
    </row>
    <row r="2452" spans="1:27" x14ac:dyDescent="0.3">
      <c r="A2452" s="79" t="s">
        <v>7666</v>
      </c>
      <c r="C2452" s="115">
        <v>43983</v>
      </c>
      <c r="D2452" s="312">
        <v>44005</v>
      </c>
      <c r="E2452" s="81">
        <v>43999</v>
      </c>
      <c r="F2452" s="86" t="s">
        <v>7703</v>
      </c>
      <c r="G2452" s="86" t="s">
        <v>156</v>
      </c>
      <c r="H2452" s="96" t="s">
        <v>213</v>
      </c>
      <c r="I2452" s="97" t="s">
        <v>649</v>
      </c>
      <c r="J2452" s="73">
        <f t="shared" si="287"/>
        <v>1</v>
      </c>
      <c r="K2452" s="74" t="s">
        <v>204</v>
      </c>
      <c r="L2452" s="97" t="s">
        <v>7089</v>
      </c>
      <c r="N2452" s="76" t="s">
        <v>18</v>
      </c>
      <c r="Q2452" s="76" t="s">
        <v>2142</v>
      </c>
      <c r="R2452" s="73">
        <f t="shared" si="288"/>
        <v>1</v>
      </c>
      <c r="S2452" s="260" t="s">
        <v>1976</v>
      </c>
      <c r="T2452" s="260" t="s">
        <v>923</v>
      </c>
      <c r="Y2452" s="566">
        <v>0.42663194444444441</v>
      </c>
      <c r="Z2452" s="566">
        <v>0.4339351851851852</v>
      </c>
      <c r="AA2452" s="566">
        <f t="shared" si="286"/>
        <v>7.3032407407407907E-3</v>
      </c>
    </row>
    <row r="2453" spans="1:27" x14ac:dyDescent="0.3">
      <c r="A2453" s="79" t="s">
        <v>7756</v>
      </c>
      <c r="C2453" s="115">
        <v>43983</v>
      </c>
      <c r="D2453" s="312">
        <v>44007</v>
      </c>
      <c r="E2453" s="81">
        <v>44000</v>
      </c>
      <c r="F2453" s="86" t="s">
        <v>7811</v>
      </c>
      <c r="G2453" s="86" t="s">
        <v>154</v>
      </c>
      <c r="H2453" s="96" t="s">
        <v>213</v>
      </c>
      <c r="I2453" s="97" t="s">
        <v>7881</v>
      </c>
      <c r="J2453" s="73">
        <f t="shared" si="287"/>
        <v>1</v>
      </c>
      <c r="K2453" s="74" t="s">
        <v>204</v>
      </c>
      <c r="L2453" s="97" t="s">
        <v>7882</v>
      </c>
      <c r="N2453" s="76" t="s">
        <v>18</v>
      </c>
      <c r="Q2453" s="76" t="s">
        <v>2142</v>
      </c>
      <c r="R2453" s="73">
        <f t="shared" si="288"/>
        <v>1</v>
      </c>
      <c r="S2453" s="260" t="s">
        <v>1976</v>
      </c>
      <c r="T2453" s="260" t="s">
        <v>924</v>
      </c>
      <c r="U2453" s="301" t="s">
        <v>5283</v>
      </c>
      <c r="V2453" s="301" t="s">
        <v>7883</v>
      </c>
      <c r="Y2453" s="566">
        <v>0.76269675925925917</v>
      </c>
      <c r="Z2453" s="566">
        <v>0.78909722222222223</v>
      </c>
      <c r="AA2453" s="566">
        <f t="shared" si="286"/>
        <v>2.6400462962963056E-2</v>
      </c>
    </row>
    <row r="2454" spans="1:27" x14ac:dyDescent="0.3">
      <c r="A2454" s="79" t="s">
        <v>7757</v>
      </c>
      <c r="C2454" s="115">
        <v>43983</v>
      </c>
      <c r="D2454" s="312">
        <v>44007</v>
      </c>
      <c r="E2454" s="81">
        <v>43999</v>
      </c>
      <c r="F2454" s="86" t="s">
        <v>7812</v>
      </c>
      <c r="G2454" s="86" t="s">
        <v>156</v>
      </c>
      <c r="H2454" s="96" t="s">
        <v>213</v>
      </c>
      <c r="I2454" s="97" t="s">
        <v>1204</v>
      </c>
      <c r="J2454" s="73">
        <f t="shared" si="287"/>
        <v>1</v>
      </c>
      <c r="K2454" s="74" t="s">
        <v>204</v>
      </c>
      <c r="L2454" s="97" t="s">
        <v>7873</v>
      </c>
      <c r="N2454" s="76" t="s">
        <v>18</v>
      </c>
      <c r="Q2454" s="76" t="s">
        <v>2037</v>
      </c>
      <c r="R2454" s="73">
        <f t="shared" si="288"/>
        <v>1</v>
      </c>
      <c r="S2454" s="260" t="s">
        <v>1976</v>
      </c>
      <c r="T2454" s="260" t="s">
        <v>925</v>
      </c>
      <c r="Y2454" s="566">
        <v>0.6610300925925926</v>
      </c>
      <c r="Z2454" s="566">
        <v>0.66681712962962969</v>
      </c>
      <c r="AA2454" s="566">
        <f t="shared" si="286"/>
        <v>5.7870370370370905E-3</v>
      </c>
    </row>
    <row r="2455" spans="1:27" x14ac:dyDescent="0.3">
      <c r="A2455" s="79" t="s">
        <v>7758</v>
      </c>
      <c r="C2455" s="115">
        <v>43983</v>
      </c>
      <c r="D2455" s="312">
        <v>44007</v>
      </c>
      <c r="E2455" s="81">
        <v>44000</v>
      </c>
      <c r="F2455" s="86" t="s">
        <v>7813</v>
      </c>
      <c r="G2455" s="86" t="s">
        <v>152</v>
      </c>
      <c r="H2455" s="96" t="s">
        <v>213</v>
      </c>
      <c r="I2455" s="97" t="s">
        <v>1204</v>
      </c>
      <c r="J2455" s="73">
        <f t="shared" si="287"/>
        <v>1</v>
      </c>
      <c r="K2455" s="74" t="s">
        <v>204</v>
      </c>
      <c r="L2455" s="97" t="s">
        <v>7875</v>
      </c>
      <c r="N2455" s="76" t="s">
        <v>18</v>
      </c>
      <c r="Q2455" s="76" t="s">
        <v>2142</v>
      </c>
      <c r="R2455" s="73">
        <f t="shared" si="288"/>
        <v>1</v>
      </c>
      <c r="S2455" s="260" t="s">
        <v>1976</v>
      </c>
      <c r="T2455" s="260" t="s">
        <v>925</v>
      </c>
      <c r="Y2455" s="566">
        <v>0.46059027777777778</v>
      </c>
      <c r="Z2455" s="566">
        <v>0.46437499999999998</v>
      </c>
      <c r="AA2455" s="566">
        <f t="shared" si="286"/>
        <v>3.7847222222222032E-3</v>
      </c>
    </row>
    <row r="2456" spans="1:27" x14ac:dyDescent="0.3">
      <c r="A2456" s="96" t="s">
        <v>7762</v>
      </c>
      <c r="C2456" s="115">
        <v>43983</v>
      </c>
      <c r="D2456" s="312">
        <v>44022</v>
      </c>
      <c r="E2456" s="81">
        <v>44015</v>
      </c>
      <c r="F2456" s="86" t="s">
        <v>7817</v>
      </c>
      <c r="G2456" s="86" t="s">
        <v>152</v>
      </c>
      <c r="H2456" s="96" t="s">
        <v>213</v>
      </c>
      <c r="I2456" s="97" t="s">
        <v>714</v>
      </c>
      <c r="J2456" s="73">
        <f t="shared" si="287"/>
        <v>1</v>
      </c>
      <c r="K2456" s="74" t="s">
        <v>204</v>
      </c>
      <c r="L2456" s="97" t="s">
        <v>7336</v>
      </c>
      <c r="N2456" s="76" t="s">
        <v>18</v>
      </c>
      <c r="Q2456" s="76" t="s">
        <v>2076</v>
      </c>
      <c r="R2456" s="73">
        <f t="shared" si="288"/>
        <v>1</v>
      </c>
      <c r="S2456" s="260" t="s">
        <v>1976</v>
      </c>
      <c r="T2456" s="260" t="s">
        <v>925</v>
      </c>
      <c r="U2456" s="301" t="s">
        <v>5283</v>
      </c>
      <c r="V2456" s="301" t="s">
        <v>7869</v>
      </c>
      <c r="Y2456" s="566">
        <v>0.49081018518518515</v>
      </c>
      <c r="Z2456" s="566">
        <v>0.57104166666666667</v>
      </c>
      <c r="AA2456" s="566">
        <f t="shared" si="286"/>
        <v>8.0231481481481515E-2</v>
      </c>
    </row>
    <row r="2457" spans="1:27" x14ac:dyDescent="0.3">
      <c r="A2457" s="79" t="s">
        <v>7765</v>
      </c>
      <c r="C2457" s="115">
        <v>43984</v>
      </c>
      <c r="D2457" s="312">
        <v>44007</v>
      </c>
      <c r="E2457" s="81">
        <v>44000</v>
      </c>
      <c r="F2457" s="86" t="s">
        <v>7820</v>
      </c>
      <c r="G2457" s="86" t="s">
        <v>152</v>
      </c>
      <c r="H2457" s="96" t="s">
        <v>213</v>
      </c>
      <c r="I2457" s="97" t="s">
        <v>722</v>
      </c>
      <c r="J2457" s="73">
        <f t="shared" si="287"/>
        <v>1</v>
      </c>
      <c r="K2457" s="74" t="s">
        <v>204</v>
      </c>
      <c r="L2457" s="97" t="s">
        <v>7884</v>
      </c>
      <c r="N2457" s="76" t="s">
        <v>18</v>
      </c>
      <c r="Q2457" s="76" t="s">
        <v>2142</v>
      </c>
      <c r="R2457" s="73">
        <f t="shared" si="288"/>
        <v>1</v>
      </c>
      <c r="S2457" s="260" t="s">
        <v>1976</v>
      </c>
      <c r="T2457" s="260" t="s">
        <v>923</v>
      </c>
      <c r="Y2457" s="566">
        <v>0.78940972222222217</v>
      </c>
      <c r="Z2457" s="566">
        <v>0.79787037037037034</v>
      </c>
      <c r="AA2457" s="566">
        <f t="shared" si="286"/>
        <v>8.4606481481481755E-3</v>
      </c>
    </row>
    <row r="2458" spans="1:27" x14ac:dyDescent="0.3">
      <c r="A2458" s="96" t="s">
        <v>7770</v>
      </c>
      <c r="C2458" s="115">
        <v>43984</v>
      </c>
      <c r="D2458" s="312">
        <v>44007</v>
      </c>
      <c r="E2458" s="81">
        <v>44000</v>
      </c>
      <c r="F2458" s="86" t="s">
        <v>7825</v>
      </c>
      <c r="G2458" s="86" t="s">
        <v>152</v>
      </c>
      <c r="H2458" s="96" t="s">
        <v>213</v>
      </c>
      <c r="I2458" s="97" t="s">
        <v>4751</v>
      </c>
      <c r="J2458" s="73">
        <f t="shared" si="287"/>
        <v>1</v>
      </c>
      <c r="K2458" s="74" t="s">
        <v>204</v>
      </c>
      <c r="L2458" s="97" t="s">
        <v>7878</v>
      </c>
      <c r="N2458" s="76" t="s">
        <v>18</v>
      </c>
      <c r="Q2458" s="76" t="s">
        <v>2037</v>
      </c>
      <c r="R2458" s="73">
        <f t="shared" si="288"/>
        <v>1</v>
      </c>
      <c r="S2458" s="260" t="s">
        <v>1976</v>
      </c>
      <c r="T2458" s="260" t="s">
        <v>924</v>
      </c>
      <c r="Y2458" s="566">
        <v>0.68505787037037036</v>
      </c>
      <c r="Z2458" s="566">
        <v>0.69656250000000008</v>
      </c>
      <c r="AA2458" s="566">
        <f t="shared" si="286"/>
        <v>1.1504629629629726E-2</v>
      </c>
    </row>
    <row r="2459" spans="1:27" x14ac:dyDescent="0.3">
      <c r="A2459" s="79" t="s">
        <v>7772</v>
      </c>
      <c r="C2459" s="115">
        <v>43984</v>
      </c>
      <c r="D2459" s="312">
        <v>44007</v>
      </c>
      <c r="E2459" s="81">
        <v>43999</v>
      </c>
      <c r="F2459" s="86" t="s">
        <v>7827</v>
      </c>
      <c r="G2459" s="86" t="s">
        <v>1221</v>
      </c>
      <c r="H2459" s="96" t="s">
        <v>213</v>
      </c>
      <c r="I2459" s="97" t="s">
        <v>3479</v>
      </c>
      <c r="J2459" s="73">
        <f t="shared" si="287"/>
        <v>1</v>
      </c>
      <c r="K2459" s="74" t="s">
        <v>204</v>
      </c>
      <c r="L2459" s="97" t="s">
        <v>7872</v>
      </c>
      <c r="N2459" s="76" t="s">
        <v>18</v>
      </c>
      <c r="Q2459" s="76" t="s">
        <v>2076</v>
      </c>
      <c r="R2459" s="73">
        <f t="shared" si="288"/>
        <v>1</v>
      </c>
      <c r="S2459" s="260" t="s">
        <v>1976</v>
      </c>
      <c r="T2459" s="260" t="s">
        <v>924</v>
      </c>
      <c r="Y2459" s="566">
        <v>0.60745370370370366</v>
      </c>
      <c r="Z2459" s="566">
        <v>0.61226851851851849</v>
      </c>
      <c r="AA2459" s="566">
        <f t="shared" si="286"/>
        <v>4.8148148148148273E-3</v>
      </c>
    </row>
    <row r="2460" spans="1:27" x14ac:dyDescent="0.3">
      <c r="A2460" s="79" t="s">
        <v>7776</v>
      </c>
      <c r="C2460" s="115">
        <v>43984</v>
      </c>
      <c r="D2460" s="312">
        <v>44008</v>
      </c>
      <c r="E2460" s="81">
        <v>44004</v>
      </c>
      <c r="F2460" s="86" t="s">
        <v>7831</v>
      </c>
      <c r="G2460" s="86" t="s">
        <v>410</v>
      </c>
      <c r="H2460" s="96" t="s">
        <v>213</v>
      </c>
      <c r="I2460" s="97" t="s">
        <v>7557</v>
      </c>
      <c r="J2460" s="73">
        <f t="shared" si="287"/>
        <v>1</v>
      </c>
      <c r="K2460" s="74" t="s">
        <v>204</v>
      </c>
      <c r="L2460" s="97" t="s">
        <v>7914</v>
      </c>
      <c r="N2460" s="76" t="s">
        <v>18</v>
      </c>
      <c r="Q2460" s="76" t="s">
        <v>2142</v>
      </c>
      <c r="R2460" s="73">
        <f t="shared" si="288"/>
        <v>1</v>
      </c>
      <c r="S2460" s="260" t="s">
        <v>1976</v>
      </c>
      <c r="T2460" s="260" t="s">
        <v>924</v>
      </c>
      <c r="Y2460" s="566">
        <v>0.52104166666666674</v>
      </c>
      <c r="Z2460" s="566">
        <v>0.53180555555555553</v>
      </c>
      <c r="AA2460" s="566">
        <f t="shared" si="286"/>
        <v>1.0763888888888795E-2</v>
      </c>
    </row>
    <row r="2461" spans="1:27" x14ac:dyDescent="0.3">
      <c r="A2461" s="79" t="s">
        <v>7779</v>
      </c>
      <c r="C2461" s="115">
        <v>43984</v>
      </c>
      <c r="D2461" s="312">
        <v>44007</v>
      </c>
      <c r="E2461" s="81">
        <v>44000</v>
      </c>
      <c r="F2461" s="86" t="s">
        <v>7834</v>
      </c>
      <c r="G2461" s="86" t="s">
        <v>157</v>
      </c>
      <c r="H2461" s="96" t="s">
        <v>213</v>
      </c>
      <c r="I2461" s="97" t="s">
        <v>649</v>
      </c>
      <c r="J2461" s="73">
        <f t="shared" si="287"/>
        <v>1</v>
      </c>
      <c r="K2461" s="74" t="s">
        <v>204</v>
      </c>
      <c r="L2461" s="97" t="s">
        <v>7879</v>
      </c>
      <c r="N2461" s="76" t="s">
        <v>17</v>
      </c>
      <c r="Q2461" s="76" t="s">
        <v>2037</v>
      </c>
      <c r="R2461" s="73">
        <f t="shared" si="288"/>
        <v>1</v>
      </c>
      <c r="S2461" s="260" t="s">
        <v>1976</v>
      </c>
      <c r="T2461" s="260" t="s">
        <v>925</v>
      </c>
      <c r="Y2461" s="566">
        <v>0.70846064814814813</v>
      </c>
      <c r="Z2461" s="566">
        <v>0.71605324074074073</v>
      </c>
      <c r="AA2461" s="566">
        <f t="shared" ref="AA2461:AA2503" si="289">Z2461-Y2461</f>
        <v>7.5925925925925952E-3</v>
      </c>
    </row>
    <row r="2462" spans="1:27" x14ac:dyDescent="0.3">
      <c r="A2462" s="79" t="s">
        <v>7780</v>
      </c>
      <c r="C2462" s="115">
        <v>43984</v>
      </c>
      <c r="D2462" s="312">
        <v>44008</v>
      </c>
      <c r="E2462" s="81">
        <v>44004</v>
      </c>
      <c r="F2462" s="86" t="s">
        <v>7835</v>
      </c>
      <c r="G2462" s="86" t="s">
        <v>158</v>
      </c>
      <c r="H2462" s="96" t="s">
        <v>213</v>
      </c>
      <c r="I2462" s="97" t="s">
        <v>649</v>
      </c>
      <c r="J2462" s="73">
        <f t="shared" si="287"/>
        <v>1</v>
      </c>
      <c r="K2462" s="74" t="s">
        <v>204</v>
      </c>
      <c r="L2462" s="97" t="s">
        <v>7915</v>
      </c>
      <c r="N2462" s="76" t="s">
        <v>17</v>
      </c>
      <c r="Q2462" s="76" t="s">
        <v>2142</v>
      </c>
      <c r="R2462" s="73">
        <f t="shared" si="288"/>
        <v>1</v>
      </c>
      <c r="S2462" s="260" t="s">
        <v>1976</v>
      </c>
      <c r="T2462" s="260" t="s">
        <v>923</v>
      </c>
      <c r="Y2462" s="566">
        <v>0.57388888888888889</v>
      </c>
      <c r="Z2462" s="566">
        <v>0.58771990740740743</v>
      </c>
      <c r="AA2462" s="566">
        <f t="shared" si="289"/>
        <v>1.3831018518518534E-2</v>
      </c>
    </row>
    <row r="2463" spans="1:27" x14ac:dyDescent="0.3">
      <c r="A2463" s="96" t="s">
        <v>7781</v>
      </c>
      <c r="C2463" s="115">
        <v>43984</v>
      </c>
      <c r="D2463" s="312">
        <v>44007</v>
      </c>
      <c r="E2463" s="81">
        <v>43999</v>
      </c>
      <c r="F2463" s="86" t="s">
        <v>7836</v>
      </c>
      <c r="G2463" s="86" t="s">
        <v>152</v>
      </c>
      <c r="H2463" s="96" t="s">
        <v>213</v>
      </c>
      <c r="I2463" s="97" t="s">
        <v>649</v>
      </c>
      <c r="J2463" s="73">
        <f t="shared" si="287"/>
        <v>1</v>
      </c>
      <c r="K2463" s="74" t="s">
        <v>204</v>
      </c>
      <c r="L2463" s="97" t="s">
        <v>7867</v>
      </c>
      <c r="N2463" s="76" t="s">
        <v>17</v>
      </c>
      <c r="Q2463" s="76" t="s">
        <v>2417</v>
      </c>
      <c r="R2463" s="73">
        <f t="shared" si="288"/>
        <v>1</v>
      </c>
      <c r="S2463" s="260" t="s">
        <v>1976</v>
      </c>
      <c r="T2463" s="260" t="s">
        <v>923</v>
      </c>
      <c r="U2463" s="301" t="s">
        <v>5283</v>
      </c>
      <c r="V2463" s="301" t="s">
        <v>7868</v>
      </c>
      <c r="Y2463" s="566">
        <v>0.45902777777777781</v>
      </c>
      <c r="Z2463" s="566">
        <v>0.47140046296296295</v>
      </c>
      <c r="AA2463" s="566">
        <f t="shared" si="289"/>
        <v>1.2372685185185139E-2</v>
      </c>
    </row>
    <row r="2464" spans="1:27" x14ac:dyDescent="0.3">
      <c r="A2464" s="79" t="s">
        <v>7783</v>
      </c>
      <c r="C2464" s="115">
        <v>43985</v>
      </c>
      <c r="D2464" s="312">
        <v>44011</v>
      </c>
      <c r="E2464" s="81">
        <v>44001</v>
      </c>
      <c r="F2464" s="86" t="s">
        <v>7239</v>
      </c>
      <c r="G2464" s="86" t="s">
        <v>152</v>
      </c>
      <c r="H2464" s="79" t="s">
        <v>268</v>
      </c>
      <c r="I2464" s="97" t="s">
        <v>649</v>
      </c>
      <c r="J2464" s="73">
        <f t="shared" si="287"/>
        <v>1</v>
      </c>
      <c r="K2464" s="74" t="s">
        <v>204</v>
      </c>
      <c r="L2464" s="97" t="s">
        <v>7060</v>
      </c>
      <c r="N2464" s="76" t="s">
        <v>18</v>
      </c>
      <c r="Q2464" s="76" t="s">
        <v>2142</v>
      </c>
      <c r="R2464" s="73">
        <f t="shared" si="288"/>
        <v>1</v>
      </c>
      <c r="S2464" s="260" t="s">
        <v>1976</v>
      </c>
      <c r="T2464" s="260" t="s">
        <v>924</v>
      </c>
      <c r="Y2464" s="566">
        <v>0.68760416666666668</v>
      </c>
      <c r="Z2464" s="566">
        <v>0.69648148148148137</v>
      </c>
      <c r="AA2464" s="566">
        <f t="shared" si="289"/>
        <v>8.8773148148146852E-3</v>
      </c>
    </row>
    <row r="2465" spans="1:27" x14ac:dyDescent="0.3">
      <c r="A2465" s="79" t="s">
        <v>7785</v>
      </c>
      <c r="C2465" s="115">
        <v>43985</v>
      </c>
      <c r="D2465" s="115">
        <v>44026</v>
      </c>
      <c r="F2465" s="86" t="s">
        <v>7839</v>
      </c>
      <c r="G2465" s="86" t="s">
        <v>152</v>
      </c>
      <c r="H2465" s="96" t="s">
        <v>213</v>
      </c>
      <c r="J2465" s="73">
        <f t="shared" si="287"/>
        <v>1</v>
      </c>
      <c r="K2465" s="74" t="s">
        <v>204</v>
      </c>
      <c r="Q2465" s="76" t="s">
        <v>2417</v>
      </c>
      <c r="R2465" s="73">
        <f t="shared" si="288"/>
        <v>1</v>
      </c>
      <c r="S2465" s="260" t="s">
        <v>1976</v>
      </c>
      <c r="T2465" s="260"/>
      <c r="AA2465" s="566">
        <f t="shared" si="289"/>
        <v>0</v>
      </c>
    </row>
    <row r="2466" spans="1:27" x14ac:dyDescent="0.3">
      <c r="A2466" s="79" t="s">
        <v>7786</v>
      </c>
      <c r="C2466" s="115">
        <v>43985</v>
      </c>
      <c r="D2466" s="312">
        <v>44008</v>
      </c>
      <c r="E2466" s="81">
        <v>44004</v>
      </c>
      <c r="F2466" s="86" t="s">
        <v>7840</v>
      </c>
      <c r="G2466" s="86" t="s">
        <v>181</v>
      </c>
      <c r="H2466" s="96" t="s">
        <v>213</v>
      </c>
      <c r="I2466" s="97" t="s">
        <v>7916</v>
      </c>
      <c r="J2466" s="73">
        <f t="shared" si="287"/>
        <v>1</v>
      </c>
      <c r="K2466" s="74" t="s">
        <v>204</v>
      </c>
      <c r="L2466" s="97" t="s">
        <v>7917</v>
      </c>
      <c r="N2466" s="76" t="s">
        <v>19</v>
      </c>
      <c r="Q2466" s="76" t="s">
        <v>2109</v>
      </c>
      <c r="R2466" s="73">
        <f t="shared" si="288"/>
        <v>1</v>
      </c>
      <c r="S2466" s="260" t="s">
        <v>1976</v>
      </c>
      <c r="T2466" s="260" t="s">
        <v>924</v>
      </c>
      <c r="Y2466" s="566">
        <v>0.60787037037037039</v>
      </c>
      <c r="Z2466" s="566">
        <v>0.61464120370370368</v>
      </c>
      <c r="AA2466" s="566">
        <f t="shared" si="289"/>
        <v>6.7708333333332815E-3</v>
      </c>
    </row>
    <row r="2467" spans="1:27" x14ac:dyDescent="0.3">
      <c r="A2467" s="96" t="s">
        <v>7787</v>
      </c>
      <c r="C2467" s="115">
        <v>43985</v>
      </c>
      <c r="D2467" s="312">
        <v>44011</v>
      </c>
      <c r="E2467" s="81">
        <v>44001</v>
      </c>
      <c r="F2467" s="86" t="s">
        <v>7841</v>
      </c>
      <c r="G2467" s="86" t="s">
        <v>154</v>
      </c>
      <c r="H2467" s="96" t="s">
        <v>213</v>
      </c>
      <c r="I2467" s="97" t="s">
        <v>649</v>
      </c>
      <c r="J2467" s="73">
        <f t="shared" si="287"/>
        <v>1</v>
      </c>
      <c r="K2467" s="74" t="s">
        <v>204</v>
      </c>
      <c r="L2467" s="97" t="s">
        <v>7060</v>
      </c>
      <c r="N2467" s="76" t="s">
        <v>17</v>
      </c>
      <c r="Q2467" s="76" t="s">
        <v>2037</v>
      </c>
      <c r="R2467" s="73">
        <f t="shared" si="288"/>
        <v>1</v>
      </c>
      <c r="S2467" s="260" t="s">
        <v>1976</v>
      </c>
      <c r="T2467" s="260" t="s">
        <v>923</v>
      </c>
      <c r="Y2467" s="566">
        <v>0.64212962962962961</v>
      </c>
      <c r="Z2467" s="566">
        <v>0.65079861111111115</v>
      </c>
      <c r="AA2467" s="566">
        <f t="shared" si="289"/>
        <v>8.6689814814815414E-3</v>
      </c>
    </row>
    <row r="2468" spans="1:27" x14ac:dyDescent="0.3">
      <c r="A2468" s="79" t="s">
        <v>7788</v>
      </c>
      <c r="C2468" s="115">
        <v>43985</v>
      </c>
      <c r="D2468" s="312">
        <v>44008</v>
      </c>
      <c r="E2468" s="81">
        <v>44001</v>
      </c>
      <c r="F2468" s="86" t="s">
        <v>7842</v>
      </c>
      <c r="G2468" s="86" t="s">
        <v>154</v>
      </c>
      <c r="H2468" s="96" t="s">
        <v>213</v>
      </c>
      <c r="I2468" s="97" t="s">
        <v>1204</v>
      </c>
      <c r="J2468" s="73">
        <f t="shared" si="287"/>
        <v>1</v>
      </c>
      <c r="K2468" s="74" t="s">
        <v>204</v>
      </c>
      <c r="L2468" s="97" t="s">
        <v>7904</v>
      </c>
      <c r="N2468" s="76" t="s">
        <v>17</v>
      </c>
      <c r="Q2468" s="76" t="s">
        <v>2109</v>
      </c>
      <c r="R2468" s="73">
        <f t="shared" si="288"/>
        <v>1</v>
      </c>
      <c r="S2468" s="260" t="s">
        <v>1976</v>
      </c>
      <c r="T2468" s="260" t="s">
        <v>923</v>
      </c>
      <c r="U2468" s="301" t="s">
        <v>5283</v>
      </c>
      <c r="V2468" s="301" t="s">
        <v>7905</v>
      </c>
      <c r="Y2468" s="566">
        <v>0.86923611111111121</v>
      </c>
      <c r="Z2468" s="566">
        <v>0.89081018518518518</v>
      </c>
      <c r="AA2468" s="566">
        <f t="shared" si="289"/>
        <v>2.1574074074073968E-2</v>
      </c>
    </row>
    <row r="2469" spans="1:27" x14ac:dyDescent="0.3">
      <c r="A2469" s="79" t="s">
        <v>7790</v>
      </c>
      <c r="C2469" s="115">
        <v>43985</v>
      </c>
      <c r="D2469" s="312">
        <v>44011</v>
      </c>
      <c r="E2469" s="81">
        <v>44000</v>
      </c>
      <c r="F2469" s="86" t="s">
        <v>7844</v>
      </c>
      <c r="G2469" s="86" t="s">
        <v>156</v>
      </c>
      <c r="H2469" s="96" t="s">
        <v>213</v>
      </c>
      <c r="I2469" s="97" t="s">
        <v>649</v>
      </c>
      <c r="J2469" s="73">
        <f t="shared" si="287"/>
        <v>1</v>
      </c>
      <c r="K2469" s="74" t="s">
        <v>204</v>
      </c>
      <c r="L2469" s="97" t="s">
        <v>7060</v>
      </c>
      <c r="N2469" s="76" t="s">
        <v>18</v>
      </c>
      <c r="Q2469" s="76" t="s">
        <v>2417</v>
      </c>
      <c r="R2469" s="73">
        <f t="shared" si="288"/>
        <v>1</v>
      </c>
      <c r="S2469" s="260" t="s">
        <v>1976</v>
      </c>
      <c r="T2469" s="260" t="s">
        <v>924</v>
      </c>
      <c r="Y2469" s="566">
        <v>0.4646527777777778</v>
      </c>
      <c r="Z2469" s="566">
        <v>0.49071759259259262</v>
      </c>
      <c r="AA2469" s="566">
        <f t="shared" si="289"/>
        <v>2.6064814814814818E-2</v>
      </c>
    </row>
    <row r="2470" spans="1:27" x14ac:dyDescent="0.3">
      <c r="A2470" s="79" t="s">
        <v>7791</v>
      </c>
      <c r="C2470" s="115">
        <v>43985</v>
      </c>
      <c r="D2470" s="312">
        <v>44011</v>
      </c>
      <c r="E2470" s="81">
        <v>44001</v>
      </c>
      <c r="F2470" s="86" t="s">
        <v>7845</v>
      </c>
      <c r="G2470" s="86" t="s">
        <v>410</v>
      </c>
      <c r="H2470" s="96" t="s">
        <v>213</v>
      </c>
      <c r="I2470" s="97" t="s">
        <v>722</v>
      </c>
      <c r="J2470" s="73">
        <f t="shared" si="287"/>
        <v>1</v>
      </c>
      <c r="K2470" s="74" t="s">
        <v>204</v>
      </c>
      <c r="L2470" s="97" t="s">
        <v>7351</v>
      </c>
      <c r="N2470" s="76" t="s">
        <v>18</v>
      </c>
      <c r="Q2470" s="76" t="s">
        <v>2037</v>
      </c>
      <c r="R2470" s="73">
        <f t="shared" si="288"/>
        <v>1</v>
      </c>
      <c r="S2470" s="260" t="s">
        <v>1976</v>
      </c>
      <c r="T2470" s="260" t="s">
        <v>925</v>
      </c>
      <c r="Y2470" s="566">
        <v>0.52443287037037034</v>
      </c>
      <c r="Z2470" s="566">
        <v>0.53341435185185182</v>
      </c>
      <c r="AA2470" s="566">
        <f t="shared" si="289"/>
        <v>8.9814814814814792E-3</v>
      </c>
    </row>
    <row r="2471" spans="1:27" x14ac:dyDescent="0.3">
      <c r="A2471" s="79" t="s">
        <v>7794</v>
      </c>
      <c r="C2471" s="115">
        <v>43986</v>
      </c>
      <c r="D2471" s="312">
        <v>44011</v>
      </c>
      <c r="E2471" s="81">
        <v>44004</v>
      </c>
      <c r="F2471" s="86" t="s">
        <v>7848</v>
      </c>
      <c r="G2471" s="86" t="s">
        <v>181</v>
      </c>
      <c r="H2471" s="96" t="s">
        <v>213</v>
      </c>
      <c r="I2471" s="97" t="s">
        <v>722</v>
      </c>
      <c r="J2471" s="73">
        <f t="shared" si="287"/>
        <v>1</v>
      </c>
      <c r="K2471" s="74" t="s">
        <v>204</v>
      </c>
      <c r="L2471" s="97" t="s">
        <v>7322</v>
      </c>
      <c r="N2471" s="76" t="s">
        <v>18</v>
      </c>
      <c r="Q2471" s="76" t="s">
        <v>2417</v>
      </c>
      <c r="R2471" s="73">
        <f t="shared" si="288"/>
        <v>1</v>
      </c>
      <c r="S2471" s="260" t="s">
        <v>1976</v>
      </c>
      <c r="T2471" s="260" t="s">
        <v>923</v>
      </c>
      <c r="Y2471" s="566">
        <v>0.58891203703703698</v>
      </c>
      <c r="Z2471" s="566">
        <v>0.60070601851851857</v>
      </c>
      <c r="AA2471" s="566">
        <f t="shared" si="289"/>
        <v>1.1793981481481586E-2</v>
      </c>
    </row>
    <row r="2472" spans="1:27" x14ac:dyDescent="0.3">
      <c r="A2472" s="79" t="s">
        <v>7795</v>
      </c>
      <c r="C2472" s="115">
        <v>43985</v>
      </c>
      <c r="D2472" s="312">
        <v>44011</v>
      </c>
      <c r="E2472" s="81">
        <v>44004</v>
      </c>
      <c r="F2472" s="86" t="s">
        <v>7849</v>
      </c>
      <c r="G2472" s="86" t="s">
        <v>150</v>
      </c>
      <c r="H2472" s="96" t="s">
        <v>213</v>
      </c>
      <c r="I2472" s="97" t="s">
        <v>649</v>
      </c>
      <c r="J2472" s="73">
        <f t="shared" si="287"/>
        <v>1</v>
      </c>
      <c r="K2472" s="74" t="s">
        <v>204</v>
      </c>
      <c r="L2472" s="97" t="s">
        <v>7060</v>
      </c>
      <c r="N2472" s="76" t="s">
        <v>17</v>
      </c>
      <c r="Q2472" s="76" t="s">
        <v>2109</v>
      </c>
      <c r="R2472" s="73">
        <f t="shared" si="288"/>
        <v>1</v>
      </c>
      <c r="S2472" s="260" t="s">
        <v>1976</v>
      </c>
      <c r="T2472" s="260" t="s">
        <v>925</v>
      </c>
      <c r="U2472" s="301" t="s">
        <v>5283</v>
      </c>
      <c r="V2472" s="301" t="s">
        <v>7910</v>
      </c>
      <c r="Y2472" s="566">
        <v>0.43857638888888889</v>
      </c>
      <c r="Z2472" s="566">
        <v>0.45202546296296298</v>
      </c>
      <c r="AA2472" s="566">
        <f t="shared" si="289"/>
        <v>1.3449074074074086E-2</v>
      </c>
    </row>
    <row r="2473" spans="1:27" x14ac:dyDescent="0.3">
      <c r="A2473" s="79" t="s">
        <v>7796</v>
      </c>
      <c r="C2473" s="115">
        <v>43985</v>
      </c>
      <c r="D2473" s="312">
        <v>44011</v>
      </c>
      <c r="E2473" s="81">
        <v>44004</v>
      </c>
      <c r="F2473" s="86" t="s">
        <v>7850</v>
      </c>
      <c r="G2473" s="86" t="s">
        <v>154</v>
      </c>
      <c r="H2473" s="96" t="s">
        <v>213</v>
      </c>
      <c r="I2473" s="97" t="s">
        <v>972</v>
      </c>
      <c r="J2473" s="73">
        <f t="shared" si="287"/>
        <v>1</v>
      </c>
      <c r="K2473" s="74" t="s">
        <v>204</v>
      </c>
      <c r="L2473" s="97" t="s">
        <v>7908</v>
      </c>
      <c r="N2473" s="76" t="s">
        <v>17</v>
      </c>
      <c r="Q2473" s="76" t="s">
        <v>2109</v>
      </c>
      <c r="R2473" s="73">
        <f t="shared" si="288"/>
        <v>1</v>
      </c>
      <c r="S2473" s="260" t="s">
        <v>1976</v>
      </c>
      <c r="T2473" s="260" t="s">
        <v>923</v>
      </c>
      <c r="U2473" s="301" t="s">
        <v>5283</v>
      </c>
      <c r="V2473" s="301" t="s">
        <v>7909</v>
      </c>
      <c r="Y2473" s="566">
        <v>0.40576388888888887</v>
      </c>
      <c r="Z2473" s="566">
        <v>0.43822916666666667</v>
      </c>
      <c r="AA2473" s="566">
        <f t="shared" si="289"/>
        <v>3.2465277777777801E-2</v>
      </c>
    </row>
    <row r="2474" spans="1:27" x14ac:dyDescent="0.3">
      <c r="A2474" s="79" t="s">
        <v>7800</v>
      </c>
      <c r="C2474" s="115">
        <v>43986</v>
      </c>
      <c r="D2474" s="312">
        <v>44011</v>
      </c>
      <c r="E2474" s="81">
        <v>44001</v>
      </c>
      <c r="F2474" s="86" t="s">
        <v>7854</v>
      </c>
      <c r="G2474" s="86" t="s">
        <v>152</v>
      </c>
      <c r="H2474" s="96" t="s">
        <v>213</v>
      </c>
      <c r="I2474" s="97" t="s">
        <v>622</v>
      </c>
      <c r="J2474" s="73">
        <f t="shared" ref="J2474" si="290">IF(OR(K2474="Документы готовы",K2474="Запрос в ФО",K2474="ЭЗ",K2474="РЕШ",K2474="РЕШ шаблон"),0.1,IF(OR(K2474="ЭЗ согласование",K2474="РЕШ согласование"),0.3,IF(OR(K2474="ЭЗ согласовано",K2474="РЕШ согласовано",K2474="РЕШ подписано"),0.6,IF(OR(K2474="ЭЗ ПР согласование",K2474="РЕШ УВ согласование"),0.9,IF(OR(K2474="ЭЗ ПР DONE",K2474="РЕШ УВ DONE"),1,0)))))</f>
        <v>1</v>
      </c>
      <c r="K2474" s="74" t="s">
        <v>204</v>
      </c>
      <c r="L2474" s="97" t="s">
        <v>7903</v>
      </c>
      <c r="N2474" s="76" t="s">
        <v>19</v>
      </c>
      <c r="Q2474" s="76" t="s">
        <v>2076</v>
      </c>
      <c r="R2474" s="73">
        <f t="shared" ref="R2474" si="291">IF(S2474="В работе",0.3,IF(S2474="Отписано",0.6,IF(S2474="На доработку",0.9,IF(S2474="Согласовано",1,0))))</f>
        <v>1</v>
      </c>
      <c r="S2474" s="260" t="s">
        <v>1976</v>
      </c>
      <c r="T2474" s="260" t="s">
        <v>925</v>
      </c>
      <c r="Y2474" s="566">
        <v>0.67131944444444447</v>
      </c>
      <c r="Z2474" s="566">
        <v>0.68704861111111104</v>
      </c>
      <c r="AA2474" s="566">
        <f t="shared" si="289"/>
        <v>1.5729166666666572E-2</v>
      </c>
    </row>
    <row r="2475" spans="1:27" x14ac:dyDescent="0.3">
      <c r="A2475" s="79" t="s">
        <v>6598</v>
      </c>
      <c r="C2475" s="115">
        <v>43949</v>
      </c>
      <c r="D2475" s="312">
        <v>44014</v>
      </c>
      <c r="E2475" s="81">
        <v>44006</v>
      </c>
      <c r="F2475" s="86" t="s">
        <v>6661</v>
      </c>
      <c r="G2475" s="86" t="s">
        <v>1384</v>
      </c>
      <c r="H2475" s="96" t="s">
        <v>213</v>
      </c>
      <c r="I2475" s="97" t="s">
        <v>714</v>
      </c>
      <c r="J2475" s="73">
        <f t="shared" ref="J2475:J2512" si="292">IF(OR(K2475="Документы готовы",K2475="Запрос в ФО",K2475="ЭЗ",K2475="РЕШ",K2475="РЕШ шаблон"),0.1,IF(OR(K2475="ЭЗ согласование",K2475="РЕШ согласование"),0.3,IF(OR(K2475="ЭЗ согласовано",K2475="РЕШ согласовано",K2475="РЕШ подписано"),0.6,IF(OR(K2475="ЭЗ ПР согласование",K2475="РЕШ УВ согласование"),0.9,IF(OR(K2475="ЭЗ ПР DONE",K2475="РЕШ УВ DONE"),1,0)))))</f>
        <v>1</v>
      </c>
      <c r="K2475" s="74" t="s">
        <v>204</v>
      </c>
      <c r="L2475" s="97" t="s">
        <v>7349</v>
      </c>
      <c r="N2475" s="76" t="s">
        <v>17</v>
      </c>
      <c r="Q2475" s="76" t="s">
        <v>2076</v>
      </c>
      <c r="R2475" s="73">
        <f t="shared" ref="R2475:R2512" si="293">IF(S2475="В работе",0.3,IF(S2475="Отписано",0.6,IF(S2475="На доработку",0.9,IF(S2475="Согласовано",1,0))))</f>
        <v>1</v>
      </c>
      <c r="S2475" s="260" t="s">
        <v>1976</v>
      </c>
      <c r="T2475" s="260" t="s">
        <v>924</v>
      </c>
      <c r="Y2475" s="566">
        <v>0.92569444444444438</v>
      </c>
      <c r="Z2475" s="566">
        <v>0.93273148148148144</v>
      </c>
      <c r="AA2475" s="566">
        <f t="shared" si="289"/>
        <v>7.0370370370370638E-3</v>
      </c>
    </row>
    <row r="2476" spans="1:27" x14ac:dyDescent="0.3">
      <c r="A2476" s="79" t="s">
        <v>6603</v>
      </c>
      <c r="C2476" s="115">
        <v>43949</v>
      </c>
      <c r="D2476" s="312">
        <v>44014</v>
      </c>
      <c r="E2476" s="81">
        <v>44006</v>
      </c>
      <c r="F2476" s="86" t="s">
        <v>6666</v>
      </c>
      <c r="G2476" s="86" t="s">
        <v>4686</v>
      </c>
      <c r="H2476" s="96" t="s">
        <v>213</v>
      </c>
      <c r="I2476" s="97" t="s">
        <v>642</v>
      </c>
      <c r="J2476" s="73">
        <f t="shared" si="292"/>
        <v>1</v>
      </c>
      <c r="K2476" s="74" t="s">
        <v>204</v>
      </c>
      <c r="L2476" s="97" t="s">
        <v>8076</v>
      </c>
      <c r="N2476" s="76" t="s">
        <v>17</v>
      </c>
      <c r="Q2476" s="76" t="s">
        <v>2076</v>
      </c>
      <c r="R2476" s="73">
        <f t="shared" si="293"/>
        <v>1</v>
      </c>
      <c r="S2476" s="260" t="s">
        <v>1976</v>
      </c>
      <c r="T2476" s="260" t="s">
        <v>923</v>
      </c>
      <c r="Y2476" s="566">
        <v>0.93296296296296299</v>
      </c>
      <c r="Z2476" s="566">
        <v>0.9403125</v>
      </c>
      <c r="AA2476" s="566">
        <f t="shared" si="289"/>
        <v>7.3495370370370017E-3</v>
      </c>
    </row>
    <row r="2477" spans="1:27" x14ac:dyDescent="0.3">
      <c r="A2477" s="79" t="s">
        <v>6865</v>
      </c>
      <c r="C2477" s="115">
        <v>43956</v>
      </c>
      <c r="D2477" s="312">
        <v>44014</v>
      </c>
      <c r="E2477" s="81">
        <v>44007</v>
      </c>
      <c r="F2477" s="86" t="s">
        <v>6985</v>
      </c>
      <c r="G2477" s="86" t="s">
        <v>158</v>
      </c>
      <c r="H2477" s="79" t="s">
        <v>268</v>
      </c>
      <c r="I2477" s="97" t="s">
        <v>642</v>
      </c>
      <c r="J2477" s="73">
        <f t="shared" si="292"/>
        <v>1</v>
      </c>
      <c r="K2477" s="74" t="s">
        <v>204</v>
      </c>
      <c r="L2477" s="97" t="s">
        <v>8085</v>
      </c>
      <c r="N2477" s="76" t="s">
        <v>18</v>
      </c>
      <c r="Q2477" s="76" t="s">
        <v>2417</v>
      </c>
      <c r="R2477" s="73">
        <f t="shared" si="293"/>
        <v>1</v>
      </c>
      <c r="S2477" s="260" t="s">
        <v>1976</v>
      </c>
      <c r="T2477" s="260" t="s">
        <v>923</v>
      </c>
      <c r="Y2477" s="566">
        <v>0.44035879629629626</v>
      </c>
      <c r="Z2477" s="566">
        <v>0.44493055555555555</v>
      </c>
      <c r="AA2477" s="566">
        <f t="shared" si="289"/>
        <v>4.5717592592592893E-3</v>
      </c>
    </row>
    <row r="2478" spans="1:27" x14ac:dyDescent="0.3">
      <c r="A2478" s="79" t="s">
        <v>7918</v>
      </c>
      <c r="C2478" s="115">
        <v>43970</v>
      </c>
      <c r="D2478" s="312">
        <v>44018</v>
      </c>
      <c r="E2478" s="81">
        <v>44008</v>
      </c>
      <c r="F2478" s="86" t="s">
        <v>7676</v>
      </c>
      <c r="G2478" s="86" t="s">
        <v>150</v>
      </c>
      <c r="H2478" s="96" t="s">
        <v>213</v>
      </c>
      <c r="I2478" s="97" t="s">
        <v>1113</v>
      </c>
      <c r="J2478" s="73">
        <f t="shared" si="292"/>
        <v>1</v>
      </c>
      <c r="K2478" s="74" t="s">
        <v>204</v>
      </c>
      <c r="L2478" s="97" t="s">
        <v>8107</v>
      </c>
      <c r="N2478" s="76" t="s">
        <v>18</v>
      </c>
      <c r="Q2478" s="76" t="s">
        <v>2076</v>
      </c>
      <c r="R2478" s="73">
        <f t="shared" si="293"/>
        <v>1</v>
      </c>
      <c r="S2478" s="260" t="s">
        <v>1976</v>
      </c>
      <c r="T2478" s="260" t="s">
        <v>923</v>
      </c>
      <c r="U2478" s="301" t="s">
        <v>5283</v>
      </c>
      <c r="V2478" s="301" t="s">
        <v>8101</v>
      </c>
      <c r="AA2478" s="566">
        <f t="shared" si="289"/>
        <v>0</v>
      </c>
    </row>
    <row r="2479" spans="1:27" x14ac:dyDescent="0.3">
      <c r="A2479" s="79" t="s">
        <v>7396</v>
      </c>
      <c r="C2479" s="115">
        <v>43972</v>
      </c>
      <c r="D2479" s="312">
        <v>44012</v>
      </c>
      <c r="E2479" s="81">
        <v>44004</v>
      </c>
      <c r="F2479" s="86" t="s">
        <v>7464</v>
      </c>
      <c r="G2479" s="86" t="s">
        <v>154</v>
      </c>
      <c r="H2479" s="96" t="s">
        <v>213</v>
      </c>
      <c r="I2479" s="97" t="s">
        <v>642</v>
      </c>
      <c r="J2479" s="73">
        <f t="shared" si="292"/>
        <v>1</v>
      </c>
      <c r="K2479" s="74" t="s">
        <v>204</v>
      </c>
      <c r="L2479" s="97" t="s">
        <v>8032</v>
      </c>
      <c r="N2479" s="76" t="s">
        <v>18</v>
      </c>
      <c r="Q2479" s="76" t="s">
        <v>2142</v>
      </c>
      <c r="R2479" s="73">
        <f t="shared" si="293"/>
        <v>1</v>
      </c>
      <c r="S2479" s="260" t="s">
        <v>1976</v>
      </c>
      <c r="T2479" s="260" t="s">
        <v>925</v>
      </c>
      <c r="Y2479" s="566">
        <v>0.67126157407407405</v>
      </c>
      <c r="Z2479" s="566">
        <v>0.68313657407407413</v>
      </c>
      <c r="AA2479" s="566">
        <f t="shared" si="289"/>
        <v>1.187500000000008E-2</v>
      </c>
    </row>
    <row r="2480" spans="1:27" x14ac:dyDescent="0.3">
      <c r="A2480" s="79" t="s">
        <v>7919</v>
      </c>
      <c r="C2480" s="115">
        <v>43972</v>
      </c>
      <c r="D2480" s="312">
        <v>44012</v>
      </c>
      <c r="E2480" s="81">
        <v>44004</v>
      </c>
      <c r="F2480" s="86" t="s">
        <v>7975</v>
      </c>
      <c r="G2480" s="86" t="s">
        <v>158</v>
      </c>
      <c r="H2480" s="96" t="s">
        <v>213</v>
      </c>
      <c r="I2480" s="97" t="s">
        <v>714</v>
      </c>
      <c r="J2480" s="73">
        <f t="shared" si="292"/>
        <v>1</v>
      </c>
      <c r="K2480" s="74" t="s">
        <v>204</v>
      </c>
      <c r="L2480" s="97" t="s">
        <v>8031</v>
      </c>
      <c r="N2480" s="76" t="s">
        <v>17</v>
      </c>
      <c r="Q2480" s="76" t="s">
        <v>2417</v>
      </c>
      <c r="R2480" s="73">
        <f t="shared" si="293"/>
        <v>1</v>
      </c>
      <c r="S2480" s="260" t="s">
        <v>1976</v>
      </c>
      <c r="T2480" s="260" t="s">
        <v>924</v>
      </c>
      <c r="Y2480" s="566">
        <v>0.66289351851851852</v>
      </c>
      <c r="Z2480" s="566">
        <v>0.67097222222222219</v>
      </c>
      <c r="AA2480" s="566">
        <f t="shared" si="289"/>
        <v>8.0787037037036713E-3</v>
      </c>
    </row>
    <row r="2481" spans="1:27" x14ac:dyDescent="0.3">
      <c r="A2481" s="79" t="s">
        <v>7920</v>
      </c>
      <c r="C2481" s="115">
        <v>43972</v>
      </c>
      <c r="D2481" s="312">
        <v>44012</v>
      </c>
      <c r="E2481" s="81">
        <v>44004</v>
      </c>
      <c r="F2481" s="86" t="s">
        <v>7976</v>
      </c>
      <c r="G2481" s="86" t="s">
        <v>158</v>
      </c>
      <c r="H2481" s="96" t="s">
        <v>213</v>
      </c>
      <c r="I2481" s="97" t="s">
        <v>714</v>
      </c>
      <c r="J2481" s="73">
        <f t="shared" si="292"/>
        <v>1</v>
      </c>
      <c r="K2481" s="74" t="s">
        <v>204</v>
      </c>
      <c r="L2481" s="97" t="s">
        <v>7528</v>
      </c>
      <c r="N2481" s="76" t="s">
        <v>17</v>
      </c>
      <c r="Q2481" s="76" t="s">
        <v>2142</v>
      </c>
      <c r="R2481" s="73">
        <f t="shared" si="293"/>
        <v>1</v>
      </c>
      <c r="S2481" s="260" t="s">
        <v>1976</v>
      </c>
      <c r="T2481" s="260" t="s">
        <v>923</v>
      </c>
      <c r="Y2481" s="566">
        <v>0.68353009259259256</v>
      </c>
      <c r="Z2481" s="566">
        <v>0.69027777777777777</v>
      </c>
      <c r="AA2481" s="566">
        <f t="shared" si="289"/>
        <v>6.7476851851852038E-3</v>
      </c>
    </row>
    <row r="2482" spans="1:27" x14ac:dyDescent="0.3">
      <c r="A2482" s="96" t="s">
        <v>7207</v>
      </c>
      <c r="C2482" s="115">
        <v>43972</v>
      </c>
      <c r="D2482" s="312">
        <v>44011</v>
      </c>
      <c r="E2482" s="81">
        <v>44011</v>
      </c>
      <c r="F2482" s="86" t="s">
        <v>7296</v>
      </c>
      <c r="G2482" s="86" t="s">
        <v>6493</v>
      </c>
      <c r="H2482" s="96" t="s">
        <v>213</v>
      </c>
      <c r="I2482" s="97" t="s">
        <v>657</v>
      </c>
      <c r="J2482" s="73">
        <f t="shared" si="292"/>
        <v>1</v>
      </c>
      <c r="K2482" s="74" t="s">
        <v>204</v>
      </c>
      <c r="L2482" s="97" t="s">
        <v>8277</v>
      </c>
      <c r="N2482" s="76" t="s">
        <v>17</v>
      </c>
      <c r="Q2482" s="76" t="s">
        <v>2142</v>
      </c>
      <c r="R2482" s="73">
        <f t="shared" si="293"/>
        <v>1</v>
      </c>
      <c r="S2482" s="260" t="s">
        <v>1976</v>
      </c>
      <c r="T2482" s="260" t="s">
        <v>924</v>
      </c>
      <c r="Y2482" s="566">
        <v>0.53031249999999996</v>
      </c>
      <c r="Z2482" s="566">
        <v>0.55064814814814811</v>
      </c>
      <c r="AA2482" s="566">
        <f t="shared" si="289"/>
        <v>2.0335648148148144E-2</v>
      </c>
    </row>
    <row r="2483" spans="1:27" x14ac:dyDescent="0.3">
      <c r="A2483" s="79" t="s">
        <v>7921</v>
      </c>
      <c r="C2483" s="115">
        <v>43972</v>
      </c>
      <c r="D2483" s="312">
        <v>44012</v>
      </c>
      <c r="E2483" s="81">
        <v>44005</v>
      </c>
      <c r="F2483" s="86" t="s">
        <v>7977</v>
      </c>
      <c r="G2483" s="86" t="s">
        <v>150</v>
      </c>
      <c r="H2483" s="96" t="s">
        <v>213</v>
      </c>
      <c r="I2483" s="97" t="s">
        <v>714</v>
      </c>
      <c r="J2483" s="73">
        <f t="shared" si="292"/>
        <v>1</v>
      </c>
      <c r="K2483" s="74" t="s">
        <v>204</v>
      </c>
      <c r="L2483" s="97" t="s">
        <v>8033</v>
      </c>
      <c r="N2483" s="76" t="s">
        <v>17</v>
      </c>
      <c r="Q2483" s="76" t="s">
        <v>2109</v>
      </c>
      <c r="R2483" s="73">
        <f t="shared" si="293"/>
        <v>1</v>
      </c>
      <c r="S2483" s="260" t="s">
        <v>1976</v>
      </c>
      <c r="T2483" s="260" t="s">
        <v>923</v>
      </c>
      <c r="U2483" s="301" t="s">
        <v>5283</v>
      </c>
      <c r="V2483" s="301" t="s">
        <v>8034</v>
      </c>
      <c r="Y2483" s="566">
        <v>0.47288194444444448</v>
      </c>
      <c r="Z2483" s="566">
        <v>0.47987268518518517</v>
      </c>
      <c r="AA2483" s="566">
        <f t="shared" si="289"/>
        <v>6.9907407407406863E-3</v>
      </c>
    </row>
    <row r="2484" spans="1:27" x14ac:dyDescent="0.3">
      <c r="A2484" s="79" t="s">
        <v>7400</v>
      </c>
      <c r="C2484" s="115">
        <v>43972</v>
      </c>
      <c r="D2484" s="312">
        <v>44012</v>
      </c>
      <c r="E2484" s="81">
        <v>44005</v>
      </c>
      <c r="F2484" s="86" t="s">
        <v>7468</v>
      </c>
      <c r="G2484" s="86" t="s">
        <v>166</v>
      </c>
      <c r="H2484" s="96" t="s">
        <v>213</v>
      </c>
      <c r="I2484" s="97" t="s">
        <v>642</v>
      </c>
      <c r="J2484" s="73">
        <f t="shared" si="292"/>
        <v>1</v>
      </c>
      <c r="K2484" s="74" t="s">
        <v>204</v>
      </c>
      <c r="L2484" s="97" t="s">
        <v>8035</v>
      </c>
      <c r="N2484" s="76" t="s">
        <v>18</v>
      </c>
      <c r="Q2484" s="76" t="s">
        <v>2109</v>
      </c>
      <c r="R2484" s="73">
        <f t="shared" si="293"/>
        <v>1</v>
      </c>
      <c r="S2484" s="260" t="s">
        <v>1976</v>
      </c>
      <c r="T2484" s="260" t="s">
        <v>925</v>
      </c>
      <c r="U2484" s="301" t="s">
        <v>5283</v>
      </c>
      <c r="V2484" s="301" t="s">
        <v>8036</v>
      </c>
      <c r="Y2484" s="566">
        <v>0.50413194444444442</v>
      </c>
      <c r="Z2484" s="566">
        <v>0.52635416666666668</v>
      </c>
      <c r="AA2484" s="566">
        <f t="shared" si="289"/>
        <v>2.2222222222222254E-2</v>
      </c>
    </row>
    <row r="2485" spans="1:27" x14ac:dyDescent="0.3">
      <c r="A2485" s="79" t="s">
        <v>7551</v>
      </c>
      <c r="C2485" s="115">
        <v>43973</v>
      </c>
      <c r="D2485" s="312">
        <v>44014</v>
      </c>
      <c r="E2485" s="81">
        <v>44004</v>
      </c>
      <c r="F2485" s="86" t="s">
        <v>7555</v>
      </c>
      <c r="G2485" s="86" t="s">
        <v>154</v>
      </c>
      <c r="H2485" s="96" t="s">
        <v>213</v>
      </c>
      <c r="I2485" s="97" t="s">
        <v>645</v>
      </c>
      <c r="J2485" s="73">
        <f t="shared" si="292"/>
        <v>1</v>
      </c>
      <c r="K2485" s="74" t="s">
        <v>204</v>
      </c>
      <c r="L2485" s="97" t="s">
        <v>7117</v>
      </c>
      <c r="N2485" s="76" t="s">
        <v>18</v>
      </c>
      <c r="Q2485" s="76" t="s">
        <v>2417</v>
      </c>
      <c r="R2485" s="73">
        <f t="shared" si="293"/>
        <v>1</v>
      </c>
      <c r="S2485" s="260" t="s">
        <v>1976</v>
      </c>
      <c r="T2485" s="260" t="s">
        <v>923</v>
      </c>
      <c r="Y2485" s="566">
        <v>0.69094907407407413</v>
      </c>
      <c r="Z2485" s="566">
        <v>0.69828703703703709</v>
      </c>
      <c r="AA2485" s="566">
        <f t="shared" si="289"/>
        <v>7.3379629629629628E-3</v>
      </c>
    </row>
    <row r="2486" spans="1:27" x14ac:dyDescent="0.3">
      <c r="A2486" s="79" t="s">
        <v>7404</v>
      </c>
      <c r="C2486" s="115">
        <v>43973</v>
      </c>
      <c r="D2486" s="312">
        <v>44012</v>
      </c>
      <c r="E2486" s="81">
        <v>44005</v>
      </c>
      <c r="F2486" s="86" t="s">
        <v>7472</v>
      </c>
      <c r="G2486" s="86" t="s">
        <v>164</v>
      </c>
      <c r="H2486" s="96" t="s">
        <v>213</v>
      </c>
      <c r="I2486" s="97" t="s">
        <v>642</v>
      </c>
      <c r="J2486" s="73">
        <f t="shared" si="292"/>
        <v>1</v>
      </c>
      <c r="K2486" s="74" t="s">
        <v>204</v>
      </c>
      <c r="L2486" s="97" t="s">
        <v>7110</v>
      </c>
      <c r="N2486" s="76" t="s">
        <v>17</v>
      </c>
      <c r="Q2486" s="76" t="s">
        <v>2076</v>
      </c>
      <c r="R2486" s="73">
        <f t="shared" si="293"/>
        <v>1</v>
      </c>
      <c r="S2486" s="260" t="s">
        <v>1976</v>
      </c>
      <c r="T2486" s="260" t="s">
        <v>923</v>
      </c>
      <c r="Y2486" s="566">
        <v>0.52666666666666673</v>
      </c>
      <c r="Z2486" s="566">
        <v>0.53180555555555553</v>
      </c>
      <c r="AA2486" s="566">
        <f t="shared" si="289"/>
        <v>5.138888888888804E-3</v>
      </c>
    </row>
    <row r="2487" spans="1:27" x14ac:dyDescent="0.3">
      <c r="A2487" s="79" t="s">
        <v>7407</v>
      </c>
      <c r="C2487" s="115">
        <v>43973</v>
      </c>
      <c r="D2487" s="312">
        <v>44014</v>
      </c>
      <c r="E2487" s="81">
        <v>44006</v>
      </c>
      <c r="F2487" s="86" t="s">
        <v>7475</v>
      </c>
      <c r="G2487" s="86" t="s">
        <v>158</v>
      </c>
      <c r="H2487" s="96" t="s">
        <v>213</v>
      </c>
      <c r="I2487" s="97" t="s">
        <v>642</v>
      </c>
      <c r="J2487" s="73">
        <f t="shared" si="292"/>
        <v>1</v>
      </c>
      <c r="K2487" s="74" t="s">
        <v>204</v>
      </c>
      <c r="L2487" s="97" t="s">
        <v>8078</v>
      </c>
      <c r="N2487" s="76" t="s">
        <v>17</v>
      </c>
      <c r="Q2487" s="76" t="s">
        <v>2076</v>
      </c>
      <c r="R2487" s="73">
        <f t="shared" si="293"/>
        <v>1</v>
      </c>
      <c r="S2487" s="260" t="s">
        <v>1976</v>
      </c>
      <c r="T2487" s="260" t="s">
        <v>924</v>
      </c>
      <c r="Y2487" s="566">
        <v>0.95237268518518514</v>
      </c>
      <c r="Z2487" s="566">
        <v>0.96121527777777782</v>
      </c>
      <c r="AA2487" s="566">
        <f t="shared" si="289"/>
        <v>8.8425925925926796E-3</v>
      </c>
    </row>
    <row r="2488" spans="1:27" x14ac:dyDescent="0.3">
      <c r="A2488" s="79" t="s">
        <v>7408</v>
      </c>
      <c r="C2488" s="115">
        <v>43976</v>
      </c>
      <c r="D2488" s="312">
        <v>44014</v>
      </c>
      <c r="E2488" s="81">
        <v>44005</v>
      </c>
      <c r="F2488" s="86" t="s">
        <v>7476</v>
      </c>
      <c r="G2488" s="86" t="s">
        <v>166</v>
      </c>
      <c r="H2488" s="96" t="s">
        <v>213</v>
      </c>
      <c r="I2488" s="97" t="s">
        <v>714</v>
      </c>
      <c r="J2488" s="73">
        <f t="shared" si="292"/>
        <v>1</v>
      </c>
      <c r="K2488" s="74" t="s">
        <v>204</v>
      </c>
      <c r="L2488" s="97" t="s">
        <v>7071</v>
      </c>
      <c r="N2488" s="76" t="s">
        <v>17</v>
      </c>
      <c r="Q2488" s="76" t="s">
        <v>2142</v>
      </c>
      <c r="R2488" s="73">
        <f t="shared" si="293"/>
        <v>1</v>
      </c>
      <c r="S2488" s="260" t="s">
        <v>1976</v>
      </c>
      <c r="T2488" s="260" t="s">
        <v>923</v>
      </c>
      <c r="Y2488" s="566">
        <v>0.65709490740740739</v>
      </c>
      <c r="Z2488" s="566">
        <v>0.67847222222222225</v>
      </c>
      <c r="AA2488" s="566">
        <f t="shared" si="289"/>
        <v>2.1377314814814863E-2</v>
      </c>
    </row>
    <row r="2489" spans="1:27" x14ac:dyDescent="0.3">
      <c r="A2489" s="79" t="s">
        <v>7410</v>
      </c>
      <c r="C2489" s="115">
        <v>43976</v>
      </c>
      <c r="D2489" s="312">
        <v>44015</v>
      </c>
      <c r="E2489" s="81">
        <v>44007</v>
      </c>
      <c r="F2489" s="86" t="s">
        <v>7478</v>
      </c>
      <c r="G2489" s="86" t="s">
        <v>186</v>
      </c>
      <c r="H2489" s="96" t="s">
        <v>213</v>
      </c>
      <c r="I2489" s="97" t="s">
        <v>642</v>
      </c>
      <c r="J2489" s="73">
        <f t="shared" si="292"/>
        <v>1</v>
      </c>
      <c r="K2489" s="74" t="s">
        <v>204</v>
      </c>
      <c r="L2489" s="97" t="s">
        <v>7110</v>
      </c>
      <c r="N2489" s="76" t="s">
        <v>18</v>
      </c>
      <c r="Q2489" s="76" t="s">
        <v>2109</v>
      </c>
      <c r="R2489" s="73">
        <f t="shared" si="293"/>
        <v>1</v>
      </c>
      <c r="S2489" s="260" t="s">
        <v>1976</v>
      </c>
      <c r="T2489" s="260" t="s">
        <v>925</v>
      </c>
      <c r="Y2489" s="566">
        <v>0.51601851851851854</v>
      </c>
      <c r="Z2489" s="566">
        <v>0.51871527777777782</v>
      </c>
      <c r="AA2489" s="566">
        <f t="shared" si="289"/>
        <v>2.6967592592592737E-3</v>
      </c>
    </row>
    <row r="2490" spans="1:27" x14ac:dyDescent="0.3">
      <c r="A2490" s="79" t="s">
        <v>7411</v>
      </c>
      <c r="C2490" s="115">
        <v>43976</v>
      </c>
      <c r="D2490" s="312">
        <v>44014</v>
      </c>
      <c r="E2490" s="81">
        <v>44008</v>
      </c>
      <c r="F2490" s="86" t="s">
        <v>7479</v>
      </c>
      <c r="G2490" s="86" t="s">
        <v>150</v>
      </c>
      <c r="H2490" s="96" t="s">
        <v>213</v>
      </c>
      <c r="I2490" s="97" t="s">
        <v>642</v>
      </c>
      <c r="J2490" s="73">
        <f t="shared" si="292"/>
        <v>1</v>
      </c>
      <c r="K2490" s="74" t="s">
        <v>204</v>
      </c>
      <c r="L2490" s="97" t="s">
        <v>8096</v>
      </c>
      <c r="N2490" s="76" t="s">
        <v>18</v>
      </c>
      <c r="Q2490" s="76" t="s">
        <v>2142</v>
      </c>
      <c r="R2490" s="73">
        <f t="shared" si="293"/>
        <v>1</v>
      </c>
      <c r="S2490" s="260" t="s">
        <v>1976</v>
      </c>
      <c r="T2490" s="260" t="s">
        <v>925</v>
      </c>
      <c r="Y2490" s="566">
        <v>0.5351041666666666</v>
      </c>
      <c r="Z2490" s="566">
        <v>0.54021990740740744</v>
      </c>
      <c r="AA2490" s="566">
        <f t="shared" si="289"/>
        <v>5.1157407407408373E-3</v>
      </c>
    </row>
    <row r="2491" spans="1:27" x14ac:dyDescent="0.3">
      <c r="A2491" s="96" t="s">
        <v>7412</v>
      </c>
      <c r="C2491" s="115">
        <v>43976</v>
      </c>
      <c r="D2491" s="312">
        <v>44014</v>
      </c>
      <c r="E2491" s="81">
        <v>44007</v>
      </c>
      <c r="F2491" s="86" t="s">
        <v>7480</v>
      </c>
      <c r="G2491" s="86" t="s">
        <v>189</v>
      </c>
      <c r="H2491" s="96" t="s">
        <v>213</v>
      </c>
      <c r="I2491" s="97" t="s">
        <v>642</v>
      </c>
      <c r="J2491" s="73">
        <f t="shared" si="292"/>
        <v>1</v>
      </c>
      <c r="K2491" s="74" t="s">
        <v>204</v>
      </c>
      <c r="L2491" s="97" t="s">
        <v>8081</v>
      </c>
      <c r="N2491" s="76" t="s">
        <v>18</v>
      </c>
      <c r="Q2491" s="76" t="s">
        <v>2109</v>
      </c>
      <c r="R2491" s="73">
        <f t="shared" si="293"/>
        <v>1</v>
      </c>
      <c r="S2491" s="260" t="s">
        <v>1976</v>
      </c>
      <c r="T2491" s="260" t="s">
        <v>923</v>
      </c>
      <c r="U2491" s="301" t="s">
        <v>5283</v>
      </c>
      <c r="V2491" s="301" t="s">
        <v>8082</v>
      </c>
      <c r="Y2491" s="566">
        <v>0.4069444444444445</v>
      </c>
      <c r="Z2491" s="566">
        <v>0.41278935185185189</v>
      </c>
      <c r="AA2491" s="566">
        <f t="shared" si="289"/>
        <v>5.8449074074073959E-3</v>
      </c>
    </row>
    <row r="2492" spans="1:27" x14ac:dyDescent="0.3">
      <c r="A2492" s="79" t="s">
        <v>7413</v>
      </c>
      <c r="C2492" s="115">
        <v>43976</v>
      </c>
      <c r="D2492" s="312">
        <v>44014</v>
      </c>
      <c r="E2492" s="81">
        <v>44004</v>
      </c>
      <c r="F2492" s="86" t="s">
        <v>7481</v>
      </c>
      <c r="G2492" s="86" t="s">
        <v>175</v>
      </c>
      <c r="H2492" s="96" t="s">
        <v>213</v>
      </c>
      <c r="I2492" s="97" t="s">
        <v>714</v>
      </c>
      <c r="J2492" s="73">
        <f t="shared" si="292"/>
        <v>1</v>
      </c>
      <c r="K2492" s="74" t="s">
        <v>204</v>
      </c>
      <c r="L2492" s="97" t="s">
        <v>7349</v>
      </c>
      <c r="N2492" s="76" t="s">
        <v>17</v>
      </c>
      <c r="Q2492" s="76" t="s">
        <v>2417</v>
      </c>
      <c r="R2492" s="73">
        <f t="shared" si="293"/>
        <v>1</v>
      </c>
      <c r="S2492" s="260" t="s">
        <v>1976</v>
      </c>
      <c r="T2492" s="260" t="s">
        <v>924</v>
      </c>
      <c r="Y2492" s="566">
        <v>0.69862268518518522</v>
      </c>
      <c r="Z2492" s="566">
        <v>0.71881944444444434</v>
      </c>
      <c r="AA2492" s="566">
        <f t="shared" si="289"/>
        <v>2.0196759259259123E-2</v>
      </c>
    </row>
    <row r="2493" spans="1:27" x14ac:dyDescent="0.3">
      <c r="A2493" s="79" t="s">
        <v>7414</v>
      </c>
      <c r="C2493" s="115">
        <v>43976</v>
      </c>
      <c r="D2493" s="312">
        <v>44014</v>
      </c>
      <c r="E2493" s="81">
        <v>44005</v>
      </c>
      <c r="F2493" s="86" t="s">
        <v>7482</v>
      </c>
      <c r="G2493" s="86" t="s">
        <v>147</v>
      </c>
      <c r="H2493" s="96" t="s">
        <v>213</v>
      </c>
      <c r="I2493" s="97" t="s">
        <v>642</v>
      </c>
      <c r="J2493" s="73">
        <f t="shared" si="292"/>
        <v>1</v>
      </c>
      <c r="K2493" s="74" t="s">
        <v>204</v>
      </c>
      <c r="L2493" s="97" t="s">
        <v>7110</v>
      </c>
      <c r="N2493" s="76" t="s">
        <v>18</v>
      </c>
      <c r="Q2493" s="76" t="s">
        <v>2142</v>
      </c>
      <c r="R2493" s="73">
        <f t="shared" si="293"/>
        <v>1</v>
      </c>
      <c r="S2493" s="260" t="s">
        <v>1976</v>
      </c>
      <c r="T2493" s="260" t="s">
        <v>925</v>
      </c>
      <c r="Y2493" s="566">
        <v>0.69490740740740742</v>
      </c>
      <c r="Z2493" s="566">
        <v>0.69819444444444445</v>
      </c>
      <c r="AA2493" s="566">
        <f t="shared" si="289"/>
        <v>3.2870370370370328E-3</v>
      </c>
    </row>
    <row r="2494" spans="1:27" x14ac:dyDescent="0.3">
      <c r="A2494" s="79" t="s">
        <v>7922</v>
      </c>
      <c r="C2494" s="115">
        <v>43976</v>
      </c>
      <c r="D2494" s="312">
        <v>44015</v>
      </c>
      <c r="E2494" s="81">
        <v>44007</v>
      </c>
      <c r="F2494" s="86" t="s">
        <v>7978</v>
      </c>
      <c r="G2494" s="86" t="s">
        <v>150</v>
      </c>
      <c r="H2494" s="96" t="s">
        <v>213</v>
      </c>
      <c r="I2494" s="97" t="s">
        <v>642</v>
      </c>
      <c r="J2494" s="73">
        <f t="shared" si="292"/>
        <v>1</v>
      </c>
      <c r="K2494" s="74" t="s">
        <v>204</v>
      </c>
      <c r="L2494" s="97" t="s">
        <v>7108</v>
      </c>
      <c r="N2494" s="76" t="s">
        <v>18</v>
      </c>
      <c r="Q2494" s="76" t="s">
        <v>2417</v>
      </c>
      <c r="R2494" s="73">
        <f t="shared" si="293"/>
        <v>1</v>
      </c>
      <c r="S2494" s="260" t="s">
        <v>1976</v>
      </c>
      <c r="T2494" s="260" t="s">
        <v>923</v>
      </c>
      <c r="Y2494" s="566">
        <v>0.51922453703703708</v>
      </c>
      <c r="Z2494" s="566">
        <v>0.52481481481481485</v>
      </c>
      <c r="AA2494" s="566">
        <f t="shared" si="289"/>
        <v>5.5902777777777635E-3</v>
      </c>
    </row>
    <row r="2495" spans="1:27" x14ac:dyDescent="0.3">
      <c r="A2495" s="79" t="s">
        <v>7419</v>
      </c>
      <c r="C2495" s="115">
        <v>43976</v>
      </c>
      <c r="D2495" s="312">
        <v>44014</v>
      </c>
      <c r="E2495" s="81">
        <v>44007</v>
      </c>
      <c r="F2495" s="86" t="s">
        <v>7487</v>
      </c>
      <c r="G2495" s="86" t="s">
        <v>152</v>
      </c>
      <c r="H2495" s="96" t="s">
        <v>213</v>
      </c>
      <c r="I2495" s="97" t="s">
        <v>714</v>
      </c>
      <c r="J2495" s="73">
        <f t="shared" si="292"/>
        <v>1</v>
      </c>
      <c r="K2495" s="74" t="s">
        <v>204</v>
      </c>
      <c r="L2495" s="97" t="s">
        <v>8083</v>
      </c>
      <c r="N2495" s="76" t="s">
        <v>17</v>
      </c>
      <c r="Q2495" s="76" t="s">
        <v>2417</v>
      </c>
      <c r="R2495" s="73">
        <f t="shared" si="293"/>
        <v>1</v>
      </c>
      <c r="S2495" s="260" t="s">
        <v>1976</v>
      </c>
      <c r="T2495" s="260" t="s">
        <v>923</v>
      </c>
      <c r="Y2495" s="566">
        <v>0.4135300925925926</v>
      </c>
      <c r="Z2495" s="566">
        <v>0.42156250000000001</v>
      </c>
      <c r="AA2495" s="566">
        <f t="shared" si="289"/>
        <v>8.0324074074074048E-3</v>
      </c>
    </row>
    <row r="2496" spans="1:27" x14ac:dyDescent="0.3">
      <c r="A2496" s="79" t="s">
        <v>7420</v>
      </c>
      <c r="C2496" s="115">
        <v>43976</v>
      </c>
      <c r="D2496" s="312">
        <v>44014</v>
      </c>
      <c r="E2496" s="81">
        <v>44007</v>
      </c>
      <c r="F2496" s="86" t="s">
        <v>7488</v>
      </c>
      <c r="G2496" s="86" t="s">
        <v>152</v>
      </c>
      <c r="H2496" s="96" t="s">
        <v>213</v>
      </c>
      <c r="I2496" s="97" t="s">
        <v>714</v>
      </c>
      <c r="J2496" s="73">
        <f t="shared" si="292"/>
        <v>1</v>
      </c>
      <c r="K2496" s="74" t="s">
        <v>204</v>
      </c>
      <c r="L2496" s="97" t="s">
        <v>7058</v>
      </c>
      <c r="N2496" s="76" t="s">
        <v>17</v>
      </c>
      <c r="Q2496" s="76" t="s">
        <v>2109</v>
      </c>
      <c r="R2496" s="73">
        <f t="shared" si="293"/>
        <v>1</v>
      </c>
      <c r="S2496" s="260" t="s">
        <v>1976</v>
      </c>
      <c r="T2496" s="260" t="s">
        <v>924</v>
      </c>
      <c r="Y2496" s="566">
        <v>0.42815972222222221</v>
      </c>
      <c r="Z2496" s="566">
        <v>0.4400810185185185</v>
      </c>
      <c r="AA2496" s="566">
        <f t="shared" si="289"/>
        <v>1.1921296296296291E-2</v>
      </c>
    </row>
    <row r="2497" spans="1:27" x14ac:dyDescent="0.3">
      <c r="A2497" s="79" t="s">
        <v>7421</v>
      </c>
      <c r="C2497" s="115">
        <v>43976</v>
      </c>
      <c r="D2497" s="312">
        <v>44014</v>
      </c>
      <c r="E2497" s="81">
        <v>44007</v>
      </c>
      <c r="F2497" s="86" t="s">
        <v>7489</v>
      </c>
      <c r="G2497" s="86" t="s">
        <v>156</v>
      </c>
      <c r="H2497" s="96" t="s">
        <v>213</v>
      </c>
      <c r="I2497" s="97" t="s">
        <v>714</v>
      </c>
      <c r="J2497" s="73">
        <f t="shared" si="292"/>
        <v>1</v>
      </c>
      <c r="K2497" s="74" t="s">
        <v>204</v>
      </c>
      <c r="L2497" s="97" t="s">
        <v>7334</v>
      </c>
      <c r="N2497" s="76" t="s">
        <v>17</v>
      </c>
      <c r="Q2497" s="76" t="s">
        <v>2109</v>
      </c>
      <c r="R2497" s="73">
        <f t="shared" si="293"/>
        <v>1</v>
      </c>
      <c r="S2497" s="260" t="s">
        <v>1976</v>
      </c>
      <c r="T2497" s="260" t="s">
        <v>925</v>
      </c>
      <c r="Y2497" s="566">
        <v>0.45263888888888887</v>
      </c>
      <c r="Z2497" s="566">
        <v>0.457974537037037</v>
      </c>
      <c r="AA2497" s="566">
        <f t="shared" si="289"/>
        <v>5.335648148148131E-3</v>
      </c>
    </row>
    <row r="2498" spans="1:27" x14ac:dyDescent="0.3">
      <c r="A2498" s="79" t="s">
        <v>7422</v>
      </c>
      <c r="C2498" s="115">
        <v>43976</v>
      </c>
      <c r="D2498" s="312">
        <v>44015</v>
      </c>
      <c r="E2498" s="81">
        <v>44008</v>
      </c>
      <c r="F2498" s="86" t="s">
        <v>7490</v>
      </c>
      <c r="G2498" s="86" t="s">
        <v>158</v>
      </c>
      <c r="H2498" s="96" t="s">
        <v>213</v>
      </c>
      <c r="I2498" s="97" t="s">
        <v>642</v>
      </c>
      <c r="J2498" s="73">
        <f t="shared" si="292"/>
        <v>1</v>
      </c>
      <c r="K2498" s="74" t="s">
        <v>204</v>
      </c>
      <c r="L2498" s="97" t="s">
        <v>7066</v>
      </c>
      <c r="N2498" s="76" t="s">
        <v>18</v>
      </c>
      <c r="Q2498" s="76" t="s">
        <v>2076</v>
      </c>
      <c r="R2498" s="73">
        <f t="shared" si="293"/>
        <v>1</v>
      </c>
      <c r="S2498" s="260" t="s">
        <v>1976</v>
      </c>
      <c r="T2498" s="260" t="s">
        <v>924</v>
      </c>
      <c r="Y2498" s="566">
        <v>0.65032407407407411</v>
      </c>
      <c r="Z2498" s="566">
        <v>0.65519675925925924</v>
      </c>
      <c r="AA2498" s="566">
        <f t="shared" si="289"/>
        <v>4.8726851851851327E-3</v>
      </c>
    </row>
    <row r="2499" spans="1:27" x14ac:dyDescent="0.3">
      <c r="A2499" s="79" t="s">
        <v>7423</v>
      </c>
      <c r="C2499" s="115">
        <v>43976</v>
      </c>
      <c r="D2499" s="312">
        <v>44015</v>
      </c>
      <c r="E2499" s="81">
        <v>44008</v>
      </c>
      <c r="F2499" s="86" t="s">
        <v>7491</v>
      </c>
      <c r="G2499" s="86" t="s">
        <v>158</v>
      </c>
      <c r="H2499" s="96" t="s">
        <v>213</v>
      </c>
      <c r="I2499" s="97" t="s">
        <v>714</v>
      </c>
      <c r="J2499" s="73">
        <f t="shared" si="292"/>
        <v>1</v>
      </c>
      <c r="K2499" s="74" t="s">
        <v>204</v>
      </c>
      <c r="L2499" s="97" t="s">
        <v>8098</v>
      </c>
      <c r="N2499" s="76" t="s">
        <v>18</v>
      </c>
      <c r="Q2499" s="76" t="s">
        <v>2142</v>
      </c>
      <c r="R2499" s="73">
        <f t="shared" si="293"/>
        <v>1</v>
      </c>
      <c r="S2499" s="260" t="s">
        <v>1976</v>
      </c>
      <c r="T2499" s="260" t="s">
        <v>923</v>
      </c>
      <c r="Y2499" s="566">
        <v>0.63649305555555558</v>
      </c>
      <c r="Z2499" s="566">
        <v>0.64081018518518518</v>
      </c>
      <c r="AA2499" s="566">
        <f t="shared" si="289"/>
        <v>4.3171296296296013E-3</v>
      </c>
    </row>
    <row r="2500" spans="1:27" x14ac:dyDescent="0.3">
      <c r="A2500" s="79" t="s">
        <v>7425</v>
      </c>
      <c r="C2500" s="115">
        <v>43976</v>
      </c>
      <c r="D2500" s="312">
        <v>44014</v>
      </c>
      <c r="E2500" s="81">
        <v>44007</v>
      </c>
      <c r="F2500" s="86" t="s">
        <v>7493</v>
      </c>
      <c r="G2500" s="86" t="s">
        <v>158</v>
      </c>
      <c r="H2500" s="96" t="s">
        <v>213</v>
      </c>
      <c r="I2500" s="97" t="s">
        <v>714</v>
      </c>
      <c r="J2500" s="73">
        <f t="shared" si="292"/>
        <v>1</v>
      </c>
      <c r="K2500" s="74" t="s">
        <v>204</v>
      </c>
      <c r="L2500" s="97" t="s">
        <v>7336</v>
      </c>
      <c r="N2500" s="76" t="s">
        <v>17</v>
      </c>
      <c r="Q2500" s="76" t="s">
        <v>2109</v>
      </c>
      <c r="R2500" s="73">
        <f t="shared" si="293"/>
        <v>1</v>
      </c>
      <c r="S2500" s="260" t="s">
        <v>1976</v>
      </c>
      <c r="T2500" s="260" t="s">
        <v>924</v>
      </c>
      <c r="Y2500" s="566">
        <v>0.45820601851851855</v>
      </c>
      <c r="Z2500" s="566">
        <v>0.46376157407407409</v>
      </c>
      <c r="AA2500" s="566">
        <f t="shared" si="289"/>
        <v>5.5555555555555358E-3</v>
      </c>
    </row>
    <row r="2501" spans="1:27" x14ac:dyDescent="0.3">
      <c r="A2501" s="79" t="s">
        <v>7426</v>
      </c>
      <c r="C2501" s="115">
        <v>43976</v>
      </c>
      <c r="D2501" s="312">
        <v>44014</v>
      </c>
      <c r="E2501" s="81">
        <v>44008</v>
      </c>
      <c r="F2501" s="86" t="s">
        <v>7494</v>
      </c>
      <c r="G2501" s="86" t="s">
        <v>164</v>
      </c>
      <c r="H2501" s="96" t="s">
        <v>213</v>
      </c>
      <c r="I2501" s="97" t="s">
        <v>714</v>
      </c>
      <c r="J2501" s="73">
        <f t="shared" si="292"/>
        <v>1</v>
      </c>
      <c r="K2501" s="74" t="s">
        <v>204</v>
      </c>
      <c r="L2501" s="97" t="s">
        <v>7071</v>
      </c>
      <c r="N2501" s="76" t="s">
        <v>18</v>
      </c>
      <c r="Q2501" s="76" t="s">
        <v>2142</v>
      </c>
      <c r="R2501" s="73">
        <f t="shared" si="293"/>
        <v>1</v>
      </c>
      <c r="S2501" s="260" t="s">
        <v>1976</v>
      </c>
      <c r="T2501" s="260" t="s">
        <v>925</v>
      </c>
      <c r="Y2501" s="566">
        <v>0.67631944444444436</v>
      </c>
      <c r="Z2501" s="566">
        <v>0.68464120370370374</v>
      </c>
      <c r="AA2501" s="566">
        <f t="shared" si="289"/>
        <v>8.3217592592593759E-3</v>
      </c>
    </row>
    <row r="2502" spans="1:27" x14ac:dyDescent="0.3">
      <c r="A2502" s="79" t="s">
        <v>7923</v>
      </c>
      <c r="C2502" s="115">
        <v>43977</v>
      </c>
      <c r="D2502" s="312">
        <v>44015</v>
      </c>
      <c r="E2502" s="81">
        <v>44007</v>
      </c>
      <c r="F2502" s="86" t="s">
        <v>7979</v>
      </c>
      <c r="G2502" s="86" t="s">
        <v>164</v>
      </c>
      <c r="H2502" s="96" t="s">
        <v>213</v>
      </c>
      <c r="I2502" s="97" t="s">
        <v>714</v>
      </c>
      <c r="J2502" s="73">
        <f t="shared" si="292"/>
        <v>1</v>
      </c>
      <c r="K2502" s="74" t="s">
        <v>204</v>
      </c>
      <c r="L2502" s="97" t="s">
        <v>8089</v>
      </c>
      <c r="N2502" s="76" t="s">
        <v>18</v>
      </c>
      <c r="Q2502" s="76" t="s">
        <v>2417</v>
      </c>
      <c r="R2502" s="73">
        <f t="shared" si="293"/>
        <v>1</v>
      </c>
      <c r="S2502" s="260" t="s">
        <v>1976</v>
      </c>
      <c r="T2502" s="260" t="s">
        <v>925</v>
      </c>
      <c r="Y2502" s="566">
        <v>0.50725694444444447</v>
      </c>
      <c r="Z2502" s="566">
        <v>0.51579861111111114</v>
      </c>
      <c r="AA2502" s="566">
        <f t="shared" si="289"/>
        <v>8.5416666666666696E-3</v>
      </c>
    </row>
    <row r="2503" spans="1:27" x14ac:dyDescent="0.3">
      <c r="A2503" s="79" t="s">
        <v>7430</v>
      </c>
      <c r="C2503" s="115">
        <v>43977</v>
      </c>
      <c r="D2503" s="312">
        <v>44015</v>
      </c>
      <c r="E2503" s="81">
        <v>44007</v>
      </c>
      <c r="F2503" s="86" t="s">
        <v>7498</v>
      </c>
      <c r="G2503" s="86" t="s">
        <v>150</v>
      </c>
      <c r="H2503" s="96" t="s">
        <v>213</v>
      </c>
      <c r="I2503" s="97" t="s">
        <v>714</v>
      </c>
      <c r="J2503" s="73">
        <f t="shared" si="292"/>
        <v>1</v>
      </c>
      <c r="K2503" s="74" t="s">
        <v>204</v>
      </c>
      <c r="L2503" s="97" t="s">
        <v>8088</v>
      </c>
      <c r="N2503" s="76" t="s">
        <v>18</v>
      </c>
      <c r="Q2503" s="76" t="s">
        <v>2417</v>
      </c>
      <c r="R2503" s="73">
        <f t="shared" si="293"/>
        <v>1</v>
      </c>
      <c r="S2503" s="260" t="s">
        <v>1976</v>
      </c>
      <c r="T2503" s="260" t="s">
        <v>924</v>
      </c>
      <c r="X2503" s="301" t="s">
        <v>8099</v>
      </c>
      <c r="Y2503" s="566">
        <v>0.4798263888888889</v>
      </c>
      <c r="Z2503" s="566">
        <v>0.50501157407407404</v>
      </c>
      <c r="AA2503" s="566">
        <f t="shared" si="289"/>
        <v>2.5185185185185144E-2</v>
      </c>
    </row>
    <row r="2504" spans="1:27" x14ac:dyDescent="0.3">
      <c r="A2504" s="79" t="s">
        <v>7432</v>
      </c>
      <c r="C2504" s="115">
        <v>43977</v>
      </c>
      <c r="D2504" s="312">
        <v>44015</v>
      </c>
      <c r="E2504" s="81">
        <v>44008</v>
      </c>
      <c r="F2504" s="86" t="s">
        <v>7500</v>
      </c>
      <c r="G2504" s="86" t="s">
        <v>181</v>
      </c>
      <c r="H2504" s="96" t="s">
        <v>213</v>
      </c>
      <c r="I2504" s="97" t="s">
        <v>645</v>
      </c>
      <c r="J2504" s="73">
        <f t="shared" si="292"/>
        <v>1</v>
      </c>
      <c r="K2504" s="74" t="s">
        <v>204</v>
      </c>
      <c r="L2504" s="97" t="s">
        <v>7117</v>
      </c>
      <c r="N2504" s="76" t="s">
        <v>18</v>
      </c>
      <c r="Q2504" s="76" t="s">
        <v>2142</v>
      </c>
      <c r="R2504" s="73">
        <f t="shared" si="293"/>
        <v>1</v>
      </c>
      <c r="S2504" s="260" t="s">
        <v>1976</v>
      </c>
      <c r="T2504" s="260" t="s">
        <v>924</v>
      </c>
      <c r="Y2504" s="566">
        <v>0.64197916666666666</v>
      </c>
      <c r="Z2504" s="566">
        <v>0.64619212962962969</v>
      </c>
      <c r="AA2504" s="566">
        <f t="shared" ref="AA2504:AA2519" si="294">Z2504-Y2504</f>
        <v>4.2129629629630294E-3</v>
      </c>
    </row>
    <row r="2505" spans="1:27" x14ac:dyDescent="0.3">
      <c r="A2505" s="79" t="s">
        <v>7434</v>
      </c>
      <c r="C2505" s="115">
        <v>43977</v>
      </c>
      <c r="D2505" s="312">
        <v>44015</v>
      </c>
      <c r="E2505" s="81">
        <v>44007</v>
      </c>
      <c r="F2505" s="86" t="s">
        <v>7502</v>
      </c>
      <c r="G2505" s="86" t="s">
        <v>152</v>
      </c>
      <c r="H2505" s="96" t="s">
        <v>213</v>
      </c>
      <c r="I2505" s="97" t="s">
        <v>1204</v>
      </c>
      <c r="J2505" s="73">
        <f t="shared" si="292"/>
        <v>1</v>
      </c>
      <c r="K2505" s="74" t="s">
        <v>204</v>
      </c>
      <c r="L2505" s="97" t="s">
        <v>8087</v>
      </c>
      <c r="N2505" s="76" t="s">
        <v>18</v>
      </c>
      <c r="Q2505" s="76" t="s">
        <v>2109</v>
      </c>
      <c r="R2505" s="73">
        <f t="shared" si="293"/>
        <v>1</v>
      </c>
      <c r="S2505" s="260" t="s">
        <v>1976</v>
      </c>
      <c r="T2505" s="260" t="s">
        <v>924</v>
      </c>
      <c r="Y2505" s="566">
        <v>0.46398148148148149</v>
      </c>
      <c r="Z2505" s="566">
        <v>0.47951388888888885</v>
      </c>
      <c r="AA2505" s="566">
        <f t="shared" si="294"/>
        <v>1.5532407407407356E-2</v>
      </c>
    </row>
    <row r="2506" spans="1:27" x14ac:dyDescent="0.3">
      <c r="A2506" s="79" t="s">
        <v>7436</v>
      </c>
      <c r="C2506" s="115">
        <v>43977</v>
      </c>
      <c r="D2506" s="312">
        <v>44015</v>
      </c>
      <c r="E2506" s="81">
        <v>44008</v>
      </c>
      <c r="F2506" s="86" t="s">
        <v>7504</v>
      </c>
      <c r="G2506" s="86" t="s">
        <v>152</v>
      </c>
      <c r="H2506" s="96" t="s">
        <v>213</v>
      </c>
      <c r="I2506" s="97" t="s">
        <v>714</v>
      </c>
      <c r="J2506" s="73">
        <f t="shared" si="292"/>
        <v>1</v>
      </c>
      <c r="K2506" s="74" t="s">
        <v>204</v>
      </c>
      <c r="L2506" s="97" t="s">
        <v>7715</v>
      </c>
      <c r="N2506" s="76" t="s">
        <v>17</v>
      </c>
      <c r="Q2506" s="76" t="s">
        <v>2076</v>
      </c>
      <c r="R2506" s="73">
        <f t="shared" si="293"/>
        <v>1</v>
      </c>
      <c r="S2506" s="260" t="s">
        <v>1976</v>
      </c>
      <c r="T2506" s="260" t="s">
        <v>923</v>
      </c>
      <c r="U2506" s="301" t="s">
        <v>5283</v>
      </c>
      <c r="V2506" s="301" t="s">
        <v>8100</v>
      </c>
      <c r="Y2506" s="566">
        <v>0.65545138888888888</v>
      </c>
      <c r="Z2506" s="566">
        <v>0.6648263888888889</v>
      </c>
      <c r="AA2506" s="566">
        <f t="shared" si="294"/>
        <v>9.3750000000000222E-3</v>
      </c>
    </row>
    <row r="2507" spans="1:27" x14ac:dyDescent="0.3">
      <c r="A2507" s="79" t="s">
        <v>7437</v>
      </c>
      <c r="C2507" s="115">
        <v>43977</v>
      </c>
      <c r="D2507" s="312">
        <v>44018</v>
      </c>
      <c r="E2507" s="81">
        <v>44008</v>
      </c>
      <c r="F2507" s="86" t="s">
        <v>7505</v>
      </c>
      <c r="G2507" s="86" t="s">
        <v>150</v>
      </c>
      <c r="H2507" s="96" t="s">
        <v>213</v>
      </c>
      <c r="I2507" s="97" t="s">
        <v>645</v>
      </c>
      <c r="J2507" s="73">
        <f t="shared" si="292"/>
        <v>1</v>
      </c>
      <c r="K2507" s="74" t="s">
        <v>204</v>
      </c>
      <c r="L2507" s="97" t="s">
        <v>8104</v>
      </c>
      <c r="N2507" s="76" t="s">
        <v>17</v>
      </c>
      <c r="Q2507" s="76" t="s">
        <v>2109</v>
      </c>
      <c r="R2507" s="73">
        <f t="shared" si="293"/>
        <v>1</v>
      </c>
      <c r="S2507" s="260" t="s">
        <v>1976</v>
      </c>
      <c r="T2507" s="260" t="s">
        <v>924</v>
      </c>
      <c r="Y2507" s="566">
        <v>0.70851851851851855</v>
      </c>
      <c r="Z2507" s="566">
        <v>0.72170138888888891</v>
      </c>
      <c r="AA2507" s="566">
        <f t="shared" si="294"/>
        <v>1.3182870370370359E-2</v>
      </c>
    </row>
    <row r="2508" spans="1:27" x14ac:dyDescent="0.3">
      <c r="A2508" s="79" t="s">
        <v>7439</v>
      </c>
      <c r="C2508" s="115">
        <v>43978</v>
      </c>
      <c r="D2508" s="312">
        <v>44018</v>
      </c>
      <c r="E2508" s="81">
        <v>44008</v>
      </c>
      <c r="F2508" s="86" t="s">
        <v>7507</v>
      </c>
      <c r="G2508" s="86" t="s">
        <v>150</v>
      </c>
      <c r="H2508" s="96" t="s">
        <v>213</v>
      </c>
      <c r="I2508" s="97" t="s">
        <v>714</v>
      </c>
      <c r="J2508" s="73">
        <f t="shared" si="292"/>
        <v>1</v>
      </c>
      <c r="K2508" s="74" t="s">
        <v>204</v>
      </c>
      <c r="L2508" s="97" t="s">
        <v>7058</v>
      </c>
      <c r="N2508" s="76" t="s">
        <v>17</v>
      </c>
      <c r="Q2508" s="76" t="s">
        <v>2109</v>
      </c>
      <c r="R2508" s="73">
        <f t="shared" si="293"/>
        <v>1</v>
      </c>
      <c r="S2508" s="260" t="s">
        <v>1976</v>
      </c>
      <c r="T2508" s="260" t="s">
        <v>924</v>
      </c>
      <c r="Y2508" s="566">
        <v>0.99069444444444443</v>
      </c>
      <c r="Z2508" s="566">
        <v>0.99755787037037036</v>
      </c>
      <c r="AA2508" s="566">
        <f t="shared" si="294"/>
        <v>6.8634259259259256E-3</v>
      </c>
    </row>
    <row r="2509" spans="1:27" x14ac:dyDescent="0.3">
      <c r="A2509" s="79" t="s">
        <v>7440</v>
      </c>
      <c r="C2509" s="115">
        <v>43978</v>
      </c>
      <c r="D2509" s="312">
        <v>44018</v>
      </c>
      <c r="E2509" s="81">
        <v>44008</v>
      </c>
      <c r="F2509" s="86" t="s">
        <v>7508</v>
      </c>
      <c r="G2509" s="86" t="s">
        <v>154</v>
      </c>
      <c r="H2509" s="96" t="s">
        <v>213</v>
      </c>
      <c r="I2509" s="97" t="s">
        <v>714</v>
      </c>
      <c r="J2509" s="73">
        <f t="shared" si="292"/>
        <v>1</v>
      </c>
      <c r="K2509" s="74" t="s">
        <v>204</v>
      </c>
      <c r="L2509" s="97" t="s">
        <v>7072</v>
      </c>
      <c r="N2509" s="76" t="s">
        <v>18</v>
      </c>
      <c r="Q2509" s="76" t="s">
        <v>2142</v>
      </c>
      <c r="R2509" s="73">
        <f t="shared" si="293"/>
        <v>1</v>
      </c>
      <c r="S2509" s="260" t="s">
        <v>1976</v>
      </c>
      <c r="T2509" s="260" t="s">
        <v>924</v>
      </c>
      <c r="Y2509" s="566">
        <v>0.98516203703703698</v>
      </c>
      <c r="Z2509" s="566">
        <v>0.98983796296296289</v>
      </c>
      <c r="AA2509" s="566">
        <f t="shared" si="294"/>
        <v>4.6759259259259167E-3</v>
      </c>
    </row>
    <row r="2510" spans="1:27" x14ac:dyDescent="0.3">
      <c r="A2510" s="79" t="s">
        <v>7441</v>
      </c>
      <c r="C2510" s="115">
        <v>43978</v>
      </c>
      <c r="D2510" s="312">
        <v>44018</v>
      </c>
      <c r="E2510" s="81">
        <v>44008</v>
      </c>
      <c r="F2510" s="86" t="s">
        <v>7509</v>
      </c>
      <c r="G2510" s="86" t="s">
        <v>150</v>
      </c>
      <c r="H2510" s="96" t="s">
        <v>213</v>
      </c>
      <c r="I2510" s="97" t="s">
        <v>714</v>
      </c>
      <c r="J2510" s="73">
        <f t="shared" si="292"/>
        <v>1</v>
      </c>
      <c r="K2510" s="74" t="s">
        <v>204</v>
      </c>
      <c r="L2510" s="97" t="s">
        <v>7072</v>
      </c>
      <c r="N2510" s="76" t="s">
        <v>18</v>
      </c>
      <c r="Q2510" s="76" t="s">
        <v>2076</v>
      </c>
      <c r="R2510" s="73">
        <f t="shared" si="293"/>
        <v>1</v>
      </c>
      <c r="S2510" s="260" t="s">
        <v>1976</v>
      </c>
      <c r="T2510" s="260" t="s">
        <v>923</v>
      </c>
      <c r="Y2510" s="566">
        <v>0.69435185185185189</v>
      </c>
      <c r="Z2510" s="566">
        <v>0.69991898148148157</v>
      </c>
      <c r="AA2510" s="566">
        <f t="shared" si="294"/>
        <v>5.5671296296296857E-3</v>
      </c>
    </row>
    <row r="2511" spans="1:27" x14ac:dyDescent="0.3">
      <c r="A2511" s="79" t="s">
        <v>7442</v>
      </c>
      <c r="C2511" s="115">
        <v>43978</v>
      </c>
      <c r="D2511" s="312">
        <v>44018</v>
      </c>
      <c r="E2511" s="81">
        <v>44008</v>
      </c>
      <c r="F2511" s="86" t="s">
        <v>7510</v>
      </c>
      <c r="G2511" s="86" t="s">
        <v>733</v>
      </c>
      <c r="H2511" s="96" t="s">
        <v>213</v>
      </c>
      <c r="I2511" s="97" t="s">
        <v>714</v>
      </c>
      <c r="J2511" s="73">
        <f t="shared" si="292"/>
        <v>1</v>
      </c>
      <c r="K2511" s="74" t="s">
        <v>204</v>
      </c>
      <c r="L2511" s="97" t="s">
        <v>7611</v>
      </c>
      <c r="N2511" s="76" t="s">
        <v>17</v>
      </c>
      <c r="Q2511" s="76" t="s">
        <v>2142</v>
      </c>
      <c r="R2511" s="73">
        <f t="shared" si="293"/>
        <v>1</v>
      </c>
      <c r="S2511" s="260" t="s">
        <v>1976</v>
      </c>
      <c r="T2511" s="260" t="s">
        <v>925</v>
      </c>
      <c r="Y2511" s="566">
        <v>0.97909722222222229</v>
      </c>
      <c r="Z2511" s="566">
        <v>0.98494212962962957</v>
      </c>
      <c r="AA2511" s="566">
        <f t="shared" si="294"/>
        <v>5.8449074074072849E-3</v>
      </c>
    </row>
    <row r="2512" spans="1:27" x14ac:dyDescent="0.3">
      <c r="A2512" s="79" t="s">
        <v>7446</v>
      </c>
      <c r="C2512" s="115">
        <v>43978</v>
      </c>
      <c r="D2512" s="312">
        <v>44018</v>
      </c>
      <c r="E2512" s="81">
        <v>44007</v>
      </c>
      <c r="F2512" s="86" t="s">
        <v>7513</v>
      </c>
      <c r="G2512" s="86" t="s">
        <v>158</v>
      </c>
      <c r="H2512" s="96" t="s">
        <v>213</v>
      </c>
      <c r="I2512" s="97" t="s">
        <v>714</v>
      </c>
      <c r="J2512" s="73">
        <f t="shared" si="292"/>
        <v>1</v>
      </c>
      <c r="K2512" s="74" t="s">
        <v>204</v>
      </c>
      <c r="L2512" s="97" t="s">
        <v>8090</v>
      </c>
      <c r="N2512" s="76" t="s">
        <v>17</v>
      </c>
      <c r="Q2512" s="76" t="s">
        <v>2417</v>
      </c>
      <c r="R2512" s="73">
        <f t="shared" si="293"/>
        <v>1</v>
      </c>
      <c r="S2512" s="260" t="s">
        <v>1976</v>
      </c>
      <c r="T2512" s="260" t="s">
        <v>924</v>
      </c>
      <c r="Y2512" s="566">
        <v>0.52503472222222225</v>
      </c>
      <c r="Z2512" s="566">
        <v>0.53216435185185185</v>
      </c>
      <c r="AA2512" s="566">
        <f t="shared" si="294"/>
        <v>7.1296296296295969E-3</v>
      </c>
    </row>
    <row r="2513" spans="1:27" x14ac:dyDescent="0.3">
      <c r="A2513" s="79" t="s">
        <v>7767</v>
      </c>
      <c r="C2513" s="115">
        <v>43984</v>
      </c>
      <c r="D2513" s="115">
        <v>44025</v>
      </c>
      <c r="F2513" s="86" t="s">
        <v>7822</v>
      </c>
      <c r="G2513" s="86" t="s">
        <v>189</v>
      </c>
      <c r="H2513" s="96" t="s">
        <v>213</v>
      </c>
      <c r="J2513" s="73">
        <f t="shared" ref="J2513:J2537" si="295">IF(OR(K2513="Документы готовы",K2513="Запрос в ФО",K2513="ЭЗ",K2513="РЕШ",K2513="РЕШ шаблон"),0.1,IF(OR(K2513="ЭЗ согласование",K2513="РЕШ согласование"),0.3,IF(OR(K2513="ЭЗ согласовано",K2513="РЕШ согласовано",K2513="РЕШ подписано"),0.6,IF(OR(K2513="ЭЗ ПР согласование",K2513="РЕШ УВ согласование"),0.9,IF(OR(K2513="ЭЗ ПР DONE",K2513="РЕШ УВ DONE"),1,0)))))</f>
        <v>1</v>
      </c>
      <c r="K2513" s="74" t="s">
        <v>204</v>
      </c>
      <c r="Q2513" s="76" t="s">
        <v>2109</v>
      </c>
      <c r="R2513" s="73">
        <f t="shared" ref="R2513:R2537" si="296">IF(S2513="В работе",0.3,IF(S2513="Отписано",0.6,IF(S2513="На доработку",0.9,IF(S2513="Согласовано",1,0))))</f>
        <v>1</v>
      </c>
      <c r="S2513" s="260" t="s">
        <v>1976</v>
      </c>
      <c r="T2513" s="260"/>
      <c r="AA2513" s="566">
        <f t="shared" si="294"/>
        <v>0</v>
      </c>
    </row>
    <row r="2514" spans="1:27" x14ac:dyDescent="0.3">
      <c r="A2514" s="79" t="s">
        <v>7768</v>
      </c>
      <c r="C2514" s="115">
        <v>43984</v>
      </c>
      <c r="D2514" s="115">
        <v>44025</v>
      </c>
      <c r="F2514" s="86" t="s">
        <v>7823</v>
      </c>
      <c r="G2514" s="86" t="s">
        <v>154</v>
      </c>
      <c r="H2514" s="79" t="s">
        <v>268</v>
      </c>
      <c r="J2514" s="73">
        <f t="shared" si="295"/>
        <v>1</v>
      </c>
      <c r="K2514" s="74" t="s">
        <v>204</v>
      </c>
      <c r="Q2514" s="76" t="s">
        <v>2037</v>
      </c>
      <c r="R2514" s="73">
        <f t="shared" si="296"/>
        <v>1</v>
      </c>
      <c r="S2514" s="260" t="s">
        <v>1976</v>
      </c>
      <c r="T2514" s="260"/>
      <c r="AA2514" s="566">
        <f t="shared" si="294"/>
        <v>0</v>
      </c>
    </row>
    <row r="2515" spans="1:27" x14ac:dyDescent="0.3">
      <c r="A2515" s="79" t="s">
        <v>7769</v>
      </c>
      <c r="C2515" s="115">
        <v>43984</v>
      </c>
      <c r="D2515" s="115">
        <v>44025</v>
      </c>
      <c r="F2515" s="86" t="s">
        <v>7824</v>
      </c>
      <c r="G2515" s="86" t="s">
        <v>152</v>
      </c>
      <c r="H2515" s="96" t="s">
        <v>213</v>
      </c>
      <c r="J2515" s="73">
        <f t="shared" si="295"/>
        <v>1</v>
      </c>
      <c r="K2515" s="74" t="s">
        <v>204</v>
      </c>
      <c r="Q2515" s="76" t="s">
        <v>2417</v>
      </c>
      <c r="R2515" s="73">
        <f t="shared" si="296"/>
        <v>1</v>
      </c>
      <c r="S2515" s="260" t="s">
        <v>1976</v>
      </c>
      <c r="T2515" s="260"/>
      <c r="AA2515" s="566">
        <f t="shared" si="294"/>
        <v>0</v>
      </c>
    </row>
    <row r="2516" spans="1:27" x14ac:dyDescent="0.3">
      <c r="A2516" s="79" t="s">
        <v>7771</v>
      </c>
      <c r="C2516" s="115">
        <v>43984</v>
      </c>
      <c r="D2516" s="115">
        <v>44025</v>
      </c>
      <c r="F2516" s="86" t="s">
        <v>7826</v>
      </c>
      <c r="G2516" s="86" t="s">
        <v>147</v>
      </c>
      <c r="H2516" s="96" t="s">
        <v>213</v>
      </c>
      <c r="J2516" s="73">
        <f t="shared" si="295"/>
        <v>1</v>
      </c>
      <c r="K2516" s="74" t="s">
        <v>204</v>
      </c>
      <c r="Q2516" s="76" t="s">
        <v>2417</v>
      </c>
      <c r="R2516" s="73">
        <f t="shared" si="296"/>
        <v>1</v>
      </c>
      <c r="S2516" s="260" t="s">
        <v>1976</v>
      </c>
      <c r="T2516" s="260"/>
      <c r="AA2516" s="566">
        <f t="shared" si="294"/>
        <v>0</v>
      </c>
    </row>
    <row r="2517" spans="1:27" x14ac:dyDescent="0.3">
      <c r="A2517" s="79" t="s">
        <v>7773</v>
      </c>
      <c r="C2517" s="115">
        <v>43984</v>
      </c>
      <c r="D2517" s="115">
        <v>44025</v>
      </c>
      <c r="F2517" s="86" t="s">
        <v>7828</v>
      </c>
      <c r="G2517" s="86" t="s">
        <v>156</v>
      </c>
      <c r="H2517" s="96" t="s">
        <v>213</v>
      </c>
      <c r="J2517" s="73">
        <f t="shared" si="295"/>
        <v>1</v>
      </c>
      <c r="K2517" s="74" t="s">
        <v>204</v>
      </c>
      <c r="Q2517" s="76" t="s">
        <v>2417</v>
      </c>
      <c r="R2517" s="73">
        <f t="shared" si="296"/>
        <v>1</v>
      </c>
      <c r="S2517" s="260" t="s">
        <v>1976</v>
      </c>
      <c r="T2517" s="260"/>
      <c r="AA2517" s="566">
        <f t="shared" si="294"/>
        <v>0</v>
      </c>
    </row>
    <row r="2518" spans="1:27" x14ac:dyDescent="0.3">
      <c r="A2518" s="79" t="s">
        <v>7774</v>
      </c>
      <c r="C2518" s="115">
        <v>43984</v>
      </c>
      <c r="D2518" s="115">
        <v>44025</v>
      </c>
      <c r="F2518" s="86" t="s">
        <v>7829</v>
      </c>
      <c r="G2518" s="86" t="s">
        <v>150</v>
      </c>
      <c r="H2518" s="96" t="s">
        <v>213</v>
      </c>
      <c r="J2518" s="73">
        <f t="shared" si="295"/>
        <v>1</v>
      </c>
      <c r="K2518" s="74" t="s">
        <v>204</v>
      </c>
      <c r="Q2518" s="76" t="s">
        <v>2076</v>
      </c>
      <c r="R2518" s="73">
        <f t="shared" si="296"/>
        <v>1</v>
      </c>
      <c r="S2518" s="260" t="s">
        <v>1976</v>
      </c>
      <c r="T2518" s="260"/>
      <c r="AA2518" s="566">
        <f t="shared" si="294"/>
        <v>0</v>
      </c>
    </row>
    <row r="2519" spans="1:27" x14ac:dyDescent="0.3">
      <c r="A2519" s="79" t="s">
        <v>7775</v>
      </c>
      <c r="C2519" s="115">
        <v>43984</v>
      </c>
      <c r="D2519" s="115">
        <v>44025</v>
      </c>
      <c r="F2519" s="86" t="s">
        <v>7830</v>
      </c>
      <c r="G2519" s="86" t="s">
        <v>3280</v>
      </c>
      <c r="H2519" s="96" t="s">
        <v>213</v>
      </c>
      <c r="J2519" s="73">
        <f t="shared" si="295"/>
        <v>1</v>
      </c>
      <c r="K2519" s="74" t="s">
        <v>204</v>
      </c>
      <c r="Q2519" s="76" t="s">
        <v>2037</v>
      </c>
      <c r="R2519" s="73">
        <f t="shared" si="296"/>
        <v>1</v>
      </c>
      <c r="S2519" s="260" t="s">
        <v>1976</v>
      </c>
      <c r="T2519" s="260"/>
      <c r="AA2519" s="566">
        <f t="shared" si="294"/>
        <v>0</v>
      </c>
    </row>
    <row r="2520" spans="1:27" x14ac:dyDescent="0.3">
      <c r="A2520" s="79" t="s">
        <v>7777</v>
      </c>
      <c r="C2520" s="115">
        <v>43984</v>
      </c>
      <c r="D2520" s="115">
        <v>44025</v>
      </c>
      <c r="F2520" s="86" t="s">
        <v>7832</v>
      </c>
      <c r="G2520" s="86" t="s">
        <v>152</v>
      </c>
      <c r="H2520" s="96" t="s">
        <v>213</v>
      </c>
      <c r="J2520" s="73">
        <f t="shared" si="295"/>
        <v>1</v>
      </c>
      <c r="K2520" s="74" t="s">
        <v>204</v>
      </c>
      <c r="Q2520" s="76" t="s">
        <v>2417</v>
      </c>
      <c r="R2520" s="73">
        <f t="shared" si="296"/>
        <v>1</v>
      </c>
      <c r="S2520" s="260" t="s">
        <v>1976</v>
      </c>
      <c r="T2520" s="260"/>
      <c r="AA2520" s="566">
        <f t="shared" ref="AA2520:AA2570" si="297">Z2520-Y2520</f>
        <v>0</v>
      </c>
    </row>
    <row r="2521" spans="1:27" x14ac:dyDescent="0.3">
      <c r="A2521" s="79" t="s">
        <v>7782</v>
      </c>
      <c r="C2521" s="115">
        <v>43984</v>
      </c>
      <c r="D2521" s="115">
        <v>44025</v>
      </c>
      <c r="F2521" s="86" t="s">
        <v>7837</v>
      </c>
      <c r="G2521" s="86" t="s">
        <v>152</v>
      </c>
      <c r="H2521" s="96" t="s">
        <v>213</v>
      </c>
      <c r="J2521" s="73">
        <f t="shared" si="295"/>
        <v>1</v>
      </c>
      <c r="K2521" s="74" t="s">
        <v>204</v>
      </c>
      <c r="Q2521" s="76" t="s">
        <v>2142</v>
      </c>
      <c r="R2521" s="73">
        <f t="shared" si="296"/>
        <v>1</v>
      </c>
      <c r="S2521" s="260" t="s">
        <v>1976</v>
      </c>
      <c r="T2521" s="260"/>
      <c r="AA2521" s="566">
        <f t="shared" si="297"/>
        <v>0</v>
      </c>
    </row>
    <row r="2522" spans="1:27" x14ac:dyDescent="0.3">
      <c r="A2522" s="79" t="s">
        <v>7784</v>
      </c>
      <c r="C2522" s="115">
        <v>43985</v>
      </c>
      <c r="D2522" s="115">
        <v>44025</v>
      </c>
      <c r="F2522" s="86" t="s">
        <v>7838</v>
      </c>
      <c r="G2522" s="86" t="s">
        <v>150</v>
      </c>
      <c r="H2522" s="96" t="s">
        <v>213</v>
      </c>
      <c r="J2522" s="73">
        <f t="shared" si="295"/>
        <v>1</v>
      </c>
      <c r="K2522" s="74" t="s">
        <v>204</v>
      </c>
      <c r="Q2522" s="76" t="s">
        <v>2037</v>
      </c>
      <c r="R2522" s="73">
        <f t="shared" si="296"/>
        <v>1</v>
      </c>
      <c r="S2522" s="260" t="s">
        <v>1976</v>
      </c>
      <c r="T2522" s="260"/>
      <c r="AA2522" s="566">
        <f t="shared" si="297"/>
        <v>0</v>
      </c>
    </row>
    <row r="2523" spans="1:27" x14ac:dyDescent="0.3">
      <c r="A2523" s="79" t="s">
        <v>7789</v>
      </c>
      <c r="C2523" s="115">
        <v>43985</v>
      </c>
      <c r="D2523" s="115">
        <v>44026</v>
      </c>
      <c r="F2523" s="86" t="s">
        <v>7843</v>
      </c>
      <c r="G2523" s="86" t="s">
        <v>156</v>
      </c>
      <c r="H2523" s="96" t="s">
        <v>213</v>
      </c>
      <c r="J2523" s="73">
        <f t="shared" si="295"/>
        <v>1</v>
      </c>
      <c r="K2523" s="74" t="s">
        <v>204</v>
      </c>
      <c r="Q2523" s="76" t="s">
        <v>2076</v>
      </c>
      <c r="R2523" s="73">
        <f t="shared" si="296"/>
        <v>1</v>
      </c>
      <c r="S2523" s="260" t="s">
        <v>1976</v>
      </c>
      <c r="T2523" s="260"/>
      <c r="AA2523" s="566">
        <f t="shared" si="297"/>
        <v>0</v>
      </c>
    </row>
    <row r="2524" spans="1:27" x14ac:dyDescent="0.3">
      <c r="A2524" s="79" t="s">
        <v>7792</v>
      </c>
      <c r="C2524" s="115">
        <v>43985</v>
      </c>
      <c r="D2524" s="115">
        <v>44026</v>
      </c>
      <c r="F2524" s="86" t="s">
        <v>7846</v>
      </c>
      <c r="G2524" s="86" t="s">
        <v>1682</v>
      </c>
      <c r="H2524" s="96" t="s">
        <v>213</v>
      </c>
      <c r="J2524" s="73">
        <f t="shared" si="295"/>
        <v>1</v>
      </c>
      <c r="K2524" s="74" t="s">
        <v>204</v>
      </c>
      <c r="Q2524" s="76" t="s">
        <v>2109</v>
      </c>
      <c r="R2524" s="73">
        <f t="shared" si="296"/>
        <v>1</v>
      </c>
      <c r="S2524" s="260" t="s">
        <v>1976</v>
      </c>
      <c r="T2524" s="260"/>
      <c r="AA2524" s="566">
        <f t="shared" si="297"/>
        <v>0</v>
      </c>
    </row>
    <row r="2525" spans="1:27" x14ac:dyDescent="0.3">
      <c r="A2525" s="79" t="s">
        <v>7793</v>
      </c>
      <c r="C2525" s="115">
        <v>43985</v>
      </c>
      <c r="D2525" s="312">
        <v>44011</v>
      </c>
      <c r="E2525" s="81">
        <v>44007</v>
      </c>
      <c r="F2525" s="86" t="s">
        <v>7847</v>
      </c>
      <c r="G2525" s="86" t="s">
        <v>152</v>
      </c>
      <c r="H2525" s="96" t="s">
        <v>213</v>
      </c>
      <c r="I2525" s="97" t="s">
        <v>649</v>
      </c>
      <c r="J2525" s="73">
        <f t="shared" si="295"/>
        <v>1</v>
      </c>
      <c r="K2525" s="74" t="s">
        <v>204</v>
      </c>
      <c r="L2525" s="97" t="s">
        <v>8095</v>
      </c>
      <c r="N2525" s="76" t="s">
        <v>17</v>
      </c>
      <c r="Q2525" s="76" t="s">
        <v>2037</v>
      </c>
      <c r="R2525" s="73">
        <f t="shared" si="296"/>
        <v>1</v>
      </c>
      <c r="S2525" s="260" t="s">
        <v>1976</v>
      </c>
      <c r="T2525" s="260" t="s">
        <v>923</v>
      </c>
      <c r="U2525" s="301" t="s">
        <v>5283</v>
      </c>
      <c r="V2525" s="301" t="s">
        <v>8091</v>
      </c>
      <c r="Y2525" s="566">
        <v>0.54464120370370372</v>
      </c>
      <c r="Z2525" s="566">
        <v>0.56093749999999998</v>
      </c>
      <c r="AA2525" s="566">
        <f t="shared" si="297"/>
        <v>1.6296296296296253E-2</v>
      </c>
    </row>
    <row r="2526" spans="1:27" x14ac:dyDescent="0.3">
      <c r="A2526" s="79" t="s">
        <v>7924</v>
      </c>
      <c r="C2526" s="115">
        <v>43986</v>
      </c>
      <c r="D2526" s="115">
        <v>44027</v>
      </c>
      <c r="F2526" s="86" t="s">
        <v>7980</v>
      </c>
      <c r="G2526" s="86" t="s">
        <v>156</v>
      </c>
      <c r="H2526" s="96" t="s">
        <v>213</v>
      </c>
      <c r="J2526" s="73">
        <f t="shared" si="295"/>
        <v>1</v>
      </c>
      <c r="K2526" s="74" t="s">
        <v>204</v>
      </c>
      <c r="Q2526" s="76" t="s">
        <v>2076</v>
      </c>
      <c r="R2526" s="73">
        <f t="shared" si="296"/>
        <v>1</v>
      </c>
      <c r="S2526" s="260" t="s">
        <v>1976</v>
      </c>
      <c r="T2526" s="260"/>
      <c r="AA2526" s="566">
        <f t="shared" si="297"/>
        <v>0</v>
      </c>
    </row>
    <row r="2527" spans="1:27" x14ac:dyDescent="0.3">
      <c r="A2527" s="79" t="s">
        <v>7797</v>
      </c>
      <c r="C2527" s="115">
        <v>43986</v>
      </c>
      <c r="D2527" s="115">
        <v>44026</v>
      </c>
      <c r="F2527" s="86" t="s">
        <v>7851</v>
      </c>
      <c r="G2527" s="86" t="s">
        <v>166</v>
      </c>
      <c r="H2527" s="96" t="s">
        <v>213</v>
      </c>
      <c r="J2527" s="73">
        <f t="shared" si="295"/>
        <v>1</v>
      </c>
      <c r="K2527" s="74" t="s">
        <v>204</v>
      </c>
      <c r="Q2527" s="76" t="s">
        <v>2142</v>
      </c>
      <c r="R2527" s="73">
        <f t="shared" si="296"/>
        <v>1</v>
      </c>
      <c r="S2527" s="260" t="s">
        <v>1976</v>
      </c>
      <c r="T2527" s="260"/>
      <c r="AA2527" s="566">
        <f t="shared" si="297"/>
        <v>0</v>
      </c>
    </row>
    <row r="2528" spans="1:27" x14ac:dyDescent="0.3">
      <c r="A2528" s="79" t="s">
        <v>7798</v>
      </c>
      <c r="C2528" s="115">
        <v>43986</v>
      </c>
      <c r="D2528" s="115">
        <v>44026</v>
      </c>
      <c r="F2528" s="86" t="s">
        <v>7852</v>
      </c>
      <c r="G2528" s="86" t="s">
        <v>410</v>
      </c>
      <c r="H2528" s="96" t="s">
        <v>213</v>
      </c>
      <c r="J2528" s="73">
        <f t="shared" si="295"/>
        <v>1</v>
      </c>
      <c r="K2528" s="74" t="s">
        <v>204</v>
      </c>
      <c r="Q2528" s="76" t="s">
        <v>2142</v>
      </c>
      <c r="R2528" s="73">
        <f t="shared" si="296"/>
        <v>1</v>
      </c>
      <c r="S2528" s="260" t="s">
        <v>1976</v>
      </c>
      <c r="T2528" s="260"/>
      <c r="AA2528" s="566">
        <f t="shared" si="297"/>
        <v>0</v>
      </c>
    </row>
    <row r="2529" spans="1:27" x14ac:dyDescent="0.3">
      <c r="A2529" s="79" t="s">
        <v>7925</v>
      </c>
      <c r="C2529" s="115">
        <v>43986</v>
      </c>
      <c r="D2529" s="115">
        <v>44027</v>
      </c>
      <c r="F2529" s="86" t="s">
        <v>7981</v>
      </c>
      <c r="G2529" s="86" t="s">
        <v>150</v>
      </c>
      <c r="H2529" s="96" t="s">
        <v>213</v>
      </c>
      <c r="J2529" s="73">
        <f t="shared" si="295"/>
        <v>1</v>
      </c>
      <c r="K2529" s="74" t="s">
        <v>204</v>
      </c>
      <c r="Q2529" s="76" t="s">
        <v>2142</v>
      </c>
      <c r="R2529" s="73">
        <f t="shared" si="296"/>
        <v>1</v>
      </c>
      <c r="S2529" s="260" t="s">
        <v>1976</v>
      </c>
      <c r="T2529" s="260"/>
      <c r="AA2529" s="566">
        <f t="shared" si="297"/>
        <v>0</v>
      </c>
    </row>
    <row r="2530" spans="1:27" x14ac:dyDescent="0.3">
      <c r="A2530" s="79" t="s">
        <v>7926</v>
      </c>
      <c r="C2530" s="115">
        <v>43986</v>
      </c>
      <c r="D2530" s="115">
        <v>44027</v>
      </c>
      <c r="F2530" s="86" t="s">
        <v>7982</v>
      </c>
      <c r="G2530" s="86" t="s">
        <v>158</v>
      </c>
      <c r="H2530" s="96" t="s">
        <v>213</v>
      </c>
      <c r="J2530" s="73">
        <f t="shared" si="295"/>
        <v>1</v>
      </c>
      <c r="K2530" s="74" t="s">
        <v>204</v>
      </c>
      <c r="Q2530" s="76" t="s">
        <v>2417</v>
      </c>
      <c r="R2530" s="73">
        <f t="shared" si="296"/>
        <v>1</v>
      </c>
      <c r="S2530" s="260" t="s">
        <v>1976</v>
      </c>
      <c r="T2530" s="260"/>
      <c r="AA2530" s="566">
        <f t="shared" si="297"/>
        <v>0</v>
      </c>
    </row>
    <row r="2531" spans="1:27" x14ac:dyDescent="0.3">
      <c r="A2531" s="79" t="s">
        <v>7927</v>
      </c>
      <c r="C2531" s="115">
        <v>43986</v>
      </c>
      <c r="D2531" s="312">
        <v>44012</v>
      </c>
      <c r="E2531" s="81">
        <v>44005</v>
      </c>
      <c r="F2531" s="86" t="s">
        <v>7983</v>
      </c>
      <c r="G2531" s="86" t="s">
        <v>152</v>
      </c>
      <c r="H2531" s="96" t="s">
        <v>213</v>
      </c>
      <c r="I2531" s="97" t="s">
        <v>645</v>
      </c>
      <c r="J2531" s="73">
        <f t="shared" si="295"/>
        <v>1</v>
      </c>
      <c r="K2531" s="74" t="s">
        <v>204</v>
      </c>
      <c r="L2531" s="97" t="s">
        <v>7545</v>
      </c>
      <c r="N2531" s="76" t="s">
        <v>19</v>
      </c>
      <c r="Q2531" s="76" t="s">
        <v>2142</v>
      </c>
      <c r="R2531" s="73">
        <f t="shared" si="296"/>
        <v>1</v>
      </c>
      <c r="S2531" s="260" t="s">
        <v>1976</v>
      </c>
      <c r="T2531" s="260" t="s">
        <v>924</v>
      </c>
      <c r="Y2531" s="566">
        <v>0.48017361111111106</v>
      </c>
      <c r="Z2531" s="566">
        <v>0.50368055555555558</v>
      </c>
      <c r="AA2531" s="566">
        <f t="shared" si="297"/>
        <v>2.3506944444444511E-2</v>
      </c>
    </row>
    <row r="2532" spans="1:27" x14ac:dyDescent="0.3">
      <c r="A2532" s="79" t="s">
        <v>7799</v>
      </c>
      <c r="C2532" s="115">
        <v>43986</v>
      </c>
      <c r="D2532" s="115">
        <v>44026</v>
      </c>
      <c r="F2532" s="86" t="s">
        <v>7853</v>
      </c>
      <c r="G2532" s="86" t="s">
        <v>156</v>
      </c>
      <c r="H2532" s="96" t="s">
        <v>213</v>
      </c>
      <c r="J2532" s="73">
        <f t="shared" si="295"/>
        <v>1</v>
      </c>
      <c r="K2532" s="74" t="s">
        <v>204</v>
      </c>
      <c r="Q2532" s="76" t="s">
        <v>2076</v>
      </c>
      <c r="R2532" s="73">
        <f t="shared" si="296"/>
        <v>1</v>
      </c>
      <c r="S2532" s="260" t="s">
        <v>1976</v>
      </c>
      <c r="T2532" s="260"/>
      <c r="AA2532" s="566">
        <f t="shared" si="297"/>
        <v>0</v>
      </c>
    </row>
    <row r="2533" spans="1:27" x14ac:dyDescent="0.3">
      <c r="A2533" s="79" t="s">
        <v>7928</v>
      </c>
      <c r="C2533" s="115">
        <v>43986</v>
      </c>
      <c r="D2533" s="312">
        <v>44012</v>
      </c>
      <c r="E2533" s="81">
        <v>44006</v>
      </c>
      <c r="F2533" s="86" t="s">
        <v>7984</v>
      </c>
      <c r="G2533" s="86" t="s">
        <v>152</v>
      </c>
      <c r="H2533" s="96" t="s">
        <v>213</v>
      </c>
      <c r="I2533" s="97" t="s">
        <v>649</v>
      </c>
      <c r="J2533" s="73">
        <f t="shared" si="295"/>
        <v>1</v>
      </c>
      <c r="K2533" s="74" t="s">
        <v>204</v>
      </c>
      <c r="L2533" s="97" t="s">
        <v>8075</v>
      </c>
      <c r="N2533" s="76" t="s">
        <v>19</v>
      </c>
      <c r="Q2533" s="76" t="s">
        <v>2076</v>
      </c>
      <c r="R2533" s="73">
        <f t="shared" si="296"/>
        <v>1</v>
      </c>
      <c r="S2533" s="260" t="s">
        <v>1976</v>
      </c>
      <c r="T2533" s="260" t="s">
        <v>925</v>
      </c>
      <c r="Y2533" s="566">
        <v>0.76245370370370369</v>
      </c>
      <c r="Z2533" s="566">
        <v>0.79827546296296292</v>
      </c>
      <c r="AA2533" s="566">
        <f t="shared" si="297"/>
        <v>3.5821759259259234E-2</v>
      </c>
    </row>
    <row r="2534" spans="1:27" x14ac:dyDescent="0.3">
      <c r="A2534" s="79" t="s">
        <v>7929</v>
      </c>
      <c r="C2534" s="115">
        <v>43986</v>
      </c>
      <c r="D2534" s="115">
        <v>44027</v>
      </c>
      <c r="F2534" s="86" t="s">
        <v>7985</v>
      </c>
      <c r="G2534" s="86" t="s">
        <v>157</v>
      </c>
      <c r="H2534" s="96" t="s">
        <v>213</v>
      </c>
      <c r="J2534" s="73">
        <f t="shared" si="295"/>
        <v>1</v>
      </c>
      <c r="K2534" s="74" t="s">
        <v>204</v>
      </c>
      <c r="Q2534" s="76" t="s">
        <v>2109</v>
      </c>
      <c r="R2534" s="73">
        <f t="shared" si="296"/>
        <v>1</v>
      </c>
      <c r="S2534" s="260" t="s">
        <v>1976</v>
      </c>
      <c r="T2534" s="260"/>
      <c r="AA2534" s="566">
        <f t="shared" si="297"/>
        <v>0</v>
      </c>
    </row>
    <row r="2535" spans="1:27" x14ac:dyDescent="0.3">
      <c r="A2535" s="79" t="s">
        <v>7930</v>
      </c>
      <c r="C2535" s="115">
        <v>43986</v>
      </c>
      <c r="D2535" s="115">
        <v>44027</v>
      </c>
      <c r="F2535" s="86" t="s">
        <v>7986</v>
      </c>
      <c r="G2535" s="86" t="s">
        <v>168</v>
      </c>
      <c r="H2535" s="79" t="s">
        <v>268</v>
      </c>
      <c r="J2535" s="73">
        <f t="shared" si="295"/>
        <v>1</v>
      </c>
      <c r="K2535" s="74" t="s">
        <v>204</v>
      </c>
      <c r="Q2535" s="76" t="s">
        <v>2076</v>
      </c>
      <c r="R2535" s="73">
        <f t="shared" si="296"/>
        <v>1</v>
      </c>
      <c r="S2535" s="260" t="s">
        <v>1976</v>
      </c>
      <c r="T2535" s="260"/>
      <c r="AA2535" s="566">
        <f t="shared" si="297"/>
        <v>0</v>
      </c>
    </row>
    <row r="2536" spans="1:27" x14ac:dyDescent="0.3">
      <c r="A2536" s="79" t="s">
        <v>7931</v>
      </c>
      <c r="C2536" s="115">
        <v>43986</v>
      </c>
      <c r="D2536" s="115">
        <v>44027</v>
      </c>
      <c r="F2536" s="86" t="s">
        <v>7987</v>
      </c>
      <c r="G2536" s="86" t="s">
        <v>152</v>
      </c>
      <c r="H2536" s="96" t="s">
        <v>213</v>
      </c>
      <c r="J2536" s="73">
        <f t="shared" si="295"/>
        <v>1</v>
      </c>
      <c r="K2536" s="74" t="s">
        <v>204</v>
      </c>
      <c r="Q2536" s="76" t="s">
        <v>2417</v>
      </c>
      <c r="R2536" s="73">
        <f t="shared" si="296"/>
        <v>1</v>
      </c>
      <c r="S2536" s="260" t="s">
        <v>1976</v>
      </c>
      <c r="T2536" s="260"/>
      <c r="AA2536" s="566">
        <f t="shared" si="297"/>
        <v>0</v>
      </c>
    </row>
    <row r="2537" spans="1:27" x14ac:dyDescent="0.3">
      <c r="A2537" s="79" t="s">
        <v>7932</v>
      </c>
      <c r="C2537" s="115">
        <v>43986</v>
      </c>
      <c r="D2537" s="115">
        <v>44027</v>
      </c>
      <c r="F2537" s="86" t="s">
        <v>7988</v>
      </c>
      <c r="G2537" s="86" t="s">
        <v>150</v>
      </c>
      <c r="H2537" s="96" t="s">
        <v>213</v>
      </c>
      <c r="J2537" s="73">
        <f t="shared" si="295"/>
        <v>1</v>
      </c>
      <c r="K2537" s="74" t="s">
        <v>204</v>
      </c>
      <c r="Q2537" s="76" t="s">
        <v>2076</v>
      </c>
      <c r="R2537" s="73">
        <f t="shared" si="296"/>
        <v>1</v>
      </c>
      <c r="S2537" s="260" t="s">
        <v>1976</v>
      </c>
      <c r="T2537" s="260"/>
      <c r="AA2537" s="566">
        <f t="shared" si="297"/>
        <v>0</v>
      </c>
    </row>
    <row r="2538" spans="1:27" x14ac:dyDescent="0.3">
      <c r="A2538" s="79" t="s">
        <v>7933</v>
      </c>
      <c r="C2538" s="115">
        <v>43986</v>
      </c>
      <c r="D2538" s="115">
        <v>44027</v>
      </c>
      <c r="F2538" s="86" t="s">
        <v>7989</v>
      </c>
      <c r="G2538" s="86" t="s">
        <v>152</v>
      </c>
      <c r="H2538" s="96" t="s">
        <v>213</v>
      </c>
      <c r="J2538" s="73">
        <f t="shared" ref="J2538:J2580" si="298">IF(OR(K2538="Документы готовы",K2538="Запрос в ФО",K2538="ЭЗ",K2538="РЕШ",K2538="РЕШ шаблон"),0.1,IF(OR(K2538="ЭЗ согласование",K2538="РЕШ согласование"),0.3,IF(OR(K2538="ЭЗ согласовано",K2538="РЕШ согласовано",K2538="РЕШ подписано"),0.6,IF(OR(K2538="ЭЗ ПР согласование",K2538="РЕШ УВ согласование"),0.9,IF(OR(K2538="ЭЗ ПР DONE",K2538="РЕШ УВ DONE"),1,0)))))</f>
        <v>1</v>
      </c>
      <c r="K2538" s="74" t="s">
        <v>204</v>
      </c>
      <c r="Q2538" s="76" t="s">
        <v>2417</v>
      </c>
      <c r="R2538" s="73">
        <f t="shared" ref="R2538:R2581" si="299">IF(S2538="В работе",0.3,IF(S2538="Отписано",0.6,IF(S2538="На доработку",0.9,IF(S2538="Согласовано",1,0))))</f>
        <v>1</v>
      </c>
      <c r="S2538" s="260" t="s">
        <v>1976</v>
      </c>
      <c r="T2538" s="260"/>
      <c r="AA2538" s="566">
        <f t="shared" si="297"/>
        <v>0</v>
      </c>
    </row>
    <row r="2539" spans="1:27" x14ac:dyDescent="0.3">
      <c r="A2539" s="79" t="s">
        <v>7934</v>
      </c>
      <c r="C2539" s="115">
        <v>43986</v>
      </c>
      <c r="D2539" s="312">
        <v>44012</v>
      </c>
      <c r="E2539" s="81">
        <v>44007</v>
      </c>
      <c r="F2539" s="86" t="s">
        <v>7990</v>
      </c>
      <c r="G2539" s="86" t="s">
        <v>147</v>
      </c>
      <c r="H2539" s="96" t="s">
        <v>213</v>
      </c>
      <c r="I2539" s="97" t="s">
        <v>8092</v>
      </c>
      <c r="J2539" s="73">
        <f t="shared" si="298"/>
        <v>1</v>
      </c>
      <c r="K2539" s="74" t="s">
        <v>204</v>
      </c>
      <c r="L2539" s="97" t="s">
        <v>8093</v>
      </c>
      <c r="N2539" s="76" t="s">
        <v>19</v>
      </c>
      <c r="Q2539" s="76" t="s">
        <v>2142</v>
      </c>
      <c r="R2539" s="73">
        <f t="shared" si="299"/>
        <v>1</v>
      </c>
      <c r="S2539" s="260" t="s">
        <v>1976</v>
      </c>
      <c r="T2539" s="260" t="s">
        <v>924</v>
      </c>
      <c r="X2539" s="301" t="s">
        <v>8094</v>
      </c>
      <c r="Y2539" s="566">
        <v>0.56171296296296302</v>
      </c>
      <c r="Z2539" s="566">
        <v>0.58693287037037034</v>
      </c>
      <c r="AA2539" s="566">
        <f t="shared" si="297"/>
        <v>2.5219907407407316E-2</v>
      </c>
    </row>
    <row r="2540" spans="1:27" x14ac:dyDescent="0.3">
      <c r="A2540" s="79" t="s">
        <v>7801</v>
      </c>
      <c r="C2540" s="115">
        <v>43986</v>
      </c>
      <c r="D2540" s="115">
        <v>44026</v>
      </c>
      <c r="F2540" s="86" t="s">
        <v>7855</v>
      </c>
      <c r="G2540" s="86" t="s">
        <v>147</v>
      </c>
      <c r="H2540" s="96" t="s">
        <v>213</v>
      </c>
      <c r="J2540" s="73">
        <f t="shared" si="298"/>
        <v>1</v>
      </c>
      <c r="K2540" s="74" t="s">
        <v>204</v>
      </c>
      <c r="Q2540" s="76" t="s">
        <v>2076</v>
      </c>
      <c r="R2540" s="73">
        <f t="shared" si="299"/>
        <v>1</v>
      </c>
      <c r="S2540" s="260" t="s">
        <v>1976</v>
      </c>
      <c r="T2540" s="260"/>
      <c r="AA2540" s="566">
        <f t="shared" si="297"/>
        <v>0</v>
      </c>
    </row>
    <row r="2541" spans="1:27" x14ac:dyDescent="0.3">
      <c r="A2541" s="79" t="s">
        <v>7935</v>
      </c>
      <c r="C2541" s="115">
        <v>43986</v>
      </c>
      <c r="D2541" s="115">
        <v>44027</v>
      </c>
      <c r="F2541" s="86" t="s">
        <v>7991</v>
      </c>
      <c r="G2541" s="86" t="s">
        <v>150</v>
      </c>
      <c r="H2541" s="96" t="s">
        <v>213</v>
      </c>
      <c r="J2541" s="73">
        <f t="shared" si="298"/>
        <v>1</v>
      </c>
      <c r="K2541" s="74" t="s">
        <v>204</v>
      </c>
      <c r="Q2541" s="76" t="s">
        <v>2109</v>
      </c>
      <c r="R2541" s="73">
        <f t="shared" si="299"/>
        <v>1</v>
      </c>
      <c r="S2541" s="260" t="s">
        <v>1976</v>
      </c>
      <c r="T2541" s="260"/>
      <c r="AA2541" s="566">
        <f t="shared" si="297"/>
        <v>0</v>
      </c>
    </row>
    <row r="2542" spans="1:27" x14ac:dyDescent="0.3">
      <c r="A2542" s="79" t="s">
        <v>7936</v>
      </c>
      <c r="C2542" s="115">
        <v>43987</v>
      </c>
      <c r="D2542" s="115">
        <v>44028</v>
      </c>
      <c r="F2542" s="86" t="s">
        <v>7992</v>
      </c>
      <c r="G2542" s="86" t="s">
        <v>150</v>
      </c>
      <c r="H2542" s="96" t="s">
        <v>213</v>
      </c>
      <c r="J2542" s="73">
        <f t="shared" si="298"/>
        <v>1</v>
      </c>
      <c r="K2542" s="74" t="s">
        <v>204</v>
      </c>
      <c r="Q2542" s="76" t="s">
        <v>2076</v>
      </c>
      <c r="R2542" s="73">
        <f t="shared" si="299"/>
        <v>1</v>
      </c>
      <c r="S2542" s="260" t="s">
        <v>1976</v>
      </c>
      <c r="T2542" s="260"/>
      <c r="AA2542" s="566">
        <f t="shared" si="297"/>
        <v>0</v>
      </c>
    </row>
    <row r="2543" spans="1:27" x14ac:dyDescent="0.3">
      <c r="A2543" s="79" t="s">
        <v>7937</v>
      </c>
      <c r="C2543" s="115">
        <v>43987</v>
      </c>
      <c r="D2543" s="115">
        <v>44028</v>
      </c>
      <c r="F2543" s="86" t="s">
        <v>7993</v>
      </c>
      <c r="G2543" s="86" t="s">
        <v>150</v>
      </c>
      <c r="H2543" s="96" t="s">
        <v>213</v>
      </c>
      <c r="J2543" s="73">
        <f t="shared" si="298"/>
        <v>1</v>
      </c>
      <c r="K2543" s="74" t="s">
        <v>204</v>
      </c>
      <c r="Q2543" s="76" t="s">
        <v>2076</v>
      </c>
      <c r="R2543" s="73">
        <f t="shared" si="299"/>
        <v>1</v>
      </c>
      <c r="S2543" s="260" t="s">
        <v>1976</v>
      </c>
      <c r="T2543" s="260"/>
      <c r="AA2543" s="566">
        <f t="shared" si="297"/>
        <v>0</v>
      </c>
    </row>
    <row r="2544" spans="1:27" x14ac:dyDescent="0.3">
      <c r="A2544" s="79" t="s">
        <v>7938</v>
      </c>
      <c r="C2544" s="115">
        <v>43987</v>
      </c>
      <c r="D2544" s="115">
        <v>44028</v>
      </c>
      <c r="F2544" s="86" t="s">
        <v>7994</v>
      </c>
      <c r="G2544" s="86" t="s">
        <v>410</v>
      </c>
      <c r="H2544" s="96" t="s">
        <v>213</v>
      </c>
      <c r="J2544" s="73">
        <f t="shared" si="298"/>
        <v>1</v>
      </c>
      <c r="K2544" s="74" t="s">
        <v>204</v>
      </c>
      <c r="Q2544" s="76" t="s">
        <v>2109</v>
      </c>
      <c r="R2544" s="73">
        <f t="shared" si="299"/>
        <v>1</v>
      </c>
      <c r="S2544" s="260" t="s">
        <v>1976</v>
      </c>
      <c r="T2544" s="260"/>
      <c r="AA2544" s="566">
        <f t="shared" si="297"/>
        <v>0</v>
      </c>
    </row>
    <row r="2545" spans="1:27" x14ac:dyDescent="0.3">
      <c r="A2545" s="79" t="s">
        <v>7939</v>
      </c>
      <c r="C2545" s="115">
        <v>43987</v>
      </c>
      <c r="D2545" s="115">
        <v>44028</v>
      </c>
      <c r="F2545" s="86" t="s">
        <v>7995</v>
      </c>
      <c r="G2545" s="86" t="s">
        <v>158</v>
      </c>
      <c r="H2545" s="96" t="s">
        <v>213</v>
      </c>
      <c r="J2545" s="73">
        <f t="shared" si="298"/>
        <v>1</v>
      </c>
      <c r="K2545" s="74" t="s">
        <v>204</v>
      </c>
      <c r="Q2545" s="76" t="s">
        <v>2109</v>
      </c>
      <c r="R2545" s="73">
        <f t="shared" si="299"/>
        <v>1</v>
      </c>
      <c r="S2545" s="260" t="s">
        <v>1976</v>
      </c>
      <c r="T2545" s="260"/>
      <c r="AA2545" s="566">
        <f t="shared" si="297"/>
        <v>0</v>
      </c>
    </row>
    <row r="2546" spans="1:27" x14ac:dyDescent="0.3">
      <c r="A2546" s="79" t="s">
        <v>7940</v>
      </c>
      <c r="C2546" s="115">
        <v>43987</v>
      </c>
      <c r="D2546" s="115">
        <v>44028</v>
      </c>
      <c r="F2546" s="86" t="s">
        <v>7996</v>
      </c>
      <c r="G2546" s="86" t="s">
        <v>156</v>
      </c>
      <c r="H2546" s="96" t="s">
        <v>213</v>
      </c>
      <c r="J2546" s="73">
        <f t="shared" si="298"/>
        <v>1</v>
      </c>
      <c r="K2546" s="74" t="s">
        <v>204</v>
      </c>
      <c r="Q2546" s="76" t="s">
        <v>2076</v>
      </c>
      <c r="R2546" s="73">
        <f t="shared" si="299"/>
        <v>1</v>
      </c>
      <c r="S2546" s="260" t="s">
        <v>1976</v>
      </c>
      <c r="T2546" s="260"/>
      <c r="AA2546" s="566">
        <f t="shared" si="297"/>
        <v>0</v>
      </c>
    </row>
    <row r="2547" spans="1:27" x14ac:dyDescent="0.3">
      <c r="A2547" s="79" t="s">
        <v>7941</v>
      </c>
      <c r="C2547" s="115">
        <v>43987</v>
      </c>
      <c r="D2547" s="312">
        <v>44014</v>
      </c>
      <c r="E2547" s="81">
        <v>44005</v>
      </c>
      <c r="F2547" s="86" t="s">
        <v>7997</v>
      </c>
      <c r="G2547" s="86" t="s">
        <v>158</v>
      </c>
      <c r="H2547" s="96" t="s">
        <v>213</v>
      </c>
      <c r="I2547" s="97" t="s">
        <v>3389</v>
      </c>
      <c r="J2547" s="73">
        <f t="shared" si="298"/>
        <v>1</v>
      </c>
      <c r="K2547" s="74" t="s">
        <v>204</v>
      </c>
      <c r="L2547" s="97" t="s">
        <v>8037</v>
      </c>
      <c r="N2547" s="76" t="s">
        <v>18</v>
      </c>
      <c r="Q2547" s="76" t="s">
        <v>2417</v>
      </c>
      <c r="R2547" s="73">
        <f t="shared" si="299"/>
        <v>1</v>
      </c>
      <c r="S2547" s="260" t="s">
        <v>1976</v>
      </c>
      <c r="T2547" s="260" t="s">
        <v>923</v>
      </c>
      <c r="Y2547" s="566">
        <v>0.7061574074074074</v>
      </c>
      <c r="Z2547" s="566">
        <v>0.71364583333333342</v>
      </c>
      <c r="AA2547" s="566">
        <f t="shared" si="297"/>
        <v>7.4884259259260233E-3</v>
      </c>
    </row>
    <row r="2548" spans="1:27" x14ac:dyDescent="0.3">
      <c r="A2548" s="79" t="s">
        <v>7942</v>
      </c>
      <c r="C2548" s="115">
        <v>43987</v>
      </c>
      <c r="D2548" s="115">
        <v>44028</v>
      </c>
      <c r="F2548" s="86" t="s">
        <v>7998</v>
      </c>
      <c r="G2548" s="86" t="s">
        <v>6757</v>
      </c>
      <c r="H2548" s="96" t="s">
        <v>213</v>
      </c>
      <c r="J2548" s="73">
        <f t="shared" si="298"/>
        <v>1</v>
      </c>
      <c r="K2548" s="74" t="s">
        <v>204</v>
      </c>
      <c r="Q2548" s="76" t="s">
        <v>2109</v>
      </c>
      <c r="R2548" s="73">
        <f t="shared" si="299"/>
        <v>1</v>
      </c>
      <c r="S2548" s="260" t="s">
        <v>1976</v>
      </c>
      <c r="T2548" s="260"/>
      <c r="AA2548" s="566">
        <f t="shared" si="297"/>
        <v>0</v>
      </c>
    </row>
    <row r="2549" spans="1:27" x14ac:dyDescent="0.3">
      <c r="A2549" s="79" t="s">
        <v>7943</v>
      </c>
      <c r="C2549" s="115">
        <v>43987</v>
      </c>
      <c r="D2549" s="115">
        <v>44028</v>
      </c>
      <c r="F2549" s="86" t="s">
        <v>7999</v>
      </c>
      <c r="G2549" s="86" t="s">
        <v>166</v>
      </c>
      <c r="H2549" s="96" t="s">
        <v>213</v>
      </c>
      <c r="J2549" s="73">
        <f t="shared" si="298"/>
        <v>1</v>
      </c>
      <c r="K2549" s="74" t="s">
        <v>204</v>
      </c>
      <c r="Q2549" s="76" t="s">
        <v>2142</v>
      </c>
      <c r="R2549" s="73">
        <f t="shared" si="299"/>
        <v>1</v>
      </c>
      <c r="S2549" s="260" t="s">
        <v>1976</v>
      </c>
      <c r="T2549" s="260"/>
      <c r="AA2549" s="566">
        <f t="shared" si="297"/>
        <v>0</v>
      </c>
    </row>
    <row r="2550" spans="1:27" x14ac:dyDescent="0.3">
      <c r="A2550" s="79" t="s">
        <v>7944</v>
      </c>
      <c r="C2550" s="115">
        <v>43987</v>
      </c>
      <c r="D2550" s="312">
        <v>44014</v>
      </c>
      <c r="E2550" s="81">
        <v>44005</v>
      </c>
      <c r="F2550" s="86" t="s">
        <v>8000</v>
      </c>
      <c r="G2550" s="86" t="s">
        <v>156</v>
      </c>
      <c r="H2550" s="96" t="s">
        <v>213</v>
      </c>
      <c r="I2550" s="97" t="s">
        <v>649</v>
      </c>
      <c r="J2550" s="73">
        <f t="shared" si="298"/>
        <v>1</v>
      </c>
      <c r="K2550" s="74" t="s">
        <v>204</v>
      </c>
      <c r="L2550" s="97" t="s">
        <v>7065</v>
      </c>
      <c r="N2550" s="76" t="s">
        <v>18</v>
      </c>
      <c r="Q2550" s="76" t="s">
        <v>2142</v>
      </c>
      <c r="R2550" s="73">
        <f t="shared" si="299"/>
        <v>1</v>
      </c>
      <c r="S2550" s="260" t="s">
        <v>1976</v>
      </c>
      <c r="T2550" s="260" t="s">
        <v>923</v>
      </c>
      <c r="Y2550" s="566">
        <v>0.69891203703703697</v>
      </c>
      <c r="Z2550" s="566">
        <v>0.70439814814814816</v>
      </c>
      <c r="AA2550" s="566">
        <f t="shared" si="297"/>
        <v>5.4861111111111915E-3</v>
      </c>
    </row>
    <row r="2551" spans="1:27" x14ac:dyDescent="0.3">
      <c r="A2551" s="79" t="s">
        <v>7945</v>
      </c>
      <c r="C2551" s="115">
        <v>43987</v>
      </c>
      <c r="D2551" s="115">
        <v>44028</v>
      </c>
      <c r="F2551" s="86" t="s">
        <v>8001</v>
      </c>
      <c r="G2551" s="86" t="s">
        <v>6757</v>
      </c>
      <c r="H2551" s="96" t="s">
        <v>213</v>
      </c>
      <c r="J2551" s="73">
        <f t="shared" si="298"/>
        <v>1</v>
      </c>
      <c r="K2551" s="74" t="s">
        <v>204</v>
      </c>
      <c r="Q2551" s="76" t="s">
        <v>2417</v>
      </c>
      <c r="R2551" s="73">
        <f t="shared" si="299"/>
        <v>1</v>
      </c>
      <c r="S2551" s="260" t="s">
        <v>1976</v>
      </c>
      <c r="T2551" s="260"/>
      <c r="AA2551" s="566">
        <f t="shared" si="297"/>
        <v>0</v>
      </c>
    </row>
    <row r="2552" spans="1:27" x14ac:dyDescent="0.3">
      <c r="A2552" s="79" t="s">
        <v>7946</v>
      </c>
      <c r="C2552" s="115">
        <v>43987</v>
      </c>
      <c r="D2552" s="312">
        <v>44014</v>
      </c>
      <c r="E2552" s="81">
        <v>44007</v>
      </c>
      <c r="F2552" s="86" t="s">
        <v>8002</v>
      </c>
      <c r="G2552" s="86" t="s">
        <v>156</v>
      </c>
      <c r="H2552" s="96" t="s">
        <v>213</v>
      </c>
      <c r="I2552" s="97" t="s">
        <v>649</v>
      </c>
      <c r="J2552" s="73">
        <f t="shared" si="298"/>
        <v>1</v>
      </c>
      <c r="K2552" s="74" t="s">
        <v>204</v>
      </c>
      <c r="L2552" s="97" t="s">
        <v>8086</v>
      </c>
      <c r="N2552" s="76" t="s">
        <v>18</v>
      </c>
      <c r="Q2552" s="76" t="s">
        <v>2417</v>
      </c>
      <c r="R2552" s="73">
        <f t="shared" si="299"/>
        <v>1</v>
      </c>
      <c r="S2552" s="260" t="s">
        <v>1976</v>
      </c>
      <c r="T2552" s="260" t="s">
        <v>925</v>
      </c>
      <c r="Y2552" s="566">
        <v>0.44527777777777783</v>
      </c>
      <c r="Z2552" s="566">
        <v>0.45246527777777779</v>
      </c>
      <c r="AA2552" s="566">
        <f t="shared" si="297"/>
        <v>7.1874999999999578E-3</v>
      </c>
    </row>
    <row r="2553" spans="1:27" x14ac:dyDescent="0.3">
      <c r="A2553" s="79" t="s">
        <v>7947</v>
      </c>
      <c r="C2553" s="115">
        <v>43987</v>
      </c>
      <c r="D2553" s="312">
        <v>44014</v>
      </c>
      <c r="E2553" s="81">
        <v>44007</v>
      </c>
      <c r="F2553" s="86" t="s">
        <v>8003</v>
      </c>
      <c r="G2553" s="86" t="s">
        <v>410</v>
      </c>
      <c r="H2553" s="79" t="s">
        <v>268</v>
      </c>
      <c r="I2553" s="97" t="s">
        <v>4751</v>
      </c>
      <c r="J2553" s="73">
        <f t="shared" si="298"/>
        <v>1</v>
      </c>
      <c r="K2553" s="74" t="s">
        <v>204</v>
      </c>
      <c r="L2553" s="97" t="s">
        <v>8079</v>
      </c>
      <c r="N2553" s="76" t="s">
        <v>18</v>
      </c>
      <c r="Q2553" s="76" t="s">
        <v>2076</v>
      </c>
      <c r="R2553" s="73">
        <f t="shared" si="299"/>
        <v>1</v>
      </c>
      <c r="S2553" s="260" t="s">
        <v>1976</v>
      </c>
      <c r="T2553" s="260" t="s">
        <v>924</v>
      </c>
      <c r="U2553" s="301" t="s">
        <v>5283</v>
      </c>
      <c r="V2553" s="301" t="s">
        <v>8080</v>
      </c>
      <c r="Y2553" s="566">
        <v>0.35042824074074069</v>
      </c>
      <c r="Z2553" s="566">
        <v>0.36672453703703706</v>
      </c>
      <c r="AA2553" s="566">
        <f t="shared" si="297"/>
        <v>1.6296296296296364E-2</v>
      </c>
    </row>
    <row r="2554" spans="1:27" x14ac:dyDescent="0.3">
      <c r="A2554" s="79" t="s">
        <v>7948</v>
      </c>
      <c r="C2554" s="115">
        <v>43987</v>
      </c>
      <c r="D2554" s="312">
        <v>44014</v>
      </c>
      <c r="E2554" s="81">
        <v>44007</v>
      </c>
      <c r="F2554" s="86" t="s">
        <v>8004</v>
      </c>
      <c r="G2554" s="86" t="s">
        <v>152</v>
      </c>
      <c r="H2554" s="96" t="s">
        <v>213</v>
      </c>
      <c r="I2554" s="97" t="s">
        <v>649</v>
      </c>
      <c r="J2554" s="73">
        <f t="shared" si="298"/>
        <v>1</v>
      </c>
      <c r="K2554" s="74" t="s">
        <v>204</v>
      </c>
      <c r="L2554" s="97" t="s">
        <v>7915</v>
      </c>
      <c r="N2554" s="76" t="s">
        <v>17</v>
      </c>
      <c r="Q2554" s="76" t="s">
        <v>2109</v>
      </c>
      <c r="R2554" s="73">
        <f t="shared" si="299"/>
        <v>1</v>
      </c>
      <c r="S2554" s="260" t="s">
        <v>1976</v>
      </c>
      <c r="T2554" s="260" t="s">
        <v>923</v>
      </c>
      <c r="Y2554" s="566">
        <v>0.39225694444444442</v>
      </c>
      <c r="Z2554" s="566">
        <v>0.40715277777777775</v>
      </c>
      <c r="AA2554" s="566">
        <f t="shared" si="297"/>
        <v>1.489583333333333E-2</v>
      </c>
    </row>
    <row r="2555" spans="1:27" x14ac:dyDescent="0.3">
      <c r="A2555" s="79" t="s">
        <v>7949</v>
      </c>
      <c r="C2555" s="115">
        <v>43990</v>
      </c>
      <c r="D2555" s="312">
        <v>44015</v>
      </c>
      <c r="E2555" s="81">
        <v>44011</v>
      </c>
      <c r="F2555" s="86" t="s">
        <v>8005</v>
      </c>
      <c r="G2555" s="86" t="s">
        <v>157</v>
      </c>
      <c r="H2555" s="96" t="s">
        <v>213</v>
      </c>
      <c r="I2555" s="97" t="s">
        <v>649</v>
      </c>
      <c r="J2555" s="73">
        <f t="shared" si="298"/>
        <v>1</v>
      </c>
      <c r="K2555" s="74" t="s">
        <v>204</v>
      </c>
      <c r="L2555" s="97" t="s">
        <v>8274</v>
      </c>
      <c r="N2555" s="76" t="s">
        <v>19</v>
      </c>
      <c r="Q2555" s="76" t="s">
        <v>2142</v>
      </c>
      <c r="R2555" s="73">
        <f t="shared" si="299"/>
        <v>1</v>
      </c>
      <c r="S2555" s="260" t="s">
        <v>1976</v>
      </c>
      <c r="T2555" s="260" t="s">
        <v>923</v>
      </c>
      <c r="Y2555" s="566">
        <v>0.49130787037037038</v>
      </c>
      <c r="Z2555" s="566">
        <v>0.52803240740740742</v>
      </c>
      <c r="AA2555" s="566">
        <f t="shared" si="297"/>
        <v>3.6724537037037042E-2</v>
      </c>
    </row>
    <row r="2556" spans="1:27" x14ac:dyDescent="0.3">
      <c r="A2556" s="79" t="s">
        <v>7950</v>
      </c>
      <c r="C2556" s="115">
        <v>43990</v>
      </c>
      <c r="D2556" s="115">
        <v>44029</v>
      </c>
      <c r="F2556" s="86" t="s">
        <v>8006</v>
      </c>
      <c r="G2556" s="86" t="s">
        <v>154</v>
      </c>
      <c r="H2556" s="96" t="s">
        <v>213</v>
      </c>
      <c r="J2556" s="73">
        <f t="shared" si="298"/>
        <v>1</v>
      </c>
      <c r="K2556" s="74" t="s">
        <v>204</v>
      </c>
      <c r="Q2556" s="76" t="s">
        <v>2417</v>
      </c>
      <c r="R2556" s="73">
        <f t="shared" si="299"/>
        <v>1</v>
      </c>
      <c r="S2556" s="260" t="s">
        <v>1976</v>
      </c>
      <c r="T2556" s="260"/>
      <c r="AA2556" s="566">
        <f t="shared" si="297"/>
        <v>0</v>
      </c>
    </row>
    <row r="2557" spans="1:27" x14ac:dyDescent="0.3">
      <c r="A2557" s="79" t="s">
        <v>7951</v>
      </c>
      <c r="C2557" s="115">
        <v>43990</v>
      </c>
      <c r="D2557" s="115">
        <v>44028</v>
      </c>
      <c r="F2557" s="86" t="s">
        <v>8007</v>
      </c>
      <c r="G2557" s="86" t="s">
        <v>150</v>
      </c>
      <c r="H2557" s="96" t="s">
        <v>213</v>
      </c>
      <c r="J2557" s="73">
        <f t="shared" si="298"/>
        <v>1</v>
      </c>
      <c r="K2557" s="74" t="s">
        <v>204</v>
      </c>
      <c r="Q2557" s="76" t="s">
        <v>2417</v>
      </c>
      <c r="R2557" s="73">
        <f t="shared" si="299"/>
        <v>1</v>
      </c>
      <c r="S2557" s="260" t="s">
        <v>1976</v>
      </c>
      <c r="T2557" s="260"/>
      <c r="AA2557" s="566">
        <f t="shared" si="297"/>
        <v>0</v>
      </c>
    </row>
    <row r="2558" spans="1:27" x14ac:dyDescent="0.3">
      <c r="A2558" s="79" t="s">
        <v>7952</v>
      </c>
      <c r="C2558" s="115">
        <v>43990</v>
      </c>
      <c r="D2558" s="312">
        <v>44014</v>
      </c>
      <c r="E2558" s="81">
        <v>44007</v>
      </c>
      <c r="F2558" s="86" t="s">
        <v>8008</v>
      </c>
      <c r="G2558" s="86" t="s">
        <v>173</v>
      </c>
      <c r="H2558" s="96" t="s">
        <v>213</v>
      </c>
      <c r="I2558" s="97" t="s">
        <v>1284</v>
      </c>
      <c r="J2558" s="73">
        <f t="shared" si="298"/>
        <v>1</v>
      </c>
      <c r="K2558" s="74" t="s">
        <v>204</v>
      </c>
      <c r="L2558" s="97" t="s">
        <v>8084</v>
      </c>
      <c r="N2558" s="76" t="s">
        <v>19</v>
      </c>
      <c r="Q2558" s="76" t="s">
        <v>2142</v>
      </c>
      <c r="R2558" s="73">
        <f t="shared" si="299"/>
        <v>1</v>
      </c>
      <c r="S2558" s="260" t="s">
        <v>1976</v>
      </c>
      <c r="T2558" s="260" t="s">
        <v>924</v>
      </c>
      <c r="Y2558" s="566">
        <v>0.42184027777777783</v>
      </c>
      <c r="Z2558" s="566">
        <v>0.42781249999999998</v>
      </c>
      <c r="AA2558" s="566">
        <f t="shared" si="297"/>
        <v>5.9722222222221566E-3</v>
      </c>
    </row>
    <row r="2559" spans="1:27" x14ac:dyDescent="0.3">
      <c r="A2559" s="79" t="s">
        <v>7953</v>
      </c>
      <c r="C2559" s="115">
        <v>43990</v>
      </c>
      <c r="D2559" s="115">
        <v>44028</v>
      </c>
      <c r="F2559" s="86" t="s">
        <v>8009</v>
      </c>
      <c r="G2559" s="86" t="s">
        <v>147</v>
      </c>
      <c r="H2559" s="96" t="s">
        <v>213</v>
      </c>
      <c r="J2559" s="73">
        <f t="shared" si="298"/>
        <v>1</v>
      </c>
      <c r="K2559" s="74" t="s">
        <v>204</v>
      </c>
      <c r="Q2559" s="76" t="s">
        <v>2417</v>
      </c>
      <c r="R2559" s="73">
        <f t="shared" si="299"/>
        <v>1</v>
      </c>
      <c r="S2559" s="260" t="s">
        <v>1976</v>
      </c>
      <c r="T2559" s="260"/>
      <c r="AA2559" s="566">
        <f t="shared" si="297"/>
        <v>0</v>
      </c>
    </row>
    <row r="2560" spans="1:27" x14ac:dyDescent="0.3">
      <c r="A2560" s="79" t="s">
        <v>7954</v>
      </c>
      <c r="C2560" s="115">
        <v>43990</v>
      </c>
      <c r="D2560" s="312">
        <v>44014</v>
      </c>
      <c r="E2560" s="81">
        <v>44008</v>
      </c>
      <c r="F2560" s="86" t="s">
        <v>8010</v>
      </c>
      <c r="G2560" s="86" t="s">
        <v>181</v>
      </c>
      <c r="H2560" s="96" t="s">
        <v>213</v>
      </c>
      <c r="I2560" s="97" t="s">
        <v>995</v>
      </c>
      <c r="J2560" s="73">
        <f t="shared" si="298"/>
        <v>1</v>
      </c>
      <c r="K2560" s="74" t="s">
        <v>204</v>
      </c>
      <c r="L2560" s="97" t="s">
        <v>7073</v>
      </c>
      <c r="N2560" s="76" t="s">
        <v>19</v>
      </c>
      <c r="Q2560" s="76" t="s">
        <v>2142</v>
      </c>
      <c r="R2560" s="73">
        <f t="shared" si="299"/>
        <v>1</v>
      </c>
      <c r="S2560" s="260" t="s">
        <v>1976</v>
      </c>
      <c r="T2560" s="260" t="s">
        <v>923</v>
      </c>
      <c r="Y2560" s="566">
        <v>0.54099537037037038</v>
      </c>
      <c r="Z2560" s="566">
        <v>0.55189814814814808</v>
      </c>
      <c r="AA2560" s="566">
        <f t="shared" si="297"/>
        <v>1.0902777777777706E-2</v>
      </c>
    </row>
    <row r="2561" spans="1:27" x14ac:dyDescent="0.3">
      <c r="A2561" s="79" t="s">
        <v>7955</v>
      </c>
      <c r="C2561" s="115">
        <v>43990</v>
      </c>
      <c r="D2561" s="115">
        <v>44028</v>
      </c>
      <c r="F2561" s="86" t="s">
        <v>8011</v>
      </c>
      <c r="G2561" s="86" t="s">
        <v>147</v>
      </c>
      <c r="H2561" s="96" t="s">
        <v>213</v>
      </c>
      <c r="J2561" s="73">
        <f t="shared" si="298"/>
        <v>1</v>
      </c>
      <c r="K2561" s="74" t="s">
        <v>204</v>
      </c>
      <c r="Q2561" s="76" t="s">
        <v>2109</v>
      </c>
      <c r="R2561" s="73">
        <f t="shared" si="299"/>
        <v>1</v>
      </c>
      <c r="S2561" s="260" t="s">
        <v>1976</v>
      </c>
      <c r="T2561" s="260"/>
      <c r="AA2561" s="566">
        <f t="shared" si="297"/>
        <v>0</v>
      </c>
    </row>
    <row r="2562" spans="1:27" x14ac:dyDescent="0.3">
      <c r="A2562" s="79" t="s">
        <v>7956</v>
      </c>
      <c r="C2562" s="115">
        <v>43990</v>
      </c>
      <c r="D2562" s="115">
        <v>44028</v>
      </c>
      <c r="F2562" s="86" t="s">
        <v>8012</v>
      </c>
      <c r="G2562" s="86" t="s">
        <v>410</v>
      </c>
      <c r="H2562" s="96" t="s">
        <v>213</v>
      </c>
      <c r="J2562" s="73">
        <f t="shared" si="298"/>
        <v>1</v>
      </c>
      <c r="K2562" s="74" t="s">
        <v>204</v>
      </c>
      <c r="Q2562" s="76" t="s">
        <v>2417</v>
      </c>
      <c r="R2562" s="73">
        <f t="shared" si="299"/>
        <v>1</v>
      </c>
      <c r="S2562" s="260" t="s">
        <v>1976</v>
      </c>
      <c r="T2562" s="260"/>
      <c r="AA2562" s="566">
        <f t="shared" si="297"/>
        <v>0</v>
      </c>
    </row>
    <row r="2563" spans="1:27" x14ac:dyDescent="0.3">
      <c r="A2563" s="79" t="s">
        <v>7957</v>
      </c>
      <c r="C2563" s="115">
        <v>43990</v>
      </c>
      <c r="D2563" s="115">
        <v>44029</v>
      </c>
      <c r="F2563" s="86" t="s">
        <v>8013</v>
      </c>
      <c r="G2563" s="86" t="s">
        <v>6757</v>
      </c>
      <c r="H2563" s="96" t="s">
        <v>213</v>
      </c>
      <c r="J2563" s="73">
        <f t="shared" si="298"/>
        <v>1</v>
      </c>
      <c r="K2563" s="74" t="s">
        <v>204</v>
      </c>
      <c r="Q2563" s="76" t="s">
        <v>2417</v>
      </c>
      <c r="R2563" s="73">
        <f t="shared" si="299"/>
        <v>1</v>
      </c>
      <c r="S2563" s="260" t="s">
        <v>1976</v>
      </c>
      <c r="T2563" s="260"/>
      <c r="AA2563" s="566">
        <f t="shared" si="297"/>
        <v>0</v>
      </c>
    </row>
    <row r="2564" spans="1:27" x14ac:dyDescent="0.3">
      <c r="A2564" s="79" t="s">
        <v>7958</v>
      </c>
      <c r="C2564" s="115">
        <v>43990</v>
      </c>
      <c r="D2564" s="115">
        <v>44028</v>
      </c>
      <c r="F2564" s="86" t="s">
        <v>8014</v>
      </c>
      <c r="G2564" s="86" t="s">
        <v>156</v>
      </c>
      <c r="H2564" s="96" t="s">
        <v>213</v>
      </c>
      <c r="J2564" s="73">
        <f t="shared" si="298"/>
        <v>1</v>
      </c>
      <c r="K2564" s="74" t="s">
        <v>204</v>
      </c>
      <c r="Q2564" s="76" t="s">
        <v>2076</v>
      </c>
      <c r="R2564" s="73">
        <f t="shared" si="299"/>
        <v>1</v>
      </c>
      <c r="S2564" s="260" t="s">
        <v>1976</v>
      </c>
      <c r="T2564" s="260"/>
      <c r="AA2564" s="566">
        <f t="shared" si="297"/>
        <v>0</v>
      </c>
    </row>
    <row r="2565" spans="1:27" x14ac:dyDescent="0.3">
      <c r="A2565" s="79" t="s">
        <v>7959</v>
      </c>
      <c r="C2565" s="115">
        <v>43990</v>
      </c>
      <c r="D2565" s="312">
        <v>44014</v>
      </c>
      <c r="E2565" s="81">
        <v>44008</v>
      </c>
      <c r="F2565" s="86" t="s">
        <v>8015</v>
      </c>
      <c r="G2565" s="86" t="s">
        <v>156</v>
      </c>
      <c r="H2565" s="96" t="s">
        <v>213</v>
      </c>
      <c r="I2565" s="97" t="s">
        <v>622</v>
      </c>
      <c r="J2565" s="73">
        <f t="shared" si="298"/>
        <v>1</v>
      </c>
      <c r="K2565" s="74" t="s">
        <v>204</v>
      </c>
      <c r="L2565" s="97" t="s">
        <v>7743</v>
      </c>
      <c r="N2565" s="76" t="s">
        <v>19</v>
      </c>
      <c r="Q2565" s="76" t="s">
        <v>2142</v>
      </c>
      <c r="R2565" s="73">
        <f t="shared" si="299"/>
        <v>1</v>
      </c>
      <c r="S2565" s="260" t="s">
        <v>1976</v>
      </c>
      <c r="T2565" s="260" t="s">
        <v>925</v>
      </c>
      <c r="Y2565" s="566">
        <v>0.55440972222222229</v>
      </c>
      <c r="Z2565" s="566">
        <v>0.56125000000000003</v>
      </c>
      <c r="AA2565" s="566">
        <f t="shared" si="297"/>
        <v>6.8402777777777368E-3</v>
      </c>
    </row>
    <row r="2566" spans="1:27" x14ac:dyDescent="0.3">
      <c r="A2566" s="79" t="s">
        <v>7960</v>
      </c>
      <c r="C2566" s="115">
        <v>43990</v>
      </c>
      <c r="D2566" s="115">
        <v>44029</v>
      </c>
      <c r="F2566" s="86" t="s">
        <v>8016</v>
      </c>
      <c r="G2566" s="86" t="s">
        <v>154</v>
      </c>
      <c r="H2566" s="96" t="s">
        <v>213</v>
      </c>
      <c r="J2566" s="73">
        <f t="shared" si="298"/>
        <v>1</v>
      </c>
      <c r="K2566" s="74" t="s">
        <v>204</v>
      </c>
      <c r="Q2566" s="76" t="s">
        <v>2417</v>
      </c>
      <c r="R2566" s="73">
        <f t="shared" si="299"/>
        <v>1</v>
      </c>
      <c r="S2566" s="260" t="s">
        <v>1976</v>
      </c>
      <c r="T2566" s="260"/>
      <c r="AA2566" s="566">
        <f t="shared" si="297"/>
        <v>0</v>
      </c>
    </row>
    <row r="2567" spans="1:27" x14ac:dyDescent="0.3">
      <c r="A2567" s="79" t="s">
        <v>7961</v>
      </c>
      <c r="C2567" s="115">
        <v>43990</v>
      </c>
      <c r="D2567" s="115">
        <v>44029</v>
      </c>
      <c r="F2567" s="86" t="s">
        <v>8017</v>
      </c>
      <c r="G2567" s="86" t="s">
        <v>158</v>
      </c>
      <c r="H2567" s="96" t="s">
        <v>213</v>
      </c>
      <c r="J2567" s="73">
        <f t="shared" si="298"/>
        <v>1</v>
      </c>
      <c r="K2567" s="74" t="s">
        <v>204</v>
      </c>
      <c r="Q2567" s="76" t="s">
        <v>2076</v>
      </c>
      <c r="R2567" s="73">
        <f t="shared" si="299"/>
        <v>1</v>
      </c>
      <c r="S2567" s="260" t="s">
        <v>1976</v>
      </c>
      <c r="T2567" s="260"/>
      <c r="AA2567" s="566">
        <f t="shared" si="297"/>
        <v>0</v>
      </c>
    </row>
    <row r="2568" spans="1:27" x14ac:dyDescent="0.3">
      <c r="A2568" s="79" t="s">
        <v>7962</v>
      </c>
      <c r="C2568" s="115">
        <v>43990</v>
      </c>
      <c r="D2568" s="312">
        <v>44014</v>
      </c>
      <c r="E2568" s="81">
        <v>44011</v>
      </c>
      <c r="F2568" s="86" t="s">
        <v>8018</v>
      </c>
      <c r="G2568" s="86" t="s">
        <v>158</v>
      </c>
      <c r="H2568" s="96" t="s">
        <v>213</v>
      </c>
      <c r="I2568" s="97" t="s">
        <v>649</v>
      </c>
      <c r="J2568" s="73">
        <f t="shared" si="298"/>
        <v>1</v>
      </c>
      <c r="K2568" s="74" t="s">
        <v>204</v>
      </c>
      <c r="L2568" s="97" t="s">
        <v>8281</v>
      </c>
      <c r="N2568" s="76" t="s">
        <v>17</v>
      </c>
      <c r="Q2568" s="76" t="s">
        <v>2076</v>
      </c>
      <c r="R2568" s="73">
        <f t="shared" si="299"/>
        <v>1</v>
      </c>
      <c r="S2568" s="260" t="s">
        <v>1976</v>
      </c>
      <c r="T2568" s="260" t="s">
        <v>923</v>
      </c>
      <c r="U2568" s="76" t="s">
        <v>5283</v>
      </c>
      <c r="V2568" s="301" t="s">
        <v>8282</v>
      </c>
      <c r="Y2568" s="566">
        <v>0.56631944444444449</v>
      </c>
      <c r="Z2568" s="566">
        <v>0.61924768518518525</v>
      </c>
      <c r="AA2568" s="566">
        <f t="shared" si="297"/>
        <v>5.2928240740740762E-2</v>
      </c>
    </row>
    <row r="2569" spans="1:27" x14ac:dyDescent="0.3">
      <c r="A2569" s="96" t="s">
        <v>7963</v>
      </c>
      <c r="C2569" s="115">
        <v>43990</v>
      </c>
      <c r="D2569" s="312">
        <v>44015</v>
      </c>
      <c r="E2569" s="81">
        <v>44014</v>
      </c>
      <c r="F2569" s="86" t="s">
        <v>8019</v>
      </c>
      <c r="G2569" s="86" t="s">
        <v>152</v>
      </c>
      <c r="H2569" s="96" t="s">
        <v>213</v>
      </c>
      <c r="I2569" s="97" t="s">
        <v>8403</v>
      </c>
      <c r="J2569" s="73">
        <f t="shared" si="298"/>
        <v>1</v>
      </c>
      <c r="K2569" s="74" t="s">
        <v>204</v>
      </c>
      <c r="L2569" s="97" t="s">
        <v>7073</v>
      </c>
      <c r="N2569" s="76" t="s">
        <v>19</v>
      </c>
      <c r="Q2569" s="76" t="s">
        <v>2142</v>
      </c>
      <c r="R2569" s="73">
        <f t="shared" si="299"/>
        <v>1</v>
      </c>
      <c r="S2569" s="260" t="s">
        <v>1976</v>
      </c>
      <c r="T2569" s="260" t="s">
        <v>924</v>
      </c>
      <c r="Y2569" s="566">
        <v>0.94112268518518516</v>
      </c>
      <c r="Z2569" s="566">
        <v>0.97384259259259265</v>
      </c>
      <c r="AA2569" s="566">
        <f t="shared" si="297"/>
        <v>3.2719907407407489E-2</v>
      </c>
    </row>
    <row r="2570" spans="1:27" x14ac:dyDescent="0.3">
      <c r="A2570" s="79" t="s">
        <v>7964</v>
      </c>
      <c r="C2570" s="115">
        <v>43990</v>
      </c>
      <c r="D2570" s="312">
        <v>44015</v>
      </c>
      <c r="E2570" s="81">
        <v>44008</v>
      </c>
      <c r="F2570" s="86" t="s">
        <v>8020</v>
      </c>
      <c r="G2570" s="86" t="s">
        <v>152</v>
      </c>
      <c r="H2570" s="96" t="s">
        <v>213</v>
      </c>
      <c r="I2570" s="97" t="s">
        <v>649</v>
      </c>
      <c r="J2570" s="73">
        <f t="shared" si="298"/>
        <v>1</v>
      </c>
      <c r="K2570" s="74" t="s">
        <v>204</v>
      </c>
      <c r="L2570" s="97" t="s">
        <v>7879</v>
      </c>
      <c r="N2570" s="76" t="s">
        <v>17</v>
      </c>
      <c r="Q2570" s="76" t="s">
        <v>2109</v>
      </c>
      <c r="R2570" s="73">
        <f t="shared" si="299"/>
        <v>1</v>
      </c>
      <c r="S2570" s="260" t="s">
        <v>1976</v>
      </c>
      <c r="T2570" s="260" t="s">
        <v>923</v>
      </c>
      <c r="U2570" s="301" t="s">
        <v>5283</v>
      </c>
      <c r="V2570" s="301" t="s">
        <v>8097</v>
      </c>
      <c r="Y2570" s="566">
        <v>0.5614351851851852</v>
      </c>
      <c r="Z2570" s="566">
        <v>0.57123842592592589</v>
      </c>
      <c r="AA2570" s="566">
        <f t="shared" si="297"/>
        <v>9.8032407407406819E-3</v>
      </c>
    </row>
    <row r="2571" spans="1:27" x14ac:dyDescent="0.3">
      <c r="A2571" s="79" t="s">
        <v>7965</v>
      </c>
      <c r="C2571" s="115">
        <v>43990</v>
      </c>
      <c r="D2571" s="115">
        <v>44029</v>
      </c>
      <c r="F2571" s="86" t="s">
        <v>8021</v>
      </c>
      <c r="G2571" s="86" t="s">
        <v>177</v>
      </c>
      <c r="H2571" s="96" t="s">
        <v>213</v>
      </c>
      <c r="J2571" s="73">
        <f t="shared" si="298"/>
        <v>1</v>
      </c>
      <c r="K2571" s="74" t="s">
        <v>204</v>
      </c>
      <c r="Q2571" s="76" t="s">
        <v>2417</v>
      </c>
      <c r="R2571" s="73">
        <f t="shared" si="299"/>
        <v>1</v>
      </c>
      <c r="S2571" s="260" t="s">
        <v>1976</v>
      </c>
      <c r="T2571" s="260"/>
      <c r="AA2571" s="566">
        <f t="shared" ref="AA2571:AA2618" si="300">Z2571-Y2571</f>
        <v>0</v>
      </c>
    </row>
    <row r="2572" spans="1:27" x14ac:dyDescent="0.3">
      <c r="A2572" s="79" t="s">
        <v>7966</v>
      </c>
      <c r="C2572" s="115">
        <v>43990</v>
      </c>
      <c r="D2572" s="312">
        <v>44015</v>
      </c>
      <c r="E2572" s="81">
        <v>44008</v>
      </c>
      <c r="F2572" s="86" t="s">
        <v>8022</v>
      </c>
      <c r="G2572" s="86" t="s">
        <v>152</v>
      </c>
      <c r="H2572" s="96" t="s">
        <v>213</v>
      </c>
      <c r="I2572" s="97" t="s">
        <v>649</v>
      </c>
      <c r="J2572" s="73">
        <f t="shared" si="298"/>
        <v>1</v>
      </c>
      <c r="K2572" s="74" t="s">
        <v>204</v>
      </c>
      <c r="L2572" s="97" t="s">
        <v>8105</v>
      </c>
      <c r="N2572" s="76" t="s">
        <v>17</v>
      </c>
      <c r="Q2572" s="76" t="s">
        <v>2109</v>
      </c>
      <c r="R2572" s="73">
        <f t="shared" si="299"/>
        <v>1</v>
      </c>
      <c r="S2572" s="260" t="s">
        <v>1976</v>
      </c>
      <c r="T2572" s="260" t="s">
        <v>924</v>
      </c>
      <c r="U2572" s="301" t="s">
        <v>5283</v>
      </c>
      <c r="V2572" s="301" t="s">
        <v>8106</v>
      </c>
      <c r="Y2572" s="566">
        <v>0.95347222222222217</v>
      </c>
      <c r="Z2572" s="566">
        <v>0.96560185185185177</v>
      </c>
      <c r="AA2572" s="566">
        <f t="shared" si="300"/>
        <v>1.2129629629629601E-2</v>
      </c>
    </row>
    <row r="2573" spans="1:27" x14ac:dyDescent="0.3">
      <c r="A2573" s="79" t="s">
        <v>7967</v>
      </c>
      <c r="C2573" s="115">
        <v>43990</v>
      </c>
      <c r="D2573" s="115">
        <v>44028</v>
      </c>
      <c r="F2573" s="86" t="s">
        <v>8023</v>
      </c>
      <c r="G2573" s="86" t="s">
        <v>410</v>
      </c>
      <c r="H2573" s="96" t="s">
        <v>213</v>
      </c>
      <c r="J2573" s="73">
        <f t="shared" si="298"/>
        <v>1</v>
      </c>
      <c r="K2573" s="74" t="s">
        <v>204</v>
      </c>
      <c r="Q2573" s="76" t="s">
        <v>2109</v>
      </c>
      <c r="R2573" s="73">
        <f t="shared" si="299"/>
        <v>1</v>
      </c>
      <c r="S2573" s="260" t="s">
        <v>1976</v>
      </c>
      <c r="T2573" s="260"/>
      <c r="AA2573" s="566">
        <f t="shared" si="300"/>
        <v>0</v>
      </c>
    </row>
    <row r="2574" spans="1:27" x14ac:dyDescent="0.3">
      <c r="A2574" s="96" t="s">
        <v>7968</v>
      </c>
      <c r="C2574" s="115">
        <v>43991</v>
      </c>
      <c r="D2574" s="312">
        <v>44018</v>
      </c>
      <c r="E2574" s="81">
        <v>44009</v>
      </c>
      <c r="F2574" s="86" t="s">
        <v>8024</v>
      </c>
      <c r="G2574" s="86" t="s">
        <v>152</v>
      </c>
      <c r="H2574" s="96" t="s">
        <v>213</v>
      </c>
      <c r="I2574" s="97" t="s">
        <v>3654</v>
      </c>
      <c r="J2574" s="73">
        <f t="shared" si="298"/>
        <v>1</v>
      </c>
      <c r="K2574" s="74" t="s">
        <v>204</v>
      </c>
      <c r="L2574" s="97" t="s">
        <v>8129</v>
      </c>
      <c r="N2574" s="76" t="s">
        <v>18</v>
      </c>
      <c r="Q2574" s="76" t="s">
        <v>2142</v>
      </c>
      <c r="R2574" s="73">
        <f t="shared" si="299"/>
        <v>1</v>
      </c>
      <c r="S2574" s="260" t="s">
        <v>1976</v>
      </c>
      <c r="T2574" s="260" t="s">
        <v>923</v>
      </c>
      <c r="Y2574" s="566">
        <v>0.39383101851851854</v>
      </c>
      <c r="Z2574" s="566">
        <v>0.44810185185185186</v>
      </c>
      <c r="AA2574" s="566">
        <f t="shared" si="300"/>
        <v>5.4270833333333324E-2</v>
      </c>
    </row>
    <row r="2575" spans="1:27" x14ac:dyDescent="0.3">
      <c r="A2575" s="79" t="s">
        <v>7969</v>
      </c>
      <c r="C2575" s="115">
        <v>43991</v>
      </c>
      <c r="D2575" s="115">
        <v>44032</v>
      </c>
      <c r="F2575" s="86" t="s">
        <v>8025</v>
      </c>
      <c r="G2575" s="86" t="s">
        <v>158</v>
      </c>
      <c r="H2575" s="96" t="s">
        <v>213</v>
      </c>
      <c r="J2575" s="73">
        <f t="shared" si="298"/>
        <v>1</v>
      </c>
      <c r="K2575" s="74" t="s">
        <v>204</v>
      </c>
      <c r="Q2575" s="76" t="s">
        <v>2076</v>
      </c>
      <c r="R2575" s="73">
        <f t="shared" si="299"/>
        <v>1</v>
      </c>
      <c r="S2575" s="260" t="s">
        <v>1976</v>
      </c>
      <c r="T2575" s="260"/>
      <c r="AA2575" s="566">
        <f t="shared" si="300"/>
        <v>0</v>
      </c>
    </row>
    <row r="2576" spans="1:27" x14ac:dyDescent="0.3">
      <c r="A2576" s="96" t="s">
        <v>7970</v>
      </c>
      <c r="C2576" s="115">
        <v>43991</v>
      </c>
      <c r="D2576" s="312">
        <v>44018</v>
      </c>
      <c r="E2576" s="81">
        <v>44011</v>
      </c>
      <c r="F2576" s="86" t="s">
        <v>8026</v>
      </c>
      <c r="G2576" s="86" t="s">
        <v>7515</v>
      </c>
      <c r="H2576" s="96" t="s">
        <v>213</v>
      </c>
      <c r="I2576" s="97" t="s">
        <v>649</v>
      </c>
      <c r="J2576" s="73">
        <f t="shared" si="298"/>
        <v>1</v>
      </c>
      <c r="K2576" s="74" t="s">
        <v>204</v>
      </c>
      <c r="L2576" s="97" t="s">
        <v>7089</v>
      </c>
      <c r="N2576" s="76" t="s">
        <v>17</v>
      </c>
      <c r="Q2576" s="76" t="s">
        <v>2142</v>
      </c>
      <c r="R2576" s="73">
        <f t="shared" si="299"/>
        <v>1</v>
      </c>
      <c r="S2576" s="260" t="s">
        <v>1976</v>
      </c>
      <c r="T2576" s="260" t="s">
        <v>925</v>
      </c>
      <c r="Y2576" s="566">
        <v>0.43725694444444446</v>
      </c>
      <c r="Z2576" s="566">
        <v>0.46289351851851851</v>
      </c>
      <c r="AA2576" s="566">
        <f t="shared" si="300"/>
        <v>2.5636574074074048E-2</v>
      </c>
    </row>
    <row r="2577" spans="1:27" x14ac:dyDescent="0.3">
      <c r="A2577" s="79" t="s">
        <v>7971</v>
      </c>
      <c r="C2577" s="115">
        <v>43991</v>
      </c>
      <c r="D2577" s="115">
        <v>44029</v>
      </c>
      <c r="F2577" s="86" t="s">
        <v>8027</v>
      </c>
      <c r="G2577" s="86" t="s">
        <v>154</v>
      </c>
      <c r="H2577" s="96" t="s">
        <v>213</v>
      </c>
      <c r="J2577" s="73">
        <f t="shared" si="298"/>
        <v>1</v>
      </c>
      <c r="K2577" s="74" t="s">
        <v>204</v>
      </c>
      <c r="Q2577" s="76" t="s">
        <v>2076</v>
      </c>
      <c r="R2577" s="73">
        <f t="shared" si="299"/>
        <v>1</v>
      </c>
      <c r="S2577" s="260" t="s">
        <v>1976</v>
      </c>
      <c r="T2577" s="260"/>
      <c r="AA2577" s="566">
        <f t="shared" si="300"/>
        <v>0</v>
      </c>
    </row>
    <row r="2578" spans="1:27" x14ac:dyDescent="0.3">
      <c r="A2578" s="79" t="s">
        <v>7972</v>
      </c>
      <c r="C2578" s="115">
        <v>43991</v>
      </c>
      <c r="D2578" s="115">
        <v>44032</v>
      </c>
      <c r="F2578" s="86" t="s">
        <v>8028</v>
      </c>
      <c r="G2578" s="86" t="s">
        <v>152</v>
      </c>
      <c r="H2578" s="96" t="s">
        <v>213</v>
      </c>
      <c r="J2578" s="73">
        <f t="shared" si="298"/>
        <v>1</v>
      </c>
      <c r="K2578" s="74" t="s">
        <v>204</v>
      </c>
      <c r="Q2578" s="76" t="s">
        <v>2076</v>
      </c>
      <c r="R2578" s="73">
        <f t="shared" si="299"/>
        <v>1</v>
      </c>
      <c r="S2578" s="260" t="s">
        <v>1976</v>
      </c>
      <c r="T2578" s="260"/>
      <c r="AA2578" s="566">
        <f t="shared" si="300"/>
        <v>0</v>
      </c>
    </row>
    <row r="2579" spans="1:27" x14ac:dyDescent="0.3">
      <c r="A2579" s="79" t="s">
        <v>7973</v>
      </c>
      <c r="C2579" s="115">
        <v>43991</v>
      </c>
      <c r="D2579" s="115">
        <v>44029</v>
      </c>
      <c r="F2579" s="86" t="s">
        <v>8029</v>
      </c>
      <c r="G2579" s="86" t="s">
        <v>147</v>
      </c>
      <c r="H2579" s="96" t="s">
        <v>213</v>
      </c>
      <c r="J2579" s="73">
        <f t="shared" si="298"/>
        <v>1</v>
      </c>
      <c r="K2579" s="74" t="s">
        <v>204</v>
      </c>
      <c r="Q2579" s="76" t="s">
        <v>2076</v>
      </c>
      <c r="R2579" s="73">
        <f t="shared" si="299"/>
        <v>1</v>
      </c>
      <c r="S2579" s="260" t="s">
        <v>1976</v>
      </c>
      <c r="T2579" s="260"/>
      <c r="AA2579" s="566">
        <f t="shared" si="300"/>
        <v>0</v>
      </c>
    </row>
    <row r="2580" spans="1:27" x14ac:dyDescent="0.3">
      <c r="A2580" s="79" t="s">
        <v>7974</v>
      </c>
      <c r="C2580" s="115">
        <v>43992</v>
      </c>
      <c r="D2580" s="312">
        <v>44018</v>
      </c>
      <c r="E2580" s="81">
        <v>44008</v>
      </c>
      <c r="F2580" s="252" t="s">
        <v>8030</v>
      </c>
      <c r="G2580" s="86" t="s">
        <v>152</v>
      </c>
      <c r="H2580" s="96" t="s">
        <v>213</v>
      </c>
      <c r="I2580" s="97" t="s">
        <v>649</v>
      </c>
      <c r="J2580" s="73">
        <f t="shared" si="298"/>
        <v>1</v>
      </c>
      <c r="K2580" s="74" t="s">
        <v>204</v>
      </c>
      <c r="L2580" s="97" t="s">
        <v>8103</v>
      </c>
      <c r="Q2580" s="76" t="s">
        <v>2417</v>
      </c>
      <c r="R2580" s="73">
        <f t="shared" si="299"/>
        <v>1</v>
      </c>
      <c r="S2580" s="260" t="s">
        <v>1976</v>
      </c>
      <c r="T2580" s="260" t="s">
        <v>923</v>
      </c>
      <c r="Y2580" s="566">
        <v>0.70019675925925917</v>
      </c>
      <c r="Z2580" s="566">
        <v>0.70824074074074073</v>
      </c>
      <c r="AA2580" s="566">
        <f t="shared" si="300"/>
        <v>8.0439814814815547E-3</v>
      </c>
    </row>
    <row r="2581" spans="1:27" x14ac:dyDescent="0.3">
      <c r="A2581" s="79" t="s">
        <v>8139</v>
      </c>
      <c r="C2581" s="115">
        <v>43915</v>
      </c>
      <c r="D2581" s="312">
        <v>44020</v>
      </c>
      <c r="E2581" s="81">
        <v>44013</v>
      </c>
      <c r="F2581" s="86" t="s">
        <v>8181</v>
      </c>
      <c r="G2581" s="86" t="s">
        <v>147</v>
      </c>
      <c r="H2581" s="96" t="s">
        <v>213</v>
      </c>
      <c r="I2581" s="97" t="s">
        <v>642</v>
      </c>
      <c r="J2581" s="73">
        <f t="shared" ref="J2581" si="301">IF(OR(K2581="Документы готовы",K2581="Запрос в ФО",K2581="ЭЗ",K2581="РЕШ",K2581="РЕШ шаблон"),0.1,IF(OR(K2581="ЭЗ согласование",K2581="РЕШ согласование"),0.3,IF(OR(K2581="ЭЗ согласовано",K2581="РЕШ согласовано",K2581="РЕШ подписано"),0.6,IF(OR(K2581="ЭЗ ПР согласование",K2581="РЕШ УВ согласование"),0.9,IF(OR(K2581="ЭЗ ПР DONE",K2581="РЕШ УВ DONE"),1,0)))))</f>
        <v>1</v>
      </c>
      <c r="K2581" s="74" t="s">
        <v>204</v>
      </c>
      <c r="L2581" s="97" t="s">
        <v>7110</v>
      </c>
      <c r="N2581" s="76" t="s">
        <v>18</v>
      </c>
      <c r="Q2581" s="76" t="s">
        <v>2417</v>
      </c>
      <c r="R2581" s="73">
        <f t="shared" si="299"/>
        <v>1</v>
      </c>
      <c r="S2581" s="260" t="s">
        <v>1976</v>
      </c>
      <c r="T2581" s="260" t="s">
        <v>924</v>
      </c>
      <c r="Y2581" s="566">
        <v>0.31491898148148151</v>
      </c>
      <c r="Z2581" s="566">
        <v>0.32159722222222226</v>
      </c>
      <c r="AA2581" s="566">
        <f t="shared" si="300"/>
        <v>6.6782407407407485E-3</v>
      </c>
    </row>
    <row r="2582" spans="1:27" x14ac:dyDescent="0.3">
      <c r="A2582" s="79" t="s">
        <v>8140</v>
      </c>
      <c r="C2582" s="115">
        <v>43949</v>
      </c>
      <c r="D2582" s="312">
        <v>44021</v>
      </c>
      <c r="E2582" s="81">
        <v>44012</v>
      </c>
      <c r="F2582" s="86" t="s">
        <v>2210</v>
      </c>
      <c r="G2582" s="86" t="s">
        <v>158</v>
      </c>
      <c r="H2582" s="96" t="s">
        <v>213</v>
      </c>
      <c r="I2582" s="97" t="s">
        <v>657</v>
      </c>
      <c r="J2582" s="73">
        <f t="shared" ref="J2582:J2624" si="302">IF(OR(K2582="Документы готовы",K2582="Запрос в ФО",K2582="ЭЗ",K2582="РЕШ",K2582="РЕШ шаблон"),0.1,IF(OR(K2582="ЭЗ согласование",K2582="РЕШ согласование"),0.3,IF(OR(K2582="ЭЗ согласовано",K2582="РЕШ согласовано",K2582="РЕШ подписано"),0.6,IF(OR(K2582="ЭЗ ПР согласование",K2582="РЕШ УВ согласование"),0.9,IF(OR(K2582="ЭЗ ПР DONE",K2582="РЕШ УВ DONE"),1,0)))))</f>
        <v>1</v>
      </c>
      <c r="K2582" s="74" t="s">
        <v>204</v>
      </c>
      <c r="L2582" s="97" t="s">
        <v>8346</v>
      </c>
      <c r="N2582" s="76" t="s">
        <v>17</v>
      </c>
      <c r="Q2582" s="76" t="s">
        <v>2142</v>
      </c>
      <c r="R2582" s="73">
        <f t="shared" ref="R2582:R2624" si="303">IF(S2582="В работе",0.3,IF(S2582="Отписано",0.6,IF(S2582="На доработку",0.9,IF(S2582="Согласовано",1,0))))</f>
        <v>1</v>
      </c>
      <c r="S2582" s="260" t="s">
        <v>1976</v>
      </c>
      <c r="T2582" s="260" t="s">
        <v>923</v>
      </c>
      <c r="Y2582" s="566">
        <v>0.60159722222222223</v>
      </c>
      <c r="Z2582" s="566">
        <v>0.71546296296296286</v>
      </c>
      <c r="AA2582" s="566">
        <f t="shared" si="300"/>
        <v>0.11386574074074063</v>
      </c>
    </row>
    <row r="2583" spans="1:27" x14ac:dyDescent="0.3">
      <c r="A2583" s="79" t="s">
        <v>8141</v>
      </c>
      <c r="C2583" s="115">
        <v>43951</v>
      </c>
      <c r="D2583" s="312">
        <v>44021</v>
      </c>
      <c r="E2583" s="81">
        <v>44014</v>
      </c>
      <c r="F2583" s="86" t="s">
        <v>8182</v>
      </c>
      <c r="G2583" s="86" t="s">
        <v>158</v>
      </c>
      <c r="H2583" s="96" t="s">
        <v>213</v>
      </c>
      <c r="I2583" s="97" t="s">
        <v>714</v>
      </c>
      <c r="J2583" s="73">
        <f t="shared" si="302"/>
        <v>1</v>
      </c>
      <c r="K2583" s="74" t="s">
        <v>204</v>
      </c>
      <c r="L2583" s="97" t="s">
        <v>7072</v>
      </c>
      <c r="N2583" s="76" t="s">
        <v>17</v>
      </c>
      <c r="Q2583" s="76" t="s">
        <v>2142</v>
      </c>
      <c r="R2583" s="73">
        <f t="shared" si="303"/>
        <v>1</v>
      </c>
      <c r="S2583" s="260" t="s">
        <v>1976</v>
      </c>
      <c r="T2583" s="260" t="s">
        <v>924</v>
      </c>
      <c r="Y2583" s="566">
        <v>0.55980324074074073</v>
      </c>
      <c r="Z2583" s="566">
        <v>0.56555555555555559</v>
      </c>
      <c r="AA2583" s="566">
        <f t="shared" si="300"/>
        <v>5.7523148148148628E-3</v>
      </c>
    </row>
    <row r="2584" spans="1:27" x14ac:dyDescent="0.3">
      <c r="A2584" s="79" t="s">
        <v>8142</v>
      </c>
      <c r="C2584" s="115">
        <v>43971</v>
      </c>
      <c r="D2584" s="312">
        <v>44019</v>
      </c>
      <c r="E2584" s="81">
        <v>44011</v>
      </c>
      <c r="F2584" s="86" t="s">
        <v>8183</v>
      </c>
      <c r="G2584" s="86" t="s">
        <v>152</v>
      </c>
      <c r="H2584" s="96" t="s">
        <v>213</v>
      </c>
      <c r="I2584" s="97" t="s">
        <v>649</v>
      </c>
      <c r="J2584" s="73">
        <f t="shared" si="302"/>
        <v>1</v>
      </c>
      <c r="K2584" s="74" t="s">
        <v>204</v>
      </c>
      <c r="L2584" s="97" t="s">
        <v>7060</v>
      </c>
      <c r="N2584" s="76" t="s">
        <v>17</v>
      </c>
      <c r="Q2584" s="76" t="s">
        <v>2417</v>
      </c>
      <c r="R2584" s="73">
        <f t="shared" si="303"/>
        <v>1</v>
      </c>
      <c r="S2584" s="260" t="s">
        <v>1976</v>
      </c>
      <c r="T2584" s="260" t="s">
        <v>923</v>
      </c>
      <c r="Y2584" s="566">
        <v>0.84679398148148144</v>
      </c>
      <c r="Z2584" s="566">
        <v>0.85663194444444446</v>
      </c>
      <c r="AA2584" s="566">
        <f t="shared" si="300"/>
        <v>9.8379629629630205E-3</v>
      </c>
    </row>
    <row r="2585" spans="1:27" x14ac:dyDescent="0.3">
      <c r="A2585" s="96" t="s">
        <v>8143</v>
      </c>
      <c r="C2585" s="115">
        <v>43976</v>
      </c>
      <c r="D2585" s="312">
        <v>44022</v>
      </c>
      <c r="E2585" s="81">
        <v>44015</v>
      </c>
      <c r="F2585" s="86" t="s">
        <v>8184</v>
      </c>
      <c r="G2585" s="86" t="s">
        <v>152</v>
      </c>
      <c r="H2585" s="96" t="s">
        <v>213</v>
      </c>
      <c r="I2585" s="97" t="s">
        <v>649</v>
      </c>
      <c r="J2585" s="73">
        <f t="shared" si="302"/>
        <v>1</v>
      </c>
      <c r="K2585" s="74" t="s">
        <v>204</v>
      </c>
      <c r="L2585" s="97" t="s">
        <v>8405</v>
      </c>
      <c r="N2585" s="76" t="s">
        <v>18</v>
      </c>
      <c r="Q2585" s="76" t="s">
        <v>2417</v>
      </c>
      <c r="R2585" s="73">
        <f t="shared" si="303"/>
        <v>1</v>
      </c>
      <c r="S2585" s="260" t="s">
        <v>1976</v>
      </c>
      <c r="T2585" s="260" t="s">
        <v>923</v>
      </c>
      <c r="Y2585" s="566">
        <v>0.57732638888888888</v>
      </c>
      <c r="Z2585" s="566">
        <v>0.5948148148148148</v>
      </c>
      <c r="AA2585" s="566">
        <f t="shared" si="300"/>
        <v>1.7488425925925921E-2</v>
      </c>
    </row>
    <row r="2586" spans="1:27" x14ac:dyDescent="0.3">
      <c r="A2586" s="79" t="s">
        <v>7447</v>
      </c>
      <c r="C2586" s="115">
        <v>43979</v>
      </c>
      <c r="D2586" s="312">
        <v>44019</v>
      </c>
      <c r="E2586" s="81">
        <v>44011</v>
      </c>
      <c r="F2586" s="252" t="s">
        <v>7514</v>
      </c>
      <c r="G2586" s="86" t="s">
        <v>7515</v>
      </c>
      <c r="H2586" s="96" t="s">
        <v>213</v>
      </c>
      <c r="I2586" s="97" t="s">
        <v>642</v>
      </c>
      <c r="J2586" s="73">
        <f t="shared" si="302"/>
        <v>1</v>
      </c>
      <c r="K2586" s="74" t="s">
        <v>204</v>
      </c>
      <c r="L2586" s="97" t="s">
        <v>8286</v>
      </c>
      <c r="N2586" s="76" t="s">
        <v>18</v>
      </c>
      <c r="Q2586" s="76" t="s">
        <v>2076</v>
      </c>
      <c r="R2586" s="73">
        <f t="shared" si="303"/>
        <v>1</v>
      </c>
      <c r="S2586" s="260" t="s">
        <v>1976</v>
      </c>
      <c r="T2586" s="260" t="s">
        <v>923</v>
      </c>
      <c r="Y2586" s="566">
        <v>0.68793981481481481</v>
      </c>
      <c r="Z2586" s="566">
        <v>0.69769675925925922</v>
      </c>
      <c r="AA2586" s="566">
        <f t="shared" si="300"/>
        <v>9.7569444444444153E-3</v>
      </c>
    </row>
    <row r="2587" spans="1:27" x14ac:dyDescent="0.3">
      <c r="A2587" s="79" t="s">
        <v>7448</v>
      </c>
      <c r="C2587" s="115">
        <v>43979</v>
      </c>
      <c r="D2587" s="312">
        <v>44019</v>
      </c>
      <c r="E2587" s="81">
        <v>44011</v>
      </c>
      <c r="F2587" s="86" t="s">
        <v>7516</v>
      </c>
      <c r="G2587" s="86" t="s">
        <v>150</v>
      </c>
      <c r="H2587" s="96" t="s">
        <v>213</v>
      </c>
      <c r="I2587" s="97" t="s">
        <v>642</v>
      </c>
      <c r="J2587" s="73">
        <f t="shared" si="302"/>
        <v>1</v>
      </c>
      <c r="K2587" s="74" t="s">
        <v>204</v>
      </c>
      <c r="L2587" s="97" t="s">
        <v>7110</v>
      </c>
      <c r="N2587" s="76" t="s">
        <v>18</v>
      </c>
      <c r="Q2587" s="76" t="s">
        <v>2417</v>
      </c>
      <c r="R2587" s="73">
        <f t="shared" si="303"/>
        <v>1</v>
      </c>
      <c r="S2587" s="260" t="s">
        <v>1976</v>
      </c>
      <c r="T2587" s="260" t="s">
        <v>923</v>
      </c>
      <c r="Y2587" s="566">
        <v>0.55930555555555561</v>
      </c>
      <c r="Z2587" s="566">
        <v>0.56589120370370372</v>
      </c>
      <c r="AA2587" s="566">
        <f t="shared" si="300"/>
        <v>6.5856481481481044E-3</v>
      </c>
    </row>
    <row r="2588" spans="1:27" x14ac:dyDescent="0.3">
      <c r="A2588" s="79" t="s">
        <v>7642</v>
      </c>
      <c r="C2588" s="115">
        <v>43979</v>
      </c>
      <c r="D2588" s="312">
        <v>44020</v>
      </c>
      <c r="E2588" s="81">
        <v>44012</v>
      </c>
      <c r="F2588" s="86" t="s">
        <v>7679</v>
      </c>
      <c r="G2588" s="86" t="s">
        <v>158</v>
      </c>
      <c r="H2588" s="96" t="s">
        <v>213</v>
      </c>
      <c r="I2588" s="97" t="s">
        <v>642</v>
      </c>
      <c r="J2588" s="73">
        <f t="shared" si="302"/>
        <v>1</v>
      </c>
      <c r="K2588" s="74" t="s">
        <v>204</v>
      </c>
      <c r="L2588" s="97" t="s">
        <v>8302</v>
      </c>
      <c r="N2588" s="76" t="s">
        <v>18</v>
      </c>
      <c r="Q2588" s="76" t="s">
        <v>2076</v>
      </c>
      <c r="R2588" s="73">
        <f t="shared" si="303"/>
        <v>1</v>
      </c>
      <c r="S2588" s="260" t="s">
        <v>1976</v>
      </c>
      <c r="T2588" s="260" t="s">
        <v>924</v>
      </c>
      <c r="Y2588" s="566">
        <v>0.41530092592592593</v>
      </c>
      <c r="Z2588" s="566">
        <v>0.48547453703703702</v>
      </c>
      <c r="AA2588" s="566">
        <f t="shared" si="300"/>
        <v>7.0173611111111089E-2</v>
      </c>
    </row>
    <row r="2589" spans="1:27" x14ac:dyDescent="0.3">
      <c r="A2589" s="79" t="s">
        <v>7450</v>
      </c>
      <c r="C2589" s="115">
        <v>43979</v>
      </c>
      <c r="D2589" s="312">
        <v>44019</v>
      </c>
      <c r="E2589" s="81">
        <v>44011</v>
      </c>
      <c r="F2589" s="86" t="s">
        <v>7518</v>
      </c>
      <c r="G2589" s="86" t="s">
        <v>150</v>
      </c>
      <c r="H2589" s="96" t="s">
        <v>213</v>
      </c>
      <c r="I2589" s="97" t="s">
        <v>714</v>
      </c>
      <c r="J2589" s="73">
        <f t="shared" si="302"/>
        <v>1</v>
      </c>
      <c r="K2589" s="74" t="s">
        <v>204</v>
      </c>
      <c r="L2589" s="97" t="s">
        <v>7611</v>
      </c>
      <c r="N2589" s="76" t="s">
        <v>17</v>
      </c>
      <c r="Q2589" s="76" t="s">
        <v>2142</v>
      </c>
      <c r="R2589" s="73">
        <f t="shared" si="303"/>
        <v>1</v>
      </c>
      <c r="S2589" s="260" t="s">
        <v>1976</v>
      </c>
      <c r="T2589" s="260" t="s">
        <v>925</v>
      </c>
      <c r="Y2589" s="566">
        <v>0.46528935185185188</v>
      </c>
      <c r="Z2589" s="566">
        <v>0.48966435185185181</v>
      </c>
      <c r="AA2589" s="566">
        <f t="shared" si="300"/>
        <v>2.4374999999999925E-2</v>
      </c>
    </row>
    <row r="2590" spans="1:27" x14ac:dyDescent="0.3">
      <c r="A2590" s="79" t="s">
        <v>7452</v>
      </c>
      <c r="C2590" s="115">
        <v>43979</v>
      </c>
      <c r="D2590" s="312">
        <v>44019</v>
      </c>
      <c r="E2590" s="81">
        <v>44011</v>
      </c>
      <c r="F2590" s="86" t="s">
        <v>7520</v>
      </c>
      <c r="G2590" s="86" t="s">
        <v>156</v>
      </c>
      <c r="H2590" s="96" t="s">
        <v>213</v>
      </c>
      <c r="I2590" s="97" t="s">
        <v>714</v>
      </c>
      <c r="J2590" s="73">
        <f t="shared" si="302"/>
        <v>1</v>
      </c>
      <c r="K2590" s="74" t="s">
        <v>204</v>
      </c>
      <c r="L2590" s="97" t="s">
        <v>7336</v>
      </c>
      <c r="N2590" s="76" t="s">
        <v>18</v>
      </c>
      <c r="Q2590" s="76" t="s">
        <v>2109</v>
      </c>
      <c r="R2590" s="73">
        <f t="shared" si="303"/>
        <v>1</v>
      </c>
      <c r="S2590" s="260" t="s">
        <v>1976</v>
      </c>
      <c r="T2590" s="260" t="s">
        <v>923</v>
      </c>
      <c r="U2590" s="76" t="s">
        <v>5283</v>
      </c>
      <c r="V2590" s="301" t="s">
        <v>8283</v>
      </c>
      <c r="Y2590" s="566">
        <v>0.63645833333333335</v>
      </c>
      <c r="Z2590" s="566">
        <v>0.65777777777777779</v>
      </c>
      <c r="AA2590" s="566">
        <f t="shared" si="300"/>
        <v>2.1319444444444446E-2</v>
      </c>
    </row>
    <row r="2591" spans="1:27" x14ac:dyDescent="0.3">
      <c r="A2591" s="79" t="s">
        <v>7645</v>
      </c>
      <c r="C2591" s="115">
        <v>43979</v>
      </c>
      <c r="D2591" s="312">
        <v>44020</v>
      </c>
      <c r="E2591" s="81">
        <v>44013</v>
      </c>
      <c r="F2591" s="86" t="s">
        <v>7682</v>
      </c>
      <c r="G2591" s="86" t="s">
        <v>156</v>
      </c>
      <c r="H2591" s="96" t="s">
        <v>213</v>
      </c>
      <c r="I2591" s="97" t="s">
        <v>714</v>
      </c>
      <c r="J2591" s="73">
        <f t="shared" si="302"/>
        <v>1</v>
      </c>
      <c r="K2591" s="74" t="s">
        <v>204</v>
      </c>
      <c r="L2591" s="97" t="s">
        <v>7336</v>
      </c>
      <c r="N2591" s="76" t="s">
        <v>18</v>
      </c>
      <c r="Q2591" s="76" t="s">
        <v>2109</v>
      </c>
      <c r="R2591" s="73">
        <f t="shared" si="303"/>
        <v>1</v>
      </c>
      <c r="S2591" s="260" t="s">
        <v>1976</v>
      </c>
      <c r="T2591" s="260" t="s">
        <v>924</v>
      </c>
      <c r="Y2591" s="566">
        <v>0.28666666666666668</v>
      </c>
      <c r="Z2591" s="566">
        <v>0.31269675925925927</v>
      </c>
      <c r="AA2591" s="566">
        <f t="shared" si="300"/>
        <v>2.6030092592592591E-2</v>
      </c>
    </row>
    <row r="2592" spans="1:27" x14ac:dyDescent="0.3">
      <c r="A2592" s="79" t="s">
        <v>7646</v>
      </c>
      <c r="C2592" s="115">
        <v>43979</v>
      </c>
      <c r="D2592" s="312">
        <v>44020</v>
      </c>
      <c r="E2592" s="81">
        <v>44012</v>
      </c>
      <c r="F2592" s="86" t="s">
        <v>7683</v>
      </c>
      <c r="G2592" s="86" t="s">
        <v>2718</v>
      </c>
      <c r="H2592" s="96" t="s">
        <v>213</v>
      </c>
      <c r="I2592" s="97" t="s">
        <v>714</v>
      </c>
      <c r="J2592" s="73">
        <f t="shared" si="302"/>
        <v>1</v>
      </c>
      <c r="K2592" s="74" t="s">
        <v>204</v>
      </c>
      <c r="L2592" s="97" t="s">
        <v>7336</v>
      </c>
      <c r="N2592" s="76" t="s">
        <v>18</v>
      </c>
      <c r="Q2592" s="76" t="s">
        <v>2109</v>
      </c>
      <c r="R2592" s="73">
        <f t="shared" si="303"/>
        <v>1</v>
      </c>
      <c r="S2592" s="260" t="s">
        <v>1976</v>
      </c>
      <c r="T2592" s="260" t="s">
        <v>923</v>
      </c>
      <c r="Y2592" s="566">
        <v>0.74111111111111105</v>
      </c>
      <c r="Z2592" s="566">
        <v>0.76215277777777779</v>
      </c>
      <c r="AA2592" s="566">
        <f t="shared" si="300"/>
        <v>2.1041666666666736E-2</v>
      </c>
    </row>
    <row r="2593" spans="1:27" x14ac:dyDescent="0.3">
      <c r="A2593" s="79" t="s">
        <v>7648</v>
      </c>
      <c r="C2593" s="115">
        <v>43979</v>
      </c>
      <c r="D2593" s="312">
        <v>44020</v>
      </c>
      <c r="E2593" s="81">
        <v>44013</v>
      </c>
      <c r="F2593" s="86" t="s">
        <v>7685</v>
      </c>
      <c r="G2593" s="86" t="s">
        <v>189</v>
      </c>
      <c r="H2593" s="96" t="s">
        <v>213</v>
      </c>
      <c r="I2593" s="97" t="s">
        <v>642</v>
      </c>
      <c r="J2593" s="73">
        <f t="shared" si="302"/>
        <v>1</v>
      </c>
      <c r="K2593" s="74" t="s">
        <v>204</v>
      </c>
      <c r="L2593" s="97" t="s">
        <v>7110</v>
      </c>
      <c r="N2593" s="76" t="s">
        <v>18</v>
      </c>
      <c r="Q2593" s="76" t="s">
        <v>2417</v>
      </c>
      <c r="R2593" s="73">
        <f t="shared" si="303"/>
        <v>1</v>
      </c>
      <c r="S2593" s="260" t="s">
        <v>1976</v>
      </c>
      <c r="T2593" s="260" t="s">
        <v>925</v>
      </c>
      <c r="Y2593" s="566">
        <v>0.32232638888888893</v>
      </c>
      <c r="Z2593" s="566">
        <v>0.32996527777777779</v>
      </c>
      <c r="AA2593" s="566">
        <f t="shared" si="300"/>
        <v>7.6388888888888618E-3</v>
      </c>
    </row>
    <row r="2594" spans="1:27" x14ac:dyDescent="0.3">
      <c r="A2594" s="79" t="s">
        <v>8144</v>
      </c>
      <c r="C2594" s="115">
        <v>43980</v>
      </c>
      <c r="D2594" s="312">
        <v>44021</v>
      </c>
      <c r="E2594" s="81">
        <v>44014</v>
      </c>
      <c r="F2594" s="86" t="s">
        <v>8185</v>
      </c>
      <c r="G2594" s="86" t="s">
        <v>152</v>
      </c>
      <c r="H2594" s="96" t="s">
        <v>213</v>
      </c>
      <c r="I2594" s="97" t="s">
        <v>642</v>
      </c>
      <c r="J2594" s="73">
        <f t="shared" si="302"/>
        <v>1</v>
      </c>
      <c r="K2594" s="74" t="s">
        <v>204</v>
      </c>
      <c r="L2594" s="97" t="s">
        <v>7110</v>
      </c>
      <c r="N2594" s="76" t="s">
        <v>18</v>
      </c>
      <c r="Q2594" s="76" t="s">
        <v>2142</v>
      </c>
      <c r="R2594" s="73">
        <f t="shared" si="303"/>
        <v>1</v>
      </c>
      <c r="S2594" s="260" t="s">
        <v>1976</v>
      </c>
      <c r="T2594" s="260" t="s">
        <v>925</v>
      </c>
      <c r="Y2594" s="566">
        <v>0.57723379629629623</v>
      </c>
      <c r="Z2594" s="566">
        <v>0.58128472222222227</v>
      </c>
      <c r="AA2594" s="566">
        <f t="shared" si="300"/>
        <v>4.0509259259260411E-3</v>
      </c>
    </row>
    <row r="2595" spans="1:27" x14ac:dyDescent="0.3">
      <c r="A2595" s="79" t="s">
        <v>7650</v>
      </c>
      <c r="C2595" s="115">
        <v>43980</v>
      </c>
      <c r="D2595" s="312">
        <v>44020</v>
      </c>
      <c r="E2595" s="81">
        <v>44012</v>
      </c>
      <c r="F2595" s="86" t="s">
        <v>7687</v>
      </c>
      <c r="G2595" s="86" t="s">
        <v>150</v>
      </c>
      <c r="H2595" s="96" t="s">
        <v>213</v>
      </c>
      <c r="I2595" s="97" t="s">
        <v>714</v>
      </c>
      <c r="J2595" s="73">
        <f t="shared" si="302"/>
        <v>1</v>
      </c>
      <c r="K2595" s="74" t="s">
        <v>204</v>
      </c>
      <c r="L2595" s="97" t="s">
        <v>7349</v>
      </c>
      <c r="N2595" s="76" t="s">
        <v>17</v>
      </c>
      <c r="Q2595" s="76" t="s">
        <v>2076</v>
      </c>
      <c r="R2595" s="73">
        <f t="shared" si="303"/>
        <v>1</v>
      </c>
      <c r="S2595" s="260" t="s">
        <v>1976</v>
      </c>
      <c r="T2595" s="260" t="s">
        <v>925</v>
      </c>
      <c r="Y2595" s="566">
        <v>0.50513888888888892</v>
      </c>
      <c r="Z2595" s="566">
        <v>0.51840277777777777</v>
      </c>
      <c r="AA2595" s="566">
        <f t="shared" si="300"/>
        <v>1.3263888888888853E-2</v>
      </c>
    </row>
    <row r="2596" spans="1:27" x14ac:dyDescent="0.3">
      <c r="A2596" s="79" t="s">
        <v>7651</v>
      </c>
      <c r="C2596" s="115">
        <v>43979</v>
      </c>
      <c r="D2596" s="312">
        <v>44020</v>
      </c>
      <c r="E2596" s="81">
        <v>44011</v>
      </c>
      <c r="F2596" s="86" t="s">
        <v>7688</v>
      </c>
      <c r="G2596" s="86" t="s">
        <v>156</v>
      </c>
      <c r="H2596" s="96" t="s">
        <v>213</v>
      </c>
      <c r="I2596" s="97" t="s">
        <v>714</v>
      </c>
      <c r="J2596" s="73">
        <f t="shared" si="302"/>
        <v>1</v>
      </c>
      <c r="K2596" s="74" t="s">
        <v>204</v>
      </c>
      <c r="L2596" s="97" t="s">
        <v>8287</v>
      </c>
      <c r="N2596" s="76" t="s">
        <v>17</v>
      </c>
      <c r="Q2596" s="76" t="s">
        <v>2142</v>
      </c>
      <c r="R2596" s="73">
        <f t="shared" si="303"/>
        <v>1</v>
      </c>
      <c r="S2596" s="260" t="s">
        <v>1976</v>
      </c>
      <c r="T2596" s="260" t="s">
        <v>925</v>
      </c>
      <c r="Y2596" s="566">
        <v>0.69846064814814823</v>
      </c>
      <c r="Z2596" s="566">
        <v>0.71680555555555558</v>
      </c>
      <c r="AA2596" s="566">
        <f t="shared" si="300"/>
        <v>1.8344907407407351E-2</v>
      </c>
    </row>
    <row r="2597" spans="1:27" x14ac:dyDescent="0.3">
      <c r="A2597" s="79" t="s">
        <v>7652</v>
      </c>
      <c r="C2597" s="115">
        <v>43980</v>
      </c>
      <c r="D2597" s="312">
        <v>44021</v>
      </c>
      <c r="E2597" s="81">
        <v>44014</v>
      </c>
      <c r="F2597" s="86" t="s">
        <v>7689</v>
      </c>
      <c r="G2597" s="86" t="s">
        <v>154</v>
      </c>
      <c r="H2597" s="96" t="s">
        <v>213</v>
      </c>
      <c r="I2597" s="97" t="s">
        <v>714</v>
      </c>
      <c r="J2597" s="73">
        <f t="shared" si="302"/>
        <v>1</v>
      </c>
      <c r="K2597" s="74" t="s">
        <v>204</v>
      </c>
      <c r="L2597" s="97" t="s">
        <v>8370</v>
      </c>
      <c r="N2597" s="76" t="s">
        <v>18</v>
      </c>
      <c r="Q2597" s="76" t="s">
        <v>2417</v>
      </c>
      <c r="R2597" s="73">
        <f t="shared" si="303"/>
        <v>1</v>
      </c>
      <c r="S2597" s="260" t="s">
        <v>1976</v>
      </c>
      <c r="T2597" s="260" t="s">
        <v>925</v>
      </c>
      <c r="Y2597" s="566">
        <v>0.71748842592592599</v>
      </c>
      <c r="Z2597" s="566">
        <v>0.72743055555555547</v>
      </c>
      <c r="AA2597" s="566">
        <f t="shared" si="300"/>
        <v>9.9421296296294814E-3</v>
      </c>
    </row>
    <row r="2598" spans="1:27" x14ac:dyDescent="0.3">
      <c r="A2598" s="79" t="s">
        <v>7657</v>
      </c>
      <c r="C2598" s="115">
        <v>43980</v>
      </c>
      <c r="D2598" s="312">
        <v>44021</v>
      </c>
      <c r="E2598" s="81">
        <v>44014</v>
      </c>
      <c r="F2598" s="86" t="s">
        <v>7694</v>
      </c>
      <c r="G2598" s="86" t="s">
        <v>147</v>
      </c>
      <c r="H2598" s="96" t="s">
        <v>213</v>
      </c>
      <c r="I2598" s="97" t="s">
        <v>714</v>
      </c>
      <c r="J2598" s="73">
        <f t="shared" si="302"/>
        <v>1</v>
      </c>
      <c r="K2598" s="74" t="s">
        <v>204</v>
      </c>
      <c r="L2598" s="97" t="s">
        <v>7334</v>
      </c>
      <c r="N2598" s="76" t="s">
        <v>18</v>
      </c>
      <c r="Q2598" s="76" t="s">
        <v>2076</v>
      </c>
      <c r="R2598" s="73">
        <f t="shared" si="303"/>
        <v>1</v>
      </c>
      <c r="S2598" s="260" t="s">
        <v>1976</v>
      </c>
      <c r="T2598" s="260" t="s">
        <v>923</v>
      </c>
      <c r="Y2598" s="566">
        <v>0.43271990740740746</v>
      </c>
      <c r="Z2598" s="566">
        <v>0.45457175925925924</v>
      </c>
      <c r="AA2598" s="566">
        <f t="shared" si="300"/>
        <v>2.1851851851851789E-2</v>
      </c>
    </row>
    <row r="2599" spans="1:27" x14ac:dyDescent="0.3">
      <c r="A2599" s="79" t="s">
        <v>7660</v>
      </c>
      <c r="C2599" s="115">
        <v>43983</v>
      </c>
      <c r="D2599" s="312">
        <v>44021</v>
      </c>
      <c r="E2599" s="81">
        <v>44014</v>
      </c>
      <c r="F2599" s="86" t="s">
        <v>7697</v>
      </c>
      <c r="G2599" s="86" t="s">
        <v>154</v>
      </c>
      <c r="H2599" s="96" t="s">
        <v>213</v>
      </c>
      <c r="I2599" s="97" t="s">
        <v>714</v>
      </c>
      <c r="J2599" s="73">
        <f t="shared" si="302"/>
        <v>1</v>
      </c>
      <c r="K2599" s="74" t="s">
        <v>204</v>
      </c>
      <c r="L2599" s="97" t="s">
        <v>7072</v>
      </c>
      <c r="N2599" s="76" t="s">
        <v>18</v>
      </c>
      <c r="Q2599" s="76" t="s">
        <v>2076</v>
      </c>
      <c r="R2599" s="73">
        <f t="shared" si="303"/>
        <v>1</v>
      </c>
      <c r="S2599" s="260" t="s">
        <v>1976</v>
      </c>
      <c r="T2599" s="260" t="s">
        <v>924</v>
      </c>
      <c r="Y2599" s="566">
        <v>0.455625</v>
      </c>
      <c r="Z2599" s="566">
        <v>0.46204861111111112</v>
      </c>
      <c r="AA2599" s="566">
        <f t="shared" si="300"/>
        <v>6.423611111111116E-3</v>
      </c>
    </row>
    <row r="2600" spans="1:27" x14ac:dyDescent="0.3">
      <c r="A2600" s="79" t="s">
        <v>8145</v>
      </c>
      <c r="C2600" s="115">
        <v>43980</v>
      </c>
      <c r="D2600" s="312">
        <v>44021</v>
      </c>
      <c r="E2600" s="81">
        <v>44014</v>
      </c>
      <c r="F2600" s="86" t="s">
        <v>8186</v>
      </c>
      <c r="G2600" s="86" t="s">
        <v>156</v>
      </c>
      <c r="H2600" s="96" t="s">
        <v>213</v>
      </c>
      <c r="I2600" s="97" t="s">
        <v>714</v>
      </c>
      <c r="J2600" s="73">
        <f t="shared" si="302"/>
        <v>1</v>
      </c>
      <c r="K2600" s="74" t="s">
        <v>204</v>
      </c>
      <c r="L2600" s="97" t="s">
        <v>8368</v>
      </c>
      <c r="N2600" s="76" t="s">
        <v>17</v>
      </c>
      <c r="Q2600" s="76" t="s">
        <v>2417</v>
      </c>
      <c r="R2600" s="73">
        <f t="shared" si="303"/>
        <v>1</v>
      </c>
      <c r="S2600" s="260" t="s">
        <v>1976</v>
      </c>
      <c r="T2600" s="260" t="s">
        <v>923</v>
      </c>
      <c r="Y2600" s="566">
        <v>0.58792824074074079</v>
      </c>
      <c r="Z2600" s="566">
        <v>0.60906249999999995</v>
      </c>
      <c r="AA2600" s="566">
        <f t="shared" si="300"/>
        <v>2.1134259259259158E-2</v>
      </c>
    </row>
    <row r="2601" spans="1:27" x14ac:dyDescent="0.3">
      <c r="A2601" s="79" t="s">
        <v>8146</v>
      </c>
      <c r="C2601" s="115">
        <v>43983</v>
      </c>
      <c r="D2601" s="312">
        <v>44021</v>
      </c>
      <c r="E2601" s="81">
        <v>44014</v>
      </c>
      <c r="F2601" s="86" t="s">
        <v>8187</v>
      </c>
      <c r="G2601" s="86" t="s">
        <v>147</v>
      </c>
      <c r="H2601" s="96" t="s">
        <v>213</v>
      </c>
      <c r="I2601" s="97" t="s">
        <v>642</v>
      </c>
      <c r="J2601" s="73">
        <f t="shared" si="302"/>
        <v>1</v>
      </c>
      <c r="K2601" s="74" t="s">
        <v>204</v>
      </c>
      <c r="L2601" s="97" t="s">
        <v>7110</v>
      </c>
      <c r="N2601" s="76" t="s">
        <v>18</v>
      </c>
      <c r="Q2601" s="76" t="s">
        <v>2142</v>
      </c>
      <c r="R2601" s="73">
        <f t="shared" si="303"/>
        <v>1</v>
      </c>
      <c r="S2601" s="260" t="s">
        <v>1976</v>
      </c>
      <c r="T2601" s="260" t="s">
        <v>923</v>
      </c>
      <c r="Y2601" s="566">
        <v>0.58173611111111112</v>
      </c>
      <c r="Z2601" s="566">
        <v>0.58729166666666666</v>
      </c>
      <c r="AA2601" s="566">
        <f t="shared" si="300"/>
        <v>5.5555555555555358E-3</v>
      </c>
    </row>
    <row r="2602" spans="1:27" x14ac:dyDescent="0.3">
      <c r="A2602" s="79" t="s">
        <v>7661</v>
      </c>
      <c r="C2602" s="115">
        <v>43983</v>
      </c>
      <c r="D2602" s="312">
        <v>44021</v>
      </c>
      <c r="E2602" s="81">
        <v>44014</v>
      </c>
      <c r="F2602" s="86" t="s">
        <v>7698</v>
      </c>
      <c r="G2602" s="86" t="s">
        <v>150</v>
      </c>
      <c r="H2602" s="96" t="s">
        <v>213</v>
      </c>
      <c r="I2602" s="97" t="s">
        <v>714</v>
      </c>
      <c r="J2602" s="73">
        <f t="shared" si="302"/>
        <v>1</v>
      </c>
      <c r="K2602" s="74" t="s">
        <v>204</v>
      </c>
      <c r="L2602" s="97" t="s">
        <v>7072</v>
      </c>
      <c r="N2602" s="76" t="s">
        <v>18</v>
      </c>
      <c r="Q2602" s="76" t="s">
        <v>2109</v>
      </c>
      <c r="R2602" s="73">
        <f t="shared" si="303"/>
        <v>1</v>
      </c>
      <c r="S2602" s="260" t="s">
        <v>1976</v>
      </c>
      <c r="T2602" s="260" t="s">
        <v>925</v>
      </c>
      <c r="Y2602" s="566">
        <v>0.54667824074074078</v>
      </c>
      <c r="Z2602" s="566">
        <v>0.55913194444444447</v>
      </c>
      <c r="AA2602" s="566">
        <f t="shared" si="300"/>
        <v>1.2453703703703689E-2</v>
      </c>
    </row>
    <row r="2603" spans="1:27" x14ac:dyDescent="0.3">
      <c r="A2603" s="79" t="s">
        <v>7662</v>
      </c>
      <c r="C2603" s="115">
        <v>43983</v>
      </c>
      <c r="D2603" s="312">
        <v>44021</v>
      </c>
      <c r="E2603" s="81">
        <v>44014</v>
      </c>
      <c r="F2603" s="86" t="s">
        <v>7699</v>
      </c>
      <c r="G2603" s="86" t="s">
        <v>147</v>
      </c>
      <c r="H2603" s="96" t="s">
        <v>213</v>
      </c>
      <c r="I2603" s="97" t="s">
        <v>714</v>
      </c>
      <c r="J2603" s="73">
        <f t="shared" si="302"/>
        <v>1</v>
      </c>
      <c r="K2603" s="74" t="s">
        <v>204</v>
      </c>
      <c r="L2603" s="97" t="s">
        <v>8364</v>
      </c>
      <c r="Q2603" s="76" t="s">
        <v>2109</v>
      </c>
      <c r="R2603" s="73">
        <f t="shared" si="303"/>
        <v>1</v>
      </c>
      <c r="S2603" s="260" t="s">
        <v>1976</v>
      </c>
      <c r="T2603" s="260" t="s">
        <v>924</v>
      </c>
      <c r="U2603" s="76" t="s">
        <v>5283</v>
      </c>
      <c r="V2603" s="301" t="s">
        <v>8365</v>
      </c>
      <c r="Y2603" s="566">
        <v>0.4939351851851852</v>
      </c>
      <c r="Z2603" s="566">
        <v>0.52620370370370373</v>
      </c>
      <c r="AA2603" s="566">
        <f t="shared" si="300"/>
        <v>3.226851851851853E-2</v>
      </c>
    </row>
    <row r="2604" spans="1:27" x14ac:dyDescent="0.3">
      <c r="A2604" s="79" t="s">
        <v>7754</v>
      </c>
      <c r="C2604" s="115">
        <v>43983</v>
      </c>
      <c r="D2604" s="312">
        <v>44022</v>
      </c>
      <c r="E2604" s="81">
        <v>44014</v>
      </c>
      <c r="F2604" s="86" t="s">
        <v>7809</v>
      </c>
      <c r="G2604" s="86" t="s">
        <v>152</v>
      </c>
      <c r="H2604" s="96" t="s">
        <v>213</v>
      </c>
      <c r="I2604" s="97" t="s">
        <v>714</v>
      </c>
      <c r="J2604" s="73">
        <f t="shared" si="302"/>
        <v>1</v>
      </c>
      <c r="K2604" s="74" t="s">
        <v>204</v>
      </c>
      <c r="L2604" s="97" t="s">
        <v>8371</v>
      </c>
      <c r="N2604" s="76" t="s">
        <v>17</v>
      </c>
      <c r="Q2604" s="76" t="s">
        <v>2417</v>
      </c>
      <c r="R2604" s="73">
        <f t="shared" si="303"/>
        <v>1</v>
      </c>
      <c r="S2604" s="260" t="s">
        <v>1976</v>
      </c>
      <c r="T2604" s="260" t="s">
        <v>924</v>
      </c>
      <c r="U2604" s="76" t="s">
        <v>5283</v>
      </c>
      <c r="V2604" s="301" t="s">
        <v>7897</v>
      </c>
      <c r="Y2604" s="566">
        <v>0.72787037037037028</v>
      </c>
      <c r="Z2604" s="566">
        <v>0.74751157407407398</v>
      </c>
      <c r="AA2604" s="566">
        <f t="shared" si="300"/>
        <v>1.9641203703703702E-2</v>
      </c>
    </row>
    <row r="2605" spans="1:27" x14ac:dyDescent="0.3">
      <c r="A2605" s="79" t="s">
        <v>7755</v>
      </c>
      <c r="C2605" s="115">
        <v>43983</v>
      </c>
      <c r="D2605" s="312">
        <v>44022</v>
      </c>
      <c r="E2605" s="81">
        <v>44014</v>
      </c>
      <c r="F2605" s="86" t="s">
        <v>7810</v>
      </c>
      <c r="G2605" s="86" t="s">
        <v>162</v>
      </c>
      <c r="H2605" s="96" t="s">
        <v>213</v>
      </c>
      <c r="I2605" s="97" t="s">
        <v>642</v>
      </c>
      <c r="J2605" s="73">
        <f t="shared" si="302"/>
        <v>1</v>
      </c>
      <c r="K2605" s="74" t="s">
        <v>204</v>
      </c>
      <c r="L2605" s="97" t="s">
        <v>7110</v>
      </c>
      <c r="N2605" s="76" t="s">
        <v>18</v>
      </c>
      <c r="Q2605" s="76" t="s">
        <v>2109</v>
      </c>
      <c r="R2605" s="73">
        <f t="shared" si="303"/>
        <v>1</v>
      </c>
      <c r="S2605" s="260" t="s">
        <v>1976</v>
      </c>
      <c r="T2605" s="260" t="s">
        <v>925</v>
      </c>
      <c r="Y2605" s="566">
        <v>0.87476851851851845</v>
      </c>
      <c r="Z2605" s="566">
        <v>0.88228009259259255</v>
      </c>
      <c r="AA2605" s="566">
        <f t="shared" si="300"/>
        <v>7.511574074074101E-3</v>
      </c>
    </row>
    <row r="2606" spans="1:27" x14ac:dyDescent="0.3">
      <c r="A2606" s="79" t="s">
        <v>7668</v>
      </c>
      <c r="C2606" s="115">
        <v>43983</v>
      </c>
      <c r="D2606" s="312">
        <v>44021</v>
      </c>
      <c r="E2606" s="81">
        <v>44014</v>
      </c>
      <c r="F2606" s="86" t="s">
        <v>7705</v>
      </c>
      <c r="G2606" s="86" t="s">
        <v>181</v>
      </c>
      <c r="H2606" s="96" t="s">
        <v>213</v>
      </c>
      <c r="I2606" s="97" t="s">
        <v>642</v>
      </c>
      <c r="J2606" s="73">
        <f t="shared" si="302"/>
        <v>1</v>
      </c>
      <c r="K2606" s="74" t="s">
        <v>204</v>
      </c>
      <c r="L2606" s="97" t="s">
        <v>7110</v>
      </c>
      <c r="N2606" s="76" t="s">
        <v>18</v>
      </c>
      <c r="Q2606" s="76" t="s">
        <v>2417</v>
      </c>
      <c r="R2606" s="73">
        <f t="shared" si="303"/>
        <v>1</v>
      </c>
      <c r="S2606" s="260" t="s">
        <v>1976</v>
      </c>
      <c r="T2606" s="260" t="s">
        <v>925</v>
      </c>
      <c r="Y2606" s="566">
        <v>0.69899305555555558</v>
      </c>
      <c r="Z2606" s="566">
        <v>0.70650462962962957</v>
      </c>
      <c r="AA2606" s="566">
        <f t="shared" si="300"/>
        <v>7.51157407407399E-3</v>
      </c>
    </row>
    <row r="2607" spans="1:27" x14ac:dyDescent="0.3">
      <c r="A2607" s="79" t="s">
        <v>8147</v>
      </c>
      <c r="C2607" s="115">
        <v>43983</v>
      </c>
      <c r="D2607" s="312">
        <v>44022</v>
      </c>
      <c r="E2607" s="81">
        <v>44014</v>
      </c>
      <c r="F2607" s="86" t="s">
        <v>8188</v>
      </c>
      <c r="G2607" s="86" t="s">
        <v>156</v>
      </c>
      <c r="H2607" s="96" t="s">
        <v>213</v>
      </c>
      <c r="I2607" s="97" t="s">
        <v>642</v>
      </c>
      <c r="J2607" s="73">
        <f t="shared" si="302"/>
        <v>1</v>
      </c>
      <c r="K2607" s="74" t="s">
        <v>204</v>
      </c>
      <c r="L2607" s="97" t="s">
        <v>8389</v>
      </c>
      <c r="N2607" s="76" t="s">
        <v>18</v>
      </c>
      <c r="Q2607" s="76" t="s">
        <v>2142</v>
      </c>
      <c r="R2607" s="73">
        <f t="shared" si="303"/>
        <v>1</v>
      </c>
      <c r="S2607" s="260" t="s">
        <v>1976</v>
      </c>
      <c r="T2607" s="260" t="s">
        <v>925</v>
      </c>
      <c r="Y2607" s="566">
        <v>0.88283564814814808</v>
      </c>
      <c r="Z2607" s="566">
        <v>0.88939814814814822</v>
      </c>
      <c r="AA2607" s="566">
        <f t="shared" si="300"/>
        <v>6.5625000000001377E-3</v>
      </c>
    </row>
    <row r="2608" spans="1:27" x14ac:dyDescent="0.3">
      <c r="A2608" s="79" t="s">
        <v>7669</v>
      </c>
      <c r="C2608" s="115">
        <v>43983</v>
      </c>
      <c r="D2608" s="312">
        <v>44021</v>
      </c>
      <c r="E2608" s="81">
        <v>44014</v>
      </c>
      <c r="F2608" s="86" t="s">
        <v>7706</v>
      </c>
      <c r="G2608" s="86" t="s">
        <v>154</v>
      </c>
      <c r="H2608" s="96" t="s">
        <v>213</v>
      </c>
      <c r="I2608" s="97" t="s">
        <v>645</v>
      </c>
      <c r="J2608" s="73">
        <f t="shared" si="302"/>
        <v>1</v>
      </c>
      <c r="K2608" s="74" t="s">
        <v>204</v>
      </c>
      <c r="L2608" s="97" t="s">
        <v>7117</v>
      </c>
      <c r="N2608" s="76" t="s">
        <v>18</v>
      </c>
      <c r="Q2608" s="76" t="s">
        <v>2076</v>
      </c>
      <c r="R2608" s="73">
        <f t="shared" si="303"/>
        <v>1</v>
      </c>
      <c r="S2608" s="260" t="s">
        <v>1976</v>
      </c>
      <c r="T2608" s="260" t="s">
        <v>925</v>
      </c>
      <c r="Y2608" s="566">
        <v>0.46868055555555554</v>
      </c>
      <c r="Z2608" s="566">
        <v>0.47568287037037038</v>
      </c>
      <c r="AA2608" s="566">
        <f t="shared" si="300"/>
        <v>7.0023148148148362E-3</v>
      </c>
    </row>
    <row r="2609" spans="1:27" x14ac:dyDescent="0.3">
      <c r="A2609" s="79" t="s">
        <v>7670</v>
      </c>
      <c r="C2609" s="115">
        <v>43983</v>
      </c>
      <c r="D2609" s="312">
        <v>44021</v>
      </c>
      <c r="E2609" s="81">
        <v>44014</v>
      </c>
      <c r="F2609" s="86" t="s">
        <v>7707</v>
      </c>
      <c r="G2609" s="86" t="s">
        <v>175</v>
      </c>
      <c r="H2609" s="96" t="s">
        <v>213</v>
      </c>
      <c r="I2609" s="97" t="s">
        <v>722</v>
      </c>
      <c r="J2609" s="73">
        <f t="shared" si="302"/>
        <v>1</v>
      </c>
      <c r="K2609" s="74" t="s">
        <v>204</v>
      </c>
      <c r="L2609" s="97" t="s">
        <v>7322</v>
      </c>
      <c r="N2609" s="76" t="s">
        <v>17</v>
      </c>
      <c r="Q2609" s="76" t="s">
        <v>2417</v>
      </c>
      <c r="R2609" s="73">
        <f t="shared" si="303"/>
        <v>1</v>
      </c>
      <c r="S2609" s="260" t="s">
        <v>1976</v>
      </c>
      <c r="T2609" s="260" t="s">
        <v>923</v>
      </c>
      <c r="Y2609" s="566">
        <v>0.70710648148148147</v>
      </c>
      <c r="Z2609" s="566">
        <v>0.71680555555555558</v>
      </c>
      <c r="AA2609" s="566">
        <f t="shared" si="300"/>
        <v>9.6990740740741099E-3</v>
      </c>
    </row>
    <row r="2610" spans="1:27" x14ac:dyDescent="0.3">
      <c r="A2610" s="79" t="s">
        <v>7671</v>
      </c>
      <c r="C2610" s="115">
        <v>43983</v>
      </c>
      <c r="D2610" s="312">
        <v>44021</v>
      </c>
      <c r="E2610" s="81">
        <v>44014</v>
      </c>
      <c r="F2610" s="86" t="s">
        <v>7708</v>
      </c>
      <c r="G2610" s="86" t="s">
        <v>156</v>
      </c>
      <c r="H2610" s="96" t="s">
        <v>213</v>
      </c>
      <c r="I2610" s="97" t="s">
        <v>722</v>
      </c>
      <c r="J2610" s="73">
        <f t="shared" si="302"/>
        <v>1</v>
      </c>
      <c r="K2610" s="74" t="s">
        <v>204</v>
      </c>
      <c r="L2610" s="97" t="s">
        <v>7322</v>
      </c>
      <c r="N2610" s="76" t="s">
        <v>18</v>
      </c>
      <c r="Q2610" s="76" t="s">
        <v>2076</v>
      </c>
      <c r="R2610" s="73">
        <f t="shared" si="303"/>
        <v>1</v>
      </c>
      <c r="S2610" s="260" t="s">
        <v>1976</v>
      </c>
      <c r="T2610" s="260" t="s">
        <v>925</v>
      </c>
      <c r="Y2610" s="566">
        <v>0.46252314814814816</v>
      </c>
      <c r="Z2610" s="566">
        <v>0.46807870370370369</v>
      </c>
      <c r="AA2610" s="566">
        <f t="shared" si="300"/>
        <v>5.5555555555555358E-3</v>
      </c>
    </row>
    <row r="2611" spans="1:27" x14ac:dyDescent="0.3">
      <c r="A2611" s="79" t="s">
        <v>7759</v>
      </c>
      <c r="C2611" s="115">
        <v>43983</v>
      </c>
      <c r="D2611" s="312">
        <v>44022</v>
      </c>
      <c r="E2611" s="81">
        <v>44014</v>
      </c>
      <c r="F2611" s="86" t="s">
        <v>7814</v>
      </c>
      <c r="G2611" s="86" t="s">
        <v>152</v>
      </c>
      <c r="H2611" s="96" t="s">
        <v>213</v>
      </c>
      <c r="I2611" s="97" t="s">
        <v>714</v>
      </c>
      <c r="J2611" s="73">
        <f t="shared" si="302"/>
        <v>1</v>
      </c>
      <c r="K2611" s="74" t="s">
        <v>204</v>
      </c>
      <c r="L2611" s="97" t="s">
        <v>7072</v>
      </c>
      <c r="N2611" s="76" t="s">
        <v>18</v>
      </c>
      <c r="Q2611" s="76" t="s">
        <v>2142</v>
      </c>
      <c r="R2611" s="73">
        <f t="shared" si="303"/>
        <v>1</v>
      </c>
      <c r="S2611" s="260" t="s">
        <v>1976</v>
      </c>
      <c r="T2611" s="260" t="s">
        <v>923</v>
      </c>
      <c r="Y2611" s="566">
        <v>0.89605324074074078</v>
      </c>
      <c r="Z2611" s="566">
        <v>0.90273148148148152</v>
      </c>
      <c r="AA2611" s="566">
        <f t="shared" si="300"/>
        <v>6.6782407407407485E-3</v>
      </c>
    </row>
    <row r="2612" spans="1:27" x14ac:dyDescent="0.3">
      <c r="A2612" s="79" t="s">
        <v>7760</v>
      </c>
      <c r="C2612" s="115">
        <v>43983</v>
      </c>
      <c r="D2612" s="312">
        <v>44022</v>
      </c>
      <c r="E2612" s="81">
        <v>44015</v>
      </c>
      <c r="F2612" s="86" t="s">
        <v>7815</v>
      </c>
      <c r="G2612" s="86" t="s">
        <v>152</v>
      </c>
      <c r="H2612" s="96" t="s">
        <v>213</v>
      </c>
      <c r="I2612" s="97" t="s">
        <v>642</v>
      </c>
      <c r="J2612" s="73">
        <f t="shared" si="302"/>
        <v>1</v>
      </c>
      <c r="K2612" s="74" t="s">
        <v>204</v>
      </c>
      <c r="L2612" s="97" t="s">
        <v>7110</v>
      </c>
      <c r="N2612" s="76" t="s">
        <v>18</v>
      </c>
      <c r="Q2612" s="76" t="s">
        <v>2076</v>
      </c>
      <c r="R2612" s="73">
        <f t="shared" si="303"/>
        <v>1</v>
      </c>
      <c r="S2612" s="260" t="s">
        <v>1976</v>
      </c>
      <c r="T2612" s="260" t="s">
        <v>924</v>
      </c>
      <c r="Y2612" s="566">
        <v>0.57152777777777775</v>
      </c>
      <c r="Z2612" s="566">
        <v>0.57581018518518523</v>
      </c>
      <c r="AA2612" s="566">
        <f t="shared" si="300"/>
        <v>4.2824074074074847E-3</v>
      </c>
    </row>
    <row r="2613" spans="1:27" x14ac:dyDescent="0.3">
      <c r="A2613" s="79" t="s">
        <v>7761</v>
      </c>
      <c r="C2613" s="115">
        <v>43983</v>
      </c>
      <c r="D2613" s="312">
        <v>44022</v>
      </c>
      <c r="E2613" s="81">
        <v>44014</v>
      </c>
      <c r="F2613" s="86" t="s">
        <v>7816</v>
      </c>
      <c r="G2613" s="86" t="s">
        <v>175</v>
      </c>
      <c r="H2613" s="96" t="s">
        <v>213</v>
      </c>
      <c r="I2613" s="97" t="s">
        <v>714</v>
      </c>
      <c r="J2613" s="73">
        <f t="shared" si="302"/>
        <v>1</v>
      </c>
      <c r="K2613" s="74" t="s">
        <v>204</v>
      </c>
      <c r="L2613" s="97" t="s">
        <v>7058</v>
      </c>
      <c r="N2613" s="76" t="s">
        <v>18</v>
      </c>
      <c r="Q2613" s="76" t="s">
        <v>2417</v>
      </c>
      <c r="R2613" s="73">
        <f t="shared" si="303"/>
        <v>1</v>
      </c>
      <c r="S2613" s="260" t="s">
        <v>1976</v>
      </c>
      <c r="T2613" s="260" t="s">
        <v>925</v>
      </c>
      <c r="Y2613" s="566">
        <v>0.91886574074074068</v>
      </c>
      <c r="Z2613" s="566">
        <v>0.99960648148148146</v>
      </c>
      <c r="AA2613" s="566">
        <f t="shared" si="300"/>
        <v>8.074074074074078E-2</v>
      </c>
    </row>
    <row r="2614" spans="1:27" x14ac:dyDescent="0.3">
      <c r="A2614" s="79" t="s">
        <v>7763</v>
      </c>
      <c r="C2614" s="115">
        <v>43983</v>
      </c>
      <c r="D2614" s="312">
        <v>44022</v>
      </c>
      <c r="E2614" s="81">
        <v>44014</v>
      </c>
      <c r="F2614" s="86" t="s">
        <v>7818</v>
      </c>
      <c r="G2614" s="86" t="s">
        <v>156</v>
      </c>
      <c r="H2614" s="96" t="s">
        <v>213</v>
      </c>
      <c r="I2614" s="97" t="s">
        <v>714</v>
      </c>
      <c r="J2614" s="73">
        <f t="shared" si="302"/>
        <v>1</v>
      </c>
      <c r="K2614" s="74" t="s">
        <v>204</v>
      </c>
      <c r="L2614" s="97" t="s">
        <v>7332</v>
      </c>
      <c r="N2614" s="76" t="s">
        <v>17</v>
      </c>
      <c r="Q2614" s="76" t="s">
        <v>2142</v>
      </c>
      <c r="R2614" s="73">
        <f t="shared" si="303"/>
        <v>1</v>
      </c>
      <c r="S2614" s="260" t="s">
        <v>1976</v>
      </c>
      <c r="T2614" s="260" t="s">
        <v>924</v>
      </c>
      <c r="Y2614" s="566">
        <v>0.90346064814814808</v>
      </c>
      <c r="Z2614" s="566">
        <v>0.913599537037037</v>
      </c>
      <c r="AA2614" s="566">
        <f t="shared" si="300"/>
        <v>1.0138888888888919E-2</v>
      </c>
    </row>
    <row r="2615" spans="1:27" x14ac:dyDescent="0.3">
      <c r="A2615" s="79" t="s">
        <v>7764</v>
      </c>
      <c r="C2615" s="115">
        <v>43984</v>
      </c>
      <c r="D2615" s="312">
        <v>44022</v>
      </c>
      <c r="E2615" s="81">
        <v>44014</v>
      </c>
      <c r="F2615" s="86" t="s">
        <v>7819</v>
      </c>
      <c r="G2615" s="86" t="s">
        <v>158</v>
      </c>
      <c r="H2615" s="96" t="s">
        <v>213</v>
      </c>
      <c r="I2615" s="97" t="s">
        <v>645</v>
      </c>
      <c r="J2615" s="73">
        <f t="shared" si="302"/>
        <v>1</v>
      </c>
      <c r="K2615" s="74" t="s">
        <v>204</v>
      </c>
      <c r="L2615" s="97" t="s">
        <v>8372</v>
      </c>
      <c r="N2615" s="76" t="s">
        <v>17</v>
      </c>
      <c r="Q2615" s="76" t="s">
        <v>2417</v>
      </c>
      <c r="R2615" s="73">
        <f t="shared" si="303"/>
        <v>1</v>
      </c>
      <c r="S2615" s="260" t="s">
        <v>1976</v>
      </c>
      <c r="T2615" s="260" t="s">
        <v>923</v>
      </c>
      <c r="Y2615" s="566">
        <v>0.74849537037037039</v>
      </c>
      <c r="Z2615" s="566">
        <v>0.76416666666666666</v>
      </c>
      <c r="AA2615" s="566">
        <f t="shared" si="300"/>
        <v>1.5671296296296267E-2</v>
      </c>
    </row>
    <row r="2616" spans="1:27" x14ac:dyDescent="0.3">
      <c r="A2616" s="96" t="s">
        <v>7766</v>
      </c>
      <c r="C2616" s="115">
        <v>43984</v>
      </c>
      <c r="D2616" s="312">
        <v>44022</v>
      </c>
      <c r="E2616" s="81">
        <v>44015</v>
      </c>
      <c r="F2616" s="86" t="s">
        <v>7821</v>
      </c>
      <c r="G2616" s="86" t="s">
        <v>150</v>
      </c>
      <c r="H2616" s="96" t="s">
        <v>213</v>
      </c>
      <c r="I2616" s="97" t="s">
        <v>714</v>
      </c>
      <c r="J2616" s="73">
        <f t="shared" si="302"/>
        <v>1</v>
      </c>
      <c r="K2616" s="74" t="s">
        <v>204</v>
      </c>
      <c r="L2616" s="97" t="s">
        <v>7571</v>
      </c>
      <c r="N2616" s="76" t="s">
        <v>18</v>
      </c>
      <c r="Q2616" s="76" t="s">
        <v>2109</v>
      </c>
      <c r="R2616" s="73">
        <f t="shared" si="303"/>
        <v>1</v>
      </c>
      <c r="S2616" s="260" t="s">
        <v>1976</v>
      </c>
      <c r="T2616" s="260" t="s">
        <v>923</v>
      </c>
      <c r="U2616" s="76" t="s">
        <v>5283</v>
      </c>
      <c r="V2616" s="301" t="s">
        <v>8406</v>
      </c>
      <c r="Y2616" s="566">
        <v>0.59577546296296291</v>
      </c>
      <c r="Z2616" s="566">
        <v>0.62489583333333332</v>
      </c>
      <c r="AA2616" s="566">
        <f t="shared" si="300"/>
        <v>2.9120370370370408E-2</v>
      </c>
    </row>
    <row r="2617" spans="1:27" x14ac:dyDescent="0.3">
      <c r="A2617" s="79" t="s">
        <v>7778</v>
      </c>
      <c r="C2617" s="115">
        <v>43984</v>
      </c>
      <c r="D2617" s="312">
        <v>44022</v>
      </c>
      <c r="E2617" s="81">
        <v>44015</v>
      </c>
      <c r="F2617" s="86" t="s">
        <v>7833</v>
      </c>
      <c r="G2617" s="86" t="s">
        <v>158</v>
      </c>
      <c r="H2617" s="96" t="s">
        <v>213</v>
      </c>
      <c r="I2617" s="97" t="s">
        <v>645</v>
      </c>
      <c r="J2617" s="73">
        <f t="shared" si="302"/>
        <v>1</v>
      </c>
      <c r="K2617" s="74" t="s">
        <v>204</v>
      </c>
      <c r="L2617" s="97" t="s">
        <v>8404</v>
      </c>
      <c r="N2617" s="76" t="s">
        <v>17</v>
      </c>
      <c r="Q2617" s="76" t="s">
        <v>2076</v>
      </c>
      <c r="R2617" s="73">
        <f t="shared" si="303"/>
        <v>1</v>
      </c>
      <c r="S2617" s="260" t="s">
        <v>1976</v>
      </c>
      <c r="T2617" s="260" t="s">
        <v>925</v>
      </c>
      <c r="U2617" s="76" t="s">
        <v>5283</v>
      </c>
      <c r="Y2617" s="566">
        <v>0.53754629629629636</v>
      </c>
      <c r="Z2617" s="566">
        <v>0.54666666666666663</v>
      </c>
      <c r="AA2617" s="566">
        <f t="shared" si="300"/>
        <v>9.1203703703702788E-3</v>
      </c>
    </row>
    <row r="2618" spans="1:27" x14ac:dyDescent="0.3">
      <c r="A2618" s="79" t="s">
        <v>8148</v>
      </c>
      <c r="C2618" s="115">
        <v>43992</v>
      </c>
      <c r="D2618" s="312">
        <v>44019</v>
      </c>
      <c r="E2618" s="81">
        <v>44011</v>
      </c>
      <c r="F2618" s="86" t="s">
        <v>8189</v>
      </c>
      <c r="G2618" s="86" t="s">
        <v>166</v>
      </c>
      <c r="H2618" s="96" t="s">
        <v>213</v>
      </c>
      <c r="I2618" s="97" t="s">
        <v>2479</v>
      </c>
      <c r="J2618" s="73">
        <f t="shared" si="302"/>
        <v>1</v>
      </c>
      <c r="K2618" s="74" t="s">
        <v>204</v>
      </c>
      <c r="L2618" s="97" t="s">
        <v>8288</v>
      </c>
      <c r="N2618" s="76" t="s">
        <v>18</v>
      </c>
      <c r="Q2618" s="76" t="s">
        <v>2417</v>
      </c>
      <c r="R2618" s="73">
        <f t="shared" si="303"/>
        <v>1</v>
      </c>
      <c r="S2618" s="260" t="s">
        <v>1976</v>
      </c>
      <c r="T2618" s="260" t="s">
        <v>923</v>
      </c>
      <c r="Y2618" s="566">
        <v>0.8569444444444444</v>
      </c>
      <c r="Z2618" s="566">
        <v>0.87115740740740744</v>
      </c>
      <c r="AA2618" s="566">
        <f t="shared" si="300"/>
        <v>1.4212962962963038E-2</v>
      </c>
    </row>
    <row r="2619" spans="1:27" x14ac:dyDescent="0.3">
      <c r="A2619" s="79" t="s">
        <v>8149</v>
      </c>
      <c r="C2619" s="115">
        <v>43992</v>
      </c>
      <c r="D2619" s="312">
        <v>44019</v>
      </c>
      <c r="E2619" s="81">
        <v>44011</v>
      </c>
      <c r="F2619" s="86" t="s">
        <v>8190</v>
      </c>
      <c r="G2619" s="86" t="s">
        <v>158</v>
      </c>
      <c r="H2619" s="96" t="s">
        <v>213</v>
      </c>
      <c r="I2619" s="97" t="s">
        <v>642</v>
      </c>
      <c r="J2619" s="73">
        <f t="shared" si="302"/>
        <v>1</v>
      </c>
      <c r="K2619" s="74" t="s">
        <v>204</v>
      </c>
      <c r="L2619" s="97" t="s">
        <v>8278</v>
      </c>
      <c r="N2619" s="76" t="s">
        <v>19</v>
      </c>
      <c r="Q2619" s="76" t="s">
        <v>2142</v>
      </c>
      <c r="R2619" s="73">
        <f t="shared" si="303"/>
        <v>1</v>
      </c>
      <c r="S2619" s="260" t="s">
        <v>1976</v>
      </c>
      <c r="T2619" s="260" t="s">
        <v>924</v>
      </c>
      <c r="Y2619" s="566">
        <v>0.5519560185185185</v>
      </c>
      <c r="Z2619" s="566">
        <v>0.55843750000000003</v>
      </c>
      <c r="AA2619" s="566">
        <f t="shared" ref="AA2619:AA2664" si="304">Z2619-Y2619</f>
        <v>6.4814814814815325E-3</v>
      </c>
    </row>
    <row r="2620" spans="1:27" x14ac:dyDescent="0.3">
      <c r="A2620" s="79" t="s">
        <v>8150</v>
      </c>
      <c r="C2620" s="115">
        <v>43993</v>
      </c>
      <c r="D2620" s="115">
        <v>44034</v>
      </c>
      <c r="F2620" s="86" t="s">
        <v>8191</v>
      </c>
      <c r="G2620" s="86" t="s">
        <v>162</v>
      </c>
      <c r="H2620" s="96" t="s">
        <v>213</v>
      </c>
      <c r="J2620" s="73">
        <f t="shared" si="302"/>
        <v>1</v>
      </c>
      <c r="K2620" s="74" t="s">
        <v>204</v>
      </c>
      <c r="Q2620" s="76" t="s">
        <v>2076</v>
      </c>
      <c r="R2620" s="73">
        <f t="shared" si="303"/>
        <v>1</v>
      </c>
      <c r="S2620" s="260" t="s">
        <v>1976</v>
      </c>
      <c r="T2620" s="260"/>
      <c r="AA2620" s="566">
        <f t="shared" si="304"/>
        <v>0</v>
      </c>
    </row>
    <row r="2621" spans="1:27" x14ac:dyDescent="0.3">
      <c r="A2621" s="96" t="s">
        <v>8151</v>
      </c>
      <c r="C2621" s="115">
        <v>43993</v>
      </c>
      <c r="D2621" s="312">
        <v>44019</v>
      </c>
      <c r="E2621" s="81">
        <v>44011</v>
      </c>
      <c r="F2621" s="86" t="s">
        <v>8192</v>
      </c>
      <c r="G2621" s="86" t="s">
        <v>154</v>
      </c>
      <c r="H2621" s="96" t="s">
        <v>213</v>
      </c>
      <c r="I2621" s="97" t="s">
        <v>649</v>
      </c>
      <c r="J2621" s="73">
        <f t="shared" si="302"/>
        <v>1</v>
      </c>
      <c r="K2621" s="74" t="s">
        <v>204</v>
      </c>
      <c r="L2621" s="97" t="s">
        <v>7898</v>
      </c>
      <c r="N2621" s="76" t="s">
        <v>17</v>
      </c>
      <c r="Q2621" s="76" t="s">
        <v>2076</v>
      </c>
      <c r="R2621" s="73">
        <f t="shared" si="303"/>
        <v>1</v>
      </c>
      <c r="S2621" s="260" t="s">
        <v>1976</v>
      </c>
      <c r="T2621" s="260" t="s">
        <v>924</v>
      </c>
      <c r="U2621" s="76" t="s">
        <v>5283</v>
      </c>
      <c r="V2621" s="301" t="s">
        <v>8284</v>
      </c>
      <c r="Y2621" s="566">
        <v>0.67062499999999992</v>
      </c>
      <c r="Z2621" s="566">
        <v>0.68048611111111112</v>
      </c>
      <c r="AA2621" s="566">
        <f t="shared" si="304"/>
        <v>9.8611111111112093E-3</v>
      </c>
    </row>
    <row r="2622" spans="1:27" x14ac:dyDescent="0.3">
      <c r="A2622" s="79" t="s">
        <v>8152</v>
      </c>
      <c r="C2622" s="115">
        <v>43993</v>
      </c>
      <c r="D2622" s="312">
        <v>44019</v>
      </c>
      <c r="E2622" s="81">
        <v>44011</v>
      </c>
      <c r="F2622" s="86" t="s">
        <v>8193</v>
      </c>
      <c r="G2622" s="86" t="s">
        <v>189</v>
      </c>
      <c r="H2622" s="96" t="s">
        <v>213</v>
      </c>
      <c r="I2622" s="97" t="s">
        <v>649</v>
      </c>
      <c r="J2622" s="73">
        <f t="shared" si="302"/>
        <v>1</v>
      </c>
      <c r="K2622" s="74" t="s">
        <v>204</v>
      </c>
      <c r="L2622" s="97" t="s">
        <v>7089</v>
      </c>
      <c r="N2622" s="76" t="s">
        <v>18</v>
      </c>
      <c r="Q2622" s="76" t="s">
        <v>2417</v>
      </c>
      <c r="R2622" s="73">
        <f t="shared" si="303"/>
        <v>1</v>
      </c>
      <c r="S2622" s="260" t="s">
        <v>1976</v>
      </c>
      <c r="T2622" s="260" t="s">
        <v>924</v>
      </c>
      <c r="Y2622" s="566">
        <v>0.90557870370370364</v>
      </c>
      <c r="Z2622" s="566">
        <v>0.91752314814814817</v>
      </c>
      <c r="AA2622" s="566">
        <f t="shared" si="304"/>
        <v>1.1944444444444535E-2</v>
      </c>
    </row>
    <row r="2623" spans="1:27" x14ac:dyDescent="0.3">
      <c r="A2623" s="79" t="s">
        <v>8153</v>
      </c>
      <c r="C2623" s="115">
        <v>43993</v>
      </c>
      <c r="D2623" s="312">
        <v>44020</v>
      </c>
      <c r="E2623" s="81">
        <v>44013</v>
      </c>
      <c r="F2623" s="86" t="s">
        <v>8194</v>
      </c>
      <c r="G2623" s="86" t="s">
        <v>150</v>
      </c>
      <c r="H2623" s="96" t="s">
        <v>213</v>
      </c>
      <c r="I2623" s="97" t="s">
        <v>4584</v>
      </c>
      <c r="J2623" s="73">
        <f t="shared" si="302"/>
        <v>1</v>
      </c>
      <c r="K2623" s="74" t="s">
        <v>204</v>
      </c>
      <c r="L2623" s="97" t="s">
        <v>8353</v>
      </c>
      <c r="N2623" s="76" t="s">
        <v>18</v>
      </c>
      <c r="Q2623" s="76" t="s">
        <v>2109</v>
      </c>
      <c r="R2623" s="73">
        <f t="shared" si="303"/>
        <v>1</v>
      </c>
      <c r="S2623" s="260" t="s">
        <v>1976</v>
      </c>
      <c r="T2623" s="260" t="s">
        <v>924</v>
      </c>
      <c r="Y2623" s="566">
        <v>0.34943287037037035</v>
      </c>
      <c r="Z2623" s="566">
        <v>0.3571064814814815</v>
      </c>
      <c r="AA2623" s="566">
        <f t="shared" si="304"/>
        <v>7.6736111111111449E-3</v>
      </c>
    </row>
    <row r="2624" spans="1:27" x14ac:dyDescent="0.3">
      <c r="A2624" s="79" t="s">
        <v>8156</v>
      </c>
      <c r="C2624" s="115">
        <v>43997</v>
      </c>
      <c r="D2624" s="312">
        <v>44020</v>
      </c>
      <c r="E2624" s="81">
        <v>44013</v>
      </c>
      <c r="F2624" s="86" t="s">
        <v>8197</v>
      </c>
      <c r="G2624" s="86" t="s">
        <v>156</v>
      </c>
      <c r="H2624" s="96" t="s">
        <v>213</v>
      </c>
      <c r="I2624" s="97" t="s">
        <v>649</v>
      </c>
      <c r="J2624" s="73">
        <f t="shared" si="302"/>
        <v>1</v>
      </c>
      <c r="K2624" s="74" t="s">
        <v>204</v>
      </c>
      <c r="L2624" s="97" t="s">
        <v>7089</v>
      </c>
      <c r="N2624" s="76" t="s">
        <v>18</v>
      </c>
      <c r="Q2624" s="76" t="s">
        <v>2417</v>
      </c>
      <c r="R2624" s="73">
        <f t="shared" si="303"/>
        <v>1</v>
      </c>
      <c r="S2624" s="260" t="s">
        <v>1976</v>
      </c>
      <c r="T2624" s="260" t="s">
        <v>924</v>
      </c>
      <c r="Y2624" s="566">
        <v>0.22395833333333334</v>
      </c>
      <c r="Z2624" s="566">
        <v>0.28585648148148146</v>
      </c>
      <c r="AA2624" s="566">
        <f t="shared" si="304"/>
        <v>6.1898148148148119E-2</v>
      </c>
    </row>
    <row r="2625" spans="1:27" x14ac:dyDescent="0.3">
      <c r="A2625" s="79" t="s">
        <v>8157</v>
      </c>
      <c r="C2625" s="115">
        <v>43997</v>
      </c>
      <c r="D2625" s="312">
        <v>44020</v>
      </c>
      <c r="E2625" s="81">
        <v>44013</v>
      </c>
      <c r="F2625" s="86" t="s">
        <v>8198</v>
      </c>
      <c r="G2625" s="86" t="s">
        <v>154</v>
      </c>
      <c r="H2625" s="96" t="s">
        <v>213</v>
      </c>
      <c r="I2625" s="97" t="s">
        <v>645</v>
      </c>
      <c r="J2625" s="73">
        <f t="shared" ref="J2625:J2638" si="305">IF(OR(K2625="Документы готовы",K2625="Запрос в ФО",K2625="ЭЗ",K2625="РЕШ",K2625="РЕШ шаблон"),0.1,IF(OR(K2625="ЭЗ согласование",K2625="РЕШ согласование"),0.3,IF(OR(K2625="ЭЗ согласовано",K2625="РЕШ согласовано",K2625="РЕШ подписано"),0.6,IF(OR(K2625="ЭЗ ПР согласование",K2625="РЕШ УВ согласование"),0.9,IF(OR(K2625="ЭЗ ПР DONE",K2625="РЕШ УВ DONE"),1,0)))))</f>
        <v>1</v>
      </c>
      <c r="K2625" s="74" t="s">
        <v>204</v>
      </c>
      <c r="L2625" s="97" t="s">
        <v>8352</v>
      </c>
      <c r="N2625" s="76" t="s">
        <v>18</v>
      </c>
      <c r="Q2625" s="76" t="s">
        <v>2142</v>
      </c>
      <c r="R2625" s="73">
        <f t="shared" ref="R2625:R2638" si="306">IF(S2625="В работе",0.3,IF(S2625="Отписано",0.6,IF(S2625="На доработку",0.9,IF(S2625="Согласовано",1,0))))</f>
        <v>1</v>
      </c>
      <c r="S2625" s="260" t="s">
        <v>1976</v>
      </c>
      <c r="T2625" s="260" t="s">
        <v>924</v>
      </c>
      <c r="Y2625" s="566">
        <v>0.33045138888888886</v>
      </c>
      <c r="Z2625" s="566">
        <v>0.34861111111111115</v>
      </c>
      <c r="AA2625" s="566">
        <f t="shared" si="304"/>
        <v>1.8159722222222285E-2</v>
      </c>
    </row>
    <row r="2626" spans="1:27" x14ac:dyDescent="0.3">
      <c r="A2626" s="79" t="s">
        <v>8159</v>
      </c>
      <c r="C2626" s="115">
        <v>43997</v>
      </c>
      <c r="D2626" s="312">
        <v>44021</v>
      </c>
      <c r="E2626" s="81">
        <v>44014</v>
      </c>
      <c r="F2626" s="86" t="s">
        <v>8200</v>
      </c>
      <c r="G2626" s="86" t="s">
        <v>164</v>
      </c>
      <c r="H2626" s="96" t="s">
        <v>213</v>
      </c>
      <c r="I2626" s="97" t="s">
        <v>5824</v>
      </c>
      <c r="J2626" s="73">
        <f t="shared" si="305"/>
        <v>1</v>
      </c>
      <c r="K2626" s="74" t="s">
        <v>204</v>
      </c>
      <c r="L2626" s="97" t="s">
        <v>7299</v>
      </c>
      <c r="N2626" s="76" t="s">
        <v>18</v>
      </c>
      <c r="Q2626" s="76" t="s">
        <v>2076</v>
      </c>
      <c r="R2626" s="73">
        <f t="shared" si="306"/>
        <v>1</v>
      </c>
      <c r="S2626" s="260" t="s">
        <v>1976</v>
      </c>
      <c r="T2626" s="260" t="s">
        <v>924</v>
      </c>
      <c r="Y2626" s="566">
        <v>0.41398148148148151</v>
      </c>
      <c r="Z2626" s="566">
        <v>0.43228009259259265</v>
      </c>
      <c r="AA2626" s="566">
        <f t="shared" si="304"/>
        <v>1.829861111111114E-2</v>
      </c>
    </row>
    <row r="2627" spans="1:27" x14ac:dyDescent="0.3">
      <c r="A2627" s="79" t="s">
        <v>8160</v>
      </c>
      <c r="C2627" s="115">
        <v>43997</v>
      </c>
      <c r="D2627" s="312">
        <v>44021</v>
      </c>
      <c r="F2627" s="86" t="s">
        <v>8201</v>
      </c>
      <c r="G2627" s="86" t="s">
        <v>157</v>
      </c>
      <c r="H2627" s="96" t="s">
        <v>213</v>
      </c>
      <c r="I2627" s="97" t="s">
        <v>649</v>
      </c>
      <c r="J2627" s="73">
        <f t="shared" si="305"/>
        <v>1</v>
      </c>
      <c r="K2627" s="74" t="s">
        <v>204</v>
      </c>
      <c r="L2627" s="97" t="s">
        <v>7329</v>
      </c>
      <c r="N2627" s="76" t="s">
        <v>17</v>
      </c>
      <c r="Q2627" s="76" t="s">
        <v>2076</v>
      </c>
      <c r="R2627" s="73">
        <f t="shared" si="306"/>
        <v>1</v>
      </c>
      <c r="S2627" s="260" t="s">
        <v>1976</v>
      </c>
      <c r="T2627" s="260" t="s">
        <v>923</v>
      </c>
      <c r="Y2627" s="566">
        <v>0.40486111111111112</v>
      </c>
      <c r="Z2627" s="566">
        <v>0.41350694444444441</v>
      </c>
      <c r="AA2627" s="566">
        <f t="shared" si="304"/>
        <v>8.6458333333332971E-3</v>
      </c>
    </row>
    <row r="2628" spans="1:27" x14ac:dyDescent="0.3">
      <c r="A2628" s="79" t="s">
        <v>8161</v>
      </c>
      <c r="C2628" s="115">
        <v>43997</v>
      </c>
      <c r="D2628" s="312">
        <v>44021</v>
      </c>
      <c r="E2628" s="81">
        <v>44016</v>
      </c>
      <c r="F2628" s="86" t="s">
        <v>8202</v>
      </c>
      <c r="G2628" s="86" t="s">
        <v>154</v>
      </c>
      <c r="H2628" s="96" t="s">
        <v>213</v>
      </c>
      <c r="I2628" s="97" t="s">
        <v>972</v>
      </c>
      <c r="J2628" s="73">
        <f t="shared" si="305"/>
        <v>1</v>
      </c>
      <c r="K2628" s="74" t="s">
        <v>204</v>
      </c>
      <c r="L2628" s="97" t="s">
        <v>7079</v>
      </c>
      <c r="N2628" s="76" t="s">
        <v>17</v>
      </c>
      <c r="Q2628" s="76" t="s">
        <v>2109</v>
      </c>
      <c r="R2628" s="73">
        <f t="shared" si="306"/>
        <v>1</v>
      </c>
      <c r="S2628" s="260" t="s">
        <v>1976</v>
      </c>
      <c r="T2628" s="260" t="s">
        <v>924</v>
      </c>
      <c r="Y2628" s="566">
        <v>0.32658564814814817</v>
      </c>
      <c r="Z2628" s="566">
        <v>0.33511574074074074</v>
      </c>
      <c r="AA2628" s="566">
        <f t="shared" si="304"/>
        <v>8.5300925925925752E-3</v>
      </c>
    </row>
    <row r="2629" spans="1:27" x14ac:dyDescent="0.3">
      <c r="A2629" s="96" t="s">
        <v>8162</v>
      </c>
      <c r="C2629" s="115">
        <v>43997</v>
      </c>
      <c r="D2629" s="312">
        <v>44021</v>
      </c>
      <c r="E2629" s="81">
        <v>44015</v>
      </c>
      <c r="F2629" s="86" t="s">
        <v>8203</v>
      </c>
      <c r="G2629" s="86" t="s">
        <v>3509</v>
      </c>
      <c r="H2629" s="79" t="s">
        <v>268</v>
      </c>
      <c r="I2629" s="97" t="s">
        <v>4751</v>
      </c>
      <c r="J2629" s="73">
        <f t="shared" si="305"/>
        <v>1</v>
      </c>
      <c r="K2629" s="74" t="s">
        <v>204</v>
      </c>
      <c r="L2629" s="97" t="s">
        <v>8411</v>
      </c>
      <c r="N2629" s="76" t="s">
        <v>18</v>
      </c>
      <c r="Q2629" s="76" t="s">
        <v>2142</v>
      </c>
      <c r="R2629" s="73">
        <f t="shared" si="306"/>
        <v>1</v>
      </c>
      <c r="S2629" s="260" t="s">
        <v>1976</v>
      </c>
      <c r="T2629" s="260" t="s">
        <v>924</v>
      </c>
      <c r="Y2629" s="566">
        <v>0.66196759259259264</v>
      </c>
      <c r="Z2629" s="566">
        <v>0.72946759259259253</v>
      </c>
      <c r="AA2629" s="566">
        <f t="shared" si="304"/>
        <v>6.7499999999999893E-2</v>
      </c>
    </row>
    <row r="2630" spans="1:27" x14ac:dyDescent="0.3">
      <c r="A2630" s="79" t="s">
        <v>8165</v>
      </c>
      <c r="C2630" s="115">
        <v>43997</v>
      </c>
      <c r="D2630" s="312">
        <v>44021</v>
      </c>
      <c r="E2630" s="81">
        <v>44014</v>
      </c>
      <c r="F2630" s="86" t="s">
        <v>8206</v>
      </c>
      <c r="G2630" s="86" t="s">
        <v>172</v>
      </c>
      <c r="H2630" s="96" t="s">
        <v>213</v>
      </c>
      <c r="I2630" s="97" t="s">
        <v>7725</v>
      </c>
      <c r="J2630" s="73">
        <f t="shared" si="305"/>
        <v>1</v>
      </c>
      <c r="K2630" s="74" t="s">
        <v>204</v>
      </c>
      <c r="L2630" s="97" t="s">
        <v>8366</v>
      </c>
      <c r="N2630" s="76" t="s">
        <v>18</v>
      </c>
      <c r="Q2630" s="76" t="s">
        <v>2142</v>
      </c>
      <c r="R2630" s="73">
        <f t="shared" si="306"/>
        <v>1</v>
      </c>
      <c r="S2630" s="260" t="s">
        <v>1976</v>
      </c>
      <c r="T2630" s="260" t="s">
        <v>925</v>
      </c>
      <c r="Y2630" s="566">
        <v>0.56592592592592594</v>
      </c>
      <c r="Z2630" s="566">
        <v>0.5765393518518519</v>
      </c>
      <c r="AA2630" s="566">
        <f t="shared" si="304"/>
        <v>1.0613425925925957E-2</v>
      </c>
    </row>
    <row r="2631" spans="1:27" x14ac:dyDescent="0.3">
      <c r="A2631" s="96" t="s">
        <v>8169</v>
      </c>
      <c r="C2631" s="115">
        <v>43998</v>
      </c>
      <c r="D2631" s="312">
        <v>44022</v>
      </c>
      <c r="E2631" s="81">
        <v>44015</v>
      </c>
      <c r="F2631" s="86" t="s">
        <v>8210</v>
      </c>
      <c r="G2631" s="86" t="s">
        <v>152</v>
      </c>
      <c r="H2631" s="96" t="s">
        <v>213</v>
      </c>
      <c r="I2631" s="97" t="s">
        <v>642</v>
      </c>
      <c r="J2631" s="73">
        <f t="shared" si="305"/>
        <v>1</v>
      </c>
      <c r="K2631" s="74" t="s">
        <v>204</v>
      </c>
      <c r="L2631" s="97" t="s">
        <v>7110</v>
      </c>
      <c r="N2631" s="76" t="s">
        <v>18</v>
      </c>
      <c r="Q2631" s="76" t="s">
        <v>2076</v>
      </c>
      <c r="R2631" s="73">
        <f t="shared" si="306"/>
        <v>1</v>
      </c>
      <c r="S2631" s="260" t="s">
        <v>1976</v>
      </c>
      <c r="T2631" s="260" t="s">
        <v>925</v>
      </c>
      <c r="Y2631" s="566">
        <v>0.73636574074074079</v>
      </c>
      <c r="Z2631" s="566">
        <v>0.74607638888888894</v>
      </c>
      <c r="AA2631" s="566">
        <f t="shared" si="304"/>
        <v>9.7106481481481488E-3</v>
      </c>
    </row>
    <row r="2632" spans="1:27" x14ac:dyDescent="0.3">
      <c r="A2632" s="79" t="s">
        <v>8170</v>
      </c>
      <c r="C2632" s="115">
        <v>43998</v>
      </c>
      <c r="D2632" s="312">
        <v>44022</v>
      </c>
      <c r="E2632" s="81">
        <v>44015</v>
      </c>
      <c r="F2632" s="86" t="s">
        <v>8211</v>
      </c>
      <c r="G2632" s="86" t="s">
        <v>156</v>
      </c>
      <c r="H2632" s="96" t="s">
        <v>213</v>
      </c>
      <c r="I2632" s="97" t="s">
        <v>649</v>
      </c>
      <c r="J2632" s="73">
        <f t="shared" si="305"/>
        <v>1</v>
      </c>
      <c r="K2632" s="74" t="s">
        <v>204</v>
      </c>
      <c r="L2632" s="97" t="s">
        <v>7065</v>
      </c>
      <c r="N2632" s="76" t="s">
        <v>17</v>
      </c>
      <c r="Q2632" s="76" t="s">
        <v>2076</v>
      </c>
      <c r="R2632" s="73">
        <f t="shared" si="306"/>
        <v>1</v>
      </c>
      <c r="S2632" s="260" t="s">
        <v>1976</v>
      </c>
      <c r="T2632" s="260" t="s">
        <v>924</v>
      </c>
      <c r="Y2632" s="566">
        <v>0.52680555555555553</v>
      </c>
      <c r="Z2632" s="566">
        <v>0.53718750000000004</v>
      </c>
      <c r="AA2632" s="566">
        <f t="shared" si="304"/>
        <v>1.0381944444444513E-2</v>
      </c>
    </row>
    <row r="2633" spans="1:27" x14ac:dyDescent="0.3">
      <c r="A2633" s="79" t="s">
        <v>8171</v>
      </c>
      <c r="C2633" s="115">
        <v>43998</v>
      </c>
      <c r="D2633" s="312">
        <v>44022</v>
      </c>
      <c r="E2633" s="81">
        <v>44014</v>
      </c>
      <c r="F2633" s="86" t="s">
        <v>8212</v>
      </c>
      <c r="G2633" s="86" t="s">
        <v>157</v>
      </c>
      <c r="H2633" s="96" t="s">
        <v>213</v>
      </c>
      <c r="I2633" s="97" t="s">
        <v>649</v>
      </c>
      <c r="J2633" s="73">
        <f t="shared" si="305"/>
        <v>1</v>
      </c>
      <c r="K2633" s="74" t="s">
        <v>204</v>
      </c>
      <c r="L2633" s="97" t="s">
        <v>7065</v>
      </c>
      <c r="N2633" s="76" t="s">
        <v>17</v>
      </c>
      <c r="Q2633" s="76" t="s">
        <v>2417</v>
      </c>
      <c r="R2633" s="73">
        <f t="shared" si="306"/>
        <v>1</v>
      </c>
      <c r="S2633" s="260" t="s">
        <v>1976</v>
      </c>
      <c r="T2633" s="260" t="s">
        <v>924</v>
      </c>
      <c r="Y2633" s="566">
        <v>0.76469907407407411</v>
      </c>
      <c r="Z2633" s="566">
        <v>0.85097222222222213</v>
      </c>
      <c r="AA2633" s="566">
        <f t="shared" si="304"/>
        <v>8.6273148148148016E-2</v>
      </c>
    </row>
    <row r="2634" spans="1:27" x14ac:dyDescent="0.3">
      <c r="A2634" s="79" t="s">
        <v>8176</v>
      </c>
      <c r="C2634" s="115">
        <v>43999</v>
      </c>
      <c r="D2634" s="312">
        <v>44022</v>
      </c>
      <c r="E2634" s="81">
        <v>44015</v>
      </c>
      <c r="F2634" s="86" t="s">
        <v>8217</v>
      </c>
      <c r="G2634" s="86" t="s">
        <v>156</v>
      </c>
      <c r="H2634" s="96" t="s">
        <v>213</v>
      </c>
      <c r="I2634" s="97" t="s">
        <v>6356</v>
      </c>
      <c r="J2634" s="73">
        <f t="shared" si="305"/>
        <v>1</v>
      </c>
      <c r="K2634" s="74" t="s">
        <v>204</v>
      </c>
      <c r="L2634" s="97" t="s">
        <v>8412</v>
      </c>
      <c r="N2634" s="76" t="s">
        <v>17</v>
      </c>
      <c r="Q2634" s="76" t="s">
        <v>2076</v>
      </c>
      <c r="R2634" s="73">
        <f t="shared" si="306"/>
        <v>1</v>
      </c>
      <c r="S2634" s="260" t="s">
        <v>1976</v>
      </c>
      <c r="T2634" s="260" t="s">
        <v>923</v>
      </c>
      <c r="Y2634" s="566">
        <v>0.47342592592592592</v>
      </c>
      <c r="Z2634" s="566">
        <v>0.51736111111111105</v>
      </c>
      <c r="AA2634" s="566">
        <f t="shared" si="304"/>
        <v>4.3935185185185133E-2</v>
      </c>
    </row>
    <row r="2635" spans="1:27" x14ac:dyDescent="0.3">
      <c r="A2635" s="79" t="s">
        <v>8177</v>
      </c>
      <c r="C2635" s="115">
        <v>43999</v>
      </c>
      <c r="D2635" s="312">
        <v>44022</v>
      </c>
      <c r="E2635" s="81">
        <v>44015</v>
      </c>
      <c r="F2635" s="86" t="s">
        <v>8218</v>
      </c>
      <c r="G2635" s="86" t="s">
        <v>156</v>
      </c>
      <c r="H2635" s="96" t="s">
        <v>213</v>
      </c>
      <c r="I2635" s="97" t="s">
        <v>649</v>
      </c>
      <c r="J2635" s="73">
        <f t="shared" si="305"/>
        <v>1</v>
      </c>
      <c r="K2635" s="74" t="s">
        <v>204</v>
      </c>
      <c r="L2635" s="97" t="s">
        <v>7065</v>
      </c>
      <c r="N2635" s="76" t="s">
        <v>18</v>
      </c>
      <c r="Q2635" s="76" t="s">
        <v>2109</v>
      </c>
      <c r="R2635" s="73">
        <f t="shared" si="306"/>
        <v>1</v>
      </c>
      <c r="S2635" s="260" t="s">
        <v>1976</v>
      </c>
      <c r="T2635" s="260" t="s">
        <v>924</v>
      </c>
      <c r="Y2635" s="566">
        <v>0.65555555555555556</v>
      </c>
      <c r="Z2635" s="566">
        <v>0.66167824074074078</v>
      </c>
      <c r="AA2635" s="566">
        <f t="shared" si="304"/>
        <v>6.1226851851852171E-3</v>
      </c>
    </row>
    <row r="2636" spans="1:27" x14ac:dyDescent="0.3">
      <c r="A2636" s="96" t="s">
        <v>8178</v>
      </c>
      <c r="C2636" s="115">
        <v>43999</v>
      </c>
      <c r="D2636" s="312">
        <v>44022</v>
      </c>
      <c r="E2636" s="81">
        <v>44015</v>
      </c>
      <c r="F2636" s="86" t="s">
        <v>8219</v>
      </c>
      <c r="G2636" s="86" t="s">
        <v>152</v>
      </c>
      <c r="H2636" s="96" t="s">
        <v>213</v>
      </c>
      <c r="I2636" s="97" t="s">
        <v>649</v>
      </c>
      <c r="J2636" s="73">
        <f t="shared" si="305"/>
        <v>1</v>
      </c>
      <c r="K2636" s="74" t="s">
        <v>204</v>
      </c>
      <c r="L2636" s="97" t="s">
        <v>8408</v>
      </c>
      <c r="N2636" s="76" t="s">
        <v>17</v>
      </c>
      <c r="Q2636" s="76" t="s">
        <v>2142</v>
      </c>
      <c r="R2636" s="73">
        <f t="shared" si="306"/>
        <v>1</v>
      </c>
      <c r="S2636" s="260" t="s">
        <v>1976</v>
      </c>
      <c r="T2636" s="260" t="s">
        <v>924</v>
      </c>
      <c r="U2636" s="76" t="s">
        <v>5283</v>
      </c>
      <c r="V2636" s="301" t="s">
        <v>8409</v>
      </c>
      <c r="Y2636" s="566">
        <v>0.63438657407407406</v>
      </c>
      <c r="Z2636" s="566">
        <v>0.64591435185185186</v>
      </c>
      <c r="AA2636" s="566">
        <f t="shared" si="304"/>
        <v>1.1527777777777803E-2</v>
      </c>
    </row>
    <row r="2637" spans="1:27" x14ac:dyDescent="0.3">
      <c r="A2637" s="79" t="s">
        <v>8180</v>
      </c>
      <c r="C2637" s="115">
        <v>43999</v>
      </c>
      <c r="D2637" s="312">
        <v>44022</v>
      </c>
      <c r="E2637" s="81">
        <v>44015</v>
      </c>
      <c r="F2637" s="86" t="s">
        <v>8221</v>
      </c>
      <c r="G2637" s="86" t="s">
        <v>158</v>
      </c>
      <c r="H2637" s="96" t="s">
        <v>213</v>
      </c>
      <c r="I2637" s="97" t="s">
        <v>1204</v>
      </c>
      <c r="J2637" s="73">
        <f t="shared" si="305"/>
        <v>1</v>
      </c>
      <c r="K2637" s="74" t="s">
        <v>204</v>
      </c>
      <c r="L2637" s="97" t="s">
        <v>8407</v>
      </c>
      <c r="N2637" s="76" t="s">
        <v>18</v>
      </c>
      <c r="Q2637" s="76" t="s">
        <v>2417</v>
      </c>
      <c r="R2637" s="73">
        <f t="shared" si="306"/>
        <v>1</v>
      </c>
      <c r="S2637" s="260" t="s">
        <v>1976</v>
      </c>
      <c r="T2637" s="260" t="s">
        <v>925</v>
      </c>
      <c r="Y2637" s="566">
        <v>0.62664351851851852</v>
      </c>
      <c r="Z2637" s="566">
        <v>0.63273148148148151</v>
      </c>
      <c r="AA2637" s="566">
        <f t="shared" si="304"/>
        <v>6.0879629629629894E-3</v>
      </c>
    </row>
    <row r="2638" spans="1:27" x14ac:dyDescent="0.3">
      <c r="A2638" s="79" t="s">
        <v>8734</v>
      </c>
      <c r="C2638" s="115">
        <v>43983</v>
      </c>
      <c r="D2638" s="115">
        <v>44035</v>
      </c>
      <c r="F2638" s="252" t="s">
        <v>8759</v>
      </c>
      <c r="G2638" s="86" t="s">
        <v>164</v>
      </c>
      <c r="H2638" s="96" t="s">
        <v>213</v>
      </c>
      <c r="J2638" s="73">
        <f t="shared" si="305"/>
        <v>1</v>
      </c>
      <c r="K2638" s="74" t="s">
        <v>204</v>
      </c>
      <c r="Q2638" s="76" t="s">
        <v>2076</v>
      </c>
      <c r="R2638" s="73">
        <f t="shared" si="306"/>
        <v>1</v>
      </c>
      <c r="S2638" s="260" t="s">
        <v>1976</v>
      </c>
      <c r="T2638" s="260"/>
      <c r="AA2638" s="566">
        <f t="shared" si="304"/>
        <v>0</v>
      </c>
    </row>
    <row r="2639" spans="1:27" x14ac:dyDescent="0.3">
      <c r="A2639" s="79" t="s">
        <v>8154</v>
      </c>
      <c r="C2639" s="115">
        <v>43993</v>
      </c>
      <c r="D2639" s="115">
        <v>44034</v>
      </c>
      <c r="F2639" s="252" t="s">
        <v>8195</v>
      </c>
      <c r="G2639" s="86" t="s">
        <v>157</v>
      </c>
      <c r="H2639" s="96" t="s">
        <v>213</v>
      </c>
      <c r="J2639" s="73">
        <f t="shared" ref="J2639:J2672" si="307">IF(OR(K2639="Документы готовы",K2639="Запрос в ФО",K2639="ЭЗ",K2639="РЕШ",K2639="РЕШ шаблон"),0.1,IF(OR(K2639="ЭЗ согласование",K2639="РЕШ согласование"),0.3,IF(OR(K2639="ЭЗ согласовано",K2639="РЕШ согласовано",K2639="РЕШ подписано"),0.6,IF(OR(K2639="ЭЗ ПР согласование",K2639="РЕШ УВ согласование"),0.9,IF(OR(K2639="ЭЗ ПР DONE",K2639="РЕШ УВ DONE"),1,0)))))</f>
        <v>1</v>
      </c>
      <c r="K2639" s="74" t="s">
        <v>204</v>
      </c>
      <c r="Q2639" s="76" t="s">
        <v>2076</v>
      </c>
      <c r="R2639" s="73">
        <f t="shared" ref="R2639:R2672" si="308">IF(S2639="В работе",0.3,IF(S2639="Отписано",0.6,IF(S2639="На доработку",0.9,IF(S2639="Согласовано",1,0))))</f>
        <v>1</v>
      </c>
      <c r="S2639" s="260" t="s">
        <v>1976</v>
      </c>
      <c r="T2639" s="260"/>
      <c r="AA2639" s="566">
        <f t="shared" si="304"/>
        <v>0</v>
      </c>
    </row>
    <row r="2640" spans="1:27" x14ac:dyDescent="0.3">
      <c r="A2640" s="79" t="s">
        <v>8735</v>
      </c>
      <c r="C2640" s="115">
        <v>43993</v>
      </c>
      <c r="D2640" s="115">
        <v>44034</v>
      </c>
      <c r="F2640" s="86" t="s">
        <v>3895</v>
      </c>
      <c r="G2640" s="86" t="s">
        <v>168</v>
      </c>
      <c r="H2640" s="96" t="s">
        <v>213</v>
      </c>
      <c r="J2640" s="73">
        <f t="shared" si="307"/>
        <v>1</v>
      </c>
      <c r="K2640" s="74" t="s">
        <v>204</v>
      </c>
      <c r="Q2640" s="76" t="s">
        <v>2076</v>
      </c>
      <c r="R2640" s="73">
        <f t="shared" si="308"/>
        <v>1</v>
      </c>
      <c r="S2640" s="260" t="s">
        <v>1976</v>
      </c>
      <c r="T2640" s="260"/>
      <c r="AA2640" s="566">
        <f t="shared" si="304"/>
        <v>0</v>
      </c>
    </row>
    <row r="2641" spans="1:27" x14ac:dyDescent="0.3">
      <c r="A2641" s="79" t="s">
        <v>8736</v>
      </c>
      <c r="C2641" s="115">
        <v>43997</v>
      </c>
      <c r="D2641" s="115">
        <v>44035</v>
      </c>
      <c r="F2641" s="86" t="s">
        <v>8760</v>
      </c>
      <c r="G2641" s="86" t="s">
        <v>147</v>
      </c>
      <c r="H2641" s="96" t="s">
        <v>213</v>
      </c>
      <c r="J2641" s="73">
        <f t="shared" si="307"/>
        <v>1</v>
      </c>
      <c r="K2641" s="74" t="s">
        <v>204</v>
      </c>
      <c r="Q2641" s="76" t="s">
        <v>2076</v>
      </c>
      <c r="R2641" s="73">
        <f t="shared" si="308"/>
        <v>1</v>
      </c>
      <c r="S2641" s="260" t="s">
        <v>1976</v>
      </c>
      <c r="T2641" s="260"/>
      <c r="AA2641" s="566">
        <f t="shared" si="304"/>
        <v>0</v>
      </c>
    </row>
    <row r="2642" spans="1:27" x14ac:dyDescent="0.3">
      <c r="A2642" s="79" t="s">
        <v>8155</v>
      </c>
      <c r="C2642" s="115">
        <v>43997</v>
      </c>
      <c r="D2642" s="115">
        <v>44035</v>
      </c>
      <c r="F2642" s="86" t="s">
        <v>8196</v>
      </c>
      <c r="G2642" s="86" t="s">
        <v>150</v>
      </c>
      <c r="H2642" s="96" t="s">
        <v>213</v>
      </c>
      <c r="J2642" s="73">
        <f t="shared" si="307"/>
        <v>1</v>
      </c>
      <c r="K2642" s="74" t="s">
        <v>204</v>
      </c>
      <c r="Q2642" s="76" t="s">
        <v>2076</v>
      </c>
      <c r="R2642" s="73">
        <f t="shared" si="308"/>
        <v>1</v>
      </c>
      <c r="S2642" s="260" t="s">
        <v>1976</v>
      </c>
      <c r="T2642" s="260"/>
      <c r="AA2642" s="566">
        <f t="shared" si="304"/>
        <v>0</v>
      </c>
    </row>
    <row r="2643" spans="1:27" x14ac:dyDescent="0.3">
      <c r="A2643" s="79" t="s">
        <v>8158</v>
      </c>
      <c r="C2643" s="115">
        <v>43997</v>
      </c>
      <c r="D2643" s="312">
        <v>44035</v>
      </c>
      <c r="E2643" s="81">
        <v>44032</v>
      </c>
      <c r="F2643" s="86" t="s">
        <v>8199</v>
      </c>
      <c r="G2643" s="86" t="s">
        <v>158</v>
      </c>
      <c r="H2643" s="96" t="s">
        <v>213</v>
      </c>
      <c r="I2643" s="97" t="s">
        <v>714</v>
      </c>
      <c r="J2643" s="73">
        <f t="shared" si="307"/>
        <v>1</v>
      </c>
      <c r="K2643" s="74" t="s">
        <v>204</v>
      </c>
      <c r="L2643" s="97" t="s">
        <v>8908</v>
      </c>
      <c r="N2643" s="76" t="s">
        <v>17</v>
      </c>
      <c r="Q2643" s="76" t="s">
        <v>2076</v>
      </c>
      <c r="R2643" s="73">
        <f t="shared" si="308"/>
        <v>1</v>
      </c>
      <c r="S2643" s="260" t="s">
        <v>1976</v>
      </c>
      <c r="T2643" s="260" t="s">
        <v>924</v>
      </c>
      <c r="U2643" s="76" t="s">
        <v>5283</v>
      </c>
      <c r="V2643" s="301" t="s">
        <v>7572</v>
      </c>
      <c r="Y2643" s="566">
        <v>0.35054398148148147</v>
      </c>
      <c r="Z2643" s="566">
        <v>0.36979166666666669</v>
      </c>
      <c r="AA2643" s="566">
        <f t="shared" si="304"/>
        <v>1.9247685185185215E-2</v>
      </c>
    </row>
    <row r="2644" spans="1:27" x14ac:dyDescent="0.3">
      <c r="A2644" s="79" t="s">
        <v>8163</v>
      </c>
      <c r="C2644" s="115">
        <v>43997</v>
      </c>
      <c r="D2644" s="312">
        <v>44035</v>
      </c>
      <c r="E2644" s="81">
        <v>44034</v>
      </c>
      <c r="F2644" s="86" t="s">
        <v>8204</v>
      </c>
      <c r="G2644" s="86" t="s">
        <v>158</v>
      </c>
      <c r="H2644" s="96" t="s">
        <v>213</v>
      </c>
      <c r="I2644" s="97" t="s">
        <v>645</v>
      </c>
      <c r="J2644" s="73">
        <f t="shared" si="307"/>
        <v>1</v>
      </c>
      <c r="K2644" s="74" t="s">
        <v>204</v>
      </c>
      <c r="L2644" s="97" t="s">
        <v>7582</v>
      </c>
      <c r="N2644" s="76" t="s">
        <v>18</v>
      </c>
      <c r="Q2644" s="76" t="s">
        <v>2109</v>
      </c>
      <c r="R2644" s="73">
        <f t="shared" si="308"/>
        <v>1</v>
      </c>
      <c r="S2644" s="260" t="s">
        <v>1976</v>
      </c>
      <c r="T2644" s="260" t="s">
        <v>924</v>
      </c>
      <c r="Y2644" s="566">
        <v>0.63997685185185182</v>
      </c>
      <c r="Z2644" s="566">
        <v>0.64236111111111105</v>
      </c>
      <c r="AA2644" s="566">
        <f t="shared" si="304"/>
        <v>2.3842592592592249E-3</v>
      </c>
    </row>
    <row r="2645" spans="1:27" x14ac:dyDescent="0.3">
      <c r="A2645" s="79" t="s">
        <v>8164</v>
      </c>
      <c r="C2645" s="115">
        <v>43997</v>
      </c>
      <c r="D2645" s="115">
        <v>44035</v>
      </c>
      <c r="F2645" s="86" t="s">
        <v>8205</v>
      </c>
      <c r="G2645" s="86" t="s">
        <v>175</v>
      </c>
      <c r="H2645" s="96" t="s">
        <v>213</v>
      </c>
      <c r="J2645" s="73">
        <f t="shared" si="307"/>
        <v>1</v>
      </c>
      <c r="K2645" s="74" t="s">
        <v>204</v>
      </c>
      <c r="Q2645" s="76" t="s">
        <v>2109</v>
      </c>
      <c r="R2645" s="73">
        <f t="shared" si="308"/>
        <v>1</v>
      </c>
      <c r="S2645" s="260" t="s">
        <v>1976</v>
      </c>
      <c r="T2645" s="260"/>
      <c r="AA2645" s="566">
        <f t="shared" si="304"/>
        <v>0</v>
      </c>
    </row>
    <row r="2646" spans="1:27" x14ac:dyDescent="0.3">
      <c r="A2646" s="79" t="s">
        <v>8166</v>
      </c>
      <c r="C2646" s="115">
        <v>43997</v>
      </c>
      <c r="D2646" s="115">
        <v>44035</v>
      </c>
      <c r="F2646" s="86" t="s">
        <v>8207</v>
      </c>
      <c r="G2646" s="86" t="s">
        <v>1682</v>
      </c>
      <c r="H2646" s="96" t="s">
        <v>213</v>
      </c>
      <c r="J2646" s="73">
        <f t="shared" si="307"/>
        <v>1</v>
      </c>
      <c r="K2646" s="74" t="s">
        <v>204</v>
      </c>
      <c r="Q2646" s="76" t="s">
        <v>2142</v>
      </c>
      <c r="R2646" s="73">
        <f t="shared" si="308"/>
        <v>1</v>
      </c>
      <c r="S2646" s="260" t="s">
        <v>1976</v>
      </c>
      <c r="T2646" s="260"/>
      <c r="AA2646" s="566">
        <f t="shared" si="304"/>
        <v>0</v>
      </c>
    </row>
    <row r="2647" spans="1:27" x14ac:dyDescent="0.3">
      <c r="A2647" s="79" t="s">
        <v>8167</v>
      </c>
      <c r="C2647" s="115">
        <v>43997</v>
      </c>
      <c r="D2647" s="115">
        <v>44035</v>
      </c>
      <c r="F2647" s="86" t="s">
        <v>8208</v>
      </c>
      <c r="G2647" s="86" t="s">
        <v>158</v>
      </c>
      <c r="H2647" s="96" t="s">
        <v>213</v>
      </c>
      <c r="J2647" s="73">
        <f t="shared" si="307"/>
        <v>1</v>
      </c>
      <c r="K2647" s="74" t="s">
        <v>204</v>
      </c>
      <c r="Q2647" s="76" t="s">
        <v>2142</v>
      </c>
      <c r="R2647" s="73">
        <f t="shared" si="308"/>
        <v>1</v>
      </c>
      <c r="S2647" s="260" t="s">
        <v>1976</v>
      </c>
      <c r="T2647" s="260"/>
      <c r="AA2647" s="566">
        <f t="shared" si="304"/>
        <v>0</v>
      </c>
    </row>
    <row r="2648" spans="1:27" x14ac:dyDescent="0.3">
      <c r="A2648" s="79" t="s">
        <v>8168</v>
      </c>
      <c r="C2648" s="115">
        <v>43998</v>
      </c>
      <c r="D2648" s="115">
        <v>44035</v>
      </c>
      <c r="F2648" s="86" t="s">
        <v>8209</v>
      </c>
      <c r="G2648" s="86" t="s">
        <v>157</v>
      </c>
      <c r="H2648" s="96" t="s">
        <v>213</v>
      </c>
      <c r="J2648" s="73">
        <f t="shared" si="307"/>
        <v>1</v>
      </c>
      <c r="K2648" s="74" t="s">
        <v>204</v>
      </c>
      <c r="Q2648" s="76" t="s">
        <v>2142</v>
      </c>
      <c r="R2648" s="73">
        <f t="shared" si="308"/>
        <v>1</v>
      </c>
      <c r="S2648" s="260" t="s">
        <v>1976</v>
      </c>
      <c r="T2648" s="260"/>
      <c r="AA2648" s="566">
        <f t="shared" si="304"/>
        <v>0</v>
      </c>
    </row>
    <row r="2649" spans="1:27" x14ac:dyDescent="0.3">
      <c r="A2649" s="79" t="s">
        <v>8737</v>
      </c>
      <c r="C2649" s="115">
        <v>43998</v>
      </c>
      <c r="D2649" s="115">
        <v>44035</v>
      </c>
      <c r="F2649" s="86" t="s">
        <v>8761</v>
      </c>
      <c r="G2649" s="86" t="s">
        <v>150</v>
      </c>
      <c r="H2649" s="96" t="s">
        <v>213</v>
      </c>
      <c r="J2649" s="73">
        <f t="shared" si="307"/>
        <v>1</v>
      </c>
      <c r="K2649" s="74" t="s">
        <v>204</v>
      </c>
      <c r="Q2649" s="76" t="s">
        <v>2142</v>
      </c>
      <c r="R2649" s="73">
        <f t="shared" si="308"/>
        <v>1</v>
      </c>
      <c r="S2649" s="260" t="s">
        <v>1976</v>
      </c>
      <c r="T2649" s="260"/>
      <c r="AA2649" s="566">
        <f t="shared" si="304"/>
        <v>0</v>
      </c>
    </row>
    <row r="2650" spans="1:27" x14ac:dyDescent="0.3">
      <c r="A2650" s="96" t="s">
        <v>8172</v>
      </c>
      <c r="C2650" s="115">
        <v>43998</v>
      </c>
      <c r="D2650" s="312">
        <v>44036</v>
      </c>
      <c r="E2650" s="81">
        <v>44033</v>
      </c>
      <c r="F2650" s="86" t="s">
        <v>8213</v>
      </c>
      <c r="G2650" s="86" t="s">
        <v>152</v>
      </c>
      <c r="H2650" s="79" t="s">
        <v>268</v>
      </c>
      <c r="I2650" s="97" t="s">
        <v>657</v>
      </c>
      <c r="J2650" s="73">
        <f t="shared" si="307"/>
        <v>1</v>
      </c>
      <c r="K2650" s="74" t="s">
        <v>204</v>
      </c>
      <c r="L2650" s="97" t="s">
        <v>8962</v>
      </c>
      <c r="N2650" s="76" t="s">
        <v>17</v>
      </c>
      <c r="Q2650" s="76" t="s">
        <v>2109</v>
      </c>
      <c r="R2650" s="73">
        <f t="shared" si="308"/>
        <v>1</v>
      </c>
      <c r="S2650" s="260" t="s">
        <v>1976</v>
      </c>
      <c r="T2650" s="260" t="s">
        <v>924</v>
      </c>
      <c r="U2650" s="76" t="s">
        <v>5283</v>
      </c>
      <c r="V2650" s="301" t="s">
        <v>8963</v>
      </c>
      <c r="Y2650" s="566">
        <v>0.74763888888888896</v>
      </c>
      <c r="Z2650" s="566">
        <v>0.77597222222222229</v>
      </c>
      <c r="AA2650" s="566">
        <f t="shared" si="304"/>
        <v>2.8333333333333321E-2</v>
      </c>
    </row>
    <row r="2651" spans="1:27" x14ac:dyDescent="0.3">
      <c r="A2651" s="79" t="s">
        <v>8173</v>
      </c>
      <c r="C2651" s="115">
        <v>43998</v>
      </c>
      <c r="D2651" s="312">
        <v>44036</v>
      </c>
      <c r="E2651" s="81">
        <v>44032</v>
      </c>
      <c r="F2651" s="86" t="s">
        <v>8214</v>
      </c>
      <c r="G2651" s="86" t="s">
        <v>157</v>
      </c>
      <c r="H2651" s="96" t="s">
        <v>213</v>
      </c>
      <c r="I2651" s="97" t="s">
        <v>714</v>
      </c>
      <c r="J2651" s="73">
        <f t="shared" si="307"/>
        <v>1</v>
      </c>
      <c r="K2651" s="74" t="s">
        <v>204</v>
      </c>
      <c r="L2651" s="97" t="s">
        <v>7072</v>
      </c>
      <c r="N2651" s="76" t="s">
        <v>17</v>
      </c>
      <c r="Q2651" s="76" t="s">
        <v>2109</v>
      </c>
      <c r="R2651" s="73">
        <f t="shared" si="308"/>
        <v>1</v>
      </c>
      <c r="S2651" s="260" t="s">
        <v>1976</v>
      </c>
      <c r="T2651" s="260" t="s">
        <v>923</v>
      </c>
      <c r="U2651" s="76" t="s">
        <v>5283</v>
      </c>
      <c r="V2651" s="301" t="s">
        <v>8922</v>
      </c>
      <c r="Y2651" s="566">
        <v>0.43214120370370374</v>
      </c>
      <c r="Z2651" s="566">
        <v>0.60062499999999996</v>
      </c>
      <c r="AA2651" s="566">
        <f t="shared" si="304"/>
        <v>0.16848379629629623</v>
      </c>
    </row>
    <row r="2652" spans="1:27" x14ac:dyDescent="0.3">
      <c r="A2652" s="79" t="s">
        <v>8738</v>
      </c>
      <c r="C2652" s="115">
        <v>43998</v>
      </c>
      <c r="D2652" s="115">
        <v>44036</v>
      </c>
      <c r="F2652" s="86" t="s">
        <v>8762</v>
      </c>
      <c r="G2652" s="86" t="s">
        <v>158</v>
      </c>
      <c r="H2652" s="96" t="s">
        <v>213</v>
      </c>
      <c r="J2652" s="73">
        <f t="shared" si="307"/>
        <v>1</v>
      </c>
      <c r="K2652" s="74" t="s">
        <v>204</v>
      </c>
      <c r="Q2652" s="76" t="s">
        <v>2142</v>
      </c>
      <c r="R2652" s="73">
        <f t="shared" si="308"/>
        <v>1</v>
      </c>
      <c r="S2652" s="260" t="s">
        <v>1976</v>
      </c>
      <c r="T2652" s="260"/>
      <c r="AA2652" s="566">
        <f t="shared" si="304"/>
        <v>0</v>
      </c>
    </row>
    <row r="2653" spans="1:27" x14ac:dyDescent="0.3">
      <c r="A2653" s="79" t="s">
        <v>8739</v>
      </c>
      <c r="C2653" s="115">
        <v>43998</v>
      </c>
      <c r="D2653" s="312">
        <v>44036</v>
      </c>
      <c r="E2653" s="81">
        <v>44032</v>
      </c>
      <c r="F2653" s="86" t="s">
        <v>8763</v>
      </c>
      <c r="G2653" s="86" t="s">
        <v>172</v>
      </c>
      <c r="H2653" s="96" t="s">
        <v>213</v>
      </c>
      <c r="I2653" s="97" t="s">
        <v>642</v>
      </c>
      <c r="J2653" s="73">
        <f t="shared" si="307"/>
        <v>1</v>
      </c>
      <c r="K2653" s="74" t="s">
        <v>204</v>
      </c>
      <c r="L2653" s="97" t="s">
        <v>8912</v>
      </c>
      <c r="N2653" s="76" t="s">
        <v>18</v>
      </c>
      <c r="Q2653" s="76" t="s">
        <v>2076</v>
      </c>
      <c r="R2653" s="73">
        <f t="shared" si="308"/>
        <v>1</v>
      </c>
      <c r="S2653" s="260" t="s">
        <v>1976</v>
      </c>
      <c r="T2653" s="260" t="s">
        <v>923</v>
      </c>
      <c r="Y2653" s="566">
        <v>0.42045138888888894</v>
      </c>
      <c r="Z2653" s="566">
        <v>0.42479166666666668</v>
      </c>
      <c r="AA2653" s="566">
        <f t="shared" si="304"/>
        <v>4.3402777777777346E-3</v>
      </c>
    </row>
    <row r="2654" spans="1:27" x14ac:dyDescent="0.3">
      <c r="A2654" s="79" t="s">
        <v>8740</v>
      </c>
      <c r="C2654" s="115">
        <v>43999</v>
      </c>
      <c r="D2654" s="312">
        <v>44036</v>
      </c>
      <c r="E2654" s="81">
        <v>44032</v>
      </c>
      <c r="F2654" s="86" t="s">
        <v>8764</v>
      </c>
      <c r="G2654" s="86" t="s">
        <v>168</v>
      </c>
      <c r="H2654" s="96" t="s">
        <v>213</v>
      </c>
      <c r="I2654" s="97" t="s">
        <v>642</v>
      </c>
      <c r="J2654" s="73">
        <f t="shared" si="307"/>
        <v>1</v>
      </c>
      <c r="K2654" s="74" t="s">
        <v>204</v>
      </c>
      <c r="L2654" s="97" t="s">
        <v>7108</v>
      </c>
      <c r="N2654" s="76" t="s">
        <v>18</v>
      </c>
      <c r="Q2654" s="76" t="s">
        <v>2076</v>
      </c>
      <c r="R2654" s="73">
        <f t="shared" si="308"/>
        <v>1</v>
      </c>
      <c r="S2654" s="260" t="s">
        <v>1976</v>
      </c>
      <c r="T2654" s="260" t="s">
        <v>923</v>
      </c>
      <c r="U2654" s="76" t="s">
        <v>5283</v>
      </c>
      <c r="Y2654" s="566">
        <v>0.4060185185185185</v>
      </c>
      <c r="Z2654" s="566">
        <v>0.41979166666666662</v>
      </c>
      <c r="AA2654" s="566">
        <f t="shared" si="304"/>
        <v>1.3773148148148118E-2</v>
      </c>
    </row>
    <row r="2655" spans="1:27" x14ac:dyDescent="0.3">
      <c r="A2655" s="79" t="s">
        <v>8174</v>
      </c>
      <c r="C2655" s="115">
        <v>43999</v>
      </c>
      <c r="D2655" s="115">
        <v>44036</v>
      </c>
      <c r="F2655" s="86" t="s">
        <v>8215</v>
      </c>
      <c r="G2655" s="86" t="s">
        <v>147</v>
      </c>
      <c r="H2655" s="96" t="s">
        <v>213</v>
      </c>
      <c r="J2655" s="73">
        <f t="shared" si="307"/>
        <v>1</v>
      </c>
      <c r="K2655" s="74" t="s">
        <v>204</v>
      </c>
      <c r="Q2655" s="76" t="s">
        <v>2142</v>
      </c>
      <c r="R2655" s="73">
        <f t="shared" si="308"/>
        <v>1</v>
      </c>
      <c r="S2655" s="260" t="s">
        <v>1976</v>
      </c>
      <c r="T2655" s="260"/>
      <c r="AA2655" s="566">
        <f t="shared" si="304"/>
        <v>0</v>
      </c>
    </row>
    <row r="2656" spans="1:27" x14ac:dyDescent="0.3">
      <c r="A2656" s="79" t="s">
        <v>8175</v>
      </c>
      <c r="C2656" s="115">
        <v>43999</v>
      </c>
      <c r="D2656" s="312">
        <v>44036</v>
      </c>
      <c r="E2656" s="81">
        <v>44032</v>
      </c>
      <c r="F2656" s="86" t="s">
        <v>8216</v>
      </c>
      <c r="G2656" s="86" t="s">
        <v>6493</v>
      </c>
      <c r="H2656" s="96" t="s">
        <v>213</v>
      </c>
      <c r="I2656" s="97" t="s">
        <v>755</v>
      </c>
      <c r="J2656" s="73">
        <f t="shared" si="307"/>
        <v>1</v>
      </c>
      <c r="K2656" s="74" t="s">
        <v>204</v>
      </c>
      <c r="L2656" s="97" t="s">
        <v>7315</v>
      </c>
      <c r="N2656" s="76" t="s">
        <v>17</v>
      </c>
      <c r="Q2656" s="76" t="s">
        <v>2142</v>
      </c>
      <c r="R2656" s="73">
        <f t="shared" si="308"/>
        <v>1</v>
      </c>
      <c r="S2656" s="260" t="s">
        <v>1976</v>
      </c>
      <c r="T2656" s="260" t="s">
        <v>925</v>
      </c>
      <c r="Y2656" s="566">
        <v>0.73875000000000002</v>
      </c>
      <c r="Z2656" s="566">
        <v>0.7509837962962963</v>
      </c>
      <c r="AA2656" s="566">
        <f t="shared" si="304"/>
        <v>1.2233796296296284E-2</v>
      </c>
    </row>
    <row r="2657" spans="1:27" x14ac:dyDescent="0.3">
      <c r="A2657" s="79" t="s">
        <v>8179</v>
      </c>
      <c r="C2657" s="115">
        <v>43999</v>
      </c>
      <c r="D2657" s="312">
        <v>44036</v>
      </c>
      <c r="E2657" s="81">
        <v>44032</v>
      </c>
      <c r="F2657" s="86" t="s">
        <v>8220</v>
      </c>
      <c r="G2657" s="86" t="s">
        <v>156</v>
      </c>
      <c r="H2657" s="96" t="s">
        <v>213</v>
      </c>
      <c r="I2657" s="97" t="s">
        <v>714</v>
      </c>
      <c r="J2657" s="73">
        <f t="shared" si="307"/>
        <v>1</v>
      </c>
      <c r="K2657" s="74" t="s">
        <v>204</v>
      </c>
      <c r="L2657" s="97" t="s">
        <v>7072</v>
      </c>
      <c r="N2657" s="76" t="s">
        <v>18</v>
      </c>
      <c r="Q2657" s="76" t="s">
        <v>2109</v>
      </c>
      <c r="R2657" s="73">
        <f t="shared" si="308"/>
        <v>1</v>
      </c>
      <c r="S2657" s="260" t="s">
        <v>1976</v>
      </c>
      <c r="T2657" s="260" t="s">
        <v>924</v>
      </c>
      <c r="Y2657" s="566">
        <v>0.61712962962962969</v>
      </c>
      <c r="Z2657" s="566">
        <v>0.62304398148148155</v>
      </c>
      <c r="AA2657" s="566">
        <f t="shared" si="304"/>
        <v>5.9143518518518512E-3</v>
      </c>
    </row>
    <row r="2658" spans="1:27" x14ac:dyDescent="0.3">
      <c r="A2658" s="79" t="s">
        <v>8741</v>
      </c>
      <c r="C2658" s="115">
        <v>44011</v>
      </c>
      <c r="D2658" s="312">
        <v>44033</v>
      </c>
      <c r="E2658" s="81">
        <v>44033</v>
      </c>
      <c r="F2658" s="86" t="s">
        <v>8765</v>
      </c>
      <c r="G2658" s="86" t="s">
        <v>150</v>
      </c>
      <c r="H2658" s="96" t="s">
        <v>213</v>
      </c>
      <c r="I2658" s="97" t="s">
        <v>995</v>
      </c>
      <c r="J2658" s="73">
        <f t="shared" si="307"/>
        <v>1</v>
      </c>
      <c r="K2658" s="74" t="s">
        <v>204</v>
      </c>
      <c r="L2658" s="97" t="s">
        <v>7073</v>
      </c>
      <c r="N2658" s="76" t="s">
        <v>19</v>
      </c>
      <c r="Q2658" s="76" t="s">
        <v>2109</v>
      </c>
      <c r="R2658" s="73">
        <f t="shared" si="308"/>
        <v>1</v>
      </c>
      <c r="S2658" s="260" t="s">
        <v>1976</v>
      </c>
      <c r="T2658" s="260" t="s">
        <v>924</v>
      </c>
      <c r="Y2658" s="566">
        <v>0.53549768518518526</v>
      </c>
      <c r="Z2658" s="566">
        <v>0.57500000000000007</v>
      </c>
      <c r="AA2658" s="566">
        <f t="shared" si="304"/>
        <v>3.950231481481481E-2</v>
      </c>
    </row>
    <row r="2659" spans="1:27" x14ac:dyDescent="0.3">
      <c r="A2659" s="79" t="s">
        <v>8742</v>
      </c>
      <c r="C2659" s="115">
        <v>44011</v>
      </c>
      <c r="D2659" s="115">
        <v>44034</v>
      </c>
      <c r="F2659" s="86" t="s">
        <v>8766</v>
      </c>
      <c r="G2659" s="86" t="s">
        <v>172</v>
      </c>
      <c r="H2659" s="96" t="s">
        <v>213</v>
      </c>
      <c r="J2659" s="73">
        <f t="shared" si="307"/>
        <v>1</v>
      </c>
      <c r="K2659" s="74" t="s">
        <v>204</v>
      </c>
      <c r="Q2659" s="76" t="s">
        <v>2109</v>
      </c>
      <c r="R2659" s="73">
        <f t="shared" si="308"/>
        <v>1</v>
      </c>
      <c r="S2659" s="260" t="s">
        <v>1976</v>
      </c>
      <c r="T2659" s="260"/>
      <c r="AA2659" s="566">
        <f t="shared" si="304"/>
        <v>0</v>
      </c>
    </row>
    <row r="2660" spans="1:27" x14ac:dyDescent="0.3">
      <c r="A2660" s="79" t="s">
        <v>8743</v>
      </c>
      <c r="C2660" s="115">
        <v>44012</v>
      </c>
      <c r="D2660" s="115">
        <v>44035</v>
      </c>
      <c r="F2660" s="86" t="s">
        <v>8767</v>
      </c>
      <c r="G2660" s="86" t="s">
        <v>181</v>
      </c>
      <c r="H2660" s="96" t="s">
        <v>213</v>
      </c>
      <c r="J2660" s="73">
        <f t="shared" si="307"/>
        <v>1</v>
      </c>
      <c r="K2660" s="74" t="s">
        <v>204</v>
      </c>
      <c r="Q2660" s="76" t="s">
        <v>2142</v>
      </c>
      <c r="R2660" s="73">
        <f t="shared" si="308"/>
        <v>1</v>
      </c>
      <c r="S2660" s="260" t="s">
        <v>1976</v>
      </c>
      <c r="T2660" s="260"/>
      <c r="AA2660" s="566">
        <f t="shared" si="304"/>
        <v>0</v>
      </c>
    </row>
    <row r="2661" spans="1:27" x14ac:dyDescent="0.3">
      <c r="A2661" s="79" t="s">
        <v>8744</v>
      </c>
      <c r="C2661" s="115">
        <v>44012</v>
      </c>
      <c r="D2661" s="312">
        <v>44035</v>
      </c>
      <c r="E2661" s="81">
        <v>44031</v>
      </c>
      <c r="F2661" s="86" t="s">
        <v>8768</v>
      </c>
      <c r="G2661" s="86" t="s">
        <v>733</v>
      </c>
      <c r="H2661" s="96" t="s">
        <v>213</v>
      </c>
      <c r="I2661" s="97" t="s">
        <v>722</v>
      </c>
      <c r="J2661" s="73">
        <f t="shared" si="307"/>
        <v>1</v>
      </c>
      <c r="K2661" s="74" t="s">
        <v>204</v>
      </c>
      <c r="L2661" s="97" t="s">
        <v>7322</v>
      </c>
      <c r="N2661" s="76" t="s">
        <v>18</v>
      </c>
      <c r="Q2661" s="76" t="s">
        <v>2076</v>
      </c>
      <c r="R2661" s="73">
        <f t="shared" si="308"/>
        <v>1</v>
      </c>
      <c r="S2661" s="260" t="s">
        <v>1976</v>
      </c>
      <c r="T2661" s="260" t="s">
        <v>923</v>
      </c>
      <c r="Y2661" s="566">
        <v>0.88878472222222227</v>
      </c>
      <c r="Z2661" s="566">
        <v>0.94059027777777782</v>
      </c>
      <c r="AA2661" s="566">
        <f t="shared" si="304"/>
        <v>5.1805555555555549E-2</v>
      </c>
    </row>
    <row r="2662" spans="1:27" x14ac:dyDescent="0.3">
      <c r="A2662" s="79" t="s">
        <v>8745</v>
      </c>
      <c r="C2662" s="115">
        <v>44012</v>
      </c>
      <c r="D2662" s="115">
        <v>44035</v>
      </c>
      <c r="F2662" s="86" t="s">
        <v>8769</v>
      </c>
      <c r="G2662" s="86" t="s">
        <v>172</v>
      </c>
      <c r="H2662" s="96" t="s">
        <v>213</v>
      </c>
      <c r="J2662" s="73">
        <f t="shared" si="307"/>
        <v>1</v>
      </c>
      <c r="K2662" s="74" t="s">
        <v>204</v>
      </c>
      <c r="Q2662" s="76" t="s">
        <v>2109</v>
      </c>
      <c r="R2662" s="73">
        <f t="shared" si="308"/>
        <v>1</v>
      </c>
      <c r="S2662" s="260" t="s">
        <v>1976</v>
      </c>
      <c r="T2662" s="260"/>
      <c r="AA2662" s="566">
        <f t="shared" si="304"/>
        <v>0</v>
      </c>
    </row>
    <row r="2663" spans="1:27" x14ac:dyDescent="0.3">
      <c r="A2663" s="79" t="s">
        <v>8746</v>
      </c>
      <c r="C2663" s="115">
        <v>44012</v>
      </c>
      <c r="D2663" s="115">
        <v>44035</v>
      </c>
      <c r="F2663" s="86" t="s">
        <v>8770</v>
      </c>
      <c r="G2663" s="86" t="s">
        <v>154</v>
      </c>
      <c r="H2663" s="96" t="s">
        <v>213</v>
      </c>
      <c r="J2663" s="73">
        <f t="shared" si="307"/>
        <v>1</v>
      </c>
      <c r="K2663" s="74" t="s">
        <v>204</v>
      </c>
      <c r="Q2663" s="76" t="s">
        <v>2142</v>
      </c>
      <c r="R2663" s="73">
        <f t="shared" si="308"/>
        <v>1</v>
      </c>
      <c r="S2663" s="260" t="s">
        <v>1976</v>
      </c>
      <c r="T2663" s="260"/>
      <c r="AA2663" s="566">
        <f t="shared" si="304"/>
        <v>0</v>
      </c>
    </row>
    <row r="2664" spans="1:27" x14ac:dyDescent="0.3">
      <c r="A2664" s="96" t="s">
        <v>8747</v>
      </c>
      <c r="C2664" s="115">
        <v>44012</v>
      </c>
      <c r="D2664" s="312">
        <v>44035</v>
      </c>
      <c r="E2664" s="81">
        <v>44032</v>
      </c>
      <c r="F2664" s="86" t="s">
        <v>8771</v>
      </c>
      <c r="G2664" s="86" t="s">
        <v>410</v>
      </c>
      <c r="H2664" s="96" t="s">
        <v>213</v>
      </c>
      <c r="I2664" s="97" t="s">
        <v>649</v>
      </c>
      <c r="J2664" s="73">
        <f t="shared" si="307"/>
        <v>1</v>
      </c>
      <c r="K2664" s="74" t="s">
        <v>204</v>
      </c>
      <c r="L2664" s="97" t="s">
        <v>7089</v>
      </c>
      <c r="N2664" s="76" t="s">
        <v>17</v>
      </c>
      <c r="Q2664" s="76" t="s">
        <v>2142</v>
      </c>
      <c r="R2664" s="73">
        <f t="shared" si="308"/>
        <v>1</v>
      </c>
      <c r="S2664" s="260" t="s">
        <v>1976</v>
      </c>
      <c r="T2664" s="260" t="s">
        <v>925</v>
      </c>
      <c r="Y2664" s="566">
        <v>0.7074421296296296</v>
      </c>
      <c r="Z2664" s="566">
        <v>0.73222222222222222</v>
      </c>
      <c r="AA2664" s="566">
        <f t="shared" si="304"/>
        <v>2.4780092592592617E-2</v>
      </c>
    </row>
    <row r="2665" spans="1:27" x14ac:dyDescent="0.3">
      <c r="A2665" s="79" t="s">
        <v>8748</v>
      </c>
      <c r="C2665" s="115">
        <v>44012</v>
      </c>
      <c r="D2665" s="629">
        <v>44049</v>
      </c>
      <c r="E2665" s="81">
        <v>44043</v>
      </c>
      <c r="F2665" s="86" t="s">
        <v>8772</v>
      </c>
      <c r="G2665" s="86" t="s">
        <v>156</v>
      </c>
      <c r="H2665" s="96" t="s">
        <v>213</v>
      </c>
      <c r="I2665" s="97" t="s">
        <v>642</v>
      </c>
      <c r="J2665" s="73">
        <f t="shared" si="307"/>
        <v>1</v>
      </c>
      <c r="K2665" s="74" t="s">
        <v>204</v>
      </c>
      <c r="L2665" s="97" t="s">
        <v>7110</v>
      </c>
      <c r="N2665" s="76" t="s">
        <v>18</v>
      </c>
      <c r="Q2665" s="76" t="s">
        <v>2142</v>
      </c>
      <c r="R2665" s="73">
        <f t="shared" si="308"/>
        <v>1</v>
      </c>
      <c r="S2665" s="260" t="s">
        <v>1976</v>
      </c>
      <c r="T2665" s="260" t="s">
        <v>923</v>
      </c>
      <c r="Y2665" s="566">
        <v>0.42930555555555555</v>
      </c>
      <c r="Z2665" s="566">
        <v>0.43494212962962964</v>
      </c>
      <c r="AA2665" s="566">
        <f t="shared" ref="AA2665:AA2706" si="309">Z2665-Y2665</f>
        <v>5.6365740740740855E-3</v>
      </c>
    </row>
    <row r="2666" spans="1:27" x14ac:dyDescent="0.3">
      <c r="A2666" s="79" t="s">
        <v>8749</v>
      </c>
      <c r="C2666" s="115">
        <v>44014</v>
      </c>
      <c r="D2666" s="115">
        <v>44035</v>
      </c>
      <c r="F2666" s="86" t="s">
        <v>8773</v>
      </c>
      <c r="G2666" s="86" t="s">
        <v>156</v>
      </c>
      <c r="H2666" s="96" t="s">
        <v>213</v>
      </c>
      <c r="J2666" s="73">
        <f t="shared" si="307"/>
        <v>1</v>
      </c>
      <c r="K2666" s="74" t="s">
        <v>204</v>
      </c>
      <c r="Q2666" s="76" t="s">
        <v>2109</v>
      </c>
      <c r="R2666" s="73">
        <f t="shared" si="308"/>
        <v>1</v>
      </c>
      <c r="S2666" s="260" t="s">
        <v>1976</v>
      </c>
      <c r="T2666" s="260"/>
      <c r="AA2666" s="566">
        <f t="shared" si="309"/>
        <v>0</v>
      </c>
    </row>
    <row r="2667" spans="1:27" x14ac:dyDescent="0.3">
      <c r="A2667" s="79" t="s">
        <v>8750</v>
      </c>
      <c r="C2667" s="115">
        <v>44014</v>
      </c>
      <c r="D2667" s="312">
        <v>44036</v>
      </c>
      <c r="E2667" s="81">
        <v>44032</v>
      </c>
      <c r="F2667" s="86" t="s">
        <v>8774</v>
      </c>
      <c r="G2667" s="65" t="s">
        <v>8909</v>
      </c>
      <c r="H2667" s="96" t="s">
        <v>213</v>
      </c>
      <c r="I2667" s="97" t="s">
        <v>649</v>
      </c>
      <c r="J2667" s="73">
        <f t="shared" si="307"/>
        <v>1</v>
      </c>
      <c r="K2667" s="74" t="s">
        <v>204</v>
      </c>
      <c r="L2667" s="97" t="s">
        <v>7060</v>
      </c>
      <c r="N2667" s="76" t="s">
        <v>17</v>
      </c>
      <c r="Q2667" s="76" t="s">
        <v>2076</v>
      </c>
      <c r="R2667" s="73">
        <f t="shared" si="308"/>
        <v>1</v>
      </c>
      <c r="S2667" s="260" t="s">
        <v>1976</v>
      </c>
      <c r="T2667" s="260" t="s">
        <v>923</v>
      </c>
      <c r="Y2667" s="566">
        <v>0.37099537037037034</v>
      </c>
      <c r="Z2667" s="566">
        <v>0.39618055555555554</v>
      </c>
      <c r="AA2667" s="566">
        <f t="shared" si="309"/>
        <v>2.5185185185185199E-2</v>
      </c>
    </row>
    <row r="2668" spans="1:27" x14ac:dyDescent="0.3">
      <c r="A2668" s="79" t="s">
        <v>8752</v>
      </c>
      <c r="C2668" s="115">
        <v>44014</v>
      </c>
      <c r="D2668" s="312">
        <v>44036</v>
      </c>
      <c r="E2668" s="81">
        <v>44032</v>
      </c>
      <c r="F2668" s="86" t="s">
        <v>8776</v>
      </c>
      <c r="G2668" s="86" t="s">
        <v>152</v>
      </c>
      <c r="H2668" s="96" t="s">
        <v>213</v>
      </c>
      <c r="I2668" s="97" t="s">
        <v>649</v>
      </c>
      <c r="J2668" s="73">
        <f t="shared" si="307"/>
        <v>1</v>
      </c>
      <c r="K2668" s="74" t="s">
        <v>204</v>
      </c>
      <c r="L2668" s="97" t="s">
        <v>7065</v>
      </c>
      <c r="N2668" s="76" t="s">
        <v>17</v>
      </c>
      <c r="Q2668" s="76" t="s">
        <v>2076</v>
      </c>
      <c r="R2668" s="73">
        <f t="shared" si="308"/>
        <v>1</v>
      </c>
      <c r="S2668" s="260" t="s">
        <v>1976</v>
      </c>
      <c r="T2668" s="260" t="s">
        <v>924</v>
      </c>
      <c r="Y2668" s="566">
        <v>0.39671296296296293</v>
      </c>
      <c r="Z2668" s="566">
        <v>0.40564814814814815</v>
      </c>
      <c r="AA2668" s="566">
        <f t="shared" si="309"/>
        <v>8.9351851851852127E-3</v>
      </c>
    </row>
    <row r="2669" spans="1:27" x14ac:dyDescent="0.3">
      <c r="A2669" s="79" t="s">
        <v>8753</v>
      </c>
      <c r="C2669" s="115">
        <v>44014</v>
      </c>
      <c r="D2669" s="312">
        <v>44036</v>
      </c>
      <c r="E2669" s="81">
        <v>44034</v>
      </c>
      <c r="F2669" s="86" t="s">
        <v>8777</v>
      </c>
      <c r="G2669" s="86" t="s">
        <v>152</v>
      </c>
      <c r="H2669" s="96" t="s">
        <v>213</v>
      </c>
      <c r="I2669" s="97" t="s">
        <v>645</v>
      </c>
      <c r="J2669" s="73">
        <f t="shared" si="307"/>
        <v>1</v>
      </c>
      <c r="K2669" s="74" t="s">
        <v>204</v>
      </c>
      <c r="L2669" s="97" t="s">
        <v>1748</v>
      </c>
      <c r="N2669" s="76" t="s">
        <v>18</v>
      </c>
      <c r="Q2669" s="76" t="s">
        <v>2142</v>
      </c>
      <c r="R2669" s="73">
        <f t="shared" si="308"/>
        <v>1</v>
      </c>
      <c r="S2669" s="260" t="s">
        <v>1976</v>
      </c>
      <c r="T2669" s="260" t="s">
        <v>924</v>
      </c>
      <c r="Y2669" s="566">
        <v>0.65290509259259266</v>
      </c>
      <c r="Z2669" s="566">
        <v>0.66400462962962969</v>
      </c>
      <c r="AA2669" s="566">
        <f t="shared" si="309"/>
        <v>1.1099537037037033E-2</v>
      </c>
    </row>
    <row r="2670" spans="1:27" x14ac:dyDescent="0.3">
      <c r="A2670" s="79" t="s">
        <v>8754</v>
      </c>
      <c r="C2670" s="115">
        <v>44014</v>
      </c>
      <c r="D2670" s="312">
        <v>44036</v>
      </c>
      <c r="E2670" s="81">
        <v>44033</v>
      </c>
      <c r="F2670" s="86" t="s">
        <v>8778</v>
      </c>
      <c r="G2670" s="86" t="s">
        <v>152</v>
      </c>
      <c r="H2670" s="96" t="s">
        <v>213</v>
      </c>
      <c r="I2670" s="97" t="s">
        <v>645</v>
      </c>
      <c r="J2670" s="73">
        <f t="shared" si="307"/>
        <v>1</v>
      </c>
      <c r="K2670" s="74" t="s">
        <v>204</v>
      </c>
      <c r="L2670" s="97" t="s">
        <v>8982</v>
      </c>
      <c r="N2670" s="76" t="s">
        <v>18</v>
      </c>
      <c r="Q2670" s="76" t="s">
        <v>2142</v>
      </c>
      <c r="R2670" s="73">
        <f t="shared" si="308"/>
        <v>1</v>
      </c>
      <c r="S2670" s="260" t="s">
        <v>1976</v>
      </c>
      <c r="T2670" s="260" t="s">
        <v>924</v>
      </c>
      <c r="U2670" s="301"/>
      <c r="Y2670" s="566">
        <v>0.61149305555555555</v>
      </c>
      <c r="Z2670" s="566">
        <v>0.65486111111111112</v>
      </c>
      <c r="AA2670" s="566">
        <f t="shared" si="309"/>
        <v>4.3368055555555562E-2</v>
      </c>
    </row>
    <row r="2671" spans="1:27" x14ac:dyDescent="0.3">
      <c r="A2671" s="79" t="s">
        <v>8757</v>
      </c>
      <c r="C2671" s="115">
        <v>44015</v>
      </c>
      <c r="D2671" s="312">
        <v>44036</v>
      </c>
      <c r="E2671" s="81">
        <v>44032</v>
      </c>
      <c r="F2671" s="86" t="s">
        <v>8781</v>
      </c>
      <c r="G2671" s="86" t="s">
        <v>157</v>
      </c>
      <c r="H2671" s="96" t="s">
        <v>213</v>
      </c>
      <c r="I2671" s="97" t="s">
        <v>649</v>
      </c>
      <c r="J2671" s="73">
        <f t="shared" si="307"/>
        <v>1</v>
      </c>
      <c r="K2671" s="74" t="s">
        <v>204</v>
      </c>
      <c r="L2671" s="97" t="s">
        <v>7089</v>
      </c>
      <c r="N2671" s="76" t="s">
        <v>17</v>
      </c>
      <c r="Q2671" s="76" t="s">
        <v>2109</v>
      </c>
      <c r="R2671" s="73">
        <f t="shared" si="308"/>
        <v>1</v>
      </c>
      <c r="S2671" s="260" t="s">
        <v>1976</v>
      </c>
      <c r="T2671" s="260" t="s">
        <v>925</v>
      </c>
      <c r="U2671" s="76" t="s">
        <v>5283</v>
      </c>
      <c r="V2671" s="301" t="s">
        <v>8923</v>
      </c>
      <c r="Y2671" s="566">
        <v>0.60593750000000002</v>
      </c>
      <c r="Z2671" s="566">
        <v>0.61548611111111107</v>
      </c>
      <c r="AA2671" s="566">
        <f t="shared" si="309"/>
        <v>9.5486111111110494E-3</v>
      </c>
    </row>
    <row r="2672" spans="1:27" x14ac:dyDescent="0.3">
      <c r="A2672" s="79" t="s">
        <v>8783</v>
      </c>
      <c r="C2672" s="115">
        <v>43998</v>
      </c>
      <c r="D2672" s="312">
        <v>44043</v>
      </c>
      <c r="E2672" s="81">
        <v>44039</v>
      </c>
      <c r="F2672" s="86" t="s">
        <v>8831</v>
      </c>
      <c r="G2672" s="86" t="s">
        <v>154</v>
      </c>
      <c r="H2672" s="96" t="s">
        <v>213</v>
      </c>
      <c r="I2672" s="97" t="s">
        <v>622</v>
      </c>
      <c r="J2672" s="73">
        <f t="shared" si="307"/>
        <v>1</v>
      </c>
      <c r="K2672" s="74" t="s">
        <v>204</v>
      </c>
      <c r="L2672" s="97" t="s">
        <v>9205</v>
      </c>
      <c r="N2672" s="76" t="s">
        <v>19</v>
      </c>
      <c r="Q2672" s="76" t="s">
        <v>2109</v>
      </c>
      <c r="R2672" s="73">
        <f t="shared" si="308"/>
        <v>1</v>
      </c>
      <c r="S2672" s="260" t="s">
        <v>1976</v>
      </c>
      <c r="T2672" s="260" t="s">
        <v>925</v>
      </c>
      <c r="Y2672" s="566">
        <v>0.93005787037037047</v>
      </c>
      <c r="Z2672" s="566">
        <v>0.94006944444444451</v>
      </c>
      <c r="AA2672" s="566">
        <f t="shared" si="309"/>
        <v>1.0011574074074048E-2</v>
      </c>
    </row>
    <row r="2673" spans="1:27" x14ac:dyDescent="0.3">
      <c r="A2673" s="79" t="s">
        <v>8784</v>
      </c>
      <c r="C2673" s="115">
        <v>43999</v>
      </c>
      <c r="D2673" s="312">
        <v>44039</v>
      </c>
      <c r="E2673" s="81">
        <v>44036</v>
      </c>
      <c r="F2673" s="86" t="s">
        <v>8832</v>
      </c>
      <c r="G2673" s="86" t="s">
        <v>158</v>
      </c>
      <c r="H2673" s="96" t="s">
        <v>213</v>
      </c>
      <c r="I2673" s="97" t="s">
        <v>714</v>
      </c>
      <c r="J2673" s="73">
        <f t="shared" ref="J2673:J2710" si="310">IF(OR(K2673="Документы готовы",K2673="Запрос в ФО",K2673="ЭЗ",K2673="РЕШ",K2673="РЕШ шаблон"),0.1,IF(OR(K2673="ЭЗ согласование",K2673="РЕШ согласование"),0.3,IF(OR(K2673="ЭЗ согласовано",K2673="РЕШ согласовано",K2673="РЕШ подписано"),0.6,IF(OR(K2673="ЭЗ ПР согласование",K2673="РЕШ УВ согласование"),0.9,IF(OR(K2673="ЭЗ ПР DONE",K2673="РЕШ УВ DONE"),1,0)))))</f>
        <v>1</v>
      </c>
      <c r="K2673" s="74" t="s">
        <v>204</v>
      </c>
      <c r="L2673" s="97" t="s">
        <v>7071</v>
      </c>
      <c r="N2673" s="76" t="s">
        <v>17</v>
      </c>
      <c r="Q2673" s="76" t="s">
        <v>2142</v>
      </c>
      <c r="R2673" s="73">
        <f t="shared" ref="R2673:R2710" si="311">IF(S2673="В работе",0.3,IF(S2673="Отписано",0.6,IF(S2673="На доработку",0.9,IF(S2673="Согласовано",1,0))))</f>
        <v>1</v>
      </c>
      <c r="S2673" s="260" t="s">
        <v>1976</v>
      </c>
      <c r="T2673" s="260" t="s">
        <v>923</v>
      </c>
      <c r="Y2673" s="566">
        <v>0.65700231481481486</v>
      </c>
      <c r="Z2673" s="566">
        <v>0.66292824074074075</v>
      </c>
      <c r="AA2673" s="566">
        <f t="shared" si="309"/>
        <v>5.9259259259258901E-3</v>
      </c>
    </row>
    <row r="2674" spans="1:27" x14ac:dyDescent="0.3">
      <c r="A2674" s="79" t="s">
        <v>8785</v>
      </c>
      <c r="C2674" s="115">
        <v>44000</v>
      </c>
      <c r="D2674" s="312">
        <v>44040</v>
      </c>
      <c r="E2674" s="81">
        <v>44034</v>
      </c>
      <c r="F2674" s="86" t="s">
        <v>8833</v>
      </c>
      <c r="G2674" s="86" t="s">
        <v>152</v>
      </c>
      <c r="H2674" s="96" t="s">
        <v>213</v>
      </c>
      <c r="I2674" s="97" t="s">
        <v>657</v>
      </c>
      <c r="J2674" s="73">
        <f t="shared" si="310"/>
        <v>1</v>
      </c>
      <c r="K2674" s="74" t="s">
        <v>204</v>
      </c>
      <c r="L2674" s="97" t="s">
        <v>8994</v>
      </c>
      <c r="N2674" s="76" t="s">
        <v>17</v>
      </c>
      <c r="Q2674" s="76" t="s">
        <v>2109</v>
      </c>
      <c r="R2674" s="73">
        <f t="shared" si="311"/>
        <v>1</v>
      </c>
      <c r="S2674" s="260" t="s">
        <v>1976</v>
      </c>
      <c r="T2674" s="260" t="s">
        <v>924</v>
      </c>
      <c r="U2674" s="76" t="s">
        <v>5283</v>
      </c>
      <c r="V2674" s="301" t="s">
        <v>8995</v>
      </c>
      <c r="Y2674" s="566">
        <v>0.52430555555555558</v>
      </c>
      <c r="Z2674" s="566">
        <v>0.54040509259259262</v>
      </c>
      <c r="AA2674" s="566">
        <f t="shared" si="309"/>
        <v>1.6099537037037037E-2</v>
      </c>
    </row>
    <row r="2675" spans="1:27" x14ac:dyDescent="0.3">
      <c r="A2675" s="79" t="s">
        <v>8786</v>
      </c>
      <c r="C2675" s="115">
        <v>44000</v>
      </c>
      <c r="D2675" s="312">
        <v>44040</v>
      </c>
      <c r="E2675" s="81">
        <v>44034</v>
      </c>
      <c r="F2675" s="86" t="s">
        <v>8834</v>
      </c>
      <c r="G2675" s="86" t="s">
        <v>156</v>
      </c>
      <c r="H2675" s="96" t="s">
        <v>213</v>
      </c>
      <c r="J2675" s="73">
        <f t="shared" si="310"/>
        <v>1</v>
      </c>
      <c r="K2675" s="74" t="s">
        <v>204</v>
      </c>
      <c r="L2675" s="97" t="s">
        <v>7334</v>
      </c>
      <c r="N2675" s="76" t="s">
        <v>18</v>
      </c>
      <c r="Q2675" s="76" t="s">
        <v>2109</v>
      </c>
      <c r="R2675" s="73">
        <f t="shared" si="311"/>
        <v>1</v>
      </c>
      <c r="S2675" s="260" t="s">
        <v>1976</v>
      </c>
      <c r="T2675" s="260" t="s">
        <v>925</v>
      </c>
      <c r="Y2675" s="566">
        <v>0.44748842592592591</v>
      </c>
      <c r="Z2675" s="566">
        <v>0.45302083333333337</v>
      </c>
      <c r="AA2675" s="566">
        <f t="shared" si="309"/>
        <v>5.5324074074074581E-3</v>
      </c>
    </row>
    <row r="2676" spans="1:27" x14ac:dyDescent="0.3">
      <c r="A2676" s="79" t="s">
        <v>8787</v>
      </c>
      <c r="C2676" s="115">
        <v>44000</v>
      </c>
      <c r="D2676" s="312">
        <v>44040</v>
      </c>
      <c r="E2676" s="81">
        <v>44034</v>
      </c>
      <c r="F2676" s="86" t="s">
        <v>8835</v>
      </c>
      <c r="G2676" s="86" t="s">
        <v>150</v>
      </c>
      <c r="H2676" s="96" t="s">
        <v>213</v>
      </c>
      <c r="I2676" s="97" t="s">
        <v>722</v>
      </c>
      <c r="J2676" s="73">
        <f t="shared" si="310"/>
        <v>1</v>
      </c>
      <c r="K2676" s="74" t="s">
        <v>204</v>
      </c>
      <c r="L2676" s="97" t="s">
        <v>7358</v>
      </c>
      <c r="N2676" s="76" t="s">
        <v>17</v>
      </c>
      <c r="Q2676" s="76" t="s">
        <v>2142</v>
      </c>
      <c r="R2676" s="73">
        <f t="shared" si="311"/>
        <v>1</v>
      </c>
      <c r="S2676" s="260" t="s">
        <v>1976</v>
      </c>
      <c r="T2676" s="260" t="s">
        <v>925</v>
      </c>
      <c r="Y2676" s="566">
        <v>0.67144675925925934</v>
      </c>
      <c r="Z2676" s="566">
        <v>0.67881944444444453</v>
      </c>
      <c r="AA2676" s="566">
        <f t="shared" si="309"/>
        <v>7.3726851851851904E-3</v>
      </c>
    </row>
    <row r="2677" spans="1:27" x14ac:dyDescent="0.3">
      <c r="A2677" s="79" t="s">
        <v>8788</v>
      </c>
      <c r="C2677" s="115">
        <v>44000</v>
      </c>
      <c r="D2677" s="312">
        <v>44040</v>
      </c>
      <c r="E2677" s="81">
        <v>44034</v>
      </c>
      <c r="F2677" s="86" t="s">
        <v>8836</v>
      </c>
      <c r="G2677" s="86" t="s">
        <v>150</v>
      </c>
      <c r="H2677" s="96" t="s">
        <v>213</v>
      </c>
      <c r="I2677" s="97" t="s">
        <v>642</v>
      </c>
      <c r="J2677" s="73">
        <f t="shared" si="310"/>
        <v>1</v>
      </c>
      <c r="K2677" s="74" t="s">
        <v>204</v>
      </c>
      <c r="L2677" s="97" t="s">
        <v>7110</v>
      </c>
      <c r="N2677" s="76" t="s">
        <v>18</v>
      </c>
      <c r="Q2677" s="76" t="s">
        <v>2142</v>
      </c>
      <c r="R2677" s="73">
        <f t="shared" si="311"/>
        <v>1</v>
      </c>
      <c r="S2677" s="260" t="s">
        <v>1976</v>
      </c>
      <c r="T2677" s="260" t="s">
        <v>923</v>
      </c>
      <c r="Y2677" s="566">
        <v>0.69268518518518529</v>
      </c>
      <c r="Z2677" s="566">
        <v>0.70743055555555545</v>
      </c>
      <c r="AA2677" s="566">
        <f t="shared" si="309"/>
        <v>1.4745370370370159E-2</v>
      </c>
    </row>
    <row r="2678" spans="1:27" x14ac:dyDescent="0.3">
      <c r="A2678" s="79" t="s">
        <v>8789</v>
      </c>
      <c r="C2678" s="115">
        <v>44000</v>
      </c>
      <c r="D2678" s="312">
        <v>44039</v>
      </c>
      <c r="E2678" s="81">
        <v>44033</v>
      </c>
      <c r="F2678" s="86" t="s">
        <v>8837</v>
      </c>
      <c r="G2678" s="86" t="s">
        <v>164</v>
      </c>
      <c r="H2678" s="96" t="s">
        <v>213</v>
      </c>
      <c r="I2678" s="97" t="s">
        <v>714</v>
      </c>
      <c r="J2678" s="73">
        <f t="shared" si="310"/>
        <v>1</v>
      </c>
      <c r="K2678" s="74" t="s">
        <v>204</v>
      </c>
      <c r="L2678" s="97" t="s">
        <v>7349</v>
      </c>
      <c r="N2678" s="76" t="s">
        <v>17</v>
      </c>
      <c r="Q2678" s="76" t="s">
        <v>2109</v>
      </c>
      <c r="R2678" s="73">
        <f t="shared" si="311"/>
        <v>1</v>
      </c>
      <c r="S2678" s="260" t="s">
        <v>1976</v>
      </c>
      <c r="T2678" s="260" t="s">
        <v>923</v>
      </c>
      <c r="Y2678" s="566">
        <v>0.87162037037037043</v>
      </c>
      <c r="Z2678" s="566">
        <v>0.88520833333333337</v>
      </c>
      <c r="AA2678" s="566">
        <f t="shared" si="309"/>
        <v>1.3587962962962941E-2</v>
      </c>
    </row>
    <row r="2679" spans="1:27" x14ac:dyDescent="0.3">
      <c r="A2679" s="79" t="s">
        <v>8790</v>
      </c>
      <c r="C2679" s="115">
        <v>44000</v>
      </c>
      <c r="D2679" s="312">
        <v>44039</v>
      </c>
      <c r="E2679" s="81">
        <v>44034</v>
      </c>
      <c r="F2679" s="86" t="s">
        <v>8838</v>
      </c>
      <c r="G2679" s="86" t="s">
        <v>150</v>
      </c>
      <c r="H2679" s="96" t="s">
        <v>213</v>
      </c>
      <c r="I2679" s="97" t="s">
        <v>645</v>
      </c>
      <c r="J2679" s="73">
        <f t="shared" si="310"/>
        <v>1</v>
      </c>
      <c r="K2679" s="74" t="s">
        <v>204</v>
      </c>
      <c r="L2679" s="97" t="s">
        <v>8980</v>
      </c>
      <c r="N2679" s="76" t="s">
        <v>17</v>
      </c>
      <c r="Q2679" s="76" t="s">
        <v>2109</v>
      </c>
      <c r="R2679" s="73">
        <f t="shared" si="311"/>
        <v>1</v>
      </c>
      <c r="S2679" s="260" t="s">
        <v>1976</v>
      </c>
      <c r="T2679" s="260" t="s">
        <v>924</v>
      </c>
      <c r="U2679" s="76" t="s">
        <v>5283</v>
      </c>
      <c r="V2679" s="301" t="s">
        <v>8981</v>
      </c>
      <c r="Y2679" s="566">
        <v>0.48993055555555554</v>
      </c>
      <c r="Z2679" s="566">
        <v>0.54033564814814816</v>
      </c>
      <c r="AA2679" s="566">
        <f t="shared" si="309"/>
        <v>5.0405092592592626E-2</v>
      </c>
    </row>
    <row r="2680" spans="1:27" x14ac:dyDescent="0.3">
      <c r="A2680" s="79" t="s">
        <v>8791</v>
      </c>
      <c r="C2680" s="115">
        <v>44000</v>
      </c>
      <c r="D2680" s="312">
        <v>44040</v>
      </c>
      <c r="E2680" s="81">
        <v>44034</v>
      </c>
      <c r="F2680" s="86" t="s">
        <v>8839</v>
      </c>
      <c r="G2680" s="86" t="s">
        <v>152</v>
      </c>
      <c r="H2680" s="96" t="s">
        <v>213</v>
      </c>
      <c r="I2680" s="97" t="s">
        <v>642</v>
      </c>
      <c r="J2680" s="73">
        <f t="shared" si="310"/>
        <v>1</v>
      </c>
      <c r="K2680" s="74" t="s">
        <v>204</v>
      </c>
      <c r="L2680" s="97" t="s">
        <v>7110</v>
      </c>
      <c r="N2680" s="76" t="s">
        <v>18</v>
      </c>
      <c r="Q2680" s="76" t="s">
        <v>2109</v>
      </c>
      <c r="R2680" s="73">
        <f t="shared" si="311"/>
        <v>1</v>
      </c>
      <c r="S2680" s="260" t="s">
        <v>1976</v>
      </c>
      <c r="T2680" s="260" t="s">
        <v>923</v>
      </c>
      <c r="Y2680" s="566">
        <v>0.4294560185185185</v>
      </c>
      <c r="Z2680" s="566">
        <v>0.44714120370370369</v>
      </c>
      <c r="AA2680" s="566">
        <f t="shared" si="309"/>
        <v>1.7685185185185193E-2</v>
      </c>
    </row>
    <row r="2681" spans="1:27" x14ac:dyDescent="0.3">
      <c r="A2681" s="79" t="s">
        <v>8792</v>
      </c>
      <c r="C2681" s="115">
        <v>44000</v>
      </c>
      <c r="D2681" s="312">
        <v>44039</v>
      </c>
      <c r="E2681" s="81">
        <v>44033</v>
      </c>
      <c r="F2681" s="86" t="s">
        <v>8840</v>
      </c>
      <c r="G2681" s="86" t="s">
        <v>147</v>
      </c>
      <c r="H2681" s="96" t="s">
        <v>213</v>
      </c>
      <c r="I2681" s="97" t="s">
        <v>714</v>
      </c>
      <c r="J2681" s="73">
        <f t="shared" si="310"/>
        <v>1</v>
      </c>
      <c r="K2681" s="74" t="s">
        <v>204</v>
      </c>
      <c r="L2681" s="97" t="s">
        <v>7349</v>
      </c>
      <c r="N2681" s="76" t="s">
        <v>17</v>
      </c>
      <c r="Q2681" s="76" t="s">
        <v>2142</v>
      </c>
      <c r="R2681" s="73">
        <f t="shared" si="311"/>
        <v>1</v>
      </c>
      <c r="S2681" s="260" t="s">
        <v>1976</v>
      </c>
      <c r="T2681" s="260" t="s">
        <v>924</v>
      </c>
      <c r="Y2681" s="566">
        <v>0.88593749999999993</v>
      </c>
      <c r="Z2681" s="566">
        <v>0.8944212962962963</v>
      </c>
      <c r="AA2681" s="566">
        <f t="shared" si="309"/>
        <v>8.4837962962963642E-3</v>
      </c>
    </row>
    <row r="2682" spans="1:27" x14ac:dyDescent="0.3">
      <c r="A2682" s="79" t="s">
        <v>8793</v>
      </c>
      <c r="C2682" s="115">
        <v>44001</v>
      </c>
      <c r="D2682" s="312">
        <v>44041</v>
      </c>
      <c r="E2682" s="81">
        <v>44036</v>
      </c>
      <c r="F2682" s="86" t="s">
        <v>8841</v>
      </c>
      <c r="G2682" s="86" t="s">
        <v>156</v>
      </c>
      <c r="H2682" s="96" t="s">
        <v>213</v>
      </c>
      <c r="I2682" s="97" t="s">
        <v>645</v>
      </c>
      <c r="J2682" s="73">
        <f t="shared" si="310"/>
        <v>1</v>
      </c>
      <c r="K2682" s="74" t="s">
        <v>204</v>
      </c>
      <c r="L2682" s="97" t="s">
        <v>7117</v>
      </c>
      <c r="N2682" s="76" t="s">
        <v>18</v>
      </c>
      <c r="Q2682" s="76" t="s">
        <v>2142</v>
      </c>
      <c r="R2682" s="73">
        <f t="shared" si="311"/>
        <v>1</v>
      </c>
      <c r="S2682" s="260" t="s">
        <v>1976</v>
      </c>
      <c r="T2682" s="260" t="s">
        <v>924</v>
      </c>
      <c r="Y2682" s="566">
        <v>0.4241550925925926</v>
      </c>
      <c r="Z2682" s="566">
        <v>0.44152777777777774</v>
      </c>
      <c r="AA2682" s="566">
        <f t="shared" si="309"/>
        <v>1.7372685185185144E-2</v>
      </c>
    </row>
    <row r="2683" spans="1:27" x14ac:dyDescent="0.3">
      <c r="A2683" s="79" t="s">
        <v>8794</v>
      </c>
      <c r="C2683" s="115">
        <v>44001</v>
      </c>
      <c r="D2683" s="312">
        <v>44041</v>
      </c>
      <c r="E2683" s="81">
        <v>44035</v>
      </c>
      <c r="F2683" s="86" t="s">
        <v>8842</v>
      </c>
      <c r="G2683" s="86" t="s">
        <v>158</v>
      </c>
      <c r="H2683" s="96" t="s">
        <v>213</v>
      </c>
      <c r="I2683" s="97" t="s">
        <v>714</v>
      </c>
      <c r="J2683" s="73">
        <f t="shared" si="310"/>
        <v>1</v>
      </c>
      <c r="K2683" s="74" t="s">
        <v>204</v>
      </c>
      <c r="L2683" s="97" t="s">
        <v>7528</v>
      </c>
      <c r="N2683" s="76" t="s">
        <v>17</v>
      </c>
      <c r="Q2683" s="76" t="s">
        <v>2142</v>
      </c>
      <c r="R2683" s="73">
        <f t="shared" si="311"/>
        <v>1</v>
      </c>
      <c r="S2683" s="260" t="s">
        <v>1976</v>
      </c>
      <c r="T2683" s="260" t="s">
        <v>923</v>
      </c>
      <c r="Y2683" s="566">
        <v>0.91234953703703703</v>
      </c>
      <c r="Z2683" s="566">
        <v>0.92864583333333339</v>
      </c>
      <c r="AA2683" s="566">
        <f t="shared" si="309"/>
        <v>1.6296296296296364E-2</v>
      </c>
    </row>
    <row r="2684" spans="1:27" x14ac:dyDescent="0.3">
      <c r="A2684" s="79" t="s">
        <v>8795</v>
      </c>
      <c r="C2684" s="115">
        <v>44001</v>
      </c>
      <c r="D2684" s="312">
        <v>44041</v>
      </c>
      <c r="E2684" s="81">
        <v>44035</v>
      </c>
      <c r="F2684" s="86" t="s">
        <v>8843</v>
      </c>
      <c r="G2684" s="86" t="s">
        <v>150</v>
      </c>
      <c r="H2684" s="96" t="s">
        <v>213</v>
      </c>
      <c r="I2684" s="97" t="s">
        <v>714</v>
      </c>
      <c r="J2684" s="73">
        <f t="shared" si="310"/>
        <v>1</v>
      </c>
      <c r="K2684" s="74" t="s">
        <v>204</v>
      </c>
      <c r="L2684" s="97" t="s">
        <v>9002</v>
      </c>
      <c r="N2684" s="76" t="s">
        <v>17</v>
      </c>
      <c r="Q2684" s="76" t="s">
        <v>2142</v>
      </c>
      <c r="R2684" s="73">
        <f t="shared" si="311"/>
        <v>1</v>
      </c>
      <c r="S2684" s="260" t="s">
        <v>1976</v>
      </c>
      <c r="T2684" s="260" t="s">
        <v>924</v>
      </c>
      <c r="Y2684" s="566">
        <v>0.89709490740740738</v>
      </c>
      <c r="Z2684" s="566">
        <v>0.91158564814814813</v>
      </c>
      <c r="AA2684" s="566">
        <f t="shared" si="309"/>
        <v>1.4490740740740748E-2</v>
      </c>
    </row>
    <row r="2685" spans="1:27" x14ac:dyDescent="0.3">
      <c r="A2685" s="79" t="s">
        <v>8796</v>
      </c>
      <c r="C2685" s="115">
        <v>44001</v>
      </c>
      <c r="D2685" s="312">
        <v>44041</v>
      </c>
      <c r="E2685" s="81">
        <v>44035</v>
      </c>
      <c r="F2685" s="86" t="s">
        <v>8844</v>
      </c>
      <c r="G2685" s="86" t="s">
        <v>172</v>
      </c>
      <c r="H2685" s="96" t="s">
        <v>213</v>
      </c>
      <c r="I2685" s="97" t="s">
        <v>642</v>
      </c>
      <c r="J2685" s="73">
        <f t="shared" si="310"/>
        <v>1</v>
      </c>
      <c r="K2685" s="74" t="s">
        <v>204</v>
      </c>
      <c r="L2685" s="97" t="s">
        <v>7066</v>
      </c>
      <c r="N2685" s="76" t="s">
        <v>18</v>
      </c>
      <c r="Q2685" s="76" t="s">
        <v>2109</v>
      </c>
      <c r="R2685" s="73">
        <f t="shared" si="311"/>
        <v>1</v>
      </c>
      <c r="S2685" s="260" t="s">
        <v>1976</v>
      </c>
      <c r="T2685" s="260" t="s">
        <v>925</v>
      </c>
      <c r="Y2685" s="566">
        <v>0.59100694444444446</v>
      </c>
      <c r="Z2685" s="566">
        <v>0.59837962962962965</v>
      </c>
      <c r="AA2685" s="566">
        <f t="shared" si="309"/>
        <v>7.3726851851851904E-3</v>
      </c>
    </row>
    <row r="2686" spans="1:27" x14ac:dyDescent="0.3">
      <c r="A2686" s="79" t="s">
        <v>8797</v>
      </c>
      <c r="C2686" s="115">
        <v>44001</v>
      </c>
      <c r="D2686" s="312">
        <v>44041</v>
      </c>
      <c r="E2686" s="81">
        <v>44035</v>
      </c>
      <c r="F2686" s="86" t="s">
        <v>8845</v>
      </c>
      <c r="G2686" s="86" t="s">
        <v>152</v>
      </c>
      <c r="H2686" s="96" t="s">
        <v>213</v>
      </c>
      <c r="I2686" s="97" t="s">
        <v>642</v>
      </c>
      <c r="J2686" s="73">
        <f t="shared" si="310"/>
        <v>1</v>
      </c>
      <c r="K2686" s="74" t="s">
        <v>204</v>
      </c>
      <c r="L2686" s="97" t="s">
        <v>7110</v>
      </c>
      <c r="N2686" s="76" t="s">
        <v>18</v>
      </c>
      <c r="Q2686" s="76" t="s">
        <v>2109</v>
      </c>
      <c r="R2686" s="73">
        <f t="shared" si="311"/>
        <v>1</v>
      </c>
      <c r="S2686" s="260" t="s">
        <v>1976</v>
      </c>
      <c r="T2686" s="260" t="s">
        <v>924</v>
      </c>
      <c r="U2686" s="76" t="s">
        <v>5283</v>
      </c>
      <c r="V2686" s="301" t="s">
        <v>8997</v>
      </c>
      <c r="Y2686" s="566">
        <v>0.58225694444444442</v>
      </c>
      <c r="Z2686" s="566">
        <v>0.58981481481481479</v>
      </c>
      <c r="AA2686" s="566">
        <f t="shared" si="309"/>
        <v>7.5578703703703676E-3</v>
      </c>
    </row>
    <row r="2687" spans="1:27" x14ac:dyDescent="0.3">
      <c r="A2687" s="79" t="s">
        <v>8798</v>
      </c>
      <c r="C2687" s="115">
        <v>44004</v>
      </c>
      <c r="D2687" s="312">
        <v>44041</v>
      </c>
      <c r="E2687" s="81">
        <v>44035</v>
      </c>
      <c r="F2687" s="86" t="s">
        <v>8846</v>
      </c>
      <c r="G2687" s="86" t="s">
        <v>158</v>
      </c>
      <c r="H2687" s="96" t="s">
        <v>213</v>
      </c>
      <c r="I2687" s="97" t="s">
        <v>642</v>
      </c>
      <c r="J2687" s="73">
        <f t="shared" si="310"/>
        <v>1</v>
      </c>
      <c r="K2687" s="74" t="s">
        <v>204</v>
      </c>
      <c r="L2687" s="97" t="s">
        <v>7108</v>
      </c>
      <c r="N2687" s="76" t="s">
        <v>18</v>
      </c>
      <c r="Q2687" s="76" t="s">
        <v>2109</v>
      </c>
      <c r="R2687" s="73">
        <f t="shared" si="311"/>
        <v>1</v>
      </c>
      <c r="S2687" s="260" t="s">
        <v>1976</v>
      </c>
      <c r="T2687" s="260" t="s">
        <v>924</v>
      </c>
      <c r="Y2687" s="566">
        <v>0.40914351851851855</v>
      </c>
      <c r="Z2687" s="566">
        <v>0.41725694444444444</v>
      </c>
      <c r="AA2687" s="566">
        <f t="shared" si="309"/>
        <v>8.113425925925899E-3</v>
      </c>
    </row>
    <row r="2688" spans="1:27" x14ac:dyDescent="0.3">
      <c r="A2688" s="79" t="s">
        <v>8799</v>
      </c>
      <c r="C2688" s="115">
        <v>44004</v>
      </c>
      <c r="D2688" s="312">
        <v>44042</v>
      </c>
      <c r="E2688" s="81">
        <v>44036</v>
      </c>
      <c r="F2688" s="86" t="s">
        <v>8847</v>
      </c>
      <c r="G2688" s="86" t="s">
        <v>158</v>
      </c>
      <c r="H2688" s="96" t="s">
        <v>213</v>
      </c>
      <c r="I2688" s="97" t="s">
        <v>714</v>
      </c>
      <c r="J2688" s="73">
        <f t="shared" si="310"/>
        <v>1</v>
      </c>
      <c r="K2688" s="74" t="s">
        <v>204</v>
      </c>
      <c r="L2688" s="97" t="s">
        <v>7336</v>
      </c>
      <c r="N2688" s="76" t="s">
        <v>17</v>
      </c>
      <c r="Q2688" s="76" t="s">
        <v>2142</v>
      </c>
      <c r="R2688" s="73">
        <f t="shared" si="311"/>
        <v>1</v>
      </c>
      <c r="S2688" s="260" t="s">
        <v>1976</v>
      </c>
      <c r="T2688" s="260" t="s">
        <v>923</v>
      </c>
      <c r="Y2688" s="566">
        <v>0.41305555555555556</v>
      </c>
      <c r="Z2688" s="566">
        <v>0.42370370370370369</v>
      </c>
      <c r="AA2688" s="566">
        <f t="shared" si="309"/>
        <v>1.0648148148148129E-2</v>
      </c>
    </row>
    <row r="2689" spans="1:27" x14ac:dyDescent="0.3">
      <c r="A2689" s="79" t="s">
        <v>8800</v>
      </c>
      <c r="C2689" s="115">
        <v>44004</v>
      </c>
      <c r="D2689" s="312">
        <v>44042</v>
      </c>
      <c r="E2689" s="81">
        <v>44036</v>
      </c>
      <c r="F2689" s="86" t="s">
        <v>8848</v>
      </c>
      <c r="G2689" s="86" t="s">
        <v>158</v>
      </c>
      <c r="H2689" s="96" t="s">
        <v>213</v>
      </c>
      <c r="I2689" s="97" t="s">
        <v>714</v>
      </c>
      <c r="J2689" s="73">
        <f t="shared" si="310"/>
        <v>1</v>
      </c>
      <c r="K2689" s="74" t="s">
        <v>204</v>
      </c>
      <c r="L2689" s="97" t="s">
        <v>7058</v>
      </c>
      <c r="N2689" s="76" t="s">
        <v>18</v>
      </c>
      <c r="Q2689" s="76" t="s">
        <v>2109</v>
      </c>
      <c r="R2689" s="73">
        <f t="shared" si="311"/>
        <v>1</v>
      </c>
      <c r="S2689" s="260" t="s">
        <v>1976</v>
      </c>
      <c r="T2689" s="260" t="s">
        <v>925</v>
      </c>
      <c r="Y2689" s="566">
        <v>0.48026620370370371</v>
      </c>
      <c r="Z2689" s="566">
        <v>0.48614583333333333</v>
      </c>
      <c r="AA2689" s="566">
        <f t="shared" si="309"/>
        <v>5.8796296296296235E-3</v>
      </c>
    </row>
    <row r="2690" spans="1:27" x14ac:dyDescent="0.3">
      <c r="A2690" s="79" t="s">
        <v>8801</v>
      </c>
      <c r="C2690" s="115">
        <v>44004</v>
      </c>
      <c r="D2690" s="312">
        <v>44042</v>
      </c>
      <c r="E2690" s="81">
        <v>44036</v>
      </c>
      <c r="F2690" s="86" t="s">
        <v>8849</v>
      </c>
      <c r="G2690" s="65" t="s">
        <v>8909</v>
      </c>
      <c r="H2690" s="96" t="s">
        <v>213</v>
      </c>
      <c r="I2690" s="97" t="s">
        <v>642</v>
      </c>
      <c r="J2690" s="73">
        <f t="shared" si="310"/>
        <v>1</v>
      </c>
      <c r="K2690" s="74" t="s">
        <v>204</v>
      </c>
      <c r="L2690" s="97" t="s">
        <v>7069</v>
      </c>
      <c r="N2690" s="76" t="s">
        <v>18</v>
      </c>
      <c r="Q2690" s="76" t="s">
        <v>2142</v>
      </c>
      <c r="R2690" s="73">
        <f t="shared" si="311"/>
        <v>1</v>
      </c>
      <c r="S2690" s="260" t="s">
        <v>1976</v>
      </c>
      <c r="T2690" s="260" t="s">
        <v>925</v>
      </c>
      <c r="Y2690" s="566">
        <v>0.53145833333333337</v>
      </c>
      <c r="Z2690" s="566">
        <v>0.53537037037037039</v>
      </c>
      <c r="AA2690" s="566">
        <f t="shared" si="309"/>
        <v>3.9120370370370194E-3</v>
      </c>
    </row>
    <row r="2691" spans="1:27" x14ac:dyDescent="0.3">
      <c r="A2691" s="79" t="s">
        <v>8802</v>
      </c>
      <c r="C2691" s="115">
        <v>44005</v>
      </c>
      <c r="D2691" s="312">
        <v>44043</v>
      </c>
      <c r="E2691" s="81">
        <v>44039</v>
      </c>
      <c r="F2691" s="86" t="s">
        <v>8850</v>
      </c>
      <c r="G2691" s="86" t="s">
        <v>154</v>
      </c>
      <c r="H2691" s="96" t="s">
        <v>213</v>
      </c>
      <c r="I2691" s="97" t="s">
        <v>645</v>
      </c>
      <c r="J2691" s="73">
        <f t="shared" si="310"/>
        <v>1</v>
      </c>
      <c r="K2691" s="74" t="s">
        <v>204</v>
      </c>
      <c r="L2691" s="97" t="s">
        <v>7079</v>
      </c>
      <c r="N2691" s="76" t="s">
        <v>17</v>
      </c>
      <c r="Q2691" s="76" t="s">
        <v>2142</v>
      </c>
      <c r="R2691" s="73">
        <f t="shared" si="311"/>
        <v>1</v>
      </c>
      <c r="S2691" s="260" t="s">
        <v>1976</v>
      </c>
      <c r="T2691" s="260" t="s">
        <v>925</v>
      </c>
      <c r="Y2691" s="566">
        <v>0.46832175925925923</v>
      </c>
      <c r="Z2691" s="566">
        <v>0.49048611111111112</v>
      </c>
      <c r="AA2691" s="566">
        <f t="shared" si="309"/>
        <v>2.2164351851851893E-2</v>
      </c>
    </row>
    <row r="2692" spans="1:27" x14ac:dyDescent="0.3">
      <c r="A2692" s="79" t="s">
        <v>8803</v>
      </c>
      <c r="C2692" s="115">
        <v>44005</v>
      </c>
      <c r="D2692" s="312">
        <v>44042</v>
      </c>
      <c r="E2692" s="81">
        <v>44036</v>
      </c>
      <c r="F2692" s="86" t="s">
        <v>8851</v>
      </c>
      <c r="G2692" s="86" t="s">
        <v>156</v>
      </c>
      <c r="H2692" s="96" t="s">
        <v>213</v>
      </c>
      <c r="I2692" s="97" t="s">
        <v>722</v>
      </c>
      <c r="J2692" s="73">
        <f t="shared" si="310"/>
        <v>1</v>
      </c>
      <c r="K2692" s="74" t="s">
        <v>204</v>
      </c>
      <c r="L2692" s="97" t="s">
        <v>7351</v>
      </c>
      <c r="N2692" s="76" t="s">
        <v>17</v>
      </c>
      <c r="Q2692" s="76" t="s">
        <v>2109</v>
      </c>
      <c r="R2692" s="73">
        <f t="shared" si="311"/>
        <v>1</v>
      </c>
      <c r="S2692" s="260" t="s">
        <v>1976</v>
      </c>
      <c r="T2692" s="260" t="s">
        <v>923</v>
      </c>
      <c r="Y2692" s="566">
        <v>0.68692129629629628</v>
      </c>
      <c r="Z2692" s="566">
        <v>0.70105324074074071</v>
      </c>
      <c r="AA2692" s="566">
        <f t="shared" si="309"/>
        <v>1.4131944444444433E-2</v>
      </c>
    </row>
    <row r="2693" spans="1:27" x14ac:dyDescent="0.3">
      <c r="A2693" s="79" t="s">
        <v>8804</v>
      </c>
      <c r="C2693" s="115">
        <v>44005</v>
      </c>
      <c r="D2693" s="312">
        <v>44042</v>
      </c>
      <c r="E2693" s="81">
        <v>44036</v>
      </c>
      <c r="F2693" s="86" t="s">
        <v>8852</v>
      </c>
      <c r="G2693" s="86" t="s">
        <v>181</v>
      </c>
      <c r="H2693" s="96" t="s">
        <v>213</v>
      </c>
      <c r="I2693" s="97" t="s">
        <v>642</v>
      </c>
      <c r="J2693" s="73">
        <f t="shared" si="310"/>
        <v>1</v>
      </c>
      <c r="K2693" s="74" t="s">
        <v>204</v>
      </c>
      <c r="L2693" s="97" t="s">
        <v>7108</v>
      </c>
      <c r="N2693" s="76" t="s">
        <v>18</v>
      </c>
      <c r="Q2693" s="76" t="s">
        <v>2109</v>
      </c>
      <c r="R2693" s="73">
        <f t="shared" si="311"/>
        <v>1</v>
      </c>
      <c r="S2693" s="260" t="s">
        <v>1976</v>
      </c>
      <c r="T2693" s="260" t="s">
        <v>925</v>
      </c>
      <c r="Y2693" s="566">
        <v>0.91480324074074071</v>
      </c>
      <c r="Z2693" s="566">
        <v>0.91731481481481481</v>
      </c>
      <c r="AA2693" s="566">
        <f t="shared" si="309"/>
        <v>2.5115740740740966E-3</v>
      </c>
    </row>
    <row r="2694" spans="1:27" x14ac:dyDescent="0.3">
      <c r="A2694" s="79" t="s">
        <v>8805</v>
      </c>
      <c r="C2694" s="115">
        <v>44005</v>
      </c>
      <c r="D2694" s="312">
        <v>44042</v>
      </c>
      <c r="E2694" s="81">
        <v>44036</v>
      </c>
      <c r="F2694" s="86" t="s">
        <v>8853</v>
      </c>
      <c r="G2694" s="86" t="s">
        <v>179</v>
      </c>
      <c r="H2694" s="96" t="s">
        <v>213</v>
      </c>
      <c r="I2694" s="97" t="s">
        <v>714</v>
      </c>
      <c r="J2694" s="73">
        <f t="shared" si="310"/>
        <v>1</v>
      </c>
      <c r="K2694" s="74" t="s">
        <v>204</v>
      </c>
      <c r="L2694" s="97" t="s">
        <v>9033</v>
      </c>
      <c r="N2694" s="76" t="s">
        <v>17</v>
      </c>
      <c r="Q2694" s="76" t="s">
        <v>2142</v>
      </c>
      <c r="R2694" s="73">
        <f t="shared" si="311"/>
        <v>1</v>
      </c>
      <c r="S2694" s="260" t="s">
        <v>1976</v>
      </c>
      <c r="T2694" s="260" t="s">
        <v>923</v>
      </c>
      <c r="X2694" s="301" t="s">
        <v>9206</v>
      </c>
      <c r="Y2694" s="566">
        <v>0.66333333333333333</v>
      </c>
      <c r="Z2694" s="566">
        <v>0.68548611111111113</v>
      </c>
      <c r="AA2694" s="566">
        <f t="shared" si="309"/>
        <v>2.2152777777777799E-2</v>
      </c>
    </row>
    <row r="2695" spans="1:27" x14ac:dyDescent="0.3">
      <c r="A2695" s="79" t="s">
        <v>8806</v>
      </c>
      <c r="C2695" s="115">
        <v>44005</v>
      </c>
      <c r="D2695" s="312">
        <v>44043</v>
      </c>
      <c r="E2695" s="81">
        <v>44039</v>
      </c>
      <c r="F2695" s="86" t="s">
        <v>8854</v>
      </c>
      <c r="G2695" s="86" t="s">
        <v>158</v>
      </c>
      <c r="H2695" s="96" t="s">
        <v>213</v>
      </c>
      <c r="J2695" s="73">
        <f t="shared" si="310"/>
        <v>1</v>
      </c>
      <c r="K2695" s="74" t="s">
        <v>204</v>
      </c>
      <c r="L2695" s="97" t="s">
        <v>7579</v>
      </c>
      <c r="N2695" s="76" t="s">
        <v>17</v>
      </c>
      <c r="Q2695" s="76" t="s">
        <v>2109</v>
      </c>
      <c r="R2695" s="73">
        <f t="shared" si="311"/>
        <v>1</v>
      </c>
      <c r="S2695" s="260" t="s">
        <v>1976</v>
      </c>
      <c r="T2695" s="260" t="s">
        <v>923</v>
      </c>
      <c r="Y2695" s="566">
        <v>0.94049768518518517</v>
      </c>
      <c r="Z2695" s="566">
        <v>0.94869212962962957</v>
      </c>
      <c r="AA2695" s="566">
        <f t="shared" si="309"/>
        <v>8.1944444444443931E-3</v>
      </c>
    </row>
    <row r="2696" spans="1:27" x14ac:dyDescent="0.3">
      <c r="A2696" s="79" t="s">
        <v>8807</v>
      </c>
      <c r="C2696" s="115">
        <v>44005</v>
      </c>
      <c r="D2696" s="312">
        <v>44043</v>
      </c>
      <c r="F2696" s="86" t="s">
        <v>8855</v>
      </c>
      <c r="G2696" s="86" t="s">
        <v>164</v>
      </c>
      <c r="H2696" s="96" t="s">
        <v>213</v>
      </c>
      <c r="I2696" s="97" t="s">
        <v>642</v>
      </c>
      <c r="J2696" s="73">
        <f t="shared" si="310"/>
        <v>1</v>
      </c>
      <c r="K2696" s="74" t="s">
        <v>204</v>
      </c>
      <c r="L2696" s="97" t="s">
        <v>7110</v>
      </c>
      <c r="N2696" s="76" t="s">
        <v>17</v>
      </c>
      <c r="Q2696" s="76" t="s">
        <v>2142</v>
      </c>
      <c r="R2696" s="73">
        <f t="shared" si="311"/>
        <v>1</v>
      </c>
      <c r="S2696" s="260" t="s">
        <v>1976</v>
      </c>
      <c r="T2696" s="260" t="s">
        <v>924</v>
      </c>
      <c r="Y2696" s="566">
        <v>0.49444444444444446</v>
      </c>
      <c r="Z2696" s="566">
        <v>0.52777777777777779</v>
      </c>
      <c r="AA2696" s="566">
        <f t="shared" si="309"/>
        <v>3.3333333333333326E-2</v>
      </c>
    </row>
    <row r="2697" spans="1:27" x14ac:dyDescent="0.3">
      <c r="A2697" s="79" t="s">
        <v>8808</v>
      </c>
      <c r="C2697" s="115">
        <v>44005</v>
      </c>
      <c r="D2697" s="312">
        <v>44043</v>
      </c>
      <c r="E2697" s="81">
        <v>44039</v>
      </c>
      <c r="F2697" s="86" t="s">
        <v>8856</v>
      </c>
      <c r="G2697" s="86" t="s">
        <v>158</v>
      </c>
      <c r="H2697" s="96" t="s">
        <v>213</v>
      </c>
      <c r="I2697" s="97" t="s">
        <v>714</v>
      </c>
      <c r="J2697" s="73">
        <f t="shared" si="310"/>
        <v>1</v>
      </c>
      <c r="K2697" s="74" t="s">
        <v>204</v>
      </c>
      <c r="L2697" s="97" t="s">
        <v>7058</v>
      </c>
      <c r="N2697" s="76" t="s">
        <v>17</v>
      </c>
      <c r="Q2697" s="76" t="s">
        <v>2109</v>
      </c>
      <c r="R2697" s="73">
        <f t="shared" si="311"/>
        <v>1</v>
      </c>
      <c r="S2697" s="260" t="s">
        <v>1976</v>
      </c>
      <c r="T2697" s="260" t="s">
        <v>923</v>
      </c>
      <c r="Y2697" s="566">
        <v>0.66541666666666666</v>
      </c>
      <c r="Z2697" s="566">
        <v>0.67128472222222213</v>
      </c>
      <c r="AA2697" s="566">
        <f t="shared" si="309"/>
        <v>5.8680555555554736E-3</v>
      </c>
    </row>
    <row r="2698" spans="1:27" x14ac:dyDescent="0.3">
      <c r="A2698" s="79" t="s">
        <v>8809</v>
      </c>
      <c r="C2698" s="115">
        <v>44007</v>
      </c>
      <c r="D2698" s="312">
        <v>44043</v>
      </c>
      <c r="E2698" s="81">
        <v>44039</v>
      </c>
      <c r="F2698" s="86" t="s">
        <v>8857</v>
      </c>
      <c r="G2698" s="86" t="s">
        <v>172</v>
      </c>
      <c r="H2698" s="96" t="s">
        <v>213</v>
      </c>
      <c r="I2698" s="97" t="s">
        <v>714</v>
      </c>
      <c r="J2698" s="73">
        <f t="shared" si="310"/>
        <v>1</v>
      </c>
      <c r="K2698" s="74" t="s">
        <v>204</v>
      </c>
      <c r="L2698" s="97" t="s">
        <v>7334</v>
      </c>
      <c r="N2698" s="76" t="s">
        <v>17</v>
      </c>
      <c r="Q2698" s="76" t="s">
        <v>2142</v>
      </c>
      <c r="R2698" s="73">
        <f t="shared" si="311"/>
        <v>1</v>
      </c>
      <c r="S2698" s="260" t="s">
        <v>1976</v>
      </c>
      <c r="T2698" s="260" t="s">
        <v>923</v>
      </c>
      <c r="Y2698" s="566">
        <v>0.49096064814814816</v>
      </c>
      <c r="Z2698" s="566">
        <v>0.49556712962962962</v>
      </c>
      <c r="AA2698" s="566">
        <f t="shared" si="309"/>
        <v>4.6064814814814614E-3</v>
      </c>
    </row>
    <row r="2699" spans="1:27" x14ac:dyDescent="0.3">
      <c r="A2699" s="79" t="s">
        <v>8810</v>
      </c>
      <c r="C2699" s="115">
        <v>44007</v>
      </c>
      <c r="D2699" s="312">
        <v>44043</v>
      </c>
      <c r="E2699" s="81">
        <v>44039</v>
      </c>
      <c r="F2699" s="86" t="s">
        <v>8858</v>
      </c>
      <c r="G2699" s="86" t="s">
        <v>172</v>
      </c>
      <c r="H2699" s="96" t="s">
        <v>213</v>
      </c>
      <c r="I2699" s="97" t="s">
        <v>714</v>
      </c>
      <c r="J2699" s="73">
        <f t="shared" si="310"/>
        <v>1</v>
      </c>
      <c r="K2699" s="74" t="s">
        <v>204</v>
      </c>
      <c r="L2699" s="97" t="s">
        <v>7072</v>
      </c>
      <c r="N2699" s="76" t="s">
        <v>18</v>
      </c>
      <c r="Q2699" s="76" t="s">
        <v>2109</v>
      </c>
      <c r="R2699" s="73">
        <f t="shared" si="311"/>
        <v>1</v>
      </c>
      <c r="S2699" s="260" t="s">
        <v>1976</v>
      </c>
      <c r="T2699" s="260" t="s">
        <v>925</v>
      </c>
      <c r="Y2699" s="566">
        <v>0.67168981481481482</v>
      </c>
      <c r="Z2699" s="566">
        <v>0.67622685185185183</v>
      </c>
      <c r="AA2699" s="566">
        <f t="shared" si="309"/>
        <v>4.5370370370370061E-3</v>
      </c>
    </row>
    <row r="2700" spans="1:27" x14ac:dyDescent="0.3">
      <c r="A2700" s="79" t="s">
        <v>8811</v>
      </c>
      <c r="C2700" s="115">
        <v>44015</v>
      </c>
      <c r="D2700" s="312">
        <v>44039</v>
      </c>
      <c r="E2700" s="81">
        <v>44035</v>
      </c>
      <c r="F2700" s="86" t="s">
        <v>8859</v>
      </c>
      <c r="G2700" s="86" t="s">
        <v>152</v>
      </c>
      <c r="H2700" s="96" t="s">
        <v>213</v>
      </c>
      <c r="I2700" s="97" t="s">
        <v>649</v>
      </c>
      <c r="J2700" s="73">
        <f t="shared" si="310"/>
        <v>1</v>
      </c>
      <c r="K2700" s="74" t="s">
        <v>204</v>
      </c>
      <c r="L2700" s="97" t="s">
        <v>7089</v>
      </c>
      <c r="N2700" s="76" t="s">
        <v>18</v>
      </c>
      <c r="Q2700" s="76" t="s">
        <v>2142</v>
      </c>
      <c r="R2700" s="73">
        <f t="shared" si="311"/>
        <v>1</v>
      </c>
      <c r="S2700" s="260" t="s">
        <v>1976</v>
      </c>
      <c r="T2700" s="260" t="s">
        <v>925</v>
      </c>
      <c r="Y2700" s="566">
        <v>0.65738425925925925</v>
      </c>
      <c r="Z2700" s="566">
        <v>0.66355324074074074</v>
      </c>
      <c r="AA2700" s="566">
        <f t="shared" si="309"/>
        <v>6.1689814814814836E-3</v>
      </c>
    </row>
    <row r="2701" spans="1:27" x14ac:dyDescent="0.3">
      <c r="A2701" s="79" t="s">
        <v>8812</v>
      </c>
      <c r="C2701" s="115">
        <v>44015</v>
      </c>
      <c r="D2701" s="312">
        <v>44039</v>
      </c>
      <c r="E2701" s="81">
        <v>44034</v>
      </c>
      <c r="F2701" s="86" t="s">
        <v>8860</v>
      </c>
      <c r="G2701" s="86" t="s">
        <v>156</v>
      </c>
      <c r="H2701" s="96" t="s">
        <v>213</v>
      </c>
      <c r="I2701" s="97" t="s">
        <v>649</v>
      </c>
      <c r="J2701" s="73">
        <f t="shared" si="310"/>
        <v>1</v>
      </c>
      <c r="K2701" s="74" t="s">
        <v>204</v>
      </c>
      <c r="L2701" s="97" t="s">
        <v>8976</v>
      </c>
      <c r="N2701" s="76" t="s">
        <v>18</v>
      </c>
      <c r="Q2701" s="76" t="s">
        <v>2142</v>
      </c>
      <c r="R2701" s="73">
        <f t="shared" si="311"/>
        <v>1</v>
      </c>
      <c r="S2701" s="260" t="s">
        <v>1976</v>
      </c>
      <c r="T2701" s="260" t="s">
        <v>923</v>
      </c>
      <c r="Y2701" s="566">
        <v>0.45354166666666668</v>
      </c>
      <c r="Z2701" s="566">
        <v>0.48645833333333338</v>
      </c>
      <c r="AA2701" s="566">
        <f t="shared" si="309"/>
        <v>3.2916666666666705E-2</v>
      </c>
    </row>
    <row r="2702" spans="1:27" x14ac:dyDescent="0.3">
      <c r="A2702" s="79" t="s">
        <v>8814</v>
      </c>
      <c r="C2702" s="115">
        <v>44018</v>
      </c>
      <c r="D2702" s="312">
        <v>44039</v>
      </c>
      <c r="E2702" s="81">
        <v>44036</v>
      </c>
      <c r="F2702" s="86" t="s">
        <v>8862</v>
      </c>
      <c r="G2702" s="86" t="s">
        <v>150</v>
      </c>
      <c r="H2702" s="96" t="s">
        <v>213</v>
      </c>
      <c r="I2702" s="97" t="s">
        <v>649</v>
      </c>
      <c r="J2702" s="73">
        <f t="shared" si="310"/>
        <v>1</v>
      </c>
      <c r="K2702" s="74" t="s">
        <v>204</v>
      </c>
      <c r="L2702" s="97" t="s">
        <v>7089</v>
      </c>
      <c r="N2702" s="76" t="s">
        <v>18</v>
      </c>
      <c r="Q2702" s="76" t="s">
        <v>2109</v>
      </c>
      <c r="R2702" s="73">
        <f t="shared" si="311"/>
        <v>1</v>
      </c>
      <c r="S2702" s="260" t="s">
        <v>1976</v>
      </c>
      <c r="T2702" s="260" t="s">
        <v>925</v>
      </c>
      <c r="Y2702" s="566">
        <v>0.44200231481481483</v>
      </c>
      <c r="Z2702" s="566">
        <v>0.44756944444444446</v>
      </c>
      <c r="AA2702" s="566">
        <f t="shared" si="309"/>
        <v>5.5671296296296302E-3</v>
      </c>
    </row>
    <row r="2703" spans="1:27" x14ac:dyDescent="0.3">
      <c r="A2703" s="79" t="s">
        <v>8815</v>
      </c>
      <c r="C2703" s="115">
        <v>44018</v>
      </c>
      <c r="D2703" s="312">
        <v>44039</v>
      </c>
      <c r="E2703" s="81">
        <v>44034</v>
      </c>
      <c r="F2703" s="86" t="s">
        <v>8863</v>
      </c>
      <c r="G2703" s="86" t="s">
        <v>187</v>
      </c>
      <c r="H2703" s="96" t="s">
        <v>213</v>
      </c>
      <c r="I2703" s="97" t="s">
        <v>1284</v>
      </c>
      <c r="J2703" s="73">
        <f t="shared" si="310"/>
        <v>1</v>
      </c>
      <c r="K2703" s="74" t="s">
        <v>204</v>
      </c>
      <c r="L2703" s="97" t="s">
        <v>7073</v>
      </c>
      <c r="N2703" s="76" t="s">
        <v>19</v>
      </c>
      <c r="Q2703" s="76" t="s">
        <v>2142</v>
      </c>
      <c r="R2703" s="73">
        <f t="shared" si="311"/>
        <v>1</v>
      </c>
      <c r="S2703" s="260" t="s">
        <v>1976</v>
      </c>
      <c r="T2703" s="260" t="s">
        <v>924</v>
      </c>
      <c r="Y2703" s="566">
        <v>0.66443287037037035</v>
      </c>
      <c r="Z2703" s="566">
        <v>0.67118055555555556</v>
      </c>
      <c r="AA2703" s="566">
        <f t="shared" si="309"/>
        <v>6.7476851851852038E-3</v>
      </c>
    </row>
    <row r="2704" spans="1:27" x14ac:dyDescent="0.3">
      <c r="A2704" s="79" t="s">
        <v>8818</v>
      </c>
      <c r="C2704" s="115">
        <v>44019</v>
      </c>
      <c r="D2704" s="312">
        <v>44041</v>
      </c>
      <c r="E2704" s="81">
        <v>44035</v>
      </c>
      <c r="F2704" s="86" t="s">
        <v>8866</v>
      </c>
      <c r="G2704" s="86" t="s">
        <v>150</v>
      </c>
      <c r="H2704" s="96" t="s">
        <v>213</v>
      </c>
      <c r="I2704" s="97" t="s">
        <v>722</v>
      </c>
      <c r="J2704" s="73">
        <f t="shared" si="310"/>
        <v>1</v>
      </c>
      <c r="K2704" s="74" t="s">
        <v>204</v>
      </c>
      <c r="L2704" s="97" t="s">
        <v>9001</v>
      </c>
      <c r="N2704" s="76" t="s">
        <v>18</v>
      </c>
      <c r="Q2704" s="76" t="s">
        <v>2142</v>
      </c>
      <c r="R2704" s="73">
        <f t="shared" si="311"/>
        <v>1</v>
      </c>
      <c r="S2704" s="260" t="s">
        <v>1976</v>
      </c>
      <c r="T2704" s="260" t="s">
        <v>925</v>
      </c>
      <c r="Y2704" s="566">
        <v>0.83549768518518519</v>
      </c>
      <c r="Z2704" s="566">
        <v>0.8413194444444444</v>
      </c>
      <c r="AA2704" s="566">
        <f t="shared" si="309"/>
        <v>5.8217592592592071E-3</v>
      </c>
    </row>
    <row r="2705" spans="1:27" x14ac:dyDescent="0.3">
      <c r="A2705" s="79" t="s">
        <v>8819</v>
      </c>
      <c r="C2705" s="115">
        <v>44019</v>
      </c>
      <c r="D2705" s="312">
        <v>44041</v>
      </c>
      <c r="E2705" s="81">
        <v>44035</v>
      </c>
      <c r="F2705" s="86" t="s">
        <v>8867</v>
      </c>
      <c r="G2705" s="86" t="s">
        <v>186</v>
      </c>
      <c r="H2705" s="96" t="s">
        <v>213</v>
      </c>
      <c r="I2705" s="97" t="s">
        <v>649</v>
      </c>
      <c r="J2705" s="73">
        <f t="shared" si="310"/>
        <v>1</v>
      </c>
      <c r="K2705" s="74" t="s">
        <v>204</v>
      </c>
      <c r="L2705" s="97" t="s">
        <v>7060</v>
      </c>
      <c r="N2705" s="76" t="s">
        <v>17</v>
      </c>
      <c r="Q2705" s="76" t="s">
        <v>2109</v>
      </c>
      <c r="R2705" s="73">
        <f t="shared" si="311"/>
        <v>1</v>
      </c>
      <c r="S2705" s="260" t="s">
        <v>1976</v>
      </c>
      <c r="T2705" s="260" t="s">
        <v>923</v>
      </c>
      <c r="Y2705" s="566">
        <v>0.41843750000000002</v>
      </c>
      <c r="Z2705" s="566">
        <v>0.43572916666666667</v>
      </c>
      <c r="AA2705" s="566">
        <f t="shared" si="309"/>
        <v>1.729166666666665E-2</v>
      </c>
    </row>
    <row r="2706" spans="1:27" x14ac:dyDescent="0.3">
      <c r="A2706" s="79" t="s">
        <v>8820</v>
      </c>
      <c r="C2706" s="115">
        <v>44019</v>
      </c>
      <c r="D2706" s="312">
        <v>44041</v>
      </c>
      <c r="E2706" s="81">
        <v>44035</v>
      </c>
      <c r="F2706" s="86" t="s">
        <v>8868</v>
      </c>
      <c r="G2706" s="86" t="s">
        <v>152</v>
      </c>
      <c r="H2706" s="96" t="s">
        <v>213</v>
      </c>
      <c r="I2706" s="97" t="s">
        <v>972</v>
      </c>
      <c r="J2706" s="73">
        <f t="shared" si="310"/>
        <v>1</v>
      </c>
      <c r="K2706" s="74" t="s">
        <v>204</v>
      </c>
      <c r="L2706" s="97" t="s">
        <v>9009</v>
      </c>
      <c r="N2706" s="76" t="s">
        <v>19</v>
      </c>
      <c r="Q2706" s="76" t="s">
        <v>2109</v>
      </c>
      <c r="R2706" s="73">
        <f t="shared" si="311"/>
        <v>1</v>
      </c>
      <c r="S2706" s="260" t="s">
        <v>1976</v>
      </c>
      <c r="T2706" s="260" t="s">
        <v>925</v>
      </c>
      <c r="U2706" s="76" t="s">
        <v>5283</v>
      </c>
      <c r="V2706" s="301" t="s">
        <v>8993</v>
      </c>
      <c r="X2706" s="301" t="s">
        <v>9035</v>
      </c>
      <c r="Y2706" s="566">
        <v>0.43623842592592593</v>
      </c>
      <c r="Z2706" s="566">
        <v>0.51949074074074075</v>
      </c>
      <c r="AA2706" s="566">
        <f t="shared" si="309"/>
        <v>8.3252314814814821E-2</v>
      </c>
    </row>
    <row r="2707" spans="1:27" x14ac:dyDescent="0.3">
      <c r="A2707" s="79" t="s">
        <v>8821</v>
      </c>
      <c r="C2707" s="115">
        <v>44019</v>
      </c>
      <c r="D2707" s="312">
        <v>44041</v>
      </c>
      <c r="E2707" s="81">
        <v>44035</v>
      </c>
      <c r="F2707" s="86" t="s">
        <v>8869</v>
      </c>
      <c r="G2707" s="86" t="s">
        <v>172</v>
      </c>
      <c r="H2707" s="96" t="s">
        <v>213</v>
      </c>
      <c r="I2707" s="97" t="s">
        <v>1113</v>
      </c>
      <c r="J2707" s="73">
        <f t="shared" si="310"/>
        <v>1</v>
      </c>
      <c r="K2707" s="74" t="s">
        <v>204</v>
      </c>
      <c r="L2707" s="97" t="s">
        <v>8999</v>
      </c>
      <c r="N2707" s="76" t="s">
        <v>18</v>
      </c>
      <c r="Q2707" s="76" t="s">
        <v>2109</v>
      </c>
      <c r="R2707" s="73">
        <f t="shared" si="311"/>
        <v>1</v>
      </c>
      <c r="S2707" s="260" t="s">
        <v>1976</v>
      </c>
      <c r="T2707" s="260" t="s">
        <v>923</v>
      </c>
      <c r="Y2707" s="566">
        <v>0.59871527777777778</v>
      </c>
      <c r="Z2707" s="566">
        <v>0.60474537037037035</v>
      </c>
      <c r="AA2707" s="566">
        <f t="shared" ref="AA2707:AA2751" si="312">Z2707-Y2707</f>
        <v>6.030092592592573E-3</v>
      </c>
    </row>
    <row r="2708" spans="1:27" x14ac:dyDescent="0.3">
      <c r="A2708" s="79" t="s">
        <v>8823</v>
      </c>
      <c r="C2708" s="115">
        <v>44020</v>
      </c>
      <c r="D2708" s="312">
        <v>44042</v>
      </c>
      <c r="E2708" s="81">
        <v>44036</v>
      </c>
      <c r="F2708" s="86" t="s">
        <v>8871</v>
      </c>
      <c r="G2708" s="86" t="s">
        <v>154</v>
      </c>
      <c r="H2708" s="96" t="s">
        <v>213</v>
      </c>
      <c r="I2708" s="97" t="s">
        <v>649</v>
      </c>
      <c r="J2708" s="73">
        <f t="shared" si="310"/>
        <v>1</v>
      </c>
      <c r="K2708" s="74" t="s">
        <v>204</v>
      </c>
      <c r="L2708" s="97" t="s">
        <v>7089</v>
      </c>
      <c r="N2708" s="76" t="s">
        <v>17</v>
      </c>
      <c r="Q2708" s="76" t="s">
        <v>2109</v>
      </c>
      <c r="R2708" s="73">
        <f t="shared" si="311"/>
        <v>1</v>
      </c>
      <c r="S2708" s="260" t="s">
        <v>1976</v>
      </c>
      <c r="T2708" s="260" t="s">
        <v>924</v>
      </c>
      <c r="Y2708" s="566">
        <v>0.91774305555555558</v>
      </c>
      <c r="Z2708" s="566">
        <v>0.92821759259259251</v>
      </c>
      <c r="AA2708" s="566">
        <f t="shared" si="312"/>
        <v>1.0474537037036935E-2</v>
      </c>
    </row>
    <row r="2709" spans="1:27" x14ac:dyDescent="0.3">
      <c r="A2709" s="79" t="s">
        <v>8825</v>
      </c>
      <c r="C2709" s="115">
        <v>44020</v>
      </c>
      <c r="D2709" s="312">
        <v>44042</v>
      </c>
      <c r="E2709" s="81">
        <v>44036</v>
      </c>
      <c r="F2709" s="86" t="s">
        <v>8873</v>
      </c>
      <c r="G2709" s="86" t="s">
        <v>156</v>
      </c>
      <c r="H2709" s="96" t="s">
        <v>213</v>
      </c>
      <c r="I2709" s="97" t="s">
        <v>1113</v>
      </c>
      <c r="J2709" s="73">
        <f t="shared" si="310"/>
        <v>1</v>
      </c>
      <c r="K2709" s="74" t="s">
        <v>204</v>
      </c>
      <c r="L2709" s="97" t="s">
        <v>9034</v>
      </c>
      <c r="N2709" s="76" t="s">
        <v>18</v>
      </c>
      <c r="Q2709" s="76" t="s">
        <v>2142</v>
      </c>
      <c r="R2709" s="73">
        <f t="shared" si="311"/>
        <v>1</v>
      </c>
      <c r="S2709" s="260" t="s">
        <v>1976</v>
      </c>
      <c r="T2709" s="260" t="s">
        <v>925</v>
      </c>
      <c r="Y2709" s="566">
        <v>0.70146990740740733</v>
      </c>
      <c r="Z2709" s="566">
        <v>0.7104166666666667</v>
      </c>
      <c r="AA2709" s="566">
        <f t="shared" si="312"/>
        <v>8.9467592592593626E-3</v>
      </c>
    </row>
    <row r="2710" spans="1:27" x14ac:dyDescent="0.3">
      <c r="A2710" s="79" t="s">
        <v>8826</v>
      </c>
      <c r="C2710" s="115">
        <v>44021</v>
      </c>
      <c r="D2710" s="312">
        <v>44042</v>
      </c>
      <c r="E2710" s="81">
        <v>44039</v>
      </c>
      <c r="F2710" s="86" t="s">
        <v>8874</v>
      </c>
      <c r="G2710" s="86" t="s">
        <v>168</v>
      </c>
      <c r="H2710" s="96" t="s">
        <v>213</v>
      </c>
      <c r="I2710" s="97" t="s">
        <v>2729</v>
      </c>
      <c r="J2710" s="73">
        <f t="shared" si="310"/>
        <v>1</v>
      </c>
      <c r="K2710" s="74" t="s">
        <v>204</v>
      </c>
      <c r="L2710" s="97" t="s">
        <v>9191</v>
      </c>
      <c r="N2710" s="76" t="s">
        <v>19</v>
      </c>
      <c r="Q2710" s="76" t="s">
        <v>2142</v>
      </c>
      <c r="R2710" s="73">
        <f t="shared" si="311"/>
        <v>1</v>
      </c>
      <c r="S2710" s="260" t="s">
        <v>1976</v>
      </c>
      <c r="T2710" s="260" t="s">
        <v>925</v>
      </c>
      <c r="Y2710" s="566">
        <v>0.49873842592592593</v>
      </c>
      <c r="Z2710" s="566">
        <v>0.50548611111111108</v>
      </c>
      <c r="AA2710" s="566">
        <f t="shared" si="312"/>
        <v>6.7476851851851483E-3</v>
      </c>
    </row>
    <row r="2711" spans="1:27" x14ac:dyDescent="0.3">
      <c r="A2711" s="79" t="s">
        <v>8830</v>
      </c>
      <c r="C2711" s="115">
        <v>44022</v>
      </c>
      <c r="D2711" s="312">
        <v>44043</v>
      </c>
      <c r="E2711" s="81">
        <v>44039</v>
      </c>
      <c r="F2711" s="86" t="s">
        <v>8878</v>
      </c>
      <c r="G2711" s="86" t="s">
        <v>152</v>
      </c>
      <c r="H2711" s="96" t="s">
        <v>213</v>
      </c>
      <c r="I2711" s="97" t="s">
        <v>1113</v>
      </c>
      <c r="J2711" s="73">
        <f t="shared" ref="J2711:J2712" si="313">IF(OR(K2711="Документы готовы",K2711="Запрос в ФО",K2711="ЭЗ",K2711="РЕШ",K2711="РЕШ шаблон"),0.1,IF(OR(K2711="ЭЗ согласование",K2711="РЕШ согласование"),0.3,IF(OR(K2711="ЭЗ согласовано",K2711="РЕШ согласовано",K2711="РЕШ подписано"),0.6,IF(OR(K2711="ЭЗ ПР согласование",K2711="РЕШ УВ согласование"),0.9,IF(OR(K2711="ЭЗ ПР DONE",K2711="РЕШ УВ DONE"),1,0)))))</f>
        <v>1</v>
      </c>
      <c r="K2711" s="74" t="s">
        <v>204</v>
      </c>
      <c r="L2711" s="97" t="s">
        <v>9188</v>
      </c>
      <c r="N2711" s="76" t="s">
        <v>18</v>
      </c>
      <c r="Q2711" s="76" t="s">
        <v>2142</v>
      </c>
      <c r="R2711" s="73">
        <f t="shared" ref="R2711:R2712" si="314">IF(S2711="В работе",0.3,IF(S2711="Отписано",0.6,IF(S2711="На доработку",0.9,IF(S2711="Согласовано",1,0))))</f>
        <v>1</v>
      </c>
      <c r="S2711" s="260" t="s">
        <v>1976</v>
      </c>
      <c r="T2711" s="260" t="s">
        <v>925</v>
      </c>
      <c r="Y2711" s="566">
        <v>0.49577546296296293</v>
      </c>
      <c r="Z2711" s="566">
        <v>0.49806712962962968</v>
      </c>
      <c r="AA2711" s="566">
        <f t="shared" si="312"/>
        <v>2.2916666666667473E-3</v>
      </c>
    </row>
    <row r="2712" spans="1:27" x14ac:dyDescent="0.3">
      <c r="A2712" s="79" t="s">
        <v>8924</v>
      </c>
      <c r="C2712" s="115">
        <v>43990</v>
      </c>
      <c r="D2712" s="312">
        <v>44043</v>
      </c>
      <c r="E2712" s="81">
        <v>44034</v>
      </c>
      <c r="F2712" s="86" t="s">
        <v>8937</v>
      </c>
      <c r="G2712" s="86" t="s">
        <v>147</v>
      </c>
      <c r="H2712" s="96" t="s">
        <v>213</v>
      </c>
      <c r="I2712" s="97" t="s">
        <v>714</v>
      </c>
      <c r="J2712" s="73">
        <f t="shared" si="313"/>
        <v>1</v>
      </c>
      <c r="K2712" s="74" t="s">
        <v>204</v>
      </c>
      <c r="L2712" s="97" t="s">
        <v>7072</v>
      </c>
      <c r="N2712" s="76" t="s">
        <v>8990</v>
      </c>
      <c r="Q2712" s="76" t="s">
        <v>8950</v>
      </c>
      <c r="R2712" s="73">
        <f t="shared" si="314"/>
        <v>1</v>
      </c>
      <c r="S2712" s="260" t="s">
        <v>1976</v>
      </c>
      <c r="T2712" s="260" t="s">
        <v>925</v>
      </c>
      <c r="Y2712" s="566">
        <v>0.85312500000000002</v>
      </c>
      <c r="Z2712" s="566">
        <v>0.86600694444444448</v>
      </c>
      <c r="AA2712" s="566">
        <f t="shared" si="312"/>
        <v>1.288194444444446E-2</v>
      </c>
    </row>
    <row r="2713" spans="1:27" x14ac:dyDescent="0.3">
      <c r="A2713" s="79" t="s">
        <v>8925</v>
      </c>
      <c r="C2713" s="115">
        <v>44004</v>
      </c>
      <c r="D2713" s="312">
        <v>44041</v>
      </c>
      <c r="E2713" s="81">
        <v>44032</v>
      </c>
      <c r="F2713" s="86" t="s">
        <v>8938</v>
      </c>
      <c r="G2713" s="86" t="s">
        <v>150</v>
      </c>
      <c r="H2713" s="96" t="s">
        <v>213</v>
      </c>
      <c r="I2713" s="97" t="s">
        <v>714</v>
      </c>
      <c r="J2713" s="73">
        <f t="shared" ref="J2713:J2725" si="315">IF(OR(K2713="Документы готовы",K2713="Запрос в ФО",K2713="ЭЗ",K2713="РЕШ",K2713="РЕШ шаблон"),0.1,IF(OR(K2713="ЭЗ согласование",K2713="РЕШ согласование"),0.3,IF(OR(K2713="ЭЗ согласовано",K2713="РЕШ согласовано",K2713="РЕШ подписано"),0.6,IF(OR(K2713="ЭЗ ПР согласование",K2713="РЕШ УВ согласование"),0.9,IF(OR(K2713="ЭЗ ПР DONE",K2713="РЕШ УВ DONE"),1,0)))))</f>
        <v>1</v>
      </c>
      <c r="K2713" s="74" t="s">
        <v>204</v>
      </c>
      <c r="L2713" s="97" t="s">
        <v>7072</v>
      </c>
      <c r="N2713" s="76" t="s">
        <v>18</v>
      </c>
      <c r="Q2713" s="76" t="s">
        <v>8950</v>
      </c>
      <c r="R2713" s="73">
        <f t="shared" ref="R2713:R2725" si="316">IF(S2713="В работе",0.3,IF(S2713="Отписано",0.6,IF(S2713="На доработку",0.9,IF(S2713="Согласовано",1,0))))</f>
        <v>1</v>
      </c>
      <c r="S2713" s="260" t="s">
        <v>1976</v>
      </c>
      <c r="T2713" s="260" t="s">
        <v>924</v>
      </c>
      <c r="Y2713" s="566">
        <v>0.66759259259259263</v>
      </c>
      <c r="Z2713" s="566">
        <v>0.67622685185185183</v>
      </c>
      <c r="AA2713" s="566">
        <f t="shared" si="312"/>
        <v>8.6342592592592027E-3</v>
      </c>
    </row>
    <row r="2714" spans="1:27" x14ac:dyDescent="0.3">
      <c r="A2714" s="79" t="s">
        <v>8926</v>
      </c>
      <c r="C2714" s="115">
        <v>44004</v>
      </c>
      <c r="D2714" s="115">
        <v>44041</v>
      </c>
      <c r="E2714" s="81">
        <v>44032</v>
      </c>
      <c r="F2714" s="86" t="s">
        <v>8939</v>
      </c>
      <c r="G2714" s="86" t="s">
        <v>158</v>
      </c>
      <c r="H2714" s="96" t="s">
        <v>213</v>
      </c>
      <c r="J2714" s="73">
        <f t="shared" si="315"/>
        <v>1</v>
      </c>
      <c r="K2714" s="74" t="s">
        <v>204</v>
      </c>
      <c r="Q2714" s="76" t="s">
        <v>8950</v>
      </c>
      <c r="R2714" s="73">
        <f t="shared" si="316"/>
        <v>1</v>
      </c>
      <c r="S2714" s="260" t="s">
        <v>1976</v>
      </c>
      <c r="T2714" s="260" t="s">
        <v>923</v>
      </c>
      <c r="Y2714" s="566">
        <v>0.54375000000000007</v>
      </c>
      <c r="Z2714" s="566">
        <v>0.55763888888888891</v>
      </c>
      <c r="AA2714" s="566">
        <f t="shared" si="312"/>
        <v>1.388888888888884E-2</v>
      </c>
    </row>
    <row r="2715" spans="1:27" x14ac:dyDescent="0.3">
      <c r="A2715" s="79" t="s">
        <v>8927</v>
      </c>
      <c r="C2715" s="115">
        <v>44004</v>
      </c>
      <c r="D2715" s="312">
        <v>44042</v>
      </c>
      <c r="E2715" s="81">
        <v>44033</v>
      </c>
      <c r="F2715" s="86" t="s">
        <v>8940</v>
      </c>
      <c r="G2715" s="86" t="s">
        <v>156</v>
      </c>
      <c r="H2715" s="96" t="s">
        <v>213</v>
      </c>
      <c r="I2715" s="97" t="s">
        <v>714</v>
      </c>
      <c r="J2715" s="73">
        <f t="shared" si="315"/>
        <v>1</v>
      </c>
      <c r="K2715" s="74" t="s">
        <v>204</v>
      </c>
      <c r="L2715" s="97" t="s">
        <v>7893</v>
      </c>
      <c r="N2715" s="76" t="s">
        <v>17</v>
      </c>
      <c r="Q2715" s="301" t="s">
        <v>8950</v>
      </c>
      <c r="R2715" s="73">
        <f t="shared" si="316"/>
        <v>1</v>
      </c>
      <c r="S2715" s="260" t="s">
        <v>1976</v>
      </c>
      <c r="T2715" s="260" t="s">
        <v>925</v>
      </c>
      <c r="U2715" s="76" t="s">
        <v>5283</v>
      </c>
      <c r="V2715" s="301" t="s">
        <v>8964</v>
      </c>
      <c r="Y2715" s="566">
        <v>0.90333333333333332</v>
      </c>
      <c r="Z2715" s="566">
        <v>0.9200694444444445</v>
      </c>
      <c r="AA2715" s="566">
        <f t="shared" si="312"/>
        <v>1.6736111111111174E-2</v>
      </c>
    </row>
    <row r="2716" spans="1:27" x14ac:dyDescent="0.3">
      <c r="A2716" s="79" t="s">
        <v>8928</v>
      </c>
      <c r="C2716" s="115">
        <v>44004</v>
      </c>
      <c r="D2716" s="312">
        <v>44042</v>
      </c>
      <c r="E2716" s="81">
        <v>44035</v>
      </c>
      <c r="F2716" s="86" t="s">
        <v>8941</v>
      </c>
      <c r="G2716" s="86" t="s">
        <v>733</v>
      </c>
      <c r="H2716" s="79" t="s">
        <v>268</v>
      </c>
      <c r="I2716" s="97" t="s">
        <v>657</v>
      </c>
      <c r="J2716" s="73">
        <f t="shared" si="315"/>
        <v>1</v>
      </c>
      <c r="K2716" s="74" t="s">
        <v>204</v>
      </c>
      <c r="L2716" s="97" t="s">
        <v>8996</v>
      </c>
      <c r="N2716" s="76" t="s">
        <v>17</v>
      </c>
      <c r="Q2716" s="76" t="s">
        <v>8950</v>
      </c>
      <c r="R2716" s="73">
        <f t="shared" si="316"/>
        <v>1</v>
      </c>
      <c r="S2716" s="260" t="s">
        <v>1976</v>
      </c>
      <c r="T2716" s="260" t="s">
        <v>924</v>
      </c>
      <c r="Y2716" s="566">
        <v>0.56093749999999998</v>
      </c>
      <c r="Z2716" s="566">
        <v>0.57754629629629628</v>
      </c>
      <c r="AA2716" s="566">
        <f t="shared" si="312"/>
        <v>1.6608796296296302E-2</v>
      </c>
    </row>
    <row r="2717" spans="1:27" x14ac:dyDescent="0.3">
      <c r="A2717" s="79" t="s">
        <v>8929</v>
      </c>
      <c r="C2717" s="115">
        <v>44005</v>
      </c>
      <c r="D2717" s="312">
        <v>44042</v>
      </c>
      <c r="E2717" s="81">
        <v>44033</v>
      </c>
      <c r="F2717" s="86" t="s">
        <v>8942</v>
      </c>
      <c r="G2717" s="86" t="s">
        <v>157</v>
      </c>
      <c r="H2717" s="96" t="s">
        <v>213</v>
      </c>
      <c r="I2717" s="97" t="s">
        <v>714</v>
      </c>
      <c r="J2717" s="73">
        <f t="shared" si="315"/>
        <v>1</v>
      </c>
      <c r="K2717" s="74" t="s">
        <v>204</v>
      </c>
      <c r="L2717" s="97" t="s">
        <v>8965</v>
      </c>
      <c r="N2717" s="76" t="s">
        <v>17</v>
      </c>
      <c r="Q2717" s="76" t="s">
        <v>8950</v>
      </c>
      <c r="R2717" s="73">
        <f t="shared" si="316"/>
        <v>1</v>
      </c>
      <c r="S2717" s="260" t="s">
        <v>1976</v>
      </c>
      <c r="T2717" s="260" t="s">
        <v>925</v>
      </c>
      <c r="U2717" s="76" t="s">
        <v>5283</v>
      </c>
      <c r="V2717" s="301" t="s">
        <v>8966</v>
      </c>
      <c r="Y2717" s="566">
        <v>0.92193287037037042</v>
      </c>
      <c r="Z2717" s="566">
        <v>0.93563657407407408</v>
      </c>
      <c r="AA2717" s="566">
        <f t="shared" si="312"/>
        <v>1.3703703703703662E-2</v>
      </c>
    </row>
    <row r="2718" spans="1:27" x14ac:dyDescent="0.3">
      <c r="A2718" s="79" t="s">
        <v>8930</v>
      </c>
      <c r="C2718" s="115">
        <v>44005</v>
      </c>
      <c r="D2718" s="312">
        <v>44043</v>
      </c>
      <c r="E2718" s="81">
        <v>44034</v>
      </c>
      <c r="F2718" s="86" t="s">
        <v>8943</v>
      </c>
      <c r="G2718" s="86" t="s">
        <v>156</v>
      </c>
      <c r="H2718" s="96" t="s">
        <v>213</v>
      </c>
      <c r="I2718" s="97" t="s">
        <v>1284</v>
      </c>
      <c r="J2718" s="73">
        <f t="shared" si="315"/>
        <v>1</v>
      </c>
      <c r="K2718" s="74" t="s">
        <v>204</v>
      </c>
      <c r="L2718" s="97" t="s">
        <v>8987</v>
      </c>
      <c r="N2718" s="76" t="s">
        <v>17</v>
      </c>
      <c r="Q2718" s="76" t="s">
        <v>8950</v>
      </c>
      <c r="R2718" s="73">
        <f t="shared" si="316"/>
        <v>1</v>
      </c>
      <c r="S2718" s="260" t="s">
        <v>1976</v>
      </c>
      <c r="T2718" s="260" t="s">
        <v>925</v>
      </c>
      <c r="Y2718" s="566">
        <v>0.7093287037037036</v>
      </c>
      <c r="Z2718" s="566">
        <v>0.72121527777777772</v>
      </c>
      <c r="AA2718" s="566">
        <f t="shared" si="312"/>
        <v>1.1886574074074119E-2</v>
      </c>
    </row>
    <row r="2719" spans="1:27" x14ac:dyDescent="0.3">
      <c r="A2719" s="79" t="s">
        <v>8931</v>
      </c>
      <c r="C2719" s="115">
        <v>44007</v>
      </c>
      <c r="D2719" s="312">
        <v>44043</v>
      </c>
      <c r="E2719" s="81">
        <v>44034</v>
      </c>
      <c r="F2719" s="86" t="s">
        <v>8944</v>
      </c>
      <c r="G2719" s="86" t="s">
        <v>3014</v>
      </c>
      <c r="H2719" s="96" t="s">
        <v>213</v>
      </c>
      <c r="I2719" s="97" t="s">
        <v>995</v>
      </c>
      <c r="J2719" s="73">
        <f t="shared" si="315"/>
        <v>1</v>
      </c>
      <c r="K2719" s="74" t="s">
        <v>204</v>
      </c>
      <c r="L2719" s="97" t="s">
        <v>8992</v>
      </c>
      <c r="N2719" s="76" t="s">
        <v>19</v>
      </c>
      <c r="Q2719" s="76" t="s">
        <v>8950</v>
      </c>
      <c r="R2719" s="73">
        <f t="shared" si="316"/>
        <v>1</v>
      </c>
      <c r="S2719" s="260" t="s">
        <v>1976</v>
      </c>
      <c r="T2719" s="260" t="s">
        <v>923</v>
      </c>
      <c r="Y2719" s="566">
        <v>0.86866898148148142</v>
      </c>
      <c r="Z2719" s="566">
        <v>0.88063657407407403</v>
      </c>
      <c r="AA2719" s="566">
        <f t="shared" si="312"/>
        <v>1.1967592592592613E-2</v>
      </c>
    </row>
    <row r="2720" spans="1:27" x14ac:dyDescent="0.3">
      <c r="A2720" s="79" t="s">
        <v>8932</v>
      </c>
      <c r="C2720" s="115">
        <v>44014</v>
      </c>
      <c r="D2720" s="312">
        <v>44035</v>
      </c>
      <c r="E2720" s="81">
        <v>44033</v>
      </c>
      <c r="F2720" s="86" t="s">
        <v>8945</v>
      </c>
      <c r="G2720" s="86" t="s">
        <v>152</v>
      </c>
      <c r="H2720" s="96" t="s">
        <v>213</v>
      </c>
      <c r="I2720" s="97" t="s">
        <v>649</v>
      </c>
      <c r="J2720" s="73">
        <f t="shared" si="315"/>
        <v>1</v>
      </c>
      <c r="K2720" s="74" t="s">
        <v>204</v>
      </c>
      <c r="L2720" s="97" t="s">
        <v>8961</v>
      </c>
      <c r="N2720" s="76" t="s">
        <v>17</v>
      </c>
      <c r="Q2720" s="76" t="s">
        <v>8950</v>
      </c>
      <c r="R2720" s="73">
        <f t="shared" si="316"/>
        <v>1</v>
      </c>
      <c r="S2720" s="260" t="s">
        <v>1976</v>
      </c>
      <c r="T2720" s="260" t="s">
        <v>923</v>
      </c>
      <c r="Y2720" s="566">
        <v>0.57587962962962969</v>
      </c>
      <c r="Z2720" s="566">
        <v>0.59930555555555554</v>
      </c>
      <c r="AA2720" s="566">
        <f t="shared" si="312"/>
        <v>2.342592592592585E-2</v>
      </c>
    </row>
    <row r="2721" spans="1:27" x14ac:dyDescent="0.3">
      <c r="A2721" s="79" t="s">
        <v>8933</v>
      </c>
      <c r="C2721" s="115">
        <v>44018</v>
      </c>
      <c r="D2721" s="312">
        <v>44040</v>
      </c>
      <c r="E2721" s="81">
        <v>44032</v>
      </c>
      <c r="F2721" s="86" t="s">
        <v>8946</v>
      </c>
      <c r="G2721" s="86" t="s">
        <v>147</v>
      </c>
      <c r="H2721" s="96" t="s">
        <v>213</v>
      </c>
      <c r="I2721" s="97" t="s">
        <v>8951</v>
      </c>
      <c r="J2721" s="73">
        <f t="shared" si="315"/>
        <v>1</v>
      </c>
      <c r="K2721" s="74" t="s">
        <v>204</v>
      </c>
      <c r="L2721" s="97" t="s">
        <v>8952</v>
      </c>
      <c r="N2721" s="76" t="s">
        <v>17</v>
      </c>
      <c r="Q2721" s="76" t="s">
        <v>8950</v>
      </c>
      <c r="R2721" s="73">
        <f t="shared" si="316"/>
        <v>1</v>
      </c>
      <c r="S2721" s="260" t="s">
        <v>1976</v>
      </c>
      <c r="T2721" s="260" t="s">
        <v>925</v>
      </c>
      <c r="U2721" s="76" t="s">
        <v>5283</v>
      </c>
      <c r="V2721" s="301" t="s">
        <v>8953</v>
      </c>
      <c r="Y2721" s="566">
        <v>0.62761574074074067</v>
      </c>
      <c r="Z2721" s="566">
        <v>0.66519675925925925</v>
      </c>
      <c r="AA2721" s="566">
        <f t="shared" si="312"/>
        <v>3.7581018518518583E-2</v>
      </c>
    </row>
    <row r="2722" spans="1:27" x14ac:dyDescent="0.3">
      <c r="A2722" s="79" t="s">
        <v>8934</v>
      </c>
      <c r="C2722" s="115">
        <v>44019</v>
      </c>
      <c r="D2722" s="312">
        <v>44041</v>
      </c>
      <c r="E2722" s="81">
        <v>44032</v>
      </c>
      <c r="F2722" s="86" t="s">
        <v>8947</v>
      </c>
      <c r="G2722" s="86" t="s">
        <v>166</v>
      </c>
      <c r="H2722" s="96" t="s">
        <v>213</v>
      </c>
      <c r="I2722" s="97" t="s">
        <v>5824</v>
      </c>
      <c r="J2722" s="73">
        <f t="shared" si="315"/>
        <v>1</v>
      </c>
      <c r="K2722" s="74" t="s">
        <v>204</v>
      </c>
      <c r="L2722" s="97" t="s">
        <v>7299</v>
      </c>
      <c r="N2722" s="76" t="s">
        <v>18</v>
      </c>
      <c r="Q2722" s="76" t="s">
        <v>8950</v>
      </c>
      <c r="R2722" s="73">
        <f t="shared" si="316"/>
        <v>1</v>
      </c>
      <c r="S2722" s="260" t="s">
        <v>1976</v>
      </c>
      <c r="T2722" s="260" t="s">
        <v>925</v>
      </c>
      <c r="Y2722" s="566">
        <v>0.67671296296296291</v>
      </c>
      <c r="Z2722" s="566">
        <v>0.68827546296296294</v>
      </c>
      <c r="AA2722" s="566">
        <f t="shared" si="312"/>
        <v>1.1562500000000031E-2</v>
      </c>
    </row>
    <row r="2723" spans="1:27" x14ac:dyDescent="0.3">
      <c r="A2723" s="79" t="s">
        <v>8935</v>
      </c>
      <c r="C2723" s="115">
        <v>44020</v>
      </c>
      <c r="D2723" s="312">
        <v>44042</v>
      </c>
      <c r="E2723" s="81">
        <v>44033</v>
      </c>
      <c r="F2723" s="86" t="s">
        <v>8948</v>
      </c>
      <c r="G2723" s="86" t="s">
        <v>156</v>
      </c>
      <c r="H2723" s="96" t="s">
        <v>213</v>
      </c>
      <c r="I2723" s="97" t="s">
        <v>649</v>
      </c>
      <c r="J2723" s="73">
        <f t="shared" si="315"/>
        <v>1</v>
      </c>
      <c r="K2723" s="74" t="s">
        <v>204</v>
      </c>
      <c r="L2723" s="97" t="s">
        <v>8970</v>
      </c>
      <c r="N2723" s="76" t="s">
        <v>18</v>
      </c>
      <c r="Q2723" s="76" t="s">
        <v>8950</v>
      </c>
      <c r="R2723" s="73">
        <f t="shared" si="316"/>
        <v>1</v>
      </c>
      <c r="S2723" s="260" t="s">
        <v>1976</v>
      </c>
      <c r="T2723" s="260" t="s">
        <v>925</v>
      </c>
      <c r="Y2723" s="566">
        <v>0.93666666666666665</v>
      </c>
      <c r="Z2723" s="566">
        <v>0.95158564814814817</v>
      </c>
      <c r="AA2723" s="566">
        <f t="shared" si="312"/>
        <v>1.4918981481481519E-2</v>
      </c>
    </row>
    <row r="2724" spans="1:27" x14ac:dyDescent="0.3">
      <c r="A2724" s="79" t="s">
        <v>8936</v>
      </c>
      <c r="C2724" s="115">
        <v>44020</v>
      </c>
      <c r="D2724" s="312">
        <v>44042</v>
      </c>
      <c r="E2724" s="81">
        <v>44034</v>
      </c>
      <c r="F2724" s="86" t="s">
        <v>8949</v>
      </c>
      <c r="G2724" s="86" t="s">
        <v>152</v>
      </c>
      <c r="H2724" s="96" t="s">
        <v>213</v>
      </c>
      <c r="I2724" s="97" t="s">
        <v>691</v>
      </c>
      <c r="J2724" s="73">
        <f t="shared" si="315"/>
        <v>1</v>
      </c>
      <c r="K2724" s="74" t="s">
        <v>204</v>
      </c>
      <c r="L2724" s="97" t="s">
        <v>8984</v>
      </c>
      <c r="N2724" s="76" t="s">
        <v>19</v>
      </c>
      <c r="Q2724" s="76" t="s">
        <v>8950</v>
      </c>
      <c r="R2724" s="73">
        <f t="shared" si="316"/>
        <v>1</v>
      </c>
      <c r="S2724" s="260" t="s">
        <v>1976</v>
      </c>
      <c r="T2724" s="260" t="s">
        <v>923</v>
      </c>
      <c r="Y2724" s="566">
        <v>0.67983796296296306</v>
      </c>
      <c r="Z2724" s="566">
        <v>0.69210648148148157</v>
      </c>
      <c r="AA2724" s="566">
        <f t="shared" si="312"/>
        <v>1.2268518518518512E-2</v>
      </c>
    </row>
    <row r="2725" spans="1:27" x14ac:dyDescent="0.3">
      <c r="A2725" s="79" t="s">
        <v>9036</v>
      </c>
      <c r="C2725" s="115">
        <v>43997</v>
      </c>
      <c r="D2725" s="312">
        <v>44049</v>
      </c>
      <c r="E2725" s="81">
        <v>44043</v>
      </c>
      <c r="F2725" s="86" t="s">
        <v>9112</v>
      </c>
      <c r="G2725" s="86" t="s">
        <v>147</v>
      </c>
      <c r="H2725" s="96" t="s">
        <v>213</v>
      </c>
      <c r="I2725" s="97" t="s">
        <v>714</v>
      </c>
      <c r="J2725" s="73">
        <f t="shared" si="315"/>
        <v>1</v>
      </c>
      <c r="K2725" s="74" t="s">
        <v>204</v>
      </c>
      <c r="L2725" s="97" t="s">
        <v>9430</v>
      </c>
      <c r="N2725" s="76" t="s">
        <v>18</v>
      </c>
      <c r="Q2725" s="76" t="s">
        <v>2037</v>
      </c>
      <c r="R2725" s="73">
        <f t="shared" si="316"/>
        <v>1</v>
      </c>
      <c r="S2725" s="260" t="s">
        <v>1976</v>
      </c>
      <c r="T2725" s="260" t="s">
        <v>925</v>
      </c>
      <c r="Y2725" s="566">
        <v>0.42267361111111112</v>
      </c>
      <c r="Z2725" s="566">
        <v>0.42831018518518515</v>
      </c>
      <c r="AA2725" s="566">
        <f t="shared" si="312"/>
        <v>5.63657407407403E-3</v>
      </c>
    </row>
    <row r="2726" spans="1:27" x14ac:dyDescent="0.3">
      <c r="A2726" s="79" t="s">
        <v>9037</v>
      </c>
      <c r="C2726" s="115">
        <v>43997</v>
      </c>
      <c r="D2726" s="312">
        <v>44049</v>
      </c>
      <c r="E2726" s="81">
        <v>44041</v>
      </c>
      <c r="F2726" s="86" t="s">
        <v>9113</v>
      </c>
      <c r="G2726" s="86" t="s">
        <v>147</v>
      </c>
      <c r="H2726" s="96" t="s">
        <v>213</v>
      </c>
      <c r="I2726" s="97" t="s">
        <v>642</v>
      </c>
      <c r="J2726" s="73">
        <f t="shared" ref="J2726:J2784" si="317">IF(OR(K2726="Документы готовы",K2726="Запрос в ФО",K2726="ЭЗ",K2726="РЕШ",K2726="РЕШ шаблон"),0.1,IF(OR(K2726="ЭЗ согласование",K2726="РЕШ согласование"),0.3,IF(OR(K2726="ЭЗ согласовано",K2726="РЕШ согласовано",K2726="РЕШ подписано"),0.6,IF(OR(K2726="ЭЗ ПР согласование",K2726="РЕШ УВ согласование"),0.9,IF(OR(K2726="ЭЗ ПР DONE",K2726="РЕШ УВ DONE"),1,0)))))</f>
        <v>1</v>
      </c>
      <c r="K2726" s="74" t="s">
        <v>204</v>
      </c>
      <c r="L2726" s="97" t="s">
        <v>7059</v>
      </c>
      <c r="N2726" s="76" t="s">
        <v>8990</v>
      </c>
      <c r="Q2726" s="76" t="s">
        <v>9187</v>
      </c>
      <c r="R2726" s="73">
        <f t="shared" ref="R2726:R2784" si="318">IF(S2726="В работе",0.3,IF(S2726="Отписано",0.6,IF(S2726="На доработку",0.9,IF(S2726="Согласовано",1,0))))</f>
        <v>1</v>
      </c>
      <c r="S2726" s="260" t="s">
        <v>1976</v>
      </c>
      <c r="T2726" s="260" t="s">
        <v>923</v>
      </c>
      <c r="Y2726" s="566">
        <v>0.6444791666666666</v>
      </c>
      <c r="Z2726" s="566">
        <v>0.6509490740740741</v>
      </c>
      <c r="AA2726" s="566">
        <f t="shared" si="312"/>
        <v>6.4699074074074936E-3</v>
      </c>
    </row>
    <row r="2727" spans="1:27" x14ac:dyDescent="0.3">
      <c r="A2727" s="79" t="s">
        <v>9038</v>
      </c>
      <c r="C2727" s="115">
        <v>43999</v>
      </c>
      <c r="D2727" s="312">
        <v>44050</v>
      </c>
      <c r="E2727" s="81">
        <v>44046</v>
      </c>
      <c r="F2727" s="86" t="s">
        <v>9114</v>
      </c>
      <c r="G2727" s="86" t="s">
        <v>147</v>
      </c>
      <c r="H2727" s="96" t="s">
        <v>213</v>
      </c>
      <c r="I2727" s="97" t="s">
        <v>714</v>
      </c>
      <c r="J2727" s="73">
        <f t="shared" si="317"/>
        <v>1</v>
      </c>
      <c r="K2727" s="74" t="s">
        <v>204</v>
      </c>
      <c r="L2727" s="97" t="s">
        <v>7071</v>
      </c>
      <c r="N2727" s="76" t="s">
        <v>18</v>
      </c>
      <c r="Q2727" s="76" t="s">
        <v>2037</v>
      </c>
      <c r="R2727" s="73">
        <f t="shared" si="318"/>
        <v>1</v>
      </c>
      <c r="S2727" s="260" t="s">
        <v>1976</v>
      </c>
      <c r="T2727" s="260" t="s">
        <v>924</v>
      </c>
      <c r="Y2727" s="566">
        <v>0.47471064814814817</v>
      </c>
      <c r="Z2727" s="566">
        <v>0.48341435185185189</v>
      </c>
      <c r="AA2727" s="566">
        <f t="shared" si="312"/>
        <v>8.7037037037037135E-3</v>
      </c>
    </row>
    <row r="2728" spans="1:27" x14ac:dyDescent="0.3">
      <c r="A2728" s="79" t="s">
        <v>9039</v>
      </c>
      <c r="C2728" s="115">
        <v>44001</v>
      </c>
      <c r="D2728" s="312">
        <v>44048</v>
      </c>
      <c r="E2728" s="81">
        <v>44041</v>
      </c>
      <c r="F2728" s="86" t="s">
        <v>6220</v>
      </c>
      <c r="G2728" s="86" t="s">
        <v>152</v>
      </c>
      <c r="H2728" s="96" t="s">
        <v>213</v>
      </c>
      <c r="I2728" s="97" t="s">
        <v>649</v>
      </c>
      <c r="J2728" s="73">
        <f t="shared" si="317"/>
        <v>1</v>
      </c>
      <c r="K2728" s="74" t="s">
        <v>204</v>
      </c>
      <c r="L2728" s="97" t="s">
        <v>9230</v>
      </c>
      <c r="N2728" s="76" t="s">
        <v>17</v>
      </c>
      <c r="Q2728" s="76" t="s">
        <v>9187</v>
      </c>
      <c r="R2728" s="73">
        <f t="shared" si="318"/>
        <v>1</v>
      </c>
      <c r="S2728" s="260" t="s">
        <v>1976</v>
      </c>
      <c r="T2728" s="260" t="s">
        <v>923</v>
      </c>
      <c r="U2728" s="76" t="s">
        <v>5283</v>
      </c>
      <c r="V2728" s="301" t="s">
        <v>9231</v>
      </c>
      <c r="Y2728" s="566">
        <v>0.4334722222222222</v>
      </c>
      <c r="Z2728" s="566">
        <v>0.49854166666666666</v>
      </c>
      <c r="AA2728" s="566">
        <f t="shared" si="312"/>
        <v>6.5069444444444458E-2</v>
      </c>
    </row>
    <row r="2729" spans="1:27" x14ac:dyDescent="0.3">
      <c r="A2729" s="79" t="s">
        <v>9040</v>
      </c>
      <c r="C2729" s="115">
        <v>44007</v>
      </c>
      <c r="D2729" s="312">
        <v>44046</v>
      </c>
      <c r="E2729" s="81">
        <v>44039</v>
      </c>
      <c r="F2729" s="86" t="s">
        <v>9115</v>
      </c>
      <c r="G2729" s="86" t="s">
        <v>157</v>
      </c>
      <c r="H2729" s="96" t="s">
        <v>213</v>
      </c>
      <c r="I2729" s="97" t="s">
        <v>714</v>
      </c>
      <c r="J2729" s="73">
        <f t="shared" si="317"/>
        <v>1</v>
      </c>
      <c r="K2729" s="74" t="s">
        <v>204</v>
      </c>
      <c r="L2729" s="97" t="s">
        <v>7071</v>
      </c>
      <c r="N2729" s="76" t="s">
        <v>18</v>
      </c>
      <c r="Q2729" s="76" t="s">
        <v>2142</v>
      </c>
      <c r="R2729" s="73">
        <f t="shared" si="318"/>
        <v>1</v>
      </c>
      <c r="S2729" s="260" t="s">
        <v>1976</v>
      </c>
      <c r="T2729" s="260" t="s">
        <v>923</v>
      </c>
      <c r="Y2729" s="566">
        <v>0.95322916666666668</v>
      </c>
      <c r="Z2729" s="566">
        <v>0.95702546296296298</v>
      </c>
      <c r="AA2729" s="566">
        <f t="shared" si="312"/>
        <v>3.7962962962962976E-3</v>
      </c>
    </row>
    <row r="2730" spans="1:27" x14ac:dyDescent="0.3">
      <c r="A2730" s="79" t="s">
        <v>9041</v>
      </c>
      <c r="C2730" s="115">
        <v>44007</v>
      </c>
      <c r="D2730" s="312">
        <v>44046</v>
      </c>
      <c r="E2730" s="81">
        <v>44043</v>
      </c>
      <c r="F2730" s="86" t="s">
        <v>9116</v>
      </c>
      <c r="G2730" s="86" t="s">
        <v>181</v>
      </c>
      <c r="H2730" s="96" t="s">
        <v>213</v>
      </c>
      <c r="I2730" s="97" t="s">
        <v>657</v>
      </c>
      <c r="J2730" s="73">
        <f t="shared" si="317"/>
        <v>1</v>
      </c>
      <c r="K2730" s="74" t="s">
        <v>204</v>
      </c>
      <c r="L2730" s="97" t="s">
        <v>7374</v>
      </c>
      <c r="N2730" s="76" t="s">
        <v>17</v>
      </c>
      <c r="Q2730" s="76" t="s">
        <v>9187</v>
      </c>
      <c r="R2730" s="73">
        <f t="shared" si="318"/>
        <v>1</v>
      </c>
      <c r="S2730" s="260" t="s">
        <v>1976</v>
      </c>
      <c r="T2730" s="260" t="s">
        <v>925</v>
      </c>
      <c r="Y2730" s="566">
        <v>0.43537037037037035</v>
      </c>
      <c r="Z2730" s="566">
        <v>0.44524305555555554</v>
      </c>
      <c r="AA2730" s="566">
        <f t="shared" si="312"/>
        <v>9.8726851851851927E-3</v>
      </c>
    </row>
    <row r="2731" spans="1:27" x14ac:dyDescent="0.3">
      <c r="A2731" s="79" t="s">
        <v>9042</v>
      </c>
      <c r="C2731" s="115">
        <v>44007</v>
      </c>
      <c r="D2731" s="312">
        <v>44046</v>
      </c>
      <c r="E2731" s="81">
        <v>44039</v>
      </c>
      <c r="F2731" s="86" t="s">
        <v>9117</v>
      </c>
      <c r="G2731" s="86" t="s">
        <v>150</v>
      </c>
      <c r="H2731" s="96" t="s">
        <v>213</v>
      </c>
      <c r="I2731" s="97" t="s">
        <v>642</v>
      </c>
      <c r="J2731" s="73">
        <f t="shared" si="317"/>
        <v>1</v>
      </c>
      <c r="K2731" s="74" t="s">
        <v>204</v>
      </c>
      <c r="L2731" s="97" t="s">
        <v>9207</v>
      </c>
      <c r="N2731" s="76" t="s">
        <v>18</v>
      </c>
      <c r="Q2731" s="76" t="s">
        <v>2142</v>
      </c>
      <c r="R2731" s="73">
        <f t="shared" si="318"/>
        <v>1</v>
      </c>
      <c r="S2731" s="260" t="s">
        <v>1976</v>
      </c>
      <c r="T2731" s="260" t="s">
        <v>925</v>
      </c>
      <c r="Y2731" s="566">
        <v>0.95733796296296303</v>
      </c>
      <c r="Z2731" s="566">
        <v>0.96103009259259264</v>
      </c>
      <c r="AA2731" s="566">
        <f t="shared" si="312"/>
        <v>3.6921296296296147E-3</v>
      </c>
    </row>
    <row r="2732" spans="1:27" x14ac:dyDescent="0.3">
      <c r="A2732" s="79" t="s">
        <v>9043</v>
      </c>
      <c r="C2732" s="115">
        <v>44007</v>
      </c>
      <c r="D2732" s="312">
        <v>44046</v>
      </c>
      <c r="E2732" s="81">
        <v>44039</v>
      </c>
      <c r="F2732" s="86" t="s">
        <v>9118</v>
      </c>
      <c r="G2732" s="86" t="s">
        <v>9119</v>
      </c>
      <c r="H2732" s="96" t="s">
        <v>213</v>
      </c>
      <c r="I2732" s="97" t="s">
        <v>642</v>
      </c>
      <c r="J2732" s="73">
        <f t="shared" si="317"/>
        <v>1</v>
      </c>
      <c r="K2732" s="74" t="s">
        <v>204</v>
      </c>
      <c r="L2732" s="97" t="s">
        <v>7066</v>
      </c>
      <c r="N2732" s="76" t="s">
        <v>18</v>
      </c>
      <c r="Q2732" s="76" t="s">
        <v>9187</v>
      </c>
      <c r="R2732" s="73">
        <f t="shared" si="318"/>
        <v>1</v>
      </c>
      <c r="S2732" s="260" t="s">
        <v>1976</v>
      </c>
      <c r="T2732" s="260" t="s">
        <v>923</v>
      </c>
      <c r="Y2732" s="566">
        <v>0.57202546296296297</v>
      </c>
      <c r="Z2732" s="566">
        <v>0.66443287037037035</v>
      </c>
      <c r="AA2732" s="566">
        <f t="shared" si="312"/>
        <v>9.2407407407407383E-2</v>
      </c>
    </row>
    <row r="2733" spans="1:27" x14ac:dyDescent="0.3">
      <c r="A2733" s="79" t="s">
        <v>9044</v>
      </c>
      <c r="C2733" s="115">
        <v>44007</v>
      </c>
      <c r="D2733" s="312">
        <v>44046</v>
      </c>
      <c r="E2733" s="81">
        <v>44039</v>
      </c>
      <c r="F2733" s="86" t="s">
        <v>9120</v>
      </c>
      <c r="G2733" s="86" t="s">
        <v>164</v>
      </c>
      <c r="H2733" s="96" t="s">
        <v>213</v>
      </c>
      <c r="I2733" s="97" t="s">
        <v>642</v>
      </c>
      <c r="J2733" s="73">
        <f t="shared" si="317"/>
        <v>1</v>
      </c>
      <c r="K2733" s="74" t="s">
        <v>204</v>
      </c>
      <c r="L2733" s="97" t="s">
        <v>7066</v>
      </c>
      <c r="N2733" s="76" t="s">
        <v>18</v>
      </c>
      <c r="Q2733" s="76" t="s">
        <v>2142</v>
      </c>
      <c r="R2733" s="73">
        <f t="shared" si="318"/>
        <v>1</v>
      </c>
      <c r="S2733" s="260" t="s">
        <v>1976</v>
      </c>
      <c r="T2733" s="260" t="s">
        <v>923</v>
      </c>
      <c r="Y2733" s="566">
        <v>0.96133101851851854</v>
      </c>
      <c r="Z2733" s="566">
        <v>0.96582175925925917</v>
      </c>
      <c r="AA2733" s="566">
        <f t="shared" si="312"/>
        <v>4.4907407407406286E-3</v>
      </c>
    </row>
    <row r="2734" spans="1:27" x14ac:dyDescent="0.3">
      <c r="A2734" s="96" t="s">
        <v>9045</v>
      </c>
      <c r="C2734" s="115">
        <v>44007</v>
      </c>
      <c r="D2734" s="312">
        <v>44046</v>
      </c>
      <c r="E2734" s="81">
        <v>44040</v>
      </c>
      <c r="F2734" s="86" t="s">
        <v>9121</v>
      </c>
      <c r="G2734" s="86" t="s">
        <v>179</v>
      </c>
      <c r="H2734" s="96" t="s">
        <v>213</v>
      </c>
      <c r="I2734" s="97" t="s">
        <v>5672</v>
      </c>
      <c r="J2734" s="73">
        <f t="shared" si="317"/>
        <v>1</v>
      </c>
      <c r="K2734" s="74" t="s">
        <v>204</v>
      </c>
      <c r="L2734" s="97" t="s">
        <v>9215</v>
      </c>
      <c r="N2734" s="76" t="s">
        <v>18</v>
      </c>
      <c r="Q2734" s="76" t="s">
        <v>2037</v>
      </c>
      <c r="R2734" s="73">
        <f t="shared" si="318"/>
        <v>1</v>
      </c>
      <c r="S2734" s="260" t="s">
        <v>1976</v>
      </c>
      <c r="T2734" s="260" t="s">
        <v>925</v>
      </c>
      <c r="U2734" s="76" t="s">
        <v>5283</v>
      </c>
      <c r="V2734" s="301" t="s">
        <v>9216</v>
      </c>
      <c r="Y2734" s="566">
        <v>0.53012731481481479</v>
      </c>
      <c r="Z2734" s="566">
        <v>0.54097222222222219</v>
      </c>
      <c r="AA2734" s="566">
        <f t="shared" si="312"/>
        <v>1.08449074074074E-2</v>
      </c>
    </row>
    <row r="2735" spans="1:27" x14ac:dyDescent="0.3">
      <c r="A2735" s="79" t="s">
        <v>9046</v>
      </c>
      <c r="C2735" s="115">
        <v>44007</v>
      </c>
      <c r="D2735" s="312">
        <v>44046</v>
      </c>
      <c r="E2735" s="81">
        <v>44040</v>
      </c>
      <c r="F2735" s="86" t="s">
        <v>9122</v>
      </c>
      <c r="G2735" s="86" t="s">
        <v>189</v>
      </c>
      <c r="H2735" s="96" t="s">
        <v>213</v>
      </c>
      <c r="I2735" s="97" t="s">
        <v>642</v>
      </c>
      <c r="J2735" s="73">
        <f t="shared" si="317"/>
        <v>1</v>
      </c>
      <c r="K2735" s="74" t="s">
        <v>204</v>
      </c>
      <c r="L2735" s="97" t="s">
        <v>7108</v>
      </c>
      <c r="N2735" s="76" t="s">
        <v>18</v>
      </c>
      <c r="Q2735" s="76" t="s">
        <v>2037</v>
      </c>
      <c r="R2735" s="73">
        <f t="shared" si="318"/>
        <v>1</v>
      </c>
      <c r="S2735" s="260" t="s">
        <v>1976</v>
      </c>
      <c r="T2735" s="260" t="s">
        <v>923</v>
      </c>
      <c r="Y2735" s="566">
        <v>0.53688657407407414</v>
      </c>
      <c r="Z2735" s="566">
        <v>0.54118055555555555</v>
      </c>
      <c r="AA2735" s="566">
        <f t="shared" si="312"/>
        <v>4.2939814814814126E-3</v>
      </c>
    </row>
    <row r="2736" spans="1:27" x14ac:dyDescent="0.3">
      <c r="A2736" s="79" t="s">
        <v>9047</v>
      </c>
      <c r="C2736" s="115">
        <v>44007</v>
      </c>
      <c r="D2736" s="312">
        <v>44046</v>
      </c>
      <c r="E2736" s="81">
        <v>44039</v>
      </c>
      <c r="F2736" s="86" t="s">
        <v>9123</v>
      </c>
      <c r="G2736" s="86" t="s">
        <v>173</v>
      </c>
      <c r="H2736" s="96" t="s">
        <v>213</v>
      </c>
      <c r="I2736" s="97" t="s">
        <v>714</v>
      </c>
      <c r="J2736" s="73">
        <f t="shared" si="317"/>
        <v>1</v>
      </c>
      <c r="K2736" s="74" t="s">
        <v>204</v>
      </c>
      <c r="L2736" s="97" t="s">
        <v>7528</v>
      </c>
      <c r="N2736" s="76" t="s">
        <v>17</v>
      </c>
      <c r="Q2736" s="76" t="s">
        <v>9187</v>
      </c>
      <c r="R2736" s="73">
        <f t="shared" si="318"/>
        <v>1</v>
      </c>
      <c r="S2736" s="260" t="s">
        <v>1976</v>
      </c>
      <c r="T2736" s="260" t="s">
        <v>923</v>
      </c>
      <c r="Y2736" s="566">
        <v>0.50589120370370366</v>
      </c>
      <c r="Z2736" s="566">
        <v>0.54226851851851854</v>
      </c>
      <c r="AA2736" s="566">
        <f t="shared" si="312"/>
        <v>3.6377314814814876E-2</v>
      </c>
    </row>
    <row r="2737" spans="1:27" x14ac:dyDescent="0.3">
      <c r="A2737" s="79" t="s">
        <v>9048</v>
      </c>
      <c r="C2737" s="115">
        <v>44008</v>
      </c>
      <c r="D2737" s="312">
        <v>44047</v>
      </c>
      <c r="E2737" s="81">
        <v>44040</v>
      </c>
      <c r="F2737" s="86" t="s">
        <v>9124</v>
      </c>
      <c r="G2737" s="86" t="s">
        <v>164</v>
      </c>
      <c r="H2737" s="96" t="s">
        <v>213</v>
      </c>
      <c r="I2737" s="97" t="s">
        <v>714</v>
      </c>
      <c r="J2737" s="73">
        <f t="shared" si="317"/>
        <v>1</v>
      </c>
      <c r="K2737" s="74" t="s">
        <v>204</v>
      </c>
      <c r="L2737" s="97" t="s">
        <v>7071</v>
      </c>
      <c r="N2737" s="76" t="s">
        <v>18</v>
      </c>
      <c r="Q2737" s="76" t="s">
        <v>2037</v>
      </c>
      <c r="R2737" s="73">
        <f t="shared" si="318"/>
        <v>1</v>
      </c>
      <c r="S2737" s="260" t="s">
        <v>1976</v>
      </c>
      <c r="T2737" s="260" t="s">
        <v>925</v>
      </c>
      <c r="Y2737" s="566">
        <v>0.69313657407407403</v>
      </c>
      <c r="Z2737" s="566">
        <v>0.69900462962962961</v>
      </c>
      <c r="AA2737" s="566">
        <f t="shared" si="312"/>
        <v>5.8680555555555847E-3</v>
      </c>
    </row>
    <row r="2738" spans="1:27" x14ac:dyDescent="0.3">
      <c r="A2738" s="79" t="s">
        <v>9049</v>
      </c>
      <c r="C2738" s="115">
        <v>44008</v>
      </c>
      <c r="D2738" s="312">
        <v>44047</v>
      </c>
      <c r="E2738" s="81">
        <v>44039</v>
      </c>
      <c r="F2738" s="86" t="s">
        <v>9125</v>
      </c>
      <c r="G2738" s="86" t="s">
        <v>150</v>
      </c>
      <c r="H2738" s="96" t="s">
        <v>213</v>
      </c>
      <c r="I2738" s="97" t="s">
        <v>714</v>
      </c>
      <c r="J2738" s="73">
        <f t="shared" si="317"/>
        <v>1</v>
      </c>
      <c r="K2738" s="74" t="s">
        <v>204</v>
      </c>
      <c r="L2738" s="97" t="s">
        <v>7336</v>
      </c>
      <c r="N2738" s="76" t="s">
        <v>8990</v>
      </c>
      <c r="Q2738" s="76" t="s">
        <v>9187</v>
      </c>
      <c r="R2738" s="73">
        <f t="shared" si="318"/>
        <v>1</v>
      </c>
      <c r="S2738" s="260" t="s">
        <v>1976</v>
      </c>
      <c r="T2738" s="260" t="s">
        <v>923</v>
      </c>
      <c r="Y2738" s="566">
        <v>0.68456018518518524</v>
      </c>
      <c r="Z2738" s="566">
        <v>0.69303240740740746</v>
      </c>
      <c r="AA2738" s="566">
        <f t="shared" si="312"/>
        <v>8.4722222222222143E-3</v>
      </c>
    </row>
    <row r="2739" spans="1:27" x14ac:dyDescent="0.3">
      <c r="A2739" s="79" t="s">
        <v>9050</v>
      </c>
      <c r="C2739" s="115">
        <v>44008</v>
      </c>
      <c r="D2739" s="312">
        <v>44047</v>
      </c>
      <c r="E2739" s="81">
        <v>44040</v>
      </c>
      <c r="F2739" s="86" t="s">
        <v>9126</v>
      </c>
      <c r="G2739" s="86" t="s">
        <v>152</v>
      </c>
      <c r="H2739" s="96" t="s">
        <v>213</v>
      </c>
      <c r="I2739" s="97" t="s">
        <v>645</v>
      </c>
      <c r="J2739" s="73">
        <f t="shared" si="317"/>
        <v>1</v>
      </c>
      <c r="K2739" s="74" t="s">
        <v>204</v>
      </c>
      <c r="L2739" s="97" t="s">
        <v>7117</v>
      </c>
      <c r="N2739" s="76" t="s">
        <v>18</v>
      </c>
      <c r="Q2739" s="76" t="s">
        <v>2037</v>
      </c>
      <c r="R2739" s="73">
        <f t="shared" si="318"/>
        <v>1</v>
      </c>
      <c r="S2739" s="260" t="s">
        <v>1976</v>
      </c>
      <c r="T2739" s="260" t="s">
        <v>925</v>
      </c>
      <c r="Y2739" s="566">
        <v>0.67369212962962965</v>
      </c>
      <c r="Z2739" s="566">
        <v>0.67809027777777775</v>
      </c>
      <c r="AA2739" s="566">
        <f t="shared" si="312"/>
        <v>4.3981481481480955E-3</v>
      </c>
    </row>
    <row r="2740" spans="1:27" x14ac:dyDescent="0.3">
      <c r="A2740" s="79" t="s">
        <v>9051</v>
      </c>
      <c r="C2740" s="115">
        <v>44008</v>
      </c>
      <c r="D2740" s="312">
        <v>44047</v>
      </c>
      <c r="E2740" s="81">
        <v>44040</v>
      </c>
      <c r="F2740" s="86" t="s">
        <v>9127</v>
      </c>
      <c r="G2740" s="86" t="s">
        <v>181</v>
      </c>
      <c r="H2740" s="96" t="s">
        <v>213</v>
      </c>
      <c r="I2740" s="97" t="s">
        <v>714</v>
      </c>
      <c r="J2740" s="73">
        <f t="shared" si="317"/>
        <v>1</v>
      </c>
      <c r="K2740" s="74" t="s">
        <v>204</v>
      </c>
      <c r="L2740" s="97" t="s">
        <v>7336</v>
      </c>
      <c r="N2740" s="76" t="s">
        <v>17</v>
      </c>
      <c r="Q2740" s="76" t="s">
        <v>2037</v>
      </c>
      <c r="R2740" s="73">
        <f t="shared" si="318"/>
        <v>1</v>
      </c>
      <c r="S2740" s="260" t="s">
        <v>1976</v>
      </c>
      <c r="T2740" s="260" t="s">
        <v>923</v>
      </c>
      <c r="Y2740" s="566">
        <v>0.68592592592592594</v>
      </c>
      <c r="Z2740" s="566">
        <v>0.6928009259259259</v>
      </c>
      <c r="AA2740" s="566">
        <f t="shared" si="312"/>
        <v>6.8749999999999645E-3</v>
      </c>
    </row>
    <row r="2741" spans="1:27" x14ac:dyDescent="0.3">
      <c r="A2741" s="79" t="s">
        <v>9052</v>
      </c>
      <c r="C2741" s="115">
        <v>44008</v>
      </c>
      <c r="D2741" s="312">
        <v>44046</v>
      </c>
      <c r="E2741" s="81">
        <v>44039</v>
      </c>
      <c r="F2741" s="86" t="s">
        <v>9128</v>
      </c>
      <c r="G2741" s="86" t="s">
        <v>172</v>
      </c>
      <c r="H2741" s="96" t="s">
        <v>213</v>
      </c>
      <c r="I2741" s="97" t="s">
        <v>642</v>
      </c>
      <c r="J2741" s="73">
        <f t="shared" si="317"/>
        <v>1</v>
      </c>
      <c r="K2741" s="74" t="s">
        <v>204</v>
      </c>
      <c r="L2741" s="97" t="s">
        <v>7066</v>
      </c>
      <c r="N2741" s="76" t="s">
        <v>18</v>
      </c>
      <c r="Q2741" s="76" t="s">
        <v>2142</v>
      </c>
      <c r="R2741" s="73">
        <f t="shared" si="318"/>
        <v>1</v>
      </c>
      <c r="S2741" s="260" t="s">
        <v>1976</v>
      </c>
      <c r="T2741" s="260" t="s">
        <v>925</v>
      </c>
      <c r="Y2741" s="566">
        <v>0.9662384259259259</v>
      </c>
      <c r="Z2741" s="566">
        <v>0.96923611111111108</v>
      </c>
      <c r="AA2741" s="566">
        <f t="shared" si="312"/>
        <v>2.9976851851851727E-3</v>
      </c>
    </row>
    <row r="2742" spans="1:27" x14ac:dyDescent="0.3">
      <c r="A2742" s="79" t="s">
        <v>9053</v>
      </c>
      <c r="C2742" s="115">
        <v>44008</v>
      </c>
      <c r="D2742" s="312">
        <v>44047</v>
      </c>
      <c r="E2742" s="81">
        <v>44040</v>
      </c>
      <c r="F2742" s="86" t="s">
        <v>9129</v>
      </c>
      <c r="G2742" s="86" t="s">
        <v>181</v>
      </c>
      <c r="H2742" s="96" t="s">
        <v>213</v>
      </c>
      <c r="I2742" s="97" t="s">
        <v>714</v>
      </c>
      <c r="J2742" s="73">
        <f t="shared" si="317"/>
        <v>1</v>
      </c>
      <c r="K2742" s="74" t="s">
        <v>204</v>
      </c>
      <c r="L2742" s="97" t="s">
        <v>9221</v>
      </c>
      <c r="N2742" s="76" t="s">
        <v>17</v>
      </c>
      <c r="Q2742" s="76" t="s">
        <v>2142</v>
      </c>
      <c r="R2742" s="73">
        <f t="shared" si="318"/>
        <v>1</v>
      </c>
      <c r="S2742" s="260" t="s">
        <v>1976</v>
      </c>
      <c r="T2742" s="260" t="s">
        <v>923</v>
      </c>
      <c r="Y2742" s="566">
        <v>0.55871527777777785</v>
      </c>
      <c r="Z2742" s="566">
        <v>0.57844907407407409</v>
      </c>
      <c r="AA2742" s="566">
        <f t="shared" si="312"/>
        <v>1.9733796296296235E-2</v>
      </c>
    </row>
    <row r="2743" spans="1:27" x14ac:dyDescent="0.3">
      <c r="A2743" s="79" t="s">
        <v>9054</v>
      </c>
      <c r="C2743" s="115">
        <v>44008</v>
      </c>
      <c r="D2743" s="312">
        <v>44046</v>
      </c>
      <c r="E2743" s="81">
        <v>44039</v>
      </c>
      <c r="F2743" s="86" t="s">
        <v>9130</v>
      </c>
      <c r="G2743" s="86" t="s">
        <v>150</v>
      </c>
      <c r="H2743" s="96" t="s">
        <v>213</v>
      </c>
      <c r="I2743" s="97" t="s">
        <v>714</v>
      </c>
      <c r="J2743" s="73">
        <f t="shared" si="317"/>
        <v>1</v>
      </c>
      <c r="K2743" s="74" t="s">
        <v>204</v>
      </c>
      <c r="L2743" s="97" t="s">
        <v>9197</v>
      </c>
      <c r="N2743" s="76" t="s">
        <v>17</v>
      </c>
      <c r="Q2743" s="76" t="s">
        <v>9187</v>
      </c>
      <c r="R2743" s="73">
        <f t="shared" si="318"/>
        <v>1</v>
      </c>
      <c r="S2743" s="260" t="s">
        <v>1976</v>
      </c>
      <c r="T2743" s="260" t="s">
        <v>925</v>
      </c>
      <c r="Y2743" s="566">
        <v>0.54920138888888892</v>
      </c>
      <c r="Z2743" s="566">
        <v>0.57116898148148143</v>
      </c>
      <c r="AA2743" s="566">
        <f t="shared" si="312"/>
        <v>2.1967592592592511E-2</v>
      </c>
    </row>
    <row r="2744" spans="1:27" x14ac:dyDescent="0.3">
      <c r="A2744" s="79" t="s">
        <v>9055</v>
      </c>
      <c r="C2744" s="115">
        <v>44008</v>
      </c>
      <c r="D2744" s="312">
        <v>44046</v>
      </c>
      <c r="E2744" s="81">
        <v>44040</v>
      </c>
      <c r="F2744" s="86" t="s">
        <v>9131</v>
      </c>
      <c r="G2744" s="86" t="s">
        <v>156</v>
      </c>
      <c r="H2744" s="96" t="s">
        <v>213</v>
      </c>
      <c r="I2744" s="97" t="s">
        <v>722</v>
      </c>
      <c r="J2744" s="73">
        <f t="shared" si="317"/>
        <v>1</v>
      </c>
      <c r="K2744" s="74" t="s">
        <v>204</v>
      </c>
      <c r="L2744" s="97" t="s">
        <v>9218</v>
      </c>
      <c r="N2744" s="76" t="s">
        <v>18</v>
      </c>
      <c r="Q2744" s="76" t="s">
        <v>2037</v>
      </c>
      <c r="R2744" s="73">
        <f t="shared" si="318"/>
        <v>1</v>
      </c>
      <c r="S2744" s="260" t="s">
        <v>1976</v>
      </c>
      <c r="T2744" s="260" t="s">
        <v>923</v>
      </c>
      <c r="Y2744" s="566">
        <v>0.55249999999999999</v>
      </c>
      <c r="Z2744" s="566">
        <v>0.55798611111111118</v>
      </c>
      <c r="AA2744" s="566">
        <f t="shared" si="312"/>
        <v>5.4861111111111915E-3</v>
      </c>
    </row>
    <row r="2745" spans="1:27" x14ac:dyDescent="0.3">
      <c r="A2745" s="79" t="s">
        <v>9056</v>
      </c>
      <c r="C2745" s="115">
        <v>44008</v>
      </c>
      <c r="D2745" s="312">
        <v>44046</v>
      </c>
      <c r="E2745" s="81">
        <v>44040</v>
      </c>
      <c r="F2745" s="86" t="s">
        <v>9132</v>
      </c>
      <c r="G2745" s="86" t="s">
        <v>189</v>
      </c>
      <c r="H2745" s="96" t="s">
        <v>213</v>
      </c>
      <c r="I2745" s="97" t="s">
        <v>649</v>
      </c>
      <c r="J2745" s="73">
        <f t="shared" si="317"/>
        <v>1</v>
      </c>
      <c r="K2745" s="74" t="s">
        <v>204</v>
      </c>
      <c r="L2745" s="97" t="s">
        <v>7089</v>
      </c>
      <c r="N2745" s="76" t="s">
        <v>8990</v>
      </c>
      <c r="Q2745" s="76" t="s">
        <v>2037</v>
      </c>
      <c r="R2745" s="73">
        <f t="shared" si="318"/>
        <v>1</v>
      </c>
      <c r="S2745" s="260" t="s">
        <v>1976</v>
      </c>
      <c r="T2745" s="260" t="s">
        <v>925</v>
      </c>
      <c r="Y2745" s="566">
        <v>0.54160879629629632</v>
      </c>
      <c r="Z2745" s="566">
        <v>0.55107638888888888</v>
      </c>
      <c r="AA2745" s="566">
        <f t="shared" si="312"/>
        <v>9.4675925925925553E-3</v>
      </c>
    </row>
    <row r="2746" spans="1:27" x14ac:dyDescent="0.3">
      <c r="A2746" s="79" t="s">
        <v>9057</v>
      </c>
      <c r="C2746" s="115">
        <v>44011</v>
      </c>
      <c r="D2746" s="312">
        <v>44048</v>
      </c>
      <c r="E2746" s="81">
        <v>44042</v>
      </c>
      <c r="F2746" s="86" t="s">
        <v>9133</v>
      </c>
      <c r="G2746" s="86" t="s">
        <v>156</v>
      </c>
      <c r="H2746" s="96" t="s">
        <v>213</v>
      </c>
      <c r="I2746" s="97" t="s">
        <v>714</v>
      </c>
      <c r="J2746" s="73">
        <f t="shared" si="317"/>
        <v>1</v>
      </c>
      <c r="K2746" s="74" t="s">
        <v>204</v>
      </c>
      <c r="L2746" s="97" t="s">
        <v>9259</v>
      </c>
      <c r="Q2746" s="76" t="s">
        <v>2037</v>
      </c>
      <c r="R2746" s="73">
        <f t="shared" si="318"/>
        <v>1</v>
      </c>
      <c r="S2746" s="260" t="s">
        <v>1976</v>
      </c>
      <c r="T2746" s="260" t="s">
        <v>925</v>
      </c>
      <c r="U2746" s="76" t="s">
        <v>5283</v>
      </c>
      <c r="V2746" s="301" t="s">
        <v>9260</v>
      </c>
      <c r="Y2746" s="566">
        <v>0.805150462962963</v>
      </c>
      <c r="Z2746" s="566">
        <v>0.81716435185185177</v>
      </c>
      <c r="AA2746" s="566">
        <f t="shared" si="312"/>
        <v>1.2013888888888768E-2</v>
      </c>
    </row>
    <row r="2747" spans="1:27" x14ac:dyDescent="0.3">
      <c r="A2747" s="79" t="s">
        <v>9058</v>
      </c>
      <c r="C2747" s="115">
        <v>44011</v>
      </c>
      <c r="D2747" s="312">
        <v>44047</v>
      </c>
      <c r="E2747" s="81">
        <v>44041</v>
      </c>
      <c r="F2747" s="86" t="s">
        <v>9134</v>
      </c>
      <c r="G2747" s="86" t="s">
        <v>154</v>
      </c>
      <c r="H2747" s="79" t="s">
        <v>268</v>
      </c>
      <c r="I2747" s="97" t="s">
        <v>657</v>
      </c>
      <c r="J2747" s="73">
        <f t="shared" si="317"/>
        <v>1</v>
      </c>
      <c r="K2747" s="74" t="s">
        <v>204</v>
      </c>
      <c r="L2747" s="97" t="s">
        <v>7374</v>
      </c>
      <c r="N2747" s="76" t="s">
        <v>18</v>
      </c>
      <c r="Q2747" s="76" t="s">
        <v>2037</v>
      </c>
      <c r="R2747" s="73">
        <f t="shared" si="318"/>
        <v>1</v>
      </c>
      <c r="S2747" s="260" t="s">
        <v>1976</v>
      </c>
      <c r="T2747" s="260" t="s">
        <v>925</v>
      </c>
      <c r="Y2747" s="566">
        <v>0.54940972222222217</v>
      </c>
      <c r="Z2747" s="566">
        <v>0.55700231481481477</v>
      </c>
      <c r="AA2747" s="566">
        <f t="shared" si="312"/>
        <v>7.5925925925925952E-3</v>
      </c>
    </row>
    <row r="2748" spans="1:27" x14ac:dyDescent="0.3">
      <c r="A2748" s="79" t="s">
        <v>9059</v>
      </c>
      <c r="C2748" s="115">
        <v>44011</v>
      </c>
      <c r="D2748" s="312">
        <v>44047</v>
      </c>
      <c r="E2748" s="81">
        <v>44040</v>
      </c>
      <c r="F2748" s="86" t="s">
        <v>9135</v>
      </c>
      <c r="G2748" s="86" t="s">
        <v>179</v>
      </c>
      <c r="H2748" s="96" t="s">
        <v>213</v>
      </c>
      <c r="I2748" s="97" t="s">
        <v>642</v>
      </c>
      <c r="J2748" s="73">
        <f t="shared" si="317"/>
        <v>1</v>
      </c>
      <c r="K2748" s="74" t="s">
        <v>204</v>
      </c>
      <c r="L2748" s="97" t="s">
        <v>7108</v>
      </c>
      <c r="N2748" s="76" t="s">
        <v>18</v>
      </c>
      <c r="Q2748" s="76" t="s">
        <v>2142</v>
      </c>
      <c r="R2748" s="73">
        <f t="shared" si="318"/>
        <v>1</v>
      </c>
      <c r="S2748" s="260" t="s">
        <v>1976</v>
      </c>
      <c r="T2748" s="260" t="s">
        <v>925</v>
      </c>
      <c r="Y2748" s="566">
        <v>0.67857638888888883</v>
      </c>
      <c r="Z2748" s="566">
        <v>0.6853125000000001</v>
      </c>
      <c r="AA2748" s="566">
        <f t="shared" si="312"/>
        <v>6.7361111111112759E-3</v>
      </c>
    </row>
    <row r="2749" spans="1:27" x14ac:dyDescent="0.3">
      <c r="A2749" s="79" t="s">
        <v>9060</v>
      </c>
      <c r="C2749" s="115">
        <v>44011</v>
      </c>
      <c r="D2749" s="312">
        <v>44047</v>
      </c>
      <c r="E2749" s="81">
        <v>44039</v>
      </c>
      <c r="F2749" s="86" t="s">
        <v>9136</v>
      </c>
      <c r="G2749" s="86" t="s">
        <v>154</v>
      </c>
      <c r="H2749" s="96" t="s">
        <v>213</v>
      </c>
      <c r="I2749" s="97" t="s">
        <v>714</v>
      </c>
      <c r="J2749" s="73">
        <f t="shared" si="317"/>
        <v>1</v>
      </c>
      <c r="K2749" s="74" t="s">
        <v>204</v>
      </c>
      <c r="L2749" s="97" t="s">
        <v>7071</v>
      </c>
      <c r="N2749" s="76" t="s">
        <v>17</v>
      </c>
      <c r="Q2749" s="76" t="s">
        <v>9187</v>
      </c>
      <c r="R2749" s="73">
        <f t="shared" si="318"/>
        <v>1</v>
      </c>
      <c r="S2749" s="260" t="s">
        <v>1976</v>
      </c>
      <c r="T2749" s="260" t="s">
        <v>923</v>
      </c>
      <c r="Y2749" s="566">
        <v>0.69333333333333336</v>
      </c>
      <c r="Z2749" s="566">
        <v>0.71578703703703705</v>
      </c>
      <c r="AA2749" s="566">
        <f t="shared" si="312"/>
        <v>2.2453703703703698E-2</v>
      </c>
    </row>
    <row r="2750" spans="1:27" x14ac:dyDescent="0.3">
      <c r="A2750" s="79" t="s">
        <v>9061</v>
      </c>
      <c r="C2750" s="115">
        <v>44011</v>
      </c>
      <c r="D2750" s="312">
        <v>44048</v>
      </c>
      <c r="E2750" s="81">
        <v>44042</v>
      </c>
      <c r="F2750" s="86" t="s">
        <v>9137</v>
      </c>
      <c r="G2750" s="86" t="s">
        <v>156</v>
      </c>
      <c r="H2750" s="96" t="s">
        <v>213</v>
      </c>
      <c r="I2750" s="97" t="s">
        <v>722</v>
      </c>
      <c r="J2750" s="73">
        <f t="shared" si="317"/>
        <v>1</v>
      </c>
      <c r="K2750" s="74" t="s">
        <v>204</v>
      </c>
      <c r="L2750" s="97" t="s">
        <v>9261</v>
      </c>
      <c r="N2750" s="76" t="s">
        <v>18</v>
      </c>
      <c r="Q2750" s="76" t="s">
        <v>2037</v>
      </c>
      <c r="R2750" s="73">
        <f t="shared" si="318"/>
        <v>1</v>
      </c>
      <c r="S2750" s="260" t="s">
        <v>1976</v>
      </c>
      <c r="T2750" s="260" t="s">
        <v>923</v>
      </c>
      <c r="Y2750" s="566">
        <v>0.81864583333333341</v>
      </c>
      <c r="Z2750" s="566">
        <v>0.82258101851851861</v>
      </c>
      <c r="AA2750" s="566">
        <f t="shared" si="312"/>
        <v>3.9351851851852082E-3</v>
      </c>
    </row>
    <row r="2751" spans="1:27" x14ac:dyDescent="0.3">
      <c r="A2751" s="79" t="s">
        <v>9062</v>
      </c>
      <c r="C2751" s="115">
        <v>44011</v>
      </c>
      <c r="D2751" s="312">
        <v>44048</v>
      </c>
      <c r="E2751" s="81">
        <v>44041</v>
      </c>
      <c r="F2751" s="86" t="s">
        <v>9138</v>
      </c>
      <c r="G2751" s="86" t="s">
        <v>166</v>
      </c>
      <c r="H2751" s="96" t="s">
        <v>213</v>
      </c>
      <c r="I2751" s="97" t="s">
        <v>714</v>
      </c>
      <c r="J2751" s="73">
        <f t="shared" si="317"/>
        <v>1</v>
      </c>
      <c r="K2751" s="74" t="s">
        <v>204</v>
      </c>
      <c r="L2751" s="97" t="s">
        <v>7532</v>
      </c>
      <c r="N2751" s="76" t="s">
        <v>18</v>
      </c>
      <c r="Q2751" s="76" t="s">
        <v>2142</v>
      </c>
      <c r="R2751" s="73">
        <f t="shared" si="318"/>
        <v>1</v>
      </c>
      <c r="S2751" s="260" t="s">
        <v>1976</v>
      </c>
      <c r="T2751" s="260" t="s">
        <v>925</v>
      </c>
      <c r="Y2751" s="566">
        <v>0.5580208333333333</v>
      </c>
      <c r="Z2751" s="566">
        <v>0.5653125</v>
      </c>
      <c r="AA2751" s="566">
        <f t="shared" si="312"/>
        <v>7.2916666666666963E-3</v>
      </c>
    </row>
    <row r="2752" spans="1:27" x14ac:dyDescent="0.3">
      <c r="A2752" s="79" t="s">
        <v>9063</v>
      </c>
      <c r="C2752" s="115">
        <v>44011</v>
      </c>
      <c r="D2752" s="312">
        <v>44048</v>
      </c>
      <c r="E2752" s="81">
        <v>44041</v>
      </c>
      <c r="F2752" s="86" t="s">
        <v>9139</v>
      </c>
      <c r="G2752" s="86" t="s">
        <v>164</v>
      </c>
      <c r="H2752" s="96" t="s">
        <v>213</v>
      </c>
      <c r="I2752" s="97" t="s">
        <v>642</v>
      </c>
      <c r="J2752" s="73">
        <f t="shared" si="317"/>
        <v>1</v>
      </c>
      <c r="K2752" s="74" t="s">
        <v>204</v>
      </c>
      <c r="L2752" s="97" t="s">
        <v>7110</v>
      </c>
      <c r="N2752" s="76" t="s">
        <v>18</v>
      </c>
      <c r="Q2752" s="76" t="s">
        <v>2142</v>
      </c>
      <c r="R2752" s="73">
        <f t="shared" si="318"/>
        <v>1</v>
      </c>
      <c r="S2752" s="260" t="s">
        <v>1976</v>
      </c>
      <c r="T2752" s="260" t="s">
        <v>925</v>
      </c>
      <c r="Y2752" s="566">
        <v>0.58736111111111111</v>
      </c>
      <c r="Z2752" s="566">
        <v>0.59075231481481483</v>
      </c>
      <c r="AA2752" s="566">
        <f t="shared" ref="AA2752:AA2800" si="319">Z2752-Y2752</f>
        <v>3.3912037037037157E-3</v>
      </c>
    </row>
    <row r="2753" spans="1:27" x14ac:dyDescent="0.3">
      <c r="A2753" s="79" t="s">
        <v>9064</v>
      </c>
      <c r="C2753" s="115">
        <v>44011</v>
      </c>
      <c r="D2753" s="312">
        <v>44047</v>
      </c>
      <c r="E2753" s="81">
        <v>44039</v>
      </c>
      <c r="F2753" s="86" t="s">
        <v>9140</v>
      </c>
      <c r="G2753" s="86" t="s">
        <v>157</v>
      </c>
      <c r="H2753" s="96" t="s">
        <v>213</v>
      </c>
      <c r="I2753" s="97" t="s">
        <v>714</v>
      </c>
      <c r="J2753" s="73">
        <f t="shared" si="317"/>
        <v>1</v>
      </c>
      <c r="K2753" s="74" t="s">
        <v>204</v>
      </c>
      <c r="L2753" s="97" t="s">
        <v>9204</v>
      </c>
      <c r="N2753" s="76" t="s">
        <v>18</v>
      </c>
      <c r="Q2753" s="76" t="s">
        <v>9187</v>
      </c>
      <c r="R2753" s="73">
        <f t="shared" si="318"/>
        <v>1</v>
      </c>
      <c r="S2753" s="260" t="s">
        <v>1976</v>
      </c>
      <c r="T2753" s="260" t="s">
        <v>925</v>
      </c>
      <c r="Y2753" s="566">
        <v>0.71621527777777771</v>
      </c>
      <c r="Z2753" s="566">
        <v>0.89869212962962963</v>
      </c>
      <c r="AA2753" s="566">
        <f t="shared" si="319"/>
        <v>0.18247685185185192</v>
      </c>
    </row>
    <row r="2754" spans="1:27" x14ac:dyDescent="0.3">
      <c r="A2754" s="79" t="s">
        <v>9065</v>
      </c>
      <c r="C2754" s="115">
        <v>44011</v>
      </c>
      <c r="D2754" s="312">
        <v>44048</v>
      </c>
      <c r="E2754" s="81">
        <v>44040</v>
      </c>
      <c r="F2754" s="86" t="s">
        <v>9141</v>
      </c>
      <c r="G2754" s="86" t="s">
        <v>150</v>
      </c>
      <c r="H2754" s="96" t="s">
        <v>213</v>
      </c>
      <c r="I2754" s="97" t="s">
        <v>714</v>
      </c>
      <c r="J2754" s="73">
        <f t="shared" si="317"/>
        <v>1</v>
      </c>
      <c r="K2754" s="74" t="s">
        <v>204</v>
      </c>
      <c r="L2754" s="97" t="s">
        <v>9214</v>
      </c>
      <c r="N2754" s="76" t="s">
        <v>8990</v>
      </c>
      <c r="Q2754" s="76" t="s">
        <v>9187</v>
      </c>
      <c r="R2754" s="73">
        <f t="shared" si="318"/>
        <v>1</v>
      </c>
      <c r="S2754" s="260" t="s">
        <v>1976</v>
      </c>
      <c r="T2754" s="260" t="s">
        <v>923</v>
      </c>
      <c r="Y2754" s="566">
        <v>0.49541666666666667</v>
      </c>
      <c r="Z2754" s="566">
        <v>0.52947916666666661</v>
      </c>
      <c r="AA2754" s="566">
        <f t="shared" si="319"/>
        <v>3.406249999999994E-2</v>
      </c>
    </row>
    <row r="2755" spans="1:27" x14ac:dyDescent="0.3">
      <c r="A2755" s="79" t="s">
        <v>9066</v>
      </c>
      <c r="C2755" s="115">
        <v>44011</v>
      </c>
      <c r="D2755" s="312">
        <v>44048</v>
      </c>
      <c r="E2755" s="81">
        <v>44042</v>
      </c>
      <c r="F2755" s="86" t="s">
        <v>9142</v>
      </c>
      <c r="G2755" s="86" t="s">
        <v>3509</v>
      </c>
      <c r="H2755" s="96" t="s">
        <v>213</v>
      </c>
      <c r="I2755" s="97" t="s">
        <v>9251</v>
      </c>
      <c r="J2755" s="73">
        <f t="shared" si="317"/>
        <v>1</v>
      </c>
      <c r="K2755" s="74" t="s">
        <v>204</v>
      </c>
      <c r="L2755" s="97" t="s">
        <v>9252</v>
      </c>
      <c r="N2755" s="76" t="s">
        <v>19</v>
      </c>
      <c r="Q2755" s="76" t="s">
        <v>2037</v>
      </c>
      <c r="R2755" s="73">
        <f t="shared" si="318"/>
        <v>1</v>
      </c>
      <c r="S2755" s="260" t="s">
        <v>1976</v>
      </c>
      <c r="T2755" s="260" t="s">
        <v>925</v>
      </c>
      <c r="Y2755" s="566">
        <v>0.70368055555555553</v>
      </c>
      <c r="Z2755" s="566">
        <v>0.78381944444444451</v>
      </c>
      <c r="AA2755" s="566">
        <f t="shared" si="319"/>
        <v>8.0138888888888982E-2</v>
      </c>
    </row>
    <row r="2756" spans="1:27" x14ac:dyDescent="0.3">
      <c r="A2756" s="79" t="s">
        <v>9067</v>
      </c>
      <c r="C2756" s="115">
        <v>44011</v>
      </c>
      <c r="D2756" s="312">
        <v>44048</v>
      </c>
      <c r="E2756" s="81">
        <v>44040</v>
      </c>
      <c r="F2756" s="86" t="s">
        <v>9143</v>
      </c>
      <c r="G2756" s="86" t="s">
        <v>152</v>
      </c>
      <c r="H2756" s="96" t="s">
        <v>213</v>
      </c>
      <c r="I2756" s="97" t="s">
        <v>714</v>
      </c>
      <c r="J2756" s="73">
        <f t="shared" si="317"/>
        <v>1</v>
      </c>
      <c r="K2756" s="74" t="s">
        <v>204</v>
      </c>
      <c r="L2756" s="97" t="s">
        <v>9224</v>
      </c>
      <c r="N2756" s="76" t="s">
        <v>17</v>
      </c>
      <c r="Q2756" s="76" t="s">
        <v>9187</v>
      </c>
      <c r="R2756" s="73">
        <f t="shared" si="318"/>
        <v>1</v>
      </c>
      <c r="S2756" s="260" t="s">
        <v>1976</v>
      </c>
      <c r="T2756" s="260" t="s">
        <v>925</v>
      </c>
      <c r="Y2756" s="566">
        <v>0.58430555555555552</v>
      </c>
      <c r="Z2756" s="566">
        <v>0.67322916666666666</v>
      </c>
      <c r="AA2756" s="566">
        <f t="shared" si="319"/>
        <v>8.8923611111111134E-2</v>
      </c>
    </row>
    <row r="2757" spans="1:27" x14ac:dyDescent="0.3">
      <c r="A2757" s="79" t="s">
        <v>9068</v>
      </c>
      <c r="C2757" s="115">
        <v>44012</v>
      </c>
      <c r="D2757" s="312">
        <v>44049</v>
      </c>
      <c r="E2757" s="81">
        <v>44043</v>
      </c>
      <c r="F2757" s="86" t="s">
        <v>9144</v>
      </c>
      <c r="G2757" s="86" t="s">
        <v>150</v>
      </c>
      <c r="H2757" s="96" t="s">
        <v>213</v>
      </c>
      <c r="I2757" s="97" t="s">
        <v>642</v>
      </c>
      <c r="J2757" s="73">
        <f t="shared" si="317"/>
        <v>1</v>
      </c>
      <c r="K2757" s="74" t="s">
        <v>204</v>
      </c>
      <c r="L2757" s="97" t="s">
        <v>7069</v>
      </c>
      <c r="N2757" s="76" t="s">
        <v>18</v>
      </c>
      <c r="Q2757" s="76" t="s">
        <v>2037</v>
      </c>
      <c r="R2757" s="73">
        <f t="shared" si="318"/>
        <v>1</v>
      </c>
      <c r="S2757" s="260" t="s">
        <v>1976</v>
      </c>
      <c r="T2757" s="260" t="s">
        <v>923</v>
      </c>
      <c r="Y2757" s="566">
        <v>0.44578703703703698</v>
      </c>
      <c r="Z2757" s="566">
        <v>0.45368055555555559</v>
      </c>
      <c r="AA2757" s="566">
        <f t="shared" si="319"/>
        <v>7.8935185185186052E-3</v>
      </c>
    </row>
    <row r="2758" spans="1:27" x14ac:dyDescent="0.3">
      <c r="A2758" s="79" t="s">
        <v>9069</v>
      </c>
      <c r="C2758" s="115">
        <v>44012</v>
      </c>
      <c r="D2758" s="312">
        <v>44049</v>
      </c>
      <c r="E2758" s="81">
        <v>44041</v>
      </c>
      <c r="F2758" s="86" t="s">
        <v>9145</v>
      </c>
      <c r="G2758" s="86" t="s">
        <v>9119</v>
      </c>
      <c r="H2758" s="96" t="s">
        <v>213</v>
      </c>
      <c r="I2758" s="97" t="s">
        <v>714</v>
      </c>
      <c r="J2758" s="73">
        <f t="shared" si="317"/>
        <v>1</v>
      </c>
      <c r="K2758" s="74" t="s">
        <v>204</v>
      </c>
      <c r="L2758" s="97" t="s">
        <v>7332</v>
      </c>
      <c r="N2758" s="76" t="s">
        <v>17</v>
      </c>
      <c r="Q2758" s="76" t="s">
        <v>9187</v>
      </c>
      <c r="R2758" s="73">
        <f t="shared" si="318"/>
        <v>1</v>
      </c>
      <c r="S2758" s="260" t="s">
        <v>1976</v>
      </c>
      <c r="T2758" s="260" t="s">
        <v>923</v>
      </c>
      <c r="Y2758" s="566">
        <v>0.65135416666666668</v>
      </c>
      <c r="Z2758" s="566">
        <v>0.67547453703703697</v>
      </c>
      <c r="AA2758" s="566">
        <f t="shared" si="319"/>
        <v>2.4120370370370292E-2</v>
      </c>
    </row>
    <row r="2759" spans="1:27" x14ac:dyDescent="0.3">
      <c r="A2759" s="79" t="s">
        <v>9070</v>
      </c>
      <c r="C2759" s="115">
        <v>44012</v>
      </c>
      <c r="D2759" s="312">
        <v>44049</v>
      </c>
      <c r="E2759" s="81">
        <v>44043</v>
      </c>
      <c r="F2759" s="86" t="s">
        <v>9146</v>
      </c>
      <c r="G2759" s="86" t="s">
        <v>162</v>
      </c>
      <c r="H2759" s="96" t="s">
        <v>213</v>
      </c>
      <c r="I2759" s="97" t="s">
        <v>642</v>
      </c>
      <c r="J2759" s="73">
        <f t="shared" si="317"/>
        <v>1</v>
      </c>
      <c r="K2759" s="74" t="s">
        <v>204</v>
      </c>
      <c r="L2759" s="97" t="s">
        <v>7066</v>
      </c>
      <c r="N2759" s="76" t="s">
        <v>18</v>
      </c>
      <c r="Q2759" s="76" t="s">
        <v>2037</v>
      </c>
      <c r="R2759" s="73">
        <f t="shared" si="318"/>
        <v>1</v>
      </c>
      <c r="S2759" s="260" t="s">
        <v>1976</v>
      </c>
      <c r="T2759" s="260" t="s">
        <v>923</v>
      </c>
      <c r="Y2759" s="566">
        <v>0.46078703703703705</v>
      </c>
      <c r="Z2759" s="566">
        <v>0.46475694444444443</v>
      </c>
      <c r="AA2759" s="566">
        <f t="shared" si="319"/>
        <v>3.9699074074073804E-3</v>
      </c>
    </row>
    <row r="2760" spans="1:27" x14ac:dyDescent="0.3">
      <c r="A2760" s="79" t="s">
        <v>9071</v>
      </c>
      <c r="C2760" s="115">
        <v>44012</v>
      </c>
      <c r="D2760" s="312">
        <v>44049</v>
      </c>
      <c r="E2760" s="81">
        <v>44043</v>
      </c>
      <c r="F2760" s="86" t="s">
        <v>9147</v>
      </c>
      <c r="G2760" s="86" t="s">
        <v>172</v>
      </c>
      <c r="H2760" s="96" t="s">
        <v>213</v>
      </c>
      <c r="I2760" s="97" t="s">
        <v>714</v>
      </c>
      <c r="J2760" s="73">
        <f t="shared" si="317"/>
        <v>1</v>
      </c>
      <c r="K2760" s="74" t="s">
        <v>204</v>
      </c>
      <c r="L2760" s="97" t="s">
        <v>9432</v>
      </c>
      <c r="N2760" s="76" t="s">
        <v>18</v>
      </c>
      <c r="Q2760" s="76" t="s">
        <v>2037</v>
      </c>
      <c r="R2760" s="73">
        <f t="shared" si="318"/>
        <v>1</v>
      </c>
      <c r="S2760" s="260" t="s">
        <v>1976</v>
      </c>
      <c r="T2760" s="260" t="s">
        <v>923</v>
      </c>
      <c r="Y2760" s="566">
        <v>0.46538194444444447</v>
      </c>
      <c r="Z2760" s="566">
        <v>0.47008101851851852</v>
      </c>
      <c r="AA2760" s="566">
        <f t="shared" si="319"/>
        <v>4.69907407407405E-3</v>
      </c>
    </row>
    <row r="2761" spans="1:27" x14ac:dyDescent="0.3">
      <c r="A2761" s="79" t="s">
        <v>9072</v>
      </c>
      <c r="C2761" s="115">
        <v>44012</v>
      </c>
      <c r="D2761" s="312">
        <v>44049</v>
      </c>
      <c r="E2761" s="81">
        <v>44043</v>
      </c>
      <c r="F2761" s="86" t="s">
        <v>9148</v>
      </c>
      <c r="G2761" s="86" t="s">
        <v>156</v>
      </c>
      <c r="H2761" s="96" t="s">
        <v>213</v>
      </c>
      <c r="I2761" s="97" t="s">
        <v>714</v>
      </c>
      <c r="J2761" s="73">
        <f t="shared" si="317"/>
        <v>1</v>
      </c>
      <c r="K2761" s="74" t="s">
        <v>204</v>
      </c>
      <c r="L2761" s="97" t="s">
        <v>9431</v>
      </c>
      <c r="N2761" s="76" t="s">
        <v>18</v>
      </c>
      <c r="Q2761" s="76" t="s">
        <v>2142</v>
      </c>
      <c r="R2761" s="73">
        <f t="shared" si="318"/>
        <v>1</v>
      </c>
      <c r="S2761" s="260" t="s">
        <v>1976</v>
      </c>
      <c r="T2761" s="260" t="s">
        <v>925</v>
      </c>
      <c r="Y2761" s="566">
        <v>0.45405092592592594</v>
      </c>
      <c r="Z2761" s="566">
        <v>0.46033564814814815</v>
      </c>
      <c r="AA2761" s="566">
        <f t="shared" si="319"/>
        <v>6.2847222222222054E-3</v>
      </c>
    </row>
    <row r="2762" spans="1:27" x14ac:dyDescent="0.3">
      <c r="A2762" s="79" t="s">
        <v>9073</v>
      </c>
      <c r="C2762" s="115">
        <v>44012</v>
      </c>
      <c r="D2762" s="312">
        <v>44049</v>
      </c>
      <c r="E2762" s="81">
        <v>44042</v>
      </c>
      <c r="F2762" s="86" t="s">
        <v>9149</v>
      </c>
      <c r="G2762" s="86" t="s">
        <v>9119</v>
      </c>
      <c r="H2762" s="96" t="s">
        <v>213</v>
      </c>
      <c r="I2762" s="97" t="s">
        <v>604</v>
      </c>
      <c r="J2762" s="73">
        <f t="shared" si="317"/>
        <v>1</v>
      </c>
      <c r="K2762" s="74" t="s">
        <v>204</v>
      </c>
      <c r="L2762" s="97" t="s">
        <v>7383</v>
      </c>
      <c r="N2762" s="76" t="s">
        <v>18</v>
      </c>
      <c r="Q2762" s="76" t="s">
        <v>2037</v>
      </c>
      <c r="R2762" s="73">
        <f t="shared" si="318"/>
        <v>1</v>
      </c>
      <c r="S2762" s="260" t="s">
        <v>1976</v>
      </c>
      <c r="T2762" s="260" t="s">
        <v>925</v>
      </c>
      <c r="Y2762" s="566">
        <v>0.83046296296296296</v>
      </c>
      <c r="Z2762" s="566">
        <v>0.83408564814814812</v>
      </c>
      <c r="AA2762" s="566">
        <f t="shared" si="319"/>
        <v>3.6226851851851594E-3</v>
      </c>
    </row>
    <row r="2763" spans="1:27" x14ac:dyDescent="0.3">
      <c r="A2763" s="79" t="s">
        <v>9074</v>
      </c>
      <c r="C2763" s="115">
        <v>44014</v>
      </c>
      <c r="D2763" s="312">
        <v>44049</v>
      </c>
      <c r="E2763" s="81">
        <v>44041</v>
      </c>
      <c r="F2763" s="86" t="s">
        <v>9150</v>
      </c>
      <c r="G2763" s="86" t="s">
        <v>152</v>
      </c>
      <c r="H2763" s="96" t="s">
        <v>213</v>
      </c>
      <c r="I2763" s="97" t="s">
        <v>714</v>
      </c>
      <c r="J2763" s="73">
        <f t="shared" si="317"/>
        <v>1</v>
      </c>
      <c r="K2763" s="74" t="s">
        <v>204</v>
      </c>
      <c r="L2763" s="97" t="s">
        <v>9239</v>
      </c>
      <c r="N2763" s="76" t="s">
        <v>18</v>
      </c>
      <c r="Q2763" s="76" t="s">
        <v>9187</v>
      </c>
      <c r="R2763" s="73">
        <f t="shared" si="318"/>
        <v>1</v>
      </c>
      <c r="S2763" s="260" t="s">
        <v>1976</v>
      </c>
      <c r="T2763" s="260" t="s">
        <v>925</v>
      </c>
      <c r="Y2763" s="566">
        <v>0.67584490740740744</v>
      </c>
      <c r="Z2763" s="566">
        <v>0.68473379629629638</v>
      </c>
      <c r="AA2763" s="566">
        <f t="shared" si="319"/>
        <v>8.8888888888889461E-3</v>
      </c>
    </row>
    <row r="2764" spans="1:27" x14ac:dyDescent="0.3">
      <c r="A2764" s="79" t="s">
        <v>9075</v>
      </c>
      <c r="C2764" s="115">
        <v>44014</v>
      </c>
      <c r="D2764" s="312">
        <v>44049</v>
      </c>
      <c r="E2764" s="81">
        <v>44043</v>
      </c>
      <c r="F2764" s="86" t="s">
        <v>9151</v>
      </c>
      <c r="G2764" s="86" t="s">
        <v>152</v>
      </c>
      <c r="H2764" s="96" t="s">
        <v>213</v>
      </c>
      <c r="I2764" s="97" t="s">
        <v>714</v>
      </c>
      <c r="J2764" s="73">
        <f t="shared" si="317"/>
        <v>1</v>
      </c>
      <c r="K2764" s="74" t="s">
        <v>204</v>
      </c>
      <c r="L2764" s="97" t="s">
        <v>9436</v>
      </c>
      <c r="N2764" s="76" t="s">
        <v>18</v>
      </c>
      <c r="Q2764" s="76" t="s">
        <v>2142</v>
      </c>
      <c r="R2764" s="73">
        <f t="shared" si="318"/>
        <v>1</v>
      </c>
      <c r="S2764" s="260" t="s">
        <v>1976</v>
      </c>
      <c r="T2764" s="260" t="s">
        <v>923</v>
      </c>
      <c r="U2764" s="76" t="s">
        <v>5283</v>
      </c>
      <c r="V2764" s="301" t="s">
        <v>9435</v>
      </c>
      <c r="Y2764" s="566">
        <v>0.47520833333333329</v>
      </c>
      <c r="Z2764" s="566">
        <v>0.48523148148148149</v>
      </c>
      <c r="AA2764" s="566">
        <f t="shared" si="319"/>
        <v>1.0023148148148198E-2</v>
      </c>
    </row>
    <row r="2765" spans="1:27" x14ac:dyDescent="0.3">
      <c r="A2765" s="79" t="s">
        <v>9076</v>
      </c>
      <c r="C2765" s="115">
        <v>44014</v>
      </c>
      <c r="D2765" s="312">
        <v>44050</v>
      </c>
      <c r="E2765" s="81">
        <v>44046</v>
      </c>
      <c r="F2765" s="86" t="s">
        <v>9152</v>
      </c>
      <c r="G2765" s="86" t="s">
        <v>3280</v>
      </c>
      <c r="H2765" s="96" t="s">
        <v>213</v>
      </c>
      <c r="I2765" s="97" t="s">
        <v>642</v>
      </c>
      <c r="J2765" s="73">
        <f t="shared" si="317"/>
        <v>1</v>
      </c>
      <c r="K2765" s="74" t="s">
        <v>204</v>
      </c>
      <c r="L2765" s="97" t="s">
        <v>7069</v>
      </c>
      <c r="N2765" s="76" t="s">
        <v>17</v>
      </c>
      <c r="Q2765" s="76" t="s">
        <v>2037</v>
      </c>
      <c r="R2765" s="73">
        <f t="shared" si="318"/>
        <v>1</v>
      </c>
      <c r="S2765" s="260" t="s">
        <v>1976</v>
      </c>
      <c r="T2765" s="260" t="s">
        <v>925</v>
      </c>
      <c r="Y2765" s="566">
        <v>0.43653935185185189</v>
      </c>
      <c r="Z2765" s="566">
        <v>0.44788194444444446</v>
      </c>
      <c r="AA2765" s="566">
        <f t="shared" si="319"/>
        <v>1.1342592592592571E-2</v>
      </c>
    </row>
    <row r="2766" spans="1:27" x14ac:dyDescent="0.3">
      <c r="A2766" s="79" t="s">
        <v>9077</v>
      </c>
      <c r="C2766" s="115">
        <v>44014</v>
      </c>
      <c r="D2766" s="312">
        <v>44050</v>
      </c>
      <c r="E2766" s="81">
        <v>44046</v>
      </c>
      <c r="F2766" s="86" t="s">
        <v>9153</v>
      </c>
      <c r="G2766" s="86" t="s">
        <v>172</v>
      </c>
      <c r="H2766" s="96" t="s">
        <v>213</v>
      </c>
      <c r="I2766" s="97" t="s">
        <v>642</v>
      </c>
      <c r="J2766" s="73">
        <f t="shared" si="317"/>
        <v>1</v>
      </c>
      <c r="K2766" s="74" t="s">
        <v>204</v>
      </c>
      <c r="L2766" s="97" t="s">
        <v>7108</v>
      </c>
      <c r="N2766" s="76" t="s">
        <v>18</v>
      </c>
      <c r="Q2766" s="76" t="s">
        <v>2037</v>
      </c>
      <c r="R2766" s="73">
        <f t="shared" si="318"/>
        <v>1</v>
      </c>
      <c r="S2766" s="260" t="s">
        <v>1976</v>
      </c>
      <c r="T2766" s="260" t="s">
        <v>925</v>
      </c>
      <c r="Y2766" s="566">
        <v>0.43326388888888889</v>
      </c>
      <c r="Z2766" s="566">
        <v>0.43619212962962961</v>
      </c>
      <c r="AA2766" s="566">
        <f t="shared" si="319"/>
        <v>2.9282407407407174E-3</v>
      </c>
    </row>
    <row r="2767" spans="1:27" x14ac:dyDescent="0.3">
      <c r="A2767" s="79" t="s">
        <v>9078</v>
      </c>
      <c r="C2767" s="115">
        <v>44014</v>
      </c>
      <c r="D2767" s="312">
        <v>44050</v>
      </c>
      <c r="E2767" s="81">
        <v>44042</v>
      </c>
      <c r="F2767" s="86" t="s">
        <v>9154</v>
      </c>
      <c r="G2767" s="86" t="s">
        <v>191</v>
      </c>
      <c r="H2767" s="96" t="s">
        <v>213</v>
      </c>
      <c r="I2767" s="97" t="s">
        <v>714</v>
      </c>
      <c r="J2767" s="73">
        <f t="shared" si="317"/>
        <v>1</v>
      </c>
      <c r="K2767" s="74" t="s">
        <v>204</v>
      </c>
      <c r="L2767" s="97" t="s">
        <v>7741</v>
      </c>
      <c r="N2767" s="76" t="s">
        <v>17</v>
      </c>
      <c r="Q2767" s="76" t="s">
        <v>9187</v>
      </c>
      <c r="R2767" s="73">
        <f t="shared" si="318"/>
        <v>1</v>
      </c>
      <c r="S2767" s="260" t="s">
        <v>1976</v>
      </c>
      <c r="T2767" s="260" t="s">
        <v>923</v>
      </c>
      <c r="Y2767" s="566">
        <v>0.60877314814814809</v>
      </c>
      <c r="Z2767" s="566">
        <v>0.61998842592592596</v>
      </c>
      <c r="AA2767" s="566">
        <f t="shared" si="319"/>
        <v>1.1215277777777866E-2</v>
      </c>
    </row>
    <row r="2768" spans="1:27" x14ac:dyDescent="0.3">
      <c r="A2768" s="79" t="s">
        <v>9079</v>
      </c>
      <c r="C2768" s="115">
        <v>44014</v>
      </c>
      <c r="D2768" s="312">
        <v>44050</v>
      </c>
      <c r="E2768" s="81">
        <v>44042</v>
      </c>
      <c r="F2768" s="86" t="s">
        <v>9155</v>
      </c>
      <c r="G2768" s="86" t="s">
        <v>152</v>
      </c>
      <c r="H2768" s="96" t="s">
        <v>213</v>
      </c>
      <c r="I2768" s="97" t="s">
        <v>642</v>
      </c>
      <c r="J2768" s="73">
        <f t="shared" si="317"/>
        <v>1</v>
      </c>
      <c r="K2768" s="74" t="s">
        <v>204</v>
      </c>
      <c r="L2768" s="97" t="s">
        <v>7066</v>
      </c>
      <c r="N2768" s="76" t="s">
        <v>18</v>
      </c>
      <c r="Q2768" s="76" t="s">
        <v>9187</v>
      </c>
      <c r="R2768" s="73">
        <f t="shared" si="318"/>
        <v>1</v>
      </c>
      <c r="S2768" s="260" t="s">
        <v>1976</v>
      </c>
      <c r="T2768" s="260" t="s">
        <v>925</v>
      </c>
      <c r="Y2768" s="566">
        <v>0.47863425925925923</v>
      </c>
      <c r="Z2768" s="566">
        <v>0.4871759259259259</v>
      </c>
      <c r="AA2768" s="566">
        <f t="shared" si="319"/>
        <v>8.5416666666666696E-3</v>
      </c>
    </row>
    <row r="2769" spans="1:27" x14ac:dyDescent="0.3">
      <c r="A2769" s="79" t="s">
        <v>8751</v>
      </c>
      <c r="C2769" s="115">
        <v>44014</v>
      </c>
      <c r="D2769" s="312">
        <v>44050</v>
      </c>
      <c r="E2769" s="81">
        <v>44049</v>
      </c>
      <c r="F2769" s="86" t="s">
        <v>8775</v>
      </c>
      <c r="G2769" s="86" t="s">
        <v>156</v>
      </c>
      <c r="H2769" s="79" t="s">
        <v>268</v>
      </c>
      <c r="I2769" s="97" t="s">
        <v>714</v>
      </c>
      <c r="J2769" s="73">
        <f t="shared" si="317"/>
        <v>1</v>
      </c>
      <c r="K2769" s="74" t="s">
        <v>204</v>
      </c>
      <c r="L2769" s="97" t="s">
        <v>9569</v>
      </c>
      <c r="N2769" s="76" t="s">
        <v>17</v>
      </c>
      <c r="Q2769" s="301" t="s">
        <v>9187</v>
      </c>
      <c r="R2769" s="73">
        <f t="shared" si="318"/>
        <v>1</v>
      </c>
      <c r="S2769" s="260" t="s">
        <v>1976</v>
      </c>
      <c r="T2769" s="260" t="s">
        <v>925</v>
      </c>
      <c r="Y2769" s="566">
        <v>0.50694444444444442</v>
      </c>
      <c r="Z2769" s="566">
        <v>0.52989583333333334</v>
      </c>
      <c r="AA2769" s="566">
        <f t="shared" si="319"/>
        <v>2.2951388888888924E-2</v>
      </c>
    </row>
    <row r="2770" spans="1:27" x14ac:dyDescent="0.3">
      <c r="A2770" s="79" t="s">
        <v>9080</v>
      </c>
      <c r="C2770" s="115">
        <v>44014</v>
      </c>
      <c r="D2770" s="312">
        <v>44050</v>
      </c>
      <c r="E2770" s="81">
        <v>44046</v>
      </c>
      <c r="F2770" s="86" t="s">
        <v>9156</v>
      </c>
      <c r="G2770" s="86" t="s">
        <v>154</v>
      </c>
      <c r="H2770" s="96" t="s">
        <v>213</v>
      </c>
      <c r="I2770" s="97" t="s">
        <v>714</v>
      </c>
      <c r="J2770" s="73">
        <f t="shared" si="317"/>
        <v>1</v>
      </c>
      <c r="K2770" s="74" t="s">
        <v>204</v>
      </c>
      <c r="L2770" s="97" t="s">
        <v>7336</v>
      </c>
      <c r="N2770" s="76" t="s">
        <v>8990</v>
      </c>
      <c r="Q2770" s="76" t="s">
        <v>9187</v>
      </c>
      <c r="R2770" s="73">
        <f t="shared" si="318"/>
        <v>1</v>
      </c>
      <c r="S2770" s="260" t="s">
        <v>1976</v>
      </c>
      <c r="T2770" s="260" t="s">
        <v>925</v>
      </c>
      <c r="Y2770" s="566">
        <v>0.50039351851851854</v>
      </c>
      <c r="Z2770" s="566">
        <v>0.50799768518518518</v>
      </c>
      <c r="AA2770" s="566">
        <f t="shared" si="319"/>
        <v>7.6041666666666341E-3</v>
      </c>
    </row>
    <row r="2771" spans="1:27" x14ac:dyDescent="0.3">
      <c r="A2771" s="79" t="s">
        <v>9081</v>
      </c>
      <c r="C2771" s="115">
        <v>44014</v>
      </c>
      <c r="D2771" s="312">
        <v>44050</v>
      </c>
      <c r="E2771" s="81">
        <v>44043</v>
      </c>
      <c r="F2771" s="86" t="s">
        <v>9157</v>
      </c>
      <c r="G2771" s="86" t="s">
        <v>154</v>
      </c>
      <c r="H2771" s="96" t="s">
        <v>213</v>
      </c>
      <c r="I2771" s="97" t="s">
        <v>714</v>
      </c>
      <c r="J2771" s="73">
        <f t="shared" si="317"/>
        <v>1</v>
      </c>
      <c r="K2771" s="74" t="s">
        <v>204</v>
      </c>
      <c r="L2771" s="97" t="s">
        <v>7741</v>
      </c>
      <c r="N2771" s="76" t="s">
        <v>18</v>
      </c>
      <c r="Q2771" s="76" t="s">
        <v>2037</v>
      </c>
      <c r="R2771" s="73">
        <f t="shared" si="318"/>
        <v>1</v>
      </c>
      <c r="S2771" s="260" t="s">
        <v>1976</v>
      </c>
      <c r="T2771" s="260" t="s">
        <v>925</v>
      </c>
      <c r="Y2771" s="566">
        <v>0.48917824074074073</v>
      </c>
      <c r="Z2771" s="566">
        <v>0.49747685185185181</v>
      </c>
      <c r="AA2771" s="566">
        <f t="shared" si="319"/>
        <v>8.2986111111110761E-3</v>
      </c>
    </row>
    <row r="2772" spans="1:27" x14ac:dyDescent="0.3">
      <c r="A2772" s="79" t="s">
        <v>9082</v>
      </c>
      <c r="C2772" s="115">
        <v>44014</v>
      </c>
      <c r="D2772" s="312">
        <v>44050</v>
      </c>
      <c r="E2772" s="81">
        <v>44042</v>
      </c>
      <c r="F2772" s="86" t="s">
        <v>9158</v>
      </c>
      <c r="G2772" s="86" t="s">
        <v>150</v>
      </c>
      <c r="H2772" s="96" t="s">
        <v>213</v>
      </c>
      <c r="I2772" s="97" t="s">
        <v>642</v>
      </c>
      <c r="J2772" s="73">
        <f t="shared" si="317"/>
        <v>1</v>
      </c>
      <c r="K2772" s="74" t="s">
        <v>204</v>
      </c>
      <c r="L2772" s="97" t="s">
        <v>7108</v>
      </c>
      <c r="N2772" s="76" t="s">
        <v>8990</v>
      </c>
      <c r="Q2772" s="76" t="s">
        <v>9187</v>
      </c>
      <c r="R2772" s="73">
        <f t="shared" si="318"/>
        <v>1</v>
      </c>
      <c r="S2772" s="260" t="s">
        <v>1976</v>
      </c>
      <c r="T2772" s="260" t="s">
        <v>925</v>
      </c>
      <c r="Y2772" s="566">
        <v>0.48859953703703707</v>
      </c>
      <c r="Z2772" s="566">
        <v>0.49475694444444446</v>
      </c>
      <c r="AA2772" s="566">
        <f t="shared" si="319"/>
        <v>6.1574074074073892E-3</v>
      </c>
    </row>
    <row r="2773" spans="1:27" x14ac:dyDescent="0.3">
      <c r="A2773" s="79" t="s">
        <v>9083</v>
      </c>
      <c r="C2773" s="115">
        <v>44014</v>
      </c>
      <c r="D2773" s="312">
        <v>44050</v>
      </c>
      <c r="E2773" s="81">
        <v>44043</v>
      </c>
      <c r="F2773" s="86" t="s">
        <v>9159</v>
      </c>
      <c r="G2773" s="86" t="s">
        <v>154</v>
      </c>
      <c r="H2773" s="96" t="s">
        <v>213</v>
      </c>
      <c r="I2773" s="97" t="s">
        <v>995</v>
      </c>
      <c r="J2773" s="73">
        <f t="shared" si="317"/>
        <v>1</v>
      </c>
      <c r="K2773" s="74" t="s">
        <v>204</v>
      </c>
      <c r="L2773" s="97" t="s">
        <v>7073</v>
      </c>
      <c r="Q2773" s="76" t="s">
        <v>9187</v>
      </c>
      <c r="R2773" s="73">
        <f t="shared" si="318"/>
        <v>1</v>
      </c>
      <c r="S2773" s="260" t="s">
        <v>1976</v>
      </c>
      <c r="T2773" s="260" t="s">
        <v>925</v>
      </c>
      <c r="U2773" s="76" t="s">
        <v>5283</v>
      </c>
      <c r="Y2773" s="566">
        <v>0.4982523148148148</v>
      </c>
      <c r="Z2773" s="566">
        <v>0.54212962962962963</v>
      </c>
      <c r="AA2773" s="566">
        <f t="shared" si="319"/>
        <v>4.3877314814814827E-2</v>
      </c>
    </row>
    <row r="2774" spans="1:27" x14ac:dyDescent="0.3">
      <c r="A2774" s="79" t="s">
        <v>9084</v>
      </c>
      <c r="C2774" s="115">
        <v>44014</v>
      </c>
      <c r="D2774" s="312">
        <v>44050</v>
      </c>
      <c r="E2774" s="81">
        <v>44042</v>
      </c>
      <c r="F2774" s="86" t="s">
        <v>9160</v>
      </c>
      <c r="G2774" s="86" t="s">
        <v>173</v>
      </c>
      <c r="H2774" s="96" t="s">
        <v>213</v>
      </c>
      <c r="I2774" s="97" t="s">
        <v>642</v>
      </c>
      <c r="J2774" s="73">
        <f t="shared" si="317"/>
        <v>1</v>
      </c>
      <c r="K2774" s="74" t="s">
        <v>204</v>
      </c>
      <c r="L2774" s="97" t="s">
        <v>7110</v>
      </c>
      <c r="N2774" s="76" t="s">
        <v>18</v>
      </c>
      <c r="Q2774" s="76" t="s">
        <v>9187</v>
      </c>
      <c r="R2774" s="73">
        <f t="shared" si="318"/>
        <v>1</v>
      </c>
      <c r="S2774" s="260" t="s">
        <v>1976</v>
      </c>
      <c r="T2774" s="260" t="s">
        <v>923</v>
      </c>
      <c r="Y2774" s="566">
        <v>0.49502314814814818</v>
      </c>
      <c r="Z2774" s="566">
        <v>0.52636574074074072</v>
      </c>
      <c r="AA2774" s="566">
        <f t="shared" si="319"/>
        <v>3.1342592592592533E-2</v>
      </c>
    </row>
    <row r="2775" spans="1:27" x14ac:dyDescent="0.3">
      <c r="A2775" s="79" t="s">
        <v>8755</v>
      </c>
      <c r="C2775" s="115">
        <v>44014</v>
      </c>
      <c r="D2775" s="312">
        <v>44050</v>
      </c>
      <c r="E2775" s="81">
        <v>44046</v>
      </c>
      <c r="F2775" s="86" t="s">
        <v>8779</v>
      </c>
      <c r="G2775" s="86" t="s">
        <v>157</v>
      </c>
      <c r="H2775" s="96" t="s">
        <v>213</v>
      </c>
      <c r="I2775" s="97" t="s">
        <v>714</v>
      </c>
      <c r="J2775" s="73">
        <f t="shared" si="317"/>
        <v>1</v>
      </c>
      <c r="K2775" s="74" t="s">
        <v>204</v>
      </c>
      <c r="L2775" s="97" t="s">
        <v>7072</v>
      </c>
      <c r="N2775" s="76" t="s">
        <v>17</v>
      </c>
      <c r="Q2775" s="76" t="s">
        <v>2037</v>
      </c>
      <c r="R2775" s="73">
        <f t="shared" si="318"/>
        <v>1</v>
      </c>
      <c r="S2775" s="260" t="s">
        <v>1976</v>
      </c>
      <c r="T2775" s="260" t="s">
        <v>925</v>
      </c>
      <c r="Y2775" s="566">
        <v>0.44840277777777776</v>
      </c>
      <c r="Z2775" s="566">
        <v>0.45559027777777777</v>
      </c>
      <c r="AA2775" s="566">
        <f t="shared" si="319"/>
        <v>7.1875000000000133E-3</v>
      </c>
    </row>
    <row r="2776" spans="1:27" x14ac:dyDescent="0.3">
      <c r="A2776" s="79" t="s">
        <v>8756</v>
      </c>
      <c r="C2776" s="115">
        <v>44014</v>
      </c>
      <c r="D2776" s="312">
        <v>44050</v>
      </c>
      <c r="E2776" s="81">
        <v>44046</v>
      </c>
      <c r="F2776" s="86" t="s">
        <v>8780</v>
      </c>
      <c r="G2776" s="86" t="s">
        <v>152</v>
      </c>
      <c r="H2776" s="96" t="s">
        <v>213</v>
      </c>
      <c r="I2776" s="97" t="s">
        <v>714</v>
      </c>
      <c r="J2776" s="73">
        <f t="shared" si="317"/>
        <v>1</v>
      </c>
      <c r="K2776" s="74" t="s">
        <v>204</v>
      </c>
      <c r="L2776" s="97" t="s">
        <v>9439</v>
      </c>
      <c r="N2776" s="76" t="s">
        <v>17</v>
      </c>
      <c r="Q2776" s="76" t="s">
        <v>2142</v>
      </c>
      <c r="R2776" s="73">
        <f t="shared" si="318"/>
        <v>1</v>
      </c>
      <c r="S2776" s="260" t="s">
        <v>1976</v>
      </c>
      <c r="T2776" s="260" t="s">
        <v>924</v>
      </c>
      <c r="Y2776" s="566">
        <v>0.45601851851851855</v>
      </c>
      <c r="Z2776" s="566">
        <v>0.47336805555555556</v>
      </c>
      <c r="AA2776" s="566">
        <f t="shared" si="319"/>
        <v>1.7349537037037011E-2</v>
      </c>
    </row>
    <row r="2777" spans="1:27" x14ac:dyDescent="0.3">
      <c r="A2777" s="79" t="s">
        <v>9085</v>
      </c>
      <c r="C2777" s="115">
        <v>44015</v>
      </c>
      <c r="D2777" s="312">
        <v>44050</v>
      </c>
      <c r="E2777" s="81">
        <v>44042</v>
      </c>
      <c r="F2777" s="86" t="s">
        <v>9161</v>
      </c>
      <c r="G2777" s="86" t="s">
        <v>147</v>
      </c>
      <c r="H2777" s="96" t="s">
        <v>213</v>
      </c>
      <c r="I2777" s="97" t="s">
        <v>642</v>
      </c>
      <c r="J2777" s="73">
        <f t="shared" si="317"/>
        <v>1</v>
      </c>
      <c r="K2777" s="74" t="s">
        <v>204</v>
      </c>
      <c r="L2777" s="97" t="s">
        <v>7108</v>
      </c>
      <c r="N2777" s="76" t="s">
        <v>17</v>
      </c>
      <c r="Q2777" s="76" t="s">
        <v>9187</v>
      </c>
      <c r="R2777" s="73">
        <f t="shared" si="318"/>
        <v>1</v>
      </c>
      <c r="S2777" s="260" t="s">
        <v>1976</v>
      </c>
      <c r="T2777" s="260" t="s">
        <v>923</v>
      </c>
      <c r="Y2777" s="566">
        <v>0.59748842592592599</v>
      </c>
      <c r="Z2777" s="566">
        <v>0.60837962962962966</v>
      </c>
      <c r="AA2777" s="566">
        <f t="shared" si="319"/>
        <v>1.0891203703703667E-2</v>
      </c>
    </row>
    <row r="2778" spans="1:27" x14ac:dyDescent="0.3">
      <c r="A2778" s="79" t="s">
        <v>8758</v>
      </c>
      <c r="C2778" s="115">
        <v>44015</v>
      </c>
      <c r="D2778" s="312">
        <v>44050</v>
      </c>
      <c r="E2778" s="81">
        <v>44046</v>
      </c>
      <c r="F2778" s="86" t="s">
        <v>8782</v>
      </c>
      <c r="G2778" s="86" t="s">
        <v>150</v>
      </c>
      <c r="H2778" s="96" t="s">
        <v>213</v>
      </c>
      <c r="I2778" s="97" t="s">
        <v>642</v>
      </c>
      <c r="J2778" s="73">
        <f t="shared" si="317"/>
        <v>1</v>
      </c>
      <c r="K2778" s="74" t="s">
        <v>204</v>
      </c>
      <c r="L2778" s="97" t="s">
        <v>7108</v>
      </c>
      <c r="N2778" s="76" t="s">
        <v>18</v>
      </c>
      <c r="Q2778" s="76" t="s">
        <v>2142</v>
      </c>
      <c r="R2778" s="73">
        <f t="shared" si="318"/>
        <v>1</v>
      </c>
      <c r="S2778" s="260" t="s">
        <v>1976</v>
      </c>
      <c r="T2778" s="260" t="s">
        <v>924</v>
      </c>
      <c r="Y2778" s="566">
        <v>0.48405092592592597</v>
      </c>
      <c r="Z2778" s="566">
        <v>0.48815972222222226</v>
      </c>
      <c r="AA2778" s="566">
        <f t="shared" si="319"/>
        <v>4.108796296296291E-3</v>
      </c>
    </row>
    <row r="2779" spans="1:27" x14ac:dyDescent="0.3">
      <c r="A2779" s="79" t="s">
        <v>9086</v>
      </c>
      <c r="C2779" s="115">
        <v>44022</v>
      </c>
      <c r="D2779" s="312">
        <v>44046</v>
      </c>
      <c r="E2779" s="81">
        <v>44042</v>
      </c>
      <c r="F2779" s="86" t="s">
        <v>9162</v>
      </c>
      <c r="G2779" s="86" t="s">
        <v>172</v>
      </c>
      <c r="H2779" s="96" t="s">
        <v>213</v>
      </c>
      <c r="I2779" s="97" t="s">
        <v>657</v>
      </c>
      <c r="J2779" s="73">
        <f t="shared" si="317"/>
        <v>1</v>
      </c>
      <c r="K2779" s="74" t="s">
        <v>204</v>
      </c>
      <c r="L2779" s="97" t="s">
        <v>9245</v>
      </c>
      <c r="N2779" s="76" t="s">
        <v>19</v>
      </c>
      <c r="Q2779" s="76" t="s">
        <v>2142</v>
      </c>
      <c r="R2779" s="73">
        <f t="shared" si="318"/>
        <v>1</v>
      </c>
      <c r="S2779" s="260" t="s">
        <v>1976</v>
      </c>
      <c r="T2779" s="260" t="s">
        <v>923</v>
      </c>
      <c r="Y2779" s="566">
        <v>0.53493055555555558</v>
      </c>
      <c r="Z2779" s="566">
        <v>0.54204861111111113</v>
      </c>
      <c r="AA2779" s="566">
        <f t="shared" si="319"/>
        <v>7.118055555555558E-3</v>
      </c>
    </row>
    <row r="2780" spans="1:27" x14ac:dyDescent="0.3">
      <c r="A2780" s="79" t="s">
        <v>9087</v>
      </c>
      <c r="C2780" s="115">
        <v>44022</v>
      </c>
      <c r="D2780" s="312">
        <v>44046</v>
      </c>
      <c r="E2780" s="81">
        <v>44042</v>
      </c>
      <c r="F2780" s="86" t="s">
        <v>9163</v>
      </c>
      <c r="G2780" s="86" t="s">
        <v>181</v>
      </c>
      <c r="H2780" s="96" t="s">
        <v>213</v>
      </c>
      <c r="I2780" s="97" t="s">
        <v>645</v>
      </c>
      <c r="J2780" s="73">
        <f t="shared" si="317"/>
        <v>1</v>
      </c>
      <c r="K2780" s="74" t="s">
        <v>204</v>
      </c>
      <c r="L2780" s="97" t="s">
        <v>7545</v>
      </c>
      <c r="N2780" s="76" t="s">
        <v>19</v>
      </c>
      <c r="Q2780" s="76" t="s">
        <v>9187</v>
      </c>
      <c r="R2780" s="73">
        <f t="shared" si="318"/>
        <v>1</v>
      </c>
      <c r="S2780" s="260" t="s">
        <v>1976</v>
      </c>
      <c r="T2780" s="260" t="s">
        <v>925</v>
      </c>
      <c r="Y2780" s="566">
        <v>0.52696759259259263</v>
      </c>
      <c r="Z2780" s="566">
        <v>0.53431712962962963</v>
      </c>
      <c r="AA2780" s="566">
        <f t="shared" si="319"/>
        <v>7.3495370370370017E-3</v>
      </c>
    </row>
    <row r="2781" spans="1:27" x14ac:dyDescent="0.3">
      <c r="A2781" s="79" t="s">
        <v>9088</v>
      </c>
      <c r="C2781" s="115">
        <v>44022</v>
      </c>
      <c r="D2781" s="312">
        <v>44046</v>
      </c>
      <c r="E2781" s="81">
        <v>44046</v>
      </c>
      <c r="F2781" s="86" t="s">
        <v>9164</v>
      </c>
      <c r="G2781" s="86" t="s">
        <v>152</v>
      </c>
      <c r="H2781" s="96" t="s">
        <v>213</v>
      </c>
      <c r="I2781" s="97" t="s">
        <v>3648</v>
      </c>
      <c r="J2781" s="73">
        <f t="shared" si="317"/>
        <v>1</v>
      </c>
      <c r="K2781" s="74" t="s">
        <v>204</v>
      </c>
      <c r="L2781" s="97" t="s">
        <v>9438</v>
      </c>
      <c r="N2781" s="76" t="s">
        <v>18</v>
      </c>
      <c r="Q2781" s="76" t="s">
        <v>9187</v>
      </c>
      <c r="R2781" s="73">
        <f t="shared" si="318"/>
        <v>1</v>
      </c>
      <c r="S2781" s="260" t="s">
        <v>1976</v>
      </c>
      <c r="T2781" s="260" t="s">
        <v>925</v>
      </c>
      <c r="Y2781" s="566">
        <v>0.39166666666666666</v>
      </c>
      <c r="Z2781" s="566">
        <v>0.41875000000000001</v>
      </c>
      <c r="AA2781" s="566">
        <f t="shared" si="319"/>
        <v>2.7083333333333348E-2</v>
      </c>
    </row>
    <row r="2782" spans="1:27" x14ac:dyDescent="0.3">
      <c r="A2782" s="79" t="s">
        <v>9089</v>
      </c>
      <c r="C2782" s="115">
        <v>44022</v>
      </c>
      <c r="D2782" s="312">
        <v>44046</v>
      </c>
      <c r="E2782" s="81">
        <v>44042</v>
      </c>
      <c r="F2782" s="86" t="s">
        <v>9165</v>
      </c>
      <c r="G2782" s="86" t="s">
        <v>152</v>
      </c>
      <c r="H2782" s="96" t="s">
        <v>213</v>
      </c>
      <c r="I2782" s="97" t="s">
        <v>5824</v>
      </c>
      <c r="J2782" s="73">
        <f t="shared" si="317"/>
        <v>1</v>
      </c>
      <c r="K2782" s="74" t="s">
        <v>204</v>
      </c>
      <c r="L2782" s="97" t="s">
        <v>9242</v>
      </c>
      <c r="N2782" s="76" t="s">
        <v>18</v>
      </c>
      <c r="Q2782" s="76" t="s">
        <v>9187</v>
      </c>
      <c r="R2782" s="73">
        <f t="shared" si="318"/>
        <v>1</v>
      </c>
      <c r="S2782" s="260" t="s">
        <v>1976</v>
      </c>
      <c r="T2782" s="260" t="s">
        <v>925</v>
      </c>
      <c r="Y2782" s="566">
        <v>0.44328703703703703</v>
      </c>
      <c r="Z2782" s="566">
        <v>0.44799768518518518</v>
      </c>
      <c r="AA2782" s="566">
        <f t="shared" si="319"/>
        <v>4.7106481481481444E-3</v>
      </c>
    </row>
    <row r="2783" spans="1:27" x14ac:dyDescent="0.3">
      <c r="A2783" s="79" t="s">
        <v>9090</v>
      </c>
      <c r="C2783" s="115">
        <v>44022</v>
      </c>
      <c r="D2783" s="312">
        <v>44046</v>
      </c>
      <c r="E2783" s="81">
        <v>44040</v>
      </c>
      <c r="F2783" s="86" t="s">
        <v>9166</v>
      </c>
      <c r="G2783" s="86" t="s">
        <v>189</v>
      </c>
      <c r="H2783" s="96" t="s">
        <v>213</v>
      </c>
      <c r="I2783" s="97" t="s">
        <v>3475</v>
      </c>
      <c r="J2783" s="73">
        <f t="shared" si="317"/>
        <v>1</v>
      </c>
      <c r="K2783" s="74" t="s">
        <v>204</v>
      </c>
      <c r="L2783" s="97" t="s">
        <v>9211</v>
      </c>
      <c r="N2783" s="76" t="s">
        <v>19</v>
      </c>
      <c r="Q2783" s="76" t="s">
        <v>9187</v>
      </c>
      <c r="R2783" s="73">
        <f t="shared" si="318"/>
        <v>1</v>
      </c>
      <c r="S2783" s="260" t="s">
        <v>1976</v>
      </c>
      <c r="T2783" s="260" t="s">
        <v>925</v>
      </c>
      <c r="Y2783" s="566">
        <v>0.45393518518518516</v>
      </c>
      <c r="Z2783" s="566">
        <v>0.4710300925925926</v>
      </c>
      <c r="AA2783" s="566">
        <f t="shared" si="319"/>
        <v>1.7094907407407434E-2</v>
      </c>
    </row>
    <row r="2784" spans="1:27" x14ac:dyDescent="0.3">
      <c r="A2784" s="79" t="s">
        <v>9091</v>
      </c>
      <c r="C2784" s="115">
        <v>44025</v>
      </c>
      <c r="D2784" s="312">
        <v>44046</v>
      </c>
      <c r="E2784" s="81">
        <v>44039</v>
      </c>
      <c r="F2784" s="86" t="s">
        <v>9167</v>
      </c>
      <c r="G2784" s="86" t="s">
        <v>150</v>
      </c>
      <c r="H2784" s="96" t="s">
        <v>213</v>
      </c>
      <c r="I2784" s="97" t="s">
        <v>9209</v>
      </c>
      <c r="J2784" s="73">
        <f t="shared" si="317"/>
        <v>1</v>
      </c>
      <c r="K2784" s="74" t="s">
        <v>204</v>
      </c>
      <c r="L2784" s="97" t="s">
        <v>9208</v>
      </c>
      <c r="N2784" s="76" t="s">
        <v>18</v>
      </c>
      <c r="Q2784" s="76" t="s">
        <v>2142</v>
      </c>
      <c r="R2784" s="73">
        <f t="shared" si="318"/>
        <v>1</v>
      </c>
      <c r="S2784" s="260" t="s">
        <v>1976</v>
      </c>
      <c r="T2784" s="260" t="s">
        <v>923</v>
      </c>
      <c r="Y2784" s="566">
        <v>0.96964120370370377</v>
      </c>
      <c r="Z2784" s="566">
        <v>0.99405092592592592</v>
      </c>
      <c r="AA2784" s="566">
        <f t="shared" si="319"/>
        <v>2.4409722222222152E-2</v>
      </c>
    </row>
    <row r="2785" spans="1:27" x14ac:dyDescent="0.3">
      <c r="A2785" s="79" t="s">
        <v>9092</v>
      </c>
      <c r="C2785" s="115">
        <v>44025</v>
      </c>
      <c r="D2785" s="312">
        <v>44047</v>
      </c>
      <c r="E2785" s="81">
        <v>44042</v>
      </c>
      <c r="F2785" s="86" t="s">
        <v>9168</v>
      </c>
      <c r="G2785" s="86" t="s">
        <v>152</v>
      </c>
      <c r="H2785" s="96" t="s">
        <v>213</v>
      </c>
      <c r="I2785" s="97" t="s">
        <v>722</v>
      </c>
      <c r="J2785" s="73">
        <f t="shared" ref="J2785:J2804" si="320">IF(OR(K2785="Документы готовы",K2785="Запрос в ФО",K2785="ЭЗ",K2785="РЕШ",K2785="РЕШ шаблон"),0.1,IF(OR(K2785="ЭЗ согласование",K2785="РЕШ согласование"),0.3,IF(OR(K2785="ЭЗ согласовано",K2785="РЕШ согласовано",K2785="РЕШ подписано"),0.6,IF(OR(K2785="ЭЗ ПР согласование",K2785="РЕШ УВ согласование"),0.9,IF(OR(K2785="ЭЗ ПР DONE",K2785="РЕШ УВ DONE"),1,0)))))</f>
        <v>1</v>
      </c>
      <c r="K2785" s="74" t="s">
        <v>204</v>
      </c>
      <c r="L2785" s="97" t="s">
        <v>7358</v>
      </c>
      <c r="N2785" s="76" t="s">
        <v>18</v>
      </c>
      <c r="Q2785" s="76" t="s">
        <v>2142</v>
      </c>
      <c r="R2785" s="73">
        <f t="shared" ref="R2785:R2804" si="321">IF(S2785="В работе",0.3,IF(S2785="Отписано",0.6,IF(S2785="На доработку",0.9,IF(S2785="Согласовано",1,0))))</f>
        <v>1</v>
      </c>
      <c r="S2785" s="260" t="s">
        <v>1976</v>
      </c>
      <c r="T2785" s="260" t="s">
        <v>925</v>
      </c>
      <c r="Y2785" s="566">
        <v>0.78490740740740739</v>
      </c>
      <c r="Z2785" s="566">
        <v>0.78898148148148151</v>
      </c>
      <c r="AA2785" s="566">
        <f t="shared" si="319"/>
        <v>4.0740740740741188E-3</v>
      </c>
    </row>
    <row r="2786" spans="1:27" x14ac:dyDescent="0.3">
      <c r="A2786" s="79" t="s">
        <v>9093</v>
      </c>
      <c r="C2786" s="115">
        <v>44025</v>
      </c>
      <c r="D2786" s="312">
        <v>44046</v>
      </c>
      <c r="E2786" s="81">
        <v>44042</v>
      </c>
      <c r="F2786" s="86" t="s">
        <v>9169</v>
      </c>
      <c r="G2786" s="86" t="s">
        <v>147</v>
      </c>
      <c r="H2786" s="96" t="s">
        <v>213</v>
      </c>
      <c r="I2786" s="97" t="s">
        <v>649</v>
      </c>
      <c r="J2786" s="73">
        <f t="shared" si="320"/>
        <v>1</v>
      </c>
      <c r="K2786" s="74" t="s">
        <v>204</v>
      </c>
      <c r="L2786" s="97" t="s">
        <v>7089</v>
      </c>
      <c r="N2786" s="76" t="s">
        <v>18</v>
      </c>
      <c r="Q2786" s="76" t="s">
        <v>9187</v>
      </c>
      <c r="R2786" s="73">
        <f t="shared" si="321"/>
        <v>1</v>
      </c>
      <c r="S2786" s="260" t="s">
        <v>1976</v>
      </c>
      <c r="T2786" s="260" t="s">
        <v>923</v>
      </c>
      <c r="Y2786" s="566">
        <v>0.54972222222222222</v>
      </c>
      <c r="Z2786" s="566">
        <v>0.58865740740740746</v>
      </c>
      <c r="AA2786" s="566">
        <f t="shared" si="319"/>
        <v>3.8935185185185239E-2</v>
      </c>
    </row>
    <row r="2787" spans="1:27" x14ac:dyDescent="0.3">
      <c r="A2787" s="79" t="s">
        <v>9094</v>
      </c>
      <c r="C2787" s="115">
        <v>44025</v>
      </c>
      <c r="D2787" s="312">
        <v>44047</v>
      </c>
      <c r="E2787" s="81">
        <v>44040</v>
      </c>
      <c r="F2787" s="86" t="s">
        <v>9170</v>
      </c>
      <c r="G2787" s="86" t="s">
        <v>157</v>
      </c>
      <c r="H2787" s="96" t="s">
        <v>213</v>
      </c>
      <c r="I2787" s="97" t="s">
        <v>5672</v>
      </c>
      <c r="J2787" s="73">
        <f t="shared" si="320"/>
        <v>1</v>
      </c>
      <c r="K2787" s="74" t="s">
        <v>204</v>
      </c>
      <c r="L2787" s="97" t="s">
        <v>9225</v>
      </c>
      <c r="N2787" s="76" t="s">
        <v>18</v>
      </c>
      <c r="Q2787" s="76" t="s">
        <v>2142</v>
      </c>
      <c r="R2787" s="73">
        <f t="shared" si="321"/>
        <v>1</v>
      </c>
      <c r="S2787" s="260" t="s">
        <v>1976</v>
      </c>
      <c r="T2787" s="260" t="s">
        <v>923</v>
      </c>
      <c r="Y2787" s="566">
        <v>0.69953703703703696</v>
      </c>
      <c r="Z2787" s="566">
        <v>0.71240740740740749</v>
      </c>
      <c r="AA2787" s="566">
        <f t="shared" si="319"/>
        <v>1.2870370370370532E-2</v>
      </c>
    </row>
    <row r="2788" spans="1:27" x14ac:dyDescent="0.3">
      <c r="A2788" s="79" t="s">
        <v>9095</v>
      </c>
      <c r="C2788" s="115">
        <v>44025</v>
      </c>
      <c r="D2788" s="312">
        <v>44047</v>
      </c>
      <c r="E2788" s="81">
        <v>44040</v>
      </c>
      <c r="F2788" s="86" t="s">
        <v>9171</v>
      </c>
      <c r="G2788" s="86" t="s">
        <v>154</v>
      </c>
      <c r="H2788" s="96" t="s">
        <v>213</v>
      </c>
      <c r="I2788" s="97" t="s">
        <v>722</v>
      </c>
      <c r="J2788" s="73">
        <f t="shared" si="320"/>
        <v>1</v>
      </c>
      <c r="K2788" s="74" t="s">
        <v>204</v>
      </c>
      <c r="L2788" s="97" t="s">
        <v>7322</v>
      </c>
      <c r="N2788" s="76" t="s">
        <v>18</v>
      </c>
      <c r="Q2788" s="76" t="s">
        <v>9187</v>
      </c>
      <c r="R2788" s="73">
        <f t="shared" si="321"/>
        <v>1</v>
      </c>
      <c r="S2788" s="260" t="s">
        <v>1976</v>
      </c>
      <c r="T2788" s="260" t="s">
        <v>925</v>
      </c>
      <c r="Y2788" s="566">
        <v>0.48396990740740736</v>
      </c>
      <c r="Z2788" s="566">
        <v>0.49444444444444446</v>
      </c>
      <c r="AA2788" s="566">
        <f t="shared" si="319"/>
        <v>1.0474537037037102E-2</v>
      </c>
    </row>
    <row r="2789" spans="1:27" x14ac:dyDescent="0.3">
      <c r="A2789" s="79" t="s">
        <v>9096</v>
      </c>
      <c r="C2789" s="115">
        <v>44025</v>
      </c>
      <c r="D2789" s="312">
        <v>44047</v>
      </c>
      <c r="E2789" s="81">
        <v>44040</v>
      </c>
      <c r="F2789" s="86" t="s">
        <v>9172</v>
      </c>
      <c r="G2789" s="86" t="s">
        <v>147</v>
      </c>
      <c r="H2789" s="96" t="s">
        <v>213</v>
      </c>
      <c r="I2789" s="97" t="s">
        <v>722</v>
      </c>
      <c r="J2789" s="73">
        <f t="shared" si="320"/>
        <v>1</v>
      </c>
      <c r="K2789" s="74" t="s">
        <v>204</v>
      </c>
      <c r="L2789" s="97" t="s">
        <v>7351</v>
      </c>
      <c r="N2789" s="76" t="s">
        <v>18</v>
      </c>
      <c r="Q2789" s="76" t="s">
        <v>9187</v>
      </c>
      <c r="R2789" s="73">
        <f t="shared" si="321"/>
        <v>1</v>
      </c>
      <c r="S2789" s="260" t="s">
        <v>1976</v>
      </c>
      <c r="T2789" s="260" t="s">
        <v>925</v>
      </c>
      <c r="Y2789" s="566">
        <v>0.47188657407407408</v>
      </c>
      <c r="Z2789" s="566">
        <v>0.48333333333333334</v>
      </c>
      <c r="AA2789" s="566">
        <f t="shared" si="319"/>
        <v>1.1446759259259254E-2</v>
      </c>
    </row>
    <row r="2790" spans="1:27" x14ac:dyDescent="0.3">
      <c r="A2790" s="79" t="s">
        <v>9097</v>
      </c>
      <c r="C2790" s="115">
        <v>44026</v>
      </c>
      <c r="D2790" s="312">
        <v>44047</v>
      </c>
      <c r="E2790" s="81">
        <v>44041</v>
      </c>
      <c r="F2790" s="86" t="s">
        <v>9173</v>
      </c>
      <c r="G2790" s="86" t="s">
        <v>1042</v>
      </c>
      <c r="H2790" s="96" t="s">
        <v>213</v>
      </c>
      <c r="I2790" s="97" t="s">
        <v>1635</v>
      </c>
      <c r="J2790" s="73">
        <f t="shared" si="320"/>
        <v>1</v>
      </c>
      <c r="K2790" s="74" t="s">
        <v>204</v>
      </c>
      <c r="L2790" s="97" t="s">
        <v>9234</v>
      </c>
      <c r="N2790" s="76" t="s">
        <v>18</v>
      </c>
      <c r="Q2790" s="76" t="s">
        <v>2142</v>
      </c>
      <c r="R2790" s="73">
        <f t="shared" si="321"/>
        <v>1</v>
      </c>
      <c r="S2790" s="260" t="s">
        <v>1976</v>
      </c>
      <c r="T2790" s="260" t="s">
        <v>925</v>
      </c>
      <c r="Y2790" s="566">
        <v>0.51385416666666661</v>
      </c>
      <c r="Z2790" s="566">
        <v>0.52466435185185178</v>
      </c>
      <c r="AA2790" s="566">
        <f t="shared" si="319"/>
        <v>1.0810185185185173E-2</v>
      </c>
    </row>
    <row r="2791" spans="1:27" x14ac:dyDescent="0.3">
      <c r="A2791" s="79" t="s">
        <v>9098</v>
      </c>
      <c r="C2791" s="115">
        <v>44026</v>
      </c>
      <c r="D2791" s="312">
        <v>44047</v>
      </c>
      <c r="E2791" s="81">
        <v>44041</v>
      </c>
      <c r="F2791" s="86" t="s">
        <v>9174</v>
      </c>
      <c r="G2791" s="86" t="s">
        <v>172</v>
      </c>
      <c r="H2791" s="96" t="s">
        <v>213</v>
      </c>
      <c r="I2791" s="97" t="s">
        <v>7725</v>
      </c>
      <c r="J2791" s="73">
        <f t="shared" si="320"/>
        <v>1</v>
      </c>
      <c r="K2791" s="74" t="s">
        <v>204</v>
      </c>
      <c r="L2791" s="97" t="s">
        <v>9237</v>
      </c>
      <c r="N2791" s="76" t="s">
        <v>18</v>
      </c>
      <c r="Q2791" s="76" t="s">
        <v>2037</v>
      </c>
      <c r="R2791" s="73">
        <f t="shared" si="321"/>
        <v>1</v>
      </c>
      <c r="S2791" s="260" t="s">
        <v>1976</v>
      </c>
      <c r="T2791" s="260" t="s">
        <v>925</v>
      </c>
      <c r="Y2791" s="566">
        <v>0.56598379629629625</v>
      </c>
      <c r="Z2791" s="566">
        <v>0.58666666666666667</v>
      </c>
      <c r="AA2791" s="566">
        <f t="shared" si="319"/>
        <v>2.0682870370370421E-2</v>
      </c>
    </row>
    <row r="2792" spans="1:27" x14ac:dyDescent="0.3">
      <c r="A2792" s="79" t="s">
        <v>9099</v>
      </c>
      <c r="C2792" s="115">
        <v>44026</v>
      </c>
      <c r="D2792" s="312">
        <v>44048</v>
      </c>
      <c r="E2792" s="81">
        <v>44043</v>
      </c>
      <c r="F2792" s="86" t="s">
        <v>9175</v>
      </c>
      <c r="G2792" s="86" t="s">
        <v>152</v>
      </c>
      <c r="H2792" s="96" t="s">
        <v>213</v>
      </c>
      <c r="I2792" s="97" t="s">
        <v>649</v>
      </c>
      <c r="J2792" s="73">
        <f t="shared" si="320"/>
        <v>1</v>
      </c>
      <c r="K2792" s="74" t="s">
        <v>204</v>
      </c>
      <c r="L2792" s="97" t="s">
        <v>7089</v>
      </c>
      <c r="N2792" s="76" t="s">
        <v>8990</v>
      </c>
      <c r="Q2792" s="76" t="s">
        <v>2142</v>
      </c>
      <c r="R2792" s="73">
        <f t="shared" si="321"/>
        <v>1</v>
      </c>
      <c r="S2792" s="260" t="s">
        <v>1976</v>
      </c>
      <c r="T2792" s="260" t="s">
        <v>923</v>
      </c>
      <c r="Y2792" s="566">
        <v>0.3946412037037037</v>
      </c>
      <c r="Z2792" s="566">
        <v>0.40052083333333338</v>
      </c>
      <c r="AA2792" s="566">
        <f t="shared" si="319"/>
        <v>5.8796296296296791E-3</v>
      </c>
    </row>
    <row r="2793" spans="1:27" x14ac:dyDescent="0.3">
      <c r="A2793" s="79" t="s">
        <v>9100</v>
      </c>
      <c r="C2793" s="115">
        <v>44026</v>
      </c>
      <c r="D2793" s="312">
        <v>44048</v>
      </c>
      <c r="E2793" s="81">
        <v>44041</v>
      </c>
      <c r="F2793" s="86" t="s">
        <v>9176</v>
      </c>
      <c r="G2793" s="86" t="s">
        <v>9119</v>
      </c>
      <c r="H2793" s="96" t="s">
        <v>213</v>
      </c>
      <c r="I2793" s="97" t="s">
        <v>649</v>
      </c>
      <c r="J2793" s="73">
        <f t="shared" si="320"/>
        <v>1</v>
      </c>
      <c r="K2793" s="74" t="s">
        <v>204</v>
      </c>
      <c r="L2793" s="97" t="s">
        <v>7060</v>
      </c>
      <c r="N2793" s="76" t="s">
        <v>17</v>
      </c>
      <c r="Q2793" s="76" t="s">
        <v>2142</v>
      </c>
      <c r="R2793" s="73">
        <f t="shared" si="321"/>
        <v>1</v>
      </c>
      <c r="S2793" s="260" t="s">
        <v>1976</v>
      </c>
      <c r="T2793" s="260" t="s">
        <v>923</v>
      </c>
      <c r="U2793" s="76" t="s">
        <v>5283</v>
      </c>
      <c r="V2793" s="301" t="s">
        <v>9241</v>
      </c>
      <c r="Y2793" s="566">
        <v>0.78069444444444447</v>
      </c>
      <c r="Z2793" s="566">
        <v>0.83534722222222213</v>
      </c>
      <c r="AA2793" s="566">
        <f t="shared" si="319"/>
        <v>5.4652777777777661E-2</v>
      </c>
    </row>
    <row r="2794" spans="1:27" x14ac:dyDescent="0.3">
      <c r="A2794" s="79" t="s">
        <v>9101</v>
      </c>
      <c r="C2794" s="115">
        <v>44026</v>
      </c>
      <c r="D2794" s="312">
        <v>44047</v>
      </c>
      <c r="E2794" s="81">
        <v>44041</v>
      </c>
      <c r="F2794" s="86" t="s">
        <v>9177</v>
      </c>
      <c r="G2794" s="86" t="s">
        <v>177</v>
      </c>
      <c r="H2794" s="96" t="s">
        <v>213</v>
      </c>
      <c r="I2794" s="97" t="s">
        <v>645</v>
      </c>
      <c r="J2794" s="73">
        <f t="shared" si="320"/>
        <v>1</v>
      </c>
      <c r="K2794" s="74" t="s">
        <v>204</v>
      </c>
      <c r="L2794" s="97" t="s">
        <v>9236</v>
      </c>
      <c r="N2794" s="76" t="s">
        <v>18</v>
      </c>
      <c r="Q2794" s="76" t="s">
        <v>2142</v>
      </c>
      <c r="R2794" s="73">
        <f t="shared" si="321"/>
        <v>1</v>
      </c>
      <c r="S2794" s="260" t="s">
        <v>1976</v>
      </c>
      <c r="T2794" s="260" t="s">
        <v>923</v>
      </c>
      <c r="Y2794" s="566">
        <v>0.53975694444444444</v>
      </c>
      <c r="Z2794" s="566">
        <v>0.54847222222222225</v>
      </c>
      <c r="AA2794" s="566">
        <f t="shared" si="319"/>
        <v>8.7152777777778079E-3</v>
      </c>
    </row>
    <row r="2795" spans="1:27" x14ac:dyDescent="0.3">
      <c r="A2795" s="79" t="s">
        <v>9102</v>
      </c>
      <c r="C2795" s="115">
        <v>44026</v>
      </c>
      <c r="D2795" s="312">
        <v>44048</v>
      </c>
      <c r="E2795" s="81">
        <v>44042</v>
      </c>
      <c r="F2795" s="86" t="s">
        <v>9178</v>
      </c>
      <c r="G2795" s="86" t="s">
        <v>9119</v>
      </c>
      <c r="H2795" s="96" t="s">
        <v>213</v>
      </c>
      <c r="I2795" s="97" t="s">
        <v>649</v>
      </c>
      <c r="J2795" s="73">
        <f t="shared" si="320"/>
        <v>1</v>
      </c>
      <c r="K2795" s="74" t="s">
        <v>204</v>
      </c>
      <c r="L2795" s="97" t="s">
        <v>9258</v>
      </c>
      <c r="N2795" s="76" t="s">
        <v>17</v>
      </c>
      <c r="Q2795" s="76" t="s">
        <v>2142</v>
      </c>
      <c r="R2795" s="73">
        <f t="shared" si="321"/>
        <v>1</v>
      </c>
      <c r="S2795" s="260" t="s">
        <v>1976</v>
      </c>
      <c r="T2795" s="260" t="s">
        <v>925</v>
      </c>
      <c r="Y2795" s="566">
        <v>0.78924768518518518</v>
      </c>
      <c r="Z2795" s="566">
        <v>0.79790509259259268</v>
      </c>
      <c r="AA2795" s="566">
        <f t="shared" si="319"/>
        <v>8.6574074074075025E-3</v>
      </c>
    </row>
    <row r="2796" spans="1:27" x14ac:dyDescent="0.3">
      <c r="A2796" s="79" t="s">
        <v>9103</v>
      </c>
      <c r="C2796" s="115">
        <v>44027</v>
      </c>
      <c r="D2796" s="312">
        <v>44049</v>
      </c>
      <c r="E2796" s="81">
        <v>44043</v>
      </c>
      <c r="F2796" s="86" t="s">
        <v>9179</v>
      </c>
      <c r="G2796" s="86" t="s">
        <v>156</v>
      </c>
      <c r="H2796" s="96" t="s">
        <v>213</v>
      </c>
      <c r="I2796" s="97" t="s">
        <v>684</v>
      </c>
      <c r="J2796" s="73">
        <f t="shared" si="320"/>
        <v>1</v>
      </c>
      <c r="K2796" s="74" t="s">
        <v>204</v>
      </c>
      <c r="L2796" s="97" t="s">
        <v>9437</v>
      </c>
      <c r="N2796" s="76" t="s">
        <v>18</v>
      </c>
      <c r="Q2796" s="76" t="s">
        <v>2142</v>
      </c>
      <c r="R2796" s="73">
        <f t="shared" si="321"/>
        <v>1</v>
      </c>
      <c r="S2796" s="260" t="s">
        <v>1976</v>
      </c>
      <c r="T2796" s="260" t="s">
        <v>925</v>
      </c>
      <c r="Y2796" s="566">
        <v>0.61591435185185184</v>
      </c>
      <c r="Z2796" s="566">
        <v>0.65234953703703702</v>
      </c>
      <c r="AA2796" s="566">
        <f t="shared" si="319"/>
        <v>3.6435185185185182E-2</v>
      </c>
    </row>
    <row r="2797" spans="1:27" x14ac:dyDescent="0.3">
      <c r="A2797" s="79" t="s">
        <v>9104</v>
      </c>
      <c r="C2797" s="115">
        <v>44027</v>
      </c>
      <c r="D2797" s="312">
        <v>44048</v>
      </c>
      <c r="E2797" s="81">
        <v>44041</v>
      </c>
      <c r="F2797" s="86" t="s">
        <v>9180</v>
      </c>
      <c r="G2797" s="86" t="s">
        <v>172</v>
      </c>
      <c r="H2797" s="96" t="s">
        <v>213</v>
      </c>
      <c r="I2797" s="97" t="s">
        <v>5672</v>
      </c>
      <c r="J2797" s="73">
        <f t="shared" si="320"/>
        <v>1</v>
      </c>
      <c r="K2797" s="74" t="s">
        <v>204</v>
      </c>
      <c r="L2797" s="97" t="s">
        <v>10960</v>
      </c>
      <c r="N2797" s="76" t="s">
        <v>18</v>
      </c>
      <c r="Q2797" s="76" t="s">
        <v>9187</v>
      </c>
      <c r="R2797" s="73">
        <f t="shared" si="321"/>
        <v>1</v>
      </c>
      <c r="S2797" s="260" t="s">
        <v>1976</v>
      </c>
      <c r="T2797" s="260" t="s">
        <v>925</v>
      </c>
      <c r="Y2797" s="566">
        <v>0.41668981481481482</v>
      </c>
      <c r="Z2797" s="566">
        <v>0.42329861111111117</v>
      </c>
      <c r="AA2797" s="566">
        <f t="shared" si="319"/>
        <v>6.6087962962963487E-3</v>
      </c>
    </row>
    <row r="2798" spans="1:27" x14ac:dyDescent="0.3">
      <c r="A2798" s="79" t="s">
        <v>9105</v>
      </c>
      <c r="C2798" s="115">
        <v>44027</v>
      </c>
      <c r="D2798" s="312">
        <v>44048</v>
      </c>
      <c r="E2798" s="81">
        <v>44041</v>
      </c>
      <c r="F2798" s="86" t="s">
        <v>9181</v>
      </c>
      <c r="G2798" s="86" t="s">
        <v>152</v>
      </c>
      <c r="H2798" s="96" t="s">
        <v>213</v>
      </c>
      <c r="I2798" s="97" t="s">
        <v>649</v>
      </c>
      <c r="J2798" s="73">
        <f t="shared" si="320"/>
        <v>1</v>
      </c>
      <c r="K2798" s="74" t="s">
        <v>204</v>
      </c>
      <c r="L2798" s="97" t="s">
        <v>9228</v>
      </c>
      <c r="N2798" s="76" t="s">
        <v>18</v>
      </c>
      <c r="Q2798" s="76" t="s">
        <v>9187</v>
      </c>
      <c r="R2798" s="73">
        <f t="shared" si="321"/>
        <v>1</v>
      </c>
      <c r="S2798" s="260" t="s">
        <v>1976</v>
      </c>
      <c r="T2798" s="260" t="s">
        <v>923</v>
      </c>
      <c r="Y2798" s="566">
        <v>0.42491898148148149</v>
      </c>
      <c r="Z2798" s="566">
        <v>0.43313657407407408</v>
      </c>
      <c r="AA2798" s="566">
        <f t="shared" si="319"/>
        <v>8.2175925925925819E-3</v>
      </c>
    </row>
    <row r="2799" spans="1:27" x14ac:dyDescent="0.3">
      <c r="A2799" s="79" t="s">
        <v>9106</v>
      </c>
      <c r="C2799" s="115">
        <v>44027</v>
      </c>
      <c r="D2799" s="312">
        <v>44049</v>
      </c>
      <c r="E2799" s="81">
        <v>44041</v>
      </c>
      <c r="F2799" s="86" t="s">
        <v>9182</v>
      </c>
      <c r="G2799" s="86" t="s">
        <v>147</v>
      </c>
      <c r="H2799" s="96" t="s">
        <v>213</v>
      </c>
      <c r="I2799" s="97" t="s">
        <v>7856</v>
      </c>
      <c r="J2799" s="73">
        <f t="shared" si="320"/>
        <v>1</v>
      </c>
      <c r="K2799" s="74" t="s">
        <v>204</v>
      </c>
      <c r="L2799" s="97" t="s">
        <v>9240</v>
      </c>
      <c r="N2799" s="76" t="s">
        <v>19</v>
      </c>
      <c r="Q2799" s="76" t="s">
        <v>9187</v>
      </c>
      <c r="R2799" s="73">
        <f t="shared" si="321"/>
        <v>1</v>
      </c>
      <c r="S2799" s="260" t="s">
        <v>1976</v>
      </c>
      <c r="T2799" s="260" t="s">
        <v>925</v>
      </c>
      <c r="Y2799" s="566">
        <v>0.68596064814814817</v>
      </c>
      <c r="Z2799" s="566">
        <v>0.72112268518518519</v>
      </c>
      <c r="AA2799" s="566">
        <f t="shared" si="319"/>
        <v>3.5162037037037019E-2</v>
      </c>
    </row>
    <row r="2800" spans="1:27" x14ac:dyDescent="0.3">
      <c r="A2800" s="79" t="s">
        <v>9107</v>
      </c>
      <c r="C2800" s="115">
        <v>44027</v>
      </c>
      <c r="D2800" s="312">
        <v>44049</v>
      </c>
      <c r="E2800" s="81">
        <v>44042</v>
      </c>
      <c r="F2800" s="86" t="s">
        <v>8002</v>
      </c>
      <c r="G2800" s="86" t="s">
        <v>154</v>
      </c>
      <c r="H2800" s="79" t="s">
        <v>268</v>
      </c>
      <c r="I2800" s="97" t="s">
        <v>5824</v>
      </c>
      <c r="J2800" s="73">
        <f t="shared" si="320"/>
        <v>1</v>
      </c>
      <c r="K2800" s="74" t="s">
        <v>204</v>
      </c>
      <c r="L2800" s="97" t="s">
        <v>9243</v>
      </c>
      <c r="N2800" s="76" t="s">
        <v>8990</v>
      </c>
      <c r="Q2800" s="76" t="s">
        <v>9187</v>
      </c>
      <c r="R2800" s="73">
        <f t="shared" si="321"/>
        <v>1</v>
      </c>
      <c r="S2800" s="260" t="s">
        <v>1976</v>
      </c>
      <c r="T2800" s="260" t="s">
        <v>925</v>
      </c>
      <c r="Y2800" s="566">
        <v>0.44843749999999999</v>
      </c>
      <c r="Z2800" s="566">
        <v>0.47759259259259257</v>
      </c>
      <c r="AA2800" s="566">
        <f t="shared" si="319"/>
        <v>2.915509259259258E-2</v>
      </c>
    </row>
    <row r="2801" spans="1:27" x14ac:dyDescent="0.3">
      <c r="A2801" s="79" t="s">
        <v>9108</v>
      </c>
      <c r="C2801" s="115">
        <v>44027</v>
      </c>
      <c r="D2801" s="312">
        <v>44048</v>
      </c>
      <c r="E2801" s="81">
        <v>44042</v>
      </c>
      <c r="F2801" s="86" t="s">
        <v>9183</v>
      </c>
      <c r="G2801" s="86" t="s">
        <v>172</v>
      </c>
      <c r="H2801" s="96" t="s">
        <v>213</v>
      </c>
      <c r="I2801" s="97" t="s">
        <v>7856</v>
      </c>
      <c r="J2801" s="73">
        <f t="shared" si="320"/>
        <v>1</v>
      </c>
      <c r="K2801" s="74" t="s">
        <v>204</v>
      </c>
      <c r="L2801" s="97" t="s">
        <v>7545</v>
      </c>
      <c r="N2801" s="76" t="s">
        <v>19</v>
      </c>
      <c r="Q2801" s="76" t="s">
        <v>2142</v>
      </c>
      <c r="R2801" s="73">
        <f t="shared" si="321"/>
        <v>1</v>
      </c>
      <c r="S2801" s="260" t="s">
        <v>1976</v>
      </c>
      <c r="T2801" s="260" t="s">
        <v>923</v>
      </c>
      <c r="Y2801" s="566">
        <v>0.7993055555555556</v>
      </c>
      <c r="Z2801" s="566">
        <v>0.80466435185185192</v>
      </c>
      <c r="AA2801" s="566">
        <f t="shared" ref="AA2801:AA2853" si="322">Z2801-Y2801</f>
        <v>5.3587962962963198E-3</v>
      </c>
    </row>
    <row r="2802" spans="1:27" x14ac:dyDescent="0.3">
      <c r="A2802" s="79" t="s">
        <v>9109</v>
      </c>
      <c r="C2802" s="115">
        <v>44027</v>
      </c>
      <c r="D2802" s="312">
        <v>44049</v>
      </c>
      <c r="E2802" s="81">
        <v>44046</v>
      </c>
      <c r="F2802" s="86" t="s">
        <v>9184</v>
      </c>
      <c r="G2802" s="86" t="s">
        <v>150</v>
      </c>
      <c r="H2802" s="96" t="s">
        <v>213</v>
      </c>
      <c r="I2802" s="97" t="s">
        <v>722</v>
      </c>
      <c r="J2802" s="73">
        <f t="shared" si="320"/>
        <v>1</v>
      </c>
      <c r="K2802" s="74" t="s">
        <v>204</v>
      </c>
      <c r="L2802" s="97" t="s">
        <v>7322</v>
      </c>
      <c r="N2802" s="76" t="s">
        <v>18</v>
      </c>
      <c r="Q2802" s="76" t="s">
        <v>2142</v>
      </c>
      <c r="R2802" s="73">
        <f t="shared" si="321"/>
        <v>1</v>
      </c>
      <c r="S2802" s="260" t="s">
        <v>1976</v>
      </c>
      <c r="T2802" s="260" t="s">
        <v>925</v>
      </c>
      <c r="Y2802" s="566">
        <v>0.41965277777777782</v>
      </c>
      <c r="Z2802" s="566">
        <v>0.43267361111111113</v>
      </c>
      <c r="AA2802" s="566">
        <f t="shared" si="322"/>
        <v>1.3020833333333315E-2</v>
      </c>
    </row>
    <row r="2803" spans="1:27" x14ac:dyDescent="0.3">
      <c r="A2803" s="79" t="s">
        <v>9110</v>
      </c>
      <c r="C2803" s="115">
        <v>44028</v>
      </c>
      <c r="D2803" s="312">
        <v>44050</v>
      </c>
      <c r="E2803" s="81">
        <v>44046</v>
      </c>
      <c r="F2803" s="86" t="s">
        <v>9185</v>
      </c>
      <c r="G2803" s="86" t="s">
        <v>150</v>
      </c>
      <c r="H2803" s="96" t="s">
        <v>213</v>
      </c>
      <c r="I2803" s="97" t="s">
        <v>649</v>
      </c>
      <c r="J2803" s="73">
        <f t="shared" si="320"/>
        <v>1</v>
      </c>
      <c r="K2803" s="74" t="s">
        <v>204</v>
      </c>
      <c r="L2803" s="97" t="s">
        <v>9445</v>
      </c>
      <c r="N2803" s="76" t="s">
        <v>8990</v>
      </c>
      <c r="Q2803" s="76" t="s">
        <v>2142</v>
      </c>
      <c r="R2803" s="73">
        <f t="shared" si="321"/>
        <v>1</v>
      </c>
      <c r="S2803" s="260" t="s">
        <v>1976</v>
      </c>
      <c r="T2803" s="260" t="s">
        <v>924</v>
      </c>
      <c r="Y2803" s="566">
        <v>0.6101388888888889</v>
      </c>
      <c r="Z2803" s="566">
        <v>0.61658564814814809</v>
      </c>
      <c r="AA2803" s="566">
        <f t="shared" si="322"/>
        <v>6.4467592592591938E-3</v>
      </c>
    </row>
    <row r="2804" spans="1:27" x14ac:dyDescent="0.3">
      <c r="A2804" s="79" t="s">
        <v>9111</v>
      </c>
      <c r="C2804" s="115">
        <v>44028</v>
      </c>
      <c r="D2804" s="312">
        <v>44050</v>
      </c>
      <c r="E2804" s="81">
        <v>44046</v>
      </c>
      <c r="F2804" s="86" t="s">
        <v>9186</v>
      </c>
      <c r="G2804" s="86" t="s">
        <v>150</v>
      </c>
      <c r="H2804" s="96" t="s">
        <v>213</v>
      </c>
      <c r="I2804" s="97" t="s">
        <v>6387</v>
      </c>
      <c r="J2804" s="73">
        <f t="shared" si="320"/>
        <v>1</v>
      </c>
      <c r="K2804" s="74" t="s">
        <v>204</v>
      </c>
      <c r="L2804" s="97" t="s">
        <v>9446</v>
      </c>
      <c r="N2804" s="76" t="s">
        <v>18</v>
      </c>
      <c r="Q2804" s="76" t="s">
        <v>2142</v>
      </c>
      <c r="R2804" s="73">
        <f t="shared" si="321"/>
        <v>1</v>
      </c>
      <c r="S2804" s="260" t="s">
        <v>1976</v>
      </c>
      <c r="T2804" s="260" t="s">
        <v>924</v>
      </c>
      <c r="Y2804" s="566">
        <v>0.61677083333333338</v>
      </c>
      <c r="Z2804" s="566">
        <v>0.63148148148148142</v>
      </c>
      <c r="AA2804" s="566">
        <f t="shared" si="322"/>
        <v>1.4710648148148042E-2</v>
      </c>
    </row>
    <row r="2805" spans="1:27" x14ac:dyDescent="0.3">
      <c r="A2805" s="96" t="s">
        <v>9232</v>
      </c>
      <c r="C2805" s="81">
        <v>44026</v>
      </c>
      <c r="D2805" s="109">
        <v>44047</v>
      </c>
      <c r="E2805" s="81">
        <v>44041</v>
      </c>
      <c r="F2805" s="97" t="s">
        <v>9233</v>
      </c>
      <c r="G2805" s="97" t="s">
        <v>1042</v>
      </c>
      <c r="H2805" s="96" t="s">
        <v>213</v>
      </c>
      <c r="I2805" s="97" t="s">
        <v>649</v>
      </c>
      <c r="J2805" s="73">
        <f t="shared" ref="J2805" si="323">IF(OR(K2805="Документы готовы",K2805="Запрос в ФО",K2805="ЭЗ",K2805="РЕШ",K2805="РЕШ шаблон"),0.1,IF(OR(K2805="ЭЗ согласование",K2805="РЕШ согласование"),0.3,IF(OR(K2805="ЭЗ согласовано",K2805="РЕШ согласовано",K2805="РЕШ подписано"),0.6,IF(OR(K2805="ЭЗ ПР согласование",K2805="РЕШ УВ согласование"),0.9,IF(OR(K2805="ЭЗ ПР DONE",K2805="РЕШ УВ DONE"),1,0)))))</f>
        <v>1</v>
      </c>
      <c r="K2805" s="74" t="s">
        <v>204</v>
      </c>
      <c r="L2805" s="97" t="s">
        <v>7065</v>
      </c>
      <c r="N2805" s="76" t="s">
        <v>17</v>
      </c>
      <c r="Q2805" s="76" t="s">
        <v>2037</v>
      </c>
      <c r="R2805" s="73">
        <f t="shared" ref="R2805" si="324">IF(S2805="В работе",0.3,IF(S2805="Отписано",0.6,IF(S2805="На доработку",0.9,IF(S2805="Согласовано",1,0))))</f>
        <v>1</v>
      </c>
      <c r="S2805" s="260" t="s">
        <v>1976</v>
      </c>
      <c r="T2805" s="260" t="s">
        <v>923</v>
      </c>
      <c r="Y2805" s="566">
        <v>0.50810185185185186</v>
      </c>
      <c r="Z2805" s="566">
        <v>0.51342592592592595</v>
      </c>
      <c r="AA2805" s="566">
        <f t="shared" si="322"/>
        <v>5.3240740740740922E-3</v>
      </c>
    </row>
    <row r="2806" spans="1:27" x14ac:dyDescent="0.3">
      <c r="A2806" s="79" t="s">
        <v>9262</v>
      </c>
      <c r="C2806" s="115">
        <v>44001</v>
      </c>
      <c r="D2806" s="312">
        <v>44054</v>
      </c>
      <c r="E2806" s="81">
        <v>44048</v>
      </c>
      <c r="F2806" s="252" t="s">
        <v>9346</v>
      </c>
      <c r="G2806" s="86" t="s">
        <v>935</v>
      </c>
      <c r="H2806" s="96" t="s">
        <v>213</v>
      </c>
      <c r="I2806" s="97" t="s">
        <v>714</v>
      </c>
      <c r="J2806" s="73">
        <f t="shared" ref="J2806:J2864" si="325">IF(OR(K2806="Документы готовы",K2806="Запрос в ФО",K2806="ЭЗ",K2806="РЕШ",K2806="РЕШ шаблон"),0.1,IF(OR(K2806="ЭЗ согласование",K2806="РЕШ согласование"),0.3,IF(OR(K2806="ЭЗ согласовано",K2806="РЕШ согласовано",K2806="РЕШ подписано"),0.6,IF(OR(K2806="ЭЗ ПР согласование",K2806="РЕШ УВ согласование"),0.9,IF(OR(K2806="ЭЗ ПР DONE",K2806="РЕШ УВ DONE"),1,0)))))</f>
        <v>1</v>
      </c>
      <c r="K2806" s="74" t="s">
        <v>204</v>
      </c>
      <c r="L2806" s="97" t="s">
        <v>7528</v>
      </c>
      <c r="N2806" s="76" t="s">
        <v>17</v>
      </c>
      <c r="Q2806" s="76" t="s">
        <v>9428</v>
      </c>
      <c r="R2806" s="73">
        <f t="shared" ref="R2806" si="326">IF(S2806="В работе",0.3,IF(S2806="Отписано",0.6,IF(S2806="На доработку",0.9,IF(S2806="Согласовано",1,0))))</f>
        <v>1</v>
      </c>
      <c r="S2806" s="260" t="s">
        <v>1976</v>
      </c>
      <c r="T2806" s="260" t="s">
        <v>925</v>
      </c>
      <c r="Y2806" s="566">
        <v>0.42677083333333332</v>
      </c>
      <c r="Z2806" s="566">
        <v>0.46850694444444446</v>
      </c>
      <c r="AA2806" s="566">
        <f t="shared" si="322"/>
        <v>4.173611111111114E-2</v>
      </c>
    </row>
    <row r="2807" spans="1:27" x14ac:dyDescent="0.3">
      <c r="A2807" s="79" t="s">
        <v>9263</v>
      </c>
      <c r="C2807" s="115">
        <v>44004</v>
      </c>
      <c r="D2807" s="312">
        <v>44056</v>
      </c>
      <c r="E2807" s="81">
        <v>44049</v>
      </c>
      <c r="F2807" s="86" t="s">
        <v>9347</v>
      </c>
      <c r="G2807" s="86" t="s">
        <v>156</v>
      </c>
      <c r="H2807" s="96" t="s">
        <v>213</v>
      </c>
      <c r="I2807" s="97" t="s">
        <v>714</v>
      </c>
      <c r="J2807" s="73">
        <f t="shared" si="325"/>
        <v>1</v>
      </c>
      <c r="K2807" s="74" t="s">
        <v>204</v>
      </c>
      <c r="L2807" s="97" t="s">
        <v>7072</v>
      </c>
      <c r="N2807" s="76" t="s">
        <v>18</v>
      </c>
      <c r="Q2807" s="76" t="s">
        <v>9428</v>
      </c>
      <c r="R2807" s="73">
        <f t="shared" ref="R2807:R2865" si="327">IF(S2807="В работе",0.3,IF(S2807="Отписано",0.6,IF(S2807="На доработку",0.9,IF(S2807="Согласовано",1,0))))</f>
        <v>1</v>
      </c>
      <c r="S2807" s="260" t="s">
        <v>1976</v>
      </c>
      <c r="T2807" s="260" t="s">
        <v>924</v>
      </c>
      <c r="Y2807" s="566">
        <v>0.59059027777777773</v>
      </c>
      <c r="Z2807" s="566">
        <v>0.60175925925925922</v>
      </c>
      <c r="AA2807" s="566">
        <f t="shared" si="322"/>
        <v>1.1168981481481488E-2</v>
      </c>
    </row>
    <row r="2808" spans="1:27" x14ac:dyDescent="0.3">
      <c r="A2808" s="79" t="s">
        <v>9264</v>
      </c>
      <c r="C2808" s="115">
        <v>44015</v>
      </c>
      <c r="D2808" s="312">
        <v>44053</v>
      </c>
      <c r="E2808" s="81">
        <v>44046</v>
      </c>
      <c r="F2808" s="86" t="s">
        <v>9348</v>
      </c>
      <c r="G2808" s="86" t="s">
        <v>9119</v>
      </c>
      <c r="H2808" s="96" t="s">
        <v>213</v>
      </c>
      <c r="I2808" s="97" t="s">
        <v>714</v>
      </c>
      <c r="J2808" s="73">
        <f t="shared" si="325"/>
        <v>1</v>
      </c>
      <c r="K2808" s="74" t="s">
        <v>204</v>
      </c>
      <c r="L2808" s="97" t="s">
        <v>7071</v>
      </c>
      <c r="N2808" s="76" t="s">
        <v>18</v>
      </c>
      <c r="Q2808" s="76" t="s">
        <v>9428</v>
      </c>
      <c r="R2808" s="73">
        <f t="shared" si="327"/>
        <v>1</v>
      </c>
      <c r="S2808" s="260" t="s">
        <v>1976</v>
      </c>
      <c r="T2808" s="260" t="s">
        <v>925</v>
      </c>
      <c r="Y2808" s="566">
        <v>0.66445601851851854</v>
      </c>
      <c r="Z2808" s="566">
        <v>0.68372685185185178</v>
      </c>
      <c r="AA2808" s="566">
        <f t="shared" si="322"/>
        <v>1.9270833333333237E-2</v>
      </c>
    </row>
    <row r="2809" spans="1:27" x14ac:dyDescent="0.3">
      <c r="A2809" s="79" t="s">
        <v>8813</v>
      </c>
      <c r="C2809" s="115">
        <v>44015</v>
      </c>
      <c r="D2809" s="312">
        <v>44053</v>
      </c>
      <c r="E2809" s="81">
        <v>44046</v>
      </c>
      <c r="F2809" s="252" t="s">
        <v>8861</v>
      </c>
      <c r="G2809" s="86" t="s">
        <v>3771</v>
      </c>
      <c r="H2809" s="96" t="s">
        <v>213</v>
      </c>
      <c r="I2809" s="97" t="s">
        <v>1635</v>
      </c>
      <c r="J2809" s="73">
        <f t="shared" si="325"/>
        <v>1</v>
      </c>
      <c r="K2809" s="74" t="s">
        <v>204</v>
      </c>
      <c r="L2809" s="97" t="s">
        <v>9474</v>
      </c>
      <c r="N2809" s="76" t="s">
        <v>17</v>
      </c>
      <c r="Q2809" s="76" t="s">
        <v>2142</v>
      </c>
      <c r="R2809" s="73">
        <f t="shared" si="327"/>
        <v>1</v>
      </c>
      <c r="S2809" s="260" t="s">
        <v>1976</v>
      </c>
      <c r="T2809" s="260" t="s">
        <v>925</v>
      </c>
      <c r="Y2809" s="566">
        <v>0.88255787037037037</v>
      </c>
      <c r="Z2809" s="566">
        <v>0.89030092592592591</v>
      </c>
      <c r="AA2809" s="566">
        <f t="shared" si="322"/>
        <v>7.7430555555555447E-3</v>
      </c>
    </row>
    <row r="2810" spans="1:27" x14ac:dyDescent="0.3">
      <c r="A2810" s="79" t="s">
        <v>8816</v>
      </c>
      <c r="C2810" s="115">
        <v>44018</v>
      </c>
      <c r="D2810" s="312">
        <v>44053</v>
      </c>
      <c r="E2810" s="81">
        <v>44047</v>
      </c>
      <c r="F2810" s="86" t="s">
        <v>8864</v>
      </c>
      <c r="G2810" s="86" t="s">
        <v>154</v>
      </c>
      <c r="H2810" s="96" t="s">
        <v>213</v>
      </c>
      <c r="I2810" s="97" t="s">
        <v>755</v>
      </c>
      <c r="J2810" s="73">
        <f t="shared" si="325"/>
        <v>1</v>
      </c>
      <c r="K2810" s="74" t="s">
        <v>204</v>
      </c>
      <c r="L2810" s="97" t="s">
        <v>7343</v>
      </c>
      <c r="N2810" s="76" t="s">
        <v>18</v>
      </c>
      <c r="Q2810" s="76" t="s">
        <v>2142</v>
      </c>
      <c r="R2810" s="73">
        <f t="shared" si="327"/>
        <v>1</v>
      </c>
      <c r="S2810" s="260" t="s">
        <v>1976</v>
      </c>
      <c r="T2810" s="260" t="s">
        <v>924</v>
      </c>
      <c r="Y2810" s="566">
        <v>0.58451388888888889</v>
      </c>
      <c r="Z2810" s="566">
        <v>0.59902777777777783</v>
      </c>
      <c r="AA2810" s="566">
        <f t="shared" si="322"/>
        <v>1.4513888888888937E-2</v>
      </c>
    </row>
    <row r="2811" spans="1:27" x14ac:dyDescent="0.3">
      <c r="A2811" s="79" t="s">
        <v>9265</v>
      </c>
      <c r="C2811" s="115">
        <v>44018</v>
      </c>
      <c r="D2811" s="312">
        <v>44053</v>
      </c>
      <c r="E2811" s="81">
        <v>44046</v>
      </c>
      <c r="F2811" s="86" t="s">
        <v>9349</v>
      </c>
      <c r="G2811" s="86" t="s">
        <v>9119</v>
      </c>
      <c r="H2811" s="96" t="s">
        <v>213</v>
      </c>
      <c r="I2811" s="97" t="s">
        <v>642</v>
      </c>
      <c r="J2811" s="73">
        <f t="shared" si="325"/>
        <v>1</v>
      </c>
      <c r="K2811" s="74" t="s">
        <v>204</v>
      </c>
      <c r="L2811" s="97" t="s">
        <v>7110</v>
      </c>
      <c r="N2811" s="76" t="s">
        <v>18</v>
      </c>
      <c r="Q2811" s="76" t="s">
        <v>2037</v>
      </c>
      <c r="R2811" s="73">
        <f t="shared" si="327"/>
        <v>1</v>
      </c>
      <c r="S2811" s="260" t="s">
        <v>1976</v>
      </c>
      <c r="T2811" s="260" t="s">
        <v>924</v>
      </c>
      <c r="Y2811" s="566">
        <v>0.84468750000000004</v>
      </c>
      <c r="Z2811" s="566">
        <v>0.8471643518518519</v>
      </c>
      <c r="AA2811" s="566">
        <f t="shared" si="322"/>
        <v>2.476851851851869E-3</v>
      </c>
    </row>
    <row r="2812" spans="1:27" x14ac:dyDescent="0.3">
      <c r="A2812" s="79" t="s">
        <v>9266</v>
      </c>
      <c r="C2812" s="115">
        <v>44018</v>
      </c>
      <c r="D2812" s="312">
        <v>44053</v>
      </c>
      <c r="E2812" s="81">
        <v>44046</v>
      </c>
      <c r="F2812" s="86" t="s">
        <v>9350</v>
      </c>
      <c r="G2812" s="86" t="s">
        <v>168</v>
      </c>
      <c r="H2812" s="96" t="s">
        <v>213</v>
      </c>
      <c r="I2812" s="97" t="s">
        <v>642</v>
      </c>
      <c r="J2812" s="73">
        <f t="shared" si="325"/>
        <v>1</v>
      </c>
      <c r="K2812" s="74" t="s">
        <v>204</v>
      </c>
      <c r="L2812" s="97" t="s">
        <v>7066</v>
      </c>
      <c r="N2812" s="76" t="s">
        <v>18</v>
      </c>
      <c r="Q2812" s="76" t="s">
        <v>2037</v>
      </c>
      <c r="R2812" s="73">
        <f t="shared" si="327"/>
        <v>1</v>
      </c>
      <c r="S2812" s="260" t="s">
        <v>1976</v>
      </c>
      <c r="T2812" s="260" t="s">
        <v>924</v>
      </c>
      <c r="Y2812" s="566">
        <v>0.84760416666666671</v>
      </c>
      <c r="Z2812" s="566">
        <v>0.85114583333333327</v>
      </c>
      <c r="AA2812" s="566">
        <f t="shared" si="322"/>
        <v>3.5416666666665542E-3</v>
      </c>
    </row>
    <row r="2813" spans="1:27" x14ac:dyDescent="0.3">
      <c r="A2813" s="79" t="s">
        <v>9267</v>
      </c>
      <c r="C2813" s="115">
        <v>44018</v>
      </c>
      <c r="D2813" s="312">
        <v>44054</v>
      </c>
      <c r="E2813" s="81">
        <v>44047</v>
      </c>
      <c r="F2813" s="86" t="s">
        <v>9351</v>
      </c>
      <c r="G2813" s="86" t="s">
        <v>166</v>
      </c>
      <c r="H2813" s="96" t="s">
        <v>213</v>
      </c>
      <c r="I2813" s="97" t="s">
        <v>642</v>
      </c>
      <c r="J2813" s="73">
        <f t="shared" si="325"/>
        <v>1</v>
      </c>
      <c r="K2813" s="74" t="s">
        <v>204</v>
      </c>
      <c r="L2813" s="97" t="s">
        <v>7110</v>
      </c>
      <c r="N2813" s="76" t="s">
        <v>18</v>
      </c>
      <c r="Q2813" s="76" t="s">
        <v>2142</v>
      </c>
      <c r="R2813" s="73">
        <f t="shared" si="327"/>
        <v>1</v>
      </c>
      <c r="S2813" s="260" t="s">
        <v>1976</v>
      </c>
      <c r="T2813" s="260" t="s">
        <v>925</v>
      </c>
      <c r="Y2813" s="566">
        <v>0.8609837962962964</v>
      </c>
      <c r="Z2813" s="566">
        <v>0.86387731481481478</v>
      </c>
      <c r="AA2813" s="566">
        <f t="shared" si="322"/>
        <v>2.8935185185183787E-3</v>
      </c>
    </row>
    <row r="2814" spans="1:27" x14ac:dyDescent="0.3">
      <c r="A2814" s="79" t="s">
        <v>9268</v>
      </c>
      <c r="C2814" s="115">
        <v>44018</v>
      </c>
      <c r="D2814" s="312">
        <v>44053</v>
      </c>
      <c r="E2814" s="81">
        <v>44046</v>
      </c>
      <c r="F2814" s="86" t="s">
        <v>9352</v>
      </c>
      <c r="G2814" s="86" t="s">
        <v>152</v>
      </c>
      <c r="H2814" s="96" t="s">
        <v>213</v>
      </c>
      <c r="I2814" s="97" t="s">
        <v>645</v>
      </c>
      <c r="J2814" s="73">
        <f t="shared" si="325"/>
        <v>1</v>
      </c>
      <c r="K2814" s="74" t="s">
        <v>204</v>
      </c>
      <c r="L2814" s="97" t="s">
        <v>7117</v>
      </c>
      <c r="N2814" s="76" t="s">
        <v>8990</v>
      </c>
      <c r="Q2814" s="76" t="s">
        <v>9187</v>
      </c>
      <c r="R2814" s="73">
        <f t="shared" si="327"/>
        <v>1</v>
      </c>
      <c r="S2814" s="260" t="s">
        <v>1976</v>
      </c>
      <c r="T2814" s="260" t="s">
        <v>8990</v>
      </c>
      <c r="Y2814" s="566">
        <v>0.6005787037037037</v>
      </c>
      <c r="Z2814" s="566">
        <v>0.6050578703703704</v>
      </c>
      <c r="AA2814" s="566">
        <f t="shared" si="322"/>
        <v>4.4791666666667007E-3</v>
      </c>
    </row>
    <row r="2815" spans="1:27" x14ac:dyDescent="0.3">
      <c r="A2815" s="79" t="s">
        <v>9269</v>
      </c>
      <c r="C2815" s="115">
        <v>44018</v>
      </c>
      <c r="D2815" s="312">
        <v>44053</v>
      </c>
      <c r="E2815" s="81">
        <v>44046</v>
      </c>
      <c r="F2815" s="86" t="s">
        <v>9353</v>
      </c>
      <c r="G2815" s="86" t="s">
        <v>150</v>
      </c>
      <c r="H2815" s="96" t="s">
        <v>213</v>
      </c>
      <c r="I2815" s="97" t="s">
        <v>722</v>
      </c>
      <c r="J2815" s="73">
        <f t="shared" si="325"/>
        <v>1</v>
      </c>
      <c r="K2815" s="74" t="s">
        <v>204</v>
      </c>
      <c r="L2815" s="97" t="s">
        <v>7322</v>
      </c>
      <c r="N2815" s="76" t="s">
        <v>18</v>
      </c>
      <c r="Q2815" s="76" t="s">
        <v>9187</v>
      </c>
      <c r="R2815" s="73">
        <f t="shared" si="327"/>
        <v>1</v>
      </c>
      <c r="S2815" s="260" t="s">
        <v>1976</v>
      </c>
      <c r="T2815" s="260" t="s">
        <v>924</v>
      </c>
      <c r="Y2815" s="566">
        <v>0.58604166666666668</v>
      </c>
      <c r="Z2815" s="566">
        <v>0.60006944444444443</v>
      </c>
      <c r="AA2815" s="566">
        <f t="shared" si="322"/>
        <v>1.402777777777775E-2</v>
      </c>
    </row>
    <row r="2816" spans="1:27" x14ac:dyDescent="0.3">
      <c r="A2816" s="79" t="s">
        <v>9270</v>
      </c>
      <c r="C2816" s="115">
        <v>44018</v>
      </c>
      <c r="D2816" s="312">
        <v>44053</v>
      </c>
      <c r="E2816" s="81">
        <v>44046</v>
      </c>
      <c r="F2816" s="86" t="s">
        <v>9354</v>
      </c>
      <c r="G2816" s="86" t="s">
        <v>733</v>
      </c>
      <c r="H2816" s="96" t="s">
        <v>213</v>
      </c>
      <c r="I2816" s="97" t="s">
        <v>714</v>
      </c>
      <c r="J2816" s="73">
        <f t="shared" si="325"/>
        <v>1</v>
      </c>
      <c r="K2816" s="74" t="s">
        <v>204</v>
      </c>
      <c r="L2816" s="97" t="s">
        <v>7072</v>
      </c>
      <c r="N2816" s="76" t="s">
        <v>8990</v>
      </c>
      <c r="Q2816" s="76" t="s">
        <v>9187</v>
      </c>
      <c r="R2816" s="73">
        <f t="shared" si="327"/>
        <v>1</v>
      </c>
      <c r="S2816" s="260" t="s">
        <v>1976</v>
      </c>
      <c r="T2816" s="260" t="s">
        <v>925</v>
      </c>
      <c r="Y2816" s="566">
        <v>0.50875000000000004</v>
      </c>
      <c r="Z2816" s="566">
        <v>0.58557870370370368</v>
      </c>
      <c r="AA2816" s="566">
        <f t="shared" si="322"/>
        <v>7.6828703703703649E-2</v>
      </c>
    </row>
    <row r="2817" spans="1:27" x14ac:dyDescent="0.3">
      <c r="A2817" s="79" t="s">
        <v>9271</v>
      </c>
      <c r="C2817" s="115">
        <v>44018</v>
      </c>
      <c r="D2817" s="312">
        <v>44054</v>
      </c>
      <c r="E2817" s="81">
        <v>44047</v>
      </c>
      <c r="F2817" s="86" t="s">
        <v>9355</v>
      </c>
      <c r="G2817" s="86" t="s">
        <v>154</v>
      </c>
      <c r="H2817" s="96" t="s">
        <v>213</v>
      </c>
      <c r="I2817" s="97" t="s">
        <v>722</v>
      </c>
      <c r="J2817" s="73">
        <f t="shared" si="325"/>
        <v>1</v>
      </c>
      <c r="K2817" s="74" t="s">
        <v>204</v>
      </c>
      <c r="L2817" s="97" t="s">
        <v>9491</v>
      </c>
      <c r="Q2817" s="76" t="s">
        <v>2037</v>
      </c>
      <c r="R2817" s="73">
        <f t="shared" si="327"/>
        <v>1</v>
      </c>
      <c r="S2817" s="260" t="s">
        <v>1976</v>
      </c>
      <c r="T2817" s="260" t="s">
        <v>925</v>
      </c>
      <c r="U2817" s="76" t="s">
        <v>5283</v>
      </c>
      <c r="V2817" s="301" t="s">
        <v>9490</v>
      </c>
      <c r="Y2817" s="566">
        <v>0.83931712962962957</v>
      </c>
      <c r="Z2817" s="566">
        <v>0.85827546296296298</v>
      </c>
      <c r="AA2817" s="566">
        <f t="shared" si="322"/>
        <v>1.895833333333341E-2</v>
      </c>
    </row>
    <row r="2818" spans="1:27" x14ac:dyDescent="0.3">
      <c r="A2818" s="79" t="s">
        <v>9272</v>
      </c>
      <c r="C2818" s="115">
        <v>44018</v>
      </c>
      <c r="D2818" s="312">
        <v>44054</v>
      </c>
      <c r="E2818" s="81">
        <v>44048</v>
      </c>
      <c r="F2818" s="86" t="s">
        <v>9356</v>
      </c>
      <c r="G2818" s="86" t="s">
        <v>154</v>
      </c>
      <c r="H2818" s="96" t="s">
        <v>213</v>
      </c>
      <c r="I2818" s="97" t="s">
        <v>657</v>
      </c>
      <c r="J2818" s="73">
        <f t="shared" si="325"/>
        <v>1</v>
      </c>
      <c r="K2818" s="74" t="s">
        <v>204</v>
      </c>
      <c r="L2818" s="97" t="s">
        <v>9513</v>
      </c>
      <c r="N2818" s="76" t="s">
        <v>17</v>
      </c>
      <c r="Q2818" s="76" t="s">
        <v>2142</v>
      </c>
      <c r="R2818" s="73">
        <f t="shared" si="327"/>
        <v>1</v>
      </c>
      <c r="S2818" s="260" t="s">
        <v>1976</v>
      </c>
      <c r="T2818" s="260" t="s">
        <v>924</v>
      </c>
      <c r="Y2818" s="566">
        <v>0.77172453703703703</v>
      </c>
      <c r="Z2818" s="566">
        <v>0.78106481481481482</v>
      </c>
      <c r="AA2818" s="566">
        <f t="shared" si="322"/>
        <v>9.3402777777777946E-3</v>
      </c>
    </row>
    <row r="2819" spans="1:27" x14ac:dyDescent="0.3">
      <c r="A2819" s="79" t="s">
        <v>9273</v>
      </c>
      <c r="C2819" s="115">
        <v>44018</v>
      </c>
      <c r="D2819" s="312">
        <v>44053</v>
      </c>
      <c r="E2819" s="81">
        <v>44047</v>
      </c>
      <c r="F2819" s="86" t="s">
        <v>9357</v>
      </c>
      <c r="G2819" s="86" t="s">
        <v>156</v>
      </c>
      <c r="H2819" s="96" t="s">
        <v>213</v>
      </c>
      <c r="I2819" s="97" t="s">
        <v>714</v>
      </c>
      <c r="J2819" s="73">
        <f t="shared" si="325"/>
        <v>1</v>
      </c>
      <c r="K2819" s="74" t="s">
        <v>204</v>
      </c>
      <c r="L2819" s="97" t="s">
        <v>7071</v>
      </c>
      <c r="N2819" s="76" t="s">
        <v>18</v>
      </c>
      <c r="Q2819" s="301" t="s">
        <v>9428</v>
      </c>
      <c r="R2819" s="73">
        <f t="shared" si="327"/>
        <v>1</v>
      </c>
      <c r="S2819" s="260" t="s">
        <v>1976</v>
      </c>
      <c r="T2819" s="260" t="s">
        <v>925</v>
      </c>
      <c r="U2819" s="76" t="s">
        <v>5283</v>
      </c>
      <c r="V2819" s="301" t="s">
        <v>9477</v>
      </c>
      <c r="Y2819" s="566">
        <v>0.46508101851851852</v>
      </c>
      <c r="Z2819" s="566">
        <v>0.47730324074074071</v>
      </c>
      <c r="AA2819" s="566">
        <f t="shared" si="322"/>
        <v>1.222222222222219E-2</v>
      </c>
    </row>
    <row r="2820" spans="1:27" x14ac:dyDescent="0.3">
      <c r="A2820" s="79" t="s">
        <v>8817</v>
      </c>
      <c r="C2820" s="115">
        <v>44018</v>
      </c>
      <c r="D2820" s="312">
        <v>44053</v>
      </c>
      <c r="E2820" s="81">
        <v>44047</v>
      </c>
      <c r="F2820" s="86" t="s">
        <v>8865</v>
      </c>
      <c r="G2820" s="86" t="s">
        <v>186</v>
      </c>
      <c r="H2820" s="96" t="s">
        <v>213</v>
      </c>
      <c r="I2820" s="97" t="s">
        <v>722</v>
      </c>
      <c r="J2820" s="73">
        <f t="shared" si="325"/>
        <v>1</v>
      </c>
      <c r="K2820" s="74" t="s">
        <v>204</v>
      </c>
      <c r="L2820" s="97" t="s">
        <v>7742</v>
      </c>
      <c r="N2820" s="76" t="s">
        <v>18</v>
      </c>
      <c r="Q2820" s="76" t="s">
        <v>2142</v>
      </c>
      <c r="R2820" s="73">
        <f t="shared" si="327"/>
        <v>1</v>
      </c>
      <c r="S2820" s="260" t="s">
        <v>1976</v>
      </c>
      <c r="T2820" s="260" t="s">
        <v>924</v>
      </c>
      <c r="Y2820" s="566">
        <v>0.81607638888888889</v>
      </c>
      <c r="Z2820" s="566">
        <v>0.8291087962962963</v>
      </c>
      <c r="AA2820" s="566">
        <f t="shared" si="322"/>
        <v>1.3032407407407409E-2</v>
      </c>
    </row>
    <row r="2821" spans="1:27" x14ac:dyDescent="0.3">
      <c r="A2821" s="79" t="s">
        <v>9274</v>
      </c>
      <c r="C2821" s="115">
        <v>44018</v>
      </c>
      <c r="D2821" s="312">
        <v>44053</v>
      </c>
      <c r="E2821" s="81">
        <v>44047</v>
      </c>
      <c r="F2821" s="86" t="s">
        <v>9358</v>
      </c>
      <c r="G2821" s="86" t="s">
        <v>150</v>
      </c>
      <c r="H2821" s="96" t="s">
        <v>213</v>
      </c>
      <c r="I2821" s="97" t="s">
        <v>714</v>
      </c>
      <c r="J2821" s="73">
        <f t="shared" si="325"/>
        <v>1</v>
      </c>
      <c r="K2821" s="74" t="s">
        <v>204</v>
      </c>
      <c r="L2821" s="97" t="s">
        <v>7072</v>
      </c>
      <c r="N2821" s="76" t="s">
        <v>18</v>
      </c>
      <c r="Q2821" s="76" t="s">
        <v>2037</v>
      </c>
      <c r="R2821" s="73">
        <f t="shared" si="327"/>
        <v>1</v>
      </c>
      <c r="S2821" s="260" t="s">
        <v>1976</v>
      </c>
      <c r="T2821" s="260" t="s">
        <v>924</v>
      </c>
      <c r="Y2821" s="566">
        <v>0.58166666666666667</v>
      </c>
      <c r="Z2821" s="566">
        <v>0.58409722222222216</v>
      </c>
      <c r="AA2821" s="566">
        <f t="shared" si="322"/>
        <v>2.4305555555554914E-3</v>
      </c>
    </row>
    <row r="2822" spans="1:27" x14ac:dyDescent="0.3">
      <c r="A2822" s="79" t="s">
        <v>9275</v>
      </c>
      <c r="C2822" s="115">
        <v>44018</v>
      </c>
      <c r="D2822" s="312">
        <v>44054</v>
      </c>
      <c r="E2822" s="81">
        <v>44047</v>
      </c>
      <c r="F2822" s="86" t="s">
        <v>9359</v>
      </c>
      <c r="G2822" s="86" t="s">
        <v>154</v>
      </c>
      <c r="H2822" s="96" t="s">
        <v>213</v>
      </c>
      <c r="I2822" s="97" t="s">
        <v>714</v>
      </c>
      <c r="J2822" s="73">
        <f t="shared" si="325"/>
        <v>1</v>
      </c>
      <c r="K2822" s="74" t="s">
        <v>204</v>
      </c>
      <c r="L2822" s="97" t="s">
        <v>9492</v>
      </c>
      <c r="N2822" s="76" t="s">
        <v>18</v>
      </c>
      <c r="Q2822" s="76" t="s">
        <v>2037</v>
      </c>
      <c r="R2822" s="73">
        <f t="shared" si="327"/>
        <v>1</v>
      </c>
      <c r="S2822" s="260" t="s">
        <v>1976</v>
      </c>
      <c r="T2822" s="260" t="s">
        <v>924</v>
      </c>
      <c r="Y2822" s="566">
        <v>0.86436342592592597</v>
      </c>
      <c r="Z2822" s="566">
        <v>0.86980324074074078</v>
      </c>
      <c r="AA2822" s="566">
        <f t="shared" si="322"/>
        <v>5.439814814814814E-3</v>
      </c>
    </row>
    <row r="2823" spans="1:27" x14ac:dyDescent="0.3">
      <c r="A2823" s="79" t="s">
        <v>9276</v>
      </c>
      <c r="C2823" s="115">
        <v>44019</v>
      </c>
      <c r="D2823" s="312">
        <v>44055</v>
      </c>
      <c r="E2823" s="81">
        <v>44050</v>
      </c>
      <c r="F2823" s="86" t="s">
        <v>9360</v>
      </c>
      <c r="G2823" s="86" t="s">
        <v>152</v>
      </c>
      <c r="H2823" s="96" t="s">
        <v>213</v>
      </c>
      <c r="I2823" s="97" t="s">
        <v>995</v>
      </c>
      <c r="J2823" s="73">
        <f t="shared" si="325"/>
        <v>1</v>
      </c>
      <c r="K2823" s="74" t="s">
        <v>204</v>
      </c>
      <c r="L2823" s="97" t="s">
        <v>7073</v>
      </c>
      <c r="N2823" s="76" t="s">
        <v>8990</v>
      </c>
      <c r="Q2823" s="76" t="s">
        <v>9428</v>
      </c>
      <c r="R2823" s="73">
        <f t="shared" si="327"/>
        <v>1</v>
      </c>
      <c r="S2823" s="260" t="s">
        <v>1976</v>
      </c>
      <c r="T2823" s="260" t="s">
        <v>925</v>
      </c>
      <c r="Y2823" s="566">
        <v>0.50777777777777777</v>
      </c>
      <c r="Z2823" s="566">
        <v>0.51553240740740736</v>
      </c>
      <c r="AA2823" s="566">
        <f t="shared" si="322"/>
        <v>7.7546296296295836E-3</v>
      </c>
    </row>
    <row r="2824" spans="1:27" x14ac:dyDescent="0.3">
      <c r="A2824" s="79" t="s">
        <v>9277</v>
      </c>
      <c r="C2824" s="115">
        <v>44019</v>
      </c>
      <c r="D2824" s="312">
        <v>44054</v>
      </c>
      <c r="E2824" s="81">
        <v>44048</v>
      </c>
      <c r="F2824" s="86" t="s">
        <v>9361</v>
      </c>
      <c r="G2824" s="86" t="s">
        <v>154</v>
      </c>
      <c r="H2824" s="96" t="s">
        <v>213</v>
      </c>
      <c r="I2824" s="97" t="s">
        <v>714</v>
      </c>
      <c r="J2824" s="73">
        <f t="shared" si="325"/>
        <v>1</v>
      </c>
      <c r="K2824" s="74" t="s">
        <v>204</v>
      </c>
      <c r="L2824" s="97" t="s">
        <v>7072</v>
      </c>
      <c r="N2824" s="76" t="s">
        <v>17</v>
      </c>
      <c r="Q2824" s="76" t="s">
        <v>2142</v>
      </c>
      <c r="R2824" s="73">
        <f t="shared" si="327"/>
        <v>1</v>
      </c>
      <c r="S2824" s="260" t="s">
        <v>1976</v>
      </c>
      <c r="T2824" s="260" t="s">
        <v>925</v>
      </c>
      <c r="Y2824" s="566">
        <v>0.78175925925925915</v>
      </c>
      <c r="Z2824" s="566">
        <v>0.78858796296296296</v>
      </c>
      <c r="AA2824" s="566">
        <f t="shared" si="322"/>
        <v>6.828703703703809E-3</v>
      </c>
    </row>
    <row r="2825" spans="1:27" x14ac:dyDescent="0.3">
      <c r="A2825" s="79" t="s">
        <v>9278</v>
      </c>
      <c r="C2825" s="115">
        <v>44019</v>
      </c>
      <c r="D2825" s="312">
        <v>44055</v>
      </c>
      <c r="E2825" s="81">
        <v>44048</v>
      </c>
      <c r="F2825" s="86" t="s">
        <v>9362</v>
      </c>
      <c r="G2825" s="86" t="s">
        <v>150</v>
      </c>
      <c r="H2825" s="96" t="s">
        <v>213</v>
      </c>
      <c r="I2825" s="97" t="s">
        <v>642</v>
      </c>
      <c r="J2825" s="73">
        <f t="shared" si="325"/>
        <v>1</v>
      </c>
      <c r="K2825" s="74" t="s">
        <v>204</v>
      </c>
      <c r="L2825" s="97" t="s">
        <v>7110</v>
      </c>
      <c r="N2825" s="76" t="s">
        <v>18</v>
      </c>
      <c r="Q2825" s="76" t="s">
        <v>9187</v>
      </c>
      <c r="R2825" s="73">
        <f t="shared" si="327"/>
        <v>1</v>
      </c>
      <c r="S2825" s="260" t="s">
        <v>1976</v>
      </c>
      <c r="T2825" s="260" t="s">
        <v>925</v>
      </c>
      <c r="Y2825" s="566">
        <v>0.41570601851851857</v>
      </c>
      <c r="Z2825" s="566">
        <v>0.42628472222222219</v>
      </c>
      <c r="AA2825" s="566">
        <f t="shared" si="322"/>
        <v>1.0578703703703618E-2</v>
      </c>
    </row>
    <row r="2826" spans="1:27" x14ac:dyDescent="0.3">
      <c r="A2826" s="79" t="s">
        <v>9279</v>
      </c>
      <c r="C2826" s="115">
        <v>44019</v>
      </c>
      <c r="D2826" s="312">
        <v>44054</v>
      </c>
      <c r="E2826" s="81">
        <v>44047</v>
      </c>
      <c r="F2826" s="86" t="s">
        <v>9363</v>
      </c>
      <c r="G2826" s="86" t="s">
        <v>181</v>
      </c>
      <c r="H2826" s="96" t="s">
        <v>213</v>
      </c>
      <c r="I2826" s="97" t="s">
        <v>714</v>
      </c>
      <c r="J2826" s="73">
        <f t="shared" si="325"/>
        <v>1</v>
      </c>
      <c r="K2826" s="74" t="s">
        <v>204</v>
      </c>
      <c r="L2826" s="97" t="s">
        <v>7071</v>
      </c>
      <c r="N2826" s="76" t="s">
        <v>17</v>
      </c>
      <c r="Q2826" s="76" t="s">
        <v>9187</v>
      </c>
      <c r="R2826" s="73">
        <f t="shared" si="327"/>
        <v>1</v>
      </c>
      <c r="S2826" s="260" t="s">
        <v>1976</v>
      </c>
      <c r="T2826" s="260" t="s">
        <v>8990</v>
      </c>
      <c r="Y2826" s="566">
        <v>0.49371527777777779</v>
      </c>
      <c r="Z2826" s="566">
        <v>0.50061342592592595</v>
      </c>
      <c r="AA2826" s="566">
        <f t="shared" si="322"/>
        <v>6.8981481481481532E-3</v>
      </c>
    </row>
    <row r="2827" spans="1:27" x14ac:dyDescent="0.3">
      <c r="A2827" s="79" t="s">
        <v>9280</v>
      </c>
      <c r="C2827" s="115">
        <v>44019</v>
      </c>
      <c r="D2827" s="312">
        <v>44055</v>
      </c>
      <c r="E2827" s="81">
        <v>44048</v>
      </c>
      <c r="F2827" s="86" t="s">
        <v>9364</v>
      </c>
      <c r="G2827" s="86" t="s">
        <v>156</v>
      </c>
      <c r="H2827" s="96" t="s">
        <v>213</v>
      </c>
      <c r="I2827" s="97" t="s">
        <v>714</v>
      </c>
      <c r="J2827" s="73">
        <f t="shared" si="325"/>
        <v>1</v>
      </c>
      <c r="K2827" s="74" t="s">
        <v>204</v>
      </c>
      <c r="L2827" s="97" t="s">
        <v>8098</v>
      </c>
      <c r="N2827" s="76" t="s">
        <v>18</v>
      </c>
      <c r="Q2827" s="76" t="s">
        <v>2037</v>
      </c>
      <c r="R2827" s="73">
        <f t="shared" si="327"/>
        <v>1</v>
      </c>
      <c r="S2827" s="260" t="s">
        <v>1976</v>
      </c>
      <c r="T2827" s="260" t="s">
        <v>924</v>
      </c>
      <c r="Y2827" s="566">
        <v>0.78903935185185192</v>
      </c>
      <c r="Z2827" s="566">
        <v>0.82293981481481471</v>
      </c>
      <c r="AA2827" s="566">
        <f t="shared" si="322"/>
        <v>3.3900462962962785E-2</v>
      </c>
    </row>
    <row r="2828" spans="1:27" x14ac:dyDescent="0.3">
      <c r="A2828" s="79" t="s">
        <v>9281</v>
      </c>
      <c r="C2828" s="115">
        <v>44019</v>
      </c>
      <c r="D2828" s="312">
        <v>44054</v>
      </c>
      <c r="E2828" s="81">
        <v>44047</v>
      </c>
      <c r="F2828" s="86" t="s">
        <v>9365</v>
      </c>
      <c r="G2828" s="86" t="s">
        <v>410</v>
      </c>
      <c r="H2828" s="96" t="s">
        <v>213</v>
      </c>
      <c r="I2828" s="97" t="s">
        <v>714</v>
      </c>
      <c r="J2828" s="73">
        <f t="shared" si="325"/>
        <v>1</v>
      </c>
      <c r="K2828" s="74" t="s">
        <v>204</v>
      </c>
      <c r="L2828" s="97" t="s">
        <v>7571</v>
      </c>
      <c r="N2828" s="76" t="s">
        <v>8990</v>
      </c>
      <c r="Q2828" s="76" t="s">
        <v>9187</v>
      </c>
      <c r="R2828" s="73">
        <f t="shared" si="327"/>
        <v>1</v>
      </c>
      <c r="S2828" s="260" t="s">
        <v>1976</v>
      </c>
      <c r="T2828" s="260" t="s">
        <v>8990</v>
      </c>
      <c r="Y2828" s="566">
        <v>0.57215277777777784</v>
      </c>
      <c r="Z2828" s="566">
        <v>0.58089120370370373</v>
      </c>
      <c r="AA2828" s="566">
        <f t="shared" si="322"/>
        <v>8.7384259259258856E-3</v>
      </c>
    </row>
    <row r="2829" spans="1:27" x14ac:dyDescent="0.3">
      <c r="A2829" s="79" t="s">
        <v>9282</v>
      </c>
      <c r="C2829" s="115">
        <v>44019</v>
      </c>
      <c r="D2829" s="312">
        <v>44054</v>
      </c>
      <c r="E2829" s="81">
        <v>44048</v>
      </c>
      <c r="F2829" s="86" t="s">
        <v>9366</v>
      </c>
      <c r="G2829" s="86" t="s">
        <v>150</v>
      </c>
      <c r="H2829" s="96" t="s">
        <v>213</v>
      </c>
      <c r="I2829" s="97" t="s">
        <v>722</v>
      </c>
      <c r="J2829" s="73">
        <f t="shared" si="325"/>
        <v>1</v>
      </c>
      <c r="K2829" s="74" t="s">
        <v>204</v>
      </c>
      <c r="L2829" s="97" t="s">
        <v>7893</v>
      </c>
      <c r="N2829" s="76" t="s">
        <v>8990</v>
      </c>
      <c r="Q2829" s="76" t="s">
        <v>9428</v>
      </c>
      <c r="R2829" s="73">
        <f t="shared" si="327"/>
        <v>1</v>
      </c>
      <c r="S2829" s="260" t="s">
        <v>1976</v>
      </c>
      <c r="T2829" s="260" t="s">
        <v>924</v>
      </c>
      <c r="Y2829" s="566">
        <v>0.4692824074074074</v>
      </c>
      <c r="Z2829" s="566">
        <v>0.49214120370370368</v>
      </c>
      <c r="AA2829" s="566">
        <f t="shared" si="322"/>
        <v>2.285879629629628E-2</v>
      </c>
    </row>
    <row r="2830" spans="1:27" x14ac:dyDescent="0.3">
      <c r="A2830" s="79" t="s">
        <v>9283</v>
      </c>
      <c r="C2830" s="115">
        <v>44019</v>
      </c>
      <c r="D2830" s="312">
        <v>44055</v>
      </c>
      <c r="E2830" s="81">
        <v>44048</v>
      </c>
      <c r="F2830" s="86" t="s">
        <v>9367</v>
      </c>
      <c r="G2830" s="86" t="s">
        <v>1381</v>
      </c>
      <c r="H2830" s="96" t="s">
        <v>213</v>
      </c>
      <c r="I2830" s="97" t="s">
        <v>995</v>
      </c>
      <c r="J2830" s="73">
        <f t="shared" si="325"/>
        <v>1</v>
      </c>
      <c r="K2830" s="74" t="s">
        <v>204</v>
      </c>
      <c r="L2830" s="97" t="s">
        <v>7073</v>
      </c>
      <c r="N2830" s="76" t="s">
        <v>8990</v>
      </c>
      <c r="Q2830" s="76" t="s">
        <v>9187</v>
      </c>
      <c r="R2830" s="73">
        <f t="shared" si="327"/>
        <v>1</v>
      </c>
      <c r="S2830" s="260" t="s">
        <v>1976</v>
      </c>
      <c r="T2830" s="260" t="s">
        <v>8990</v>
      </c>
      <c r="Y2830" s="566">
        <v>0.38885416666666667</v>
      </c>
      <c r="Z2830" s="566">
        <v>0.41524305555555557</v>
      </c>
      <c r="AA2830" s="566">
        <f t="shared" si="322"/>
        <v>2.6388888888888906E-2</v>
      </c>
    </row>
    <row r="2831" spans="1:27" x14ac:dyDescent="0.3">
      <c r="A2831" s="79" t="s">
        <v>9284</v>
      </c>
      <c r="C2831" s="115">
        <v>44019</v>
      </c>
      <c r="D2831" s="312">
        <v>44054</v>
      </c>
      <c r="E2831" s="81">
        <v>44048</v>
      </c>
      <c r="F2831" s="86" t="s">
        <v>9368</v>
      </c>
      <c r="G2831" s="86" t="s">
        <v>175</v>
      </c>
      <c r="H2831" s="96" t="s">
        <v>213</v>
      </c>
      <c r="I2831" s="97" t="s">
        <v>714</v>
      </c>
      <c r="J2831" s="73">
        <f t="shared" si="325"/>
        <v>1</v>
      </c>
      <c r="K2831" s="74" t="s">
        <v>204</v>
      </c>
      <c r="L2831" s="97" t="s">
        <v>7336</v>
      </c>
      <c r="N2831" s="76" t="s">
        <v>18</v>
      </c>
      <c r="Q2831" s="76" t="s">
        <v>2142</v>
      </c>
      <c r="R2831" s="73">
        <f t="shared" si="327"/>
        <v>1</v>
      </c>
      <c r="S2831" s="260" t="s">
        <v>1976</v>
      </c>
      <c r="T2831" s="260" t="s">
        <v>924</v>
      </c>
      <c r="Y2831" s="566">
        <v>0.74980324074074067</v>
      </c>
      <c r="Z2831" s="566">
        <v>0.75481481481481483</v>
      </c>
      <c r="AA2831" s="566">
        <f t="shared" si="322"/>
        <v>5.0115740740741543E-3</v>
      </c>
    </row>
    <row r="2832" spans="1:27" x14ac:dyDescent="0.3">
      <c r="A2832" s="79" t="s">
        <v>9285</v>
      </c>
      <c r="C2832" s="115">
        <v>44019</v>
      </c>
      <c r="D2832" s="312">
        <v>44055</v>
      </c>
      <c r="E2832" s="81">
        <v>44048</v>
      </c>
      <c r="F2832" s="86" t="s">
        <v>9369</v>
      </c>
      <c r="G2832" s="86" t="s">
        <v>152</v>
      </c>
      <c r="H2832" s="96" t="s">
        <v>213</v>
      </c>
      <c r="I2832" s="97" t="s">
        <v>714</v>
      </c>
      <c r="J2832" s="73">
        <f t="shared" si="325"/>
        <v>1</v>
      </c>
      <c r="K2832" s="74" t="s">
        <v>204</v>
      </c>
      <c r="L2832" s="97" t="s">
        <v>9545</v>
      </c>
      <c r="N2832" s="76" t="s">
        <v>18</v>
      </c>
      <c r="Q2832" s="76" t="s">
        <v>2037</v>
      </c>
      <c r="R2832" s="73">
        <f t="shared" si="327"/>
        <v>1</v>
      </c>
      <c r="S2832" s="260" t="s">
        <v>1976</v>
      </c>
      <c r="T2832" s="260" t="s">
        <v>924</v>
      </c>
      <c r="Y2832" s="566">
        <v>0.82358796296296299</v>
      </c>
      <c r="Z2832" s="566">
        <v>0.90940972222222216</v>
      </c>
      <c r="AA2832" s="566">
        <f t="shared" si="322"/>
        <v>8.5821759259259167E-2</v>
      </c>
    </row>
    <row r="2833" spans="1:27" x14ac:dyDescent="0.3">
      <c r="A2833" s="79" t="s">
        <v>8822</v>
      </c>
      <c r="C2833" s="115">
        <v>44020</v>
      </c>
      <c r="D2833" s="312">
        <v>44055</v>
      </c>
      <c r="E2833" s="81">
        <v>44049</v>
      </c>
      <c r="F2833" s="86" t="s">
        <v>8870</v>
      </c>
      <c r="G2833" s="86" t="s">
        <v>147</v>
      </c>
      <c r="H2833" s="96" t="s">
        <v>213</v>
      </c>
      <c r="I2833" s="97" t="s">
        <v>642</v>
      </c>
      <c r="J2833" s="73">
        <f t="shared" si="325"/>
        <v>1</v>
      </c>
      <c r="K2833" s="74" t="s">
        <v>204</v>
      </c>
      <c r="L2833" s="97" t="s">
        <v>8389</v>
      </c>
      <c r="N2833" s="76" t="s">
        <v>18</v>
      </c>
      <c r="Q2833" s="76" t="s">
        <v>2142</v>
      </c>
      <c r="R2833" s="73">
        <f t="shared" si="327"/>
        <v>1</v>
      </c>
      <c r="S2833" s="260" t="s">
        <v>1976</v>
      </c>
      <c r="T2833" s="260" t="s">
        <v>924</v>
      </c>
      <c r="Y2833" s="566">
        <v>0.5703125</v>
      </c>
      <c r="Z2833" s="566">
        <v>0.57681712962962961</v>
      </c>
      <c r="AA2833" s="566">
        <f t="shared" si="322"/>
        <v>6.5046296296296102E-3</v>
      </c>
    </row>
    <row r="2834" spans="1:27" x14ac:dyDescent="0.3">
      <c r="A2834" s="79" t="s">
        <v>9286</v>
      </c>
      <c r="C2834" s="115">
        <v>44019</v>
      </c>
      <c r="D2834" s="312">
        <v>44055</v>
      </c>
      <c r="E2834" s="81">
        <v>44049</v>
      </c>
      <c r="F2834" s="86" t="s">
        <v>9370</v>
      </c>
      <c r="G2834" s="86" t="s">
        <v>9119</v>
      </c>
      <c r="H2834" s="96" t="s">
        <v>213</v>
      </c>
      <c r="I2834" s="97" t="s">
        <v>714</v>
      </c>
      <c r="J2834" s="73">
        <f t="shared" si="325"/>
        <v>1</v>
      </c>
      <c r="K2834" s="74" t="s">
        <v>204</v>
      </c>
      <c r="L2834" s="97" t="s">
        <v>8965</v>
      </c>
      <c r="N2834" s="76" t="s">
        <v>18</v>
      </c>
      <c r="Q2834" s="76" t="s">
        <v>9428</v>
      </c>
      <c r="R2834" s="73">
        <f t="shared" si="327"/>
        <v>1</v>
      </c>
      <c r="S2834" s="260" t="s">
        <v>1976</v>
      </c>
      <c r="T2834" s="260" t="s">
        <v>924</v>
      </c>
      <c r="Y2834" s="566">
        <v>0.57755787037037043</v>
      </c>
      <c r="Z2834" s="566">
        <v>0.58913194444444439</v>
      </c>
      <c r="AA2834" s="566">
        <f t="shared" si="322"/>
        <v>1.1574074074073959E-2</v>
      </c>
    </row>
    <row r="2835" spans="1:27" x14ac:dyDescent="0.3">
      <c r="A2835" s="79" t="s">
        <v>9287</v>
      </c>
      <c r="C2835" s="115">
        <v>44020</v>
      </c>
      <c r="D2835" s="312">
        <v>44056</v>
      </c>
      <c r="E2835" s="81">
        <v>44053</v>
      </c>
      <c r="F2835" s="86" t="s">
        <v>9371</v>
      </c>
      <c r="G2835" s="86" t="s">
        <v>1682</v>
      </c>
      <c r="H2835" s="96" t="s">
        <v>213</v>
      </c>
      <c r="I2835" s="97" t="s">
        <v>755</v>
      </c>
      <c r="J2835" s="73">
        <f t="shared" si="325"/>
        <v>1</v>
      </c>
      <c r="K2835" s="74" t="s">
        <v>204</v>
      </c>
      <c r="L2835" s="97" t="s">
        <v>9821</v>
      </c>
      <c r="N2835" s="76" t="s">
        <v>17</v>
      </c>
      <c r="Q2835" s="76" t="s">
        <v>2037</v>
      </c>
      <c r="R2835" s="73">
        <f t="shared" si="327"/>
        <v>1</v>
      </c>
      <c r="S2835" s="260" t="s">
        <v>1976</v>
      </c>
      <c r="T2835" s="260" t="s">
        <v>924</v>
      </c>
      <c r="U2835" s="76" t="s">
        <v>5283</v>
      </c>
      <c r="V2835" s="301" t="s">
        <v>9803</v>
      </c>
      <c r="Y2835" s="566">
        <v>0.39216435185185183</v>
      </c>
      <c r="Z2835" s="566">
        <v>0.42614583333333328</v>
      </c>
      <c r="AA2835" s="566">
        <f t="shared" si="322"/>
        <v>3.3981481481481446E-2</v>
      </c>
    </row>
    <row r="2836" spans="1:27" x14ac:dyDescent="0.3">
      <c r="A2836" s="79" t="s">
        <v>9288</v>
      </c>
      <c r="C2836" s="115">
        <v>44020</v>
      </c>
      <c r="D2836" s="312">
        <v>44056</v>
      </c>
      <c r="E2836" s="81">
        <v>44050</v>
      </c>
      <c r="F2836" s="86" t="s">
        <v>9372</v>
      </c>
      <c r="G2836" s="86" t="s">
        <v>186</v>
      </c>
      <c r="H2836" s="96" t="s">
        <v>213</v>
      </c>
      <c r="I2836" s="97" t="s">
        <v>645</v>
      </c>
      <c r="J2836" s="73">
        <f t="shared" si="325"/>
        <v>1</v>
      </c>
      <c r="K2836" s="74" t="s">
        <v>204</v>
      </c>
      <c r="L2836" s="97" t="s">
        <v>7117</v>
      </c>
      <c r="N2836" s="76" t="s">
        <v>18</v>
      </c>
      <c r="Q2836" s="76" t="s">
        <v>2142</v>
      </c>
      <c r="R2836" s="73">
        <f t="shared" si="327"/>
        <v>1</v>
      </c>
      <c r="S2836" s="260" t="s">
        <v>1976</v>
      </c>
      <c r="T2836" s="260" t="s">
        <v>924</v>
      </c>
      <c r="Y2836" s="566">
        <v>0.88905092592592594</v>
      </c>
      <c r="Z2836" s="566">
        <v>0.89628472222222222</v>
      </c>
      <c r="AA2836" s="566">
        <f t="shared" si="322"/>
        <v>7.2337962962962798E-3</v>
      </c>
    </row>
    <row r="2837" spans="1:27" x14ac:dyDescent="0.3">
      <c r="A2837" s="79" t="s">
        <v>9289</v>
      </c>
      <c r="C2837" s="115">
        <v>44020</v>
      </c>
      <c r="D2837" s="312">
        <v>44056</v>
      </c>
      <c r="E2837" s="81">
        <v>44049</v>
      </c>
      <c r="F2837" s="86" t="s">
        <v>9373</v>
      </c>
      <c r="G2837" s="86" t="s">
        <v>152</v>
      </c>
      <c r="H2837" s="96" t="s">
        <v>213</v>
      </c>
      <c r="I2837" s="97" t="s">
        <v>657</v>
      </c>
      <c r="J2837" s="73">
        <f t="shared" si="325"/>
        <v>1</v>
      </c>
      <c r="K2837" s="74" t="s">
        <v>204</v>
      </c>
      <c r="L2837" s="97" t="s">
        <v>9609</v>
      </c>
      <c r="N2837" s="76" t="s">
        <v>17</v>
      </c>
      <c r="Q2837" s="76" t="s">
        <v>9187</v>
      </c>
      <c r="R2837" s="73">
        <f t="shared" si="327"/>
        <v>1</v>
      </c>
      <c r="S2837" s="260" t="s">
        <v>1976</v>
      </c>
      <c r="T2837" s="260" t="s">
        <v>925</v>
      </c>
      <c r="Y2837" s="566">
        <v>0.68906250000000002</v>
      </c>
      <c r="Z2837" s="566">
        <v>0.71270833333333339</v>
      </c>
      <c r="AA2837" s="566">
        <f t="shared" si="322"/>
        <v>2.3645833333333366E-2</v>
      </c>
    </row>
    <row r="2838" spans="1:27" x14ac:dyDescent="0.3">
      <c r="A2838" s="79" t="s">
        <v>9290</v>
      </c>
      <c r="C2838" s="115">
        <v>44020</v>
      </c>
      <c r="D2838" s="312">
        <v>44056</v>
      </c>
      <c r="E2838" s="81">
        <v>44053</v>
      </c>
      <c r="F2838" s="86" t="s">
        <v>9374</v>
      </c>
      <c r="G2838" s="86" t="s">
        <v>152</v>
      </c>
      <c r="H2838" s="96" t="s">
        <v>213</v>
      </c>
      <c r="I2838" s="97" t="s">
        <v>714</v>
      </c>
      <c r="J2838" s="73">
        <f t="shared" si="325"/>
        <v>1</v>
      </c>
      <c r="K2838" s="74" t="s">
        <v>204</v>
      </c>
      <c r="L2838" s="97" t="s">
        <v>7528</v>
      </c>
      <c r="N2838" s="76" t="s">
        <v>17</v>
      </c>
      <c r="Q2838" s="76" t="s">
        <v>2037</v>
      </c>
      <c r="R2838" s="73">
        <f t="shared" si="327"/>
        <v>1</v>
      </c>
      <c r="S2838" s="260" t="s">
        <v>1976</v>
      </c>
      <c r="T2838" s="260" t="s">
        <v>924</v>
      </c>
      <c r="Y2838" s="566">
        <v>0.38362268518518516</v>
      </c>
      <c r="Z2838" s="566">
        <v>0.39173611111111112</v>
      </c>
      <c r="AA2838" s="566">
        <f t="shared" si="322"/>
        <v>8.1134259259259545E-3</v>
      </c>
    </row>
    <row r="2839" spans="1:27" x14ac:dyDescent="0.3">
      <c r="A2839" s="79" t="s">
        <v>9291</v>
      </c>
      <c r="C2839" s="115">
        <v>44020</v>
      </c>
      <c r="D2839" s="312">
        <v>44056</v>
      </c>
      <c r="E2839" s="81">
        <v>44050</v>
      </c>
      <c r="F2839" s="86" t="s">
        <v>9375</v>
      </c>
      <c r="G2839" s="86" t="s">
        <v>187</v>
      </c>
      <c r="H2839" s="96" t="s">
        <v>213</v>
      </c>
      <c r="I2839" s="97" t="s">
        <v>642</v>
      </c>
      <c r="J2839" s="73">
        <f t="shared" si="325"/>
        <v>1</v>
      </c>
      <c r="K2839" s="74" t="s">
        <v>204</v>
      </c>
      <c r="L2839" s="97" t="s">
        <v>7066</v>
      </c>
      <c r="N2839" s="76" t="s">
        <v>18</v>
      </c>
      <c r="Q2839" s="76" t="s">
        <v>2037</v>
      </c>
      <c r="R2839" s="73">
        <f t="shared" si="327"/>
        <v>1</v>
      </c>
      <c r="S2839" s="260" t="s">
        <v>1976</v>
      </c>
      <c r="T2839" s="260" t="s">
        <v>924</v>
      </c>
      <c r="U2839" s="76" t="s">
        <v>5283</v>
      </c>
      <c r="V2839" s="301" t="s">
        <v>9630</v>
      </c>
      <c r="Y2839" s="566">
        <v>0.4070023148148148</v>
      </c>
      <c r="Z2839" s="566">
        <v>0.43564814814814817</v>
      </c>
      <c r="AA2839" s="566">
        <f t="shared" si="322"/>
        <v>2.864583333333337E-2</v>
      </c>
    </row>
    <row r="2840" spans="1:27" x14ac:dyDescent="0.3">
      <c r="A2840" s="79" t="s">
        <v>8824</v>
      </c>
      <c r="C2840" s="115">
        <v>44020</v>
      </c>
      <c r="D2840" s="312">
        <v>44056</v>
      </c>
      <c r="E2840" s="81">
        <v>44050</v>
      </c>
      <c r="F2840" s="86" t="s">
        <v>8872</v>
      </c>
      <c r="G2840" s="86" t="s">
        <v>147</v>
      </c>
      <c r="H2840" s="96" t="s">
        <v>213</v>
      </c>
      <c r="I2840" s="97" t="s">
        <v>722</v>
      </c>
      <c r="J2840" s="73">
        <f t="shared" si="325"/>
        <v>1</v>
      </c>
      <c r="K2840" s="74" t="s">
        <v>204</v>
      </c>
      <c r="L2840" s="97" t="s">
        <v>9001</v>
      </c>
      <c r="N2840" s="76" t="s">
        <v>18</v>
      </c>
      <c r="Q2840" s="76" t="s">
        <v>2142</v>
      </c>
      <c r="R2840" s="73">
        <f t="shared" si="327"/>
        <v>1</v>
      </c>
      <c r="S2840" s="260" t="s">
        <v>1976</v>
      </c>
      <c r="T2840" s="260" t="s">
        <v>925</v>
      </c>
      <c r="Y2840" s="566">
        <v>0.87984953703703705</v>
      </c>
      <c r="Z2840" s="566">
        <v>0.88877314814814812</v>
      </c>
      <c r="AA2840" s="566">
        <f t="shared" si="322"/>
        <v>8.9236111111110628E-3</v>
      </c>
    </row>
    <row r="2841" spans="1:27" x14ac:dyDescent="0.3">
      <c r="A2841" s="79" t="s">
        <v>9292</v>
      </c>
      <c r="C2841" s="115">
        <v>44020</v>
      </c>
      <c r="D2841" s="312">
        <v>44056</v>
      </c>
      <c r="E2841" s="81">
        <v>44050</v>
      </c>
      <c r="F2841" s="86" t="s">
        <v>9376</v>
      </c>
      <c r="G2841" s="86" t="s">
        <v>410</v>
      </c>
      <c r="H2841" s="96" t="s">
        <v>213</v>
      </c>
      <c r="I2841" s="97" t="s">
        <v>714</v>
      </c>
      <c r="J2841" s="73">
        <f t="shared" si="325"/>
        <v>1</v>
      </c>
      <c r="K2841" s="74" t="s">
        <v>204</v>
      </c>
      <c r="L2841" s="97" t="s">
        <v>8098</v>
      </c>
      <c r="N2841" s="76" t="s">
        <v>18</v>
      </c>
      <c r="Q2841" s="76" t="s">
        <v>2037</v>
      </c>
      <c r="R2841" s="73">
        <f t="shared" si="327"/>
        <v>1</v>
      </c>
      <c r="S2841" s="260" t="s">
        <v>1976</v>
      </c>
      <c r="T2841" s="260" t="s">
        <v>924</v>
      </c>
      <c r="Y2841" s="566">
        <v>0.90348379629629638</v>
      </c>
      <c r="Z2841" s="566">
        <v>0.93114583333333334</v>
      </c>
      <c r="AA2841" s="566">
        <f t="shared" si="322"/>
        <v>2.7662037037036957E-2</v>
      </c>
    </row>
    <row r="2842" spans="1:27" x14ac:dyDescent="0.3">
      <c r="A2842" s="79" t="s">
        <v>9293</v>
      </c>
      <c r="C2842" s="115">
        <v>44020</v>
      </c>
      <c r="D2842" s="312">
        <v>44056</v>
      </c>
      <c r="E2842" s="81">
        <v>44049</v>
      </c>
      <c r="F2842" s="86" t="s">
        <v>9377</v>
      </c>
      <c r="G2842" s="86" t="s">
        <v>150</v>
      </c>
      <c r="H2842" s="96" t="s">
        <v>213</v>
      </c>
      <c r="I2842" s="97" t="s">
        <v>714</v>
      </c>
      <c r="J2842" s="73">
        <f t="shared" si="325"/>
        <v>1</v>
      </c>
      <c r="K2842" s="74" t="s">
        <v>204</v>
      </c>
      <c r="L2842" s="97" t="s">
        <v>7349</v>
      </c>
      <c r="N2842" s="76" t="s">
        <v>17</v>
      </c>
      <c r="Q2842" s="76" t="s">
        <v>9187</v>
      </c>
      <c r="R2842" s="73">
        <f t="shared" si="327"/>
        <v>1</v>
      </c>
      <c r="S2842" s="260" t="s">
        <v>1976</v>
      </c>
      <c r="T2842" s="260" t="s">
        <v>8990</v>
      </c>
      <c r="Y2842" s="566">
        <v>0.68057870370370377</v>
      </c>
      <c r="Z2842" s="566">
        <v>0.68843750000000004</v>
      </c>
      <c r="AA2842" s="566">
        <f t="shared" si="322"/>
        <v>7.8587962962962665E-3</v>
      </c>
    </row>
    <row r="2843" spans="1:27" x14ac:dyDescent="0.3">
      <c r="A2843" s="79" t="s">
        <v>9294</v>
      </c>
      <c r="C2843" s="115">
        <v>44021</v>
      </c>
      <c r="D2843" s="312">
        <v>44056</v>
      </c>
      <c r="E2843" s="81">
        <v>44049</v>
      </c>
      <c r="F2843" s="86" t="s">
        <v>9378</v>
      </c>
      <c r="G2843" s="86" t="s">
        <v>156</v>
      </c>
      <c r="H2843" s="96" t="s">
        <v>213</v>
      </c>
      <c r="I2843" s="97" t="s">
        <v>714</v>
      </c>
      <c r="J2843" s="73">
        <f t="shared" si="325"/>
        <v>1</v>
      </c>
      <c r="K2843" s="74" t="s">
        <v>204</v>
      </c>
      <c r="L2843" s="97" t="s">
        <v>7336</v>
      </c>
      <c r="Q2843" s="76" t="s">
        <v>9428</v>
      </c>
      <c r="R2843" s="73">
        <f t="shared" si="327"/>
        <v>1</v>
      </c>
      <c r="S2843" s="260" t="s">
        <v>1976</v>
      </c>
      <c r="T2843" s="260" t="s">
        <v>924</v>
      </c>
      <c r="U2843" s="76" t="s">
        <v>5283</v>
      </c>
      <c r="V2843" s="301" t="s">
        <v>9599</v>
      </c>
      <c r="Y2843" s="566">
        <v>0.64695601851851847</v>
      </c>
      <c r="Z2843" s="566">
        <v>0.66346064814814809</v>
      </c>
      <c r="AA2843" s="566">
        <f t="shared" si="322"/>
        <v>1.6504629629629619E-2</v>
      </c>
    </row>
    <row r="2844" spans="1:27" x14ac:dyDescent="0.3">
      <c r="A2844" s="79" t="s">
        <v>9295</v>
      </c>
      <c r="C2844" s="115">
        <v>44021</v>
      </c>
      <c r="D2844" s="312">
        <v>44056</v>
      </c>
      <c r="E2844" s="81">
        <v>44050</v>
      </c>
      <c r="F2844" s="86" t="s">
        <v>9379</v>
      </c>
      <c r="G2844" s="86" t="s">
        <v>166</v>
      </c>
      <c r="H2844" s="96" t="s">
        <v>213</v>
      </c>
      <c r="I2844" s="97" t="s">
        <v>642</v>
      </c>
      <c r="J2844" s="73">
        <f t="shared" si="325"/>
        <v>1</v>
      </c>
      <c r="K2844" s="74" t="s">
        <v>204</v>
      </c>
      <c r="L2844" s="97" t="s">
        <v>7110</v>
      </c>
      <c r="N2844" s="76" t="s">
        <v>18</v>
      </c>
      <c r="Q2844" s="76" t="s">
        <v>9428</v>
      </c>
      <c r="R2844" s="73">
        <f t="shared" si="327"/>
        <v>1</v>
      </c>
      <c r="S2844" s="260" t="s">
        <v>1976</v>
      </c>
      <c r="T2844" s="260" t="s">
        <v>925</v>
      </c>
      <c r="Y2844" s="566">
        <v>0.43638888888888888</v>
      </c>
      <c r="Z2844" s="566">
        <v>0.45760416666666665</v>
      </c>
      <c r="AA2844" s="566">
        <f t="shared" si="322"/>
        <v>2.1215277777777763E-2</v>
      </c>
    </row>
    <row r="2845" spans="1:27" x14ac:dyDescent="0.3">
      <c r="A2845" s="79" t="s">
        <v>9296</v>
      </c>
      <c r="C2845" s="115">
        <v>44021</v>
      </c>
      <c r="D2845" s="312">
        <v>44056</v>
      </c>
      <c r="E2845" s="81">
        <v>44048</v>
      </c>
      <c r="F2845" s="86" t="s">
        <v>9380</v>
      </c>
      <c r="G2845" s="86" t="s">
        <v>154</v>
      </c>
      <c r="H2845" s="96" t="s">
        <v>213</v>
      </c>
      <c r="I2845" s="97" t="s">
        <v>995</v>
      </c>
      <c r="J2845" s="73">
        <f t="shared" si="325"/>
        <v>1</v>
      </c>
      <c r="K2845" s="74" t="s">
        <v>204</v>
      </c>
      <c r="L2845" s="97" t="s">
        <v>7073</v>
      </c>
      <c r="N2845" s="76" t="s">
        <v>8990</v>
      </c>
      <c r="Q2845" s="76" t="s">
        <v>9187</v>
      </c>
      <c r="R2845" s="73">
        <f t="shared" si="327"/>
        <v>1</v>
      </c>
      <c r="S2845" s="260" t="s">
        <v>1976</v>
      </c>
      <c r="T2845" s="260" t="s">
        <v>925</v>
      </c>
      <c r="Y2845" s="566">
        <v>0.50505787037037042</v>
      </c>
      <c r="Z2845" s="566">
        <v>0.51778935185185182</v>
      </c>
      <c r="AA2845" s="566">
        <f t="shared" si="322"/>
        <v>1.2731481481481399E-2</v>
      </c>
    </row>
    <row r="2846" spans="1:27" x14ac:dyDescent="0.3">
      <c r="A2846" s="79" t="s">
        <v>9297</v>
      </c>
      <c r="C2846" s="115">
        <v>44021</v>
      </c>
      <c r="D2846" s="312">
        <v>44056</v>
      </c>
      <c r="E2846" s="81">
        <v>44050</v>
      </c>
      <c r="F2846" s="86" t="s">
        <v>9381</v>
      </c>
      <c r="G2846" s="86" t="s">
        <v>156</v>
      </c>
      <c r="H2846" s="96" t="s">
        <v>213</v>
      </c>
      <c r="I2846" s="97" t="s">
        <v>995</v>
      </c>
      <c r="J2846" s="73">
        <f t="shared" si="325"/>
        <v>1</v>
      </c>
      <c r="K2846" s="74" t="s">
        <v>204</v>
      </c>
      <c r="L2846" s="97" t="s">
        <v>7073</v>
      </c>
      <c r="N2846" s="76" t="s">
        <v>8990</v>
      </c>
      <c r="Q2846" s="76" t="s">
        <v>9187</v>
      </c>
      <c r="R2846" s="73">
        <f t="shared" si="327"/>
        <v>1</v>
      </c>
      <c r="S2846" s="260" t="s">
        <v>1976</v>
      </c>
      <c r="T2846" s="260" t="s">
        <v>8990</v>
      </c>
      <c r="Y2846" s="566">
        <v>0.62968750000000007</v>
      </c>
      <c r="Z2846" s="566">
        <v>0.63530092592592591</v>
      </c>
      <c r="AA2846" s="566">
        <f t="shared" si="322"/>
        <v>5.6134259259258412E-3</v>
      </c>
    </row>
    <row r="2847" spans="1:27" x14ac:dyDescent="0.3">
      <c r="A2847" s="79" t="s">
        <v>8827</v>
      </c>
      <c r="C2847" s="115">
        <v>44021</v>
      </c>
      <c r="D2847" s="312">
        <v>44057</v>
      </c>
      <c r="E2847" s="81">
        <v>44051</v>
      </c>
      <c r="F2847" s="86" t="s">
        <v>8875</v>
      </c>
      <c r="G2847" s="86" t="s">
        <v>9119</v>
      </c>
      <c r="H2847" s="96" t="s">
        <v>213</v>
      </c>
      <c r="I2847" s="97" t="s">
        <v>714</v>
      </c>
      <c r="J2847" s="73">
        <f t="shared" si="325"/>
        <v>1</v>
      </c>
      <c r="K2847" s="74" t="s">
        <v>204</v>
      </c>
      <c r="L2847" s="97" t="s">
        <v>7071</v>
      </c>
      <c r="N2847" s="76" t="s">
        <v>17</v>
      </c>
      <c r="Q2847" s="76" t="s">
        <v>2142</v>
      </c>
      <c r="R2847" s="73">
        <f t="shared" si="327"/>
        <v>1</v>
      </c>
      <c r="S2847" s="260" t="s">
        <v>1976</v>
      </c>
      <c r="T2847" s="260" t="s">
        <v>924</v>
      </c>
      <c r="Y2847" s="566">
        <v>0.35651620370370374</v>
      </c>
      <c r="Z2847" s="566">
        <v>0.36138888888888893</v>
      </c>
      <c r="AA2847" s="566">
        <f t="shared" si="322"/>
        <v>4.8726851851851882E-3</v>
      </c>
    </row>
    <row r="2848" spans="1:27" x14ac:dyDescent="0.3">
      <c r="A2848" s="79" t="s">
        <v>8828</v>
      </c>
      <c r="C2848" s="115">
        <v>44021</v>
      </c>
      <c r="D2848" s="312">
        <v>44056</v>
      </c>
      <c r="E2848" s="81">
        <v>44050</v>
      </c>
      <c r="F2848" s="86" t="s">
        <v>8876</v>
      </c>
      <c r="G2848" s="86" t="s">
        <v>9119</v>
      </c>
      <c r="H2848" s="96" t="s">
        <v>213</v>
      </c>
      <c r="I2848" s="97" t="s">
        <v>642</v>
      </c>
      <c r="J2848" s="73">
        <f t="shared" si="325"/>
        <v>1</v>
      </c>
      <c r="K2848" s="74" t="s">
        <v>204</v>
      </c>
      <c r="L2848" s="97" t="s">
        <v>7110</v>
      </c>
      <c r="N2848" s="76" t="s">
        <v>18</v>
      </c>
      <c r="Q2848" s="76" t="s">
        <v>2142</v>
      </c>
      <c r="R2848" s="73">
        <f t="shared" si="327"/>
        <v>1</v>
      </c>
      <c r="S2848" s="260" t="s">
        <v>1976</v>
      </c>
      <c r="T2848" s="260" t="s">
        <v>925</v>
      </c>
      <c r="Y2848" s="566">
        <v>0.89665509259259257</v>
      </c>
      <c r="Z2848" s="566">
        <v>0.90307870370370369</v>
      </c>
      <c r="AA2848" s="566">
        <f t="shared" si="322"/>
        <v>6.423611111111116E-3</v>
      </c>
    </row>
    <row r="2849" spans="1:27" x14ac:dyDescent="0.3">
      <c r="A2849" s="79" t="s">
        <v>9298</v>
      </c>
      <c r="C2849" s="115">
        <v>44021</v>
      </c>
      <c r="D2849" s="312">
        <v>44057</v>
      </c>
      <c r="E2849" s="81">
        <v>44050</v>
      </c>
      <c r="F2849" s="86" t="s">
        <v>9382</v>
      </c>
      <c r="G2849" s="86" t="s">
        <v>154</v>
      </c>
      <c r="H2849" s="96" t="s">
        <v>213</v>
      </c>
      <c r="I2849" s="97" t="s">
        <v>714</v>
      </c>
      <c r="J2849" s="73">
        <f t="shared" si="325"/>
        <v>1</v>
      </c>
      <c r="K2849" s="74" t="s">
        <v>204</v>
      </c>
      <c r="L2849" s="97" t="s">
        <v>9649</v>
      </c>
      <c r="Q2849" s="76" t="s">
        <v>9428</v>
      </c>
      <c r="R2849" s="73">
        <f t="shared" si="327"/>
        <v>1</v>
      </c>
      <c r="S2849" s="260" t="s">
        <v>1976</v>
      </c>
      <c r="T2849" s="260" t="s">
        <v>925</v>
      </c>
      <c r="U2849" s="76" t="s">
        <v>5283</v>
      </c>
      <c r="V2849" s="301" t="s">
        <v>9646</v>
      </c>
      <c r="Y2849" s="566">
        <v>0.64188657407407412</v>
      </c>
      <c r="Z2849" s="566">
        <v>0.66623842592592586</v>
      </c>
      <c r="AA2849" s="566">
        <f t="shared" si="322"/>
        <v>2.4351851851851736E-2</v>
      </c>
    </row>
    <row r="2850" spans="1:27" x14ac:dyDescent="0.3">
      <c r="A2850" s="79" t="s">
        <v>8829</v>
      </c>
      <c r="C2850" s="115">
        <v>44021</v>
      </c>
      <c r="D2850" s="312">
        <v>44057</v>
      </c>
      <c r="E2850" s="81">
        <v>44051</v>
      </c>
      <c r="F2850" s="86" t="s">
        <v>8877</v>
      </c>
      <c r="G2850" s="86" t="s">
        <v>410</v>
      </c>
      <c r="H2850" s="96" t="s">
        <v>213</v>
      </c>
      <c r="I2850" s="97" t="s">
        <v>642</v>
      </c>
      <c r="J2850" s="73">
        <f t="shared" si="325"/>
        <v>1</v>
      </c>
      <c r="K2850" s="74" t="s">
        <v>204</v>
      </c>
      <c r="L2850" s="97" t="s">
        <v>9654</v>
      </c>
      <c r="N2850" s="76" t="s">
        <v>18</v>
      </c>
      <c r="Q2850" s="76" t="s">
        <v>2142</v>
      </c>
      <c r="R2850" s="73">
        <f t="shared" si="327"/>
        <v>1</v>
      </c>
      <c r="S2850" s="260" t="s">
        <v>1976</v>
      </c>
      <c r="T2850" s="260" t="s">
        <v>925</v>
      </c>
      <c r="Y2850" s="566">
        <v>0.3446643518518519</v>
      </c>
      <c r="Z2850" s="566">
        <v>0.34945601851851849</v>
      </c>
      <c r="AA2850" s="566">
        <f t="shared" si="322"/>
        <v>4.791666666666583E-3</v>
      </c>
    </row>
    <row r="2851" spans="1:27" x14ac:dyDescent="0.3">
      <c r="A2851" s="79" t="s">
        <v>9299</v>
      </c>
      <c r="C2851" s="115">
        <v>44021</v>
      </c>
      <c r="D2851" s="312">
        <v>44057</v>
      </c>
      <c r="E2851" s="81">
        <v>44051</v>
      </c>
      <c r="F2851" s="86" t="s">
        <v>9383</v>
      </c>
      <c r="G2851" s="86" t="s">
        <v>152</v>
      </c>
      <c r="H2851" s="96" t="s">
        <v>213</v>
      </c>
      <c r="I2851" s="97" t="s">
        <v>642</v>
      </c>
      <c r="J2851" s="73">
        <f t="shared" si="325"/>
        <v>1</v>
      </c>
      <c r="K2851" s="74" t="s">
        <v>204</v>
      </c>
      <c r="L2851" s="97" t="s">
        <v>9656</v>
      </c>
      <c r="N2851" s="76" t="s">
        <v>18</v>
      </c>
      <c r="Q2851" s="76" t="s">
        <v>2037</v>
      </c>
      <c r="R2851" s="73">
        <f t="shared" si="327"/>
        <v>1</v>
      </c>
      <c r="S2851" s="260" t="s">
        <v>1976</v>
      </c>
      <c r="T2851" s="260" t="s">
        <v>924</v>
      </c>
      <c r="Y2851" s="566">
        <v>0.34974537037037035</v>
      </c>
      <c r="Z2851" s="566">
        <v>0.35608796296296297</v>
      </c>
      <c r="AA2851" s="566">
        <f t="shared" si="322"/>
        <v>6.3425925925926219E-3</v>
      </c>
    </row>
    <row r="2852" spans="1:27" x14ac:dyDescent="0.3">
      <c r="A2852" s="79" t="s">
        <v>9300</v>
      </c>
      <c r="C2852" s="115">
        <v>44021</v>
      </c>
      <c r="D2852" s="312">
        <v>44057</v>
      </c>
      <c r="E2852" s="81">
        <v>44049</v>
      </c>
      <c r="F2852" s="86" t="s">
        <v>9384</v>
      </c>
      <c r="G2852" s="97" t="s">
        <v>8909</v>
      </c>
      <c r="H2852" s="96" t="s">
        <v>213</v>
      </c>
      <c r="I2852" s="97" t="s">
        <v>714</v>
      </c>
      <c r="J2852" s="73">
        <f t="shared" si="325"/>
        <v>1</v>
      </c>
      <c r="K2852" s="74" t="s">
        <v>204</v>
      </c>
      <c r="L2852" s="97" t="s">
        <v>7072</v>
      </c>
      <c r="N2852" s="76" t="s">
        <v>18</v>
      </c>
      <c r="Q2852" s="76" t="s">
        <v>9187</v>
      </c>
      <c r="R2852" s="73">
        <f t="shared" si="327"/>
        <v>1</v>
      </c>
      <c r="S2852" s="260" t="s">
        <v>1976</v>
      </c>
      <c r="T2852" s="260" t="s">
        <v>925</v>
      </c>
      <c r="Y2852" s="566">
        <v>0.85114583333333327</v>
      </c>
      <c r="Z2852" s="566">
        <v>0.8590740740740741</v>
      </c>
      <c r="AA2852" s="566">
        <f t="shared" si="322"/>
        <v>7.9282407407408328E-3</v>
      </c>
    </row>
    <row r="2853" spans="1:27" x14ac:dyDescent="0.3">
      <c r="A2853" s="79" t="s">
        <v>9301</v>
      </c>
      <c r="C2853" s="115">
        <v>44021</v>
      </c>
      <c r="D2853" s="312">
        <v>44057</v>
      </c>
      <c r="E2853" s="81">
        <v>44049</v>
      </c>
      <c r="F2853" s="86" t="s">
        <v>9385</v>
      </c>
      <c r="G2853" s="86" t="s">
        <v>156</v>
      </c>
      <c r="H2853" s="79" t="s">
        <v>268</v>
      </c>
      <c r="I2853" s="97" t="s">
        <v>4391</v>
      </c>
      <c r="J2853" s="73">
        <f t="shared" si="325"/>
        <v>1</v>
      </c>
      <c r="K2853" s="74" t="s">
        <v>204</v>
      </c>
      <c r="L2853" s="97" t="s">
        <v>9619</v>
      </c>
      <c r="N2853" s="76" t="s">
        <v>18</v>
      </c>
      <c r="Q2853" s="76" t="s">
        <v>9187</v>
      </c>
      <c r="R2853" s="73">
        <f t="shared" si="327"/>
        <v>1</v>
      </c>
      <c r="S2853" s="260" t="s">
        <v>1976</v>
      </c>
      <c r="T2853" s="260" t="s">
        <v>925</v>
      </c>
      <c r="Y2853" s="566">
        <v>0.85988425925925915</v>
      </c>
      <c r="Z2853" s="566">
        <v>0.87839120370370372</v>
      </c>
      <c r="AA2853" s="566">
        <f t="shared" si="322"/>
        <v>1.8506944444444562E-2</v>
      </c>
    </row>
    <row r="2854" spans="1:27" x14ac:dyDescent="0.3">
      <c r="A2854" s="79" t="s">
        <v>9302</v>
      </c>
      <c r="C2854" s="115">
        <v>44021</v>
      </c>
      <c r="D2854" s="312">
        <v>44057</v>
      </c>
      <c r="E2854" s="81">
        <v>44050</v>
      </c>
      <c r="F2854" s="86" t="s">
        <v>9386</v>
      </c>
      <c r="G2854" s="86" t="s">
        <v>166</v>
      </c>
      <c r="H2854" s="96" t="s">
        <v>213</v>
      </c>
      <c r="I2854" s="97" t="s">
        <v>642</v>
      </c>
      <c r="J2854" s="73">
        <f t="shared" si="325"/>
        <v>1</v>
      </c>
      <c r="K2854" s="74" t="s">
        <v>204</v>
      </c>
      <c r="L2854" s="97" t="s">
        <v>9653</v>
      </c>
      <c r="N2854" s="76" t="s">
        <v>18</v>
      </c>
      <c r="Q2854" s="76" t="s">
        <v>2037</v>
      </c>
      <c r="R2854" s="73">
        <f t="shared" si="327"/>
        <v>1</v>
      </c>
      <c r="S2854" s="260" t="s">
        <v>1976</v>
      </c>
      <c r="T2854" s="260" t="s">
        <v>925</v>
      </c>
      <c r="Y2854" s="566">
        <v>0.93143518518518509</v>
      </c>
      <c r="Z2854" s="566">
        <v>0.94428240740740732</v>
      </c>
      <c r="AA2854" s="566">
        <f t="shared" ref="AA2854:AA2886" si="328">Z2854-Y2854</f>
        <v>1.2847222222222232E-2</v>
      </c>
    </row>
    <row r="2855" spans="1:27" x14ac:dyDescent="0.3">
      <c r="A2855" s="79" t="s">
        <v>9303</v>
      </c>
      <c r="C2855" s="115">
        <v>44021</v>
      </c>
      <c r="D2855" s="312">
        <v>44057</v>
      </c>
      <c r="E2855" s="81">
        <v>44050</v>
      </c>
      <c r="F2855" s="86" t="s">
        <v>9387</v>
      </c>
      <c r="G2855" s="86" t="s">
        <v>152</v>
      </c>
      <c r="H2855" s="96" t="s">
        <v>213</v>
      </c>
      <c r="I2855" s="97" t="s">
        <v>714</v>
      </c>
      <c r="J2855" s="73">
        <f t="shared" si="325"/>
        <v>1</v>
      </c>
      <c r="K2855" s="74" t="s">
        <v>204</v>
      </c>
      <c r="L2855" s="97" t="s">
        <v>7071</v>
      </c>
      <c r="N2855" s="76" t="s">
        <v>8990</v>
      </c>
      <c r="Q2855" s="76" t="s">
        <v>2037</v>
      </c>
      <c r="R2855" s="73">
        <f t="shared" si="327"/>
        <v>1</v>
      </c>
      <c r="S2855" s="260" t="s">
        <v>1976</v>
      </c>
      <c r="T2855" s="260" t="s">
        <v>8990</v>
      </c>
      <c r="Y2855" s="566">
        <v>0.94487268518518519</v>
      </c>
      <c r="Z2855" s="566">
        <v>0.95778935185185177</v>
      </c>
      <c r="AA2855" s="566">
        <f t="shared" si="328"/>
        <v>1.2916666666666576E-2</v>
      </c>
    </row>
    <row r="2856" spans="1:27" x14ac:dyDescent="0.3">
      <c r="A2856" s="79" t="s">
        <v>9304</v>
      </c>
      <c r="C2856" s="115">
        <v>44021</v>
      </c>
      <c r="D2856" s="312">
        <v>44057</v>
      </c>
      <c r="E2856" s="81">
        <v>44050</v>
      </c>
      <c r="F2856" s="86" t="s">
        <v>9388</v>
      </c>
      <c r="G2856" s="86" t="s">
        <v>156</v>
      </c>
      <c r="H2856" s="96" t="s">
        <v>213</v>
      </c>
      <c r="I2856" s="97" t="s">
        <v>714</v>
      </c>
      <c r="J2856" s="73">
        <f t="shared" si="325"/>
        <v>1</v>
      </c>
      <c r="K2856" s="74" t="s">
        <v>204</v>
      </c>
      <c r="L2856" s="97" t="s">
        <v>7058</v>
      </c>
      <c r="N2856" s="76" t="s">
        <v>18</v>
      </c>
      <c r="Q2856" s="76" t="s">
        <v>9428</v>
      </c>
      <c r="R2856" s="73">
        <f t="shared" si="327"/>
        <v>1</v>
      </c>
      <c r="S2856" s="260" t="s">
        <v>1976</v>
      </c>
      <c r="T2856" s="260" t="s">
        <v>924</v>
      </c>
      <c r="Y2856" s="566">
        <v>0.66756944444444455</v>
      </c>
      <c r="Z2856" s="566">
        <v>0.68267361111111102</v>
      </c>
      <c r="AA2856" s="566">
        <f t="shared" si="328"/>
        <v>1.5104166666666474E-2</v>
      </c>
    </row>
    <row r="2857" spans="1:27" x14ac:dyDescent="0.3">
      <c r="A2857" s="79" t="s">
        <v>9305</v>
      </c>
      <c r="C2857" s="115">
        <v>44022</v>
      </c>
      <c r="D2857" s="312">
        <v>44057</v>
      </c>
      <c r="E2857" s="81">
        <v>44050</v>
      </c>
      <c r="F2857" s="86" t="s">
        <v>9389</v>
      </c>
      <c r="G2857" s="86" t="s">
        <v>164</v>
      </c>
      <c r="H2857" s="96" t="s">
        <v>213</v>
      </c>
      <c r="I2857" s="97" t="s">
        <v>657</v>
      </c>
      <c r="J2857" s="73">
        <f t="shared" si="325"/>
        <v>1</v>
      </c>
      <c r="K2857" s="74" t="s">
        <v>204</v>
      </c>
      <c r="L2857" s="97" t="s">
        <v>9647</v>
      </c>
      <c r="N2857" s="76" t="s">
        <v>17</v>
      </c>
      <c r="Q2857" s="76" t="s">
        <v>9428</v>
      </c>
      <c r="R2857" s="73">
        <f t="shared" si="327"/>
        <v>1</v>
      </c>
      <c r="S2857" s="260" t="s">
        <v>1976</v>
      </c>
      <c r="T2857" s="260" t="s">
        <v>925</v>
      </c>
      <c r="Y2857" s="566">
        <v>0.68339120370370365</v>
      </c>
      <c r="Z2857" s="566">
        <v>0.69736111111111121</v>
      </c>
      <c r="AA2857" s="566">
        <f t="shared" si="328"/>
        <v>1.3969907407407556E-2</v>
      </c>
    </row>
    <row r="2858" spans="1:27" x14ac:dyDescent="0.3">
      <c r="A2858" s="79" t="s">
        <v>9306</v>
      </c>
      <c r="C2858" s="115">
        <v>44022</v>
      </c>
      <c r="D2858" s="312">
        <v>44057</v>
      </c>
      <c r="E2858" s="81">
        <v>44049</v>
      </c>
      <c r="F2858" s="86" t="s">
        <v>9390</v>
      </c>
      <c r="G2858" s="86" t="s">
        <v>172</v>
      </c>
      <c r="H2858" s="96" t="s">
        <v>213</v>
      </c>
      <c r="I2858" s="97" t="s">
        <v>714</v>
      </c>
      <c r="J2858" s="73">
        <f t="shared" si="325"/>
        <v>1</v>
      </c>
      <c r="K2858" s="74" t="s">
        <v>204</v>
      </c>
      <c r="L2858" s="97" t="s">
        <v>7072</v>
      </c>
      <c r="N2858" s="76" t="s">
        <v>18</v>
      </c>
      <c r="Q2858" s="76" t="s">
        <v>9187</v>
      </c>
      <c r="R2858" s="73">
        <f t="shared" si="327"/>
        <v>1</v>
      </c>
      <c r="S2858" s="260" t="s">
        <v>1976</v>
      </c>
      <c r="T2858" s="260" t="s">
        <v>8990</v>
      </c>
      <c r="Y2858" s="566">
        <v>0.83922453703703714</v>
      </c>
      <c r="Z2858" s="566">
        <v>0.85078703703703706</v>
      </c>
      <c r="AA2858" s="566">
        <f t="shared" si="328"/>
        <v>1.156249999999992E-2</v>
      </c>
    </row>
    <row r="2859" spans="1:27" x14ac:dyDescent="0.3">
      <c r="A2859" s="79" t="s">
        <v>9307</v>
      </c>
      <c r="C2859" s="115">
        <v>44022</v>
      </c>
      <c r="D2859" s="312">
        <v>44057</v>
      </c>
      <c r="E2859" s="81">
        <v>44050</v>
      </c>
      <c r="F2859" s="86" t="s">
        <v>9391</v>
      </c>
      <c r="G2859" s="86" t="s">
        <v>9119</v>
      </c>
      <c r="H2859" s="96" t="s">
        <v>213</v>
      </c>
      <c r="I2859" s="97" t="s">
        <v>642</v>
      </c>
      <c r="J2859" s="73">
        <f t="shared" si="325"/>
        <v>1</v>
      </c>
      <c r="K2859" s="74" t="s">
        <v>204</v>
      </c>
      <c r="L2859" s="97" t="s">
        <v>7108</v>
      </c>
      <c r="N2859" s="76" t="s">
        <v>18</v>
      </c>
      <c r="Q2859" s="76" t="s">
        <v>9428</v>
      </c>
      <c r="R2859" s="73">
        <f t="shared" si="327"/>
        <v>1</v>
      </c>
      <c r="S2859" s="260" t="s">
        <v>1976</v>
      </c>
      <c r="T2859" s="260" t="s">
        <v>925</v>
      </c>
      <c r="Y2859" s="566">
        <v>0.7026041666666667</v>
      </c>
      <c r="Z2859" s="566">
        <v>0.70545138888888881</v>
      </c>
      <c r="AA2859" s="566">
        <f t="shared" si="328"/>
        <v>2.8472222222221122E-3</v>
      </c>
    </row>
    <row r="2860" spans="1:27" x14ac:dyDescent="0.3">
      <c r="A2860" s="79" t="s">
        <v>9308</v>
      </c>
      <c r="C2860" s="115">
        <v>44029</v>
      </c>
      <c r="D2860" s="312">
        <v>44053</v>
      </c>
      <c r="E2860" s="81">
        <v>44046</v>
      </c>
      <c r="F2860" s="86" t="s">
        <v>9392</v>
      </c>
      <c r="G2860" s="86" t="s">
        <v>150</v>
      </c>
      <c r="H2860" s="96" t="s">
        <v>213</v>
      </c>
      <c r="I2860" s="97" t="s">
        <v>622</v>
      </c>
      <c r="J2860" s="73">
        <f t="shared" si="325"/>
        <v>1</v>
      </c>
      <c r="K2860" s="74" t="s">
        <v>204</v>
      </c>
      <c r="L2860" s="97" t="s">
        <v>9461</v>
      </c>
      <c r="N2860" s="76" t="s">
        <v>8990</v>
      </c>
      <c r="Q2860" s="76" t="s">
        <v>9187</v>
      </c>
      <c r="R2860" s="73">
        <f t="shared" si="327"/>
        <v>1</v>
      </c>
      <c r="S2860" s="260" t="s">
        <v>1976</v>
      </c>
      <c r="T2860" s="260" t="s">
        <v>8990</v>
      </c>
      <c r="Y2860" s="566">
        <v>0.83283564814814814</v>
      </c>
      <c r="Z2860" s="566">
        <v>0.84370370370370373</v>
      </c>
      <c r="AA2860" s="566">
        <f t="shared" si="328"/>
        <v>1.0868055555555589E-2</v>
      </c>
    </row>
    <row r="2861" spans="1:27" x14ac:dyDescent="0.3">
      <c r="A2861" s="79" t="s">
        <v>9309</v>
      </c>
      <c r="C2861" s="115">
        <v>44029</v>
      </c>
      <c r="D2861" s="312">
        <v>44053</v>
      </c>
      <c r="E2861" s="81">
        <v>44046</v>
      </c>
      <c r="F2861" s="86" t="s">
        <v>9393</v>
      </c>
      <c r="G2861" s="86" t="s">
        <v>179</v>
      </c>
      <c r="H2861" s="96" t="s">
        <v>213</v>
      </c>
      <c r="I2861" s="97" t="s">
        <v>649</v>
      </c>
      <c r="J2861" s="73">
        <f t="shared" si="325"/>
        <v>1</v>
      </c>
      <c r="K2861" s="74" t="s">
        <v>204</v>
      </c>
      <c r="L2861" s="97" t="s">
        <v>7089</v>
      </c>
      <c r="N2861" s="76" t="s">
        <v>18</v>
      </c>
      <c r="Q2861" s="76" t="s">
        <v>9428</v>
      </c>
      <c r="R2861" s="73">
        <f t="shared" si="327"/>
        <v>1</v>
      </c>
      <c r="S2861" s="260" t="s">
        <v>1976</v>
      </c>
      <c r="T2861" s="260" t="s">
        <v>924</v>
      </c>
      <c r="Y2861" s="566">
        <v>0.68453703703703705</v>
      </c>
      <c r="Z2861" s="566">
        <v>0.70177083333333334</v>
      </c>
      <c r="AA2861" s="566">
        <f t="shared" si="328"/>
        <v>1.7233796296296289E-2</v>
      </c>
    </row>
    <row r="2862" spans="1:27" x14ac:dyDescent="0.3">
      <c r="A2862" s="79" t="s">
        <v>9310</v>
      </c>
      <c r="C2862" s="115">
        <v>44029</v>
      </c>
      <c r="D2862" s="312">
        <v>44053</v>
      </c>
      <c r="E2862" s="81">
        <v>44046</v>
      </c>
      <c r="F2862" s="86" t="s">
        <v>9394</v>
      </c>
      <c r="G2862" s="86" t="s">
        <v>147</v>
      </c>
      <c r="H2862" s="96" t="s">
        <v>213</v>
      </c>
      <c r="I2862" s="97" t="s">
        <v>649</v>
      </c>
      <c r="J2862" s="73">
        <f t="shared" si="325"/>
        <v>1</v>
      </c>
      <c r="K2862" s="74" t="s">
        <v>204</v>
      </c>
      <c r="L2862" s="97" t="s">
        <v>9472</v>
      </c>
      <c r="N2862" s="76" t="s">
        <v>17</v>
      </c>
      <c r="Q2862" s="76" t="s">
        <v>9428</v>
      </c>
      <c r="R2862" s="73">
        <f t="shared" si="327"/>
        <v>1</v>
      </c>
      <c r="S2862" s="260" t="s">
        <v>1976</v>
      </c>
      <c r="T2862" s="260" t="s">
        <v>924</v>
      </c>
      <c r="U2862" s="76" t="s">
        <v>5283</v>
      </c>
      <c r="V2862" s="301" t="s">
        <v>9473</v>
      </c>
      <c r="Y2862" s="566">
        <v>0.86047453703703702</v>
      </c>
      <c r="Z2862" s="566">
        <v>0.8817476851851852</v>
      </c>
      <c r="AA2862" s="566">
        <f t="shared" si="328"/>
        <v>2.127314814814818E-2</v>
      </c>
    </row>
    <row r="2863" spans="1:27" x14ac:dyDescent="0.3">
      <c r="A2863" s="79" t="s">
        <v>9311</v>
      </c>
      <c r="C2863" s="115">
        <v>44029</v>
      </c>
      <c r="D2863" s="312">
        <v>44053</v>
      </c>
      <c r="E2863" s="81">
        <v>44047</v>
      </c>
      <c r="F2863" s="86" t="s">
        <v>9395</v>
      </c>
      <c r="G2863" s="86" t="s">
        <v>150</v>
      </c>
      <c r="H2863" s="96" t="s">
        <v>213</v>
      </c>
      <c r="I2863" s="97" t="s">
        <v>649</v>
      </c>
      <c r="J2863" s="73">
        <f t="shared" si="325"/>
        <v>1</v>
      </c>
      <c r="K2863" s="74" t="s">
        <v>204</v>
      </c>
      <c r="L2863" s="97" t="s">
        <v>9488</v>
      </c>
      <c r="N2863" s="76" t="s">
        <v>18</v>
      </c>
      <c r="Q2863" s="76" t="s">
        <v>2037</v>
      </c>
      <c r="R2863" s="73">
        <f t="shared" si="327"/>
        <v>1</v>
      </c>
      <c r="S2863" s="260" t="s">
        <v>1976</v>
      </c>
      <c r="T2863" s="260" t="s">
        <v>924</v>
      </c>
      <c r="U2863" s="76" t="s">
        <v>5283</v>
      </c>
      <c r="V2863" s="301" t="s">
        <v>9489</v>
      </c>
      <c r="Y2863" s="566">
        <v>0.80341435185185184</v>
      </c>
      <c r="Z2863" s="566">
        <v>0.81547453703703709</v>
      </c>
      <c r="AA2863" s="566">
        <f t="shared" si="328"/>
        <v>1.2060185185185257E-2</v>
      </c>
    </row>
    <row r="2864" spans="1:27" x14ac:dyDescent="0.3">
      <c r="A2864" s="79" t="s">
        <v>9312</v>
      </c>
      <c r="C2864" s="115">
        <v>44029</v>
      </c>
      <c r="D2864" s="312">
        <v>44053</v>
      </c>
      <c r="E2864" s="81">
        <v>44047</v>
      </c>
      <c r="F2864" s="86" t="s">
        <v>9396</v>
      </c>
      <c r="G2864" s="86" t="s">
        <v>9119</v>
      </c>
      <c r="H2864" s="96" t="s">
        <v>213</v>
      </c>
      <c r="I2864" s="97" t="s">
        <v>649</v>
      </c>
      <c r="J2864" s="73">
        <f t="shared" si="325"/>
        <v>1</v>
      </c>
      <c r="K2864" s="74" t="s">
        <v>204</v>
      </c>
      <c r="L2864" s="97" t="s">
        <v>7089</v>
      </c>
      <c r="N2864" s="76" t="s">
        <v>17</v>
      </c>
      <c r="Q2864" s="76" t="s">
        <v>9428</v>
      </c>
      <c r="R2864" s="73">
        <f t="shared" si="327"/>
        <v>1</v>
      </c>
      <c r="S2864" s="260" t="s">
        <v>1976</v>
      </c>
      <c r="T2864" s="260" t="s">
        <v>925</v>
      </c>
      <c r="Y2864" s="566">
        <v>0.53987268518518516</v>
      </c>
      <c r="Z2864" s="566">
        <v>0.55052083333333335</v>
      </c>
      <c r="AA2864" s="566">
        <f t="shared" si="328"/>
        <v>1.0648148148148184E-2</v>
      </c>
    </row>
    <row r="2865" spans="1:27" x14ac:dyDescent="0.3">
      <c r="A2865" s="79" t="s">
        <v>9313</v>
      </c>
      <c r="C2865" s="115">
        <v>44029</v>
      </c>
      <c r="D2865" s="312">
        <v>44053</v>
      </c>
      <c r="E2865" s="81">
        <v>44047</v>
      </c>
      <c r="F2865" s="86" t="s">
        <v>9397</v>
      </c>
      <c r="G2865" s="86" t="s">
        <v>147</v>
      </c>
      <c r="H2865" s="96" t="s">
        <v>213</v>
      </c>
      <c r="I2865" s="97" t="s">
        <v>649</v>
      </c>
      <c r="J2865" s="73">
        <f t="shared" ref="J2865:J2891" si="329">IF(OR(K2865="Документы готовы",K2865="Запрос в ФО",K2865="ЭЗ",K2865="РЕШ",K2865="РЕШ шаблон"),0.1,IF(OR(K2865="ЭЗ согласование",K2865="РЕШ согласование"),0.3,IF(OR(K2865="ЭЗ согласовано",K2865="РЕШ согласовано",K2865="РЕШ подписано"),0.6,IF(OR(K2865="ЭЗ ПР согласование",K2865="РЕШ УВ согласование"),0.9,IF(OR(K2865="ЭЗ ПР DONE",K2865="РЕШ УВ DONE"),1,0)))))</f>
        <v>1</v>
      </c>
      <c r="K2865" s="74" t="s">
        <v>204</v>
      </c>
      <c r="L2865" s="97" t="s">
        <v>7092</v>
      </c>
      <c r="N2865" s="76" t="s">
        <v>18</v>
      </c>
      <c r="Q2865" s="76" t="s">
        <v>2142</v>
      </c>
      <c r="R2865" s="73">
        <f t="shared" si="327"/>
        <v>1</v>
      </c>
      <c r="S2865" s="260" t="s">
        <v>1976</v>
      </c>
      <c r="T2865" s="260" t="s">
        <v>925</v>
      </c>
      <c r="Y2865" s="566">
        <v>0.82943287037037028</v>
      </c>
      <c r="Z2865" s="566">
        <v>0.83490740740740732</v>
      </c>
      <c r="AA2865" s="566">
        <f t="shared" si="328"/>
        <v>5.4745370370370416E-3</v>
      </c>
    </row>
    <row r="2866" spans="1:27" x14ac:dyDescent="0.3">
      <c r="A2866" s="79" t="s">
        <v>9314</v>
      </c>
      <c r="C2866" s="115">
        <v>44029</v>
      </c>
      <c r="D2866" s="312">
        <v>44053</v>
      </c>
      <c r="E2866" s="81">
        <v>44046</v>
      </c>
      <c r="F2866" s="86" t="s">
        <v>9398</v>
      </c>
      <c r="G2866" s="86" t="s">
        <v>410</v>
      </c>
      <c r="H2866" s="96" t="s">
        <v>213</v>
      </c>
      <c r="I2866" s="97" t="s">
        <v>995</v>
      </c>
      <c r="J2866" s="73">
        <f t="shared" si="329"/>
        <v>1</v>
      </c>
      <c r="K2866" s="74" t="s">
        <v>204</v>
      </c>
      <c r="L2866" s="97" t="s">
        <v>9460</v>
      </c>
      <c r="N2866" s="76" t="s">
        <v>19</v>
      </c>
      <c r="Q2866" s="76" t="s">
        <v>9187</v>
      </c>
      <c r="R2866" s="73">
        <f t="shared" ref="R2866:R2892" si="330">IF(S2866="В работе",0.3,IF(S2866="Отписано",0.6,IF(S2866="На доработку",0.9,IF(S2866="Согласовано",1,0))))</f>
        <v>1</v>
      </c>
      <c r="S2866" s="260" t="s">
        <v>1976</v>
      </c>
      <c r="T2866" s="260" t="s">
        <v>925</v>
      </c>
      <c r="Y2866" s="566">
        <v>0.70392361111111112</v>
      </c>
      <c r="Z2866" s="566">
        <v>0.83189814814814811</v>
      </c>
      <c r="AA2866" s="566">
        <f t="shared" si="328"/>
        <v>0.12797453703703698</v>
      </c>
    </row>
    <row r="2867" spans="1:27" x14ac:dyDescent="0.3">
      <c r="A2867" s="79" t="s">
        <v>9315</v>
      </c>
      <c r="C2867" s="115">
        <v>44032</v>
      </c>
      <c r="D2867" s="312">
        <v>44053</v>
      </c>
      <c r="E2867" s="81">
        <v>44047</v>
      </c>
      <c r="F2867" s="86" t="s">
        <v>9399</v>
      </c>
      <c r="G2867" s="86" t="s">
        <v>181</v>
      </c>
      <c r="H2867" s="96" t="s">
        <v>213</v>
      </c>
      <c r="I2867" s="97" t="s">
        <v>1113</v>
      </c>
      <c r="J2867" s="73">
        <f t="shared" si="329"/>
        <v>1</v>
      </c>
      <c r="K2867" s="74" t="s">
        <v>204</v>
      </c>
      <c r="L2867" s="97" t="s">
        <v>7104</v>
      </c>
      <c r="N2867" s="76" t="s">
        <v>18</v>
      </c>
      <c r="Q2867" s="76" t="s">
        <v>2142</v>
      </c>
      <c r="R2867" s="73">
        <f t="shared" si="330"/>
        <v>1</v>
      </c>
      <c r="S2867" s="260" t="s">
        <v>1976</v>
      </c>
      <c r="T2867" s="260" t="s">
        <v>924</v>
      </c>
      <c r="Y2867" s="566">
        <v>0.83524305555555556</v>
      </c>
      <c r="Z2867" s="566">
        <v>0.83886574074074083</v>
      </c>
      <c r="AA2867" s="566">
        <f t="shared" si="328"/>
        <v>3.6226851851852704E-3</v>
      </c>
    </row>
    <row r="2868" spans="1:27" x14ac:dyDescent="0.3">
      <c r="A2868" s="79" t="s">
        <v>9316</v>
      </c>
      <c r="C2868" s="115">
        <v>44032</v>
      </c>
      <c r="D2868" s="312">
        <v>44054</v>
      </c>
      <c r="E2868" s="81">
        <v>44047</v>
      </c>
      <c r="F2868" s="86" t="s">
        <v>9400</v>
      </c>
      <c r="G2868" s="86" t="s">
        <v>156</v>
      </c>
      <c r="H2868" s="96" t="s">
        <v>213</v>
      </c>
      <c r="I2868" s="97" t="s">
        <v>1113</v>
      </c>
      <c r="J2868" s="73">
        <f t="shared" si="329"/>
        <v>1</v>
      </c>
      <c r="K2868" s="74" t="s">
        <v>204</v>
      </c>
      <c r="L2868" s="97" t="s">
        <v>9486</v>
      </c>
      <c r="N2868" s="76" t="s">
        <v>8990</v>
      </c>
      <c r="Q2868" s="76" t="s">
        <v>9187</v>
      </c>
      <c r="R2868" s="73">
        <f t="shared" si="330"/>
        <v>1</v>
      </c>
      <c r="S2868" s="260" t="s">
        <v>1976</v>
      </c>
      <c r="T2868" s="260" t="s">
        <v>925</v>
      </c>
      <c r="Y2868" s="566">
        <v>0.55126157407407406</v>
      </c>
      <c r="Z2868" s="566">
        <v>0.55932870370370369</v>
      </c>
      <c r="AA2868" s="566">
        <f t="shared" si="328"/>
        <v>8.0671296296296324E-3</v>
      </c>
    </row>
    <row r="2869" spans="1:27" x14ac:dyDescent="0.3">
      <c r="A2869" s="79" t="s">
        <v>9317</v>
      </c>
      <c r="C2869" s="115">
        <v>44032</v>
      </c>
      <c r="D2869" s="312">
        <v>44054</v>
      </c>
      <c r="E2869" s="81">
        <v>44047</v>
      </c>
      <c r="F2869" s="86" t="s">
        <v>9401</v>
      </c>
      <c r="G2869" s="86" t="s">
        <v>410</v>
      </c>
      <c r="H2869" s="96" t="s">
        <v>213</v>
      </c>
      <c r="I2869" s="97" t="s">
        <v>1113</v>
      </c>
      <c r="J2869" s="73">
        <f t="shared" si="329"/>
        <v>1</v>
      </c>
      <c r="K2869" s="74" t="s">
        <v>204</v>
      </c>
      <c r="L2869" s="97" t="s">
        <v>9188</v>
      </c>
      <c r="N2869" s="76" t="s">
        <v>18</v>
      </c>
      <c r="Q2869" s="76" t="s">
        <v>9187</v>
      </c>
      <c r="R2869" s="73">
        <f t="shared" si="330"/>
        <v>1</v>
      </c>
      <c r="S2869" s="260" t="s">
        <v>1976</v>
      </c>
      <c r="T2869" s="260" t="s">
        <v>925</v>
      </c>
      <c r="Y2869" s="566">
        <v>0.52543981481481483</v>
      </c>
      <c r="Z2869" s="566">
        <v>0.5285185185185185</v>
      </c>
      <c r="AA2869" s="566">
        <f t="shared" si="328"/>
        <v>3.0787037037036669E-3</v>
      </c>
    </row>
    <row r="2870" spans="1:27" x14ac:dyDescent="0.3">
      <c r="A2870" s="79" t="s">
        <v>9318</v>
      </c>
      <c r="C2870" s="115">
        <v>44032</v>
      </c>
      <c r="D2870" s="312">
        <v>44054</v>
      </c>
      <c r="E2870" s="81">
        <v>44047</v>
      </c>
      <c r="F2870" s="86" t="s">
        <v>9402</v>
      </c>
      <c r="G2870" s="86" t="s">
        <v>150</v>
      </c>
      <c r="H2870" s="96" t="s">
        <v>213</v>
      </c>
      <c r="I2870" s="97" t="s">
        <v>1113</v>
      </c>
      <c r="J2870" s="73">
        <f t="shared" si="329"/>
        <v>1</v>
      </c>
      <c r="K2870" s="74" t="s">
        <v>204</v>
      </c>
      <c r="L2870" s="97" t="s">
        <v>9482</v>
      </c>
      <c r="N2870" s="76" t="s">
        <v>18</v>
      </c>
      <c r="Q2870" s="76" t="s">
        <v>9187</v>
      </c>
      <c r="R2870" s="73">
        <f t="shared" si="330"/>
        <v>1</v>
      </c>
      <c r="S2870" s="260" t="s">
        <v>1976</v>
      </c>
      <c r="T2870" s="260" t="s">
        <v>924</v>
      </c>
      <c r="Y2870" s="566">
        <v>0.53137731481481476</v>
      </c>
      <c r="Z2870" s="566">
        <v>0.53870370370370368</v>
      </c>
      <c r="AA2870" s="566">
        <f t="shared" si="328"/>
        <v>7.3263888888889239E-3</v>
      </c>
    </row>
    <row r="2871" spans="1:27" x14ac:dyDescent="0.3">
      <c r="A2871" s="79" t="s">
        <v>9319</v>
      </c>
      <c r="C2871" s="115">
        <v>44032</v>
      </c>
      <c r="D2871" s="312">
        <v>44054</v>
      </c>
      <c r="E2871" s="81">
        <v>44048</v>
      </c>
      <c r="F2871" s="86" t="s">
        <v>9403</v>
      </c>
      <c r="G2871" s="86" t="s">
        <v>154</v>
      </c>
      <c r="H2871" s="96" t="s">
        <v>213</v>
      </c>
      <c r="I2871" s="97" t="s">
        <v>972</v>
      </c>
      <c r="J2871" s="73">
        <f t="shared" si="329"/>
        <v>1</v>
      </c>
      <c r="K2871" s="74" t="s">
        <v>204</v>
      </c>
      <c r="L2871" s="97" t="s">
        <v>7079</v>
      </c>
      <c r="N2871" s="76" t="s">
        <v>8990</v>
      </c>
      <c r="Q2871" s="76" t="s">
        <v>2037</v>
      </c>
      <c r="R2871" s="73">
        <f t="shared" si="330"/>
        <v>1</v>
      </c>
      <c r="S2871" s="260" t="s">
        <v>1976</v>
      </c>
      <c r="T2871" s="260" t="s">
        <v>924</v>
      </c>
      <c r="Y2871" s="566">
        <v>0.69675925925925919</v>
      </c>
      <c r="Z2871" s="566">
        <v>0.71206018518518521</v>
      </c>
      <c r="AA2871" s="566">
        <f t="shared" si="328"/>
        <v>1.5300925925926023E-2</v>
      </c>
    </row>
    <row r="2872" spans="1:27" x14ac:dyDescent="0.3">
      <c r="A2872" s="79" t="s">
        <v>9320</v>
      </c>
      <c r="C2872" s="115">
        <v>44032</v>
      </c>
      <c r="D2872" s="312">
        <v>44054</v>
      </c>
      <c r="E2872" s="81">
        <v>44048</v>
      </c>
      <c r="F2872" s="86" t="s">
        <v>9404</v>
      </c>
      <c r="G2872" s="86" t="s">
        <v>6493</v>
      </c>
      <c r="H2872" s="79" t="s">
        <v>268</v>
      </c>
      <c r="I2872" s="97" t="s">
        <v>9553</v>
      </c>
      <c r="J2872" s="73">
        <f t="shared" si="329"/>
        <v>1</v>
      </c>
      <c r="K2872" s="74" t="s">
        <v>204</v>
      </c>
      <c r="L2872" s="97" t="s">
        <v>9594</v>
      </c>
      <c r="Q2872" s="76" t="s">
        <v>9428</v>
      </c>
      <c r="R2872" s="73">
        <f t="shared" si="330"/>
        <v>1</v>
      </c>
      <c r="S2872" s="260" t="s">
        <v>1976</v>
      </c>
      <c r="T2872" s="260" t="s">
        <v>924</v>
      </c>
      <c r="Y2872" s="566">
        <v>0.91393518518518524</v>
      </c>
      <c r="Z2872" s="566">
        <v>0.95856481481481481</v>
      </c>
      <c r="AA2872" s="566">
        <f t="shared" si="328"/>
        <v>4.4629629629629575E-2</v>
      </c>
    </row>
    <row r="2873" spans="1:27" x14ac:dyDescent="0.3">
      <c r="A2873" s="79" t="s">
        <v>9321</v>
      </c>
      <c r="C2873" s="115">
        <v>44032</v>
      </c>
      <c r="D2873" s="312">
        <v>44053</v>
      </c>
      <c r="E2873" s="81">
        <v>44046</v>
      </c>
      <c r="F2873" s="86" t="s">
        <v>9405</v>
      </c>
      <c r="G2873" s="86" t="s">
        <v>150</v>
      </c>
      <c r="H2873" s="96" t="s">
        <v>213</v>
      </c>
      <c r="I2873" s="97" t="s">
        <v>722</v>
      </c>
      <c r="J2873" s="73">
        <f t="shared" si="329"/>
        <v>1</v>
      </c>
      <c r="K2873" s="74" t="s">
        <v>204</v>
      </c>
      <c r="L2873" s="97" t="s">
        <v>9001</v>
      </c>
      <c r="N2873" s="76" t="s">
        <v>18</v>
      </c>
      <c r="Q2873" s="76" t="s">
        <v>9187</v>
      </c>
      <c r="R2873" s="73">
        <f t="shared" si="330"/>
        <v>1</v>
      </c>
      <c r="S2873" s="260" t="s">
        <v>1976</v>
      </c>
      <c r="T2873" s="260" t="s">
        <v>925</v>
      </c>
      <c r="Y2873" s="566">
        <v>0.60547453703703702</v>
      </c>
      <c r="Z2873" s="566">
        <v>0.6096759259259259</v>
      </c>
      <c r="AA2873" s="566">
        <f t="shared" si="328"/>
        <v>4.2013888888888795E-3</v>
      </c>
    </row>
    <row r="2874" spans="1:27" x14ac:dyDescent="0.3">
      <c r="A2874" s="79" t="s">
        <v>9322</v>
      </c>
      <c r="C2874" s="115">
        <v>44032</v>
      </c>
      <c r="D2874" s="312">
        <v>44054</v>
      </c>
      <c r="E2874" s="81">
        <v>44048</v>
      </c>
      <c r="F2874" s="86" t="s">
        <v>9406</v>
      </c>
      <c r="G2874" s="86" t="s">
        <v>410</v>
      </c>
      <c r="H2874" s="96" t="s">
        <v>213</v>
      </c>
      <c r="I2874" s="97" t="s">
        <v>1113</v>
      </c>
      <c r="J2874" s="73">
        <f t="shared" si="329"/>
        <v>1</v>
      </c>
      <c r="K2874" s="74" t="s">
        <v>204</v>
      </c>
      <c r="L2874" s="97" t="s">
        <v>9188</v>
      </c>
      <c r="N2874" s="76" t="s">
        <v>18</v>
      </c>
      <c r="Q2874" s="76" t="s">
        <v>2142</v>
      </c>
      <c r="R2874" s="73">
        <f t="shared" si="330"/>
        <v>1</v>
      </c>
      <c r="S2874" s="260" t="s">
        <v>1976</v>
      </c>
      <c r="T2874" s="260" t="s">
        <v>925</v>
      </c>
      <c r="Y2874" s="566">
        <v>0.75532407407407398</v>
      </c>
      <c r="Z2874" s="566">
        <v>0.76365740740740751</v>
      </c>
      <c r="AA2874" s="566">
        <f t="shared" si="328"/>
        <v>8.3333333333335258E-3</v>
      </c>
    </row>
    <row r="2875" spans="1:27" x14ac:dyDescent="0.3">
      <c r="A2875" s="79" t="s">
        <v>9323</v>
      </c>
      <c r="C2875" s="115">
        <v>44032</v>
      </c>
      <c r="D2875" s="312">
        <v>44053</v>
      </c>
      <c r="E2875" s="81">
        <v>44047</v>
      </c>
      <c r="F2875" s="86" t="s">
        <v>9407</v>
      </c>
      <c r="G2875" s="86" t="s">
        <v>152</v>
      </c>
      <c r="H2875" s="96" t="s">
        <v>213</v>
      </c>
      <c r="I2875" s="97" t="s">
        <v>684</v>
      </c>
      <c r="J2875" s="73">
        <f t="shared" si="329"/>
        <v>1</v>
      </c>
      <c r="K2875" s="74" t="s">
        <v>204</v>
      </c>
      <c r="L2875" s="97" t="s">
        <v>1748</v>
      </c>
      <c r="N2875" s="76" t="s">
        <v>8990</v>
      </c>
      <c r="Q2875" s="76" t="s">
        <v>9428</v>
      </c>
      <c r="R2875" s="73">
        <f t="shared" si="330"/>
        <v>1</v>
      </c>
      <c r="S2875" s="260" t="s">
        <v>1976</v>
      </c>
      <c r="T2875" s="260" t="s">
        <v>924</v>
      </c>
      <c r="Y2875" s="566">
        <v>0.66473379629629636</v>
      </c>
      <c r="Z2875" s="566">
        <v>0.70540509259259254</v>
      </c>
      <c r="AA2875" s="566">
        <f t="shared" si="328"/>
        <v>4.0671296296296178E-2</v>
      </c>
    </row>
    <row r="2876" spans="1:27" x14ac:dyDescent="0.3">
      <c r="A2876" s="79" t="s">
        <v>9324</v>
      </c>
      <c r="C2876" s="115">
        <v>44032</v>
      </c>
      <c r="D2876" s="312">
        <v>44054</v>
      </c>
      <c r="E2876" s="81">
        <v>44048</v>
      </c>
      <c r="F2876" s="86" t="s">
        <v>9408</v>
      </c>
      <c r="G2876" s="86" t="s">
        <v>189</v>
      </c>
      <c r="H2876" s="96" t="s">
        <v>213</v>
      </c>
      <c r="I2876" s="97" t="s">
        <v>649</v>
      </c>
      <c r="J2876" s="73">
        <f t="shared" si="329"/>
        <v>1</v>
      </c>
      <c r="K2876" s="74" t="s">
        <v>204</v>
      </c>
      <c r="L2876" s="97" t="s">
        <v>9512</v>
      </c>
      <c r="N2876" s="76" t="s">
        <v>8990</v>
      </c>
      <c r="Q2876" s="76" t="s">
        <v>2142</v>
      </c>
      <c r="R2876" s="73">
        <f t="shared" si="330"/>
        <v>1</v>
      </c>
      <c r="S2876" s="260" t="s">
        <v>1976</v>
      </c>
      <c r="T2876" s="260" t="s">
        <v>925</v>
      </c>
      <c r="Y2876" s="566">
        <v>0.76388888888888884</v>
      </c>
      <c r="Z2876" s="566">
        <v>0.77135416666666667</v>
      </c>
      <c r="AA2876" s="566">
        <f t="shared" si="328"/>
        <v>7.4652777777778345E-3</v>
      </c>
    </row>
    <row r="2877" spans="1:27" x14ac:dyDescent="0.3">
      <c r="A2877" s="79" t="s">
        <v>9325</v>
      </c>
      <c r="C2877" s="115">
        <v>44033</v>
      </c>
      <c r="D2877" s="312">
        <v>44054</v>
      </c>
      <c r="E2877" s="81">
        <v>44048</v>
      </c>
      <c r="F2877" s="86" t="s">
        <v>9409</v>
      </c>
      <c r="G2877" s="86" t="s">
        <v>9119</v>
      </c>
      <c r="H2877" s="96" t="s">
        <v>213</v>
      </c>
      <c r="I2877" s="97" t="s">
        <v>4963</v>
      </c>
      <c r="J2877" s="73">
        <f t="shared" si="329"/>
        <v>1</v>
      </c>
      <c r="K2877" s="74" t="s">
        <v>204</v>
      </c>
      <c r="L2877" s="97" t="s">
        <v>7073</v>
      </c>
      <c r="N2877" s="76" t="s">
        <v>8990</v>
      </c>
      <c r="Q2877" s="76" t="s">
        <v>9428</v>
      </c>
      <c r="R2877" s="73">
        <f t="shared" si="330"/>
        <v>1</v>
      </c>
      <c r="S2877" s="260" t="s">
        <v>1976</v>
      </c>
      <c r="T2877" s="260" t="s">
        <v>925</v>
      </c>
      <c r="Y2877" s="566">
        <v>0.9591087962962962</v>
      </c>
      <c r="Z2877" s="566">
        <v>0.99732638888888892</v>
      </c>
      <c r="AA2877" s="566">
        <f t="shared" si="328"/>
        <v>3.821759259259272E-2</v>
      </c>
    </row>
    <row r="2878" spans="1:27" x14ac:dyDescent="0.3">
      <c r="A2878" s="79" t="s">
        <v>9326</v>
      </c>
      <c r="C2878" s="115">
        <v>44033</v>
      </c>
      <c r="D2878" s="312">
        <v>44054</v>
      </c>
      <c r="E2878" s="81">
        <v>44047</v>
      </c>
      <c r="F2878" s="86" t="s">
        <v>3809</v>
      </c>
      <c r="G2878" s="86" t="s">
        <v>9119</v>
      </c>
      <c r="H2878" s="96" t="s">
        <v>213</v>
      </c>
      <c r="I2878" s="97" t="s">
        <v>2729</v>
      </c>
      <c r="J2878" s="73">
        <f t="shared" si="329"/>
        <v>1</v>
      </c>
      <c r="K2878" s="74" t="s">
        <v>204</v>
      </c>
      <c r="L2878" s="97" t="s">
        <v>9478</v>
      </c>
      <c r="N2878" s="76" t="s">
        <v>8990</v>
      </c>
      <c r="Q2878" s="76" t="s">
        <v>9187</v>
      </c>
      <c r="R2878" s="73">
        <f t="shared" si="330"/>
        <v>1</v>
      </c>
      <c r="S2878" s="260" t="s">
        <v>1976</v>
      </c>
      <c r="T2878" s="260" t="s">
        <v>8990</v>
      </c>
      <c r="Y2878" s="566">
        <v>0.48629629629629628</v>
      </c>
      <c r="Z2878" s="566">
        <v>0.49307870370370371</v>
      </c>
      <c r="AA2878" s="566">
        <f t="shared" si="328"/>
        <v>6.7824074074074314E-3</v>
      </c>
    </row>
    <row r="2879" spans="1:27" x14ac:dyDescent="0.3">
      <c r="A2879" s="79" t="s">
        <v>9327</v>
      </c>
      <c r="C2879" s="115">
        <v>44033</v>
      </c>
      <c r="D2879" s="312">
        <v>44054</v>
      </c>
      <c r="E2879" s="81">
        <v>44048</v>
      </c>
      <c r="F2879" s="86" t="s">
        <v>9410</v>
      </c>
      <c r="G2879" s="86" t="s">
        <v>156</v>
      </c>
      <c r="H2879" s="96" t="s">
        <v>213</v>
      </c>
      <c r="I2879" s="97" t="s">
        <v>649</v>
      </c>
      <c r="J2879" s="73">
        <f t="shared" si="329"/>
        <v>1</v>
      </c>
      <c r="K2879" s="74" t="s">
        <v>204</v>
      </c>
      <c r="L2879" s="97" t="s">
        <v>9508</v>
      </c>
      <c r="N2879" s="76" t="s">
        <v>18</v>
      </c>
      <c r="Q2879" s="76" t="s">
        <v>9428</v>
      </c>
      <c r="R2879" s="73">
        <f t="shared" si="330"/>
        <v>1</v>
      </c>
      <c r="S2879" s="260" t="s">
        <v>1976</v>
      </c>
      <c r="T2879" s="260" t="s">
        <v>925</v>
      </c>
      <c r="Y2879" s="566">
        <v>0.51836805555555554</v>
      </c>
      <c r="Z2879" s="566">
        <v>0.5220717592592593</v>
      </c>
      <c r="AA2879" s="566">
        <f t="shared" si="328"/>
        <v>3.7037037037037646E-3</v>
      </c>
    </row>
    <row r="2880" spans="1:27" x14ac:dyDescent="0.3">
      <c r="A2880" s="79" t="s">
        <v>9328</v>
      </c>
      <c r="C2880" s="115">
        <v>44033</v>
      </c>
      <c r="D2880" s="312">
        <v>44054</v>
      </c>
      <c r="E2880" s="81">
        <v>44048</v>
      </c>
      <c r="F2880" s="86" t="s">
        <v>9411</v>
      </c>
      <c r="G2880" s="86" t="s">
        <v>410</v>
      </c>
      <c r="H2880" s="96" t="s">
        <v>213</v>
      </c>
      <c r="I2880" s="97" t="s">
        <v>1113</v>
      </c>
      <c r="J2880" s="73">
        <f t="shared" si="329"/>
        <v>1</v>
      </c>
      <c r="K2880" s="74" t="s">
        <v>204</v>
      </c>
      <c r="L2880" s="97" t="s">
        <v>9506</v>
      </c>
      <c r="N2880" s="76" t="s">
        <v>8990</v>
      </c>
      <c r="Q2880" s="76" t="s">
        <v>9428</v>
      </c>
      <c r="R2880" s="73">
        <f t="shared" si="330"/>
        <v>1</v>
      </c>
      <c r="S2880" s="260" t="s">
        <v>1976</v>
      </c>
      <c r="T2880" s="260" t="s">
        <v>924</v>
      </c>
      <c r="Y2880" s="566">
        <v>0.49252314814814818</v>
      </c>
      <c r="Z2880" s="566">
        <v>0.50010416666666668</v>
      </c>
      <c r="AA2880" s="566">
        <f t="shared" si="328"/>
        <v>7.5810185185185008E-3</v>
      </c>
    </row>
    <row r="2881" spans="1:27" x14ac:dyDescent="0.3">
      <c r="A2881" s="79" t="s">
        <v>9329</v>
      </c>
      <c r="C2881" s="115">
        <v>44033</v>
      </c>
      <c r="D2881" s="312">
        <v>44055</v>
      </c>
      <c r="E2881" s="81">
        <v>44049</v>
      </c>
      <c r="F2881" s="86" t="s">
        <v>9412</v>
      </c>
      <c r="G2881" s="86" t="s">
        <v>1042</v>
      </c>
      <c r="H2881" s="96" t="s">
        <v>213</v>
      </c>
      <c r="I2881" s="97" t="s">
        <v>2729</v>
      </c>
      <c r="J2881" s="73">
        <f t="shared" si="329"/>
        <v>1</v>
      </c>
      <c r="K2881" s="74" t="s">
        <v>204</v>
      </c>
      <c r="L2881" s="97" t="s">
        <v>9478</v>
      </c>
      <c r="N2881" s="76" t="s">
        <v>19</v>
      </c>
      <c r="Q2881" s="76" t="s">
        <v>2142</v>
      </c>
      <c r="R2881" s="73">
        <f t="shared" si="330"/>
        <v>1</v>
      </c>
      <c r="S2881" s="260" t="s">
        <v>1976</v>
      </c>
      <c r="T2881" s="260" t="s">
        <v>924</v>
      </c>
      <c r="Y2881" s="566">
        <v>0.54616898148148152</v>
      </c>
      <c r="Z2881" s="566">
        <v>0.55130787037037032</v>
      </c>
      <c r="AA2881" s="566">
        <f t="shared" si="328"/>
        <v>5.138888888888804E-3</v>
      </c>
    </row>
    <row r="2882" spans="1:27" x14ac:dyDescent="0.3">
      <c r="A2882" s="79" t="s">
        <v>9330</v>
      </c>
      <c r="C2882" s="115">
        <v>44033</v>
      </c>
      <c r="D2882" s="312">
        <v>44055</v>
      </c>
      <c r="E2882" s="81">
        <v>44049</v>
      </c>
      <c r="F2882" s="86" t="s">
        <v>9413</v>
      </c>
      <c r="G2882" s="86" t="s">
        <v>154</v>
      </c>
      <c r="H2882" s="96" t="s">
        <v>213</v>
      </c>
      <c r="I2882" s="97" t="s">
        <v>649</v>
      </c>
      <c r="J2882" s="73">
        <f t="shared" si="329"/>
        <v>1</v>
      </c>
      <c r="K2882" s="74" t="s">
        <v>204</v>
      </c>
      <c r="L2882" s="97" t="s">
        <v>9593</v>
      </c>
      <c r="Q2882" s="76" t="s">
        <v>2142</v>
      </c>
      <c r="R2882" s="73">
        <f t="shared" si="330"/>
        <v>1</v>
      </c>
      <c r="S2882" s="260" t="s">
        <v>1976</v>
      </c>
      <c r="T2882" s="260" t="s">
        <v>924</v>
      </c>
      <c r="Y2882" s="566">
        <v>0.60243055555555558</v>
      </c>
      <c r="Z2882" s="566">
        <v>0.63331018518518511</v>
      </c>
      <c r="AA2882" s="566">
        <f t="shared" si="328"/>
        <v>3.0879629629629535E-2</v>
      </c>
    </row>
    <row r="2883" spans="1:27" x14ac:dyDescent="0.3">
      <c r="A2883" s="79" t="s">
        <v>9331</v>
      </c>
      <c r="C2883" s="115">
        <v>44033</v>
      </c>
      <c r="D2883" s="312">
        <v>44055</v>
      </c>
      <c r="E2883" s="81">
        <v>44049</v>
      </c>
      <c r="F2883" s="86" t="s">
        <v>9414</v>
      </c>
      <c r="G2883" s="86" t="s">
        <v>154</v>
      </c>
      <c r="H2883" s="96" t="s">
        <v>213</v>
      </c>
      <c r="I2883" s="97" t="s">
        <v>722</v>
      </c>
      <c r="J2883" s="73">
        <f t="shared" si="329"/>
        <v>1</v>
      </c>
      <c r="K2883" s="74" t="s">
        <v>204</v>
      </c>
      <c r="L2883" s="97" t="s">
        <v>9570</v>
      </c>
      <c r="N2883" s="76" t="s">
        <v>18</v>
      </c>
      <c r="Q2883" s="76" t="s">
        <v>9428</v>
      </c>
      <c r="R2883" s="73">
        <f t="shared" si="330"/>
        <v>1</v>
      </c>
      <c r="S2883" s="260" t="s">
        <v>1976</v>
      </c>
      <c r="T2883" s="260" t="s">
        <v>924</v>
      </c>
      <c r="Y2883" s="566">
        <v>0.53403935185185192</v>
      </c>
      <c r="Z2883" s="566">
        <v>0.54342592592592587</v>
      </c>
      <c r="AA2883" s="566">
        <f t="shared" si="328"/>
        <v>9.3865740740739501E-3</v>
      </c>
    </row>
    <row r="2884" spans="1:27" x14ac:dyDescent="0.3">
      <c r="A2884" s="79" t="s">
        <v>9332</v>
      </c>
      <c r="C2884" s="115">
        <v>44034</v>
      </c>
      <c r="D2884" s="312">
        <v>44056</v>
      </c>
      <c r="E2884" s="81">
        <v>44050</v>
      </c>
      <c r="F2884" s="86" t="s">
        <v>9415</v>
      </c>
      <c r="G2884" s="86" t="s">
        <v>181</v>
      </c>
      <c r="H2884" s="96" t="s">
        <v>213</v>
      </c>
      <c r="I2884" s="97" t="s">
        <v>995</v>
      </c>
      <c r="J2884" s="73">
        <f t="shared" si="329"/>
        <v>1</v>
      </c>
      <c r="K2884" s="74" t="s">
        <v>204</v>
      </c>
      <c r="L2884" s="97" t="s">
        <v>7073</v>
      </c>
      <c r="N2884" s="76" t="s">
        <v>19</v>
      </c>
      <c r="Q2884" s="76" t="s">
        <v>9428</v>
      </c>
      <c r="R2884" s="73">
        <f t="shared" si="330"/>
        <v>1</v>
      </c>
      <c r="S2884" s="260" t="s">
        <v>1976</v>
      </c>
      <c r="T2884" s="260" t="s">
        <v>925</v>
      </c>
      <c r="U2884" s="76" t="s">
        <v>5283</v>
      </c>
      <c r="V2884" s="301" t="s">
        <v>9632</v>
      </c>
      <c r="Y2884" s="566">
        <v>0.45795138888888887</v>
      </c>
      <c r="Z2884" s="566">
        <v>0.48076388888888894</v>
      </c>
      <c r="AA2884" s="566">
        <f t="shared" si="328"/>
        <v>2.2812500000000069E-2</v>
      </c>
    </row>
    <row r="2885" spans="1:27" x14ac:dyDescent="0.3">
      <c r="A2885" s="79" t="s">
        <v>9333</v>
      </c>
      <c r="C2885" s="115">
        <v>44034</v>
      </c>
      <c r="D2885" s="312">
        <v>44056</v>
      </c>
      <c r="E2885" s="81">
        <v>44050</v>
      </c>
      <c r="F2885" s="86" t="s">
        <v>9416</v>
      </c>
      <c r="G2885" s="86" t="s">
        <v>156</v>
      </c>
      <c r="H2885" s="96" t="s">
        <v>213</v>
      </c>
      <c r="I2885" s="97" t="s">
        <v>649</v>
      </c>
      <c r="J2885" s="73">
        <f t="shared" si="329"/>
        <v>1</v>
      </c>
      <c r="K2885" s="74" t="s">
        <v>204</v>
      </c>
      <c r="L2885" s="97" t="s">
        <v>7089</v>
      </c>
      <c r="N2885" s="76" t="s">
        <v>17</v>
      </c>
      <c r="Q2885" s="76" t="s">
        <v>9428</v>
      </c>
      <c r="R2885" s="73">
        <f t="shared" si="330"/>
        <v>1</v>
      </c>
      <c r="S2885" s="260" t="s">
        <v>1976</v>
      </c>
      <c r="T2885" s="260" t="s">
        <v>925</v>
      </c>
      <c r="Y2885" s="566">
        <v>0.48143518518518519</v>
      </c>
      <c r="Z2885" s="566">
        <v>0.50474537037037037</v>
      </c>
      <c r="AA2885" s="566">
        <f t="shared" si="328"/>
        <v>2.3310185185185184E-2</v>
      </c>
    </row>
    <row r="2886" spans="1:27" x14ac:dyDescent="0.3">
      <c r="A2886" s="79" t="s">
        <v>9334</v>
      </c>
      <c r="C2886" s="115">
        <v>44034</v>
      </c>
      <c r="D2886" s="312">
        <v>44056</v>
      </c>
      <c r="E2886" s="81">
        <v>44049</v>
      </c>
      <c r="F2886" s="86" t="s">
        <v>9417</v>
      </c>
      <c r="G2886" s="86" t="s">
        <v>152</v>
      </c>
      <c r="H2886" s="96" t="s">
        <v>213</v>
      </c>
      <c r="I2886" s="97" t="s">
        <v>649</v>
      </c>
      <c r="J2886" s="73">
        <f t="shared" si="329"/>
        <v>1</v>
      </c>
      <c r="K2886" s="74" t="s">
        <v>204</v>
      </c>
      <c r="L2886" s="97" t="s">
        <v>7089</v>
      </c>
      <c r="N2886" s="76" t="s">
        <v>8990</v>
      </c>
      <c r="Q2886" s="76" t="s">
        <v>9187</v>
      </c>
      <c r="R2886" s="73">
        <f t="shared" si="330"/>
        <v>1</v>
      </c>
      <c r="S2886" s="260" t="s">
        <v>1976</v>
      </c>
      <c r="T2886" s="260" t="s">
        <v>8990</v>
      </c>
      <c r="Y2886" s="566">
        <v>0.67151620370370368</v>
      </c>
      <c r="Z2886" s="566">
        <v>0.68012731481481481</v>
      </c>
      <c r="AA2886" s="566">
        <f t="shared" si="328"/>
        <v>8.6111111111111249E-3</v>
      </c>
    </row>
    <row r="2887" spans="1:27" x14ac:dyDescent="0.3">
      <c r="A2887" s="79" t="s">
        <v>9335</v>
      </c>
      <c r="C2887" s="115">
        <v>44034</v>
      </c>
      <c r="D2887" s="312">
        <v>44056</v>
      </c>
      <c r="E2887" s="81">
        <v>44050</v>
      </c>
      <c r="F2887" s="86" t="s">
        <v>9418</v>
      </c>
      <c r="G2887" s="86" t="s">
        <v>189</v>
      </c>
      <c r="H2887" s="96" t="s">
        <v>213</v>
      </c>
      <c r="I2887" s="97" t="s">
        <v>684</v>
      </c>
      <c r="J2887" s="73">
        <f t="shared" si="329"/>
        <v>1</v>
      </c>
      <c r="K2887" s="74" t="s">
        <v>204</v>
      </c>
      <c r="L2887" s="97" t="s">
        <v>9637</v>
      </c>
      <c r="N2887" s="76" t="s">
        <v>18</v>
      </c>
      <c r="Q2887" s="76" t="s">
        <v>2037</v>
      </c>
      <c r="R2887" s="73">
        <f t="shared" si="330"/>
        <v>1</v>
      </c>
      <c r="S2887" s="260" t="s">
        <v>1976</v>
      </c>
      <c r="T2887" s="260" t="s">
        <v>924</v>
      </c>
      <c r="Y2887" s="566">
        <v>0.52015046296296297</v>
      </c>
      <c r="Z2887" s="566">
        <v>0.52962962962962956</v>
      </c>
      <c r="AA2887" s="566">
        <f t="shared" ref="AA2887:AA2948" si="331">Z2887-Y2887</f>
        <v>9.4791666666665941E-3</v>
      </c>
    </row>
    <row r="2888" spans="1:27" x14ac:dyDescent="0.3">
      <c r="A2888" s="79" t="s">
        <v>9336</v>
      </c>
      <c r="C2888" s="115">
        <v>44034</v>
      </c>
      <c r="D2888" s="312">
        <v>44056</v>
      </c>
      <c r="E2888" s="81">
        <v>44049</v>
      </c>
      <c r="F2888" s="86" t="s">
        <v>9419</v>
      </c>
      <c r="G2888" s="86" t="s">
        <v>152</v>
      </c>
      <c r="H2888" s="96" t="s">
        <v>213</v>
      </c>
      <c r="I2888" s="97" t="s">
        <v>1113</v>
      </c>
      <c r="J2888" s="73">
        <f t="shared" si="329"/>
        <v>1</v>
      </c>
      <c r="K2888" s="74" t="s">
        <v>204</v>
      </c>
      <c r="L2888" s="97" t="s">
        <v>9602</v>
      </c>
      <c r="N2888" s="76" t="s">
        <v>8990</v>
      </c>
      <c r="Q2888" s="76" t="s">
        <v>9187</v>
      </c>
      <c r="R2888" s="73">
        <f t="shared" si="330"/>
        <v>1</v>
      </c>
      <c r="S2888" s="260" t="s">
        <v>1976</v>
      </c>
      <c r="T2888" s="260" t="s">
        <v>8990</v>
      </c>
      <c r="Y2888" s="566">
        <v>0.66473379629629636</v>
      </c>
      <c r="Z2888" s="566">
        <v>0.67130787037037043</v>
      </c>
      <c r="AA2888" s="566">
        <f t="shared" si="331"/>
        <v>6.5740740740740655E-3</v>
      </c>
    </row>
    <row r="2889" spans="1:27" x14ac:dyDescent="0.3">
      <c r="A2889" s="79" t="s">
        <v>9337</v>
      </c>
      <c r="C2889" s="115">
        <v>44034</v>
      </c>
      <c r="D2889" s="312">
        <v>44056</v>
      </c>
      <c r="E2889" s="81">
        <v>44050</v>
      </c>
      <c r="F2889" s="97" t="s">
        <v>9639</v>
      </c>
      <c r="G2889" s="86" t="s">
        <v>156</v>
      </c>
      <c r="H2889" s="96" t="s">
        <v>213</v>
      </c>
      <c r="I2889" s="97" t="s">
        <v>1113</v>
      </c>
      <c r="J2889" s="73">
        <f t="shared" si="329"/>
        <v>1</v>
      </c>
      <c r="K2889" s="74" t="s">
        <v>204</v>
      </c>
      <c r="L2889" s="97" t="s">
        <v>9640</v>
      </c>
      <c r="N2889" s="76" t="s">
        <v>18</v>
      </c>
      <c r="Q2889" s="76" t="s">
        <v>2142</v>
      </c>
      <c r="R2889" s="73">
        <f t="shared" si="330"/>
        <v>1</v>
      </c>
      <c r="S2889" s="260" t="s">
        <v>1976</v>
      </c>
      <c r="T2889" s="260" t="s">
        <v>925</v>
      </c>
      <c r="Y2889" s="566">
        <v>0.61379629629629628</v>
      </c>
      <c r="Z2889" s="566">
        <v>0.62040509259259258</v>
      </c>
      <c r="AA2889" s="566">
        <f t="shared" si="331"/>
        <v>6.6087962962962932E-3</v>
      </c>
    </row>
    <row r="2890" spans="1:27" x14ac:dyDescent="0.3">
      <c r="A2890" s="79" t="s">
        <v>9338</v>
      </c>
      <c r="C2890" s="115">
        <v>44035</v>
      </c>
      <c r="D2890" s="312">
        <v>44056</v>
      </c>
      <c r="E2890" s="81">
        <v>44050</v>
      </c>
      <c r="F2890" s="86" t="s">
        <v>9420</v>
      </c>
      <c r="G2890" s="86" t="s">
        <v>156</v>
      </c>
      <c r="H2890" s="96" t="s">
        <v>213</v>
      </c>
      <c r="I2890" s="97" t="s">
        <v>2729</v>
      </c>
      <c r="J2890" s="73">
        <f t="shared" si="329"/>
        <v>1</v>
      </c>
      <c r="K2890" s="74" t="s">
        <v>204</v>
      </c>
      <c r="L2890" s="97" t="s">
        <v>9478</v>
      </c>
      <c r="N2890" s="76" t="s">
        <v>8990</v>
      </c>
      <c r="Q2890" s="76" t="s">
        <v>9187</v>
      </c>
      <c r="R2890" s="73">
        <f t="shared" si="330"/>
        <v>1</v>
      </c>
      <c r="S2890" s="260" t="s">
        <v>1976</v>
      </c>
      <c r="T2890" s="260" t="s">
        <v>925</v>
      </c>
      <c r="Y2890" s="566">
        <v>0.62103009259259256</v>
      </c>
      <c r="Z2890" s="566">
        <v>0.62927083333333333</v>
      </c>
      <c r="AA2890" s="566">
        <f t="shared" si="331"/>
        <v>8.2407407407407707E-3</v>
      </c>
    </row>
    <row r="2891" spans="1:27" x14ac:dyDescent="0.3">
      <c r="A2891" s="79" t="s">
        <v>9339</v>
      </c>
      <c r="C2891" s="115">
        <v>44035</v>
      </c>
      <c r="D2891" s="312">
        <v>44056</v>
      </c>
      <c r="E2891" s="81">
        <v>44050</v>
      </c>
      <c r="F2891" s="86" t="s">
        <v>9421</v>
      </c>
      <c r="G2891" s="86" t="s">
        <v>189</v>
      </c>
      <c r="H2891" s="96" t="s">
        <v>213</v>
      </c>
      <c r="I2891" s="97" t="s">
        <v>649</v>
      </c>
      <c r="J2891" s="73">
        <f t="shared" si="329"/>
        <v>1</v>
      </c>
      <c r="K2891" s="74" t="s">
        <v>204</v>
      </c>
      <c r="L2891" s="97" t="s">
        <v>9638</v>
      </c>
      <c r="N2891" s="76" t="s">
        <v>18</v>
      </c>
      <c r="Q2891" s="76" t="s">
        <v>2037</v>
      </c>
      <c r="R2891" s="73">
        <f t="shared" si="330"/>
        <v>1</v>
      </c>
      <c r="S2891" s="260" t="s">
        <v>1976</v>
      </c>
      <c r="T2891" s="260" t="s">
        <v>924</v>
      </c>
      <c r="Y2891" s="566">
        <v>0.53100694444444441</v>
      </c>
      <c r="Z2891" s="566">
        <v>0.53834490740740748</v>
      </c>
      <c r="AA2891" s="566">
        <f t="shared" si="331"/>
        <v>7.3379629629630738E-3</v>
      </c>
    </row>
    <row r="2892" spans="1:27" x14ac:dyDescent="0.3">
      <c r="A2892" s="79" t="s">
        <v>9340</v>
      </c>
      <c r="C2892" s="115">
        <v>44035</v>
      </c>
      <c r="D2892" s="312">
        <v>44057</v>
      </c>
      <c r="E2892" s="81">
        <v>44052</v>
      </c>
      <c r="F2892" s="86" t="s">
        <v>9422</v>
      </c>
      <c r="G2892" s="86" t="s">
        <v>154</v>
      </c>
      <c r="H2892" s="96" t="s">
        <v>213</v>
      </c>
      <c r="I2892" s="97" t="s">
        <v>658</v>
      </c>
      <c r="J2892" s="73">
        <f t="shared" ref="J2892:J2897" si="332">IF(OR(K2892="Документы готовы",K2892="Запрос в ФО",K2892="ЭЗ",K2892="РЕШ",K2892="РЕШ шаблон"),0.1,IF(OR(K2892="ЭЗ согласование",K2892="РЕШ согласование"),0.3,IF(OR(K2892="ЭЗ согласовано",K2892="РЕШ согласовано",K2892="РЕШ подписано"),0.6,IF(OR(K2892="ЭЗ ПР согласование",K2892="РЕШ УВ согласование"),0.9,IF(OR(K2892="ЭЗ ПР DONE",K2892="РЕШ УВ DONE"),1,0)))))</f>
        <v>1</v>
      </c>
      <c r="K2892" s="74" t="s">
        <v>204</v>
      </c>
      <c r="L2892" s="97" t="s">
        <v>7728</v>
      </c>
      <c r="N2892" s="76" t="s">
        <v>18</v>
      </c>
      <c r="Q2892" s="76" t="s">
        <v>2037</v>
      </c>
      <c r="R2892" s="73">
        <f t="shared" si="330"/>
        <v>1</v>
      </c>
      <c r="S2892" s="260" t="s">
        <v>1976</v>
      </c>
      <c r="T2892" s="260" t="s">
        <v>925</v>
      </c>
      <c r="Y2892" s="566">
        <v>0.71767361111111105</v>
      </c>
      <c r="Z2892" s="566">
        <v>0.72324074074074074</v>
      </c>
      <c r="AA2892" s="566">
        <f t="shared" si="331"/>
        <v>5.5671296296296857E-3</v>
      </c>
    </row>
    <row r="2893" spans="1:27" x14ac:dyDescent="0.3">
      <c r="A2893" s="79" t="s">
        <v>9341</v>
      </c>
      <c r="C2893" s="115">
        <v>44036</v>
      </c>
      <c r="D2893" s="312">
        <v>44057</v>
      </c>
      <c r="E2893" s="81">
        <v>44050</v>
      </c>
      <c r="F2893" s="86" t="s">
        <v>9423</v>
      </c>
      <c r="G2893" s="86" t="s">
        <v>147</v>
      </c>
      <c r="H2893" s="96" t="s">
        <v>213</v>
      </c>
      <c r="I2893" s="97" t="s">
        <v>1113</v>
      </c>
      <c r="J2893" s="73">
        <f t="shared" si="332"/>
        <v>1</v>
      </c>
      <c r="K2893" s="74" t="s">
        <v>204</v>
      </c>
      <c r="L2893" s="97" t="s">
        <v>9648</v>
      </c>
      <c r="N2893" s="76" t="s">
        <v>18</v>
      </c>
      <c r="Q2893" s="76" t="s">
        <v>9428</v>
      </c>
      <c r="R2893" s="73">
        <f t="shared" ref="R2893:R2897" si="333">IF(S2893="В работе",0.3,IF(S2893="Отписано",0.6,IF(S2893="На доработку",0.9,IF(S2893="Согласовано",1,0))))</f>
        <v>1</v>
      </c>
      <c r="S2893" s="260" t="s">
        <v>1976</v>
      </c>
      <c r="T2893" s="260" t="s">
        <v>924</v>
      </c>
      <c r="Y2893" s="566">
        <v>0.69934027777777785</v>
      </c>
      <c r="Z2893" s="566">
        <v>0.70218749999999996</v>
      </c>
      <c r="AA2893" s="566">
        <f t="shared" si="331"/>
        <v>2.8472222222221122E-3</v>
      </c>
    </row>
    <row r="2894" spans="1:27" x14ac:dyDescent="0.3">
      <c r="A2894" s="79" t="s">
        <v>9342</v>
      </c>
      <c r="C2894" s="115">
        <v>44036</v>
      </c>
      <c r="D2894" s="312">
        <v>44057</v>
      </c>
      <c r="E2894" s="81">
        <v>44054</v>
      </c>
      <c r="F2894" s="86" t="s">
        <v>9424</v>
      </c>
      <c r="G2894" s="86" t="s">
        <v>152</v>
      </c>
      <c r="H2894" s="96" t="s">
        <v>213</v>
      </c>
      <c r="I2894" s="97" t="s">
        <v>649</v>
      </c>
      <c r="J2894" s="73">
        <f t="shared" si="332"/>
        <v>1</v>
      </c>
      <c r="K2894" s="74" t="s">
        <v>204</v>
      </c>
      <c r="L2894" s="97" t="s">
        <v>7089</v>
      </c>
      <c r="N2894" s="76" t="s">
        <v>17</v>
      </c>
      <c r="Q2894" s="76" t="s">
        <v>2142</v>
      </c>
      <c r="R2894" s="73">
        <f t="shared" si="333"/>
        <v>1</v>
      </c>
      <c r="S2894" s="260" t="s">
        <v>1976</v>
      </c>
      <c r="T2894" s="260" t="s">
        <v>925</v>
      </c>
      <c r="Y2894" s="566">
        <v>0.69160879629629635</v>
      </c>
      <c r="Z2894" s="566">
        <v>0.71873842592592585</v>
      </c>
      <c r="AA2894" s="566">
        <f t="shared" si="331"/>
        <v>2.7129629629629504E-2</v>
      </c>
    </row>
    <row r="2895" spans="1:27" x14ac:dyDescent="0.3">
      <c r="A2895" s="79" t="s">
        <v>9343</v>
      </c>
      <c r="C2895" s="115">
        <v>44036</v>
      </c>
      <c r="D2895" s="312">
        <v>44057</v>
      </c>
      <c r="E2895" s="81">
        <v>44054</v>
      </c>
      <c r="F2895" s="86" t="s">
        <v>9425</v>
      </c>
      <c r="G2895" s="86" t="s">
        <v>152</v>
      </c>
      <c r="H2895" s="96" t="s">
        <v>213</v>
      </c>
      <c r="I2895" s="97" t="s">
        <v>649</v>
      </c>
      <c r="J2895" s="73">
        <f t="shared" si="332"/>
        <v>1</v>
      </c>
      <c r="K2895" s="74" t="s">
        <v>204</v>
      </c>
      <c r="L2895" s="97" t="s">
        <v>7065</v>
      </c>
      <c r="N2895" s="76" t="s">
        <v>17</v>
      </c>
      <c r="Q2895" s="76" t="s">
        <v>2142</v>
      </c>
      <c r="R2895" s="73">
        <f t="shared" si="333"/>
        <v>1</v>
      </c>
      <c r="S2895" s="260" t="s">
        <v>1976</v>
      </c>
      <c r="T2895" s="260" t="s">
        <v>925</v>
      </c>
      <c r="U2895" s="76" t="s">
        <v>5283</v>
      </c>
      <c r="V2895" s="301" t="s">
        <v>9825</v>
      </c>
      <c r="Y2895" s="566">
        <v>0.40047453703703706</v>
      </c>
      <c r="Z2895" s="566">
        <v>0.41423611111111108</v>
      </c>
      <c r="AA2895" s="566">
        <f t="shared" si="331"/>
        <v>1.3761574074074023E-2</v>
      </c>
    </row>
    <row r="2896" spans="1:27" x14ac:dyDescent="0.3">
      <c r="A2896" s="79" t="s">
        <v>9344</v>
      </c>
      <c r="C2896" s="115">
        <v>44036</v>
      </c>
      <c r="D2896" s="312">
        <v>44057</v>
      </c>
      <c r="E2896" s="81">
        <v>44054</v>
      </c>
      <c r="F2896" s="86" t="s">
        <v>9426</v>
      </c>
      <c r="G2896" s="86" t="s">
        <v>172</v>
      </c>
      <c r="H2896" s="96" t="s">
        <v>213</v>
      </c>
      <c r="I2896" s="97" t="s">
        <v>658</v>
      </c>
      <c r="J2896" s="73">
        <f t="shared" si="332"/>
        <v>1</v>
      </c>
      <c r="K2896" s="74" t="s">
        <v>204</v>
      </c>
      <c r="L2896" s="97" t="s">
        <v>9826</v>
      </c>
      <c r="N2896" s="76" t="s">
        <v>18</v>
      </c>
      <c r="Q2896" s="76" t="s">
        <v>2142</v>
      </c>
      <c r="R2896" s="73">
        <f t="shared" si="333"/>
        <v>1</v>
      </c>
      <c r="S2896" s="260" t="s">
        <v>1976</v>
      </c>
      <c r="T2896" s="260" t="s">
        <v>924</v>
      </c>
      <c r="Y2896" s="566">
        <v>0.42336805555555551</v>
      </c>
      <c r="Z2896" s="566">
        <v>0.44216435185185188</v>
      </c>
      <c r="AA2896" s="566">
        <f t="shared" si="331"/>
        <v>1.8796296296296366E-2</v>
      </c>
    </row>
    <row r="2897" spans="1:27" x14ac:dyDescent="0.3">
      <c r="A2897" s="79" t="s">
        <v>9345</v>
      </c>
      <c r="C2897" s="115">
        <v>44036</v>
      </c>
      <c r="D2897" s="312">
        <v>44057</v>
      </c>
      <c r="E2897" s="81">
        <v>44049</v>
      </c>
      <c r="F2897" s="86" t="s">
        <v>9427</v>
      </c>
      <c r="G2897" s="86" t="s">
        <v>156</v>
      </c>
      <c r="H2897" s="96" t="s">
        <v>213</v>
      </c>
      <c r="I2897" s="97" t="s">
        <v>1113</v>
      </c>
      <c r="J2897" s="73">
        <f t="shared" si="332"/>
        <v>1</v>
      </c>
      <c r="K2897" s="74" t="s">
        <v>204</v>
      </c>
      <c r="L2897" s="97" t="s">
        <v>7104</v>
      </c>
      <c r="N2897" s="76" t="s">
        <v>8990</v>
      </c>
      <c r="Q2897" s="76" t="s">
        <v>9187</v>
      </c>
      <c r="R2897" s="73">
        <f t="shared" si="333"/>
        <v>1</v>
      </c>
      <c r="S2897" s="260" t="s">
        <v>1976</v>
      </c>
      <c r="T2897" s="260" t="s">
        <v>925</v>
      </c>
      <c r="Y2897" s="566">
        <v>0.81831018518518517</v>
      </c>
      <c r="Z2897" s="566">
        <v>0.83875</v>
      </c>
      <c r="AA2897" s="566">
        <f t="shared" si="331"/>
        <v>2.0439814814814827E-2</v>
      </c>
    </row>
    <row r="2898" spans="1:27" x14ac:dyDescent="0.3">
      <c r="A2898" s="96" t="s">
        <v>9441</v>
      </c>
      <c r="C2898" s="81">
        <v>44012</v>
      </c>
      <c r="D2898" s="109">
        <v>44049</v>
      </c>
      <c r="E2898" s="81">
        <v>44046</v>
      </c>
      <c r="F2898" s="97" t="s">
        <v>9442</v>
      </c>
      <c r="G2898" s="97" t="s">
        <v>410</v>
      </c>
      <c r="H2898" s="96" t="s">
        <v>213</v>
      </c>
      <c r="I2898" s="97" t="s">
        <v>642</v>
      </c>
      <c r="J2898" s="73">
        <f t="shared" ref="J2898" si="334">IF(OR(K2898="Документы готовы",K2898="Запрос в ФО",K2898="ЭЗ",K2898="РЕШ",K2898="РЕШ шаблон"),0.1,IF(OR(K2898="ЭЗ согласование",K2898="РЕШ согласование"),0.3,IF(OR(K2898="ЭЗ согласовано",K2898="РЕШ согласовано",K2898="РЕШ подписано"),0.6,IF(OR(K2898="ЭЗ ПР согласование",K2898="РЕШ УВ согласование"),0.9,IF(OR(K2898="ЭЗ ПР DONE",K2898="РЕШ УВ DONE"),1,0)))))</f>
        <v>1</v>
      </c>
      <c r="K2898" s="74" t="s">
        <v>204</v>
      </c>
      <c r="L2898" s="97" t="s">
        <v>7108</v>
      </c>
      <c r="N2898" s="76" t="s">
        <v>18</v>
      </c>
      <c r="Q2898" s="76" t="s">
        <v>2142</v>
      </c>
      <c r="R2898" s="73">
        <f t="shared" ref="R2898:R2899" si="335">IF(S2898="В работе",0.3,IF(S2898="Отписано",0.6,IF(S2898="На доработку",0.9,IF(S2898="Согласовано",1,0))))</f>
        <v>1</v>
      </c>
      <c r="S2898" s="260" t="s">
        <v>1976</v>
      </c>
      <c r="T2898" s="260" t="s">
        <v>925</v>
      </c>
      <c r="Y2898" s="566">
        <v>0.49283564814814818</v>
      </c>
      <c r="Z2898" s="566">
        <v>0.49806712962962968</v>
      </c>
      <c r="AA2898" s="566">
        <f t="shared" si="331"/>
        <v>5.2314814814815036E-3</v>
      </c>
    </row>
    <row r="2899" spans="1:27" x14ac:dyDescent="0.3">
      <c r="A2899" s="96" t="s">
        <v>9571</v>
      </c>
      <c r="C2899" s="81">
        <v>44034</v>
      </c>
      <c r="D2899" s="109">
        <v>44055</v>
      </c>
      <c r="E2899" s="81">
        <v>44049</v>
      </c>
      <c r="F2899" s="97" t="s">
        <v>9572</v>
      </c>
      <c r="G2899" s="97" t="s">
        <v>177</v>
      </c>
      <c r="H2899" s="96" t="s">
        <v>213</v>
      </c>
      <c r="I2899" s="97" t="s">
        <v>645</v>
      </c>
      <c r="J2899" s="73">
        <f t="shared" ref="J2899" si="336">IF(OR(K2899="Документы готовы",K2899="Запрос в ФО",K2899="ЭЗ",K2899="РЕШ",K2899="РЕШ шаблон"),0.1,IF(OR(K2899="ЭЗ согласование",K2899="РЕШ согласование"),0.3,IF(OR(K2899="ЭЗ согласовано",K2899="РЕШ согласовано",K2899="РЕШ подписано"),0.6,IF(OR(K2899="ЭЗ ПР согласование",K2899="РЕШ УВ согласование"),0.9,IF(OR(K2899="ЭЗ ПР DONE",K2899="РЕШ УВ DONE"),1,0)))))</f>
        <v>1</v>
      </c>
      <c r="K2899" s="74" t="s">
        <v>204</v>
      </c>
      <c r="L2899" s="97" t="s">
        <v>9577</v>
      </c>
      <c r="N2899" s="76" t="s">
        <v>18</v>
      </c>
      <c r="Q2899" s="76" t="s">
        <v>2037</v>
      </c>
      <c r="R2899" s="73">
        <f t="shared" si="335"/>
        <v>1</v>
      </c>
      <c r="S2899" s="260" t="s">
        <v>1976</v>
      </c>
      <c r="T2899" s="260" t="s">
        <v>925</v>
      </c>
      <c r="Y2899" s="566">
        <v>0.5524189814814815</v>
      </c>
      <c r="Z2899" s="566">
        <v>0.5669791666666667</v>
      </c>
      <c r="AA2899" s="566">
        <f t="shared" si="331"/>
        <v>1.4560185185185204E-2</v>
      </c>
    </row>
    <row r="2900" spans="1:27" x14ac:dyDescent="0.3">
      <c r="A2900" s="79" t="s">
        <v>9660</v>
      </c>
      <c r="C2900" s="115">
        <v>44012</v>
      </c>
      <c r="D2900" s="312">
        <v>44063</v>
      </c>
      <c r="E2900" s="81">
        <v>44057</v>
      </c>
      <c r="F2900" s="252" t="s">
        <v>9727</v>
      </c>
      <c r="G2900" s="86" t="s">
        <v>150</v>
      </c>
      <c r="H2900" s="96" t="s">
        <v>213</v>
      </c>
      <c r="I2900" s="97" t="s">
        <v>1635</v>
      </c>
      <c r="J2900" s="73">
        <f t="shared" ref="J2900:J2954" si="337">IF(OR(K2900="Документы готовы",K2900="Запрос в ФО",K2900="ЭЗ",K2900="РЕШ",K2900="РЕШ шаблон"),0.1,IF(OR(K2900="ЭЗ согласование",K2900="РЕШ согласование"),0.3,IF(OR(K2900="ЭЗ согласовано",K2900="РЕШ согласовано",K2900="РЕШ подписано"),0.6,IF(OR(K2900="ЭЗ ПР согласование",K2900="РЕШ УВ согласование"),0.9,IF(OR(K2900="ЭЗ ПР DONE",K2900="РЕШ УВ DONE"),1,0)))))</f>
        <v>1</v>
      </c>
      <c r="K2900" s="74" t="s">
        <v>204</v>
      </c>
      <c r="L2900" s="97" t="s">
        <v>9892</v>
      </c>
      <c r="N2900" s="76" t="s">
        <v>17</v>
      </c>
      <c r="Q2900" s="76" t="s">
        <v>2109</v>
      </c>
      <c r="R2900" s="73">
        <f t="shared" ref="R2900:R2954" si="338">IF(S2900="В работе",0.3,IF(S2900="Отписано",0.6,IF(S2900="На доработку",0.9,IF(S2900="Согласовано",1,0))))</f>
        <v>1</v>
      </c>
      <c r="S2900" s="260" t="s">
        <v>1976</v>
      </c>
      <c r="T2900" s="260" t="s">
        <v>924</v>
      </c>
      <c r="U2900" s="76" t="s">
        <v>5283</v>
      </c>
      <c r="V2900" s="301" t="s">
        <v>9896</v>
      </c>
      <c r="Y2900" s="566">
        <v>0.57574074074074078</v>
      </c>
      <c r="Z2900" s="566">
        <v>0.62539351851851854</v>
      </c>
      <c r="AA2900" s="566">
        <f t="shared" si="331"/>
        <v>4.9652777777777768E-2</v>
      </c>
    </row>
    <row r="2901" spans="1:27" x14ac:dyDescent="0.3">
      <c r="A2901" s="79" t="s">
        <v>9661</v>
      </c>
      <c r="C2901" s="115">
        <v>44018</v>
      </c>
      <c r="D2901" s="312">
        <v>44061</v>
      </c>
      <c r="E2901" s="81">
        <v>44055</v>
      </c>
      <c r="F2901" s="86" t="s">
        <v>9728</v>
      </c>
      <c r="G2901" s="86" t="s">
        <v>156</v>
      </c>
      <c r="H2901" s="96" t="s">
        <v>213</v>
      </c>
      <c r="I2901" s="97" t="s">
        <v>649</v>
      </c>
      <c r="J2901" s="73">
        <f t="shared" si="337"/>
        <v>1</v>
      </c>
      <c r="K2901" s="74" t="s">
        <v>204</v>
      </c>
      <c r="L2901" s="97" t="s">
        <v>9849</v>
      </c>
      <c r="N2901" s="76" t="s">
        <v>17</v>
      </c>
      <c r="Q2901" s="76" t="s">
        <v>2142</v>
      </c>
      <c r="R2901" s="73">
        <f t="shared" si="338"/>
        <v>1</v>
      </c>
      <c r="S2901" s="260" t="s">
        <v>1976</v>
      </c>
      <c r="T2901" s="260" t="s">
        <v>924</v>
      </c>
      <c r="Y2901" s="566">
        <v>0.55555555555555558</v>
      </c>
      <c r="Z2901" s="566">
        <v>0.5665972222222222</v>
      </c>
      <c r="AA2901" s="566">
        <f t="shared" si="331"/>
        <v>1.1041666666666616E-2</v>
      </c>
    </row>
    <row r="2902" spans="1:27" x14ac:dyDescent="0.3">
      <c r="A2902" s="79" t="s">
        <v>9662</v>
      </c>
      <c r="C2902" s="115">
        <v>44019</v>
      </c>
      <c r="D2902" s="312">
        <v>44062</v>
      </c>
      <c r="E2902" s="1236">
        <v>44057</v>
      </c>
      <c r="F2902" s="1237" t="s">
        <v>9792</v>
      </c>
      <c r="G2902" s="86" t="s">
        <v>150</v>
      </c>
      <c r="H2902" s="96" t="s">
        <v>213</v>
      </c>
      <c r="I2902" s="97" t="s">
        <v>2479</v>
      </c>
      <c r="J2902" s="73">
        <f t="shared" si="337"/>
        <v>1</v>
      </c>
      <c r="K2902" s="74" t="s">
        <v>204</v>
      </c>
      <c r="L2902" s="97" t="s">
        <v>9893</v>
      </c>
      <c r="Q2902" s="76" t="s">
        <v>2037</v>
      </c>
      <c r="R2902" s="73">
        <f t="shared" si="338"/>
        <v>1</v>
      </c>
      <c r="S2902" s="260" t="s">
        <v>1976</v>
      </c>
      <c r="T2902" s="260" t="s">
        <v>924</v>
      </c>
      <c r="U2902" s="76" t="s">
        <v>5283</v>
      </c>
      <c r="V2902" s="301" t="s">
        <v>9884</v>
      </c>
      <c r="Y2902" s="566">
        <v>0.3888888888888889</v>
      </c>
      <c r="Z2902" s="566">
        <v>0.40943287037037041</v>
      </c>
      <c r="AA2902" s="566">
        <f t="shared" si="331"/>
        <v>2.054398148148151E-2</v>
      </c>
    </row>
    <row r="2903" spans="1:27" x14ac:dyDescent="0.3">
      <c r="A2903" s="79" t="s">
        <v>9663</v>
      </c>
      <c r="C2903" s="115">
        <v>44019</v>
      </c>
      <c r="D2903" s="312">
        <v>44061</v>
      </c>
      <c r="E2903" s="1236">
        <v>44055</v>
      </c>
      <c r="F2903" s="1237" t="s">
        <v>9793</v>
      </c>
      <c r="G2903" s="86" t="s">
        <v>156</v>
      </c>
      <c r="H2903" s="96" t="s">
        <v>213</v>
      </c>
      <c r="I2903" s="97" t="s">
        <v>649</v>
      </c>
      <c r="J2903" s="73">
        <f t="shared" si="337"/>
        <v>1</v>
      </c>
      <c r="K2903" s="74" t="s">
        <v>204</v>
      </c>
      <c r="L2903" s="97" t="s">
        <v>9861</v>
      </c>
      <c r="N2903" s="76" t="s">
        <v>18</v>
      </c>
      <c r="Q2903" s="76" t="s">
        <v>2109</v>
      </c>
      <c r="R2903" s="73">
        <f t="shared" si="338"/>
        <v>1</v>
      </c>
      <c r="S2903" s="260" t="s">
        <v>1976</v>
      </c>
      <c r="T2903" s="260" t="s">
        <v>924</v>
      </c>
      <c r="U2903" s="76" t="s">
        <v>5283</v>
      </c>
      <c r="V2903" s="301" t="s">
        <v>9862</v>
      </c>
      <c r="Y2903" s="566">
        <v>0.76083333333333336</v>
      </c>
      <c r="Z2903" s="566">
        <v>0.77077546296296295</v>
      </c>
      <c r="AA2903" s="566">
        <f t="shared" si="331"/>
        <v>9.9421296296295925E-3</v>
      </c>
    </row>
    <row r="2904" spans="1:27" x14ac:dyDescent="0.3">
      <c r="A2904" s="79" t="s">
        <v>9664</v>
      </c>
      <c r="C2904" s="115">
        <v>44022</v>
      </c>
      <c r="D2904" s="312">
        <v>44060</v>
      </c>
      <c r="E2904" s="81">
        <v>44056</v>
      </c>
      <c r="F2904" s="86" t="s">
        <v>9729</v>
      </c>
      <c r="G2904" s="86" t="s">
        <v>154</v>
      </c>
      <c r="H2904" s="79" t="s">
        <v>268</v>
      </c>
      <c r="I2904" s="97" t="s">
        <v>641</v>
      </c>
      <c r="J2904" s="73">
        <f t="shared" si="337"/>
        <v>1</v>
      </c>
      <c r="K2904" s="74" t="s">
        <v>204</v>
      </c>
      <c r="L2904" s="97" t="s">
        <v>9868</v>
      </c>
      <c r="N2904" s="76" t="s">
        <v>17</v>
      </c>
      <c r="Q2904" s="76" t="s">
        <v>2037</v>
      </c>
      <c r="R2904" s="73">
        <f t="shared" si="338"/>
        <v>1</v>
      </c>
      <c r="S2904" s="260" t="s">
        <v>1976</v>
      </c>
      <c r="T2904" s="260" t="s">
        <v>924</v>
      </c>
      <c r="X2904" s="301" t="s">
        <v>9880</v>
      </c>
      <c r="Y2904" s="566">
        <v>0.42560185185185184</v>
      </c>
      <c r="Z2904" s="566">
        <v>0.46082175925925922</v>
      </c>
      <c r="AA2904" s="566">
        <f t="shared" si="331"/>
        <v>3.521990740740738E-2</v>
      </c>
    </row>
    <row r="2905" spans="1:27" x14ac:dyDescent="0.3">
      <c r="A2905" s="79" t="s">
        <v>9665</v>
      </c>
      <c r="C2905" s="115">
        <v>44022</v>
      </c>
      <c r="D2905" s="312">
        <v>44060</v>
      </c>
      <c r="E2905" s="81">
        <v>44053</v>
      </c>
      <c r="F2905" s="86" t="s">
        <v>9730</v>
      </c>
      <c r="G2905" s="86" t="s">
        <v>147</v>
      </c>
      <c r="H2905" s="96" t="s">
        <v>213</v>
      </c>
      <c r="I2905" s="97" t="s">
        <v>642</v>
      </c>
      <c r="J2905" s="73">
        <f t="shared" si="337"/>
        <v>1</v>
      </c>
      <c r="K2905" s="74" t="s">
        <v>204</v>
      </c>
      <c r="L2905" s="97" t="s">
        <v>7110</v>
      </c>
      <c r="N2905" s="76" t="s">
        <v>18</v>
      </c>
      <c r="Q2905" s="76" t="s">
        <v>9187</v>
      </c>
      <c r="R2905" s="73">
        <f t="shared" si="338"/>
        <v>1</v>
      </c>
      <c r="S2905" s="260" t="s">
        <v>1976</v>
      </c>
      <c r="T2905" s="260" t="s">
        <v>924</v>
      </c>
      <c r="Y2905" s="566">
        <v>0.54373842592592592</v>
      </c>
      <c r="Z2905" s="566">
        <v>0.55054398148148154</v>
      </c>
      <c r="AA2905" s="566">
        <f t="shared" si="331"/>
        <v>6.8055555555556202E-3</v>
      </c>
    </row>
    <row r="2906" spans="1:27" x14ac:dyDescent="0.3">
      <c r="A2906" s="79" t="s">
        <v>9666</v>
      </c>
      <c r="C2906" s="115">
        <v>44022</v>
      </c>
      <c r="D2906" s="312">
        <v>44060</v>
      </c>
      <c r="E2906" s="81">
        <v>44054</v>
      </c>
      <c r="F2906" s="86" t="s">
        <v>9731</v>
      </c>
      <c r="G2906" s="86" t="s">
        <v>147</v>
      </c>
      <c r="H2906" s="96" t="s">
        <v>213</v>
      </c>
      <c r="I2906" s="97" t="s">
        <v>657</v>
      </c>
      <c r="J2906" s="73">
        <f t="shared" si="337"/>
        <v>1</v>
      </c>
      <c r="K2906" s="74" t="s">
        <v>204</v>
      </c>
      <c r="L2906" s="97" t="s">
        <v>8996</v>
      </c>
      <c r="N2906" s="76" t="s">
        <v>17</v>
      </c>
      <c r="Q2906" s="76" t="s">
        <v>2142</v>
      </c>
      <c r="R2906" s="73">
        <f t="shared" si="338"/>
        <v>1</v>
      </c>
      <c r="S2906" s="260" t="s">
        <v>1976</v>
      </c>
      <c r="T2906" s="260" t="s">
        <v>924</v>
      </c>
      <c r="Y2906" s="566">
        <v>0.44261574074074073</v>
      </c>
      <c r="Z2906" s="566">
        <v>0.47152777777777777</v>
      </c>
      <c r="AA2906" s="566">
        <f t="shared" si="331"/>
        <v>2.8912037037037042E-2</v>
      </c>
    </row>
    <row r="2907" spans="1:27" x14ac:dyDescent="0.3">
      <c r="A2907" s="79" t="s">
        <v>9667</v>
      </c>
      <c r="C2907" s="115">
        <v>44022</v>
      </c>
      <c r="D2907" s="312">
        <v>44060</v>
      </c>
      <c r="E2907" s="81">
        <v>44054</v>
      </c>
      <c r="F2907" s="86" t="s">
        <v>9732</v>
      </c>
      <c r="G2907" s="86" t="s">
        <v>156</v>
      </c>
      <c r="H2907" s="96" t="s">
        <v>213</v>
      </c>
      <c r="I2907" s="97" t="s">
        <v>995</v>
      </c>
      <c r="J2907" s="73">
        <f t="shared" si="337"/>
        <v>1</v>
      </c>
      <c r="K2907" s="74" t="s">
        <v>204</v>
      </c>
      <c r="L2907" s="97" t="s">
        <v>7073</v>
      </c>
      <c r="N2907" s="76" t="s">
        <v>19</v>
      </c>
      <c r="Q2907" s="76" t="s">
        <v>2142</v>
      </c>
      <c r="R2907" s="73">
        <f t="shared" si="338"/>
        <v>1</v>
      </c>
      <c r="S2907" s="260" t="s">
        <v>1976</v>
      </c>
      <c r="T2907" s="260" t="s">
        <v>924</v>
      </c>
      <c r="Y2907" s="566">
        <v>0.55614583333333334</v>
      </c>
      <c r="Z2907" s="566">
        <v>0.56517361111111108</v>
      </c>
      <c r="AA2907" s="566">
        <f t="shared" si="331"/>
        <v>9.0277777777777457E-3</v>
      </c>
    </row>
    <row r="2908" spans="1:27" x14ac:dyDescent="0.3">
      <c r="A2908" s="79" t="s">
        <v>9668</v>
      </c>
      <c r="C2908" s="115">
        <v>44025</v>
      </c>
      <c r="D2908" s="312">
        <v>44060</v>
      </c>
      <c r="E2908" s="81">
        <v>44053</v>
      </c>
      <c r="F2908" s="86" t="s">
        <v>9733</v>
      </c>
      <c r="G2908" s="86" t="s">
        <v>173</v>
      </c>
      <c r="H2908" s="96" t="s">
        <v>213</v>
      </c>
      <c r="I2908" s="97" t="s">
        <v>642</v>
      </c>
      <c r="J2908" s="73">
        <f t="shared" si="337"/>
        <v>1</v>
      </c>
      <c r="K2908" s="74" t="s">
        <v>204</v>
      </c>
      <c r="L2908" s="97" t="s">
        <v>7108</v>
      </c>
      <c r="N2908" s="76" t="s">
        <v>18</v>
      </c>
      <c r="Q2908" s="76" t="s">
        <v>9187</v>
      </c>
      <c r="R2908" s="73">
        <f t="shared" si="338"/>
        <v>1</v>
      </c>
      <c r="S2908" s="260" t="s">
        <v>1976</v>
      </c>
      <c r="T2908" s="260" t="s">
        <v>924</v>
      </c>
      <c r="Y2908" s="566">
        <v>0.44732638888888893</v>
      </c>
      <c r="Z2908" s="566">
        <v>0.45430555555555557</v>
      </c>
      <c r="AA2908" s="566">
        <f t="shared" si="331"/>
        <v>6.9791666666666474E-3</v>
      </c>
    </row>
    <row r="2909" spans="1:27" x14ac:dyDescent="0.3">
      <c r="A2909" s="79" t="s">
        <v>9669</v>
      </c>
      <c r="C2909" s="115">
        <v>44025</v>
      </c>
      <c r="D2909" s="312">
        <v>44060</v>
      </c>
      <c r="E2909" s="81">
        <v>44054</v>
      </c>
      <c r="F2909" s="86" t="s">
        <v>9734</v>
      </c>
      <c r="G2909" s="86" t="s">
        <v>154</v>
      </c>
      <c r="H2909" s="96" t="s">
        <v>213</v>
      </c>
      <c r="I2909" s="97" t="s">
        <v>995</v>
      </c>
      <c r="J2909" s="73">
        <f t="shared" si="337"/>
        <v>1</v>
      </c>
      <c r="K2909" s="74" t="s">
        <v>204</v>
      </c>
      <c r="L2909" s="97" t="s">
        <v>7073</v>
      </c>
      <c r="N2909" s="76" t="s">
        <v>19</v>
      </c>
      <c r="Q2909" s="76" t="s">
        <v>2037</v>
      </c>
      <c r="R2909" s="73">
        <f t="shared" si="338"/>
        <v>1</v>
      </c>
      <c r="S2909" s="260" t="s">
        <v>1976</v>
      </c>
      <c r="T2909" s="260" t="s">
        <v>924</v>
      </c>
      <c r="Y2909" s="566">
        <v>0.54222222222222227</v>
      </c>
      <c r="Z2909" s="566">
        <v>0.55582175925925925</v>
      </c>
      <c r="AA2909" s="566">
        <f t="shared" si="331"/>
        <v>1.3599537037036979E-2</v>
      </c>
    </row>
    <row r="2910" spans="1:27" x14ac:dyDescent="0.3">
      <c r="A2910" s="79" t="s">
        <v>9670</v>
      </c>
      <c r="C2910" s="115">
        <v>44025</v>
      </c>
      <c r="D2910" s="312">
        <v>44061</v>
      </c>
      <c r="E2910" s="81">
        <v>44054</v>
      </c>
      <c r="F2910" s="86" t="s">
        <v>9735</v>
      </c>
      <c r="G2910" s="86" t="s">
        <v>156</v>
      </c>
      <c r="H2910" s="96" t="s">
        <v>213</v>
      </c>
      <c r="I2910" s="97" t="s">
        <v>714</v>
      </c>
      <c r="J2910" s="73">
        <f t="shared" si="337"/>
        <v>1</v>
      </c>
      <c r="K2910" s="74" t="s">
        <v>204</v>
      </c>
      <c r="L2910" s="97" t="s">
        <v>7336</v>
      </c>
      <c r="N2910" s="76" t="s">
        <v>17</v>
      </c>
      <c r="Q2910" s="76" t="s">
        <v>2142</v>
      </c>
      <c r="R2910" s="73">
        <f t="shared" si="338"/>
        <v>1</v>
      </c>
      <c r="S2910" s="260" t="s">
        <v>1976</v>
      </c>
      <c r="T2910" s="260" t="s">
        <v>925</v>
      </c>
      <c r="Y2910" s="566">
        <v>0.82582175925925927</v>
      </c>
      <c r="Z2910" s="566">
        <v>0.83479166666666671</v>
      </c>
      <c r="AA2910" s="566">
        <f t="shared" si="331"/>
        <v>8.9699074074074403E-3</v>
      </c>
    </row>
    <row r="2911" spans="1:27" x14ac:dyDescent="0.3">
      <c r="A2911" s="79" t="s">
        <v>9671</v>
      </c>
      <c r="C2911" s="115">
        <v>44025</v>
      </c>
      <c r="D2911" s="312">
        <v>44060</v>
      </c>
      <c r="E2911" s="81">
        <v>44054</v>
      </c>
      <c r="F2911" s="86" t="s">
        <v>9736</v>
      </c>
      <c r="G2911" s="86" t="s">
        <v>147</v>
      </c>
      <c r="H2911" s="96" t="s">
        <v>213</v>
      </c>
      <c r="I2911" s="97" t="s">
        <v>642</v>
      </c>
      <c r="J2911" s="73">
        <f t="shared" si="337"/>
        <v>1</v>
      </c>
      <c r="K2911" s="74" t="s">
        <v>204</v>
      </c>
      <c r="L2911" s="97" t="s">
        <v>7110</v>
      </c>
      <c r="N2911" s="76" t="s">
        <v>18</v>
      </c>
      <c r="Q2911" s="76" t="s">
        <v>2037</v>
      </c>
      <c r="R2911" s="73">
        <f t="shared" si="338"/>
        <v>1</v>
      </c>
      <c r="S2911" s="260" t="s">
        <v>1976</v>
      </c>
      <c r="T2911" s="260" t="s">
        <v>924</v>
      </c>
      <c r="Y2911" s="566">
        <v>0.49462962962962959</v>
      </c>
      <c r="Z2911" s="566">
        <v>0.50062499999999999</v>
      </c>
      <c r="AA2911" s="566">
        <f t="shared" si="331"/>
        <v>5.9953703703704009E-3</v>
      </c>
    </row>
    <row r="2912" spans="1:27" x14ac:dyDescent="0.3">
      <c r="A2912" s="79" t="s">
        <v>9672</v>
      </c>
      <c r="C2912" s="115">
        <v>44025</v>
      </c>
      <c r="D2912" s="312">
        <v>44060</v>
      </c>
      <c r="E2912" s="81">
        <v>44052</v>
      </c>
      <c r="F2912" s="86" t="s">
        <v>9737</v>
      </c>
      <c r="G2912" s="86" t="s">
        <v>150</v>
      </c>
      <c r="H2912" s="96" t="s">
        <v>213</v>
      </c>
      <c r="I2912" s="97" t="s">
        <v>722</v>
      </c>
      <c r="J2912" s="73">
        <f t="shared" si="337"/>
        <v>1</v>
      </c>
      <c r="K2912" s="74" t="s">
        <v>204</v>
      </c>
      <c r="L2912" s="97" t="s">
        <v>7351</v>
      </c>
      <c r="N2912" s="76" t="s">
        <v>18</v>
      </c>
      <c r="Q2912" s="301" t="s">
        <v>9187</v>
      </c>
      <c r="R2912" s="73">
        <f t="shared" si="338"/>
        <v>1</v>
      </c>
      <c r="S2912" s="260" t="s">
        <v>1976</v>
      </c>
      <c r="T2912" s="260" t="s">
        <v>925</v>
      </c>
      <c r="Y2912" s="566">
        <v>0.73972222222222228</v>
      </c>
      <c r="Z2912" s="566">
        <v>0.76310185185185186</v>
      </c>
      <c r="AA2912" s="566">
        <f t="shared" si="331"/>
        <v>2.3379629629629584E-2</v>
      </c>
    </row>
    <row r="2913" spans="1:27" x14ac:dyDescent="0.3">
      <c r="A2913" s="79" t="s">
        <v>9673</v>
      </c>
      <c r="C2913" s="115">
        <v>44025</v>
      </c>
      <c r="D2913" s="312">
        <v>44061</v>
      </c>
      <c r="E2913" s="81">
        <v>44055</v>
      </c>
      <c r="F2913" s="86" t="s">
        <v>9738</v>
      </c>
      <c r="G2913" s="86" t="s">
        <v>150</v>
      </c>
      <c r="H2913" s="96" t="s">
        <v>213</v>
      </c>
      <c r="I2913" s="97" t="s">
        <v>642</v>
      </c>
      <c r="J2913" s="73">
        <f t="shared" si="337"/>
        <v>1</v>
      </c>
      <c r="K2913" s="74" t="s">
        <v>204</v>
      </c>
      <c r="L2913" s="97" t="s">
        <v>7110</v>
      </c>
      <c r="N2913" s="76" t="s">
        <v>18</v>
      </c>
      <c r="Q2913" s="76" t="s">
        <v>2142</v>
      </c>
      <c r="R2913" s="73">
        <f t="shared" si="338"/>
        <v>1</v>
      </c>
      <c r="S2913" s="260" t="s">
        <v>1976</v>
      </c>
      <c r="T2913" s="260" t="s">
        <v>925</v>
      </c>
      <c r="Y2913" s="566">
        <v>0.58695601851851853</v>
      </c>
      <c r="Z2913" s="566">
        <v>0.59033564814814821</v>
      </c>
      <c r="AA2913" s="566">
        <f t="shared" si="331"/>
        <v>3.3796296296296768E-3</v>
      </c>
    </row>
    <row r="2914" spans="1:27" x14ac:dyDescent="0.3">
      <c r="A2914" s="79" t="s">
        <v>9674</v>
      </c>
      <c r="C2914" s="115">
        <v>44025</v>
      </c>
      <c r="D2914" s="312">
        <v>44060</v>
      </c>
      <c r="E2914" s="81">
        <v>44054</v>
      </c>
      <c r="F2914" s="86" t="s">
        <v>9739</v>
      </c>
      <c r="G2914" s="86" t="s">
        <v>9119</v>
      </c>
      <c r="H2914" s="96" t="s">
        <v>213</v>
      </c>
      <c r="I2914" s="97" t="s">
        <v>714</v>
      </c>
      <c r="J2914" s="73">
        <f t="shared" si="337"/>
        <v>1</v>
      </c>
      <c r="K2914" s="74" t="s">
        <v>204</v>
      </c>
      <c r="L2914" s="97" t="s">
        <v>7336</v>
      </c>
      <c r="N2914" s="76" t="s">
        <v>17</v>
      </c>
      <c r="Q2914" s="76" t="s">
        <v>2142</v>
      </c>
      <c r="R2914" s="73">
        <f t="shared" si="338"/>
        <v>1</v>
      </c>
      <c r="S2914" s="260" t="s">
        <v>1976</v>
      </c>
      <c r="T2914" s="260" t="s">
        <v>925</v>
      </c>
      <c r="Y2914" s="566">
        <v>0.48703703703703699</v>
      </c>
      <c r="Z2914" s="566">
        <v>0.49414351851851851</v>
      </c>
      <c r="AA2914" s="566">
        <f t="shared" si="331"/>
        <v>7.1064814814815191E-3</v>
      </c>
    </row>
    <row r="2915" spans="1:27" x14ac:dyDescent="0.3">
      <c r="A2915" s="79" t="s">
        <v>9675</v>
      </c>
      <c r="C2915" s="115">
        <v>44025</v>
      </c>
      <c r="D2915" s="312">
        <v>44061</v>
      </c>
      <c r="E2915" s="81">
        <v>44055</v>
      </c>
      <c r="F2915" s="86" t="s">
        <v>9740</v>
      </c>
      <c r="G2915" s="86" t="s">
        <v>156</v>
      </c>
      <c r="H2915" s="96" t="s">
        <v>213</v>
      </c>
      <c r="I2915" s="97" t="s">
        <v>722</v>
      </c>
      <c r="J2915" s="73">
        <f t="shared" si="337"/>
        <v>1</v>
      </c>
      <c r="K2915" s="74" t="s">
        <v>204</v>
      </c>
      <c r="L2915" s="97" t="s">
        <v>9865</v>
      </c>
      <c r="N2915" s="76" t="s">
        <v>18</v>
      </c>
      <c r="Q2915" s="76" t="s">
        <v>2109</v>
      </c>
      <c r="R2915" s="73">
        <f t="shared" si="338"/>
        <v>1</v>
      </c>
      <c r="S2915" s="260" t="s">
        <v>1976</v>
      </c>
      <c r="T2915" s="260" t="s">
        <v>924</v>
      </c>
      <c r="U2915" s="76" t="s">
        <v>5283</v>
      </c>
      <c r="V2915" s="301" t="s">
        <v>9866</v>
      </c>
      <c r="Y2915" s="566">
        <v>0.79918981481481488</v>
      </c>
      <c r="Z2915" s="566">
        <v>0.8149305555555556</v>
      </c>
      <c r="AA2915" s="566">
        <f t="shared" si="331"/>
        <v>1.5740740740740722E-2</v>
      </c>
    </row>
    <row r="2916" spans="1:27" x14ac:dyDescent="0.3">
      <c r="A2916" s="79" t="s">
        <v>9676</v>
      </c>
      <c r="C2916" s="115">
        <v>44025</v>
      </c>
      <c r="D2916" s="312">
        <v>44061</v>
      </c>
      <c r="E2916" s="81">
        <v>44055</v>
      </c>
      <c r="F2916" s="86" t="s">
        <v>9741</v>
      </c>
      <c r="G2916" s="86" t="s">
        <v>150</v>
      </c>
      <c r="H2916" s="96" t="s">
        <v>213</v>
      </c>
      <c r="I2916" s="97" t="s">
        <v>645</v>
      </c>
      <c r="J2916" s="73">
        <f t="shared" si="337"/>
        <v>1</v>
      </c>
      <c r="K2916" s="74" t="s">
        <v>204</v>
      </c>
      <c r="L2916" s="97" t="s">
        <v>9864</v>
      </c>
      <c r="N2916" s="76" t="s">
        <v>18</v>
      </c>
      <c r="Q2916" s="76" t="s">
        <v>9187</v>
      </c>
      <c r="R2916" s="73">
        <f t="shared" si="338"/>
        <v>1</v>
      </c>
      <c r="S2916" s="260" t="s">
        <v>1976</v>
      </c>
      <c r="T2916" s="260" t="s">
        <v>924</v>
      </c>
      <c r="Y2916" s="566">
        <v>0.77864583333333337</v>
      </c>
      <c r="Z2916" s="566">
        <v>0.79835648148148142</v>
      </c>
      <c r="AA2916" s="566">
        <f t="shared" si="331"/>
        <v>1.9710648148148047E-2</v>
      </c>
    </row>
    <row r="2917" spans="1:27" x14ac:dyDescent="0.3">
      <c r="A2917" s="79" t="s">
        <v>9677</v>
      </c>
      <c r="C2917" s="115">
        <v>44026</v>
      </c>
      <c r="D2917" s="312">
        <v>44061</v>
      </c>
      <c r="E2917" s="81">
        <v>44055</v>
      </c>
      <c r="F2917" s="86" t="s">
        <v>9742</v>
      </c>
      <c r="G2917" s="97" t="s">
        <v>8909</v>
      </c>
      <c r="H2917" s="96" t="s">
        <v>213</v>
      </c>
      <c r="I2917" s="97" t="s">
        <v>714</v>
      </c>
      <c r="J2917" s="73">
        <f t="shared" si="337"/>
        <v>1</v>
      </c>
      <c r="K2917" s="74" t="s">
        <v>204</v>
      </c>
      <c r="L2917" s="97" t="s">
        <v>7096</v>
      </c>
      <c r="N2917" s="76" t="s">
        <v>17</v>
      </c>
      <c r="Q2917" s="76" t="s">
        <v>2037</v>
      </c>
      <c r="R2917" s="73">
        <f t="shared" si="338"/>
        <v>1</v>
      </c>
      <c r="S2917" s="260" t="s">
        <v>1976</v>
      </c>
      <c r="T2917" s="260" t="s">
        <v>924</v>
      </c>
      <c r="Y2917" s="566">
        <v>0.66391203703703705</v>
      </c>
      <c r="Z2917" s="566">
        <v>0.66956018518518512</v>
      </c>
      <c r="AA2917" s="566">
        <f t="shared" si="331"/>
        <v>5.6481481481480689E-3</v>
      </c>
    </row>
    <row r="2918" spans="1:27" x14ac:dyDescent="0.3">
      <c r="A2918" s="96" t="s">
        <v>9678</v>
      </c>
      <c r="C2918" s="115">
        <v>44026</v>
      </c>
      <c r="D2918" s="312">
        <v>44062</v>
      </c>
      <c r="E2918" s="81">
        <v>44056</v>
      </c>
      <c r="F2918" s="86" t="s">
        <v>9743</v>
      </c>
      <c r="G2918" s="86" t="s">
        <v>3280</v>
      </c>
      <c r="H2918" s="96" t="s">
        <v>213</v>
      </c>
      <c r="I2918" s="97" t="s">
        <v>642</v>
      </c>
      <c r="J2918" s="73">
        <f t="shared" si="337"/>
        <v>1</v>
      </c>
      <c r="K2918" s="74" t="s">
        <v>204</v>
      </c>
      <c r="L2918" s="97" t="s">
        <v>7069</v>
      </c>
      <c r="Q2918" s="76" t="s">
        <v>2109</v>
      </c>
      <c r="R2918" s="73">
        <f t="shared" si="338"/>
        <v>1</v>
      </c>
      <c r="S2918" s="260" t="s">
        <v>1976</v>
      </c>
      <c r="T2918" s="260" t="s">
        <v>924</v>
      </c>
      <c r="U2918" s="76" t="s">
        <v>5283</v>
      </c>
      <c r="V2918" s="301" t="s">
        <v>9879</v>
      </c>
      <c r="Y2918" s="566">
        <v>0.5957175925925926</v>
      </c>
      <c r="Z2918" s="566">
        <v>0.68546296296296294</v>
      </c>
      <c r="AA2918" s="566">
        <f t="shared" si="331"/>
        <v>8.9745370370370336E-2</v>
      </c>
    </row>
    <row r="2919" spans="1:27" x14ac:dyDescent="0.3">
      <c r="A2919" s="79" t="s">
        <v>9679</v>
      </c>
      <c r="C2919" s="115">
        <v>44026</v>
      </c>
      <c r="D2919" s="312">
        <v>44061</v>
      </c>
      <c r="E2919" s="81">
        <v>44056</v>
      </c>
      <c r="F2919" s="86" t="s">
        <v>9744</v>
      </c>
      <c r="G2919" s="86" t="s">
        <v>152</v>
      </c>
      <c r="H2919" s="96" t="s">
        <v>213</v>
      </c>
      <c r="I2919" s="97" t="s">
        <v>657</v>
      </c>
      <c r="J2919" s="73">
        <f t="shared" si="337"/>
        <v>1</v>
      </c>
      <c r="K2919" s="74" t="s">
        <v>204</v>
      </c>
      <c r="L2919" s="97" t="s">
        <v>9883</v>
      </c>
      <c r="Q2919" s="76" t="s">
        <v>2109</v>
      </c>
      <c r="R2919" s="73">
        <f t="shared" si="338"/>
        <v>1</v>
      </c>
      <c r="S2919" s="260" t="s">
        <v>1976</v>
      </c>
      <c r="T2919" s="260" t="s">
        <v>925</v>
      </c>
      <c r="U2919" s="76" t="s">
        <v>5283</v>
      </c>
      <c r="V2919" s="301" t="s">
        <v>9877</v>
      </c>
      <c r="Z2919" s="566">
        <v>0.56134259259259256</v>
      </c>
      <c r="AA2919" s="566">
        <f t="shared" si="331"/>
        <v>0.56134259259259256</v>
      </c>
    </row>
    <row r="2920" spans="1:27" x14ac:dyDescent="0.3">
      <c r="A2920" s="79" t="s">
        <v>9680</v>
      </c>
      <c r="C2920" s="115">
        <v>44026</v>
      </c>
      <c r="D2920" s="312">
        <v>44061</v>
      </c>
      <c r="E2920" s="81">
        <v>44053</v>
      </c>
      <c r="F2920" s="86" t="s">
        <v>9745</v>
      </c>
      <c r="G2920" s="86" t="s">
        <v>172</v>
      </c>
      <c r="H2920" s="96" t="s">
        <v>213</v>
      </c>
      <c r="I2920" s="97" t="s">
        <v>642</v>
      </c>
      <c r="J2920" s="73">
        <f t="shared" si="337"/>
        <v>1</v>
      </c>
      <c r="K2920" s="74" t="s">
        <v>204</v>
      </c>
      <c r="L2920" s="97" t="s">
        <v>9812</v>
      </c>
      <c r="N2920" s="76" t="s">
        <v>18</v>
      </c>
      <c r="Q2920" s="301" t="s">
        <v>9187</v>
      </c>
      <c r="R2920" s="73">
        <f t="shared" si="338"/>
        <v>1</v>
      </c>
      <c r="S2920" s="260" t="s">
        <v>1976</v>
      </c>
      <c r="T2920" s="260" t="s">
        <v>8990</v>
      </c>
      <c r="Y2920" s="566">
        <v>0.58368055555555554</v>
      </c>
      <c r="Z2920" s="566">
        <v>0.5930671296296296</v>
      </c>
      <c r="AA2920" s="566">
        <f t="shared" si="331"/>
        <v>9.3865740740740611E-3</v>
      </c>
    </row>
    <row r="2921" spans="1:27" x14ac:dyDescent="0.3">
      <c r="A2921" s="79" t="s">
        <v>9681</v>
      </c>
      <c r="C2921" s="115">
        <v>44026</v>
      </c>
      <c r="D2921" s="312">
        <v>44061</v>
      </c>
      <c r="E2921" s="81">
        <v>44055</v>
      </c>
      <c r="F2921" s="86" t="s">
        <v>9746</v>
      </c>
      <c r="G2921" s="86" t="s">
        <v>150</v>
      </c>
      <c r="H2921" s="96" t="s">
        <v>213</v>
      </c>
      <c r="I2921" s="97" t="s">
        <v>6088</v>
      </c>
      <c r="J2921" s="73">
        <f t="shared" si="337"/>
        <v>1</v>
      </c>
      <c r="K2921" s="74" t="s">
        <v>204</v>
      </c>
      <c r="L2921" s="97" t="s">
        <v>9851</v>
      </c>
      <c r="N2921" s="76" t="s">
        <v>17</v>
      </c>
      <c r="Q2921" s="76" t="s">
        <v>2037</v>
      </c>
      <c r="R2921" s="73">
        <f t="shared" si="338"/>
        <v>1</v>
      </c>
      <c r="S2921" s="260" t="s">
        <v>1976</v>
      </c>
      <c r="T2921" s="260" t="s">
        <v>924</v>
      </c>
      <c r="Y2921" s="566">
        <v>0.59074074074074068</v>
      </c>
      <c r="Z2921" s="566">
        <v>0.61761574074074077</v>
      </c>
      <c r="AA2921" s="566">
        <f t="shared" si="331"/>
        <v>2.6875000000000093E-2</v>
      </c>
    </row>
    <row r="2922" spans="1:27" x14ac:dyDescent="0.3">
      <c r="A2922" s="79" t="s">
        <v>9682</v>
      </c>
      <c r="C2922" s="115">
        <v>44026</v>
      </c>
      <c r="D2922" s="312">
        <v>44061</v>
      </c>
      <c r="E2922" s="81">
        <v>44053</v>
      </c>
      <c r="F2922" s="86" t="s">
        <v>9747</v>
      </c>
      <c r="G2922" s="86" t="s">
        <v>147</v>
      </c>
      <c r="H2922" s="96" t="s">
        <v>213</v>
      </c>
      <c r="I2922" s="97" t="s">
        <v>714</v>
      </c>
      <c r="J2922" s="73">
        <f t="shared" si="337"/>
        <v>1</v>
      </c>
      <c r="K2922" s="74" t="s">
        <v>204</v>
      </c>
      <c r="L2922" s="97" t="s">
        <v>7528</v>
      </c>
      <c r="N2922" s="76" t="s">
        <v>17</v>
      </c>
      <c r="Q2922" s="76" t="s">
        <v>9187</v>
      </c>
      <c r="R2922" s="73">
        <f t="shared" si="338"/>
        <v>1</v>
      </c>
      <c r="S2922" s="260" t="s">
        <v>1976</v>
      </c>
      <c r="T2922" s="260" t="s">
        <v>925</v>
      </c>
      <c r="Y2922" s="566">
        <v>0.59342592592592591</v>
      </c>
      <c r="Z2922" s="566">
        <v>0.60199074074074077</v>
      </c>
      <c r="AA2922" s="566">
        <f t="shared" si="331"/>
        <v>8.5648148148148584E-3</v>
      </c>
    </row>
    <row r="2923" spans="1:27" x14ac:dyDescent="0.3">
      <c r="A2923" s="79" t="s">
        <v>9683</v>
      </c>
      <c r="C2923" s="115">
        <v>44026</v>
      </c>
      <c r="D2923" s="312">
        <v>44061</v>
      </c>
      <c r="E2923" s="81">
        <v>44056</v>
      </c>
      <c r="F2923" s="86" t="s">
        <v>9748</v>
      </c>
      <c r="G2923" s="86" t="s">
        <v>147</v>
      </c>
      <c r="H2923" s="96" t="s">
        <v>213</v>
      </c>
      <c r="I2923" s="97" t="s">
        <v>714</v>
      </c>
      <c r="J2923" s="73">
        <f t="shared" si="337"/>
        <v>1</v>
      </c>
      <c r="K2923" s="74" t="s">
        <v>204</v>
      </c>
      <c r="L2923" s="97" t="s">
        <v>9881</v>
      </c>
      <c r="N2923" s="76" t="s">
        <v>18</v>
      </c>
      <c r="Q2923" s="76" t="s">
        <v>2037</v>
      </c>
      <c r="R2923" s="73">
        <f t="shared" si="338"/>
        <v>1</v>
      </c>
      <c r="S2923" s="260" t="s">
        <v>1976</v>
      </c>
      <c r="T2923" s="260" t="s">
        <v>925</v>
      </c>
      <c r="Y2923" s="566">
        <v>0.62655092592592598</v>
      </c>
      <c r="Z2923" s="566">
        <v>0.63752314814814814</v>
      </c>
      <c r="AA2923" s="566">
        <f t="shared" si="331"/>
        <v>1.0972222222222161E-2</v>
      </c>
    </row>
    <row r="2924" spans="1:27" x14ac:dyDescent="0.3">
      <c r="A2924" s="79" t="s">
        <v>9684</v>
      </c>
      <c r="C2924" s="115">
        <v>44026</v>
      </c>
      <c r="D2924" s="312">
        <v>44062</v>
      </c>
      <c r="E2924" s="81">
        <v>44056</v>
      </c>
      <c r="F2924" s="86" t="s">
        <v>9749</v>
      </c>
      <c r="G2924" s="86" t="s">
        <v>154</v>
      </c>
      <c r="H2924" s="96" t="s">
        <v>213</v>
      </c>
      <c r="I2924" s="97" t="s">
        <v>722</v>
      </c>
      <c r="J2924" s="73">
        <f t="shared" si="337"/>
        <v>1</v>
      </c>
      <c r="K2924" s="74" t="s">
        <v>204</v>
      </c>
      <c r="L2924" s="97" t="s">
        <v>7893</v>
      </c>
      <c r="N2924" s="76" t="s">
        <v>17</v>
      </c>
      <c r="Q2924" s="76" t="s">
        <v>2142</v>
      </c>
      <c r="R2924" s="73">
        <f t="shared" si="338"/>
        <v>1</v>
      </c>
      <c r="S2924" s="260" t="s">
        <v>1976</v>
      </c>
      <c r="T2924" s="260" t="s">
        <v>924</v>
      </c>
      <c r="Y2924" s="566">
        <v>0.46398148148148149</v>
      </c>
      <c r="Z2924" s="566">
        <v>0.4812731481481482</v>
      </c>
      <c r="AA2924" s="566">
        <f t="shared" si="331"/>
        <v>1.7291666666666705E-2</v>
      </c>
    </row>
    <row r="2925" spans="1:27" x14ac:dyDescent="0.3">
      <c r="A2925" s="79" t="s">
        <v>9685</v>
      </c>
      <c r="C2925" s="115">
        <v>44026</v>
      </c>
      <c r="D2925" s="312">
        <v>44062</v>
      </c>
      <c r="E2925" s="81">
        <v>44056</v>
      </c>
      <c r="F2925" s="86" t="s">
        <v>9750</v>
      </c>
      <c r="G2925" s="86" t="s">
        <v>2718</v>
      </c>
      <c r="H2925" s="96" t="s">
        <v>213</v>
      </c>
      <c r="I2925" s="97" t="s">
        <v>714</v>
      </c>
      <c r="J2925" s="73">
        <f t="shared" si="337"/>
        <v>1</v>
      </c>
      <c r="K2925" s="74" t="s">
        <v>204</v>
      </c>
      <c r="L2925" s="97" t="s">
        <v>7071</v>
      </c>
      <c r="N2925" s="76" t="s">
        <v>17</v>
      </c>
      <c r="Q2925" s="76" t="s">
        <v>2142</v>
      </c>
      <c r="R2925" s="73">
        <f t="shared" si="338"/>
        <v>1</v>
      </c>
      <c r="S2925" s="260" t="s">
        <v>1976</v>
      </c>
      <c r="T2925" s="260" t="s">
        <v>924</v>
      </c>
      <c r="Y2925" s="566">
        <v>0.48168981481481482</v>
      </c>
      <c r="Z2925" s="566">
        <v>0.48660879629629633</v>
      </c>
      <c r="AA2925" s="566">
        <f t="shared" si="331"/>
        <v>4.9189814814815103E-3</v>
      </c>
    </row>
    <row r="2926" spans="1:27" x14ac:dyDescent="0.3">
      <c r="A2926" s="79" t="s">
        <v>9686</v>
      </c>
      <c r="C2926" s="115">
        <v>44026</v>
      </c>
      <c r="D2926" s="312">
        <v>44062</v>
      </c>
      <c r="E2926" s="81">
        <v>44056</v>
      </c>
      <c r="F2926" s="86" t="s">
        <v>9751</v>
      </c>
      <c r="G2926" s="86" t="s">
        <v>9119</v>
      </c>
      <c r="H2926" s="96" t="s">
        <v>213</v>
      </c>
      <c r="I2926" s="97" t="s">
        <v>642</v>
      </c>
      <c r="J2926" s="73">
        <f t="shared" si="337"/>
        <v>1</v>
      </c>
      <c r="K2926" s="74" t="s">
        <v>204</v>
      </c>
      <c r="L2926" s="97" t="s">
        <v>7110</v>
      </c>
      <c r="N2926" s="76" t="s">
        <v>18</v>
      </c>
      <c r="Q2926" s="76" t="s">
        <v>2109</v>
      </c>
      <c r="R2926" s="73">
        <f t="shared" si="338"/>
        <v>1</v>
      </c>
      <c r="S2926" s="260" t="s">
        <v>1976</v>
      </c>
      <c r="T2926" s="260" t="s">
        <v>925</v>
      </c>
      <c r="Y2926" s="566">
        <v>0.72251157407407407</v>
      </c>
      <c r="Z2926" s="566">
        <v>0.73015046296296304</v>
      </c>
      <c r="AA2926" s="566">
        <f t="shared" si="331"/>
        <v>7.6388888888889728E-3</v>
      </c>
    </row>
    <row r="2927" spans="1:27" x14ac:dyDescent="0.3">
      <c r="A2927" s="79" t="s">
        <v>9687</v>
      </c>
      <c r="C2927" s="115">
        <v>44027</v>
      </c>
      <c r="D2927" s="312">
        <v>44062</v>
      </c>
      <c r="E2927" s="81">
        <v>44053</v>
      </c>
      <c r="F2927" s="86" t="s">
        <v>9752</v>
      </c>
      <c r="G2927" s="86" t="s">
        <v>1682</v>
      </c>
      <c r="H2927" s="96" t="s">
        <v>213</v>
      </c>
      <c r="I2927" s="97" t="s">
        <v>714</v>
      </c>
      <c r="J2927" s="73">
        <f t="shared" si="337"/>
        <v>1</v>
      </c>
      <c r="K2927" s="74" t="s">
        <v>204</v>
      </c>
      <c r="L2927" s="97" t="s">
        <v>7334</v>
      </c>
      <c r="N2927" s="76" t="s">
        <v>18</v>
      </c>
      <c r="Q2927" s="76" t="s">
        <v>9187</v>
      </c>
      <c r="R2927" s="73">
        <f t="shared" si="338"/>
        <v>1</v>
      </c>
      <c r="S2927" s="260" t="s">
        <v>1976</v>
      </c>
      <c r="T2927" s="260" t="s">
        <v>925</v>
      </c>
      <c r="Y2927" s="566">
        <v>0.62497685185185181</v>
      </c>
      <c r="Z2927" s="566">
        <v>0.6328125</v>
      </c>
      <c r="AA2927" s="566">
        <f t="shared" si="331"/>
        <v>7.8356481481481888E-3</v>
      </c>
    </row>
    <row r="2928" spans="1:27" x14ac:dyDescent="0.3">
      <c r="A2928" s="79" t="s">
        <v>9688</v>
      </c>
      <c r="C2928" s="115">
        <v>44027</v>
      </c>
      <c r="D2928" s="312">
        <v>44063</v>
      </c>
      <c r="E2928" s="81">
        <v>44060</v>
      </c>
      <c r="F2928" s="86" t="s">
        <v>9753</v>
      </c>
      <c r="G2928" s="86" t="s">
        <v>152</v>
      </c>
      <c r="H2928" s="79" t="s">
        <v>268</v>
      </c>
      <c r="I2928" s="97" t="s">
        <v>6088</v>
      </c>
      <c r="J2928" s="73">
        <f t="shared" si="337"/>
        <v>1</v>
      </c>
      <c r="K2928" s="74" t="s">
        <v>204</v>
      </c>
      <c r="L2928" s="97" t="s">
        <v>9903</v>
      </c>
      <c r="N2928" s="76" t="s">
        <v>17</v>
      </c>
      <c r="Q2928" s="76" t="s">
        <v>2142</v>
      </c>
      <c r="R2928" s="73">
        <f t="shared" si="338"/>
        <v>1</v>
      </c>
      <c r="S2928" s="260" t="s">
        <v>1976</v>
      </c>
      <c r="T2928" s="260" t="s">
        <v>924</v>
      </c>
      <c r="Y2928" s="566">
        <v>0.52393518518518511</v>
      </c>
      <c r="Z2928" s="566">
        <v>0.54121527777777778</v>
      </c>
      <c r="AA2928" s="566">
        <f t="shared" si="331"/>
        <v>1.7280092592592666E-2</v>
      </c>
    </row>
    <row r="2929" spans="1:27" x14ac:dyDescent="0.3">
      <c r="A2929" s="79" t="s">
        <v>9689</v>
      </c>
      <c r="C2929" s="115">
        <v>44027</v>
      </c>
      <c r="D2929" s="312">
        <v>44062</v>
      </c>
      <c r="E2929" s="81">
        <v>44056</v>
      </c>
      <c r="F2929" s="86" t="s">
        <v>9754</v>
      </c>
      <c r="G2929" s="86" t="s">
        <v>154</v>
      </c>
      <c r="H2929" s="96" t="s">
        <v>213</v>
      </c>
      <c r="I2929" s="97" t="s">
        <v>714</v>
      </c>
      <c r="J2929" s="73">
        <f t="shared" si="337"/>
        <v>1</v>
      </c>
      <c r="K2929" s="74" t="s">
        <v>204</v>
      </c>
      <c r="L2929" s="97" t="s">
        <v>8371</v>
      </c>
      <c r="N2929" s="76" t="s">
        <v>17</v>
      </c>
      <c r="Q2929" s="76" t="s">
        <v>2142</v>
      </c>
      <c r="R2929" s="73">
        <f t="shared" si="338"/>
        <v>1</v>
      </c>
      <c r="S2929" s="260" t="s">
        <v>1976</v>
      </c>
      <c r="T2929" s="260" t="s">
        <v>924</v>
      </c>
      <c r="Y2929" s="566">
        <v>0.48697916666666669</v>
      </c>
      <c r="Z2929" s="566">
        <v>0.5194212962962963</v>
      </c>
      <c r="AA2929" s="566">
        <f t="shared" si="331"/>
        <v>3.2442129629629612E-2</v>
      </c>
    </row>
    <row r="2930" spans="1:27" x14ac:dyDescent="0.3">
      <c r="A2930" s="79" t="s">
        <v>9690</v>
      </c>
      <c r="C2930" s="115">
        <v>44027</v>
      </c>
      <c r="D2930" s="312">
        <v>44063</v>
      </c>
      <c r="E2930" s="81">
        <v>44053</v>
      </c>
      <c r="F2930" s="86" t="s">
        <v>9755</v>
      </c>
      <c r="G2930" s="86" t="s">
        <v>152</v>
      </c>
      <c r="H2930" s="96" t="s">
        <v>213</v>
      </c>
      <c r="I2930" s="97" t="s">
        <v>642</v>
      </c>
      <c r="J2930" s="73">
        <f t="shared" si="337"/>
        <v>1</v>
      </c>
      <c r="K2930" s="74" t="s">
        <v>204</v>
      </c>
      <c r="L2930" s="97" t="s">
        <v>9818</v>
      </c>
      <c r="N2930" s="76" t="s">
        <v>18</v>
      </c>
      <c r="Q2930" s="76" t="s">
        <v>9187</v>
      </c>
      <c r="R2930" s="73">
        <f t="shared" si="338"/>
        <v>1</v>
      </c>
      <c r="S2930" s="260" t="s">
        <v>1976</v>
      </c>
      <c r="T2930" s="260" t="s">
        <v>923</v>
      </c>
      <c r="Y2930" s="566">
        <v>0.63329861111111108</v>
      </c>
      <c r="Z2930" s="566">
        <v>0.65457175925925926</v>
      </c>
      <c r="AA2930" s="566">
        <f t="shared" si="331"/>
        <v>2.127314814814818E-2</v>
      </c>
    </row>
    <row r="2931" spans="1:27" x14ac:dyDescent="0.3">
      <c r="A2931" s="79" t="s">
        <v>9691</v>
      </c>
      <c r="C2931" s="115">
        <v>44027</v>
      </c>
      <c r="D2931" s="312">
        <v>44062</v>
      </c>
      <c r="E2931" s="81">
        <v>44056</v>
      </c>
      <c r="F2931" s="86" t="s">
        <v>9756</v>
      </c>
      <c r="G2931" s="86" t="s">
        <v>187</v>
      </c>
      <c r="H2931" s="96" t="s">
        <v>213</v>
      </c>
      <c r="I2931" s="97" t="s">
        <v>714</v>
      </c>
      <c r="J2931" s="73">
        <f t="shared" si="337"/>
        <v>1</v>
      </c>
      <c r="K2931" s="74" t="s">
        <v>204</v>
      </c>
      <c r="L2931" s="97" t="s">
        <v>7115</v>
      </c>
      <c r="N2931" s="76" t="s">
        <v>18</v>
      </c>
      <c r="Q2931" s="76" t="s">
        <v>2109</v>
      </c>
      <c r="R2931" s="73">
        <f t="shared" si="338"/>
        <v>1</v>
      </c>
      <c r="S2931" s="260" t="s">
        <v>1976</v>
      </c>
      <c r="T2931" s="260" t="s">
        <v>924</v>
      </c>
      <c r="Y2931" s="566">
        <v>0.60256944444444438</v>
      </c>
      <c r="Z2931" s="566">
        <v>0.62004629629629626</v>
      </c>
      <c r="AA2931" s="566">
        <f t="shared" si="331"/>
        <v>1.7476851851851882E-2</v>
      </c>
    </row>
    <row r="2932" spans="1:27" x14ac:dyDescent="0.3">
      <c r="A2932" s="79" t="s">
        <v>9692</v>
      </c>
      <c r="C2932" s="115">
        <v>44027</v>
      </c>
      <c r="D2932" s="312">
        <v>44063</v>
      </c>
      <c r="E2932" s="81">
        <v>44056</v>
      </c>
      <c r="F2932" s="86" t="s">
        <v>9757</v>
      </c>
      <c r="G2932" s="86" t="s">
        <v>166</v>
      </c>
      <c r="H2932" s="96" t="s">
        <v>213</v>
      </c>
      <c r="I2932" s="97" t="s">
        <v>642</v>
      </c>
      <c r="J2932" s="73">
        <f t="shared" si="337"/>
        <v>1</v>
      </c>
      <c r="K2932" s="74" t="s">
        <v>204</v>
      </c>
      <c r="L2932" s="97" t="s">
        <v>8389</v>
      </c>
      <c r="N2932" s="76" t="s">
        <v>18</v>
      </c>
      <c r="Q2932" s="76" t="s">
        <v>2142</v>
      </c>
      <c r="R2932" s="73">
        <f t="shared" si="338"/>
        <v>1</v>
      </c>
      <c r="S2932" s="260" t="s">
        <v>1976</v>
      </c>
      <c r="T2932" s="260" t="s">
        <v>924</v>
      </c>
      <c r="Y2932" s="566">
        <v>0.7082060185185185</v>
      </c>
      <c r="Z2932" s="566">
        <v>0.71265046296296297</v>
      </c>
      <c r="AA2932" s="566">
        <f t="shared" si="331"/>
        <v>4.4444444444444731E-3</v>
      </c>
    </row>
    <row r="2933" spans="1:27" x14ac:dyDescent="0.3">
      <c r="A2933" s="79" t="s">
        <v>9693</v>
      </c>
      <c r="C2933" s="115">
        <v>44027</v>
      </c>
      <c r="D2933" s="312">
        <v>44062</v>
      </c>
      <c r="E2933" s="81">
        <v>44053</v>
      </c>
      <c r="F2933" s="86" t="s">
        <v>9758</v>
      </c>
      <c r="G2933" s="86" t="s">
        <v>157</v>
      </c>
      <c r="H2933" s="96" t="s">
        <v>213</v>
      </c>
      <c r="I2933" s="97" t="s">
        <v>714</v>
      </c>
      <c r="J2933" s="73">
        <f t="shared" si="337"/>
        <v>1</v>
      </c>
      <c r="K2933" s="74" t="s">
        <v>204</v>
      </c>
      <c r="L2933" s="97" t="s">
        <v>7072</v>
      </c>
      <c r="N2933" s="76" t="s">
        <v>17</v>
      </c>
      <c r="Q2933" s="76" t="s">
        <v>9187</v>
      </c>
      <c r="R2933" s="73">
        <f t="shared" si="338"/>
        <v>1</v>
      </c>
      <c r="S2933" s="260" t="s">
        <v>1976</v>
      </c>
      <c r="T2933" s="260" t="s">
        <v>924</v>
      </c>
      <c r="Y2933" s="566">
        <v>0.61809027777777781</v>
      </c>
      <c r="Z2933" s="566">
        <v>0.62405092592592593</v>
      </c>
      <c r="AA2933" s="566">
        <f t="shared" si="331"/>
        <v>5.9606481481481177E-3</v>
      </c>
    </row>
    <row r="2934" spans="1:27" x14ac:dyDescent="0.3">
      <c r="A2934" s="79" t="s">
        <v>9694</v>
      </c>
      <c r="C2934" s="115">
        <v>44027</v>
      </c>
      <c r="D2934" s="312">
        <v>44063</v>
      </c>
      <c r="E2934" s="81">
        <v>44053</v>
      </c>
      <c r="F2934" s="86" t="s">
        <v>9759</v>
      </c>
      <c r="G2934" s="86" t="s">
        <v>733</v>
      </c>
      <c r="H2934" s="96" t="s">
        <v>213</v>
      </c>
      <c r="I2934" s="97" t="s">
        <v>642</v>
      </c>
      <c r="J2934" s="73">
        <f t="shared" si="337"/>
        <v>1</v>
      </c>
      <c r="K2934" s="74" t="s">
        <v>204</v>
      </c>
      <c r="L2934" s="97" t="s">
        <v>9820</v>
      </c>
      <c r="N2934" s="76" t="s">
        <v>18</v>
      </c>
      <c r="Q2934" s="76" t="s">
        <v>9187</v>
      </c>
      <c r="R2934" s="73">
        <f t="shared" si="338"/>
        <v>1</v>
      </c>
      <c r="S2934" s="260" t="s">
        <v>1976</v>
      </c>
      <c r="T2934" s="260" t="s">
        <v>923</v>
      </c>
      <c r="Y2934" s="566">
        <v>0.65486111111111112</v>
      </c>
      <c r="Z2934" s="566">
        <v>0.66171296296296289</v>
      </c>
      <c r="AA2934" s="566">
        <f t="shared" si="331"/>
        <v>6.8518518518517757E-3</v>
      </c>
    </row>
    <row r="2935" spans="1:27" x14ac:dyDescent="0.3">
      <c r="A2935" s="79" t="s">
        <v>9695</v>
      </c>
      <c r="C2935" s="115">
        <v>44027</v>
      </c>
      <c r="D2935" s="312">
        <v>44062</v>
      </c>
      <c r="E2935" s="81">
        <v>44057</v>
      </c>
      <c r="F2935" s="86" t="s">
        <v>9760</v>
      </c>
      <c r="G2935" s="86" t="s">
        <v>152</v>
      </c>
      <c r="H2935" s="96" t="s">
        <v>213</v>
      </c>
      <c r="I2935" s="97" t="s">
        <v>1635</v>
      </c>
      <c r="J2935" s="73">
        <f t="shared" si="337"/>
        <v>1</v>
      </c>
      <c r="K2935" s="74" t="s">
        <v>204</v>
      </c>
      <c r="L2935" s="97" t="s">
        <v>9474</v>
      </c>
      <c r="N2935" s="76" t="s">
        <v>17</v>
      </c>
      <c r="Q2935" s="76" t="s">
        <v>2037</v>
      </c>
      <c r="R2935" s="73">
        <f t="shared" si="338"/>
        <v>1</v>
      </c>
      <c r="S2935" s="260" t="s">
        <v>1976</v>
      </c>
      <c r="T2935" s="260" t="s">
        <v>924</v>
      </c>
      <c r="Y2935" s="566">
        <v>0.41180555555555554</v>
      </c>
      <c r="Z2935" s="566">
        <v>0.42120370370370369</v>
      </c>
      <c r="AA2935" s="566">
        <f t="shared" si="331"/>
        <v>9.3981481481481555E-3</v>
      </c>
    </row>
    <row r="2936" spans="1:27" x14ac:dyDescent="0.3">
      <c r="A2936" s="79" t="s">
        <v>9696</v>
      </c>
      <c r="C2936" s="115">
        <v>44027</v>
      </c>
      <c r="D2936" s="312">
        <v>44063</v>
      </c>
      <c r="E2936" s="81">
        <v>44057</v>
      </c>
      <c r="F2936" s="86" t="s">
        <v>9761</v>
      </c>
      <c r="G2936" s="86" t="s">
        <v>9119</v>
      </c>
      <c r="H2936" s="96" t="s">
        <v>213</v>
      </c>
      <c r="I2936" s="97" t="s">
        <v>755</v>
      </c>
      <c r="J2936" s="73">
        <f t="shared" si="337"/>
        <v>1</v>
      </c>
      <c r="K2936" s="74" t="s">
        <v>204</v>
      </c>
      <c r="L2936" s="97" t="s">
        <v>9891</v>
      </c>
      <c r="N2936" s="76" t="s">
        <v>18</v>
      </c>
      <c r="Q2936" s="76" t="s">
        <v>2037</v>
      </c>
      <c r="R2936" s="73">
        <f t="shared" si="338"/>
        <v>1</v>
      </c>
      <c r="S2936" s="260" t="s">
        <v>1976</v>
      </c>
      <c r="T2936" s="260" t="s">
        <v>925</v>
      </c>
      <c r="X2936" s="301" t="s">
        <v>9894</v>
      </c>
      <c r="Y2936" s="566">
        <v>0.4956712962962963</v>
      </c>
      <c r="Z2936" s="566">
        <v>0.51629629629629636</v>
      </c>
      <c r="AA2936" s="566">
        <f t="shared" si="331"/>
        <v>2.062500000000006E-2</v>
      </c>
    </row>
    <row r="2937" spans="1:27" x14ac:dyDescent="0.3">
      <c r="A2937" s="79" t="s">
        <v>9697</v>
      </c>
      <c r="C2937" s="115">
        <v>44027</v>
      </c>
      <c r="D2937" s="312">
        <v>44063</v>
      </c>
      <c r="E2937" s="81">
        <v>44056</v>
      </c>
      <c r="F2937" s="86" t="s">
        <v>9762</v>
      </c>
      <c r="G2937" s="97" t="s">
        <v>8909</v>
      </c>
      <c r="H2937" s="96" t="s">
        <v>213</v>
      </c>
      <c r="I2937" s="97" t="s">
        <v>714</v>
      </c>
      <c r="J2937" s="73">
        <f t="shared" si="337"/>
        <v>1</v>
      </c>
      <c r="K2937" s="74" t="s">
        <v>204</v>
      </c>
      <c r="L2937" s="97" t="s">
        <v>7336</v>
      </c>
      <c r="N2937" s="76" t="s">
        <v>18</v>
      </c>
      <c r="Q2937" s="76" t="s">
        <v>2142</v>
      </c>
      <c r="R2937" s="73">
        <f t="shared" si="338"/>
        <v>1</v>
      </c>
      <c r="S2937" s="260" t="s">
        <v>1976</v>
      </c>
      <c r="T2937" s="260" t="s">
        <v>924</v>
      </c>
      <c r="Y2937" s="566">
        <v>0.7130671296296297</v>
      </c>
      <c r="Z2937" s="566">
        <v>0.7220833333333333</v>
      </c>
      <c r="AA2937" s="566">
        <f t="shared" si="331"/>
        <v>9.0162037037035958E-3</v>
      </c>
    </row>
    <row r="2938" spans="1:27" x14ac:dyDescent="0.3">
      <c r="A2938" s="79" t="s">
        <v>9698</v>
      </c>
      <c r="C2938" s="115">
        <v>44027</v>
      </c>
      <c r="D2938" s="312">
        <v>44062</v>
      </c>
      <c r="E2938" s="81">
        <v>44057</v>
      </c>
      <c r="F2938" s="86" t="s">
        <v>9763</v>
      </c>
      <c r="G2938" s="86" t="s">
        <v>152</v>
      </c>
      <c r="H2938" s="96" t="s">
        <v>213</v>
      </c>
      <c r="I2938" s="97" t="s">
        <v>645</v>
      </c>
      <c r="J2938" s="73">
        <f t="shared" si="337"/>
        <v>1</v>
      </c>
      <c r="K2938" s="74" t="s">
        <v>204</v>
      </c>
      <c r="L2938" s="97" t="s">
        <v>9888</v>
      </c>
      <c r="N2938" s="76" t="s">
        <v>18</v>
      </c>
      <c r="Q2938" s="76" t="s">
        <v>2037</v>
      </c>
      <c r="R2938" s="73">
        <f t="shared" si="338"/>
        <v>1</v>
      </c>
      <c r="S2938" s="260" t="s">
        <v>1976</v>
      </c>
      <c r="T2938" s="260" t="s">
        <v>924</v>
      </c>
      <c r="U2938" s="76" t="s">
        <v>5283</v>
      </c>
      <c r="V2938" s="301" t="s">
        <v>9889</v>
      </c>
      <c r="Y2938" s="566">
        <v>0.44436342592592593</v>
      </c>
      <c r="Z2938" s="566">
        <v>0.45928240740740739</v>
      </c>
      <c r="AA2938" s="566">
        <f t="shared" si="331"/>
        <v>1.4918981481481464E-2</v>
      </c>
    </row>
    <row r="2939" spans="1:27" x14ac:dyDescent="0.3">
      <c r="A2939" s="96" t="s">
        <v>9699</v>
      </c>
      <c r="C2939" s="115">
        <v>44028</v>
      </c>
      <c r="D2939" s="312">
        <v>44064</v>
      </c>
      <c r="E2939" s="81">
        <v>44060</v>
      </c>
      <c r="F2939" s="86" t="s">
        <v>9764</v>
      </c>
      <c r="G2939" s="86" t="s">
        <v>181</v>
      </c>
      <c r="H2939" s="96" t="s">
        <v>213</v>
      </c>
      <c r="I2939" s="97" t="s">
        <v>714</v>
      </c>
      <c r="J2939" s="73">
        <f t="shared" si="337"/>
        <v>1</v>
      </c>
      <c r="K2939" s="74" t="s">
        <v>204</v>
      </c>
      <c r="L2939" s="97" t="s">
        <v>9898</v>
      </c>
      <c r="N2939" s="76" t="s">
        <v>18</v>
      </c>
      <c r="Q2939" s="76" t="s">
        <v>2037</v>
      </c>
      <c r="R2939" s="73">
        <f t="shared" si="338"/>
        <v>1</v>
      </c>
      <c r="S2939" s="260" t="s">
        <v>1976</v>
      </c>
      <c r="T2939" s="260" t="s">
        <v>924</v>
      </c>
      <c r="Y2939" s="566">
        <v>0.37650462962962966</v>
      </c>
      <c r="Z2939" s="566">
        <v>0.39921296296296299</v>
      </c>
      <c r="AA2939" s="566">
        <f t="shared" si="331"/>
        <v>2.270833333333333E-2</v>
      </c>
    </row>
    <row r="2940" spans="1:27" x14ac:dyDescent="0.3">
      <c r="A2940" s="79" t="s">
        <v>9700</v>
      </c>
      <c r="C2940" s="115">
        <v>44028</v>
      </c>
      <c r="D2940" s="312">
        <v>44063</v>
      </c>
      <c r="E2940" s="81">
        <v>44057</v>
      </c>
      <c r="F2940" s="86" t="s">
        <v>9765</v>
      </c>
      <c r="G2940" s="86" t="s">
        <v>9119</v>
      </c>
      <c r="H2940" s="96" t="s">
        <v>213</v>
      </c>
      <c r="I2940" s="97" t="s">
        <v>642</v>
      </c>
      <c r="J2940" s="73">
        <f t="shared" si="337"/>
        <v>1</v>
      </c>
      <c r="K2940" s="74" t="s">
        <v>204</v>
      </c>
      <c r="L2940" s="97" t="s">
        <v>7380</v>
      </c>
      <c r="N2940" s="76" t="s">
        <v>17</v>
      </c>
      <c r="Q2940" s="76" t="s">
        <v>2037</v>
      </c>
      <c r="R2940" s="73">
        <f t="shared" si="338"/>
        <v>1</v>
      </c>
      <c r="S2940" s="260" t="s">
        <v>1976</v>
      </c>
      <c r="T2940" s="260" t="s">
        <v>924</v>
      </c>
      <c r="X2940" s="301" t="s">
        <v>9897</v>
      </c>
      <c r="Y2940" s="566">
        <v>0.48276620370370371</v>
      </c>
      <c r="Z2940" s="566">
        <v>0.49519675925925927</v>
      </c>
      <c r="AA2940" s="566">
        <f t="shared" si="331"/>
        <v>1.2430555555555556E-2</v>
      </c>
    </row>
    <row r="2941" spans="1:27" x14ac:dyDescent="0.3">
      <c r="A2941" s="79" t="s">
        <v>9701</v>
      </c>
      <c r="C2941" s="115">
        <v>44028</v>
      </c>
      <c r="D2941" s="312">
        <v>44063</v>
      </c>
      <c r="E2941" s="81">
        <v>44057</v>
      </c>
      <c r="F2941" s="86" t="s">
        <v>9766</v>
      </c>
      <c r="G2941" s="86" t="s">
        <v>150</v>
      </c>
      <c r="H2941" s="96" t="s">
        <v>213</v>
      </c>
      <c r="I2941" s="97" t="s">
        <v>714</v>
      </c>
      <c r="J2941" s="73">
        <f t="shared" si="337"/>
        <v>1</v>
      </c>
      <c r="K2941" s="74" t="s">
        <v>204</v>
      </c>
      <c r="L2941" s="97" t="s">
        <v>7072</v>
      </c>
      <c r="N2941" s="76" t="s">
        <v>17</v>
      </c>
      <c r="Q2941" s="76" t="s">
        <v>2037</v>
      </c>
      <c r="R2941" s="73">
        <f t="shared" si="338"/>
        <v>1</v>
      </c>
      <c r="S2941" s="260" t="s">
        <v>1976</v>
      </c>
      <c r="T2941" s="260" t="s">
        <v>924</v>
      </c>
      <c r="Y2941" s="566">
        <v>0.42166666666666663</v>
      </c>
      <c r="Z2941" s="566">
        <v>0.42809027777777775</v>
      </c>
      <c r="AA2941" s="566">
        <f t="shared" si="331"/>
        <v>6.423611111111116E-3</v>
      </c>
    </row>
    <row r="2942" spans="1:27" x14ac:dyDescent="0.3">
      <c r="A2942" s="79" t="s">
        <v>9702</v>
      </c>
      <c r="C2942" s="115">
        <v>44028</v>
      </c>
      <c r="D2942" s="312">
        <v>44063</v>
      </c>
      <c r="E2942" s="81">
        <v>44060</v>
      </c>
      <c r="F2942" s="86" t="s">
        <v>9767</v>
      </c>
      <c r="G2942" s="86" t="s">
        <v>9119</v>
      </c>
      <c r="H2942" s="96" t="s">
        <v>213</v>
      </c>
      <c r="I2942" s="97" t="s">
        <v>714</v>
      </c>
      <c r="J2942" s="73">
        <f t="shared" si="337"/>
        <v>1</v>
      </c>
      <c r="K2942" s="74" t="s">
        <v>204</v>
      </c>
      <c r="L2942" s="97" t="s">
        <v>7349</v>
      </c>
      <c r="N2942" s="76" t="s">
        <v>17</v>
      </c>
      <c r="Q2942" s="76" t="s">
        <v>2109</v>
      </c>
      <c r="R2942" s="73">
        <f t="shared" si="338"/>
        <v>1</v>
      </c>
      <c r="S2942" s="260" t="s">
        <v>1976</v>
      </c>
      <c r="T2942" s="260" t="s">
        <v>924</v>
      </c>
      <c r="U2942" s="76" t="s">
        <v>5283</v>
      </c>
      <c r="V2942" s="301" t="s">
        <v>9901</v>
      </c>
      <c r="Y2942" s="566">
        <v>0.44952546296296297</v>
      </c>
      <c r="Z2942" s="566">
        <v>0.46228009259259256</v>
      </c>
      <c r="AA2942" s="566">
        <f t="shared" si="331"/>
        <v>1.2754629629629588E-2</v>
      </c>
    </row>
    <row r="2943" spans="1:27" x14ac:dyDescent="0.3">
      <c r="A2943" s="79" t="s">
        <v>9703</v>
      </c>
      <c r="C2943" s="115">
        <v>44028</v>
      </c>
      <c r="D2943" s="312">
        <v>44064</v>
      </c>
      <c r="E2943" s="81">
        <v>44054</v>
      </c>
      <c r="F2943" s="86" t="s">
        <v>9768</v>
      </c>
      <c r="G2943" s="86" t="s">
        <v>2718</v>
      </c>
      <c r="H2943" s="96" t="s">
        <v>213</v>
      </c>
      <c r="I2943" s="97" t="s">
        <v>714</v>
      </c>
      <c r="J2943" s="73">
        <f t="shared" si="337"/>
        <v>1</v>
      </c>
      <c r="K2943" s="74" t="s">
        <v>204</v>
      </c>
      <c r="L2943" s="97" t="s">
        <v>9834</v>
      </c>
      <c r="N2943" s="76" t="s">
        <v>8990</v>
      </c>
      <c r="Q2943" s="76" t="s">
        <v>9187</v>
      </c>
      <c r="R2943" s="73">
        <f t="shared" si="338"/>
        <v>1</v>
      </c>
      <c r="S2943" s="260" t="s">
        <v>1976</v>
      </c>
      <c r="T2943" s="260" t="s">
        <v>8990</v>
      </c>
      <c r="Y2943" s="566">
        <v>0.50112268518518521</v>
      </c>
      <c r="Z2943" s="566">
        <v>0.5067476851851852</v>
      </c>
      <c r="AA2943" s="566">
        <f t="shared" si="331"/>
        <v>5.6249999999999911E-3</v>
      </c>
    </row>
    <row r="2944" spans="1:27" x14ac:dyDescent="0.3">
      <c r="A2944" s="79" t="s">
        <v>9704</v>
      </c>
      <c r="C2944" s="115">
        <v>44028</v>
      </c>
      <c r="D2944" s="312">
        <v>44064</v>
      </c>
      <c r="E2944" s="81">
        <v>44054</v>
      </c>
      <c r="F2944" s="86" t="s">
        <v>9769</v>
      </c>
      <c r="G2944" s="86" t="s">
        <v>156</v>
      </c>
      <c r="H2944" s="96" t="s">
        <v>213</v>
      </c>
      <c r="I2944" s="97" t="s">
        <v>714</v>
      </c>
      <c r="J2944" s="73">
        <f t="shared" si="337"/>
        <v>1</v>
      </c>
      <c r="K2944" s="74" t="s">
        <v>204</v>
      </c>
      <c r="L2944" s="97" t="s">
        <v>8076</v>
      </c>
      <c r="N2944" s="76" t="s">
        <v>17</v>
      </c>
      <c r="Q2944" s="76" t="s">
        <v>9187</v>
      </c>
      <c r="R2944" s="73">
        <f t="shared" si="338"/>
        <v>1</v>
      </c>
      <c r="S2944" s="260" t="s">
        <v>1976</v>
      </c>
      <c r="T2944" s="260" t="s">
        <v>8990</v>
      </c>
      <c r="Y2944" s="566">
        <v>0.5071296296296296</v>
      </c>
      <c r="Z2944" s="566">
        <v>0.5204050925925926</v>
      </c>
      <c r="AA2944" s="566">
        <f t="shared" si="331"/>
        <v>1.3275462962963003E-2</v>
      </c>
    </row>
    <row r="2945" spans="1:27" x14ac:dyDescent="0.3">
      <c r="A2945" s="79" t="s">
        <v>9705</v>
      </c>
      <c r="C2945" s="115">
        <v>44028</v>
      </c>
      <c r="D2945" s="312">
        <v>44064</v>
      </c>
      <c r="E2945" s="81">
        <v>44063</v>
      </c>
      <c r="F2945" s="86" t="s">
        <v>9770</v>
      </c>
      <c r="G2945" s="86" t="s">
        <v>152</v>
      </c>
      <c r="H2945" s="96" t="s">
        <v>213</v>
      </c>
      <c r="I2945" s="97" t="s">
        <v>722</v>
      </c>
      <c r="J2945" s="73">
        <f t="shared" si="337"/>
        <v>1</v>
      </c>
      <c r="K2945" s="74" t="s">
        <v>204</v>
      </c>
      <c r="L2945" s="97" t="s">
        <v>10078</v>
      </c>
      <c r="N2945" s="76" t="s">
        <v>18</v>
      </c>
      <c r="Q2945" s="76" t="s">
        <v>2109</v>
      </c>
      <c r="R2945" s="73">
        <f t="shared" si="338"/>
        <v>1</v>
      </c>
      <c r="S2945" s="260" t="s">
        <v>1976</v>
      </c>
      <c r="T2945" s="260" t="s">
        <v>924</v>
      </c>
      <c r="Y2945" s="566">
        <v>0.65025462962962965</v>
      </c>
      <c r="Z2945" s="566">
        <v>0.67696759259259265</v>
      </c>
      <c r="AA2945" s="566">
        <f t="shared" si="331"/>
        <v>2.6712962962962994E-2</v>
      </c>
    </row>
    <row r="2946" spans="1:27" x14ac:dyDescent="0.3">
      <c r="A2946" s="79" t="s">
        <v>9706</v>
      </c>
      <c r="C2946" s="115">
        <v>44028</v>
      </c>
      <c r="D2946" s="312">
        <v>44064</v>
      </c>
      <c r="E2946" s="81">
        <v>44060</v>
      </c>
      <c r="F2946" s="86" t="s">
        <v>9771</v>
      </c>
      <c r="G2946" s="86" t="s">
        <v>9119</v>
      </c>
      <c r="H2946" s="96" t="s">
        <v>213</v>
      </c>
      <c r="I2946" s="97" t="s">
        <v>714</v>
      </c>
      <c r="J2946" s="73">
        <f t="shared" si="337"/>
        <v>1</v>
      </c>
      <c r="K2946" s="74" t="s">
        <v>204</v>
      </c>
      <c r="L2946" s="97" t="s">
        <v>7528</v>
      </c>
      <c r="N2946" s="76" t="s">
        <v>17</v>
      </c>
      <c r="Q2946" s="76" t="s">
        <v>2037</v>
      </c>
      <c r="R2946" s="73">
        <f t="shared" si="338"/>
        <v>1</v>
      </c>
      <c r="S2946" s="260" t="s">
        <v>1976</v>
      </c>
      <c r="T2946" s="260" t="s">
        <v>924</v>
      </c>
      <c r="Y2946" s="566">
        <v>0.36758101851851849</v>
      </c>
      <c r="Z2946" s="566">
        <v>0.37453703703703706</v>
      </c>
      <c r="AA2946" s="566">
        <f t="shared" si="331"/>
        <v>6.9560185185185697E-3</v>
      </c>
    </row>
    <row r="2947" spans="1:27" x14ac:dyDescent="0.3">
      <c r="A2947" s="79" t="s">
        <v>9707</v>
      </c>
      <c r="C2947" s="115">
        <v>44029</v>
      </c>
      <c r="D2947" s="312">
        <v>44064</v>
      </c>
      <c r="E2947" s="81">
        <v>44060</v>
      </c>
      <c r="F2947" s="86" t="s">
        <v>9772</v>
      </c>
      <c r="G2947" s="86" t="s">
        <v>150</v>
      </c>
      <c r="H2947" s="96" t="s">
        <v>213</v>
      </c>
      <c r="I2947" s="97" t="s">
        <v>714</v>
      </c>
      <c r="J2947" s="73">
        <f t="shared" si="337"/>
        <v>1</v>
      </c>
      <c r="K2947" s="74" t="s">
        <v>204</v>
      </c>
      <c r="L2947" s="97" t="s">
        <v>7336</v>
      </c>
      <c r="N2947" s="76" t="s">
        <v>18</v>
      </c>
      <c r="Q2947" s="76" t="s">
        <v>2142</v>
      </c>
      <c r="R2947" s="73">
        <f t="shared" si="338"/>
        <v>1</v>
      </c>
      <c r="S2947" s="260" t="s">
        <v>1976</v>
      </c>
      <c r="T2947" s="260" t="s">
        <v>924</v>
      </c>
      <c r="Y2947" s="566">
        <v>0.42337962962962966</v>
      </c>
      <c r="Z2947" s="566">
        <v>0.42961805555555554</v>
      </c>
      <c r="AA2947" s="566">
        <f t="shared" si="331"/>
        <v>6.2384259259258834E-3</v>
      </c>
    </row>
    <row r="2948" spans="1:27" x14ac:dyDescent="0.3">
      <c r="A2948" s="79" t="s">
        <v>9708</v>
      </c>
      <c r="C2948" s="115">
        <v>44029</v>
      </c>
      <c r="D2948" s="312">
        <v>44064</v>
      </c>
      <c r="E2948" s="81">
        <v>44060</v>
      </c>
      <c r="F2948" s="86" t="s">
        <v>9773</v>
      </c>
      <c r="G2948" s="86" t="s">
        <v>150</v>
      </c>
      <c r="H2948" s="96" t="s">
        <v>213</v>
      </c>
      <c r="I2948" s="97" t="s">
        <v>642</v>
      </c>
      <c r="J2948" s="73">
        <f t="shared" si="337"/>
        <v>1</v>
      </c>
      <c r="K2948" s="74" t="s">
        <v>204</v>
      </c>
      <c r="L2948" s="97" t="s">
        <v>7069</v>
      </c>
      <c r="N2948" s="76" t="s">
        <v>18</v>
      </c>
      <c r="Q2948" s="76" t="s">
        <v>2109</v>
      </c>
      <c r="R2948" s="73">
        <f t="shared" si="338"/>
        <v>1</v>
      </c>
      <c r="S2948" s="260" t="s">
        <v>1976</v>
      </c>
      <c r="T2948" s="260" t="s">
        <v>924</v>
      </c>
      <c r="Y2948" s="566">
        <v>0.56208333333333338</v>
      </c>
      <c r="Z2948" s="566">
        <v>0.56900462962962961</v>
      </c>
      <c r="AA2948" s="566">
        <f t="shared" si="331"/>
        <v>6.921296296296231E-3</v>
      </c>
    </row>
    <row r="2949" spans="1:27" x14ac:dyDescent="0.3">
      <c r="A2949" s="79" t="s">
        <v>9709</v>
      </c>
      <c r="C2949" s="115">
        <v>44029</v>
      </c>
      <c r="D2949" s="312">
        <v>44064</v>
      </c>
      <c r="E2949" s="81">
        <v>44054</v>
      </c>
      <c r="F2949" s="86" t="s">
        <v>9774</v>
      </c>
      <c r="G2949" s="86" t="s">
        <v>9119</v>
      </c>
      <c r="H2949" s="96" t="s">
        <v>213</v>
      </c>
      <c r="I2949" s="97" t="s">
        <v>714</v>
      </c>
      <c r="J2949" s="73">
        <f t="shared" si="337"/>
        <v>1</v>
      </c>
      <c r="K2949" s="74" t="s">
        <v>204</v>
      </c>
      <c r="L2949" s="97" t="s">
        <v>9839</v>
      </c>
      <c r="N2949" s="76" t="s">
        <v>18</v>
      </c>
      <c r="Q2949" s="76" t="s">
        <v>9187</v>
      </c>
      <c r="R2949" s="73">
        <f t="shared" si="338"/>
        <v>1</v>
      </c>
      <c r="S2949" s="260" t="s">
        <v>1976</v>
      </c>
      <c r="T2949" s="260" t="s">
        <v>8990</v>
      </c>
      <c r="Y2949" s="566">
        <v>0.56689814814814821</v>
      </c>
      <c r="Z2949" s="566">
        <v>0.57269675925925922</v>
      </c>
      <c r="AA2949" s="566">
        <f t="shared" ref="AA2949:AA2966" si="339">Z2949-Y2949</f>
        <v>5.7986111111110183E-3</v>
      </c>
    </row>
    <row r="2950" spans="1:27" x14ac:dyDescent="0.3">
      <c r="A2950" s="79" t="s">
        <v>9710</v>
      </c>
      <c r="C2950" s="115">
        <v>44029</v>
      </c>
      <c r="D2950" s="312">
        <v>44064</v>
      </c>
      <c r="E2950" s="81">
        <v>44062</v>
      </c>
      <c r="F2950" s="86" t="s">
        <v>9775</v>
      </c>
      <c r="G2950" s="86" t="s">
        <v>154</v>
      </c>
      <c r="H2950" s="96" t="s">
        <v>213</v>
      </c>
      <c r="I2950" s="97" t="s">
        <v>714</v>
      </c>
      <c r="J2950" s="73">
        <f t="shared" si="337"/>
        <v>1</v>
      </c>
      <c r="K2950" s="74" t="s">
        <v>204</v>
      </c>
      <c r="L2950" s="97" t="s">
        <v>7071</v>
      </c>
      <c r="N2950" s="76" t="s">
        <v>18</v>
      </c>
      <c r="Q2950" s="76" t="s">
        <v>2109</v>
      </c>
      <c r="R2950" s="73">
        <f t="shared" si="338"/>
        <v>1</v>
      </c>
      <c r="S2950" s="260" t="s">
        <v>1976</v>
      </c>
      <c r="T2950" s="260" t="s">
        <v>924</v>
      </c>
      <c r="Y2950" s="566">
        <v>0.69633101851851853</v>
      </c>
      <c r="Z2950" s="566">
        <v>0.70256944444444447</v>
      </c>
      <c r="AA2950" s="566">
        <f t="shared" si="339"/>
        <v>6.2384259259259389E-3</v>
      </c>
    </row>
    <row r="2951" spans="1:27" x14ac:dyDescent="0.3">
      <c r="A2951" s="79" t="s">
        <v>9711</v>
      </c>
      <c r="C2951" s="115">
        <v>44029</v>
      </c>
      <c r="D2951" s="312">
        <v>44064</v>
      </c>
      <c r="E2951" s="81">
        <v>44060</v>
      </c>
      <c r="F2951" s="86" t="s">
        <v>9776</v>
      </c>
      <c r="G2951" s="86" t="s">
        <v>147</v>
      </c>
      <c r="H2951" s="96" t="s">
        <v>213</v>
      </c>
      <c r="I2951" s="97" t="s">
        <v>714</v>
      </c>
      <c r="J2951" s="73">
        <f t="shared" si="337"/>
        <v>1</v>
      </c>
      <c r="K2951" s="74" t="s">
        <v>204</v>
      </c>
      <c r="L2951" s="97" t="s">
        <v>7336</v>
      </c>
      <c r="N2951" s="76" t="s">
        <v>8990</v>
      </c>
      <c r="Q2951" s="76" t="s">
        <v>2142</v>
      </c>
      <c r="R2951" s="73">
        <f t="shared" si="338"/>
        <v>1</v>
      </c>
      <c r="S2951" s="260" t="s">
        <v>1976</v>
      </c>
      <c r="T2951" s="260" t="s">
        <v>924</v>
      </c>
      <c r="Y2951" s="566">
        <v>0.41626157407407405</v>
      </c>
      <c r="Z2951" s="566">
        <v>0.42129629629629628</v>
      </c>
      <c r="AA2951" s="566">
        <f t="shared" si="339"/>
        <v>5.0347222222222321E-3</v>
      </c>
    </row>
    <row r="2952" spans="1:27" x14ac:dyDescent="0.3">
      <c r="A2952" s="79" t="s">
        <v>9712</v>
      </c>
      <c r="C2952" s="115">
        <v>44036</v>
      </c>
      <c r="D2952" s="312">
        <v>44060</v>
      </c>
      <c r="E2952" s="81">
        <v>44053</v>
      </c>
      <c r="F2952" s="86" t="s">
        <v>9777</v>
      </c>
      <c r="G2952" s="86" t="s">
        <v>152</v>
      </c>
      <c r="H2952" s="96" t="s">
        <v>213</v>
      </c>
      <c r="I2952" s="97" t="s">
        <v>649</v>
      </c>
      <c r="J2952" s="73">
        <f t="shared" si="337"/>
        <v>1</v>
      </c>
      <c r="K2952" s="74" t="s">
        <v>204</v>
      </c>
      <c r="L2952" s="97" t="s">
        <v>7065</v>
      </c>
      <c r="N2952" s="76" t="s">
        <v>18</v>
      </c>
      <c r="Q2952" s="76" t="s">
        <v>9187</v>
      </c>
      <c r="R2952" s="73">
        <f t="shared" si="338"/>
        <v>1</v>
      </c>
      <c r="S2952" s="260" t="s">
        <v>1976</v>
      </c>
      <c r="T2952" s="260" t="s">
        <v>924</v>
      </c>
      <c r="Y2952" s="566">
        <v>0.57318287037037041</v>
      </c>
      <c r="Z2952" s="566">
        <v>0.58296296296296302</v>
      </c>
      <c r="AA2952" s="566">
        <f t="shared" si="339"/>
        <v>9.7800925925926041E-3</v>
      </c>
    </row>
    <row r="2953" spans="1:27" x14ac:dyDescent="0.3">
      <c r="A2953" s="79" t="s">
        <v>9713</v>
      </c>
      <c r="C2953" s="115">
        <v>44039</v>
      </c>
      <c r="D2953" s="312">
        <v>44060</v>
      </c>
      <c r="E2953" s="81">
        <v>44053</v>
      </c>
      <c r="F2953" s="86" t="s">
        <v>9778</v>
      </c>
      <c r="G2953" s="86" t="s">
        <v>152</v>
      </c>
      <c r="H2953" s="96" t="s">
        <v>213</v>
      </c>
      <c r="I2953" s="97" t="s">
        <v>684</v>
      </c>
      <c r="J2953" s="73">
        <f t="shared" si="337"/>
        <v>1</v>
      </c>
      <c r="K2953" s="74" t="s">
        <v>204</v>
      </c>
      <c r="L2953" s="97" t="s">
        <v>9437</v>
      </c>
      <c r="N2953" s="76" t="s">
        <v>18</v>
      </c>
      <c r="Q2953" s="76" t="s">
        <v>9187</v>
      </c>
      <c r="R2953" s="73">
        <f t="shared" si="338"/>
        <v>1</v>
      </c>
      <c r="S2953" s="260" t="s">
        <v>1976</v>
      </c>
      <c r="T2953" s="260" t="s">
        <v>925</v>
      </c>
      <c r="Y2953" s="566">
        <v>0.55108796296296292</v>
      </c>
      <c r="Z2953" s="566">
        <v>0.57262731481481477</v>
      </c>
      <c r="AA2953" s="566">
        <f t="shared" si="339"/>
        <v>2.1539351851851851E-2</v>
      </c>
    </row>
    <row r="2954" spans="1:27" x14ac:dyDescent="0.3">
      <c r="A2954" s="79" t="s">
        <v>9714</v>
      </c>
      <c r="C2954" s="115">
        <v>44039</v>
      </c>
      <c r="D2954" s="312">
        <v>44060</v>
      </c>
      <c r="E2954" s="81">
        <v>44056</v>
      </c>
      <c r="F2954" s="86" t="s">
        <v>9779</v>
      </c>
      <c r="G2954" s="86" t="s">
        <v>152</v>
      </c>
      <c r="H2954" s="79" t="s">
        <v>268</v>
      </c>
      <c r="I2954" s="97" t="s">
        <v>649</v>
      </c>
      <c r="J2954" s="73">
        <f t="shared" si="337"/>
        <v>1</v>
      </c>
      <c r="K2954" s="74" t="s">
        <v>204</v>
      </c>
      <c r="L2954" s="97" t="s">
        <v>7060</v>
      </c>
      <c r="N2954" s="76" t="s">
        <v>17</v>
      </c>
      <c r="Q2954" s="76" t="s">
        <v>2037</v>
      </c>
      <c r="R2954" s="73">
        <f t="shared" si="338"/>
        <v>1</v>
      </c>
      <c r="S2954" s="260" t="s">
        <v>1976</v>
      </c>
      <c r="T2954" s="260" t="s">
        <v>925</v>
      </c>
      <c r="Y2954" s="566">
        <v>0.57326388888888891</v>
      </c>
      <c r="Z2954" s="566">
        <v>0.58855324074074067</v>
      </c>
      <c r="AA2954" s="566">
        <f t="shared" si="339"/>
        <v>1.5289351851851762E-2</v>
      </c>
    </row>
    <row r="2955" spans="1:27" x14ac:dyDescent="0.3">
      <c r="A2955" s="79" t="s">
        <v>9715</v>
      </c>
      <c r="C2955" s="115">
        <v>44039</v>
      </c>
      <c r="D2955" s="312">
        <v>44061</v>
      </c>
      <c r="E2955" s="81">
        <v>44055</v>
      </c>
      <c r="F2955" s="86" t="s">
        <v>9780</v>
      </c>
      <c r="G2955" s="86" t="s">
        <v>152</v>
      </c>
      <c r="H2955" s="96" t="s">
        <v>213</v>
      </c>
      <c r="I2955" s="97" t="s">
        <v>1204</v>
      </c>
      <c r="J2955" s="73">
        <f t="shared" ref="J2955:J2966" si="340">IF(OR(K2955="Документы готовы",K2955="Запрос в ФО",K2955="ЭЗ",K2955="РЕШ",K2955="РЕШ шаблон"),0.1,IF(OR(K2955="ЭЗ согласование",K2955="РЕШ согласование"),0.3,IF(OR(K2955="ЭЗ согласовано",K2955="РЕШ согласовано",K2955="РЕШ подписано"),0.6,IF(OR(K2955="ЭЗ ПР согласование",K2955="РЕШ УВ согласование"),0.9,IF(OR(K2955="ЭЗ ПР DONE",K2955="РЕШ УВ DONE"),1,0)))))</f>
        <v>1</v>
      </c>
      <c r="K2955" s="74" t="s">
        <v>204</v>
      </c>
      <c r="L2955" s="97" t="s">
        <v>9850</v>
      </c>
      <c r="N2955" s="76" t="s">
        <v>18</v>
      </c>
      <c r="Q2955" s="76" t="s">
        <v>2142</v>
      </c>
      <c r="R2955" s="73">
        <f t="shared" ref="R2955:R2966" si="341">IF(S2955="В работе",0.3,IF(S2955="Отписано",0.6,IF(S2955="На доработку",0.9,IF(S2955="Согласовано",1,0))))</f>
        <v>1</v>
      </c>
      <c r="S2955" s="260" t="s">
        <v>1976</v>
      </c>
      <c r="T2955" s="260" t="s">
        <v>924</v>
      </c>
      <c r="Y2955" s="566">
        <v>0.56726851851851856</v>
      </c>
      <c r="Z2955" s="566">
        <v>0.58649305555555553</v>
      </c>
      <c r="AA2955" s="566">
        <f t="shared" si="339"/>
        <v>1.9224537037036971E-2</v>
      </c>
    </row>
    <row r="2956" spans="1:27" x14ac:dyDescent="0.3">
      <c r="A2956" s="79" t="s">
        <v>9716</v>
      </c>
      <c r="C2956" s="115">
        <v>44039</v>
      </c>
      <c r="D2956" s="312">
        <v>44061</v>
      </c>
      <c r="E2956" s="81">
        <v>44055</v>
      </c>
      <c r="F2956" s="86" t="s">
        <v>9781</v>
      </c>
      <c r="G2956" s="86" t="s">
        <v>152</v>
      </c>
      <c r="H2956" s="96" t="s">
        <v>213</v>
      </c>
      <c r="I2956" s="97" t="s">
        <v>649</v>
      </c>
      <c r="J2956" s="73">
        <f t="shared" si="340"/>
        <v>1</v>
      </c>
      <c r="K2956" s="74" t="s">
        <v>204</v>
      </c>
      <c r="L2956" s="97" t="s">
        <v>9854</v>
      </c>
      <c r="N2956" s="76" t="s">
        <v>8990</v>
      </c>
      <c r="Q2956" s="76" t="s">
        <v>2142</v>
      </c>
      <c r="R2956" s="73">
        <f t="shared" si="341"/>
        <v>1</v>
      </c>
      <c r="S2956" s="260" t="s">
        <v>1976</v>
      </c>
      <c r="T2956" s="260" t="s">
        <v>924</v>
      </c>
      <c r="Y2956" s="566">
        <v>0.6187731481481481</v>
      </c>
      <c r="Z2956" s="566">
        <v>0.62714120370370374</v>
      </c>
      <c r="AA2956" s="566">
        <f t="shared" si="339"/>
        <v>8.3680555555556424E-3</v>
      </c>
    </row>
    <row r="2957" spans="1:27" x14ac:dyDescent="0.3">
      <c r="A2957" s="79" t="s">
        <v>9717</v>
      </c>
      <c r="C2957" s="115">
        <v>44039</v>
      </c>
      <c r="D2957" s="312">
        <v>44061</v>
      </c>
      <c r="E2957" s="81">
        <v>44055</v>
      </c>
      <c r="F2957" s="86" t="s">
        <v>9782</v>
      </c>
      <c r="G2957" s="86" t="s">
        <v>156</v>
      </c>
      <c r="H2957" s="96" t="s">
        <v>213</v>
      </c>
      <c r="I2957" s="97" t="s">
        <v>1204</v>
      </c>
      <c r="J2957" s="73">
        <f t="shared" si="340"/>
        <v>1</v>
      </c>
      <c r="K2957" s="74" t="s">
        <v>204</v>
      </c>
      <c r="L2957" s="97" t="s">
        <v>9856</v>
      </c>
      <c r="N2957" s="76" t="s">
        <v>18</v>
      </c>
      <c r="Q2957" s="76" t="s">
        <v>2142</v>
      </c>
      <c r="R2957" s="73">
        <f t="shared" si="341"/>
        <v>1</v>
      </c>
      <c r="S2957" s="260" t="s">
        <v>1976</v>
      </c>
      <c r="T2957" s="260" t="s">
        <v>924</v>
      </c>
      <c r="Y2957" s="566">
        <v>0.63531250000000006</v>
      </c>
      <c r="Z2957" s="566">
        <v>0.66340277777777779</v>
      </c>
      <c r="AA2957" s="566">
        <f t="shared" si="339"/>
        <v>2.8090277777777728E-2</v>
      </c>
    </row>
    <row r="2958" spans="1:27" x14ac:dyDescent="0.3">
      <c r="A2958" s="79" t="s">
        <v>9718</v>
      </c>
      <c r="C2958" s="115">
        <v>44039</v>
      </c>
      <c r="D2958" s="312">
        <v>44061</v>
      </c>
      <c r="E2958" s="81">
        <v>44057</v>
      </c>
      <c r="F2958" s="86" t="s">
        <v>9783</v>
      </c>
      <c r="G2958" s="86" t="s">
        <v>150</v>
      </c>
      <c r="H2958" s="96" t="s">
        <v>213</v>
      </c>
      <c r="I2958" s="97" t="s">
        <v>649</v>
      </c>
      <c r="J2958" s="73">
        <f t="shared" si="340"/>
        <v>1</v>
      </c>
      <c r="K2958" s="74" t="s">
        <v>204</v>
      </c>
      <c r="L2958" s="97" t="s">
        <v>9895</v>
      </c>
      <c r="N2958" s="76" t="s">
        <v>17</v>
      </c>
      <c r="Q2958" s="76" t="s">
        <v>2109</v>
      </c>
      <c r="R2958" s="73">
        <f t="shared" si="341"/>
        <v>1</v>
      </c>
      <c r="S2958" s="260" t="s">
        <v>1976</v>
      </c>
      <c r="T2958" s="260" t="s">
        <v>924</v>
      </c>
      <c r="U2958" s="76" t="s">
        <v>5283</v>
      </c>
      <c r="V2958" s="301" t="s">
        <v>9899</v>
      </c>
      <c r="Y2958" s="566">
        <v>0.66465277777777776</v>
      </c>
      <c r="Z2958" s="566">
        <v>0.6875</v>
      </c>
      <c r="AA2958" s="566">
        <f t="shared" si="339"/>
        <v>2.2847222222222241E-2</v>
      </c>
    </row>
    <row r="2959" spans="1:27" x14ac:dyDescent="0.3">
      <c r="A2959" s="79" t="s">
        <v>9719</v>
      </c>
      <c r="C2959" s="115">
        <v>44040</v>
      </c>
      <c r="D2959" s="312">
        <v>44061</v>
      </c>
      <c r="E2959" s="81">
        <v>44056</v>
      </c>
      <c r="F2959" s="86" t="s">
        <v>9784</v>
      </c>
      <c r="G2959" s="86" t="s">
        <v>150</v>
      </c>
      <c r="H2959" s="96" t="s">
        <v>213</v>
      </c>
      <c r="I2959" s="97" t="s">
        <v>649</v>
      </c>
      <c r="J2959" s="73">
        <f t="shared" si="340"/>
        <v>1</v>
      </c>
      <c r="K2959" s="74" t="s">
        <v>204</v>
      </c>
      <c r="L2959" s="97" t="s">
        <v>7065</v>
      </c>
      <c r="N2959" s="76" t="s">
        <v>17</v>
      </c>
      <c r="Q2959" s="76" t="s">
        <v>2037</v>
      </c>
      <c r="R2959" s="73">
        <f t="shared" si="341"/>
        <v>1</v>
      </c>
      <c r="S2959" s="260" t="s">
        <v>1976</v>
      </c>
      <c r="T2959" s="260" t="s">
        <v>924</v>
      </c>
      <c r="Y2959" s="566">
        <v>0.41482638888888884</v>
      </c>
      <c r="Z2959" s="566">
        <v>0.42510416666666667</v>
      </c>
      <c r="AA2959" s="566">
        <f t="shared" si="339"/>
        <v>1.027777777777783E-2</v>
      </c>
    </row>
    <row r="2960" spans="1:27" x14ac:dyDescent="0.3">
      <c r="A2960" s="79" t="s">
        <v>9720</v>
      </c>
      <c r="C2960" s="115">
        <v>44040</v>
      </c>
      <c r="D2960" s="312">
        <v>44062</v>
      </c>
      <c r="E2960" s="81">
        <v>44056</v>
      </c>
      <c r="F2960" s="86" t="s">
        <v>9785</v>
      </c>
      <c r="G2960" s="86" t="s">
        <v>9119</v>
      </c>
      <c r="H2960" s="96" t="s">
        <v>213</v>
      </c>
      <c r="I2960" s="97" t="s">
        <v>995</v>
      </c>
      <c r="J2960" s="73">
        <f t="shared" si="340"/>
        <v>1</v>
      </c>
      <c r="K2960" s="74" t="s">
        <v>204</v>
      </c>
      <c r="L2960" s="97" t="s">
        <v>9878</v>
      </c>
      <c r="N2960" s="76" t="s">
        <v>19</v>
      </c>
      <c r="Q2960" s="76" t="s">
        <v>2142</v>
      </c>
      <c r="R2960" s="73">
        <f t="shared" si="341"/>
        <v>1</v>
      </c>
      <c r="S2960" s="260" t="s">
        <v>1976</v>
      </c>
      <c r="T2960" s="260" t="s">
        <v>924</v>
      </c>
      <c r="Y2960" s="566">
        <v>0.56876157407407402</v>
      </c>
      <c r="Z2960" s="566">
        <v>0.57275462962962964</v>
      </c>
      <c r="AA2960" s="566">
        <f t="shared" si="339"/>
        <v>3.9930555555556246E-3</v>
      </c>
    </row>
    <row r="2961" spans="1:27" x14ac:dyDescent="0.3">
      <c r="A2961" s="79" t="s">
        <v>9721</v>
      </c>
      <c r="C2961" s="115">
        <v>44040</v>
      </c>
      <c r="D2961" s="312">
        <v>44062</v>
      </c>
      <c r="E2961" s="81">
        <v>44053</v>
      </c>
      <c r="F2961" s="86" t="s">
        <v>9786</v>
      </c>
      <c r="G2961" s="86" t="s">
        <v>147</v>
      </c>
      <c r="H2961" s="96" t="s">
        <v>213</v>
      </c>
      <c r="I2961" s="97" t="s">
        <v>649</v>
      </c>
      <c r="J2961" s="73">
        <f t="shared" si="340"/>
        <v>1</v>
      </c>
      <c r="K2961" s="74" t="s">
        <v>204</v>
      </c>
      <c r="L2961" s="97" t="s">
        <v>9814</v>
      </c>
      <c r="N2961" s="76" t="s">
        <v>8990</v>
      </c>
      <c r="Q2961" s="76" t="s">
        <v>9187</v>
      </c>
      <c r="R2961" s="73">
        <f t="shared" si="341"/>
        <v>1</v>
      </c>
      <c r="S2961" s="260" t="s">
        <v>1976</v>
      </c>
      <c r="T2961" s="260" t="s">
        <v>8990</v>
      </c>
      <c r="Y2961" s="566">
        <v>0.60900462962962965</v>
      </c>
      <c r="Z2961" s="566">
        <v>0.61679398148148146</v>
      </c>
      <c r="AA2961" s="566">
        <f t="shared" si="339"/>
        <v>7.7893518518518112E-3</v>
      </c>
    </row>
    <row r="2962" spans="1:27" x14ac:dyDescent="0.3">
      <c r="A2962" s="79" t="s">
        <v>9722</v>
      </c>
      <c r="C2962" s="115">
        <v>44041</v>
      </c>
      <c r="D2962" s="312">
        <v>44062</v>
      </c>
      <c r="E2962" s="81">
        <v>44053</v>
      </c>
      <c r="F2962" s="86" t="s">
        <v>9787</v>
      </c>
      <c r="G2962" s="86" t="s">
        <v>181</v>
      </c>
      <c r="H2962" s="96" t="s">
        <v>213</v>
      </c>
      <c r="I2962" s="97" t="s">
        <v>649</v>
      </c>
      <c r="J2962" s="73">
        <f t="shared" si="340"/>
        <v>1</v>
      </c>
      <c r="K2962" s="74" t="s">
        <v>204</v>
      </c>
      <c r="L2962" s="97" t="s">
        <v>7089</v>
      </c>
      <c r="N2962" s="76" t="s">
        <v>17</v>
      </c>
      <c r="Q2962" s="76" t="s">
        <v>9187</v>
      </c>
      <c r="R2962" s="73">
        <f t="shared" si="341"/>
        <v>1</v>
      </c>
      <c r="S2962" s="260" t="s">
        <v>1976</v>
      </c>
      <c r="T2962" s="260" t="s">
        <v>8990</v>
      </c>
      <c r="Y2962" s="566">
        <v>0.60261574074074076</v>
      </c>
      <c r="Z2962" s="566">
        <v>0.60855324074074069</v>
      </c>
      <c r="AA2962" s="566">
        <f t="shared" si="339"/>
        <v>5.9374999999999289E-3</v>
      </c>
    </row>
    <row r="2963" spans="1:27" x14ac:dyDescent="0.3">
      <c r="A2963" s="79" t="s">
        <v>9723</v>
      </c>
      <c r="C2963" s="115">
        <v>44041</v>
      </c>
      <c r="D2963" s="312">
        <v>44063</v>
      </c>
      <c r="E2963" s="81">
        <v>44055</v>
      </c>
      <c r="F2963" s="86" t="s">
        <v>9788</v>
      </c>
      <c r="G2963" s="86" t="s">
        <v>152</v>
      </c>
      <c r="H2963" s="79" t="s">
        <v>268</v>
      </c>
      <c r="I2963" s="97" t="s">
        <v>641</v>
      </c>
      <c r="J2963" s="73">
        <f t="shared" si="340"/>
        <v>1</v>
      </c>
      <c r="K2963" s="74" t="s">
        <v>204</v>
      </c>
      <c r="L2963" s="97" t="s">
        <v>9859</v>
      </c>
      <c r="N2963" s="76" t="s">
        <v>18</v>
      </c>
      <c r="Q2963" s="76" t="s">
        <v>9187</v>
      </c>
      <c r="R2963" s="73">
        <f t="shared" si="341"/>
        <v>1</v>
      </c>
      <c r="S2963" s="260" t="s">
        <v>1976</v>
      </c>
      <c r="T2963" s="260" t="s">
        <v>924</v>
      </c>
      <c r="Y2963" s="566">
        <v>0.6700462962962962</v>
      </c>
      <c r="Z2963" s="566">
        <v>0.72637731481481482</v>
      </c>
      <c r="AA2963" s="566">
        <f t="shared" si="339"/>
        <v>5.6331018518518627E-2</v>
      </c>
    </row>
    <row r="2964" spans="1:27" x14ac:dyDescent="0.3">
      <c r="A2964" s="79" t="s">
        <v>9724</v>
      </c>
      <c r="C2964" s="115">
        <v>44041</v>
      </c>
      <c r="D2964" s="312">
        <v>44063</v>
      </c>
      <c r="E2964" s="81">
        <v>44060</v>
      </c>
      <c r="F2964" s="86" t="s">
        <v>9789</v>
      </c>
      <c r="G2964" s="86" t="s">
        <v>9119</v>
      </c>
      <c r="H2964" s="96" t="s">
        <v>213</v>
      </c>
      <c r="I2964" s="97" t="s">
        <v>649</v>
      </c>
      <c r="J2964" s="73">
        <f t="shared" si="340"/>
        <v>1</v>
      </c>
      <c r="K2964" s="74" t="s">
        <v>204</v>
      </c>
      <c r="L2964" s="97" t="s">
        <v>7065</v>
      </c>
      <c r="N2964" s="76" t="s">
        <v>17</v>
      </c>
      <c r="Q2964" s="76" t="s">
        <v>2109</v>
      </c>
      <c r="R2964" s="73">
        <f t="shared" si="341"/>
        <v>1</v>
      </c>
      <c r="S2964" s="260" t="s">
        <v>1976</v>
      </c>
      <c r="T2964" s="260" t="s">
        <v>924</v>
      </c>
      <c r="U2964" s="76" t="s">
        <v>5283</v>
      </c>
      <c r="V2964" s="301" t="s">
        <v>9900</v>
      </c>
      <c r="Y2964" s="566">
        <v>0.43983796296296296</v>
      </c>
      <c r="Z2964" s="566">
        <v>0.44853009259259258</v>
      </c>
      <c r="AA2964" s="566">
        <f t="shared" si="339"/>
        <v>8.6921296296296191E-3</v>
      </c>
    </row>
    <row r="2965" spans="1:27" x14ac:dyDescent="0.3">
      <c r="A2965" s="79" t="s">
        <v>9725</v>
      </c>
      <c r="C2965" s="115">
        <v>44042</v>
      </c>
      <c r="D2965" s="312">
        <v>44063</v>
      </c>
      <c r="E2965" s="81">
        <v>44060</v>
      </c>
      <c r="F2965" s="86" t="s">
        <v>9790</v>
      </c>
      <c r="G2965" s="86" t="s">
        <v>156</v>
      </c>
      <c r="H2965" s="96" t="s">
        <v>213</v>
      </c>
      <c r="I2965" s="97" t="s">
        <v>649</v>
      </c>
      <c r="J2965" s="73">
        <f t="shared" si="340"/>
        <v>1</v>
      </c>
      <c r="K2965" s="74" t="s">
        <v>204</v>
      </c>
      <c r="L2965" s="97" t="s">
        <v>9906</v>
      </c>
      <c r="N2965" s="76" t="s">
        <v>17</v>
      </c>
      <c r="Q2965" s="76" t="s">
        <v>2142</v>
      </c>
      <c r="R2965" s="73">
        <f t="shared" si="341"/>
        <v>1</v>
      </c>
      <c r="S2965" s="260" t="s">
        <v>1976</v>
      </c>
      <c r="T2965" s="260" t="s">
        <v>924</v>
      </c>
      <c r="U2965" s="76" t="s">
        <v>5283</v>
      </c>
      <c r="V2965" s="301" t="s">
        <v>9907</v>
      </c>
      <c r="Y2965" s="566">
        <v>0.5417939814814815</v>
      </c>
      <c r="Z2965" s="566">
        <v>0.55579861111111117</v>
      </c>
      <c r="AA2965" s="566">
        <f t="shared" si="339"/>
        <v>1.4004629629629672E-2</v>
      </c>
    </row>
    <row r="2966" spans="1:27" x14ac:dyDescent="0.3">
      <c r="A2966" s="79" t="s">
        <v>9726</v>
      </c>
      <c r="C2966" s="115">
        <v>44043</v>
      </c>
      <c r="D2966" s="312">
        <v>44064</v>
      </c>
      <c r="E2966" s="81">
        <v>44054</v>
      </c>
      <c r="F2966" s="86" t="s">
        <v>9791</v>
      </c>
      <c r="G2966" s="86" t="s">
        <v>152</v>
      </c>
      <c r="H2966" s="96" t="s">
        <v>213</v>
      </c>
      <c r="I2966" s="97" t="s">
        <v>722</v>
      </c>
      <c r="J2966" s="73">
        <f t="shared" si="340"/>
        <v>1</v>
      </c>
      <c r="K2966" s="74" t="s">
        <v>204</v>
      </c>
      <c r="L2966" s="97" t="s">
        <v>7322</v>
      </c>
      <c r="N2966" s="76" t="s">
        <v>18</v>
      </c>
      <c r="Q2966" s="76" t="s">
        <v>9187</v>
      </c>
      <c r="R2966" s="73">
        <f t="shared" si="341"/>
        <v>1</v>
      </c>
      <c r="S2966" s="260" t="s">
        <v>1976</v>
      </c>
      <c r="T2966" s="260" t="s">
        <v>8990</v>
      </c>
      <c r="Y2966" s="566">
        <v>0.68093750000000008</v>
      </c>
      <c r="Z2966" s="566">
        <v>0.68859953703703702</v>
      </c>
      <c r="AA2966" s="566">
        <f t="shared" si="339"/>
        <v>7.6620370370369395E-3</v>
      </c>
    </row>
    <row r="2967" spans="1:27" x14ac:dyDescent="0.3">
      <c r="A2967" s="96" t="s">
        <v>9844</v>
      </c>
      <c r="C2967" s="81">
        <v>44040</v>
      </c>
      <c r="D2967" s="109">
        <v>44061</v>
      </c>
      <c r="E2967" s="81">
        <v>44054</v>
      </c>
      <c r="F2967" s="97" t="s">
        <v>9845</v>
      </c>
      <c r="G2967" s="97" t="s">
        <v>152</v>
      </c>
      <c r="H2967" s="96" t="s">
        <v>213</v>
      </c>
      <c r="I2967" s="97" t="s">
        <v>649</v>
      </c>
      <c r="J2967" s="73">
        <f t="shared" ref="J2967" si="342">IF(OR(K2967="Документы готовы",K2967="Запрос в ФО",K2967="ЭЗ",K2967="РЕШ",K2967="РЕШ шаблон"),0.1,IF(OR(K2967="ЭЗ согласование",K2967="РЕШ согласование"),0.3,IF(OR(K2967="ЭЗ согласовано",K2967="РЕШ согласовано",K2967="РЕШ подписано"),0.6,IF(OR(K2967="ЭЗ ПР согласование",K2967="РЕШ УВ согласование"),0.9,IF(OR(K2967="ЭЗ ПР DONE",K2967="РЕШ УВ DONE"),1,0)))))</f>
        <v>1</v>
      </c>
      <c r="K2967" s="74" t="s">
        <v>204</v>
      </c>
      <c r="L2967" s="97" t="s">
        <v>9846</v>
      </c>
      <c r="N2967" s="76" t="s">
        <v>17</v>
      </c>
      <c r="Q2967" s="76" t="s">
        <v>9187</v>
      </c>
      <c r="R2967" s="73">
        <f t="shared" ref="R2967" si="343">IF(S2967="В работе",0.3,IF(S2967="Отписано",0.6,IF(S2967="На доработку",0.9,IF(S2967="Согласовано",1,0))))</f>
        <v>1</v>
      </c>
      <c r="S2967" s="260" t="s">
        <v>1976</v>
      </c>
      <c r="T2967" s="260" t="s">
        <v>924</v>
      </c>
      <c r="U2967" s="76" t="s">
        <v>5283</v>
      </c>
      <c r="V2967" s="301" t="s">
        <v>9847</v>
      </c>
      <c r="Y2967" s="566">
        <v>0.8366203703703704</v>
      </c>
      <c r="Z2967" s="566">
        <v>0.84726851851851848</v>
      </c>
      <c r="AA2967" s="566">
        <f t="shared" ref="AA2967:AA3019" si="344">Z2967-Y2967</f>
        <v>1.0648148148148073E-2</v>
      </c>
    </row>
    <row r="2968" spans="1:27" x14ac:dyDescent="0.3">
      <c r="A2968" s="96" t="s">
        <v>9869</v>
      </c>
      <c r="C2968" s="81">
        <v>43770</v>
      </c>
      <c r="D2968" s="81">
        <v>43808</v>
      </c>
      <c r="F2968" s="97" t="s">
        <v>9872</v>
      </c>
      <c r="G2968" s="97" t="s">
        <v>154</v>
      </c>
      <c r="H2968" s="79" t="s">
        <v>268</v>
      </c>
      <c r="I2968" s="97" t="s">
        <v>641</v>
      </c>
      <c r="J2968" s="73">
        <f t="shared" ref="J2968:J2969" si="345">IF(OR(K2968="Документы готовы",K2968="Запрос в ФО",K2968="ЭЗ",K2968="РЕШ",K2968="РЕШ шаблон"),0.1,IF(OR(K2968="ЭЗ согласование",K2968="РЕШ согласование"),0.3,IF(OR(K2968="ЭЗ согласовано",K2968="РЕШ согласовано",K2968="РЕШ подписано"),0.6,IF(OR(K2968="ЭЗ ПР согласование",K2968="РЕШ УВ согласование"),0.9,IF(OR(K2968="ЭЗ ПР DONE",K2968="РЕШ УВ DONE"),1,0)))))</f>
        <v>1</v>
      </c>
      <c r="K2968" s="74" t="s">
        <v>204</v>
      </c>
      <c r="L2968" s="97" t="s">
        <v>9871</v>
      </c>
      <c r="N2968" s="76" t="s">
        <v>17</v>
      </c>
      <c r="Q2968" s="76" t="s">
        <v>9870</v>
      </c>
      <c r="R2968" s="73">
        <f t="shared" ref="R2968:R2969" si="346">IF(S2968="В работе",0.3,IF(S2968="Отписано",0.6,IF(S2968="На доработку",0.9,IF(S2968="Согласовано",1,0))))</f>
        <v>1</v>
      </c>
      <c r="S2968" s="260" t="s">
        <v>1976</v>
      </c>
      <c r="T2968" s="260" t="s">
        <v>924</v>
      </c>
      <c r="AA2968" s="566">
        <f t="shared" si="344"/>
        <v>0</v>
      </c>
    </row>
    <row r="2969" spans="1:27" x14ac:dyDescent="0.3">
      <c r="A2969" s="79" t="s">
        <v>9908</v>
      </c>
      <c r="C2969" s="115">
        <v>44008</v>
      </c>
      <c r="D2969" s="312">
        <v>44068</v>
      </c>
      <c r="E2969" s="81">
        <v>44061</v>
      </c>
      <c r="F2969" s="86" t="s">
        <v>9973</v>
      </c>
      <c r="G2969" s="86" t="s">
        <v>152</v>
      </c>
      <c r="H2969" s="96" t="s">
        <v>213</v>
      </c>
      <c r="I2969" s="97" t="s">
        <v>714</v>
      </c>
      <c r="J2969" s="73">
        <f t="shared" si="345"/>
        <v>1</v>
      </c>
      <c r="K2969" s="74" t="s">
        <v>204</v>
      </c>
      <c r="L2969" s="97" t="s">
        <v>7336</v>
      </c>
      <c r="N2969" s="76" t="s">
        <v>17</v>
      </c>
      <c r="Q2969" s="76" t="s">
        <v>5193</v>
      </c>
      <c r="R2969" s="73">
        <f t="shared" si="346"/>
        <v>1</v>
      </c>
      <c r="S2969" s="260" t="s">
        <v>1976</v>
      </c>
      <c r="T2969" s="260" t="s">
        <v>924</v>
      </c>
      <c r="Y2969" s="566">
        <v>0.71209490740740744</v>
      </c>
      <c r="Z2969" s="566">
        <v>0.719212962962963</v>
      </c>
      <c r="AA2969" s="566">
        <f t="shared" si="344"/>
        <v>7.118055555555558E-3</v>
      </c>
    </row>
    <row r="2970" spans="1:27" x14ac:dyDescent="0.3">
      <c r="A2970" s="79" t="s">
        <v>9909</v>
      </c>
      <c r="C2970" s="115">
        <v>44018</v>
      </c>
      <c r="D2970" s="312">
        <v>44067</v>
      </c>
      <c r="E2970" s="81">
        <v>44063</v>
      </c>
      <c r="F2970" s="86" t="s">
        <v>9974</v>
      </c>
      <c r="G2970" s="97" t="s">
        <v>154</v>
      </c>
      <c r="H2970" s="96" t="s">
        <v>3612</v>
      </c>
      <c r="I2970" s="97" t="s">
        <v>642</v>
      </c>
      <c r="J2970" s="73">
        <f t="shared" ref="J2970:J3020" si="347">IF(OR(K2970="Документы готовы",K2970="Запрос в ФО",K2970="ЭЗ",K2970="РЕШ",K2970="РЕШ шаблон"),0.1,IF(OR(K2970="ЭЗ согласование",K2970="РЕШ согласование"),0.3,IF(OR(K2970="ЭЗ согласовано",K2970="РЕШ согласовано",K2970="РЕШ подписано"),0.6,IF(OR(K2970="ЭЗ ПР согласование",K2970="РЕШ УВ согласование"),0.9,IF(OR(K2970="ЭЗ ПР DONE",K2970="РЕШ УВ DONE"),1,0)))))</f>
        <v>1</v>
      </c>
      <c r="K2970" s="74" t="s">
        <v>204</v>
      </c>
      <c r="L2970" s="97" t="s">
        <v>7110</v>
      </c>
      <c r="N2970" s="76" t="s">
        <v>18</v>
      </c>
      <c r="Q2970" s="76" t="s">
        <v>2109</v>
      </c>
      <c r="R2970" s="73">
        <f t="shared" ref="R2970:R3020" si="348">IF(S2970="В работе",0.3,IF(S2970="Отписано",0.6,IF(S2970="На доработку",0.9,IF(S2970="Согласовано",1,0))))</f>
        <v>1</v>
      </c>
      <c r="S2970" s="260" t="s">
        <v>1976</v>
      </c>
      <c r="T2970" s="260" t="s">
        <v>924</v>
      </c>
      <c r="Y2970" s="566">
        <v>0.84362268518518524</v>
      </c>
      <c r="Z2970" s="566">
        <v>0.86318287037037045</v>
      </c>
      <c r="AA2970" s="566">
        <f t="shared" si="344"/>
        <v>1.9560185185185208E-2</v>
      </c>
    </row>
    <row r="2971" spans="1:27" x14ac:dyDescent="0.3">
      <c r="A2971" s="79" t="s">
        <v>9910</v>
      </c>
      <c r="C2971" s="115">
        <v>44029</v>
      </c>
      <c r="D2971" s="312">
        <v>44067</v>
      </c>
      <c r="E2971" s="81">
        <v>44060</v>
      </c>
      <c r="F2971" s="86" t="s">
        <v>9975</v>
      </c>
      <c r="G2971" s="86" t="s">
        <v>173</v>
      </c>
      <c r="H2971" s="96" t="s">
        <v>213</v>
      </c>
      <c r="I2971" s="97" t="s">
        <v>642</v>
      </c>
      <c r="J2971" s="73">
        <f t="shared" si="347"/>
        <v>1</v>
      </c>
      <c r="K2971" s="74" t="s">
        <v>204</v>
      </c>
      <c r="L2971" s="97" t="s">
        <v>10037</v>
      </c>
      <c r="N2971" s="76" t="s">
        <v>18</v>
      </c>
      <c r="Q2971" s="76" t="s">
        <v>2076</v>
      </c>
      <c r="R2971" s="73">
        <f t="shared" si="348"/>
        <v>1</v>
      </c>
      <c r="S2971" s="260" t="s">
        <v>1976</v>
      </c>
      <c r="T2971" s="260" t="s">
        <v>924</v>
      </c>
      <c r="U2971" s="76" t="s">
        <v>5283</v>
      </c>
      <c r="V2971" s="301" t="s">
        <v>10038</v>
      </c>
      <c r="Y2971" s="566">
        <v>0.58300925925925928</v>
      </c>
      <c r="Z2971" s="566">
        <v>0.59300925925925929</v>
      </c>
      <c r="AA2971" s="566">
        <f t="shared" si="344"/>
        <v>1.0000000000000009E-2</v>
      </c>
    </row>
    <row r="2972" spans="1:27" x14ac:dyDescent="0.3">
      <c r="A2972" s="79" t="s">
        <v>9911</v>
      </c>
      <c r="C2972" s="115">
        <v>44032</v>
      </c>
      <c r="D2972" s="312">
        <v>44068</v>
      </c>
      <c r="E2972" s="81">
        <v>44061</v>
      </c>
      <c r="F2972" s="86" t="s">
        <v>9976</v>
      </c>
      <c r="G2972" s="86" t="s">
        <v>150</v>
      </c>
      <c r="H2972" s="96" t="s">
        <v>213</v>
      </c>
      <c r="I2972" s="97" t="s">
        <v>714</v>
      </c>
      <c r="J2972" s="73">
        <f t="shared" si="347"/>
        <v>1</v>
      </c>
      <c r="K2972" s="74" t="s">
        <v>204</v>
      </c>
      <c r="L2972" s="97" t="s">
        <v>9432</v>
      </c>
      <c r="Q2972" s="76" t="s">
        <v>2076</v>
      </c>
      <c r="R2972" s="73">
        <f t="shared" si="348"/>
        <v>1</v>
      </c>
      <c r="S2972" s="260" t="s">
        <v>1976</v>
      </c>
      <c r="T2972" s="260" t="s">
        <v>924</v>
      </c>
      <c r="U2972" s="76" t="s">
        <v>5283</v>
      </c>
      <c r="V2972" s="301" t="s">
        <v>10047</v>
      </c>
      <c r="Y2972" s="566">
        <v>0.42424768518518513</v>
      </c>
      <c r="Z2972" s="566">
        <v>0.43689814814814815</v>
      </c>
      <c r="AA2972" s="566">
        <f t="shared" si="344"/>
        <v>1.2650462962963016E-2</v>
      </c>
    </row>
    <row r="2973" spans="1:27" x14ac:dyDescent="0.3">
      <c r="A2973" s="79" t="s">
        <v>9912</v>
      </c>
      <c r="C2973" s="115">
        <v>44032</v>
      </c>
      <c r="D2973" s="312">
        <v>44068</v>
      </c>
      <c r="E2973" s="81">
        <v>44062</v>
      </c>
      <c r="F2973" s="86" t="s">
        <v>9977</v>
      </c>
      <c r="G2973" s="86" t="s">
        <v>150</v>
      </c>
      <c r="H2973" s="96" t="s">
        <v>213</v>
      </c>
      <c r="I2973" s="97" t="s">
        <v>642</v>
      </c>
      <c r="J2973" s="73">
        <f t="shared" si="347"/>
        <v>1</v>
      </c>
      <c r="K2973" s="74" t="s">
        <v>204</v>
      </c>
      <c r="L2973" s="97" t="s">
        <v>10064</v>
      </c>
      <c r="N2973" s="76" t="s">
        <v>18</v>
      </c>
      <c r="Q2973" s="76" t="s">
        <v>2076</v>
      </c>
      <c r="R2973" s="73">
        <f t="shared" si="348"/>
        <v>1</v>
      </c>
      <c r="S2973" s="260" t="s">
        <v>1976</v>
      </c>
      <c r="T2973" s="260" t="s">
        <v>923</v>
      </c>
      <c r="U2973" s="76" t="s">
        <v>5283</v>
      </c>
      <c r="V2973" s="301" t="s">
        <v>10065</v>
      </c>
      <c r="Y2973" s="566">
        <v>0.42674768518518519</v>
      </c>
      <c r="Z2973" s="566">
        <v>0.44317129629629631</v>
      </c>
      <c r="AA2973" s="566">
        <f t="shared" si="344"/>
        <v>1.6423611111111125E-2</v>
      </c>
    </row>
    <row r="2974" spans="1:27" x14ac:dyDescent="0.3">
      <c r="A2974" s="79" t="s">
        <v>9913</v>
      </c>
      <c r="C2974" s="115">
        <v>44032</v>
      </c>
      <c r="D2974" s="312">
        <v>44068</v>
      </c>
      <c r="E2974" s="81">
        <v>44060</v>
      </c>
      <c r="F2974" s="86" t="s">
        <v>9978</v>
      </c>
      <c r="G2974" s="86" t="s">
        <v>157</v>
      </c>
      <c r="H2974" s="96" t="s">
        <v>213</v>
      </c>
      <c r="I2974" s="97" t="s">
        <v>714</v>
      </c>
      <c r="J2974" s="73">
        <f t="shared" si="347"/>
        <v>1</v>
      </c>
      <c r="K2974" s="74" t="s">
        <v>204</v>
      </c>
      <c r="L2974" s="97" t="s">
        <v>7071</v>
      </c>
      <c r="N2974" s="76" t="s">
        <v>17</v>
      </c>
      <c r="Q2974" s="76" t="s">
        <v>2142</v>
      </c>
      <c r="R2974" s="73">
        <f t="shared" si="348"/>
        <v>1</v>
      </c>
      <c r="S2974" s="260" t="s">
        <v>1976</v>
      </c>
      <c r="T2974" s="260" t="s">
        <v>924</v>
      </c>
      <c r="Y2974" s="566">
        <v>0.77075231481481488</v>
      </c>
      <c r="Z2974" s="566">
        <v>0.77828703703703705</v>
      </c>
      <c r="AA2974" s="566">
        <f t="shared" si="344"/>
        <v>7.5347222222221788E-3</v>
      </c>
    </row>
    <row r="2975" spans="1:27" x14ac:dyDescent="0.3">
      <c r="A2975" s="79" t="s">
        <v>9914</v>
      </c>
      <c r="C2975" s="115">
        <v>44032</v>
      </c>
      <c r="D2975" s="312">
        <v>44068</v>
      </c>
      <c r="E2975" s="81">
        <v>44060</v>
      </c>
      <c r="F2975" s="86" t="s">
        <v>9979</v>
      </c>
      <c r="G2975" s="97" t="s">
        <v>10042</v>
      </c>
      <c r="H2975" s="96" t="s">
        <v>213</v>
      </c>
      <c r="I2975" s="97" t="s">
        <v>642</v>
      </c>
      <c r="J2975" s="73">
        <f t="shared" si="347"/>
        <v>1</v>
      </c>
      <c r="K2975" s="74" t="s">
        <v>204</v>
      </c>
      <c r="L2975" s="97" t="s">
        <v>8912</v>
      </c>
      <c r="N2975" s="76" t="s">
        <v>18</v>
      </c>
      <c r="Q2975" s="76" t="s">
        <v>2142</v>
      </c>
      <c r="R2975" s="73">
        <f t="shared" si="348"/>
        <v>1</v>
      </c>
      <c r="S2975" s="260" t="s">
        <v>1976</v>
      </c>
      <c r="T2975" s="260" t="s">
        <v>923</v>
      </c>
      <c r="Y2975" s="566">
        <v>0.78074074074074085</v>
      </c>
      <c r="Z2975" s="566">
        <v>0.796412037037037</v>
      </c>
      <c r="AA2975" s="566">
        <f t="shared" si="344"/>
        <v>1.5671296296296156E-2</v>
      </c>
    </row>
    <row r="2976" spans="1:27" x14ac:dyDescent="0.3">
      <c r="A2976" s="79" t="s">
        <v>9915</v>
      </c>
      <c r="C2976" s="115">
        <v>44032</v>
      </c>
      <c r="D2976" s="312">
        <v>44068</v>
      </c>
      <c r="E2976" s="81">
        <v>44061</v>
      </c>
      <c r="F2976" s="86" t="s">
        <v>9980</v>
      </c>
      <c r="G2976" s="86" t="s">
        <v>156</v>
      </c>
      <c r="H2976" s="96" t="s">
        <v>213</v>
      </c>
      <c r="I2976" s="97" t="s">
        <v>642</v>
      </c>
      <c r="J2976" s="73">
        <f t="shared" si="347"/>
        <v>1</v>
      </c>
      <c r="K2976" s="74" t="s">
        <v>204</v>
      </c>
      <c r="L2976" s="97" t="s">
        <v>7069</v>
      </c>
      <c r="N2976" s="76" t="s">
        <v>18</v>
      </c>
      <c r="Q2976" s="76" t="s">
        <v>2076</v>
      </c>
      <c r="R2976" s="73">
        <f t="shared" si="348"/>
        <v>1</v>
      </c>
      <c r="S2976" s="260" t="s">
        <v>1976</v>
      </c>
      <c r="T2976" s="260" t="s">
        <v>924</v>
      </c>
      <c r="Y2976" s="566">
        <v>0.44872685185185185</v>
      </c>
      <c r="Z2976" s="566">
        <v>0.45640046296296299</v>
      </c>
      <c r="AA2976" s="566">
        <f t="shared" si="344"/>
        <v>7.6736111111111449E-3</v>
      </c>
    </row>
    <row r="2977" spans="1:27" x14ac:dyDescent="0.3">
      <c r="A2977" s="79" t="s">
        <v>9916</v>
      </c>
      <c r="C2977" s="115">
        <v>44032</v>
      </c>
      <c r="D2977" s="312">
        <v>44068</v>
      </c>
      <c r="E2977" s="81">
        <v>44062</v>
      </c>
      <c r="F2977" s="86" t="s">
        <v>9981</v>
      </c>
      <c r="G2977" s="86" t="s">
        <v>3771</v>
      </c>
      <c r="H2977" s="96" t="s">
        <v>213</v>
      </c>
      <c r="I2977" s="97" t="s">
        <v>714</v>
      </c>
      <c r="J2977" s="73">
        <f t="shared" si="347"/>
        <v>1</v>
      </c>
      <c r="K2977" s="74" t="s">
        <v>204</v>
      </c>
      <c r="L2977" s="97" t="s">
        <v>7063</v>
      </c>
      <c r="N2977" s="76" t="s">
        <v>18</v>
      </c>
      <c r="Q2977" s="76" t="s">
        <v>2109</v>
      </c>
      <c r="R2977" s="73">
        <f t="shared" si="348"/>
        <v>1</v>
      </c>
      <c r="S2977" s="260" t="s">
        <v>1976</v>
      </c>
      <c r="T2977" s="260" t="s">
        <v>924</v>
      </c>
      <c r="U2977" s="76" t="s">
        <v>5283</v>
      </c>
      <c r="V2977" s="301" t="s">
        <v>10068</v>
      </c>
      <c r="Y2977" s="566">
        <v>0.48843750000000002</v>
      </c>
      <c r="Z2977" s="566">
        <v>0.50604166666666661</v>
      </c>
      <c r="AA2977" s="566">
        <f t="shared" si="344"/>
        <v>1.7604166666666587E-2</v>
      </c>
    </row>
    <row r="2978" spans="1:27" x14ac:dyDescent="0.3">
      <c r="A2978" s="79" t="s">
        <v>9917</v>
      </c>
      <c r="C2978" s="115">
        <v>44032</v>
      </c>
      <c r="D2978" s="312">
        <v>44068</v>
      </c>
      <c r="E2978" s="81">
        <v>44061</v>
      </c>
      <c r="F2978" s="86" t="s">
        <v>9982</v>
      </c>
      <c r="G2978" s="86" t="s">
        <v>150</v>
      </c>
      <c r="H2978" s="96" t="s">
        <v>213</v>
      </c>
      <c r="I2978" s="97" t="s">
        <v>714</v>
      </c>
      <c r="J2978" s="73">
        <f t="shared" si="347"/>
        <v>1</v>
      </c>
      <c r="K2978" s="74" t="s">
        <v>204</v>
      </c>
      <c r="L2978" s="97" t="s">
        <v>7072</v>
      </c>
      <c r="N2978" s="76" t="s">
        <v>18</v>
      </c>
      <c r="Q2978" s="76" t="s">
        <v>5193</v>
      </c>
      <c r="R2978" s="73">
        <f t="shared" si="348"/>
        <v>1</v>
      </c>
      <c r="S2978" s="260" t="s">
        <v>1976</v>
      </c>
      <c r="T2978" s="260" t="s">
        <v>924</v>
      </c>
      <c r="Y2978" s="566">
        <v>0.71966435185185185</v>
      </c>
      <c r="Z2978" s="566">
        <v>0.72664351851851849</v>
      </c>
      <c r="AA2978" s="566">
        <f t="shared" si="344"/>
        <v>6.9791666666666474E-3</v>
      </c>
    </row>
    <row r="2979" spans="1:27" x14ac:dyDescent="0.3">
      <c r="A2979" s="79" t="s">
        <v>9918</v>
      </c>
      <c r="C2979" s="115">
        <v>44032</v>
      </c>
      <c r="D2979" s="312">
        <v>44068</v>
      </c>
      <c r="E2979" s="81">
        <v>44061</v>
      </c>
      <c r="F2979" s="86" t="s">
        <v>9983</v>
      </c>
      <c r="G2979" s="86" t="s">
        <v>3280</v>
      </c>
      <c r="H2979" s="96" t="s">
        <v>213</v>
      </c>
      <c r="I2979" s="97" t="s">
        <v>714</v>
      </c>
      <c r="J2979" s="73">
        <f t="shared" si="347"/>
        <v>1</v>
      </c>
      <c r="K2979" s="74" t="s">
        <v>204</v>
      </c>
      <c r="L2979" s="97" t="s">
        <v>7072</v>
      </c>
      <c r="N2979" s="76" t="s">
        <v>8990</v>
      </c>
      <c r="Q2979" s="76" t="s">
        <v>5193</v>
      </c>
      <c r="R2979" s="73">
        <f t="shared" si="348"/>
        <v>1</v>
      </c>
      <c r="S2979" s="260" t="s">
        <v>1976</v>
      </c>
      <c r="T2979" s="260" t="s">
        <v>923</v>
      </c>
      <c r="Y2979" s="566">
        <v>0.7270833333333333</v>
      </c>
      <c r="Z2979" s="566">
        <v>0.7416666666666667</v>
      </c>
      <c r="AA2979" s="566">
        <f t="shared" si="344"/>
        <v>1.4583333333333393E-2</v>
      </c>
    </row>
    <row r="2980" spans="1:27" x14ac:dyDescent="0.3">
      <c r="A2980" s="79" t="s">
        <v>9919</v>
      </c>
      <c r="C2980" s="115">
        <v>44032</v>
      </c>
      <c r="D2980" s="312">
        <v>44068</v>
      </c>
      <c r="E2980" s="81">
        <v>44062</v>
      </c>
      <c r="F2980" s="86" t="s">
        <v>9984</v>
      </c>
      <c r="G2980" s="86" t="s">
        <v>3280</v>
      </c>
      <c r="H2980" s="96" t="s">
        <v>213</v>
      </c>
      <c r="I2980" s="97" t="s">
        <v>714</v>
      </c>
      <c r="J2980" s="73">
        <f t="shared" si="347"/>
        <v>1</v>
      </c>
      <c r="K2980" s="74" t="s">
        <v>204</v>
      </c>
      <c r="L2980" s="97" t="s">
        <v>7072</v>
      </c>
      <c r="N2980" s="76" t="s">
        <v>18</v>
      </c>
      <c r="Q2980" s="76" t="s">
        <v>2109</v>
      </c>
      <c r="R2980" s="73">
        <f t="shared" si="348"/>
        <v>1</v>
      </c>
      <c r="S2980" s="260" t="s">
        <v>1976</v>
      </c>
      <c r="T2980" s="260" t="s">
        <v>924</v>
      </c>
      <c r="Y2980" s="566">
        <v>0.47775462962962961</v>
      </c>
      <c r="Z2980" s="566">
        <v>0.48807870370370371</v>
      </c>
      <c r="AA2980" s="566">
        <f t="shared" si="344"/>
        <v>1.0324074074074097E-2</v>
      </c>
    </row>
    <row r="2981" spans="1:27" x14ac:dyDescent="0.3">
      <c r="A2981" s="96" t="s">
        <v>9920</v>
      </c>
      <c r="C2981" s="115">
        <v>44032</v>
      </c>
      <c r="D2981" s="312">
        <v>44067</v>
      </c>
      <c r="E2981" s="81">
        <v>44061</v>
      </c>
      <c r="F2981" s="86" t="s">
        <v>9985</v>
      </c>
      <c r="G2981" s="86" t="s">
        <v>156</v>
      </c>
      <c r="H2981" s="96" t="s">
        <v>213</v>
      </c>
      <c r="I2981" s="97" t="s">
        <v>642</v>
      </c>
      <c r="J2981" s="73">
        <f t="shared" si="347"/>
        <v>1</v>
      </c>
      <c r="K2981" s="74" t="s">
        <v>204</v>
      </c>
      <c r="L2981" s="97" t="s">
        <v>7066</v>
      </c>
      <c r="N2981" s="76" t="s">
        <v>18</v>
      </c>
      <c r="Q2981" s="76" t="s">
        <v>2109</v>
      </c>
      <c r="R2981" s="73">
        <f t="shared" si="348"/>
        <v>1</v>
      </c>
      <c r="S2981" s="260" t="s">
        <v>1976</v>
      </c>
      <c r="T2981" s="260" t="s">
        <v>923</v>
      </c>
      <c r="Y2981" s="566">
        <v>0.63248842592592591</v>
      </c>
      <c r="Z2981" s="566">
        <v>0.70106481481481486</v>
      </c>
      <c r="AA2981" s="566">
        <f t="shared" si="344"/>
        <v>6.8576388888888951E-2</v>
      </c>
    </row>
    <row r="2982" spans="1:27" x14ac:dyDescent="0.3">
      <c r="A2982" s="79" t="s">
        <v>9921</v>
      </c>
      <c r="C2982" s="115">
        <v>44032</v>
      </c>
      <c r="D2982" s="312">
        <v>44067</v>
      </c>
      <c r="E2982" s="81">
        <v>44060</v>
      </c>
      <c r="F2982" s="86" t="s">
        <v>9986</v>
      </c>
      <c r="G2982" s="86" t="s">
        <v>152</v>
      </c>
      <c r="H2982" s="96" t="s">
        <v>213</v>
      </c>
      <c r="I2982" s="97" t="s">
        <v>714</v>
      </c>
      <c r="J2982" s="73">
        <f t="shared" si="347"/>
        <v>1</v>
      </c>
      <c r="K2982" s="74" t="s">
        <v>204</v>
      </c>
      <c r="L2982" s="97" t="s">
        <v>7071</v>
      </c>
      <c r="N2982" s="76" t="s">
        <v>17</v>
      </c>
      <c r="Q2982" s="76" t="s">
        <v>2142</v>
      </c>
      <c r="R2982" s="73">
        <f t="shared" si="348"/>
        <v>1</v>
      </c>
      <c r="S2982" s="260" t="s">
        <v>1976</v>
      </c>
      <c r="T2982" s="260" t="s">
        <v>924</v>
      </c>
      <c r="Y2982" s="566">
        <v>0.6451041666666667</v>
      </c>
      <c r="Z2982" s="566">
        <v>0.65481481481481485</v>
      </c>
      <c r="AA2982" s="566">
        <f t="shared" si="344"/>
        <v>9.7106481481481488E-3</v>
      </c>
    </row>
    <row r="2983" spans="1:27" x14ac:dyDescent="0.3">
      <c r="A2983" s="79" t="s">
        <v>9922</v>
      </c>
      <c r="C2983" s="115">
        <v>44033</v>
      </c>
      <c r="D2983" s="312">
        <v>44069</v>
      </c>
      <c r="E2983" s="81">
        <v>44062</v>
      </c>
      <c r="F2983" s="86" t="s">
        <v>9987</v>
      </c>
      <c r="G2983" s="86" t="s">
        <v>172</v>
      </c>
      <c r="H2983" s="96" t="s">
        <v>213</v>
      </c>
      <c r="I2983" s="97" t="s">
        <v>642</v>
      </c>
      <c r="J2983" s="73">
        <f t="shared" si="347"/>
        <v>1</v>
      </c>
      <c r="K2983" s="74" t="s">
        <v>204</v>
      </c>
      <c r="L2983" s="97" t="s">
        <v>7110</v>
      </c>
      <c r="N2983" s="76" t="s">
        <v>18</v>
      </c>
      <c r="Q2983" s="76" t="s">
        <v>5193</v>
      </c>
      <c r="R2983" s="73">
        <f t="shared" si="348"/>
        <v>1</v>
      </c>
      <c r="S2983" s="260" t="s">
        <v>1976</v>
      </c>
      <c r="T2983" s="260" t="s">
        <v>924</v>
      </c>
      <c r="Y2983" s="566">
        <v>0.87045138888888884</v>
      </c>
      <c r="Z2983" s="566">
        <v>0.87615740740740744</v>
      </c>
      <c r="AA2983" s="566">
        <f t="shared" si="344"/>
        <v>5.7060185185185963E-3</v>
      </c>
    </row>
    <row r="2984" spans="1:27" x14ac:dyDescent="0.3">
      <c r="A2984" s="79" t="s">
        <v>9923</v>
      </c>
      <c r="C2984" s="115">
        <v>44033</v>
      </c>
      <c r="D2984" s="312">
        <v>44068</v>
      </c>
      <c r="E2984" s="81">
        <v>44062</v>
      </c>
      <c r="F2984" s="86" t="s">
        <v>9988</v>
      </c>
      <c r="G2984" s="86" t="s">
        <v>172</v>
      </c>
      <c r="H2984" s="96" t="s">
        <v>213</v>
      </c>
      <c r="I2984" s="97" t="s">
        <v>645</v>
      </c>
      <c r="J2984" s="73">
        <f t="shared" si="347"/>
        <v>1</v>
      </c>
      <c r="K2984" s="74" t="s">
        <v>204</v>
      </c>
      <c r="L2984" s="97" t="s">
        <v>10213</v>
      </c>
      <c r="N2984" s="76" t="s">
        <v>17</v>
      </c>
      <c r="Q2984" s="76" t="s">
        <v>2109</v>
      </c>
      <c r="R2984" s="73">
        <f t="shared" si="348"/>
        <v>1</v>
      </c>
      <c r="S2984" s="260" t="s">
        <v>1976</v>
      </c>
      <c r="T2984" s="260" t="s">
        <v>924</v>
      </c>
      <c r="U2984" s="76" t="s">
        <v>5283</v>
      </c>
      <c r="V2984" s="301" t="s">
        <v>10091</v>
      </c>
      <c r="Y2984" s="566">
        <v>0.39230324074074074</v>
      </c>
      <c r="Z2984" s="566">
        <v>0.41798611111111111</v>
      </c>
      <c r="AA2984" s="566">
        <f t="shared" si="344"/>
        <v>2.568287037037037E-2</v>
      </c>
    </row>
    <row r="2985" spans="1:27" x14ac:dyDescent="0.3">
      <c r="A2985" s="79" t="s">
        <v>9924</v>
      </c>
      <c r="C2985" s="115">
        <v>44033</v>
      </c>
      <c r="D2985" s="312">
        <v>44068</v>
      </c>
      <c r="E2985" s="81">
        <v>44061</v>
      </c>
      <c r="F2985" s="86" t="s">
        <v>9989</v>
      </c>
      <c r="G2985" s="86" t="s">
        <v>150</v>
      </c>
      <c r="H2985" s="96" t="s">
        <v>213</v>
      </c>
      <c r="I2985" s="97" t="s">
        <v>722</v>
      </c>
      <c r="J2985" s="73">
        <f t="shared" si="347"/>
        <v>1</v>
      </c>
      <c r="K2985" s="74" t="s">
        <v>204</v>
      </c>
      <c r="L2985" s="97" t="s">
        <v>10057</v>
      </c>
      <c r="N2985" s="76" t="s">
        <v>18</v>
      </c>
      <c r="Q2985" s="76" t="s">
        <v>5193</v>
      </c>
      <c r="R2985" s="73">
        <f t="shared" si="348"/>
        <v>1</v>
      </c>
      <c r="S2985" s="260" t="s">
        <v>1976</v>
      </c>
      <c r="T2985" s="260" t="s">
        <v>923</v>
      </c>
      <c r="Y2985" s="566">
        <v>0.74208333333333332</v>
      </c>
      <c r="Z2985" s="566">
        <v>0.7503009259259259</v>
      </c>
      <c r="AA2985" s="566">
        <f t="shared" si="344"/>
        <v>8.2175925925925819E-3</v>
      </c>
    </row>
    <row r="2986" spans="1:27" x14ac:dyDescent="0.3">
      <c r="A2986" s="79" t="s">
        <v>9925</v>
      </c>
      <c r="C2986" s="115">
        <v>44033</v>
      </c>
      <c r="D2986" s="312">
        <v>44068</v>
      </c>
      <c r="E2986" s="81">
        <v>44061</v>
      </c>
      <c r="F2986" s="86" t="s">
        <v>9990</v>
      </c>
      <c r="G2986" s="86" t="s">
        <v>1682</v>
      </c>
      <c r="H2986" s="96" t="s">
        <v>213</v>
      </c>
      <c r="I2986" s="97" t="s">
        <v>714</v>
      </c>
      <c r="J2986" s="73">
        <f t="shared" si="347"/>
        <v>1</v>
      </c>
      <c r="K2986" s="74" t="s">
        <v>204</v>
      </c>
      <c r="L2986" s="97" t="s">
        <v>7336</v>
      </c>
      <c r="N2986" s="76" t="s">
        <v>18</v>
      </c>
      <c r="Q2986" s="76" t="s">
        <v>2142</v>
      </c>
      <c r="R2986" s="73">
        <f t="shared" si="348"/>
        <v>1</v>
      </c>
      <c r="S2986" s="260" t="s">
        <v>1976</v>
      </c>
      <c r="T2986" s="260" t="s">
        <v>924</v>
      </c>
      <c r="Y2986" s="566">
        <v>0.78137731481481476</v>
      </c>
      <c r="Z2986" s="566">
        <v>0.78962962962962957</v>
      </c>
      <c r="AA2986" s="566">
        <f t="shared" si="344"/>
        <v>8.2523148148148096E-3</v>
      </c>
    </row>
    <row r="2987" spans="1:27" x14ac:dyDescent="0.3">
      <c r="A2987" s="79" t="s">
        <v>9926</v>
      </c>
      <c r="C2987" s="115">
        <v>44033</v>
      </c>
      <c r="D2987" s="312">
        <v>44069</v>
      </c>
      <c r="E2987" s="81">
        <v>44064</v>
      </c>
      <c r="F2987" s="86" t="s">
        <v>9991</v>
      </c>
      <c r="G2987" s="86" t="s">
        <v>152</v>
      </c>
      <c r="H2987" s="96" t="s">
        <v>213</v>
      </c>
      <c r="I2987" s="97" t="s">
        <v>722</v>
      </c>
      <c r="J2987" s="73">
        <f t="shared" si="347"/>
        <v>1</v>
      </c>
      <c r="K2987" s="74" t="s">
        <v>204</v>
      </c>
      <c r="L2987" s="97" t="s">
        <v>10084</v>
      </c>
      <c r="N2987" s="76" t="s">
        <v>17</v>
      </c>
      <c r="Q2987" s="76" t="s">
        <v>5193</v>
      </c>
      <c r="R2987" s="73">
        <f t="shared" si="348"/>
        <v>1</v>
      </c>
      <c r="S2987" s="260" t="s">
        <v>1976</v>
      </c>
      <c r="T2987" s="260" t="s">
        <v>923</v>
      </c>
      <c r="Y2987" s="566">
        <v>0.67538194444444455</v>
      </c>
      <c r="Z2987" s="566">
        <v>0.69174768518518526</v>
      </c>
      <c r="AA2987" s="566">
        <f t="shared" si="344"/>
        <v>1.6365740740740709E-2</v>
      </c>
    </row>
    <row r="2988" spans="1:27" x14ac:dyDescent="0.3">
      <c r="A2988" s="79" t="s">
        <v>9927</v>
      </c>
      <c r="C2988" s="115">
        <v>44033</v>
      </c>
      <c r="D2988" s="312">
        <v>44069</v>
      </c>
      <c r="E2988" s="81">
        <v>44063</v>
      </c>
      <c r="F2988" s="86" t="s">
        <v>9992</v>
      </c>
      <c r="G2988" s="86" t="s">
        <v>152</v>
      </c>
      <c r="H2988" s="96" t="s">
        <v>213</v>
      </c>
      <c r="I2988" s="97" t="s">
        <v>714</v>
      </c>
      <c r="J2988" s="73">
        <f t="shared" si="347"/>
        <v>1</v>
      </c>
      <c r="K2988" s="74" t="s">
        <v>204</v>
      </c>
      <c r="L2988" s="97" t="s">
        <v>10074</v>
      </c>
      <c r="N2988" s="76" t="s">
        <v>17</v>
      </c>
      <c r="Q2988" s="76" t="s">
        <v>2109</v>
      </c>
      <c r="R2988" s="73">
        <f t="shared" si="348"/>
        <v>1</v>
      </c>
      <c r="S2988" s="260" t="s">
        <v>1976</v>
      </c>
      <c r="T2988" s="260" t="s">
        <v>924</v>
      </c>
      <c r="U2988" s="76" t="s">
        <v>5283</v>
      </c>
      <c r="V2988" s="301" t="s">
        <v>10075</v>
      </c>
      <c r="Y2988" s="566">
        <v>0.46957175925925926</v>
      </c>
      <c r="Z2988" s="566">
        <v>0.48429398148148151</v>
      </c>
      <c r="AA2988" s="566">
        <f t="shared" si="344"/>
        <v>1.4722222222222248E-2</v>
      </c>
    </row>
    <row r="2989" spans="1:27" x14ac:dyDescent="0.3">
      <c r="A2989" s="79" t="s">
        <v>9928</v>
      </c>
      <c r="C2989" s="115">
        <v>44033</v>
      </c>
      <c r="D2989" s="312">
        <v>44069</v>
      </c>
      <c r="E2989" s="81">
        <v>44063</v>
      </c>
      <c r="F2989" s="86" t="s">
        <v>9993</v>
      </c>
      <c r="G2989" s="86" t="s">
        <v>181</v>
      </c>
      <c r="H2989" s="96" t="s">
        <v>213</v>
      </c>
      <c r="I2989" s="97" t="s">
        <v>714</v>
      </c>
      <c r="J2989" s="73">
        <f t="shared" si="347"/>
        <v>1</v>
      </c>
      <c r="K2989" s="74" t="s">
        <v>204</v>
      </c>
      <c r="L2989" s="97" t="s">
        <v>7071</v>
      </c>
      <c r="N2989" s="76" t="s">
        <v>17</v>
      </c>
      <c r="Q2989" s="76" t="s">
        <v>2076</v>
      </c>
      <c r="R2989" s="73">
        <f t="shared" si="348"/>
        <v>1</v>
      </c>
      <c r="S2989" s="260" t="s">
        <v>1976</v>
      </c>
      <c r="T2989" s="260" t="s">
        <v>924</v>
      </c>
      <c r="Y2989" s="570">
        <v>0.48888888888888887</v>
      </c>
      <c r="Z2989" s="566">
        <v>0.49435185185185188</v>
      </c>
      <c r="AA2989" s="566">
        <f t="shared" si="344"/>
        <v>5.4629629629630028E-3</v>
      </c>
    </row>
    <row r="2990" spans="1:27" x14ac:dyDescent="0.3">
      <c r="A2990" s="79" t="s">
        <v>9929</v>
      </c>
      <c r="C2990" s="115">
        <v>44033</v>
      </c>
      <c r="D2990" s="312">
        <v>44069</v>
      </c>
      <c r="E2990" s="81">
        <v>44061</v>
      </c>
      <c r="F2990" s="86" t="s">
        <v>9994</v>
      </c>
      <c r="G2990" s="86" t="s">
        <v>9119</v>
      </c>
      <c r="H2990" s="96" t="s">
        <v>213</v>
      </c>
      <c r="I2990" s="97" t="s">
        <v>714</v>
      </c>
      <c r="J2990" s="73">
        <f t="shared" si="347"/>
        <v>1</v>
      </c>
      <c r="K2990" s="74" t="s">
        <v>204</v>
      </c>
      <c r="L2990" s="97" t="s">
        <v>7336</v>
      </c>
      <c r="N2990" s="76" t="s">
        <v>17</v>
      </c>
      <c r="Q2990" s="76" t="s">
        <v>2142</v>
      </c>
      <c r="R2990" s="73">
        <f t="shared" si="348"/>
        <v>1</v>
      </c>
      <c r="S2990" s="260" t="s">
        <v>1976</v>
      </c>
      <c r="T2990" s="260" t="s">
        <v>923</v>
      </c>
      <c r="Y2990" s="566">
        <v>0.79016203703703702</v>
      </c>
      <c r="Z2990" s="566">
        <v>0.79730324074074066</v>
      </c>
      <c r="AA2990" s="566">
        <f t="shared" si="344"/>
        <v>7.1412037037036358E-3</v>
      </c>
    </row>
    <row r="2991" spans="1:27" x14ac:dyDescent="0.3">
      <c r="A2991" s="79" t="s">
        <v>9930</v>
      </c>
      <c r="C2991" s="115">
        <v>44033</v>
      </c>
      <c r="D2991" s="312">
        <v>44068</v>
      </c>
      <c r="E2991" s="81">
        <v>44062</v>
      </c>
      <c r="F2991" s="86" t="s">
        <v>9995</v>
      </c>
      <c r="G2991" s="86" t="s">
        <v>150</v>
      </c>
      <c r="H2991" s="96" t="s">
        <v>213</v>
      </c>
      <c r="I2991" s="97" t="s">
        <v>722</v>
      </c>
      <c r="J2991" s="73">
        <f t="shared" si="347"/>
        <v>1</v>
      </c>
      <c r="K2991" s="74" t="s">
        <v>204</v>
      </c>
      <c r="L2991" s="97" t="s">
        <v>7322</v>
      </c>
      <c r="N2991" s="76" t="s">
        <v>17</v>
      </c>
      <c r="Q2991" s="76" t="s">
        <v>2076</v>
      </c>
      <c r="R2991" s="73">
        <f t="shared" si="348"/>
        <v>1</v>
      </c>
      <c r="S2991" s="260" t="s">
        <v>1976</v>
      </c>
      <c r="T2991" s="260" t="s">
        <v>923</v>
      </c>
      <c r="U2991" s="76" t="s">
        <v>5283</v>
      </c>
      <c r="V2991" s="301" t="s">
        <v>10066</v>
      </c>
      <c r="Y2991" s="566">
        <v>0.44482638888888887</v>
      </c>
      <c r="Z2991" s="566">
        <v>0.45469907407407412</v>
      </c>
      <c r="AA2991" s="566">
        <f t="shared" si="344"/>
        <v>9.8726851851852482E-3</v>
      </c>
    </row>
    <row r="2992" spans="1:27" x14ac:dyDescent="0.3">
      <c r="A2992" s="79" t="s">
        <v>9931</v>
      </c>
      <c r="C2992" s="115">
        <v>44033</v>
      </c>
      <c r="D2992" s="312">
        <v>44068</v>
      </c>
      <c r="E2992" s="81">
        <v>44061</v>
      </c>
      <c r="F2992" s="86" t="s">
        <v>9996</v>
      </c>
      <c r="G2992" s="86" t="s">
        <v>154</v>
      </c>
      <c r="H2992" s="96" t="s">
        <v>213</v>
      </c>
      <c r="I2992" s="97" t="s">
        <v>3642</v>
      </c>
      <c r="J2992" s="73">
        <f t="shared" si="347"/>
        <v>1</v>
      </c>
      <c r="K2992" s="74" t="s">
        <v>204</v>
      </c>
      <c r="L2992" s="97" t="s">
        <v>7073</v>
      </c>
      <c r="N2992" s="76" t="s">
        <v>19</v>
      </c>
      <c r="Q2992" s="76" t="s">
        <v>2142</v>
      </c>
      <c r="R2992" s="73">
        <f t="shared" si="348"/>
        <v>1</v>
      </c>
      <c r="S2992" s="260" t="s">
        <v>1976</v>
      </c>
      <c r="T2992" s="260" t="s">
        <v>923</v>
      </c>
      <c r="Y2992" s="566">
        <v>0.70545138888888881</v>
      </c>
      <c r="Z2992" s="566">
        <v>0.71164351851851848</v>
      </c>
      <c r="AA2992" s="566">
        <f t="shared" si="344"/>
        <v>6.1921296296296724E-3</v>
      </c>
    </row>
    <row r="2993" spans="1:27" x14ac:dyDescent="0.3">
      <c r="A2993" s="79" t="s">
        <v>9932</v>
      </c>
      <c r="C2993" s="115">
        <v>44033</v>
      </c>
      <c r="D2993" s="312">
        <v>44069</v>
      </c>
      <c r="E2993" s="81">
        <v>44062</v>
      </c>
      <c r="F2993" s="86" t="s">
        <v>9997</v>
      </c>
      <c r="G2993" s="86" t="s">
        <v>154</v>
      </c>
      <c r="H2993" s="96" t="s">
        <v>213</v>
      </c>
      <c r="I2993" s="97" t="s">
        <v>714</v>
      </c>
      <c r="J2993" s="73">
        <f t="shared" si="347"/>
        <v>1</v>
      </c>
      <c r="K2993" s="74" t="s">
        <v>204</v>
      </c>
      <c r="L2993" s="97" t="s">
        <v>10072</v>
      </c>
      <c r="N2993" s="76" t="s">
        <v>18</v>
      </c>
      <c r="Q2993" s="76" t="s">
        <v>5193</v>
      </c>
      <c r="R2993" s="73">
        <f t="shared" si="348"/>
        <v>1</v>
      </c>
      <c r="S2993" s="260" t="s">
        <v>1976</v>
      </c>
      <c r="T2993" s="260" t="s">
        <v>923</v>
      </c>
      <c r="Y2993" s="566">
        <v>0.87650462962962961</v>
      </c>
      <c r="Z2993" s="566">
        <v>0.88978009259259261</v>
      </c>
      <c r="AA2993" s="566">
        <f t="shared" si="344"/>
        <v>1.3275462962963003E-2</v>
      </c>
    </row>
    <row r="2994" spans="1:27" x14ac:dyDescent="0.3">
      <c r="A2994" s="96" t="s">
        <v>9933</v>
      </c>
      <c r="C2994" s="115">
        <v>44033</v>
      </c>
      <c r="D2994" s="312">
        <v>44069</v>
      </c>
      <c r="E2994" s="81">
        <v>44068</v>
      </c>
      <c r="F2994" s="86" t="s">
        <v>9998</v>
      </c>
      <c r="G2994" s="86" t="s">
        <v>152</v>
      </c>
      <c r="H2994" s="96" t="s">
        <v>213</v>
      </c>
      <c r="I2994" s="97" t="s">
        <v>645</v>
      </c>
      <c r="J2994" s="73">
        <f t="shared" si="347"/>
        <v>1</v>
      </c>
      <c r="K2994" s="74" t="s">
        <v>204</v>
      </c>
      <c r="L2994" s="1275" t="s">
        <v>6077</v>
      </c>
      <c r="N2994" s="76" t="s">
        <v>19</v>
      </c>
      <c r="Q2994" s="76" t="s">
        <v>2109</v>
      </c>
      <c r="R2994" s="73">
        <f t="shared" si="348"/>
        <v>1</v>
      </c>
      <c r="S2994" s="260" t="s">
        <v>1976</v>
      </c>
      <c r="T2994" s="260" t="s">
        <v>923</v>
      </c>
      <c r="U2994" s="76" t="s">
        <v>5283</v>
      </c>
      <c r="V2994" s="301" t="s">
        <v>10214</v>
      </c>
      <c r="Y2994" s="566">
        <v>0.91093750000000007</v>
      </c>
      <c r="Z2994" s="566">
        <v>0.94248842592592597</v>
      </c>
      <c r="AA2994" s="566">
        <f t="shared" si="344"/>
        <v>3.1550925925925899E-2</v>
      </c>
    </row>
    <row r="2995" spans="1:27" x14ac:dyDescent="0.3">
      <c r="A2995" s="79" t="s">
        <v>9934</v>
      </c>
      <c r="C2995" s="115">
        <v>44033</v>
      </c>
      <c r="D2995" s="312">
        <v>44069</v>
      </c>
      <c r="E2995" s="81">
        <v>44063</v>
      </c>
      <c r="F2995" s="86" t="s">
        <v>9999</v>
      </c>
      <c r="G2995" s="86" t="s">
        <v>156</v>
      </c>
      <c r="H2995" s="96" t="s">
        <v>213</v>
      </c>
      <c r="I2995" s="97" t="s">
        <v>755</v>
      </c>
      <c r="J2995" s="73">
        <f t="shared" si="347"/>
        <v>1</v>
      </c>
      <c r="K2995" s="74" t="s">
        <v>204</v>
      </c>
      <c r="L2995" s="97" t="s">
        <v>7315</v>
      </c>
      <c r="N2995" s="76" t="s">
        <v>17</v>
      </c>
      <c r="Q2995" s="76" t="s">
        <v>2076</v>
      </c>
      <c r="R2995" s="73">
        <f t="shared" si="348"/>
        <v>1</v>
      </c>
      <c r="S2995" s="260" t="s">
        <v>1976</v>
      </c>
      <c r="T2995" s="260" t="s">
        <v>923</v>
      </c>
      <c r="Y2995" s="566">
        <v>0.54583333333333328</v>
      </c>
      <c r="Z2995" s="566">
        <v>0.5590046296296296</v>
      </c>
      <c r="AA2995" s="566">
        <f t="shared" si="344"/>
        <v>1.317129629629632E-2</v>
      </c>
    </row>
    <row r="2996" spans="1:27" x14ac:dyDescent="0.3">
      <c r="A2996" s="79" t="s">
        <v>9935</v>
      </c>
      <c r="C2996" s="115">
        <v>44034</v>
      </c>
      <c r="D2996" s="312">
        <v>44069</v>
      </c>
      <c r="E2996" s="81">
        <v>44062</v>
      </c>
      <c r="F2996" s="86" t="s">
        <v>10000</v>
      </c>
      <c r="G2996" s="86" t="s">
        <v>177</v>
      </c>
      <c r="H2996" s="96" t="s">
        <v>213</v>
      </c>
      <c r="I2996" s="97" t="s">
        <v>714</v>
      </c>
      <c r="J2996" s="73">
        <f t="shared" si="347"/>
        <v>1</v>
      </c>
      <c r="K2996" s="74" t="s">
        <v>204</v>
      </c>
      <c r="L2996" s="97" t="s">
        <v>7063</v>
      </c>
      <c r="N2996" s="76" t="s">
        <v>17</v>
      </c>
      <c r="Q2996" s="76" t="s">
        <v>2142</v>
      </c>
      <c r="R2996" s="73">
        <f t="shared" si="348"/>
        <v>1</v>
      </c>
      <c r="S2996" s="260" t="s">
        <v>1976</v>
      </c>
      <c r="T2996" s="260" t="s">
        <v>924</v>
      </c>
      <c r="Y2996" s="566">
        <v>0.4189930555555556</v>
      </c>
      <c r="Z2996" s="566">
        <v>0.42644675925925929</v>
      </c>
      <c r="AA2996" s="566">
        <f t="shared" si="344"/>
        <v>7.4537037037036846E-3</v>
      </c>
    </row>
    <row r="2997" spans="1:27" x14ac:dyDescent="0.3">
      <c r="A2997" s="79" t="s">
        <v>9936</v>
      </c>
      <c r="C2997" s="115">
        <v>44034</v>
      </c>
      <c r="D2997" s="312">
        <v>44070</v>
      </c>
      <c r="E2997" s="81">
        <v>44063</v>
      </c>
      <c r="F2997" s="86" t="s">
        <v>10001</v>
      </c>
      <c r="G2997" s="86" t="s">
        <v>1384</v>
      </c>
      <c r="H2997" s="96" t="s">
        <v>213</v>
      </c>
      <c r="I2997" s="97" t="s">
        <v>6088</v>
      </c>
      <c r="J2997" s="73">
        <f t="shared" si="347"/>
        <v>1</v>
      </c>
      <c r="K2997" s="74" t="s">
        <v>204</v>
      </c>
      <c r="L2997" s="97" t="s">
        <v>8083</v>
      </c>
      <c r="N2997" s="76" t="s">
        <v>17</v>
      </c>
      <c r="Q2997" s="76" t="s">
        <v>2076</v>
      </c>
      <c r="R2997" s="73">
        <f t="shared" si="348"/>
        <v>1</v>
      </c>
      <c r="S2997" s="260" t="s">
        <v>1976</v>
      </c>
      <c r="T2997" s="260" t="s">
        <v>923</v>
      </c>
      <c r="U2997" s="76" t="s">
        <v>5283</v>
      </c>
      <c r="V2997" s="301" t="s">
        <v>10077</v>
      </c>
      <c r="Y2997" s="566">
        <v>0.55956018518518513</v>
      </c>
      <c r="Z2997" s="566">
        <v>0.6470717592592593</v>
      </c>
      <c r="AA2997" s="566">
        <f t="shared" si="344"/>
        <v>8.7511574074074172E-2</v>
      </c>
    </row>
    <row r="2998" spans="1:27" x14ac:dyDescent="0.3">
      <c r="A2998" s="79" t="s">
        <v>9937</v>
      </c>
      <c r="C2998" s="115">
        <v>44034</v>
      </c>
      <c r="D2998" s="312">
        <v>44070</v>
      </c>
      <c r="E2998" s="81">
        <v>44062</v>
      </c>
      <c r="F2998" s="86" t="s">
        <v>10002</v>
      </c>
      <c r="G2998" s="86" t="s">
        <v>410</v>
      </c>
      <c r="H2998" s="96" t="s">
        <v>213</v>
      </c>
      <c r="I2998" s="97" t="s">
        <v>642</v>
      </c>
      <c r="J2998" s="73">
        <f t="shared" si="347"/>
        <v>1</v>
      </c>
      <c r="K2998" s="74" t="s">
        <v>204</v>
      </c>
      <c r="L2998" s="97" t="s">
        <v>7110</v>
      </c>
      <c r="N2998" s="76" t="s">
        <v>18</v>
      </c>
      <c r="Q2998" s="76" t="s">
        <v>2142</v>
      </c>
      <c r="R2998" s="73">
        <f t="shared" si="348"/>
        <v>1</v>
      </c>
      <c r="S2998" s="260" t="s">
        <v>1976</v>
      </c>
      <c r="T2998" s="260" t="s">
        <v>923</v>
      </c>
      <c r="Y2998" s="566">
        <v>0.70305555555555566</v>
      </c>
      <c r="Z2998" s="566">
        <v>0.70670138888888889</v>
      </c>
      <c r="AA2998" s="566">
        <f t="shared" si="344"/>
        <v>3.6458333333332371E-3</v>
      </c>
    </row>
    <row r="2999" spans="1:27" x14ac:dyDescent="0.3">
      <c r="A2999" s="79" t="s">
        <v>9938</v>
      </c>
      <c r="C2999" s="115">
        <v>44034</v>
      </c>
      <c r="D2999" s="312">
        <v>44070</v>
      </c>
      <c r="E2999" s="81">
        <v>44067</v>
      </c>
      <c r="F2999" s="86" t="s">
        <v>10003</v>
      </c>
      <c r="G2999" s="86" t="s">
        <v>150</v>
      </c>
      <c r="H2999" s="96" t="s">
        <v>213</v>
      </c>
      <c r="I2999" s="97" t="s">
        <v>7557</v>
      </c>
      <c r="J2999" s="73">
        <f t="shared" si="347"/>
        <v>1</v>
      </c>
      <c r="K2999" s="74" t="s">
        <v>204</v>
      </c>
      <c r="L2999" s="97" t="s">
        <v>12268</v>
      </c>
      <c r="Q2999" s="76" t="s">
        <v>2109</v>
      </c>
      <c r="R2999" s="73">
        <f t="shared" si="348"/>
        <v>1</v>
      </c>
      <c r="S2999" s="260" t="s">
        <v>1976</v>
      </c>
      <c r="T2999" s="260" t="s">
        <v>923</v>
      </c>
      <c r="U2999" s="76" t="s">
        <v>5283</v>
      </c>
      <c r="V2999" s="301" t="s">
        <v>10087</v>
      </c>
      <c r="Y2999" s="566">
        <v>0.43215277777777777</v>
      </c>
      <c r="Z2999" s="566">
        <v>0.45116898148148149</v>
      </c>
      <c r="AA2999" s="566">
        <f t="shared" si="344"/>
        <v>1.9016203703703716E-2</v>
      </c>
    </row>
    <row r="3000" spans="1:27" x14ac:dyDescent="0.3">
      <c r="A3000" s="79" t="s">
        <v>9939</v>
      </c>
      <c r="C3000" s="115">
        <v>44034</v>
      </c>
      <c r="D3000" s="312">
        <v>44070</v>
      </c>
      <c r="E3000" s="81">
        <v>44063</v>
      </c>
      <c r="F3000" s="86" t="s">
        <v>10004</v>
      </c>
      <c r="G3000" s="86" t="s">
        <v>9119</v>
      </c>
      <c r="H3000" s="96" t="s">
        <v>213</v>
      </c>
      <c r="I3000" s="97" t="s">
        <v>714</v>
      </c>
      <c r="J3000" s="73">
        <f t="shared" si="347"/>
        <v>1</v>
      </c>
      <c r="K3000" s="74" t="s">
        <v>204</v>
      </c>
      <c r="L3000" s="97" t="s">
        <v>7349</v>
      </c>
      <c r="N3000" s="76" t="s">
        <v>17</v>
      </c>
      <c r="Q3000" s="76" t="s">
        <v>2076</v>
      </c>
      <c r="R3000" s="73">
        <f t="shared" si="348"/>
        <v>1</v>
      </c>
      <c r="S3000" s="260" t="s">
        <v>1976</v>
      </c>
      <c r="T3000" s="260" t="s">
        <v>923</v>
      </c>
      <c r="Y3000" s="566">
        <v>0.70283564814814825</v>
      </c>
      <c r="Z3000" s="566">
        <v>0.71049768518518519</v>
      </c>
      <c r="AA3000" s="566">
        <f t="shared" si="344"/>
        <v>7.6620370370369395E-3</v>
      </c>
    </row>
    <row r="3001" spans="1:27" x14ac:dyDescent="0.3">
      <c r="A3001" s="79" t="s">
        <v>9940</v>
      </c>
      <c r="C3001" s="115">
        <v>44034</v>
      </c>
      <c r="D3001" s="312">
        <v>44070</v>
      </c>
      <c r="E3001" s="81">
        <v>44063</v>
      </c>
      <c r="F3001" s="86" t="s">
        <v>10005</v>
      </c>
      <c r="G3001" s="86" t="s">
        <v>147</v>
      </c>
      <c r="H3001" s="96" t="s">
        <v>213</v>
      </c>
      <c r="I3001" s="97" t="s">
        <v>642</v>
      </c>
      <c r="J3001" s="73">
        <f t="shared" si="347"/>
        <v>1</v>
      </c>
      <c r="K3001" s="74" t="s">
        <v>204</v>
      </c>
      <c r="L3001" s="97" t="s">
        <v>7066</v>
      </c>
      <c r="N3001" s="76" t="s">
        <v>18</v>
      </c>
      <c r="Q3001" s="76" t="s">
        <v>5193</v>
      </c>
      <c r="R3001" s="73">
        <f t="shared" si="348"/>
        <v>1</v>
      </c>
      <c r="S3001" s="260" t="s">
        <v>1976</v>
      </c>
      <c r="T3001" s="260" t="s">
        <v>923</v>
      </c>
      <c r="Y3001" s="566">
        <v>0.83306712962962959</v>
      </c>
      <c r="Z3001" s="566">
        <v>0.84267361111111105</v>
      </c>
      <c r="AA3001" s="566">
        <f t="shared" si="344"/>
        <v>9.6064814814814659E-3</v>
      </c>
    </row>
    <row r="3002" spans="1:27" x14ac:dyDescent="0.3">
      <c r="A3002" s="79" t="s">
        <v>9941</v>
      </c>
      <c r="C3002" s="115">
        <v>44034</v>
      </c>
      <c r="D3002" s="312">
        <v>44069</v>
      </c>
      <c r="E3002" s="81">
        <v>44062</v>
      </c>
      <c r="F3002" s="86" t="s">
        <v>10006</v>
      </c>
      <c r="G3002" s="86" t="s">
        <v>150</v>
      </c>
      <c r="H3002" s="96" t="s">
        <v>213</v>
      </c>
      <c r="I3002" s="97" t="s">
        <v>714</v>
      </c>
      <c r="J3002" s="73">
        <f t="shared" si="347"/>
        <v>1</v>
      </c>
      <c r="K3002" s="74" t="s">
        <v>204</v>
      </c>
      <c r="L3002" s="97" t="s">
        <v>9002</v>
      </c>
      <c r="N3002" s="76" t="s">
        <v>17</v>
      </c>
      <c r="Q3002" s="76" t="s">
        <v>5193</v>
      </c>
      <c r="R3002" s="73">
        <f t="shared" si="348"/>
        <v>1</v>
      </c>
      <c r="S3002" s="260" t="s">
        <v>1976</v>
      </c>
      <c r="T3002" s="260" t="s">
        <v>924</v>
      </c>
      <c r="Y3002" s="566">
        <v>0.89033564814814825</v>
      </c>
      <c r="Z3002" s="566">
        <v>0.89966435185185178</v>
      </c>
      <c r="AA3002" s="566">
        <f t="shared" si="344"/>
        <v>9.3287037037035336E-3</v>
      </c>
    </row>
    <row r="3003" spans="1:27" x14ac:dyDescent="0.3">
      <c r="A3003" s="79" t="s">
        <v>9942</v>
      </c>
      <c r="C3003" s="115">
        <v>44034</v>
      </c>
      <c r="D3003" s="312">
        <v>44069</v>
      </c>
      <c r="E3003" s="81">
        <v>44062</v>
      </c>
      <c r="F3003" s="86" t="s">
        <v>10007</v>
      </c>
      <c r="G3003" s="86" t="s">
        <v>147</v>
      </c>
      <c r="H3003" s="96" t="s">
        <v>213</v>
      </c>
      <c r="I3003" s="97" t="s">
        <v>642</v>
      </c>
      <c r="J3003" s="73">
        <f t="shared" si="347"/>
        <v>1</v>
      </c>
      <c r="K3003" s="74" t="s">
        <v>204</v>
      </c>
      <c r="L3003" s="97" t="s">
        <v>7108</v>
      </c>
      <c r="N3003" s="76" t="s">
        <v>18</v>
      </c>
      <c r="Q3003" s="76" t="s">
        <v>5193</v>
      </c>
      <c r="R3003" s="73">
        <f t="shared" si="348"/>
        <v>1</v>
      </c>
      <c r="S3003" s="260" t="s">
        <v>1976</v>
      </c>
      <c r="T3003" s="260" t="s">
        <v>924</v>
      </c>
      <c r="Y3003" s="566">
        <v>0.90099537037037036</v>
      </c>
      <c r="Z3003" s="566">
        <v>0.90866898148148145</v>
      </c>
      <c r="AA3003" s="566">
        <f t="shared" si="344"/>
        <v>7.6736111111110894E-3</v>
      </c>
    </row>
    <row r="3004" spans="1:27" x14ac:dyDescent="0.3">
      <c r="A3004" s="79" t="s">
        <v>9943</v>
      </c>
      <c r="C3004" s="115">
        <v>44034</v>
      </c>
      <c r="D3004" s="312">
        <v>44070</v>
      </c>
      <c r="E3004" s="81">
        <v>44067</v>
      </c>
      <c r="F3004" s="86" t="s">
        <v>10008</v>
      </c>
      <c r="G3004" s="86" t="s">
        <v>152</v>
      </c>
      <c r="H3004" s="96" t="s">
        <v>213</v>
      </c>
      <c r="I3004" s="97" t="s">
        <v>714</v>
      </c>
      <c r="J3004" s="73">
        <f t="shared" si="347"/>
        <v>1</v>
      </c>
      <c r="K3004" s="74" t="s">
        <v>204</v>
      </c>
      <c r="L3004" s="97" t="s">
        <v>7336</v>
      </c>
      <c r="N3004" s="76" t="s">
        <v>17</v>
      </c>
      <c r="Q3004" s="76" t="s">
        <v>2109</v>
      </c>
      <c r="R3004" s="73">
        <f t="shared" si="348"/>
        <v>1</v>
      </c>
      <c r="S3004" s="260" t="s">
        <v>1976</v>
      </c>
      <c r="T3004" s="260" t="s">
        <v>924</v>
      </c>
      <c r="U3004" s="76" t="s">
        <v>5283</v>
      </c>
      <c r="V3004" s="301" t="s">
        <v>10088</v>
      </c>
      <c r="Y3004" s="566">
        <v>0.45469907407407412</v>
      </c>
      <c r="Z3004" s="566">
        <v>0.47575231481481484</v>
      </c>
      <c r="AA3004" s="566">
        <f t="shared" si="344"/>
        <v>2.105324074074072E-2</v>
      </c>
    </row>
    <row r="3005" spans="1:27" x14ac:dyDescent="0.3">
      <c r="A3005" s="79" t="s">
        <v>9944</v>
      </c>
      <c r="C3005" s="115">
        <v>44035</v>
      </c>
      <c r="D3005" s="312">
        <v>44070</v>
      </c>
      <c r="E3005" s="81">
        <v>44067</v>
      </c>
      <c r="F3005" s="86" t="s">
        <v>10009</v>
      </c>
      <c r="G3005" s="86" t="s">
        <v>164</v>
      </c>
      <c r="H3005" s="96" t="s">
        <v>213</v>
      </c>
      <c r="I3005" s="97" t="s">
        <v>714</v>
      </c>
      <c r="J3005" s="73">
        <f t="shared" si="347"/>
        <v>1</v>
      </c>
      <c r="K3005" s="74" t="s">
        <v>204</v>
      </c>
      <c r="L3005" s="97" t="s">
        <v>7334</v>
      </c>
      <c r="N3005" s="76" t="s">
        <v>18</v>
      </c>
      <c r="Q3005" s="76" t="s">
        <v>2109</v>
      </c>
      <c r="R3005" s="73">
        <f t="shared" si="348"/>
        <v>1</v>
      </c>
      <c r="S3005" s="260" t="s">
        <v>1976</v>
      </c>
      <c r="T3005" s="260" t="s">
        <v>923</v>
      </c>
      <c r="Y3005" s="566">
        <v>0.47642361111111109</v>
      </c>
      <c r="Z3005" s="566">
        <v>0.48811342592592594</v>
      </c>
      <c r="AA3005" s="566">
        <f t="shared" si="344"/>
        <v>1.1689814814814847E-2</v>
      </c>
    </row>
    <row r="3006" spans="1:27" x14ac:dyDescent="0.3">
      <c r="A3006" s="79" t="s">
        <v>9945</v>
      </c>
      <c r="C3006" s="115">
        <v>44035</v>
      </c>
      <c r="D3006" s="312">
        <v>44070</v>
      </c>
      <c r="E3006" s="81">
        <v>44067</v>
      </c>
      <c r="F3006" s="86" t="s">
        <v>10010</v>
      </c>
      <c r="G3006" s="86" t="s">
        <v>172</v>
      </c>
      <c r="H3006" s="96" t="s">
        <v>213</v>
      </c>
      <c r="I3006" s="97" t="s">
        <v>755</v>
      </c>
      <c r="J3006" s="73">
        <f t="shared" si="347"/>
        <v>1</v>
      </c>
      <c r="K3006" s="74" t="s">
        <v>204</v>
      </c>
      <c r="L3006" s="97" t="s">
        <v>10089</v>
      </c>
      <c r="N3006" s="76" t="s">
        <v>18</v>
      </c>
      <c r="Q3006" s="76" t="s">
        <v>2142</v>
      </c>
      <c r="R3006" s="73">
        <f t="shared" si="348"/>
        <v>1</v>
      </c>
      <c r="S3006" s="260" t="s">
        <v>1976</v>
      </c>
      <c r="T3006" s="260" t="s">
        <v>924</v>
      </c>
      <c r="X3006" s="301" t="s">
        <v>10216</v>
      </c>
      <c r="Y3006" s="566">
        <v>0.48861111111111111</v>
      </c>
      <c r="Z3006" s="566">
        <v>0.49440972222222218</v>
      </c>
      <c r="AA3006" s="566">
        <f t="shared" si="344"/>
        <v>5.7986111111110739E-3</v>
      </c>
    </row>
    <row r="3007" spans="1:27" x14ac:dyDescent="0.3">
      <c r="A3007" s="79" t="s">
        <v>9946</v>
      </c>
      <c r="C3007" s="115">
        <v>44035</v>
      </c>
      <c r="D3007" s="312">
        <v>44070</v>
      </c>
      <c r="E3007" s="81">
        <v>44063</v>
      </c>
      <c r="F3007" s="86" t="s">
        <v>10011</v>
      </c>
      <c r="G3007" s="86" t="s">
        <v>147</v>
      </c>
      <c r="H3007" s="96" t="s">
        <v>213</v>
      </c>
      <c r="I3007" s="97" t="s">
        <v>642</v>
      </c>
      <c r="J3007" s="73">
        <f t="shared" si="347"/>
        <v>1</v>
      </c>
      <c r="K3007" s="74" t="s">
        <v>204</v>
      </c>
      <c r="L3007" s="97" t="s">
        <v>7108</v>
      </c>
      <c r="N3007" s="76" t="s">
        <v>18</v>
      </c>
      <c r="Q3007" s="76" t="s">
        <v>5193</v>
      </c>
      <c r="R3007" s="73">
        <f t="shared" si="348"/>
        <v>1</v>
      </c>
      <c r="S3007" s="260" t="s">
        <v>1976</v>
      </c>
      <c r="T3007" s="260" t="s">
        <v>924</v>
      </c>
      <c r="Y3007" s="566">
        <v>0.82021990740740736</v>
      </c>
      <c r="Z3007" s="566">
        <v>0.83083333333333342</v>
      </c>
      <c r="AA3007" s="566">
        <f t="shared" si="344"/>
        <v>1.0613425925926068E-2</v>
      </c>
    </row>
    <row r="3008" spans="1:27" x14ac:dyDescent="0.3">
      <c r="A3008" s="79" t="s">
        <v>9947</v>
      </c>
      <c r="C3008" s="115">
        <v>44035</v>
      </c>
      <c r="D3008" s="312">
        <v>44071</v>
      </c>
      <c r="E3008" s="81">
        <v>44064</v>
      </c>
      <c r="F3008" s="86" t="s">
        <v>10012</v>
      </c>
      <c r="G3008" s="86" t="s">
        <v>150</v>
      </c>
      <c r="H3008" s="96" t="s">
        <v>213</v>
      </c>
      <c r="I3008" s="97" t="s">
        <v>714</v>
      </c>
      <c r="J3008" s="73">
        <f t="shared" si="347"/>
        <v>1</v>
      </c>
      <c r="K3008" s="74" t="s">
        <v>204</v>
      </c>
      <c r="L3008" s="97" t="s">
        <v>7058</v>
      </c>
      <c r="N3008" s="76" t="s">
        <v>17</v>
      </c>
      <c r="Q3008" s="76" t="s">
        <v>5193</v>
      </c>
      <c r="R3008" s="73">
        <f t="shared" si="348"/>
        <v>1</v>
      </c>
      <c r="S3008" s="260" t="s">
        <v>1976</v>
      </c>
      <c r="T3008" s="260" t="s">
        <v>924</v>
      </c>
      <c r="X3008" s="301" t="s">
        <v>10093</v>
      </c>
      <c r="Y3008" s="566">
        <v>0.6189930555555555</v>
      </c>
      <c r="Z3008" s="566">
        <v>0.63432870370370364</v>
      </c>
      <c r="AA3008" s="566">
        <f t="shared" si="344"/>
        <v>1.533564814814814E-2</v>
      </c>
    </row>
    <row r="3009" spans="1:27" x14ac:dyDescent="0.3">
      <c r="A3009" s="79" t="s">
        <v>9948</v>
      </c>
      <c r="C3009" s="115">
        <v>44035</v>
      </c>
      <c r="D3009" s="312">
        <v>44070</v>
      </c>
      <c r="E3009" s="81">
        <v>44063</v>
      </c>
      <c r="F3009" s="86" t="s">
        <v>10013</v>
      </c>
      <c r="G3009" s="86" t="s">
        <v>172</v>
      </c>
      <c r="H3009" s="96" t="s">
        <v>213</v>
      </c>
      <c r="I3009" s="97" t="s">
        <v>714</v>
      </c>
      <c r="J3009" s="73">
        <f t="shared" si="347"/>
        <v>1</v>
      </c>
      <c r="K3009" s="74" t="s">
        <v>204</v>
      </c>
      <c r="L3009" s="97" t="s">
        <v>7072</v>
      </c>
      <c r="N3009" s="76" t="s">
        <v>17</v>
      </c>
      <c r="Q3009" s="76" t="s">
        <v>2142</v>
      </c>
      <c r="R3009" s="73">
        <f t="shared" si="348"/>
        <v>1</v>
      </c>
      <c r="S3009" s="260" t="s">
        <v>1976</v>
      </c>
      <c r="T3009" s="260" t="s">
        <v>923</v>
      </c>
      <c r="Y3009" s="566">
        <v>0.4042013888888889</v>
      </c>
      <c r="Z3009" s="566">
        <v>0.46347222222222223</v>
      </c>
      <c r="AA3009" s="566">
        <f t="shared" si="344"/>
        <v>5.9270833333333328E-2</v>
      </c>
    </row>
    <row r="3010" spans="1:27" x14ac:dyDescent="0.3">
      <c r="A3010" s="79" t="s">
        <v>9949</v>
      </c>
      <c r="C3010" s="115">
        <v>44036</v>
      </c>
      <c r="D3010" s="312">
        <v>44071</v>
      </c>
      <c r="E3010" s="81">
        <v>44068</v>
      </c>
      <c r="F3010" s="86" t="s">
        <v>10014</v>
      </c>
      <c r="G3010" s="86" t="s">
        <v>1682</v>
      </c>
      <c r="H3010" s="96" t="s">
        <v>213</v>
      </c>
      <c r="I3010" s="97" t="s">
        <v>642</v>
      </c>
      <c r="J3010" s="73">
        <f t="shared" si="347"/>
        <v>1</v>
      </c>
      <c r="K3010" s="74" t="s">
        <v>204</v>
      </c>
      <c r="L3010" s="97" t="s">
        <v>10208</v>
      </c>
      <c r="N3010" s="76" t="s">
        <v>18</v>
      </c>
      <c r="Q3010" s="76" t="s">
        <v>2109</v>
      </c>
      <c r="R3010" s="73">
        <f t="shared" si="348"/>
        <v>1</v>
      </c>
      <c r="S3010" s="260" t="s">
        <v>1976</v>
      </c>
      <c r="T3010" s="260" t="s">
        <v>923</v>
      </c>
      <c r="Y3010" s="566">
        <v>0.53144675925925922</v>
      </c>
      <c r="Z3010" s="566">
        <v>0.5353472222222222</v>
      </c>
      <c r="AA3010" s="566">
        <f t="shared" si="344"/>
        <v>3.9004629629629806E-3</v>
      </c>
    </row>
    <row r="3011" spans="1:27" x14ac:dyDescent="0.3">
      <c r="A3011" s="79" t="s">
        <v>9950</v>
      </c>
      <c r="C3011" s="115">
        <v>44036</v>
      </c>
      <c r="D3011" s="312">
        <v>44071</v>
      </c>
      <c r="E3011" s="81">
        <v>44070</v>
      </c>
      <c r="F3011" s="86" t="s">
        <v>10015</v>
      </c>
      <c r="G3011" s="86" t="s">
        <v>152</v>
      </c>
      <c r="H3011" s="79" t="s">
        <v>268</v>
      </c>
      <c r="I3011" s="97" t="s">
        <v>714</v>
      </c>
      <c r="J3011" s="73">
        <f t="shared" si="347"/>
        <v>1</v>
      </c>
      <c r="K3011" s="74" t="s">
        <v>204</v>
      </c>
      <c r="L3011" s="97" t="s">
        <v>10226</v>
      </c>
      <c r="N3011" s="76" t="s">
        <v>18</v>
      </c>
      <c r="Q3011" s="76" t="s">
        <v>5193</v>
      </c>
      <c r="R3011" s="73">
        <f t="shared" si="348"/>
        <v>1</v>
      </c>
      <c r="S3011" s="260" t="s">
        <v>1976</v>
      </c>
      <c r="T3011" s="260" t="s">
        <v>923</v>
      </c>
      <c r="Y3011" s="566">
        <v>0.4337037037037037</v>
      </c>
      <c r="Z3011" s="566">
        <v>0.44778935185185187</v>
      </c>
      <c r="AA3011" s="566">
        <f t="shared" si="344"/>
        <v>1.4085648148148167E-2</v>
      </c>
    </row>
    <row r="3012" spans="1:27" x14ac:dyDescent="0.3">
      <c r="A3012" s="79" t="s">
        <v>9951</v>
      </c>
      <c r="C3012" s="115">
        <v>44036</v>
      </c>
      <c r="D3012" s="312">
        <v>44071</v>
      </c>
      <c r="E3012" s="81">
        <v>44067</v>
      </c>
      <c r="F3012" s="86" t="s">
        <v>10016</v>
      </c>
      <c r="G3012" s="86" t="s">
        <v>150</v>
      </c>
      <c r="H3012" s="96" t="s">
        <v>213</v>
      </c>
      <c r="I3012" s="97" t="s">
        <v>714</v>
      </c>
      <c r="J3012" s="73">
        <f t="shared" si="347"/>
        <v>1</v>
      </c>
      <c r="K3012" s="74" t="s">
        <v>204</v>
      </c>
      <c r="L3012" s="97" t="s">
        <v>7071</v>
      </c>
      <c r="N3012" s="76" t="s">
        <v>18</v>
      </c>
      <c r="Q3012" s="76" t="s">
        <v>2076</v>
      </c>
      <c r="R3012" s="73">
        <f t="shared" si="348"/>
        <v>1</v>
      </c>
      <c r="S3012" s="260" t="s">
        <v>1976</v>
      </c>
      <c r="T3012" s="260" t="s">
        <v>924</v>
      </c>
      <c r="Y3012" s="566">
        <v>0.69828703703703709</v>
      </c>
      <c r="Z3012" s="566">
        <v>0.73197916666666663</v>
      </c>
      <c r="AA3012" s="566">
        <f t="shared" si="344"/>
        <v>3.369212962962953E-2</v>
      </c>
    </row>
    <row r="3013" spans="1:27" x14ac:dyDescent="0.3">
      <c r="A3013" s="79" t="s">
        <v>9952</v>
      </c>
      <c r="C3013" s="115">
        <v>44036</v>
      </c>
      <c r="D3013" s="312">
        <v>44071</v>
      </c>
      <c r="E3013" s="81">
        <v>44063</v>
      </c>
      <c r="F3013" s="86" t="s">
        <v>10017</v>
      </c>
      <c r="G3013" s="86" t="s">
        <v>152</v>
      </c>
      <c r="H3013" s="96" t="s">
        <v>213</v>
      </c>
      <c r="I3013" s="97" t="s">
        <v>642</v>
      </c>
      <c r="J3013" s="73">
        <f t="shared" si="347"/>
        <v>1</v>
      </c>
      <c r="K3013" s="74" t="s">
        <v>204</v>
      </c>
      <c r="L3013" s="97" t="s">
        <v>7108</v>
      </c>
      <c r="N3013" s="76" t="s">
        <v>17</v>
      </c>
      <c r="Q3013" s="76" t="s">
        <v>2142</v>
      </c>
      <c r="R3013" s="73">
        <f t="shared" si="348"/>
        <v>1</v>
      </c>
      <c r="S3013" s="260" t="s">
        <v>1976</v>
      </c>
      <c r="T3013" s="260" t="s">
        <v>923</v>
      </c>
      <c r="Y3013" s="566">
        <v>0.4642592592592592</v>
      </c>
      <c r="Z3013" s="566">
        <v>0.46847222222222223</v>
      </c>
      <c r="AA3013" s="566">
        <f t="shared" si="344"/>
        <v>4.2129629629630294E-3</v>
      </c>
    </row>
    <row r="3014" spans="1:27" x14ac:dyDescent="0.3">
      <c r="A3014" s="79" t="s">
        <v>9953</v>
      </c>
      <c r="C3014" s="115">
        <v>44036</v>
      </c>
      <c r="D3014" s="312">
        <v>44071</v>
      </c>
      <c r="E3014" s="81">
        <v>44064</v>
      </c>
      <c r="F3014" s="86" t="s">
        <v>10018</v>
      </c>
      <c r="G3014" s="86" t="s">
        <v>157</v>
      </c>
      <c r="H3014" s="96" t="s">
        <v>213</v>
      </c>
      <c r="I3014" s="97" t="s">
        <v>714</v>
      </c>
      <c r="J3014" s="73">
        <f t="shared" si="347"/>
        <v>1</v>
      </c>
      <c r="K3014" s="74" t="s">
        <v>204</v>
      </c>
      <c r="L3014" s="97" t="s">
        <v>7072</v>
      </c>
      <c r="N3014" s="76" t="s">
        <v>18</v>
      </c>
      <c r="Q3014" s="76" t="s">
        <v>2076</v>
      </c>
      <c r="R3014" s="73">
        <f t="shared" si="348"/>
        <v>1</v>
      </c>
      <c r="S3014" s="260" t="s">
        <v>1976</v>
      </c>
      <c r="T3014" s="260" t="s">
        <v>923</v>
      </c>
      <c r="Y3014" s="566">
        <v>0.43444444444444441</v>
      </c>
      <c r="Z3014" s="566">
        <v>0.46189814814814811</v>
      </c>
      <c r="AA3014" s="566">
        <f t="shared" si="344"/>
        <v>2.7453703703703702E-2</v>
      </c>
    </row>
    <row r="3015" spans="1:27" x14ac:dyDescent="0.3">
      <c r="A3015" s="79" t="s">
        <v>9954</v>
      </c>
      <c r="C3015" s="115">
        <v>44036</v>
      </c>
      <c r="D3015" s="312">
        <v>44071</v>
      </c>
      <c r="E3015" s="81">
        <v>44067</v>
      </c>
      <c r="F3015" s="86" t="s">
        <v>10019</v>
      </c>
      <c r="G3015" s="86" t="s">
        <v>9119</v>
      </c>
      <c r="H3015" s="79" t="s">
        <v>268</v>
      </c>
      <c r="I3015" s="97" t="s">
        <v>3648</v>
      </c>
      <c r="J3015" s="73">
        <f t="shared" si="347"/>
        <v>1</v>
      </c>
      <c r="K3015" s="74" t="s">
        <v>204</v>
      </c>
      <c r="L3015" s="97" t="s">
        <v>10092</v>
      </c>
      <c r="N3015" s="76" t="s">
        <v>17</v>
      </c>
      <c r="Q3015" s="76" t="s">
        <v>2142</v>
      </c>
      <c r="R3015" s="73">
        <f t="shared" si="348"/>
        <v>1</v>
      </c>
      <c r="S3015" s="260" t="s">
        <v>1976</v>
      </c>
      <c r="T3015" s="260" t="s">
        <v>924</v>
      </c>
      <c r="X3015" s="301" t="s">
        <v>10215</v>
      </c>
      <c r="Y3015" s="566">
        <v>0.65598379629629633</v>
      </c>
      <c r="Z3015" s="566">
        <v>0.68462962962962959</v>
      </c>
      <c r="AA3015" s="566">
        <f t="shared" si="344"/>
        <v>2.8645833333333259E-2</v>
      </c>
    </row>
    <row r="3016" spans="1:27" x14ac:dyDescent="0.3">
      <c r="A3016" s="79" t="s">
        <v>9955</v>
      </c>
      <c r="C3016" s="115">
        <v>44036</v>
      </c>
      <c r="D3016" s="312">
        <v>44071</v>
      </c>
      <c r="E3016" s="81">
        <v>44068</v>
      </c>
      <c r="F3016" s="86" t="s">
        <v>10020</v>
      </c>
      <c r="G3016" s="86" t="s">
        <v>181</v>
      </c>
      <c r="H3016" s="96" t="s">
        <v>213</v>
      </c>
      <c r="I3016" s="97" t="s">
        <v>714</v>
      </c>
      <c r="J3016" s="73">
        <f t="shared" si="347"/>
        <v>1</v>
      </c>
      <c r="K3016" s="74" t="s">
        <v>204</v>
      </c>
      <c r="L3016" s="97" t="s">
        <v>10207</v>
      </c>
      <c r="N3016" s="76" t="s">
        <v>18</v>
      </c>
      <c r="Q3016" s="76" t="s">
        <v>2109</v>
      </c>
      <c r="R3016" s="73">
        <f t="shared" si="348"/>
        <v>1</v>
      </c>
      <c r="S3016" s="260" t="s">
        <v>1976</v>
      </c>
      <c r="T3016" s="260" t="s">
        <v>924</v>
      </c>
      <c r="Y3016" s="566">
        <v>0.48546296296296299</v>
      </c>
      <c r="Z3016" s="566">
        <v>0.53089120370370368</v>
      </c>
      <c r="AA3016" s="566">
        <f t="shared" si="344"/>
        <v>4.54282407407407E-2</v>
      </c>
    </row>
    <row r="3017" spans="1:27" x14ac:dyDescent="0.3">
      <c r="A3017" s="79" t="s">
        <v>9956</v>
      </c>
      <c r="C3017" s="115">
        <v>44036</v>
      </c>
      <c r="D3017" s="312">
        <v>44071</v>
      </c>
      <c r="E3017" s="81">
        <v>44064</v>
      </c>
      <c r="F3017" s="86" t="s">
        <v>10021</v>
      </c>
      <c r="G3017" s="86" t="s">
        <v>150</v>
      </c>
      <c r="H3017" s="96" t="s">
        <v>213</v>
      </c>
      <c r="I3017" s="97" t="s">
        <v>642</v>
      </c>
      <c r="J3017" s="73">
        <f t="shared" si="347"/>
        <v>1</v>
      </c>
      <c r="K3017" s="74" t="s">
        <v>204</v>
      </c>
      <c r="L3017" s="97" t="s">
        <v>7110</v>
      </c>
      <c r="N3017" s="76" t="s">
        <v>18</v>
      </c>
      <c r="Q3017" s="76" t="s">
        <v>5193</v>
      </c>
      <c r="R3017" s="73">
        <f t="shared" si="348"/>
        <v>1</v>
      </c>
      <c r="S3017" s="260" t="s">
        <v>1976</v>
      </c>
      <c r="T3017" s="260" t="s">
        <v>924</v>
      </c>
      <c r="Y3017" s="566">
        <v>0.49608796296296293</v>
      </c>
      <c r="Z3017" s="566">
        <v>0.61425925925925928</v>
      </c>
      <c r="AA3017" s="566">
        <f t="shared" si="344"/>
        <v>0.11817129629629636</v>
      </c>
    </row>
    <row r="3018" spans="1:27" x14ac:dyDescent="0.3">
      <c r="A3018" s="79" t="s">
        <v>9957</v>
      </c>
      <c r="C3018" s="115">
        <v>44043</v>
      </c>
      <c r="D3018" s="312">
        <v>44067</v>
      </c>
      <c r="E3018" s="81">
        <v>44060</v>
      </c>
      <c r="F3018" s="86" t="s">
        <v>10022</v>
      </c>
      <c r="G3018" s="86" t="s">
        <v>168</v>
      </c>
      <c r="H3018" s="96" t="s">
        <v>213</v>
      </c>
      <c r="I3018" s="97" t="s">
        <v>649</v>
      </c>
      <c r="J3018" s="73">
        <f t="shared" si="347"/>
        <v>1</v>
      </c>
      <c r="K3018" s="74" t="s">
        <v>204</v>
      </c>
      <c r="L3018" s="97" t="s">
        <v>7898</v>
      </c>
      <c r="Q3018" s="76" t="s">
        <v>2076</v>
      </c>
      <c r="R3018" s="73">
        <f t="shared" si="348"/>
        <v>1</v>
      </c>
      <c r="S3018" s="260" t="s">
        <v>1976</v>
      </c>
      <c r="T3018" s="260" t="s">
        <v>923</v>
      </c>
      <c r="U3018" s="76" t="s">
        <v>5283</v>
      </c>
      <c r="V3018" s="301" t="s">
        <v>10035</v>
      </c>
      <c r="Y3018" s="566">
        <v>0.57307870370370373</v>
      </c>
      <c r="Z3018" s="566">
        <v>0.58186342592592599</v>
      </c>
      <c r="AA3018" s="566">
        <f t="shared" si="344"/>
        <v>8.7847222222222632E-3</v>
      </c>
    </row>
    <row r="3019" spans="1:27" x14ac:dyDescent="0.3">
      <c r="A3019" s="79" t="s">
        <v>9958</v>
      </c>
      <c r="C3019" s="115">
        <v>44046</v>
      </c>
      <c r="D3019" s="312">
        <v>44067</v>
      </c>
      <c r="E3019" s="81">
        <v>44060</v>
      </c>
      <c r="F3019" s="86" t="s">
        <v>6052</v>
      </c>
      <c r="G3019" s="86" t="s">
        <v>152</v>
      </c>
      <c r="H3019" s="96" t="s">
        <v>213</v>
      </c>
      <c r="I3019" s="97" t="s">
        <v>649</v>
      </c>
      <c r="J3019" s="73">
        <f t="shared" si="347"/>
        <v>1</v>
      </c>
      <c r="K3019" s="74" t="s">
        <v>204</v>
      </c>
      <c r="L3019" s="97" t="s">
        <v>9846</v>
      </c>
      <c r="N3019" s="76" t="s">
        <v>18</v>
      </c>
      <c r="Q3019" s="76" t="s">
        <v>2142</v>
      </c>
      <c r="R3019" s="73">
        <f t="shared" si="348"/>
        <v>1</v>
      </c>
      <c r="S3019" s="260" t="s">
        <v>1976</v>
      </c>
      <c r="T3019" s="260" t="s">
        <v>924</v>
      </c>
      <c r="Y3019" s="566">
        <v>0.63923611111111112</v>
      </c>
      <c r="Z3019" s="566">
        <v>0.64475694444444442</v>
      </c>
      <c r="AA3019" s="566">
        <f t="shared" si="344"/>
        <v>5.5208333333333082E-3</v>
      </c>
    </row>
    <row r="3020" spans="1:27" x14ac:dyDescent="0.3">
      <c r="A3020" s="79" t="s">
        <v>9959</v>
      </c>
      <c r="C3020" s="115">
        <v>44046</v>
      </c>
      <c r="D3020" s="312">
        <v>44067</v>
      </c>
      <c r="E3020" s="81">
        <v>44060</v>
      </c>
      <c r="F3020" s="86" t="s">
        <v>10023</v>
      </c>
      <c r="G3020" s="86" t="s">
        <v>157</v>
      </c>
      <c r="H3020" s="96" t="s">
        <v>213</v>
      </c>
      <c r="I3020" s="97" t="s">
        <v>722</v>
      </c>
      <c r="J3020" s="73">
        <f t="shared" si="347"/>
        <v>1</v>
      </c>
      <c r="K3020" s="74" t="s">
        <v>204</v>
      </c>
      <c r="L3020" s="97" t="s">
        <v>7876</v>
      </c>
      <c r="N3020" s="76" t="s">
        <v>18</v>
      </c>
      <c r="Q3020" s="76" t="s">
        <v>2142</v>
      </c>
      <c r="R3020" s="73">
        <f t="shared" si="348"/>
        <v>1</v>
      </c>
      <c r="S3020" s="260" t="s">
        <v>1976</v>
      </c>
      <c r="T3020" s="260" t="s">
        <v>923</v>
      </c>
      <c r="Y3020" s="566">
        <v>0.76219907407407417</v>
      </c>
      <c r="Z3020" s="566">
        <v>0.77045138888888898</v>
      </c>
      <c r="AA3020" s="566">
        <f t="shared" ref="AA3020:AA3033" si="349">Z3020-Y3020</f>
        <v>8.2523148148148096E-3</v>
      </c>
    </row>
    <row r="3021" spans="1:27" x14ac:dyDescent="0.3">
      <c r="A3021" s="79" t="s">
        <v>9960</v>
      </c>
      <c r="C3021" s="115">
        <v>44046</v>
      </c>
      <c r="D3021" s="312">
        <v>44067</v>
      </c>
      <c r="E3021" s="81">
        <v>44063</v>
      </c>
      <c r="F3021" s="86" t="s">
        <v>7842</v>
      </c>
      <c r="G3021" s="86" t="s">
        <v>154</v>
      </c>
      <c r="H3021" s="96" t="s">
        <v>213</v>
      </c>
      <c r="I3021" s="97" t="s">
        <v>1204</v>
      </c>
      <c r="J3021" s="73">
        <f t="shared" ref="J3021:J3033" si="350">IF(OR(K3021="Документы готовы",K3021="Запрос в ФО",K3021="ЭЗ",K3021="РЕШ",K3021="РЕШ шаблон"),0.1,IF(OR(K3021="ЭЗ согласование",K3021="РЕШ согласование"),0.3,IF(OR(K3021="ЭЗ согласовано",K3021="РЕШ согласовано",K3021="РЕШ подписано"),0.6,IF(OR(K3021="ЭЗ ПР согласование",K3021="РЕШ УВ согласование"),0.9,IF(OR(K3021="ЭЗ ПР DONE",K3021="РЕШ УВ DONE"),1,0)))))</f>
        <v>1</v>
      </c>
      <c r="K3021" s="74" t="s">
        <v>204</v>
      </c>
      <c r="L3021" s="97" t="s">
        <v>10079</v>
      </c>
      <c r="N3021" s="76" t="s">
        <v>18</v>
      </c>
      <c r="Q3021" s="76" t="s">
        <v>2109</v>
      </c>
      <c r="R3021" s="73">
        <f t="shared" ref="R3021:R3033" si="351">IF(S3021="В работе",0.3,IF(S3021="Отписано",0.6,IF(S3021="На доработку",0.9,IF(S3021="Согласовано",1,0))))</f>
        <v>1</v>
      </c>
      <c r="S3021" s="260" t="s">
        <v>1976</v>
      </c>
      <c r="T3021" s="260" t="s">
        <v>923</v>
      </c>
      <c r="U3021" s="76" t="s">
        <v>5283</v>
      </c>
      <c r="V3021" s="301" t="s">
        <v>10080</v>
      </c>
      <c r="Z3021" s="566">
        <v>0.43373842592592587</v>
      </c>
      <c r="AA3021" s="566">
        <f t="shared" si="349"/>
        <v>0.43373842592592587</v>
      </c>
    </row>
    <row r="3022" spans="1:27" x14ac:dyDescent="0.3">
      <c r="A3022" s="79" t="s">
        <v>9961</v>
      </c>
      <c r="C3022" s="115">
        <v>44047</v>
      </c>
      <c r="D3022" s="312">
        <v>44068</v>
      </c>
      <c r="E3022" s="81">
        <v>44061</v>
      </c>
      <c r="F3022" s="86" t="s">
        <v>10024</v>
      </c>
      <c r="G3022" s="86" t="s">
        <v>733</v>
      </c>
      <c r="H3022" s="96" t="s">
        <v>213</v>
      </c>
      <c r="I3022" s="97" t="s">
        <v>854</v>
      </c>
      <c r="J3022" s="73">
        <f t="shared" si="350"/>
        <v>1</v>
      </c>
      <c r="K3022" s="74" t="s">
        <v>204</v>
      </c>
      <c r="L3022" s="97" t="s">
        <v>7120</v>
      </c>
      <c r="N3022" s="76" t="s">
        <v>18</v>
      </c>
      <c r="Q3022" s="76" t="s">
        <v>2142</v>
      </c>
      <c r="R3022" s="73">
        <f t="shared" si="351"/>
        <v>1</v>
      </c>
      <c r="S3022" s="260" t="s">
        <v>1976</v>
      </c>
      <c r="T3022" s="260" t="s">
        <v>924</v>
      </c>
      <c r="Y3022" s="566">
        <v>0.77270833333333344</v>
      </c>
      <c r="Z3022" s="566">
        <v>0.78090277777777783</v>
      </c>
      <c r="AA3022" s="566">
        <f t="shared" si="349"/>
        <v>8.1944444444443931E-3</v>
      </c>
    </row>
    <row r="3023" spans="1:27" x14ac:dyDescent="0.3">
      <c r="A3023" s="79" t="s">
        <v>9962</v>
      </c>
      <c r="C3023" s="115">
        <v>44047</v>
      </c>
      <c r="D3023" s="312">
        <v>44069</v>
      </c>
      <c r="E3023" s="81">
        <v>44063</v>
      </c>
      <c r="F3023" s="86" t="s">
        <v>7014</v>
      </c>
      <c r="G3023" s="86" t="s">
        <v>189</v>
      </c>
      <c r="H3023" s="96" t="s">
        <v>213</v>
      </c>
      <c r="I3023" s="97" t="s">
        <v>649</v>
      </c>
      <c r="J3023" s="73">
        <f t="shared" si="350"/>
        <v>1</v>
      </c>
      <c r="K3023" s="74" t="s">
        <v>204</v>
      </c>
      <c r="L3023" s="97" t="s">
        <v>9638</v>
      </c>
      <c r="N3023" s="76" t="s">
        <v>17</v>
      </c>
      <c r="Q3023" s="76" t="s">
        <v>2076</v>
      </c>
      <c r="R3023" s="73">
        <f t="shared" si="351"/>
        <v>1</v>
      </c>
      <c r="S3023" s="260" t="s">
        <v>1976</v>
      </c>
      <c r="T3023" s="260" t="s">
        <v>923</v>
      </c>
      <c r="Y3023" s="566">
        <v>0.53819444444444442</v>
      </c>
      <c r="Z3023" s="566">
        <v>0.54518518518518522</v>
      </c>
      <c r="AA3023" s="566">
        <f t="shared" si="349"/>
        <v>6.9907407407407973E-3</v>
      </c>
    </row>
    <row r="3024" spans="1:27" x14ac:dyDescent="0.3">
      <c r="A3024" s="79" t="s">
        <v>9963</v>
      </c>
      <c r="C3024" s="115">
        <v>44047</v>
      </c>
      <c r="D3024" s="312">
        <v>44069</v>
      </c>
      <c r="E3024" s="81">
        <v>44067</v>
      </c>
      <c r="F3024" s="86" t="s">
        <v>10025</v>
      </c>
      <c r="G3024" s="86" t="s">
        <v>1682</v>
      </c>
      <c r="H3024" s="96" t="s">
        <v>213</v>
      </c>
      <c r="I3024" s="97" t="s">
        <v>995</v>
      </c>
      <c r="J3024" s="73">
        <f t="shared" si="350"/>
        <v>1</v>
      </c>
      <c r="K3024" s="74" t="s">
        <v>204</v>
      </c>
      <c r="L3024" s="97" t="s">
        <v>7073</v>
      </c>
      <c r="N3024" s="76" t="s">
        <v>19</v>
      </c>
      <c r="Q3024" s="76" t="s">
        <v>5193</v>
      </c>
      <c r="R3024" s="73">
        <f t="shared" si="351"/>
        <v>1</v>
      </c>
      <c r="S3024" s="260" t="s">
        <v>1976</v>
      </c>
      <c r="T3024" s="260" t="s">
        <v>924</v>
      </c>
      <c r="Y3024" s="566">
        <v>0.51635416666666667</v>
      </c>
      <c r="Z3024" s="566">
        <v>0.6184722222222222</v>
      </c>
      <c r="AA3024" s="566">
        <f t="shared" si="349"/>
        <v>0.10211805555555553</v>
      </c>
    </row>
    <row r="3025" spans="1:27" x14ac:dyDescent="0.3">
      <c r="A3025" s="79" t="s">
        <v>9964</v>
      </c>
      <c r="C3025" s="115">
        <v>44047</v>
      </c>
      <c r="D3025" s="312">
        <v>44068</v>
      </c>
      <c r="E3025" s="81">
        <v>44061</v>
      </c>
      <c r="F3025" s="86" t="s">
        <v>10026</v>
      </c>
      <c r="G3025" s="86" t="s">
        <v>9119</v>
      </c>
      <c r="H3025" s="96" t="s">
        <v>213</v>
      </c>
      <c r="I3025" s="97" t="s">
        <v>1113</v>
      </c>
      <c r="J3025" s="73">
        <f t="shared" si="350"/>
        <v>1</v>
      </c>
      <c r="K3025" s="74" t="s">
        <v>204</v>
      </c>
      <c r="L3025" s="97" t="s">
        <v>7104</v>
      </c>
      <c r="N3025" s="76" t="s">
        <v>18</v>
      </c>
      <c r="Q3025" s="76" t="s">
        <v>5193</v>
      </c>
      <c r="R3025" s="73">
        <f t="shared" si="351"/>
        <v>1</v>
      </c>
      <c r="S3025" s="260" t="s">
        <v>1976</v>
      </c>
      <c r="T3025" s="260" t="s">
        <v>923</v>
      </c>
      <c r="Y3025" s="566">
        <v>0.7507638888888889</v>
      </c>
      <c r="Z3025" s="566">
        <v>0.75746527777777783</v>
      </c>
      <c r="AA3025" s="566">
        <f t="shared" si="349"/>
        <v>6.7013888888889372E-3</v>
      </c>
    </row>
    <row r="3026" spans="1:27" x14ac:dyDescent="0.3">
      <c r="A3026" s="79" t="s">
        <v>9965</v>
      </c>
      <c r="C3026" s="115">
        <v>44048</v>
      </c>
      <c r="D3026" s="312">
        <v>44069</v>
      </c>
      <c r="E3026" s="81">
        <v>44064</v>
      </c>
      <c r="F3026" s="86" t="s">
        <v>10027</v>
      </c>
      <c r="G3026" s="86" t="s">
        <v>154</v>
      </c>
      <c r="H3026" s="96" t="s">
        <v>213</v>
      </c>
      <c r="I3026" s="97" t="s">
        <v>972</v>
      </c>
      <c r="J3026" s="73">
        <f t="shared" si="350"/>
        <v>1</v>
      </c>
      <c r="K3026" s="74" t="s">
        <v>204</v>
      </c>
      <c r="L3026" s="97" t="s">
        <v>10085</v>
      </c>
      <c r="N3026" s="76" t="s">
        <v>17</v>
      </c>
      <c r="Q3026" s="76" t="s">
        <v>2142</v>
      </c>
      <c r="R3026" s="73">
        <f t="shared" si="351"/>
        <v>1</v>
      </c>
      <c r="S3026" s="260" t="s">
        <v>1976</v>
      </c>
      <c r="T3026" s="260" t="s">
        <v>924</v>
      </c>
      <c r="Y3026" s="566">
        <v>0.70747685185185183</v>
      </c>
      <c r="Z3026" s="566">
        <v>0.73767361111111107</v>
      </c>
      <c r="AA3026" s="566">
        <f t="shared" si="349"/>
        <v>3.0196759259259243E-2</v>
      </c>
    </row>
    <row r="3027" spans="1:27" x14ac:dyDescent="0.3">
      <c r="A3027" s="79" t="s">
        <v>9966</v>
      </c>
      <c r="C3027" s="115">
        <v>44048</v>
      </c>
      <c r="D3027" s="312">
        <v>44070</v>
      </c>
      <c r="E3027" s="81">
        <v>44064</v>
      </c>
      <c r="F3027" s="86" t="s">
        <v>10028</v>
      </c>
      <c r="G3027" s="86" t="s">
        <v>152</v>
      </c>
      <c r="H3027" s="96" t="s">
        <v>213</v>
      </c>
      <c r="I3027" s="97" t="s">
        <v>649</v>
      </c>
      <c r="J3027" s="73">
        <f t="shared" si="350"/>
        <v>1</v>
      </c>
      <c r="K3027" s="74" t="s">
        <v>204</v>
      </c>
      <c r="L3027" s="97" t="s">
        <v>10211</v>
      </c>
      <c r="N3027" s="76" t="s">
        <v>17</v>
      </c>
      <c r="Q3027" s="76" t="s">
        <v>2076</v>
      </c>
      <c r="R3027" s="73">
        <f t="shared" si="351"/>
        <v>1</v>
      </c>
      <c r="S3027" s="260" t="s">
        <v>1976</v>
      </c>
      <c r="T3027" s="260" t="s">
        <v>924</v>
      </c>
      <c r="U3027" s="76" t="s">
        <v>5283</v>
      </c>
      <c r="V3027" s="301" t="s">
        <v>10083</v>
      </c>
      <c r="Y3027" s="566">
        <v>0.47892361111111109</v>
      </c>
      <c r="Z3027" s="566">
        <v>0.48851851851851852</v>
      </c>
      <c r="AA3027" s="566">
        <f t="shared" si="349"/>
        <v>9.594907407407427E-3</v>
      </c>
    </row>
    <row r="3028" spans="1:27" x14ac:dyDescent="0.3">
      <c r="A3028" s="79" t="s">
        <v>9967</v>
      </c>
      <c r="C3028" s="115">
        <v>44049</v>
      </c>
      <c r="D3028" s="312">
        <v>44071</v>
      </c>
      <c r="E3028" s="81">
        <v>44064</v>
      </c>
      <c r="F3028" s="86" t="s">
        <v>10029</v>
      </c>
      <c r="G3028" s="86" t="s">
        <v>147</v>
      </c>
      <c r="H3028" s="79" t="s">
        <v>268</v>
      </c>
      <c r="I3028" s="97" t="s">
        <v>649</v>
      </c>
      <c r="J3028" s="73">
        <f t="shared" si="350"/>
        <v>1</v>
      </c>
      <c r="K3028" s="74" t="s">
        <v>204</v>
      </c>
      <c r="L3028" s="97" t="s">
        <v>10081</v>
      </c>
      <c r="N3028" s="76" t="s">
        <v>18</v>
      </c>
      <c r="Q3028" s="76" t="s">
        <v>2076</v>
      </c>
      <c r="R3028" s="73">
        <f t="shared" si="351"/>
        <v>1</v>
      </c>
      <c r="S3028" s="260" t="s">
        <v>1976</v>
      </c>
      <c r="T3028" s="260" t="s">
        <v>924</v>
      </c>
      <c r="U3028" s="76" t="s">
        <v>5283</v>
      </c>
      <c r="V3028" s="301" t="s">
        <v>10082</v>
      </c>
      <c r="Y3028" s="566">
        <v>0.46239583333333334</v>
      </c>
      <c r="Z3028" s="566">
        <v>0.4778587962962963</v>
      </c>
      <c r="AA3028" s="566">
        <f t="shared" si="349"/>
        <v>1.5462962962962956E-2</v>
      </c>
    </row>
    <row r="3029" spans="1:27" x14ac:dyDescent="0.3">
      <c r="A3029" s="79" t="s">
        <v>9968</v>
      </c>
      <c r="C3029" s="115">
        <v>44049</v>
      </c>
      <c r="D3029" s="312">
        <v>44071</v>
      </c>
      <c r="E3029" s="81">
        <v>44067</v>
      </c>
      <c r="F3029" s="86" t="s">
        <v>10030</v>
      </c>
      <c r="G3029" s="86" t="s">
        <v>150</v>
      </c>
      <c r="H3029" s="96" t="s">
        <v>213</v>
      </c>
      <c r="I3029" s="97" t="s">
        <v>649</v>
      </c>
      <c r="J3029" s="73">
        <f t="shared" si="350"/>
        <v>1</v>
      </c>
      <c r="K3029" s="74" t="s">
        <v>204</v>
      </c>
      <c r="L3029" s="97" t="s">
        <v>10094</v>
      </c>
      <c r="N3029" s="76" t="s">
        <v>18</v>
      </c>
      <c r="Q3029" s="76" t="s">
        <v>2076</v>
      </c>
      <c r="R3029" s="73">
        <f t="shared" si="351"/>
        <v>1</v>
      </c>
      <c r="S3029" s="260" t="s">
        <v>1976</v>
      </c>
      <c r="T3029" s="260" t="s">
        <v>923</v>
      </c>
      <c r="Y3029" s="566">
        <v>0.73685185185185187</v>
      </c>
      <c r="Z3029" s="566">
        <v>0.75244212962962964</v>
      </c>
      <c r="AA3029" s="566">
        <f t="shared" si="349"/>
        <v>1.5590277777777772E-2</v>
      </c>
    </row>
    <row r="3030" spans="1:27" x14ac:dyDescent="0.3">
      <c r="A3030" s="79" t="s">
        <v>9969</v>
      </c>
      <c r="C3030" s="115">
        <v>44049</v>
      </c>
      <c r="D3030" s="312">
        <v>44070</v>
      </c>
      <c r="E3030" s="81">
        <v>44067</v>
      </c>
      <c r="F3030" s="86" t="s">
        <v>10031</v>
      </c>
      <c r="G3030" s="86" t="s">
        <v>150</v>
      </c>
      <c r="H3030" s="96" t="s">
        <v>213</v>
      </c>
      <c r="I3030" s="97" t="s">
        <v>649</v>
      </c>
      <c r="J3030" s="73">
        <f t="shared" si="350"/>
        <v>1</v>
      </c>
      <c r="K3030" s="74" t="s">
        <v>204</v>
      </c>
      <c r="L3030" s="97" t="s">
        <v>10217</v>
      </c>
      <c r="N3030" s="76" t="s">
        <v>18</v>
      </c>
      <c r="Q3030" s="76" t="s">
        <v>2109</v>
      </c>
      <c r="R3030" s="73">
        <f t="shared" si="351"/>
        <v>1</v>
      </c>
      <c r="S3030" s="260" t="s">
        <v>1976</v>
      </c>
      <c r="T3030" s="260" t="s">
        <v>923</v>
      </c>
      <c r="U3030" s="76" t="s">
        <v>5283</v>
      </c>
      <c r="V3030" s="301" t="s">
        <v>10090</v>
      </c>
      <c r="Y3030" s="566">
        <v>0.49495370370370373</v>
      </c>
      <c r="Z3030" s="566">
        <v>0.5149421296296296</v>
      </c>
      <c r="AA3030" s="566">
        <f t="shared" si="349"/>
        <v>1.9988425925925868E-2</v>
      </c>
    </row>
    <row r="3031" spans="1:27" x14ac:dyDescent="0.3">
      <c r="A3031" s="79" t="s">
        <v>9970</v>
      </c>
      <c r="C3031" s="115">
        <v>44049</v>
      </c>
      <c r="D3031" s="312">
        <v>44070</v>
      </c>
      <c r="E3031" s="81">
        <v>44067</v>
      </c>
      <c r="F3031" s="86" t="s">
        <v>10032</v>
      </c>
      <c r="G3031" s="86" t="s">
        <v>157</v>
      </c>
      <c r="H3031" s="96" t="s">
        <v>213</v>
      </c>
      <c r="I3031" s="97" t="s">
        <v>3187</v>
      </c>
      <c r="J3031" s="73">
        <f t="shared" si="350"/>
        <v>1</v>
      </c>
      <c r="K3031" s="74" t="s">
        <v>204</v>
      </c>
      <c r="L3031" s="97" t="s">
        <v>7545</v>
      </c>
      <c r="N3031" s="76" t="s">
        <v>19</v>
      </c>
      <c r="Q3031" s="76" t="s">
        <v>2109</v>
      </c>
      <c r="R3031" s="73">
        <f t="shared" si="351"/>
        <v>1</v>
      </c>
      <c r="S3031" s="260" t="s">
        <v>1976</v>
      </c>
      <c r="T3031" s="260" t="s">
        <v>923</v>
      </c>
      <c r="U3031" s="76" t="s">
        <v>5283</v>
      </c>
      <c r="V3031" s="301" t="s">
        <v>10086</v>
      </c>
      <c r="Y3031" s="566">
        <v>0.41679398148148145</v>
      </c>
      <c r="Z3031" s="566">
        <v>0.43086805555555552</v>
      </c>
      <c r="AA3031" s="566">
        <f t="shared" si="349"/>
        <v>1.4074074074074072E-2</v>
      </c>
    </row>
    <row r="3032" spans="1:27" x14ac:dyDescent="0.3">
      <c r="A3032" s="79" t="s">
        <v>9971</v>
      </c>
      <c r="C3032" s="115">
        <v>44049</v>
      </c>
      <c r="D3032" s="312">
        <v>44071</v>
      </c>
      <c r="E3032" s="81">
        <v>44063</v>
      </c>
      <c r="F3032" s="86" t="s">
        <v>10033</v>
      </c>
      <c r="G3032" s="86" t="s">
        <v>164</v>
      </c>
      <c r="H3032" s="96" t="s">
        <v>213</v>
      </c>
      <c r="I3032" s="97" t="s">
        <v>649</v>
      </c>
      <c r="J3032" s="73">
        <f t="shared" si="350"/>
        <v>1</v>
      </c>
      <c r="K3032" s="74" t="s">
        <v>204</v>
      </c>
      <c r="L3032" s="97" t="s">
        <v>7065</v>
      </c>
      <c r="N3032" s="76" t="s">
        <v>17</v>
      </c>
      <c r="Q3032" s="76" t="s">
        <v>2142</v>
      </c>
      <c r="R3032" s="73">
        <f t="shared" si="351"/>
        <v>1</v>
      </c>
      <c r="S3032" s="260" t="s">
        <v>1976</v>
      </c>
      <c r="T3032" s="260" t="s">
        <v>924</v>
      </c>
      <c r="Y3032" s="566">
        <v>0.68722222222222218</v>
      </c>
      <c r="Z3032" s="566">
        <v>0.69313657407407403</v>
      </c>
      <c r="AA3032" s="566">
        <f t="shared" si="349"/>
        <v>5.9143518518518512E-3</v>
      </c>
    </row>
    <row r="3033" spans="1:27" x14ac:dyDescent="0.3">
      <c r="A3033" s="79" t="s">
        <v>9972</v>
      </c>
      <c r="C3033" s="115">
        <v>44050</v>
      </c>
      <c r="D3033" s="312">
        <v>44071</v>
      </c>
      <c r="E3033" s="81">
        <v>44067</v>
      </c>
      <c r="F3033" s="86" t="s">
        <v>10034</v>
      </c>
      <c r="G3033" s="86" t="s">
        <v>152</v>
      </c>
      <c r="H3033" s="96" t="s">
        <v>213</v>
      </c>
      <c r="I3033" s="97" t="s">
        <v>1113</v>
      </c>
      <c r="J3033" s="73">
        <f t="shared" si="350"/>
        <v>1</v>
      </c>
      <c r="K3033" s="74" t="s">
        <v>204</v>
      </c>
      <c r="L3033" s="97" t="s">
        <v>7104</v>
      </c>
      <c r="N3033" s="76" t="s">
        <v>18</v>
      </c>
      <c r="Q3033" s="76" t="s">
        <v>2076</v>
      </c>
      <c r="R3033" s="73">
        <f t="shared" si="351"/>
        <v>1</v>
      </c>
      <c r="S3033" s="260" t="s">
        <v>1976</v>
      </c>
      <c r="T3033" s="260" t="s">
        <v>924</v>
      </c>
      <c r="Y3033" s="566">
        <v>0.75284722222222211</v>
      </c>
      <c r="Z3033" s="566">
        <v>0.76303240740740741</v>
      </c>
      <c r="AA3033" s="566">
        <f t="shared" si="349"/>
        <v>1.0185185185185297E-2</v>
      </c>
    </row>
    <row r="3034" spans="1:27" x14ac:dyDescent="0.3">
      <c r="A3034" s="79" t="s">
        <v>10096</v>
      </c>
      <c r="C3034" s="115">
        <v>44019</v>
      </c>
      <c r="D3034" s="312">
        <v>44076</v>
      </c>
      <c r="E3034" s="81">
        <v>44074</v>
      </c>
      <c r="F3034" s="86" t="s">
        <v>10150</v>
      </c>
      <c r="G3034" s="86" t="s">
        <v>152</v>
      </c>
      <c r="H3034" s="96" t="s">
        <v>213</v>
      </c>
      <c r="I3034" s="97" t="s">
        <v>691</v>
      </c>
      <c r="J3034" s="73">
        <f t="shared" ref="J3034:J3078" si="352">IF(OR(K3034="Документы готовы",K3034="Запрос в ФО",K3034="ЭЗ",K3034="РЕШ",K3034="РЕШ шаблон"),0.1,IF(OR(K3034="ЭЗ согласование",K3034="РЕШ согласование"),0.3,IF(OR(K3034="ЭЗ согласовано",K3034="РЕШ согласовано",K3034="РЕШ подписано"),0.6,IF(OR(K3034="ЭЗ ПР согласование",K3034="РЕШ УВ согласование"),0.9,IF(OR(K3034="ЭЗ ПР DONE",K3034="РЕШ УВ DONE"),1,0)))))</f>
        <v>1</v>
      </c>
      <c r="K3034" s="74" t="s">
        <v>204</v>
      </c>
      <c r="L3034" s="97" t="s">
        <v>10240</v>
      </c>
      <c r="N3034" s="76" t="s">
        <v>18</v>
      </c>
      <c r="Q3034" s="76" t="s">
        <v>2109</v>
      </c>
      <c r="R3034" s="73">
        <f t="shared" ref="R3034:R3078" si="353">IF(S3034="В работе",0.3,IF(S3034="Отписано",0.6,IF(S3034="На доработку",0.9,IF(S3034="Согласовано",1,0))))</f>
        <v>1</v>
      </c>
      <c r="S3034" s="260" t="s">
        <v>1976</v>
      </c>
      <c r="T3034" s="260" t="s">
        <v>923</v>
      </c>
      <c r="Y3034" s="566">
        <v>0.42011574074074076</v>
      </c>
      <c r="Z3034" s="566">
        <v>0.48115740740740742</v>
      </c>
      <c r="AA3034" s="566">
        <f t="shared" ref="AA3034:AA3078" si="354">Z3034-Y3034</f>
        <v>6.1041666666666661E-2</v>
      </c>
    </row>
    <row r="3035" spans="1:27" x14ac:dyDescent="0.3">
      <c r="A3035" s="79" t="s">
        <v>10097</v>
      </c>
      <c r="C3035" s="115">
        <v>44028</v>
      </c>
      <c r="D3035" s="312">
        <v>44078</v>
      </c>
      <c r="E3035" s="81">
        <v>44074</v>
      </c>
      <c r="F3035" s="86" t="s">
        <v>10151</v>
      </c>
      <c r="G3035" s="86" t="s">
        <v>189</v>
      </c>
      <c r="H3035" s="96" t="s">
        <v>213</v>
      </c>
      <c r="I3035" s="97" t="s">
        <v>995</v>
      </c>
      <c r="J3035" s="73">
        <f t="shared" si="352"/>
        <v>1</v>
      </c>
      <c r="K3035" s="74" t="s">
        <v>204</v>
      </c>
      <c r="L3035" s="97" t="s">
        <v>7073</v>
      </c>
      <c r="N3035" s="76" t="s">
        <v>19</v>
      </c>
      <c r="Q3035" s="76" t="s">
        <v>2076</v>
      </c>
      <c r="R3035" s="73">
        <f t="shared" si="353"/>
        <v>1</v>
      </c>
      <c r="S3035" s="260" t="s">
        <v>1976</v>
      </c>
      <c r="T3035" s="260" t="s">
        <v>924</v>
      </c>
      <c r="U3035" s="76" t="s">
        <v>5283</v>
      </c>
      <c r="V3035" s="301" t="s">
        <v>10243</v>
      </c>
      <c r="Y3035" s="566">
        <v>0.66956018518518512</v>
      </c>
      <c r="Z3035" s="566">
        <v>0.69440972222222219</v>
      </c>
      <c r="AA3035" s="566">
        <f t="shared" si="354"/>
        <v>2.4849537037037073E-2</v>
      </c>
    </row>
    <row r="3036" spans="1:27" x14ac:dyDescent="0.3">
      <c r="A3036" s="79" t="s">
        <v>10098</v>
      </c>
      <c r="C3036" s="115">
        <v>44036</v>
      </c>
      <c r="D3036" s="312">
        <v>44074</v>
      </c>
      <c r="E3036" s="81">
        <v>44067</v>
      </c>
      <c r="F3036" s="86" t="s">
        <v>10152</v>
      </c>
      <c r="G3036" s="86" t="s">
        <v>410</v>
      </c>
      <c r="H3036" s="96" t="s">
        <v>213</v>
      </c>
      <c r="I3036" s="97" t="s">
        <v>714</v>
      </c>
      <c r="J3036" s="73">
        <f t="shared" si="352"/>
        <v>1</v>
      </c>
      <c r="K3036" s="74" t="s">
        <v>204</v>
      </c>
      <c r="L3036" s="97" t="s">
        <v>10202</v>
      </c>
      <c r="N3036" s="76" t="s">
        <v>18</v>
      </c>
      <c r="Q3036" s="76" t="s">
        <v>5193</v>
      </c>
      <c r="R3036" s="73">
        <f t="shared" si="353"/>
        <v>1</v>
      </c>
      <c r="S3036" s="260" t="s">
        <v>1976</v>
      </c>
      <c r="T3036" s="260" t="s">
        <v>924</v>
      </c>
      <c r="Y3036" s="566">
        <v>0.76892361111111107</v>
      </c>
      <c r="Z3036" s="566">
        <v>0.77593749999999995</v>
      </c>
      <c r="AA3036" s="566">
        <f t="shared" si="354"/>
        <v>7.0138888888888751E-3</v>
      </c>
    </row>
    <row r="3037" spans="1:27" x14ac:dyDescent="0.3">
      <c r="A3037" s="79" t="s">
        <v>10099</v>
      </c>
      <c r="C3037" s="115">
        <v>44036</v>
      </c>
      <c r="D3037" s="312">
        <v>44074</v>
      </c>
      <c r="E3037" s="81">
        <v>44071</v>
      </c>
      <c r="F3037" s="86" t="s">
        <v>10153</v>
      </c>
      <c r="G3037" s="86" t="s">
        <v>147</v>
      </c>
      <c r="H3037" s="96" t="s">
        <v>213</v>
      </c>
      <c r="I3037" s="97" t="s">
        <v>645</v>
      </c>
      <c r="J3037" s="73">
        <f t="shared" si="352"/>
        <v>1</v>
      </c>
      <c r="K3037" s="74" t="s">
        <v>204</v>
      </c>
      <c r="L3037" s="97" t="s">
        <v>10236</v>
      </c>
      <c r="N3037" s="76" t="s">
        <v>17</v>
      </c>
      <c r="Q3037" s="76" t="s">
        <v>2109</v>
      </c>
      <c r="R3037" s="73">
        <f t="shared" si="353"/>
        <v>1</v>
      </c>
      <c r="S3037" s="260" t="s">
        <v>1976</v>
      </c>
      <c r="T3037" s="260" t="s">
        <v>923</v>
      </c>
      <c r="Y3037" s="566">
        <v>0.67793981481481491</v>
      </c>
      <c r="Z3037" s="566">
        <v>0.69487268518518519</v>
      </c>
      <c r="AA3037" s="566">
        <f t="shared" si="354"/>
        <v>1.6932870370370279E-2</v>
      </c>
    </row>
    <row r="3038" spans="1:27" x14ac:dyDescent="0.3">
      <c r="A3038" s="79" t="s">
        <v>10100</v>
      </c>
      <c r="C3038" s="115">
        <v>44036</v>
      </c>
      <c r="D3038" s="312">
        <v>44074</v>
      </c>
      <c r="E3038" s="81">
        <v>44068</v>
      </c>
      <c r="F3038" s="86" t="s">
        <v>10154</v>
      </c>
      <c r="G3038" s="86" t="s">
        <v>152</v>
      </c>
      <c r="H3038" s="96" t="s">
        <v>213</v>
      </c>
      <c r="I3038" s="97" t="s">
        <v>642</v>
      </c>
      <c r="J3038" s="73">
        <f t="shared" si="352"/>
        <v>1</v>
      </c>
      <c r="K3038" s="74" t="s">
        <v>204</v>
      </c>
      <c r="L3038" s="97" t="s">
        <v>10206</v>
      </c>
      <c r="N3038" s="76" t="s">
        <v>18</v>
      </c>
      <c r="Q3038" s="76" t="s">
        <v>2076</v>
      </c>
      <c r="R3038" s="73">
        <f t="shared" si="353"/>
        <v>1</v>
      </c>
      <c r="S3038" s="260" t="s">
        <v>1976</v>
      </c>
      <c r="T3038" s="260" t="s">
        <v>923</v>
      </c>
      <c r="Y3038" s="566">
        <v>0.46224537037037039</v>
      </c>
      <c r="Z3038" s="566">
        <v>0.46685185185185185</v>
      </c>
      <c r="AA3038" s="566">
        <f t="shared" si="354"/>
        <v>4.6064814814814614E-3</v>
      </c>
    </row>
    <row r="3039" spans="1:27" x14ac:dyDescent="0.3">
      <c r="A3039" s="79" t="s">
        <v>10101</v>
      </c>
      <c r="C3039" s="115">
        <v>44036</v>
      </c>
      <c r="D3039" s="312">
        <v>44074</v>
      </c>
      <c r="E3039" s="81">
        <v>44070</v>
      </c>
      <c r="F3039" s="86" t="s">
        <v>10155</v>
      </c>
      <c r="G3039" s="86" t="s">
        <v>186</v>
      </c>
      <c r="H3039" s="96" t="s">
        <v>213</v>
      </c>
      <c r="I3039" s="97" t="s">
        <v>642</v>
      </c>
      <c r="J3039" s="73">
        <f t="shared" si="352"/>
        <v>1</v>
      </c>
      <c r="K3039" s="74" t="s">
        <v>204</v>
      </c>
      <c r="L3039" s="97" t="s">
        <v>7110</v>
      </c>
      <c r="N3039" s="76" t="s">
        <v>18</v>
      </c>
      <c r="Q3039" s="76" t="s">
        <v>2109</v>
      </c>
      <c r="R3039" s="73">
        <f t="shared" si="353"/>
        <v>1</v>
      </c>
      <c r="S3039" s="260" t="s">
        <v>1976</v>
      </c>
      <c r="T3039" s="260" t="s">
        <v>924</v>
      </c>
      <c r="Y3039" s="566">
        <v>0.71328703703703711</v>
      </c>
      <c r="Z3039" s="566">
        <v>0.72158564814814818</v>
      </c>
      <c r="AA3039" s="566">
        <f t="shared" si="354"/>
        <v>8.2986111111110761E-3</v>
      </c>
    </row>
    <row r="3040" spans="1:27" x14ac:dyDescent="0.3">
      <c r="A3040" s="79" t="s">
        <v>10102</v>
      </c>
      <c r="C3040" s="115">
        <v>44036</v>
      </c>
      <c r="D3040" s="312">
        <v>44074</v>
      </c>
      <c r="E3040" s="81">
        <v>44067</v>
      </c>
      <c r="F3040" s="86" t="s">
        <v>10156</v>
      </c>
      <c r="G3040" s="86" t="s">
        <v>150</v>
      </c>
      <c r="H3040" s="96" t="s">
        <v>213</v>
      </c>
      <c r="J3040" s="73">
        <f t="shared" si="352"/>
        <v>1</v>
      </c>
      <c r="K3040" s="74" t="s">
        <v>204</v>
      </c>
      <c r="L3040" s="97" t="s">
        <v>10203</v>
      </c>
      <c r="N3040" s="76" t="s">
        <v>17</v>
      </c>
      <c r="Q3040" s="76" t="s">
        <v>5193</v>
      </c>
      <c r="R3040" s="73">
        <f t="shared" si="353"/>
        <v>1</v>
      </c>
      <c r="S3040" s="260" t="s">
        <v>1976</v>
      </c>
      <c r="T3040" s="260" t="s">
        <v>923</v>
      </c>
      <c r="Y3040" s="566">
        <v>0.78084490740740742</v>
      </c>
      <c r="Z3040" s="566">
        <v>0.79126157407407405</v>
      </c>
      <c r="AA3040" s="566">
        <f t="shared" si="354"/>
        <v>1.041666666666663E-2</v>
      </c>
    </row>
    <row r="3041" spans="1:27" x14ac:dyDescent="0.3">
      <c r="A3041" s="79" t="s">
        <v>10103</v>
      </c>
      <c r="C3041" s="115">
        <v>44039</v>
      </c>
      <c r="D3041" s="312">
        <v>44074</v>
      </c>
      <c r="E3041" s="81">
        <v>44068</v>
      </c>
      <c r="F3041" s="86" t="s">
        <v>10157</v>
      </c>
      <c r="G3041" s="86" t="s">
        <v>152</v>
      </c>
      <c r="H3041" s="96" t="s">
        <v>213</v>
      </c>
      <c r="I3041" s="97" t="s">
        <v>642</v>
      </c>
      <c r="J3041" s="73">
        <f t="shared" si="352"/>
        <v>1</v>
      </c>
      <c r="K3041" s="74" t="s">
        <v>204</v>
      </c>
      <c r="L3041" s="97" t="s">
        <v>7108</v>
      </c>
      <c r="N3041" s="76" t="s">
        <v>18</v>
      </c>
      <c r="Q3041" s="76" t="s">
        <v>2076</v>
      </c>
      <c r="R3041" s="73">
        <f t="shared" si="353"/>
        <v>1</v>
      </c>
      <c r="S3041" s="260" t="s">
        <v>1976</v>
      </c>
      <c r="T3041" s="260" t="s">
        <v>924</v>
      </c>
      <c r="Y3041" s="566">
        <v>0.46710648148148143</v>
      </c>
      <c r="Z3041" s="566">
        <v>0.47170138888888885</v>
      </c>
      <c r="AA3041" s="566">
        <f t="shared" si="354"/>
        <v>4.5949074074074225E-3</v>
      </c>
    </row>
    <row r="3042" spans="1:27" x14ac:dyDescent="0.3">
      <c r="A3042" s="79" t="s">
        <v>10104</v>
      </c>
      <c r="C3042" s="115">
        <v>44039</v>
      </c>
      <c r="D3042" s="312">
        <v>44074</v>
      </c>
      <c r="E3042" s="81">
        <v>44068</v>
      </c>
      <c r="F3042" s="86" t="s">
        <v>10158</v>
      </c>
      <c r="G3042" s="86" t="s">
        <v>9119</v>
      </c>
      <c r="H3042" s="96" t="s">
        <v>213</v>
      </c>
      <c r="I3042" s="97" t="s">
        <v>714</v>
      </c>
      <c r="J3042" s="73">
        <f t="shared" si="352"/>
        <v>1</v>
      </c>
      <c r="K3042" s="74" t="s">
        <v>204</v>
      </c>
      <c r="L3042" s="97" t="s">
        <v>10205</v>
      </c>
      <c r="N3042" s="76" t="s">
        <v>17</v>
      </c>
      <c r="Q3042" s="76" t="s">
        <v>2076</v>
      </c>
      <c r="R3042" s="73">
        <f t="shared" si="353"/>
        <v>1</v>
      </c>
      <c r="S3042" s="260" t="s">
        <v>1976</v>
      </c>
      <c r="T3042" s="260" t="s">
        <v>923</v>
      </c>
      <c r="Y3042" s="566">
        <v>0.45439814814814811</v>
      </c>
      <c r="Z3042" s="566">
        <v>0.46180555555555558</v>
      </c>
      <c r="AA3042" s="566">
        <f t="shared" si="354"/>
        <v>7.4074074074074736E-3</v>
      </c>
    </row>
    <row r="3043" spans="1:27" x14ac:dyDescent="0.3">
      <c r="A3043" s="79" t="s">
        <v>10105</v>
      </c>
      <c r="C3043" s="115">
        <v>44039</v>
      </c>
      <c r="D3043" s="312">
        <v>44075</v>
      </c>
      <c r="E3043" s="81">
        <v>44070</v>
      </c>
      <c r="F3043" s="86" t="s">
        <v>10159</v>
      </c>
      <c r="G3043" s="86" t="s">
        <v>1381</v>
      </c>
      <c r="H3043" s="96" t="s">
        <v>213</v>
      </c>
      <c r="I3043" s="97" t="s">
        <v>642</v>
      </c>
      <c r="J3043" s="73">
        <f t="shared" si="352"/>
        <v>1</v>
      </c>
      <c r="K3043" s="74" t="s">
        <v>204</v>
      </c>
      <c r="L3043" s="97" t="s">
        <v>7108</v>
      </c>
      <c r="N3043" s="76" t="s">
        <v>18</v>
      </c>
      <c r="Q3043" s="76" t="s">
        <v>2109</v>
      </c>
      <c r="R3043" s="73">
        <f t="shared" si="353"/>
        <v>1</v>
      </c>
      <c r="S3043" s="260" t="s">
        <v>1976</v>
      </c>
      <c r="T3043" s="260" t="s">
        <v>923</v>
      </c>
      <c r="Y3043" s="566">
        <v>0.7432523148148148</v>
      </c>
      <c r="Z3043" s="566">
        <v>0.75331018518518522</v>
      </c>
      <c r="AA3043" s="566">
        <f t="shared" si="354"/>
        <v>1.0057870370370425E-2</v>
      </c>
    </row>
    <row r="3044" spans="1:27" x14ac:dyDescent="0.3">
      <c r="A3044" s="79" t="s">
        <v>10106</v>
      </c>
      <c r="C3044" s="115">
        <v>44039</v>
      </c>
      <c r="D3044" s="312">
        <v>44075</v>
      </c>
      <c r="E3044" s="81">
        <v>44069</v>
      </c>
      <c r="F3044" s="86" t="s">
        <v>10160</v>
      </c>
      <c r="G3044" s="86" t="s">
        <v>9119</v>
      </c>
      <c r="H3044" s="96" t="s">
        <v>213</v>
      </c>
      <c r="I3044" s="97" t="s">
        <v>714</v>
      </c>
      <c r="J3044" s="73">
        <f t="shared" si="352"/>
        <v>1</v>
      </c>
      <c r="K3044" s="74" t="s">
        <v>204</v>
      </c>
      <c r="L3044" s="97" t="s">
        <v>7336</v>
      </c>
      <c r="Q3044" s="76" t="s">
        <v>5193</v>
      </c>
      <c r="R3044" s="73">
        <f t="shared" si="353"/>
        <v>1</v>
      </c>
      <c r="S3044" s="260" t="s">
        <v>1976</v>
      </c>
      <c r="T3044" s="260" t="s">
        <v>923</v>
      </c>
      <c r="U3044" s="76" t="s">
        <v>5283</v>
      </c>
      <c r="V3044" s="301" t="s">
        <v>10218</v>
      </c>
      <c r="Y3044" s="566">
        <v>0.61928240740740736</v>
      </c>
      <c r="Z3044" s="566">
        <v>0.6268055555555555</v>
      </c>
      <c r="AA3044" s="566">
        <f t="shared" si="354"/>
        <v>7.5231481481481399E-3</v>
      </c>
    </row>
    <row r="3045" spans="1:27" x14ac:dyDescent="0.3">
      <c r="A3045" s="79" t="s">
        <v>10107</v>
      </c>
      <c r="C3045" s="115">
        <v>44039</v>
      </c>
      <c r="D3045" s="312">
        <v>44075</v>
      </c>
      <c r="E3045" s="81">
        <v>44069</v>
      </c>
      <c r="F3045" s="86" t="s">
        <v>10161</v>
      </c>
      <c r="G3045" s="86" t="s">
        <v>166</v>
      </c>
      <c r="H3045" s="96" t="s">
        <v>213</v>
      </c>
      <c r="I3045" s="97" t="s">
        <v>642</v>
      </c>
      <c r="J3045" s="73">
        <f t="shared" si="352"/>
        <v>1</v>
      </c>
      <c r="K3045" s="74" t="s">
        <v>204</v>
      </c>
      <c r="L3045" s="97" t="s">
        <v>7110</v>
      </c>
      <c r="N3045" s="76" t="s">
        <v>18</v>
      </c>
      <c r="Q3045" s="76" t="s">
        <v>2076</v>
      </c>
      <c r="R3045" s="73">
        <f t="shared" si="353"/>
        <v>1</v>
      </c>
      <c r="S3045" s="260" t="s">
        <v>1976</v>
      </c>
      <c r="T3045" s="260" t="s">
        <v>923</v>
      </c>
      <c r="Y3045" s="566">
        <v>0.54662037037037037</v>
      </c>
      <c r="Z3045" s="566">
        <v>0.59424768518518511</v>
      </c>
      <c r="AA3045" s="566">
        <f t="shared" si="354"/>
        <v>4.7627314814814747E-2</v>
      </c>
    </row>
    <row r="3046" spans="1:27" x14ac:dyDescent="0.3">
      <c r="A3046" s="79" t="s">
        <v>10108</v>
      </c>
      <c r="C3046" s="115">
        <v>44039</v>
      </c>
      <c r="D3046" s="312">
        <v>44074</v>
      </c>
      <c r="E3046" s="81">
        <v>44070</v>
      </c>
      <c r="F3046" s="86" t="s">
        <v>10162</v>
      </c>
      <c r="G3046" s="86" t="s">
        <v>156</v>
      </c>
      <c r="H3046" s="96" t="s">
        <v>213</v>
      </c>
      <c r="I3046" s="97" t="s">
        <v>642</v>
      </c>
      <c r="J3046" s="73">
        <f t="shared" si="352"/>
        <v>1</v>
      </c>
      <c r="K3046" s="74" t="s">
        <v>204</v>
      </c>
      <c r="L3046" s="97" t="s">
        <v>7108</v>
      </c>
      <c r="N3046" s="76" t="s">
        <v>18</v>
      </c>
      <c r="Q3046" s="76" t="s">
        <v>2109</v>
      </c>
      <c r="R3046" s="73">
        <f t="shared" si="353"/>
        <v>1</v>
      </c>
      <c r="S3046" s="260" t="s">
        <v>1976</v>
      </c>
      <c r="T3046" s="260" t="s">
        <v>923</v>
      </c>
      <c r="Y3046" s="566">
        <v>0.70222222222222219</v>
      </c>
      <c r="Z3046" s="566">
        <v>0.712824074074074</v>
      </c>
      <c r="AA3046" s="566">
        <f t="shared" si="354"/>
        <v>1.0601851851851807E-2</v>
      </c>
    </row>
    <row r="3047" spans="1:27" x14ac:dyDescent="0.3">
      <c r="A3047" s="79" t="s">
        <v>10109</v>
      </c>
      <c r="C3047" s="115">
        <v>44039</v>
      </c>
      <c r="D3047" s="312">
        <v>44075</v>
      </c>
      <c r="E3047" s="81">
        <v>44070</v>
      </c>
      <c r="F3047" s="86" t="s">
        <v>10163</v>
      </c>
      <c r="G3047" s="86" t="s">
        <v>147</v>
      </c>
      <c r="H3047" s="96" t="s">
        <v>213</v>
      </c>
      <c r="I3047" s="97" t="s">
        <v>645</v>
      </c>
      <c r="J3047" s="73">
        <f t="shared" si="352"/>
        <v>1</v>
      </c>
      <c r="K3047" s="74" t="s">
        <v>204</v>
      </c>
      <c r="L3047" s="97" t="s">
        <v>10231</v>
      </c>
      <c r="N3047" s="76" t="s">
        <v>17</v>
      </c>
      <c r="Q3047" s="76" t="s">
        <v>2109</v>
      </c>
      <c r="R3047" s="73">
        <f t="shared" si="353"/>
        <v>1</v>
      </c>
      <c r="S3047" s="260" t="s">
        <v>1976</v>
      </c>
      <c r="T3047" s="260" t="s">
        <v>924</v>
      </c>
      <c r="U3047" s="76" t="s">
        <v>5283</v>
      </c>
      <c r="V3047" s="301" t="s">
        <v>10239</v>
      </c>
      <c r="Y3047" s="566">
        <v>0.72225694444444455</v>
      </c>
      <c r="Z3047" s="566">
        <v>0.74245370370370367</v>
      </c>
      <c r="AA3047" s="566">
        <f t="shared" si="354"/>
        <v>2.0196759259259123E-2</v>
      </c>
    </row>
    <row r="3048" spans="1:27" x14ac:dyDescent="0.3">
      <c r="A3048" s="79" t="s">
        <v>10110</v>
      </c>
      <c r="C3048" s="115">
        <v>44039</v>
      </c>
      <c r="D3048" s="312">
        <v>44075</v>
      </c>
      <c r="E3048" s="81">
        <v>44070</v>
      </c>
      <c r="F3048" s="86" t="s">
        <v>10164</v>
      </c>
      <c r="G3048" s="86" t="s">
        <v>181</v>
      </c>
      <c r="H3048" s="96" t="s">
        <v>213</v>
      </c>
      <c r="I3048" s="97" t="s">
        <v>714</v>
      </c>
      <c r="J3048" s="73">
        <f t="shared" si="352"/>
        <v>1</v>
      </c>
      <c r="K3048" s="74" t="s">
        <v>204</v>
      </c>
      <c r="L3048" s="97" t="s">
        <v>7072</v>
      </c>
      <c r="N3048" s="76" t="s">
        <v>18</v>
      </c>
      <c r="Q3048" s="76" t="s">
        <v>5193</v>
      </c>
      <c r="R3048" s="73">
        <f t="shared" si="353"/>
        <v>1</v>
      </c>
      <c r="S3048" s="260" t="s">
        <v>1976</v>
      </c>
      <c r="T3048" s="260" t="s">
        <v>924</v>
      </c>
      <c r="Y3048" s="566">
        <v>0.44895833333333335</v>
      </c>
      <c r="Z3048" s="566">
        <v>0.45380787037037035</v>
      </c>
      <c r="AA3048" s="566">
        <f t="shared" si="354"/>
        <v>4.8495370370369995E-3</v>
      </c>
    </row>
    <row r="3049" spans="1:27" x14ac:dyDescent="0.3">
      <c r="A3049" s="79" t="s">
        <v>10111</v>
      </c>
      <c r="C3049" s="115">
        <v>44040</v>
      </c>
      <c r="D3049" s="312">
        <v>44076</v>
      </c>
      <c r="E3049" s="81">
        <v>44070</v>
      </c>
      <c r="F3049" s="86" t="s">
        <v>10165</v>
      </c>
      <c r="G3049" s="86" t="s">
        <v>6493</v>
      </c>
      <c r="H3049" s="96" t="s">
        <v>213</v>
      </c>
      <c r="I3049" s="97" t="s">
        <v>714</v>
      </c>
      <c r="J3049" s="73">
        <f t="shared" si="352"/>
        <v>1</v>
      </c>
      <c r="K3049" s="74" t="s">
        <v>204</v>
      </c>
      <c r="L3049" s="97" t="s">
        <v>7072</v>
      </c>
      <c r="N3049" s="76" t="s">
        <v>18</v>
      </c>
      <c r="Q3049" s="76" t="s">
        <v>2076</v>
      </c>
      <c r="R3049" s="73">
        <f t="shared" si="353"/>
        <v>1</v>
      </c>
      <c r="S3049" s="260" t="s">
        <v>1976</v>
      </c>
      <c r="T3049" s="260" t="s">
        <v>924</v>
      </c>
      <c r="Y3049" s="566">
        <v>0.56847222222222216</v>
      </c>
      <c r="Z3049" s="566">
        <v>0.57407407407407407</v>
      </c>
      <c r="AA3049" s="566">
        <f t="shared" si="354"/>
        <v>5.6018518518519134E-3</v>
      </c>
    </row>
    <row r="3050" spans="1:27" x14ac:dyDescent="0.3">
      <c r="A3050" s="79" t="s">
        <v>10112</v>
      </c>
      <c r="C3050" s="115">
        <v>44040</v>
      </c>
      <c r="D3050" s="312">
        <v>44076</v>
      </c>
      <c r="E3050" s="81">
        <v>44070</v>
      </c>
      <c r="F3050" s="86" t="s">
        <v>10166</v>
      </c>
      <c r="G3050" s="86" t="s">
        <v>156</v>
      </c>
      <c r="H3050" s="96" t="s">
        <v>213</v>
      </c>
      <c r="I3050" s="97" t="s">
        <v>645</v>
      </c>
      <c r="J3050" s="73">
        <f t="shared" si="352"/>
        <v>1</v>
      </c>
      <c r="K3050" s="74" t="s">
        <v>204</v>
      </c>
      <c r="L3050" s="97" t="s">
        <v>10232</v>
      </c>
      <c r="N3050" s="76" t="s">
        <v>17</v>
      </c>
      <c r="Q3050" s="76" t="s">
        <v>2109</v>
      </c>
      <c r="R3050" s="73">
        <f t="shared" si="353"/>
        <v>1</v>
      </c>
      <c r="S3050" s="260" t="s">
        <v>1976</v>
      </c>
      <c r="T3050" s="260" t="s">
        <v>923</v>
      </c>
      <c r="U3050" s="76" t="s">
        <v>5283</v>
      </c>
      <c r="V3050" s="301" t="s">
        <v>10233</v>
      </c>
      <c r="Y3050" s="566">
        <v>0.75385416666666671</v>
      </c>
      <c r="Z3050" s="566">
        <v>0.7801851851851852</v>
      </c>
      <c r="AA3050" s="566">
        <f t="shared" si="354"/>
        <v>2.633101851851849E-2</v>
      </c>
    </row>
    <row r="3051" spans="1:27" x14ac:dyDescent="0.3">
      <c r="A3051" s="79" t="s">
        <v>10113</v>
      </c>
      <c r="C3051" s="115">
        <v>44040</v>
      </c>
      <c r="D3051" s="312">
        <v>44076</v>
      </c>
      <c r="E3051" s="81">
        <v>44070</v>
      </c>
      <c r="F3051" s="86" t="s">
        <v>10167</v>
      </c>
      <c r="G3051" s="86" t="s">
        <v>154</v>
      </c>
      <c r="H3051" s="96" t="s">
        <v>213</v>
      </c>
      <c r="I3051" s="97" t="s">
        <v>642</v>
      </c>
      <c r="J3051" s="73">
        <f t="shared" si="352"/>
        <v>1</v>
      </c>
      <c r="K3051" s="74" t="s">
        <v>204</v>
      </c>
      <c r="L3051" s="97" t="s">
        <v>7110</v>
      </c>
      <c r="N3051" s="76" t="s">
        <v>18</v>
      </c>
      <c r="Q3051" s="76" t="s">
        <v>2109</v>
      </c>
      <c r="R3051" s="73">
        <f t="shared" si="353"/>
        <v>1</v>
      </c>
      <c r="S3051" s="260" t="s">
        <v>1976</v>
      </c>
      <c r="T3051" s="260" t="s">
        <v>923</v>
      </c>
      <c r="Y3051" s="566">
        <v>0.78240740740740744</v>
      </c>
      <c r="Z3051" s="566">
        <v>0.78892361111111109</v>
      </c>
      <c r="AA3051" s="566">
        <f t="shared" si="354"/>
        <v>6.5162037037036491E-3</v>
      </c>
    </row>
    <row r="3052" spans="1:27" x14ac:dyDescent="0.3">
      <c r="A3052" s="79" t="s">
        <v>10114</v>
      </c>
      <c r="C3052" s="115">
        <v>44040</v>
      </c>
      <c r="D3052" s="312">
        <v>44076</v>
      </c>
      <c r="E3052" s="81">
        <v>44070</v>
      </c>
      <c r="F3052" s="86" t="s">
        <v>10168</v>
      </c>
      <c r="G3052" s="86" t="s">
        <v>9119</v>
      </c>
      <c r="H3052" s="96" t="s">
        <v>213</v>
      </c>
      <c r="I3052" s="97" t="s">
        <v>755</v>
      </c>
      <c r="J3052" s="73">
        <f t="shared" si="352"/>
        <v>1</v>
      </c>
      <c r="K3052" s="74" t="s">
        <v>204</v>
      </c>
      <c r="L3052" s="97" t="s">
        <v>10227</v>
      </c>
      <c r="N3052" s="76" t="s">
        <v>17</v>
      </c>
      <c r="Q3052" s="76" t="s">
        <v>2076</v>
      </c>
      <c r="R3052" s="73">
        <f t="shared" si="353"/>
        <v>1</v>
      </c>
      <c r="S3052" s="260" t="s">
        <v>1976</v>
      </c>
      <c r="T3052" s="260" t="s">
        <v>923</v>
      </c>
      <c r="U3052" s="76" t="s">
        <v>5283</v>
      </c>
      <c r="V3052" s="301" t="s">
        <v>10228</v>
      </c>
      <c r="Y3052" s="566">
        <v>0.57471064814814821</v>
      </c>
      <c r="Z3052" s="566">
        <v>0.58997685185185189</v>
      </c>
      <c r="AA3052" s="566">
        <f t="shared" si="354"/>
        <v>1.5266203703703685E-2</v>
      </c>
    </row>
    <row r="3053" spans="1:27" x14ac:dyDescent="0.3">
      <c r="A3053" s="79" t="s">
        <v>10115</v>
      </c>
      <c r="C3053" s="115">
        <v>44041</v>
      </c>
      <c r="D3053" s="312">
        <v>44076</v>
      </c>
      <c r="E3053" s="81">
        <v>44070</v>
      </c>
      <c r="F3053" s="86" t="s">
        <v>10169</v>
      </c>
      <c r="G3053" s="86" t="s">
        <v>152</v>
      </c>
      <c r="H3053" s="96" t="s">
        <v>213</v>
      </c>
      <c r="I3053" s="97" t="s">
        <v>1246</v>
      </c>
      <c r="J3053" s="73">
        <f t="shared" si="352"/>
        <v>1</v>
      </c>
      <c r="K3053" s="74" t="s">
        <v>204</v>
      </c>
      <c r="L3053" s="97" t="s">
        <v>7072</v>
      </c>
      <c r="N3053" s="76" t="s">
        <v>18</v>
      </c>
      <c r="Q3053" s="76" t="s">
        <v>2076</v>
      </c>
      <c r="R3053" s="73">
        <f t="shared" si="353"/>
        <v>1</v>
      </c>
      <c r="S3053" s="260" t="s">
        <v>1976</v>
      </c>
      <c r="T3053" s="260" t="s">
        <v>924</v>
      </c>
      <c r="Y3053" s="566">
        <v>0.55925925925925923</v>
      </c>
      <c r="Z3053" s="566">
        <v>0.56797453703703704</v>
      </c>
      <c r="AA3053" s="566">
        <f t="shared" si="354"/>
        <v>8.7152777777778079E-3</v>
      </c>
    </row>
    <row r="3054" spans="1:27" x14ac:dyDescent="0.3">
      <c r="A3054" s="79" t="s">
        <v>10116</v>
      </c>
      <c r="C3054" s="115">
        <v>44041</v>
      </c>
      <c r="D3054" s="312">
        <v>44076</v>
      </c>
      <c r="E3054" s="81">
        <v>44070</v>
      </c>
      <c r="F3054" s="86" t="s">
        <v>10170</v>
      </c>
      <c r="G3054" s="86" t="s">
        <v>157</v>
      </c>
      <c r="H3054" s="96" t="s">
        <v>213</v>
      </c>
      <c r="I3054" s="97" t="s">
        <v>604</v>
      </c>
      <c r="J3054" s="73">
        <f t="shared" si="352"/>
        <v>1</v>
      </c>
      <c r="K3054" s="74" t="s">
        <v>204</v>
      </c>
      <c r="L3054" s="97" t="s">
        <v>7383</v>
      </c>
      <c r="N3054" s="76" t="s">
        <v>8990</v>
      </c>
      <c r="Q3054" s="76" t="s">
        <v>5193</v>
      </c>
      <c r="R3054" s="73">
        <f t="shared" si="353"/>
        <v>1</v>
      </c>
      <c r="S3054" s="260" t="s">
        <v>1976</v>
      </c>
      <c r="T3054" s="260" t="s">
        <v>923</v>
      </c>
      <c r="Y3054" s="566">
        <v>0.45466435185185183</v>
      </c>
      <c r="Z3054" s="566">
        <v>0.46072916666666663</v>
      </c>
      <c r="AA3054" s="566">
        <f t="shared" si="354"/>
        <v>6.0648148148148007E-3</v>
      </c>
    </row>
    <row r="3055" spans="1:27" x14ac:dyDescent="0.3">
      <c r="A3055" s="79" t="s">
        <v>10117</v>
      </c>
      <c r="C3055" s="115">
        <v>44041</v>
      </c>
      <c r="D3055" s="312">
        <v>44077</v>
      </c>
      <c r="E3055" s="81">
        <v>44074</v>
      </c>
      <c r="F3055" s="86" t="s">
        <v>10171</v>
      </c>
      <c r="G3055" s="86" t="s">
        <v>157</v>
      </c>
      <c r="H3055" s="96" t="s">
        <v>213</v>
      </c>
      <c r="I3055" s="97" t="s">
        <v>5824</v>
      </c>
      <c r="J3055" s="73">
        <f t="shared" si="352"/>
        <v>1</v>
      </c>
      <c r="K3055" s="74" t="s">
        <v>204</v>
      </c>
      <c r="L3055" s="97" t="s">
        <v>10241</v>
      </c>
      <c r="N3055" s="76" t="s">
        <v>18</v>
      </c>
      <c r="Q3055" s="76" t="s">
        <v>2109</v>
      </c>
      <c r="R3055" s="73">
        <f t="shared" si="353"/>
        <v>1</v>
      </c>
      <c r="S3055" s="260" t="s">
        <v>1976</v>
      </c>
      <c r="T3055" s="260" t="s">
        <v>923</v>
      </c>
      <c r="Y3055" s="566">
        <v>0.52682870370370372</v>
      </c>
      <c r="Z3055" s="566">
        <v>0.5466550925925926</v>
      </c>
      <c r="AA3055" s="566">
        <f t="shared" si="354"/>
        <v>1.982638888888888E-2</v>
      </c>
    </row>
    <row r="3056" spans="1:27" x14ac:dyDescent="0.3">
      <c r="A3056" s="79" t="s">
        <v>10118</v>
      </c>
      <c r="C3056" s="115">
        <v>44041</v>
      </c>
      <c r="D3056" s="312">
        <v>44077</v>
      </c>
      <c r="E3056" s="81">
        <v>44071</v>
      </c>
      <c r="F3056" s="86" t="s">
        <v>10172</v>
      </c>
      <c r="G3056" s="86" t="s">
        <v>6493</v>
      </c>
      <c r="H3056" s="96" t="s">
        <v>213</v>
      </c>
      <c r="I3056" s="97" t="s">
        <v>642</v>
      </c>
      <c r="J3056" s="73">
        <f t="shared" si="352"/>
        <v>1</v>
      </c>
      <c r="K3056" s="74" t="s">
        <v>204</v>
      </c>
      <c r="L3056" s="97" t="s">
        <v>7110</v>
      </c>
      <c r="N3056" s="76" t="s">
        <v>18</v>
      </c>
      <c r="Q3056" s="76" t="s">
        <v>5193</v>
      </c>
      <c r="R3056" s="73">
        <f t="shared" si="353"/>
        <v>1</v>
      </c>
      <c r="S3056" s="260" t="s">
        <v>1976</v>
      </c>
      <c r="T3056" s="260" t="s">
        <v>924</v>
      </c>
      <c r="Y3056" s="566">
        <v>0.72552083333333339</v>
      </c>
      <c r="Z3056" s="566">
        <v>0.73155092592592597</v>
      </c>
      <c r="AA3056" s="566">
        <f t="shared" si="354"/>
        <v>6.030092592592573E-3</v>
      </c>
    </row>
    <row r="3057" spans="1:27" x14ac:dyDescent="0.3">
      <c r="A3057" s="79" t="s">
        <v>10119</v>
      </c>
      <c r="C3057" s="115">
        <v>44041</v>
      </c>
      <c r="D3057" s="312">
        <v>44077</v>
      </c>
      <c r="E3057" s="81">
        <v>44074</v>
      </c>
      <c r="F3057" s="86" t="s">
        <v>10173</v>
      </c>
      <c r="G3057" s="86" t="s">
        <v>156</v>
      </c>
      <c r="H3057" s="96" t="s">
        <v>213</v>
      </c>
      <c r="I3057" s="97" t="s">
        <v>714</v>
      </c>
      <c r="J3057" s="73">
        <f t="shared" si="352"/>
        <v>1</v>
      </c>
      <c r="K3057" s="74" t="s">
        <v>204</v>
      </c>
      <c r="L3057" s="97" t="s">
        <v>7071</v>
      </c>
      <c r="N3057" s="76" t="s">
        <v>18</v>
      </c>
      <c r="Q3057" s="76" t="s">
        <v>2109</v>
      </c>
      <c r="R3057" s="73">
        <f t="shared" si="353"/>
        <v>1</v>
      </c>
      <c r="S3057" s="260" t="s">
        <v>1976</v>
      </c>
      <c r="T3057" s="260" t="s">
        <v>923</v>
      </c>
      <c r="Y3057" s="566">
        <v>0.49775462962962963</v>
      </c>
      <c r="Z3057" s="566">
        <v>0.51575231481481476</v>
      </c>
      <c r="AA3057" s="566">
        <f t="shared" si="354"/>
        <v>1.799768518518513E-2</v>
      </c>
    </row>
    <row r="3058" spans="1:27" x14ac:dyDescent="0.3">
      <c r="A3058" s="79" t="s">
        <v>10120</v>
      </c>
      <c r="C3058" s="115">
        <v>44042</v>
      </c>
      <c r="D3058" s="312">
        <v>44077</v>
      </c>
      <c r="E3058" s="81">
        <v>44071</v>
      </c>
      <c r="F3058" s="86" t="s">
        <v>10174</v>
      </c>
      <c r="G3058" s="86" t="s">
        <v>6493</v>
      </c>
      <c r="H3058" s="96" t="s">
        <v>213</v>
      </c>
      <c r="I3058" s="97" t="s">
        <v>642</v>
      </c>
      <c r="J3058" s="73">
        <f t="shared" si="352"/>
        <v>1</v>
      </c>
      <c r="K3058" s="74" t="s">
        <v>204</v>
      </c>
      <c r="L3058" s="97" t="s">
        <v>7066</v>
      </c>
      <c r="N3058" s="76" t="s">
        <v>8990</v>
      </c>
      <c r="Q3058" s="76" t="s">
        <v>5193</v>
      </c>
      <c r="R3058" s="73">
        <f t="shared" si="353"/>
        <v>1</v>
      </c>
      <c r="S3058" s="260" t="s">
        <v>1976</v>
      </c>
      <c r="T3058" s="260" t="s">
        <v>924</v>
      </c>
      <c r="Y3058" s="566">
        <v>0.73209490740740746</v>
      </c>
      <c r="Z3058" s="566">
        <v>0.73752314814814823</v>
      </c>
      <c r="AA3058" s="566">
        <f t="shared" si="354"/>
        <v>5.4282407407407751E-3</v>
      </c>
    </row>
    <row r="3059" spans="1:27" x14ac:dyDescent="0.3">
      <c r="A3059" s="79" t="s">
        <v>10121</v>
      </c>
      <c r="C3059" s="115">
        <v>44042</v>
      </c>
      <c r="D3059" s="312">
        <v>44077</v>
      </c>
      <c r="E3059" s="81">
        <v>44071</v>
      </c>
      <c r="F3059" s="86" t="s">
        <v>5767</v>
      </c>
      <c r="G3059" s="86" t="s">
        <v>9119</v>
      </c>
      <c r="H3059" s="96" t="s">
        <v>213</v>
      </c>
      <c r="I3059" s="97" t="s">
        <v>642</v>
      </c>
      <c r="J3059" s="73">
        <f t="shared" si="352"/>
        <v>1</v>
      </c>
      <c r="K3059" s="74" t="s">
        <v>204</v>
      </c>
      <c r="L3059" s="97" t="s">
        <v>7110</v>
      </c>
      <c r="N3059" s="76" t="s">
        <v>18</v>
      </c>
      <c r="Q3059" s="76" t="s">
        <v>5193</v>
      </c>
      <c r="R3059" s="73">
        <f t="shared" si="353"/>
        <v>1</v>
      </c>
      <c r="S3059" s="260" t="s">
        <v>1976</v>
      </c>
      <c r="T3059" s="260" t="s">
        <v>923</v>
      </c>
      <c r="Y3059" s="566">
        <v>0.73796296296296304</v>
      </c>
      <c r="Z3059" s="566">
        <v>0.74638888888888888</v>
      </c>
      <c r="AA3059" s="566">
        <f t="shared" si="354"/>
        <v>8.4259259259258368E-3</v>
      </c>
    </row>
    <row r="3060" spans="1:27" x14ac:dyDescent="0.3">
      <c r="A3060" s="79" t="s">
        <v>10122</v>
      </c>
      <c r="C3060" s="115">
        <v>44042</v>
      </c>
      <c r="D3060" s="312">
        <v>44077</v>
      </c>
      <c r="E3060" s="81">
        <v>44071</v>
      </c>
      <c r="F3060" s="86" t="s">
        <v>10175</v>
      </c>
      <c r="G3060" s="86" t="s">
        <v>150</v>
      </c>
      <c r="H3060" s="96" t="s">
        <v>213</v>
      </c>
      <c r="I3060" s="97" t="s">
        <v>714</v>
      </c>
      <c r="J3060" s="73">
        <f t="shared" si="352"/>
        <v>1</v>
      </c>
      <c r="K3060" s="74" t="s">
        <v>204</v>
      </c>
      <c r="L3060" s="97" t="s">
        <v>7072</v>
      </c>
      <c r="N3060" s="76" t="s">
        <v>17</v>
      </c>
      <c r="Q3060" s="76" t="s">
        <v>2076</v>
      </c>
      <c r="R3060" s="73">
        <f t="shared" si="353"/>
        <v>1</v>
      </c>
      <c r="S3060" s="260" t="s">
        <v>1976</v>
      </c>
      <c r="T3060" s="260" t="s">
        <v>923</v>
      </c>
      <c r="Y3060" s="566">
        <v>0.6066435185185185</v>
      </c>
      <c r="Z3060" s="566">
        <v>0.66656250000000006</v>
      </c>
      <c r="AA3060" s="566">
        <f t="shared" si="354"/>
        <v>5.9918981481481559E-2</v>
      </c>
    </row>
    <row r="3061" spans="1:27" x14ac:dyDescent="0.3">
      <c r="A3061" s="79" t="s">
        <v>10123</v>
      </c>
      <c r="C3061" s="115">
        <v>44042</v>
      </c>
      <c r="D3061" s="312">
        <v>44077</v>
      </c>
      <c r="E3061" s="81">
        <v>44071</v>
      </c>
      <c r="F3061" s="86" t="s">
        <v>10176</v>
      </c>
      <c r="G3061" s="86" t="s">
        <v>181</v>
      </c>
      <c r="H3061" s="96" t="s">
        <v>213</v>
      </c>
      <c r="I3061" s="97" t="s">
        <v>722</v>
      </c>
      <c r="J3061" s="73">
        <f t="shared" si="352"/>
        <v>1</v>
      </c>
      <c r="K3061" s="74" t="s">
        <v>204</v>
      </c>
      <c r="L3061" s="97" t="s">
        <v>10237</v>
      </c>
      <c r="N3061" s="76" t="s">
        <v>17</v>
      </c>
      <c r="Q3061" s="76" t="s">
        <v>2076</v>
      </c>
      <c r="R3061" s="73">
        <f t="shared" si="353"/>
        <v>1</v>
      </c>
      <c r="S3061" s="260" t="s">
        <v>1976</v>
      </c>
      <c r="T3061" s="260" t="s">
        <v>924</v>
      </c>
      <c r="Y3061" s="566">
        <v>0.69703703703703701</v>
      </c>
      <c r="Z3061" s="566">
        <v>0.72210648148148149</v>
      </c>
      <c r="AA3061" s="566">
        <f t="shared" si="354"/>
        <v>2.5069444444444478E-2</v>
      </c>
    </row>
    <row r="3062" spans="1:27" x14ac:dyDescent="0.3">
      <c r="A3062" s="79" t="s">
        <v>10124</v>
      </c>
      <c r="C3062" s="115">
        <v>44042</v>
      </c>
      <c r="D3062" s="312">
        <v>44078</v>
      </c>
      <c r="E3062" s="81">
        <v>44071</v>
      </c>
      <c r="F3062" s="86" t="s">
        <v>10177</v>
      </c>
      <c r="G3062" s="86" t="s">
        <v>181</v>
      </c>
      <c r="H3062" s="96" t="s">
        <v>213</v>
      </c>
      <c r="I3062" s="97" t="s">
        <v>854</v>
      </c>
      <c r="J3062" s="73">
        <f t="shared" si="352"/>
        <v>1</v>
      </c>
      <c r="K3062" s="74" t="s">
        <v>204</v>
      </c>
      <c r="L3062" s="97" t="s">
        <v>10371</v>
      </c>
      <c r="N3062" s="76" t="s">
        <v>19</v>
      </c>
      <c r="Q3062" s="76" t="s">
        <v>5193</v>
      </c>
      <c r="R3062" s="73">
        <f t="shared" si="353"/>
        <v>1</v>
      </c>
      <c r="S3062" s="260" t="s">
        <v>1976</v>
      </c>
      <c r="T3062" s="260" t="s">
        <v>923</v>
      </c>
      <c r="U3062" s="76" t="s">
        <v>5283</v>
      </c>
      <c r="V3062" s="301" t="s">
        <v>10238</v>
      </c>
      <c r="Y3062" s="566">
        <v>0.78922453703703699</v>
      </c>
      <c r="Z3062" s="566">
        <v>0.83803240740740748</v>
      </c>
      <c r="AA3062" s="566">
        <f t="shared" si="354"/>
        <v>4.8807870370370487E-2</v>
      </c>
    </row>
    <row r="3063" spans="1:27" x14ac:dyDescent="0.3">
      <c r="A3063" s="79" t="s">
        <v>10125</v>
      </c>
      <c r="C3063" s="115">
        <v>44042</v>
      </c>
      <c r="D3063" s="312">
        <v>44077</v>
      </c>
      <c r="E3063" s="81">
        <v>44071</v>
      </c>
      <c r="F3063" s="86" t="s">
        <v>10178</v>
      </c>
      <c r="G3063" s="86" t="s">
        <v>150</v>
      </c>
      <c r="H3063" s="96" t="s">
        <v>213</v>
      </c>
      <c r="I3063" s="97" t="s">
        <v>642</v>
      </c>
      <c r="J3063" s="73">
        <f t="shared" si="352"/>
        <v>1</v>
      </c>
      <c r="K3063" s="74" t="s">
        <v>204</v>
      </c>
      <c r="L3063" s="97" t="s">
        <v>7110</v>
      </c>
      <c r="N3063" s="76" t="s">
        <v>19</v>
      </c>
      <c r="Q3063" s="76" t="s">
        <v>5193</v>
      </c>
      <c r="R3063" s="73">
        <f t="shared" si="353"/>
        <v>1</v>
      </c>
      <c r="S3063" s="260" t="s">
        <v>1976</v>
      </c>
      <c r="T3063" s="260" t="s">
        <v>923</v>
      </c>
      <c r="Y3063" s="566">
        <v>0.74685185185185177</v>
      </c>
      <c r="Z3063" s="566">
        <v>0.75525462962962964</v>
      </c>
      <c r="AA3063" s="566">
        <f t="shared" si="354"/>
        <v>8.40277777777787E-3</v>
      </c>
    </row>
    <row r="3064" spans="1:27" x14ac:dyDescent="0.3">
      <c r="A3064" s="79" t="s">
        <v>10126</v>
      </c>
      <c r="C3064" s="115">
        <v>44043</v>
      </c>
      <c r="D3064" s="312">
        <v>44078</v>
      </c>
      <c r="E3064" s="81">
        <v>44074</v>
      </c>
      <c r="F3064" s="86" t="s">
        <v>10179</v>
      </c>
      <c r="G3064" s="86" t="s">
        <v>9119</v>
      </c>
      <c r="H3064" s="96" t="s">
        <v>213</v>
      </c>
      <c r="I3064" s="97" t="s">
        <v>642</v>
      </c>
      <c r="J3064" s="73">
        <f t="shared" si="352"/>
        <v>1</v>
      </c>
      <c r="K3064" s="74" t="s">
        <v>204</v>
      </c>
      <c r="L3064" s="97" t="s">
        <v>7110</v>
      </c>
      <c r="N3064" s="76" t="s">
        <v>18</v>
      </c>
      <c r="Q3064" s="76" t="s">
        <v>2076</v>
      </c>
      <c r="R3064" s="73">
        <f t="shared" si="353"/>
        <v>1</v>
      </c>
      <c r="S3064" s="260" t="s">
        <v>1976</v>
      </c>
      <c r="T3064" s="260" t="s">
        <v>923</v>
      </c>
      <c r="Y3064" s="566">
        <v>0.66275462962962961</v>
      </c>
      <c r="Z3064" s="566">
        <v>0.66894675925925917</v>
      </c>
      <c r="AA3064" s="566">
        <f t="shared" si="354"/>
        <v>6.1921296296295614E-3</v>
      </c>
    </row>
    <row r="3065" spans="1:27" x14ac:dyDescent="0.3">
      <c r="A3065" s="79" t="s">
        <v>10127</v>
      </c>
      <c r="C3065" s="115">
        <v>44043</v>
      </c>
      <c r="D3065" s="312">
        <v>44078</v>
      </c>
      <c r="E3065" s="81">
        <v>44074</v>
      </c>
      <c r="F3065" s="86" t="s">
        <v>10180</v>
      </c>
      <c r="G3065" s="86" t="s">
        <v>9119</v>
      </c>
      <c r="H3065" s="96" t="s">
        <v>213</v>
      </c>
      <c r="I3065" s="97" t="s">
        <v>642</v>
      </c>
      <c r="J3065" s="73">
        <f t="shared" si="352"/>
        <v>1</v>
      </c>
      <c r="K3065" s="74" t="s">
        <v>204</v>
      </c>
      <c r="L3065" s="97" t="s">
        <v>7066</v>
      </c>
      <c r="N3065" s="76" t="s">
        <v>18</v>
      </c>
      <c r="Q3065" s="76" t="s">
        <v>2109</v>
      </c>
      <c r="R3065" s="73">
        <f t="shared" si="353"/>
        <v>1</v>
      </c>
      <c r="S3065" s="260" t="s">
        <v>1976</v>
      </c>
      <c r="T3065" s="260" t="s">
        <v>923</v>
      </c>
      <c r="Y3065" s="566">
        <v>0.6555671296296296</v>
      </c>
      <c r="Z3065" s="566">
        <v>0.66238425925925926</v>
      </c>
      <c r="AA3065" s="566">
        <f t="shared" si="354"/>
        <v>6.8171296296296591E-3</v>
      </c>
    </row>
    <row r="3066" spans="1:27" x14ac:dyDescent="0.3">
      <c r="A3066" s="79" t="s">
        <v>10128</v>
      </c>
      <c r="C3066" s="115">
        <v>44043</v>
      </c>
      <c r="D3066" s="312">
        <v>44078</v>
      </c>
      <c r="E3066" s="81">
        <v>44075</v>
      </c>
      <c r="F3066" s="86" t="s">
        <v>10181</v>
      </c>
      <c r="G3066" s="86" t="s">
        <v>150</v>
      </c>
      <c r="H3066" s="96" t="s">
        <v>213</v>
      </c>
      <c r="I3066" s="97" t="s">
        <v>714</v>
      </c>
      <c r="J3066" s="73">
        <f t="shared" si="352"/>
        <v>1</v>
      </c>
      <c r="K3066" s="74" t="s">
        <v>204</v>
      </c>
      <c r="L3066" s="97" t="s">
        <v>7071</v>
      </c>
      <c r="N3066" s="76" t="s">
        <v>18</v>
      </c>
      <c r="Q3066" s="76" t="s">
        <v>2109</v>
      </c>
      <c r="R3066" s="73">
        <f t="shared" si="353"/>
        <v>1</v>
      </c>
      <c r="S3066" s="260" t="s">
        <v>1976</v>
      </c>
      <c r="T3066" s="260" t="s">
        <v>923</v>
      </c>
      <c r="Y3066" s="566">
        <v>0.44655092592592593</v>
      </c>
      <c r="Z3066" s="566">
        <v>0.46259259259259261</v>
      </c>
      <c r="AA3066" s="566">
        <f t="shared" si="354"/>
        <v>1.6041666666666676E-2</v>
      </c>
    </row>
    <row r="3067" spans="1:27" x14ac:dyDescent="0.3">
      <c r="A3067" s="79" t="s">
        <v>10129</v>
      </c>
      <c r="C3067" s="115">
        <v>44043</v>
      </c>
      <c r="D3067" s="312">
        <v>44078</v>
      </c>
      <c r="E3067" s="81">
        <v>44075</v>
      </c>
      <c r="F3067" s="86" t="s">
        <v>10182</v>
      </c>
      <c r="G3067" s="86" t="s">
        <v>156</v>
      </c>
      <c r="H3067" s="96" t="s">
        <v>213</v>
      </c>
      <c r="I3067" s="97" t="s">
        <v>714</v>
      </c>
      <c r="J3067" s="73">
        <f t="shared" si="352"/>
        <v>1</v>
      </c>
      <c r="K3067" s="74" t="s">
        <v>204</v>
      </c>
      <c r="L3067" s="97" t="s">
        <v>7571</v>
      </c>
      <c r="N3067" s="76" t="s">
        <v>18</v>
      </c>
      <c r="Q3067" s="76" t="s">
        <v>5193</v>
      </c>
      <c r="R3067" s="73">
        <f t="shared" si="353"/>
        <v>1</v>
      </c>
      <c r="S3067" s="260" t="s">
        <v>1976</v>
      </c>
      <c r="T3067" s="260" t="s">
        <v>923</v>
      </c>
      <c r="U3067" s="76" t="s">
        <v>5283</v>
      </c>
      <c r="V3067" s="301" t="s">
        <v>10362</v>
      </c>
      <c r="Y3067" s="566">
        <v>0.43651620370370375</v>
      </c>
      <c r="Z3067" s="566">
        <v>0.4456134259259259</v>
      </c>
      <c r="AA3067" s="566">
        <f t="shared" si="354"/>
        <v>9.0972222222221455E-3</v>
      </c>
    </row>
    <row r="3068" spans="1:27" x14ac:dyDescent="0.3">
      <c r="A3068" s="79" t="s">
        <v>10130</v>
      </c>
      <c r="C3068" s="115">
        <v>44050</v>
      </c>
      <c r="D3068" s="312">
        <v>44074</v>
      </c>
      <c r="E3068" s="81">
        <v>44068</v>
      </c>
      <c r="F3068" s="86" t="s">
        <v>3748</v>
      </c>
      <c r="G3068" s="86" t="s">
        <v>150</v>
      </c>
      <c r="H3068" s="96" t="s">
        <v>213</v>
      </c>
      <c r="I3068" s="97" t="s">
        <v>649</v>
      </c>
      <c r="J3068" s="73">
        <f t="shared" si="352"/>
        <v>1</v>
      </c>
      <c r="K3068" s="74" t="s">
        <v>204</v>
      </c>
      <c r="L3068" s="97" t="s">
        <v>9846</v>
      </c>
      <c r="N3068" s="76" t="s">
        <v>18</v>
      </c>
      <c r="Q3068" s="76" t="s">
        <v>2076</v>
      </c>
      <c r="R3068" s="73">
        <f t="shared" si="353"/>
        <v>1</v>
      </c>
      <c r="S3068" s="260" t="s">
        <v>1976</v>
      </c>
      <c r="T3068" s="260" t="s">
        <v>924</v>
      </c>
      <c r="Y3068" s="566">
        <v>0.42300925925925931</v>
      </c>
      <c r="Z3068" s="566">
        <v>0.43180555555555555</v>
      </c>
      <c r="AA3068" s="566">
        <f t="shared" si="354"/>
        <v>8.7962962962962465E-3</v>
      </c>
    </row>
    <row r="3069" spans="1:27" x14ac:dyDescent="0.3">
      <c r="A3069" s="79" t="s">
        <v>10131</v>
      </c>
      <c r="C3069" s="115">
        <v>44053</v>
      </c>
      <c r="D3069" s="312">
        <v>44074</v>
      </c>
      <c r="E3069" s="81">
        <v>44068</v>
      </c>
      <c r="F3069" s="86" t="s">
        <v>10183</v>
      </c>
      <c r="G3069" s="86" t="s">
        <v>9119</v>
      </c>
      <c r="H3069" s="96" t="s">
        <v>213</v>
      </c>
      <c r="I3069" s="97" t="s">
        <v>684</v>
      </c>
      <c r="J3069" s="73">
        <f t="shared" si="352"/>
        <v>1</v>
      </c>
      <c r="K3069" s="74" t="s">
        <v>204</v>
      </c>
      <c r="L3069" s="97" t="s">
        <v>9437</v>
      </c>
      <c r="N3069" s="76" t="s">
        <v>17</v>
      </c>
      <c r="Q3069" s="76" t="s">
        <v>2076</v>
      </c>
      <c r="R3069" s="73">
        <f t="shared" si="353"/>
        <v>1</v>
      </c>
      <c r="S3069" s="260" t="s">
        <v>1976</v>
      </c>
      <c r="T3069" s="260" t="s">
        <v>924</v>
      </c>
      <c r="Y3069" s="566">
        <v>0.43217592592592591</v>
      </c>
      <c r="Z3069" s="566">
        <v>0.43784722222222222</v>
      </c>
      <c r="AA3069" s="566">
        <f t="shared" si="354"/>
        <v>5.6712962962963132E-3</v>
      </c>
    </row>
    <row r="3070" spans="1:27" x14ac:dyDescent="0.3">
      <c r="A3070" s="79" t="s">
        <v>10132</v>
      </c>
      <c r="C3070" s="115">
        <v>44053</v>
      </c>
      <c r="D3070" s="312">
        <v>44074</v>
      </c>
      <c r="E3070" s="81">
        <v>44068</v>
      </c>
      <c r="F3070" s="86" t="s">
        <v>10184</v>
      </c>
      <c r="G3070" s="86" t="s">
        <v>156</v>
      </c>
      <c r="H3070" s="96" t="s">
        <v>213</v>
      </c>
      <c r="I3070" s="97" t="s">
        <v>649</v>
      </c>
      <c r="J3070" s="73">
        <f t="shared" si="352"/>
        <v>1</v>
      </c>
      <c r="K3070" s="74" t="s">
        <v>204</v>
      </c>
      <c r="L3070" s="97" t="s">
        <v>10204</v>
      </c>
      <c r="N3070" s="76" t="s">
        <v>18</v>
      </c>
      <c r="Q3070" s="76" t="s">
        <v>2076</v>
      </c>
      <c r="R3070" s="73">
        <f t="shared" si="353"/>
        <v>1</v>
      </c>
      <c r="S3070" s="260" t="s">
        <v>1976</v>
      </c>
      <c r="T3070" s="260" t="s">
        <v>923</v>
      </c>
      <c r="U3070" s="76" t="s">
        <v>5283</v>
      </c>
      <c r="V3070" s="301" t="s">
        <v>6725</v>
      </c>
      <c r="Y3070" s="566">
        <v>0.43807870370370372</v>
      </c>
      <c r="Z3070" s="566">
        <v>0.45081018518518517</v>
      </c>
      <c r="AA3070" s="566">
        <f t="shared" si="354"/>
        <v>1.2731481481481455E-2</v>
      </c>
    </row>
    <row r="3071" spans="1:27" x14ac:dyDescent="0.3">
      <c r="A3071" s="79" t="s">
        <v>10133</v>
      </c>
      <c r="C3071" s="115">
        <v>44054</v>
      </c>
      <c r="D3071" s="312">
        <v>44075</v>
      </c>
      <c r="E3071" s="81">
        <v>44068</v>
      </c>
      <c r="F3071" s="86" t="s">
        <v>10185</v>
      </c>
      <c r="G3071" s="86" t="s">
        <v>154</v>
      </c>
      <c r="H3071" s="96" t="s">
        <v>213</v>
      </c>
      <c r="I3071" s="97" t="s">
        <v>649</v>
      </c>
      <c r="J3071" s="73">
        <f t="shared" si="352"/>
        <v>1</v>
      </c>
      <c r="K3071" s="74" t="s">
        <v>204</v>
      </c>
      <c r="L3071" s="97" t="s">
        <v>7089</v>
      </c>
      <c r="N3071" s="76" t="s">
        <v>17</v>
      </c>
      <c r="Q3071" s="76" t="s">
        <v>2076</v>
      </c>
      <c r="R3071" s="73">
        <f t="shared" si="353"/>
        <v>1</v>
      </c>
      <c r="S3071" s="260" t="s">
        <v>1976</v>
      </c>
      <c r="T3071" s="260" t="s">
        <v>924</v>
      </c>
      <c r="Y3071" s="566">
        <v>0.67013888888888884</v>
      </c>
      <c r="Z3071" s="566">
        <v>0.67686342592592597</v>
      </c>
      <c r="AA3071" s="566">
        <f t="shared" si="354"/>
        <v>6.724537037037126E-3</v>
      </c>
    </row>
    <row r="3072" spans="1:27" x14ac:dyDescent="0.3">
      <c r="A3072" s="96" t="s">
        <v>10134</v>
      </c>
      <c r="C3072" s="115">
        <v>44054</v>
      </c>
      <c r="D3072" s="312">
        <v>44075</v>
      </c>
      <c r="E3072" s="81">
        <v>44069</v>
      </c>
      <c r="F3072" s="86" t="s">
        <v>10186</v>
      </c>
      <c r="G3072" s="86" t="s">
        <v>175</v>
      </c>
      <c r="H3072" s="96" t="s">
        <v>213</v>
      </c>
      <c r="I3072" s="97" t="s">
        <v>649</v>
      </c>
      <c r="J3072" s="73">
        <f t="shared" si="352"/>
        <v>1</v>
      </c>
      <c r="K3072" s="74" t="s">
        <v>204</v>
      </c>
      <c r="L3072" s="97" t="s">
        <v>7089</v>
      </c>
      <c r="N3072" s="76" t="s">
        <v>18</v>
      </c>
      <c r="Q3072" s="76" t="s">
        <v>2076</v>
      </c>
      <c r="R3072" s="73">
        <f t="shared" si="353"/>
        <v>1</v>
      </c>
      <c r="S3072" s="260" t="s">
        <v>1976</v>
      </c>
      <c r="T3072" s="260" t="s">
        <v>923</v>
      </c>
      <c r="Y3072" s="566">
        <v>0.60649305555555555</v>
      </c>
      <c r="Z3072" s="566">
        <v>0.61815972222222226</v>
      </c>
      <c r="AA3072" s="566">
        <f t="shared" si="354"/>
        <v>1.1666666666666714E-2</v>
      </c>
    </row>
    <row r="3073" spans="1:27" x14ac:dyDescent="0.3">
      <c r="A3073" s="79" t="s">
        <v>10135</v>
      </c>
      <c r="C3073" s="115">
        <v>44054</v>
      </c>
      <c r="D3073" s="312">
        <v>44075</v>
      </c>
      <c r="E3073" s="81">
        <v>44068</v>
      </c>
      <c r="F3073" s="86" t="s">
        <v>10187</v>
      </c>
      <c r="G3073" s="86" t="s">
        <v>147</v>
      </c>
      <c r="H3073" s="96" t="s">
        <v>213</v>
      </c>
      <c r="I3073" s="97" t="s">
        <v>649</v>
      </c>
      <c r="J3073" s="73">
        <f t="shared" si="352"/>
        <v>1</v>
      </c>
      <c r="K3073" s="74" t="s">
        <v>204</v>
      </c>
      <c r="L3073" s="97" t="s">
        <v>7060</v>
      </c>
      <c r="N3073" s="76" t="s">
        <v>17</v>
      </c>
      <c r="Q3073" s="76" t="s">
        <v>5193</v>
      </c>
      <c r="R3073" s="73">
        <f t="shared" si="353"/>
        <v>1</v>
      </c>
      <c r="S3073" s="260" t="s">
        <v>1976</v>
      </c>
      <c r="T3073" s="260" t="s">
        <v>924</v>
      </c>
      <c r="Y3073" s="566">
        <v>0.59833333333333327</v>
      </c>
      <c r="Z3073" s="566">
        <v>0.60866898148148152</v>
      </c>
      <c r="AA3073" s="566">
        <f t="shared" si="354"/>
        <v>1.0335648148148247E-2</v>
      </c>
    </row>
    <row r="3074" spans="1:27" x14ac:dyDescent="0.3">
      <c r="A3074" s="79" t="s">
        <v>10136</v>
      </c>
      <c r="C3074" s="115">
        <v>44054</v>
      </c>
      <c r="D3074" s="312">
        <v>44075</v>
      </c>
      <c r="E3074" s="81">
        <v>44071</v>
      </c>
      <c r="F3074" s="86" t="s">
        <v>10188</v>
      </c>
      <c r="G3074" s="86" t="s">
        <v>147</v>
      </c>
      <c r="H3074" s="96" t="s">
        <v>213</v>
      </c>
      <c r="I3074" s="97" t="s">
        <v>691</v>
      </c>
      <c r="J3074" s="73">
        <f t="shared" si="352"/>
        <v>1</v>
      </c>
      <c r="K3074" s="74" t="s">
        <v>204</v>
      </c>
      <c r="L3074" s="97" t="s">
        <v>10234</v>
      </c>
      <c r="N3074" s="76" t="s">
        <v>19</v>
      </c>
      <c r="Q3074" s="76" t="s">
        <v>2109</v>
      </c>
      <c r="R3074" s="73">
        <f t="shared" si="353"/>
        <v>1</v>
      </c>
      <c r="S3074" s="260" t="s">
        <v>1976</v>
      </c>
      <c r="T3074" s="260" t="s">
        <v>924</v>
      </c>
      <c r="U3074" s="76" t="s">
        <v>5283</v>
      </c>
      <c r="V3074" s="301" t="s">
        <v>10235</v>
      </c>
      <c r="Y3074" s="566">
        <v>0.56861111111111107</v>
      </c>
      <c r="Z3074" s="566">
        <v>0.59129629629629632</v>
      </c>
      <c r="AA3074" s="566">
        <f t="shared" si="354"/>
        <v>2.2685185185185253E-2</v>
      </c>
    </row>
    <row r="3075" spans="1:27" x14ac:dyDescent="0.3">
      <c r="A3075" s="79" t="s">
        <v>10137</v>
      </c>
      <c r="C3075" s="115">
        <v>44054</v>
      </c>
      <c r="D3075" s="312">
        <v>44075</v>
      </c>
      <c r="E3075" s="81">
        <v>44068</v>
      </c>
      <c r="F3075" s="86" t="s">
        <v>10189</v>
      </c>
      <c r="G3075" s="86" t="s">
        <v>154</v>
      </c>
      <c r="H3075" s="96" t="s">
        <v>213</v>
      </c>
      <c r="I3075" s="97" t="s">
        <v>649</v>
      </c>
      <c r="J3075" s="73">
        <f t="shared" si="352"/>
        <v>1</v>
      </c>
      <c r="K3075" s="74" t="s">
        <v>204</v>
      </c>
      <c r="L3075" s="97" t="s">
        <v>10210</v>
      </c>
      <c r="N3075" s="76" t="s">
        <v>17</v>
      </c>
      <c r="Q3075" s="76" t="s">
        <v>5193</v>
      </c>
      <c r="R3075" s="73">
        <f t="shared" si="353"/>
        <v>1</v>
      </c>
      <c r="S3075" s="260" t="s">
        <v>1976</v>
      </c>
      <c r="T3075" s="260" t="s">
        <v>923</v>
      </c>
      <c r="Y3075" s="566">
        <v>0.56349537037037034</v>
      </c>
      <c r="Z3075" s="566">
        <v>0.58513888888888888</v>
      </c>
      <c r="AA3075" s="566">
        <f t="shared" si="354"/>
        <v>2.1643518518518534E-2</v>
      </c>
    </row>
    <row r="3076" spans="1:27" x14ac:dyDescent="0.3">
      <c r="A3076" s="79" t="s">
        <v>10138</v>
      </c>
      <c r="C3076" s="115">
        <v>44054</v>
      </c>
      <c r="D3076" s="312">
        <v>44075</v>
      </c>
      <c r="E3076" s="81">
        <v>44068</v>
      </c>
      <c r="F3076" s="86" t="s">
        <v>10190</v>
      </c>
      <c r="G3076" s="86" t="s">
        <v>1381</v>
      </c>
      <c r="H3076" s="96" t="s">
        <v>213</v>
      </c>
      <c r="I3076" s="97" t="s">
        <v>649</v>
      </c>
      <c r="J3076" s="73">
        <f t="shared" si="352"/>
        <v>1</v>
      </c>
      <c r="K3076" s="74" t="s">
        <v>204</v>
      </c>
      <c r="L3076" s="97" t="s">
        <v>7060</v>
      </c>
      <c r="N3076" s="76" t="s">
        <v>17</v>
      </c>
      <c r="Q3076" s="76" t="s">
        <v>5193</v>
      </c>
      <c r="R3076" s="73">
        <f t="shared" si="353"/>
        <v>1</v>
      </c>
      <c r="S3076" s="260" t="s">
        <v>1976</v>
      </c>
      <c r="T3076" s="260" t="s">
        <v>924</v>
      </c>
      <c r="Y3076" s="566">
        <v>0.55685185185185182</v>
      </c>
      <c r="Z3076" s="566">
        <v>0.56303240740740745</v>
      </c>
      <c r="AA3076" s="566">
        <f t="shared" si="354"/>
        <v>6.1805555555556335E-3</v>
      </c>
    </row>
    <row r="3077" spans="1:27" x14ac:dyDescent="0.3">
      <c r="A3077" s="79" t="s">
        <v>10139</v>
      </c>
      <c r="C3077" s="115">
        <v>44054</v>
      </c>
      <c r="D3077" s="312">
        <v>44076</v>
      </c>
      <c r="E3077" s="81">
        <v>44070</v>
      </c>
      <c r="F3077" s="86" t="s">
        <v>10191</v>
      </c>
      <c r="G3077" s="86" t="s">
        <v>150</v>
      </c>
      <c r="H3077" s="96" t="s">
        <v>3612</v>
      </c>
      <c r="I3077" s="97" t="s">
        <v>649</v>
      </c>
      <c r="J3077" s="73">
        <f t="shared" si="352"/>
        <v>1</v>
      </c>
      <c r="K3077" s="74" t="s">
        <v>204</v>
      </c>
      <c r="L3077" s="97" t="s">
        <v>7089</v>
      </c>
      <c r="N3077" s="76" t="s">
        <v>18</v>
      </c>
      <c r="Q3077" s="76" t="s">
        <v>5193</v>
      </c>
      <c r="R3077" s="73">
        <f t="shared" si="353"/>
        <v>1</v>
      </c>
      <c r="S3077" s="260" t="s">
        <v>1976</v>
      </c>
      <c r="T3077" s="260" t="s">
        <v>924</v>
      </c>
      <c r="Y3077" s="566">
        <v>0.46114583333333337</v>
      </c>
      <c r="Z3077" s="566">
        <v>0.5420949074074074</v>
      </c>
      <c r="AA3077" s="566">
        <f t="shared" si="354"/>
        <v>8.0949074074074034E-2</v>
      </c>
    </row>
    <row r="3078" spans="1:27" x14ac:dyDescent="0.3">
      <c r="A3078" s="79" t="s">
        <v>10140</v>
      </c>
      <c r="C3078" s="115">
        <v>44054</v>
      </c>
      <c r="D3078" s="312">
        <v>44075</v>
      </c>
      <c r="E3078" s="81">
        <v>44068</v>
      </c>
      <c r="F3078" s="86" t="s">
        <v>10192</v>
      </c>
      <c r="G3078" s="86" t="s">
        <v>147</v>
      </c>
      <c r="H3078" s="96" t="s">
        <v>213</v>
      </c>
      <c r="I3078" s="97" t="s">
        <v>722</v>
      </c>
      <c r="J3078" s="73">
        <f t="shared" si="352"/>
        <v>1</v>
      </c>
      <c r="K3078" s="74" t="s">
        <v>204</v>
      </c>
      <c r="L3078" s="97" t="s">
        <v>7322</v>
      </c>
      <c r="N3078" s="76" t="s">
        <v>18</v>
      </c>
      <c r="Q3078" s="76" t="s">
        <v>2076</v>
      </c>
      <c r="R3078" s="73">
        <f t="shared" si="353"/>
        <v>1</v>
      </c>
      <c r="S3078" s="260" t="s">
        <v>1976</v>
      </c>
      <c r="T3078" s="260" t="s">
        <v>924</v>
      </c>
      <c r="Y3078" s="566">
        <v>0.67729166666666663</v>
      </c>
      <c r="Z3078" s="566">
        <v>0.68495370370370379</v>
      </c>
      <c r="AA3078" s="566">
        <f t="shared" si="354"/>
        <v>7.6620370370371615E-3</v>
      </c>
    </row>
    <row r="3079" spans="1:27" x14ac:dyDescent="0.3">
      <c r="A3079" s="79" t="s">
        <v>10141</v>
      </c>
      <c r="C3079" s="115">
        <v>44054</v>
      </c>
      <c r="D3079" s="312">
        <v>44076</v>
      </c>
      <c r="E3079" s="81">
        <v>44074</v>
      </c>
      <c r="F3079" s="86" t="s">
        <v>10193</v>
      </c>
      <c r="G3079" s="86" t="s">
        <v>152</v>
      </c>
      <c r="H3079" s="96" t="s">
        <v>213</v>
      </c>
      <c r="I3079" s="97" t="s">
        <v>649</v>
      </c>
      <c r="J3079" s="73">
        <f t="shared" ref="J3079:J3087" si="355">IF(OR(K3079="Документы готовы",K3079="Запрос в ФО",K3079="ЭЗ",K3079="РЕШ",K3079="РЕШ шаблон"),0.1,IF(OR(K3079="ЭЗ согласование",K3079="РЕШ согласование"),0.3,IF(OR(K3079="ЭЗ согласовано",K3079="РЕШ согласовано",K3079="РЕШ подписано"),0.6,IF(OR(K3079="ЭЗ ПР согласование",K3079="РЕШ УВ согласование"),0.9,IF(OR(K3079="ЭЗ ПР DONE",K3079="РЕШ УВ DONE"),1,0)))))</f>
        <v>1</v>
      </c>
      <c r="K3079" s="74" t="s">
        <v>204</v>
      </c>
      <c r="L3079" s="97" t="s">
        <v>7089</v>
      </c>
      <c r="N3079" s="76" t="s">
        <v>18</v>
      </c>
      <c r="Q3079" s="76" t="s">
        <v>2109</v>
      </c>
      <c r="R3079" s="73">
        <f t="shared" ref="R3079:R3087" si="356">IF(S3079="В работе",0.3,IF(S3079="Отписано",0.6,IF(S3079="На доработку",0.9,IF(S3079="Согласовано",1,0))))</f>
        <v>1</v>
      </c>
      <c r="S3079" s="260" t="s">
        <v>1976</v>
      </c>
      <c r="T3079" s="260" t="s">
        <v>924</v>
      </c>
      <c r="Y3079" s="566">
        <v>0.48156249999999995</v>
      </c>
      <c r="Z3079" s="566">
        <v>0.49023148148148149</v>
      </c>
      <c r="AA3079" s="566">
        <f t="shared" ref="AA3079:AA3087" si="357">Z3079-Y3079</f>
        <v>8.6689814814815414E-3</v>
      </c>
    </row>
    <row r="3080" spans="1:27" x14ac:dyDescent="0.3">
      <c r="A3080" s="79" t="s">
        <v>10142</v>
      </c>
      <c r="C3080" s="115">
        <v>44055</v>
      </c>
      <c r="D3080" s="312">
        <v>44077</v>
      </c>
      <c r="E3080" s="81">
        <v>44070</v>
      </c>
      <c r="F3080" s="86" t="s">
        <v>10194</v>
      </c>
      <c r="G3080" s="86" t="s">
        <v>150</v>
      </c>
      <c r="H3080" s="96" t="s">
        <v>213</v>
      </c>
      <c r="I3080" s="97" t="s">
        <v>3150</v>
      </c>
      <c r="J3080" s="73">
        <f t="shared" si="355"/>
        <v>1</v>
      </c>
      <c r="K3080" s="74" t="s">
        <v>204</v>
      </c>
      <c r="L3080" s="97" t="s">
        <v>10229</v>
      </c>
      <c r="N3080" s="76" t="s">
        <v>17</v>
      </c>
      <c r="Q3080" s="76" t="s">
        <v>2076</v>
      </c>
      <c r="R3080" s="73">
        <f t="shared" si="356"/>
        <v>1</v>
      </c>
      <c r="S3080" s="260" t="s">
        <v>1976</v>
      </c>
      <c r="T3080" s="260" t="s">
        <v>924</v>
      </c>
      <c r="U3080" s="76" t="s">
        <v>5283</v>
      </c>
      <c r="V3080" s="301" t="s">
        <v>10242</v>
      </c>
      <c r="Y3080" s="566">
        <v>0.59812500000000002</v>
      </c>
      <c r="Z3080" s="566">
        <v>0.63488425925925929</v>
      </c>
      <c r="AA3080" s="566">
        <f t="shared" si="357"/>
        <v>3.6759259259259269E-2</v>
      </c>
    </row>
    <row r="3081" spans="1:27" x14ac:dyDescent="0.3">
      <c r="A3081" s="79" t="s">
        <v>10143</v>
      </c>
      <c r="C3081" s="115">
        <v>44055</v>
      </c>
      <c r="D3081" s="312">
        <v>44077</v>
      </c>
      <c r="E3081" s="81">
        <v>44074</v>
      </c>
      <c r="F3081" s="86" t="s">
        <v>10195</v>
      </c>
      <c r="G3081" s="97" t="s">
        <v>8909</v>
      </c>
      <c r="H3081" s="96" t="s">
        <v>213</v>
      </c>
      <c r="I3081" s="97" t="s">
        <v>649</v>
      </c>
      <c r="J3081" s="73">
        <f t="shared" si="355"/>
        <v>1</v>
      </c>
      <c r="K3081" s="74" t="s">
        <v>204</v>
      </c>
      <c r="L3081" s="97" t="s">
        <v>7060</v>
      </c>
      <c r="N3081" s="76" t="s">
        <v>17</v>
      </c>
      <c r="Q3081" s="76" t="s">
        <v>2109</v>
      </c>
      <c r="R3081" s="73">
        <f t="shared" si="356"/>
        <v>1</v>
      </c>
      <c r="S3081" s="260" t="s">
        <v>1976</v>
      </c>
      <c r="T3081" s="260" t="s">
        <v>924</v>
      </c>
      <c r="U3081" s="76" t="s">
        <v>5283</v>
      </c>
      <c r="V3081" s="301" t="s">
        <v>6725</v>
      </c>
      <c r="Y3081" s="566">
        <v>0.51620370370370372</v>
      </c>
      <c r="Z3081" s="566">
        <v>0.52615740740740746</v>
      </c>
      <c r="AA3081" s="566">
        <f t="shared" si="357"/>
        <v>9.9537037037037424E-3</v>
      </c>
    </row>
    <row r="3082" spans="1:27" x14ac:dyDescent="0.3">
      <c r="A3082" s="79" t="s">
        <v>10144</v>
      </c>
      <c r="C3082" s="115">
        <v>44055</v>
      </c>
      <c r="D3082" s="312">
        <v>44077</v>
      </c>
      <c r="E3082" s="81">
        <v>44071</v>
      </c>
      <c r="F3082" s="86" t="s">
        <v>10196</v>
      </c>
      <c r="G3082" s="86" t="s">
        <v>152</v>
      </c>
      <c r="H3082" s="96" t="s">
        <v>213</v>
      </c>
      <c r="I3082" s="97" t="s">
        <v>649</v>
      </c>
      <c r="J3082" s="73">
        <f t="shared" si="355"/>
        <v>1</v>
      </c>
      <c r="K3082" s="74" t="s">
        <v>204</v>
      </c>
      <c r="L3082" s="97" t="s">
        <v>7060</v>
      </c>
      <c r="N3082" s="76" t="s">
        <v>17</v>
      </c>
      <c r="Q3082" s="76" t="s">
        <v>2076</v>
      </c>
      <c r="R3082" s="73">
        <f t="shared" si="356"/>
        <v>1</v>
      </c>
      <c r="S3082" s="260" t="s">
        <v>1976</v>
      </c>
      <c r="T3082" s="260" t="s">
        <v>924</v>
      </c>
      <c r="Y3082" s="566">
        <v>0.59513888888888888</v>
      </c>
      <c r="Z3082" s="566">
        <v>0.60619212962962965</v>
      </c>
      <c r="AA3082" s="566">
        <f t="shared" si="357"/>
        <v>1.1053240740740766E-2</v>
      </c>
    </row>
    <row r="3083" spans="1:27" x14ac:dyDescent="0.3">
      <c r="A3083" s="79" t="s">
        <v>10145</v>
      </c>
      <c r="C3083" s="115">
        <v>44055</v>
      </c>
      <c r="D3083" s="312">
        <v>44077</v>
      </c>
      <c r="E3083" s="81">
        <v>44074</v>
      </c>
      <c r="F3083" s="86" t="s">
        <v>10197</v>
      </c>
      <c r="G3083" s="86" t="s">
        <v>152</v>
      </c>
      <c r="H3083" s="96" t="s">
        <v>213</v>
      </c>
      <c r="I3083" s="97" t="s">
        <v>684</v>
      </c>
      <c r="J3083" s="73">
        <f t="shared" si="355"/>
        <v>1</v>
      </c>
      <c r="K3083" s="74" t="s">
        <v>204</v>
      </c>
      <c r="L3083" s="97" t="s">
        <v>10361</v>
      </c>
      <c r="N3083" s="76" t="s">
        <v>18</v>
      </c>
      <c r="Q3083" s="76" t="s">
        <v>2076</v>
      </c>
      <c r="R3083" s="73">
        <f t="shared" si="356"/>
        <v>1</v>
      </c>
      <c r="S3083" s="260" t="s">
        <v>1976</v>
      </c>
      <c r="T3083" s="260" t="s">
        <v>923</v>
      </c>
      <c r="Y3083" s="566">
        <v>0.41666666666666669</v>
      </c>
      <c r="Z3083" s="566">
        <v>0.43412037037037038</v>
      </c>
      <c r="AA3083" s="566">
        <f t="shared" si="357"/>
        <v>1.7453703703703694E-2</v>
      </c>
    </row>
    <row r="3084" spans="1:27" x14ac:dyDescent="0.3">
      <c r="A3084" s="79" t="s">
        <v>10146</v>
      </c>
      <c r="C3084" s="115">
        <v>44056</v>
      </c>
      <c r="D3084" s="312">
        <v>44077</v>
      </c>
      <c r="E3084" s="81">
        <v>44071</v>
      </c>
      <c r="F3084" s="86" t="s">
        <v>10198</v>
      </c>
      <c r="G3084" s="86" t="s">
        <v>152</v>
      </c>
      <c r="H3084" s="96" t="s">
        <v>213</v>
      </c>
      <c r="I3084" s="97" t="s">
        <v>649</v>
      </c>
      <c r="J3084" s="73">
        <f t="shared" si="355"/>
        <v>1</v>
      </c>
      <c r="K3084" s="74" t="s">
        <v>204</v>
      </c>
      <c r="L3084" s="97" t="s">
        <v>10381</v>
      </c>
      <c r="N3084" s="76" t="s">
        <v>17</v>
      </c>
      <c r="Q3084" s="76" t="s">
        <v>5193</v>
      </c>
      <c r="R3084" s="73">
        <f t="shared" si="356"/>
        <v>1</v>
      </c>
      <c r="S3084" s="260" t="s">
        <v>1976</v>
      </c>
      <c r="T3084" s="260" t="s">
        <v>924</v>
      </c>
      <c r="X3084" s="301" t="s">
        <v>10377</v>
      </c>
      <c r="Y3084" s="566">
        <v>0.75553240740740746</v>
      </c>
      <c r="Z3084" s="566">
        <v>0.76769675925925929</v>
      </c>
      <c r="AA3084" s="566">
        <f t="shared" si="357"/>
        <v>1.2164351851851829E-2</v>
      </c>
    </row>
    <row r="3085" spans="1:27" x14ac:dyDescent="0.3">
      <c r="A3085" s="79" t="s">
        <v>10147</v>
      </c>
      <c r="C3085" s="115">
        <v>44056</v>
      </c>
      <c r="D3085" s="312">
        <v>44077</v>
      </c>
      <c r="E3085" s="81">
        <v>44071</v>
      </c>
      <c r="F3085" s="86" t="s">
        <v>10199</v>
      </c>
      <c r="G3085" s="86" t="s">
        <v>150</v>
      </c>
      <c r="H3085" s="96" t="s">
        <v>213</v>
      </c>
      <c r="I3085" s="97" t="s">
        <v>649</v>
      </c>
      <c r="J3085" s="73">
        <f t="shared" si="355"/>
        <v>1</v>
      </c>
      <c r="K3085" s="74" t="s">
        <v>204</v>
      </c>
      <c r="L3085" s="97" t="s">
        <v>7060</v>
      </c>
      <c r="N3085" s="76" t="s">
        <v>17</v>
      </c>
      <c r="Q3085" s="76" t="s">
        <v>5193</v>
      </c>
      <c r="R3085" s="73">
        <f t="shared" si="356"/>
        <v>1</v>
      </c>
      <c r="S3085" s="260" t="s">
        <v>1976</v>
      </c>
      <c r="T3085" s="260" t="s">
        <v>924</v>
      </c>
      <c r="Y3085" s="566">
        <v>0.76829861111111108</v>
      </c>
      <c r="Z3085" s="566">
        <v>0.77738425925925936</v>
      </c>
      <c r="AA3085" s="566">
        <f t="shared" si="357"/>
        <v>9.0856481481482732E-3</v>
      </c>
    </row>
    <row r="3086" spans="1:27" x14ac:dyDescent="0.3">
      <c r="A3086" s="79" t="s">
        <v>10148</v>
      </c>
      <c r="C3086" s="115">
        <v>44057</v>
      </c>
      <c r="D3086" s="312">
        <v>44078</v>
      </c>
      <c r="E3086" s="81">
        <v>44074</v>
      </c>
      <c r="F3086" s="86" t="s">
        <v>10200</v>
      </c>
      <c r="G3086" s="86" t="s">
        <v>150</v>
      </c>
      <c r="H3086" s="96" t="s">
        <v>213</v>
      </c>
      <c r="I3086" s="97" t="s">
        <v>722</v>
      </c>
      <c r="J3086" s="73">
        <f t="shared" si="355"/>
        <v>1</v>
      </c>
      <c r="K3086" s="74" t="s">
        <v>204</v>
      </c>
      <c r="L3086" s="97" t="s">
        <v>10244</v>
      </c>
      <c r="N3086" s="76" t="s">
        <v>18</v>
      </c>
      <c r="Q3086" s="76" t="s">
        <v>2076</v>
      </c>
      <c r="R3086" s="73">
        <f t="shared" si="356"/>
        <v>1</v>
      </c>
      <c r="S3086" s="260" t="s">
        <v>1976</v>
      </c>
      <c r="T3086" s="260" t="s">
        <v>924</v>
      </c>
      <c r="Y3086" s="566">
        <v>0.69520833333333332</v>
      </c>
      <c r="Z3086" s="566">
        <v>0.7020601851851852</v>
      </c>
      <c r="AA3086" s="566">
        <f t="shared" si="357"/>
        <v>6.8518518518518867E-3</v>
      </c>
    </row>
    <row r="3087" spans="1:27" x14ac:dyDescent="0.3">
      <c r="A3087" s="79" t="s">
        <v>10149</v>
      </c>
      <c r="C3087" s="115">
        <v>44057</v>
      </c>
      <c r="D3087" s="312">
        <v>44078</v>
      </c>
      <c r="E3087" s="81">
        <v>44075</v>
      </c>
      <c r="F3087" s="86" t="s">
        <v>10201</v>
      </c>
      <c r="G3087" s="86" t="s">
        <v>1384</v>
      </c>
      <c r="H3087" s="96" t="s">
        <v>213</v>
      </c>
      <c r="I3087" s="97" t="s">
        <v>649</v>
      </c>
      <c r="J3087" s="73">
        <f t="shared" si="355"/>
        <v>1</v>
      </c>
      <c r="K3087" s="74" t="s">
        <v>204</v>
      </c>
      <c r="L3087" s="97" t="s">
        <v>7089</v>
      </c>
      <c r="N3087" s="76" t="s">
        <v>17</v>
      </c>
      <c r="Q3087" s="76" t="s">
        <v>2076</v>
      </c>
      <c r="R3087" s="73">
        <f t="shared" si="356"/>
        <v>1</v>
      </c>
      <c r="S3087" s="260" t="s">
        <v>1976</v>
      </c>
      <c r="T3087" s="260" t="s">
        <v>923</v>
      </c>
      <c r="U3087" s="76" t="s">
        <v>5283</v>
      </c>
      <c r="V3087" s="301" t="s">
        <v>10370</v>
      </c>
      <c r="Y3087" s="566">
        <v>0.60847222222222219</v>
      </c>
      <c r="Z3087" s="566">
        <v>0.61145833333333333</v>
      </c>
      <c r="AA3087" s="566">
        <f t="shared" si="357"/>
        <v>2.9861111111111338E-3</v>
      </c>
    </row>
    <row r="3088" spans="1:27" x14ac:dyDescent="0.3">
      <c r="A3088" s="79" t="s">
        <v>10245</v>
      </c>
      <c r="C3088" s="115">
        <v>44032</v>
      </c>
      <c r="D3088" s="312">
        <v>44082</v>
      </c>
      <c r="E3088" s="81">
        <v>44076</v>
      </c>
      <c r="F3088" s="86" t="s">
        <v>10303</v>
      </c>
      <c r="G3088" s="86" t="s">
        <v>154</v>
      </c>
      <c r="H3088" s="96" t="s">
        <v>213</v>
      </c>
      <c r="I3088" s="97" t="s">
        <v>755</v>
      </c>
      <c r="J3088" s="73">
        <f t="shared" ref="J3088:J3131" si="358">IF(OR(K3088="Документы готовы",K3088="Запрос в ФО",K3088="ЭЗ",K3088="РЕШ",K3088="РЕШ шаблон"),0.1,IF(OR(K3088="ЭЗ согласование",K3088="РЕШ согласование"),0.3,IF(OR(K3088="ЭЗ согласовано",K3088="РЕШ согласовано",K3088="РЕШ подписано"),0.6,IF(OR(K3088="ЭЗ ПР согласование",K3088="РЕШ УВ согласование"),0.9,IF(OR(K3088="ЭЗ ПР DONE",K3088="РЕШ УВ DONE"),1,0)))))</f>
        <v>1</v>
      </c>
      <c r="K3088" s="74" t="s">
        <v>204</v>
      </c>
      <c r="L3088" s="97" t="s">
        <v>10378</v>
      </c>
      <c r="N3088" s="76" t="s">
        <v>18</v>
      </c>
      <c r="Q3088" s="76" t="s">
        <v>2037</v>
      </c>
      <c r="R3088" s="73">
        <f t="shared" ref="R3088:R3131" si="359">IF(S3088="В работе",0.3,IF(S3088="Отписано",0.6,IF(S3088="На доработку",0.9,IF(S3088="Согласовано",1,0))))</f>
        <v>1</v>
      </c>
      <c r="S3088" s="260" t="s">
        <v>1976</v>
      </c>
      <c r="T3088" s="260" t="s">
        <v>924</v>
      </c>
      <c r="U3088" s="76" t="s">
        <v>5283</v>
      </c>
      <c r="V3088" s="301" t="s">
        <v>10379</v>
      </c>
      <c r="X3088" s="301" t="s">
        <v>10396</v>
      </c>
      <c r="Y3088" s="566">
        <v>0.76597222222222217</v>
      </c>
      <c r="Z3088" s="566">
        <v>0.79460648148148139</v>
      </c>
      <c r="AA3088" s="566">
        <f t="shared" ref="AA3088:AA3131" si="360">Z3088-Y3088</f>
        <v>2.863425925925922E-2</v>
      </c>
    </row>
    <row r="3089" spans="1:27" x14ac:dyDescent="0.3">
      <c r="A3089" s="79" t="s">
        <v>10246</v>
      </c>
      <c r="C3089" s="115">
        <v>44034</v>
      </c>
      <c r="D3089" s="312">
        <v>44084</v>
      </c>
      <c r="E3089" s="81">
        <v>44081</v>
      </c>
      <c r="F3089" s="86" t="s">
        <v>10304</v>
      </c>
      <c r="G3089" s="97" t="s">
        <v>150</v>
      </c>
      <c r="H3089" s="96" t="s">
        <v>213</v>
      </c>
      <c r="I3089" s="97" t="s">
        <v>1284</v>
      </c>
      <c r="J3089" s="73">
        <f t="shared" si="358"/>
        <v>1</v>
      </c>
      <c r="K3089" s="74" t="s">
        <v>204</v>
      </c>
      <c r="L3089" s="97" t="s">
        <v>10422</v>
      </c>
      <c r="N3089" s="76" t="s">
        <v>19</v>
      </c>
      <c r="Q3089" s="76" t="s">
        <v>2076</v>
      </c>
      <c r="R3089" s="73">
        <f t="shared" si="359"/>
        <v>1</v>
      </c>
      <c r="S3089" s="260" t="s">
        <v>1976</v>
      </c>
      <c r="T3089" s="260" t="s">
        <v>923</v>
      </c>
      <c r="U3089" s="76" t="s">
        <v>5283</v>
      </c>
      <c r="V3089" s="301" t="s">
        <v>10410</v>
      </c>
      <c r="Y3089" s="566">
        <v>0.57625000000000004</v>
      </c>
      <c r="Z3089" s="566">
        <v>0.60287037037037039</v>
      </c>
      <c r="AA3089" s="566">
        <f t="shared" si="360"/>
        <v>2.662037037037035E-2</v>
      </c>
    </row>
    <row r="3090" spans="1:27" x14ac:dyDescent="0.3">
      <c r="A3090" s="79" t="s">
        <v>10247</v>
      </c>
      <c r="C3090" s="115">
        <v>44043</v>
      </c>
      <c r="D3090" s="312">
        <v>44081</v>
      </c>
      <c r="E3090" s="81">
        <v>44075</v>
      </c>
      <c r="F3090" s="86" t="s">
        <v>10305</v>
      </c>
      <c r="G3090" s="86" t="s">
        <v>9119</v>
      </c>
      <c r="H3090" s="96" t="s">
        <v>213</v>
      </c>
      <c r="I3090" s="97" t="s">
        <v>714</v>
      </c>
      <c r="J3090" s="73">
        <f t="shared" si="358"/>
        <v>1</v>
      </c>
      <c r="K3090" s="74" t="s">
        <v>204</v>
      </c>
      <c r="L3090" s="97" t="s">
        <v>7071</v>
      </c>
      <c r="N3090" s="76" t="s">
        <v>18</v>
      </c>
      <c r="Q3090" s="76" t="s">
        <v>2076</v>
      </c>
      <c r="R3090" s="73">
        <f t="shared" si="359"/>
        <v>1</v>
      </c>
      <c r="S3090" s="260" t="s">
        <v>1976</v>
      </c>
      <c r="T3090" s="260" t="s">
        <v>923</v>
      </c>
      <c r="Y3090" s="566">
        <v>0.48989583333333336</v>
      </c>
      <c r="Z3090" s="566">
        <v>0.5113078703703704</v>
      </c>
      <c r="AA3090" s="566">
        <f t="shared" si="360"/>
        <v>2.1412037037037035E-2</v>
      </c>
    </row>
    <row r="3091" spans="1:27" x14ac:dyDescent="0.3">
      <c r="A3091" s="79" t="s">
        <v>10248</v>
      </c>
      <c r="C3091" s="115">
        <v>44043</v>
      </c>
      <c r="D3091" s="312">
        <v>44081</v>
      </c>
      <c r="E3091" s="81">
        <v>44075</v>
      </c>
      <c r="F3091" s="86" t="s">
        <v>10306</v>
      </c>
      <c r="G3091" s="86" t="s">
        <v>3014</v>
      </c>
      <c r="H3091" s="96" t="s">
        <v>213</v>
      </c>
      <c r="I3091" s="97" t="s">
        <v>714</v>
      </c>
      <c r="J3091" s="73">
        <f t="shared" si="358"/>
        <v>1</v>
      </c>
      <c r="K3091" s="74" t="s">
        <v>204</v>
      </c>
      <c r="L3091" s="97" t="s">
        <v>7892</v>
      </c>
      <c r="N3091" s="76" t="s">
        <v>17</v>
      </c>
      <c r="Q3091" s="76" t="s">
        <v>2076</v>
      </c>
      <c r="R3091" s="73">
        <f t="shared" si="359"/>
        <v>1</v>
      </c>
      <c r="S3091" s="260" t="s">
        <v>1976</v>
      </c>
      <c r="T3091" s="260" t="s">
        <v>924</v>
      </c>
      <c r="Y3091" s="566">
        <v>0.51168981481481479</v>
      </c>
      <c r="Z3091" s="566">
        <v>0.53435185185185186</v>
      </c>
      <c r="AA3091" s="566">
        <f t="shared" si="360"/>
        <v>2.2662037037037064E-2</v>
      </c>
    </row>
    <row r="3092" spans="1:27" x14ac:dyDescent="0.3">
      <c r="A3092" s="79" t="s">
        <v>10249</v>
      </c>
      <c r="C3092" s="115">
        <v>44043</v>
      </c>
      <c r="D3092" s="312">
        <v>44081</v>
      </c>
      <c r="E3092" s="81">
        <v>44075</v>
      </c>
      <c r="F3092" s="86" t="s">
        <v>10307</v>
      </c>
      <c r="G3092" s="86" t="s">
        <v>150</v>
      </c>
      <c r="H3092" s="79" t="s">
        <v>268</v>
      </c>
      <c r="I3092" s="97" t="s">
        <v>657</v>
      </c>
      <c r="J3092" s="73">
        <f t="shared" si="358"/>
        <v>1</v>
      </c>
      <c r="K3092" s="74" t="s">
        <v>204</v>
      </c>
      <c r="L3092" s="97" t="s">
        <v>10368</v>
      </c>
      <c r="N3092" s="76" t="s">
        <v>17</v>
      </c>
      <c r="Q3092" s="76" t="s">
        <v>2037</v>
      </c>
      <c r="R3092" s="73">
        <f t="shared" si="359"/>
        <v>1</v>
      </c>
      <c r="S3092" s="260" t="s">
        <v>1976</v>
      </c>
      <c r="T3092" s="260" t="s">
        <v>924</v>
      </c>
      <c r="X3092" s="301" t="s">
        <v>10380</v>
      </c>
      <c r="Y3092" s="566">
        <v>0.5625</v>
      </c>
      <c r="Z3092" s="566">
        <v>0.59027777777777779</v>
      </c>
      <c r="AA3092" s="566">
        <f t="shared" si="360"/>
        <v>2.777777777777779E-2</v>
      </c>
    </row>
    <row r="3093" spans="1:27" x14ac:dyDescent="0.3">
      <c r="A3093" s="79" t="s">
        <v>10250</v>
      </c>
      <c r="C3093" s="115">
        <v>44046</v>
      </c>
      <c r="D3093" s="312">
        <v>44082</v>
      </c>
      <c r="E3093" s="81">
        <v>44076</v>
      </c>
      <c r="F3093" s="86" t="s">
        <v>10308</v>
      </c>
      <c r="G3093" s="86" t="s">
        <v>150</v>
      </c>
      <c r="H3093" s="96" t="s">
        <v>213</v>
      </c>
      <c r="I3093" s="97" t="s">
        <v>714</v>
      </c>
      <c r="J3093" s="73">
        <f t="shared" si="358"/>
        <v>1</v>
      </c>
      <c r="K3093" s="74" t="s">
        <v>204</v>
      </c>
      <c r="L3093" s="97" t="s">
        <v>7532</v>
      </c>
      <c r="N3093" s="76" t="s">
        <v>17</v>
      </c>
      <c r="Q3093" s="76" t="s">
        <v>5193</v>
      </c>
      <c r="R3093" s="73">
        <f t="shared" si="359"/>
        <v>1</v>
      </c>
      <c r="S3093" s="260" t="s">
        <v>1976</v>
      </c>
      <c r="T3093" s="260" t="s">
        <v>924</v>
      </c>
      <c r="U3093" s="76" t="s">
        <v>5283</v>
      </c>
      <c r="V3093" s="301" t="s">
        <v>10372</v>
      </c>
      <c r="Y3093" s="566">
        <v>0.54524305555555552</v>
      </c>
      <c r="Z3093" s="566">
        <v>0.55260416666666667</v>
      </c>
      <c r="AA3093" s="566">
        <f t="shared" si="360"/>
        <v>7.3611111111111516E-3</v>
      </c>
    </row>
    <row r="3094" spans="1:27" x14ac:dyDescent="0.3">
      <c r="A3094" s="79" t="s">
        <v>10251</v>
      </c>
      <c r="C3094" s="115">
        <v>44046</v>
      </c>
      <c r="D3094" s="312">
        <v>44081</v>
      </c>
      <c r="E3094" s="81">
        <v>44075</v>
      </c>
      <c r="F3094" s="86" t="s">
        <v>10309</v>
      </c>
      <c r="G3094" s="86" t="s">
        <v>172</v>
      </c>
      <c r="H3094" s="96" t="s">
        <v>213</v>
      </c>
      <c r="I3094" s="97" t="s">
        <v>642</v>
      </c>
      <c r="J3094" s="73">
        <f t="shared" si="358"/>
        <v>1</v>
      </c>
      <c r="K3094" s="74" t="s">
        <v>204</v>
      </c>
      <c r="L3094" s="97" t="s">
        <v>7069</v>
      </c>
      <c r="N3094" s="76" t="s">
        <v>18</v>
      </c>
      <c r="Q3094" s="76" t="s">
        <v>2037</v>
      </c>
      <c r="R3094" s="73">
        <f t="shared" si="359"/>
        <v>1</v>
      </c>
      <c r="S3094" s="260" t="s">
        <v>1976</v>
      </c>
      <c r="T3094" s="260" t="s">
        <v>923</v>
      </c>
      <c r="Y3094" s="566">
        <v>0.46304398148148151</v>
      </c>
      <c r="Z3094" s="566">
        <v>0.46875</v>
      </c>
      <c r="AA3094" s="566">
        <f t="shared" si="360"/>
        <v>5.7060185185184853E-3</v>
      </c>
    </row>
    <row r="3095" spans="1:27" x14ac:dyDescent="0.3">
      <c r="A3095" s="79" t="s">
        <v>10252</v>
      </c>
      <c r="C3095" s="115">
        <v>44046</v>
      </c>
      <c r="D3095" s="115">
        <v>44082</v>
      </c>
      <c r="E3095" s="81">
        <v>44076</v>
      </c>
      <c r="F3095" s="86" t="s">
        <v>10310</v>
      </c>
      <c r="G3095" s="86" t="s">
        <v>147</v>
      </c>
      <c r="H3095" s="96" t="s">
        <v>213</v>
      </c>
      <c r="J3095" s="73">
        <f t="shared" si="358"/>
        <v>1</v>
      </c>
      <c r="K3095" s="74" t="s">
        <v>204</v>
      </c>
      <c r="L3095" s="97" t="s">
        <v>7108</v>
      </c>
      <c r="Q3095" s="76" t="s">
        <v>2037</v>
      </c>
      <c r="R3095" s="73">
        <f t="shared" si="359"/>
        <v>1</v>
      </c>
      <c r="S3095" s="260" t="s">
        <v>1976</v>
      </c>
      <c r="T3095" s="260" t="s">
        <v>924</v>
      </c>
      <c r="AA3095" s="566">
        <f t="shared" si="360"/>
        <v>0</v>
      </c>
    </row>
    <row r="3096" spans="1:27" x14ac:dyDescent="0.3">
      <c r="A3096" s="79" t="s">
        <v>10253</v>
      </c>
      <c r="C3096" s="115">
        <v>44046</v>
      </c>
      <c r="D3096" s="312">
        <v>44081</v>
      </c>
      <c r="E3096" s="81">
        <v>44075</v>
      </c>
      <c r="F3096" s="86" t="s">
        <v>10311</v>
      </c>
      <c r="G3096" s="86" t="s">
        <v>150</v>
      </c>
      <c r="H3096" s="96" t="s">
        <v>213</v>
      </c>
      <c r="I3096" s="97" t="s">
        <v>642</v>
      </c>
      <c r="J3096" s="73">
        <f t="shared" si="358"/>
        <v>1</v>
      </c>
      <c r="K3096" s="74" t="s">
        <v>204</v>
      </c>
      <c r="L3096" s="97" t="s">
        <v>7110</v>
      </c>
      <c r="N3096" s="76" t="s">
        <v>18</v>
      </c>
      <c r="Q3096" s="76" t="s">
        <v>5193</v>
      </c>
      <c r="R3096" s="73">
        <f t="shared" si="359"/>
        <v>1</v>
      </c>
      <c r="S3096" s="260" t="s">
        <v>1976</v>
      </c>
      <c r="T3096" s="260" t="s">
        <v>924</v>
      </c>
      <c r="Y3096" s="566">
        <v>0.4692824074074074</v>
      </c>
      <c r="Z3096" s="566">
        <v>0.4762615740740741</v>
      </c>
      <c r="AA3096" s="566">
        <f t="shared" si="360"/>
        <v>6.9791666666667029E-3</v>
      </c>
    </row>
    <row r="3097" spans="1:27" x14ac:dyDescent="0.3">
      <c r="A3097" s="79" t="s">
        <v>10254</v>
      </c>
      <c r="C3097" s="115">
        <v>44046</v>
      </c>
      <c r="D3097" s="312">
        <v>44081</v>
      </c>
      <c r="E3097" s="81">
        <v>44075</v>
      </c>
      <c r="F3097" s="86" t="s">
        <v>10312</v>
      </c>
      <c r="G3097" s="86" t="s">
        <v>9119</v>
      </c>
      <c r="H3097" s="96" t="s">
        <v>213</v>
      </c>
      <c r="I3097" s="97" t="s">
        <v>722</v>
      </c>
      <c r="J3097" s="73">
        <f t="shared" si="358"/>
        <v>1</v>
      </c>
      <c r="K3097" s="74" t="s">
        <v>204</v>
      </c>
      <c r="L3097" s="97" t="s">
        <v>10365</v>
      </c>
      <c r="N3097" s="76" t="s">
        <v>17</v>
      </c>
      <c r="Q3097" s="76" t="s">
        <v>5193</v>
      </c>
      <c r="R3097" s="73">
        <f t="shared" si="359"/>
        <v>1</v>
      </c>
      <c r="S3097" s="260" t="s">
        <v>1976</v>
      </c>
      <c r="T3097" s="260" t="s">
        <v>923</v>
      </c>
      <c r="Y3097" s="566">
        <v>0.47663194444444446</v>
      </c>
      <c r="Z3097" s="566">
        <v>0.48924768518518519</v>
      </c>
      <c r="AA3097" s="566">
        <f t="shared" si="360"/>
        <v>1.2615740740740733E-2</v>
      </c>
    </row>
    <row r="3098" spans="1:27" x14ac:dyDescent="0.3">
      <c r="A3098" s="79" t="s">
        <v>10255</v>
      </c>
      <c r="C3098" s="115">
        <v>44047</v>
      </c>
      <c r="D3098" s="312">
        <v>44082</v>
      </c>
      <c r="E3098" s="81">
        <v>44077</v>
      </c>
      <c r="F3098" s="86" t="s">
        <v>10313</v>
      </c>
      <c r="G3098" s="86" t="s">
        <v>157</v>
      </c>
      <c r="H3098" s="96" t="s">
        <v>213</v>
      </c>
      <c r="I3098" s="97" t="s">
        <v>995</v>
      </c>
      <c r="J3098" s="73">
        <f t="shared" si="358"/>
        <v>1</v>
      </c>
      <c r="K3098" s="74" t="s">
        <v>204</v>
      </c>
      <c r="L3098" s="97" t="s">
        <v>7073</v>
      </c>
      <c r="N3098" s="76" t="s">
        <v>19</v>
      </c>
      <c r="Q3098" s="76" t="s">
        <v>2076</v>
      </c>
      <c r="R3098" s="73">
        <f t="shared" si="359"/>
        <v>1</v>
      </c>
      <c r="S3098" s="260" t="s">
        <v>1976</v>
      </c>
      <c r="T3098" s="260" t="s">
        <v>923</v>
      </c>
      <c r="Y3098" s="566">
        <v>0.52517361111111105</v>
      </c>
      <c r="Z3098" s="566">
        <v>0.53142361111111114</v>
      </c>
      <c r="AA3098" s="566">
        <f t="shared" si="360"/>
        <v>6.2500000000000888E-3</v>
      </c>
    </row>
    <row r="3099" spans="1:27" x14ac:dyDescent="0.3">
      <c r="A3099" s="79" t="s">
        <v>10256</v>
      </c>
      <c r="C3099" s="115">
        <v>44047</v>
      </c>
      <c r="D3099" s="312">
        <v>44083</v>
      </c>
      <c r="E3099" s="81">
        <v>44077</v>
      </c>
      <c r="F3099" s="86" t="s">
        <v>10314</v>
      </c>
      <c r="G3099" s="86" t="s">
        <v>152</v>
      </c>
      <c r="H3099" s="96" t="s">
        <v>213</v>
      </c>
      <c r="I3099" s="97" t="s">
        <v>642</v>
      </c>
      <c r="J3099" s="73">
        <f t="shared" si="358"/>
        <v>1</v>
      </c>
      <c r="K3099" s="74" t="s">
        <v>204</v>
      </c>
      <c r="L3099" s="97" t="s">
        <v>9818</v>
      </c>
      <c r="N3099" s="76" t="s">
        <v>18</v>
      </c>
      <c r="Q3099" s="76" t="s">
        <v>2076</v>
      </c>
      <c r="R3099" s="73">
        <f t="shared" si="359"/>
        <v>1</v>
      </c>
      <c r="S3099" s="260" t="s">
        <v>1976</v>
      </c>
      <c r="T3099" s="260" t="s">
        <v>923</v>
      </c>
      <c r="Y3099" s="566">
        <v>0.62788194444444445</v>
      </c>
      <c r="Z3099" s="566">
        <v>0.63868055555555558</v>
      </c>
      <c r="AA3099" s="566">
        <f t="shared" si="360"/>
        <v>1.0798611111111134E-2</v>
      </c>
    </row>
    <row r="3100" spans="1:27" x14ac:dyDescent="0.3">
      <c r="A3100" s="79" t="s">
        <v>10257</v>
      </c>
      <c r="C3100" s="115">
        <v>44047</v>
      </c>
      <c r="D3100" s="312">
        <v>44083</v>
      </c>
      <c r="E3100" s="81">
        <v>44077</v>
      </c>
      <c r="F3100" s="86" t="s">
        <v>10315</v>
      </c>
      <c r="G3100" s="86" t="s">
        <v>1682</v>
      </c>
      <c r="H3100" s="96" t="s">
        <v>213</v>
      </c>
      <c r="I3100" s="97" t="s">
        <v>642</v>
      </c>
      <c r="J3100" s="73">
        <f t="shared" si="358"/>
        <v>1</v>
      </c>
      <c r="K3100" s="74" t="s">
        <v>204</v>
      </c>
      <c r="L3100" s="97" t="s">
        <v>7110</v>
      </c>
      <c r="N3100" s="76" t="s">
        <v>18</v>
      </c>
      <c r="Q3100" s="76" t="s">
        <v>2076</v>
      </c>
      <c r="R3100" s="73">
        <f t="shared" si="359"/>
        <v>1</v>
      </c>
      <c r="S3100" s="260" t="s">
        <v>1976</v>
      </c>
      <c r="T3100" s="260" t="s">
        <v>924</v>
      </c>
      <c r="Y3100" s="566">
        <v>0.63924768518518515</v>
      </c>
      <c r="Z3100" s="566">
        <v>0.64473379629629635</v>
      </c>
      <c r="AA3100" s="566">
        <f t="shared" si="360"/>
        <v>5.4861111111111915E-3</v>
      </c>
    </row>
    <row r="3101" spans="1:27" x14ac:dyDescent="0.3">
      <c r="A3101" s="79" t="s">
        <v>10258</v>
      </c>
      <c r="C3101" s="115">
        <v>44047</v>
      </c>
      <c r="D3101" s="312">
        <v>44082</v>
      </c>
      <c r="E3101" s="81">
        <v>44076</v>
      </c>
      <c r="F3101" s="86" t="s">
        <v>10316</v>
      </c>
      <c r="G3101" s="86" t="s">
        <v>150</v>
      </c>
      <c r="H3101" s="96" t="s">
        <v>213</v>
      </c>
      <c r="I3101" s="97" t="s">
        <v>642</v>
      </c>
      <c r="J3101" s="73">
        <f t="shared" si="358"/>
        <v>1</v>
      </c>
      <c r="K3101" s="74" t="s">
        <v>204</v>
      </c>
      <c r="L3101" s="97" t="s">
        <v>7108</v>
      </c>
      <c r="N3101" s="76" t="s">
        <v>18</v>
      </c>
      <c r="Q3101" s="76" t="s">
        <v>2037</v>
      </c>
      <c r="R3101" s="73">
        <f t="shared" si="359"/>
        <v>1</v>
      </c>
      <c r="S3101" s="260" t="s">
        <v>1976</v>
      </c>
      <c r="T3101" s="260" t="s">
        <v>923</v>
      </c>
      <c r="Y3101" s="566">
        <v>0.61274305555555553</v>
      </c>
      <c r="Z3101" s="566">
        <v>0.61736111111111114</v>
      </c>
      <c r="AA3101" s="566">
        <f t="shared" si="360"/>
        <v>4.6180555555556113E-3</v>
      </c>
    </row>
    <row r="3102" spans="1:27" x14ac:dyDescent="0.3">
      <c r="A3102" s="79" t="s">
        <v>10259</v>
      </c>
      <c r="C3102" s="115">
        <v>44047</v>
      </c>
      <c r="D3102" s="312">
        <v>44083</v>
      </c>
      <c r="E3102" s="81">
        <v>44076</v>
      </c>
      <c r="F3102" s="86" t="s">
        <v>10317</v>
      </c>
      <c r="G3102" s="86" t="s">
        <v>4686</v>
      </c>
      <c r="H3102" s="96" t="s">
        <v>213</v>
      </c>
      <c r="I3102" s="97" t="s">
        <v>642</v>
      </c>
      <c r="J3102" s="73">
        <f t="shared" si="358"/>
        <v>1</v>
      </c>
      <c r="K3102" s="74" t="s">
        <v>204</v>
      </c>
      <c r="L3102" s="97" t="s">
        <v>7069</v>
      </c>
      <c r="N3102" s="76" t="s">
        <v>18</v>
      </c>
      <c r="Q3102" s="76" t="s">
        <v>2037</v>
      </c>
      <c r="R3102" s="73">
        <f t="shared" si="359"/>
        <v>1</v>
      </c>
      <c r="S3102" s="260" t="s">
        <v>1976</v>
      </c>
      <c r="T3102" s="260" t="s">
        <v>924</v>
      </c>
      <c r="Y3102" s="566">
        <v>0.79993055555555559</v>
      </c>
      <c r="Z3102" s="566">
        <v>0.87549768518518523</v>
      </c>
      <c r="AA3102" s="566">
        <f t="shared" si="360"/>
        <v>7.5567129629629637E-2</v>
      </c>
    </row>
    <row r="3103" spans="1:27" x14ac:dyDescent="0.3">
      <c r="A3103" s="79" t="s">
        <v>10260</v>
      </c>
      <c r="C3103" s="115">
        <v>44047</v>
      </c>
      <c r="D3103" s="312">
        <v>44082</v>
      </c>
      <c r="E3103" s="81">
        <v>44076</v>
      </c>
      <c r="F3103" s="86" t="s">
        <v>10318</v>
      </c>
      <c r="G3103" s="86" t="s">
        <v>150</v>
      </c>
      <c r="H3103" s="96" t="s">
        <v>213</v>
      </c>
      <c r="I3103" s="97" t="s">
        <v>714</v>
      </c>
      <c r="J3103" s="73">
        <f t="shared" si="358"/>
        <v>1</v>
      </c>
      <c r="K3103" s="74" t="s">
        <v>204</v>
      </c>
      <c r="L3103" s="97" t="s">
        <v>8076</v>
      </c>
      <c r="N3103" s="76" t="s">
        <v>17</v>
      </c>
      <c r="Q3103" s="76" t="s">
        <v>5193</v>
      </c>
      <c r="R3103" s="73">
        <f t="shared" si="359"/>
        <v>1</v>
      </c>
      <c r="S3103" s="260" t="s">
        <v>1976</v>
      </c>
      <c r="T3103" s="260" t="s">
        <v>924</v>
      </c>
      <c r="Y3103" s="566">
        <v>0.55337962962962961</v>
      </c>
      <c r="Z3103" s="566">
        <v>0.56057870370370366</v>
      </c>
      <c r="AA3103" s="566">
        <f t="shared" si="360"/>
        <v>7.1990740740740522E-3</v>
      </c>
    </row>
    <row r="3104" spans="1:27" x14ac:dyDescent="0.3">
      <c r="A3104" s="79" t="s">
        <v>10261</v>
      </c>
      <c r="C3104" s="115">
        <v>44047</v>
      </c>
      <c r="D3104" s="312">
        <v>44082</v>
      </c>
      <c r="E3104" s="81">
        <v>44076</v>
      </c>
      <c r="F3104" s="86" t="s">
        <v>10319</v>
      </c>
      <c r="G3104" s="97" t="s">
        <v>8909</v>
      </c>
      <c r="H3104" s="96" t="s">
        <v>213</v>
      </c>
      <c r="I3104" s="97" t="s">
        <v>714</v>
      </c>
      <c r="J3104" s="73">
        <f t="shared" si="358"/>
        <v>1</v>
      </c>
      <c r="K3104" s="74" t="s">
        <v>204</v>
      </c>
      <c r="L3104" s="97" t="s">
        <v>7072</v>
      </c>
      <c r="N3104" s="76" t="s">
        <v>17</v>
      </c>
      <c r="Q3104" s="76" t="s">
        <v>2076</v>
      </c>
      <c r="R3104" s="73">
        <f t="shared" si="359"/>
        <v>1</v>
      </c>
      <c r="S3104" s="260" t="s">
        <v>1976</v>
      </c>
      <c r="T3104" s="260" t="s">
        <v>924</v>
      </c>
      <c r="Y3104" s="566">
        <v>0.72815972222222225</v>
      </c>
      <c r="Z3104" s="566">
        <v>0.73681712962962964</v>
      </c>
      <c r="AA3104" s="566">
        <f t="shared" si="360"/>
        <v>8.6574074074073915E-3</v>
      </c>
    </row>
    <row r="3105" spans="1:27" x14ac:dyDescent="0.3">
      <c r="A3105" s="79" t="s">
        <v>10262</v>
      </c>
      <c r="C3105" s="115">
        <v>44047</v>
      </c>
      <c r="D3105" s="312">
        <v>44082</v>
      </c>
      <c r="E3105" s="81">
        <v>44076</v>
      </c>
      <c r="F3105" s="86" t="s">
        <v>10320</v>
      </c>
      <c r="G3105" s="86" t="s">
        <v>156</v>
      </c>
      <c r="H3105" s="96" t="s">
        <v>213</v>
      </c>
      <c r="I3105" s="97" t="s">
        <v>722</v>
      </c>
      <c r="J3105" s="73">
        <f t="shared" si="358"/>
        <v>1</v>
      </c>
      <c r="K3105" s="74" t="s">
        <v>204</v>
      </c>
      <c r="L3105" s="97" t="s">
        <v>10373</v>
      </c>
      <c r="N3105" s="76" t="s">
        <v>17</v>
      </c>
      <c r="Q3105" s="76" t="s">
        <v>5193</v>
      </c>
      <c r="R3105" s="73">
        <f t="shared" si="359"/>
        <v>1</v>
      </c>
      <c r="S3105" s="260" t="s">
        <v>1976</v>
      </c>
      <c r="T3105" s="260" t="s">
        <v>923</v>
      </c>
      <c r="U3105" s="76" t="s">
        <v>5283</v>
      </c>
      <c r="V3105" s="301" t="s">
        <v>10374</v>
      </c>
      <c r="Y3105" s="566">
        <v>0.56096064814814817</v>
      </c>
      <c r="Z3105" s="566">
        <v>0.58793981481481483</v>
      </c>
      <c r="AA3105" s="566">
        <f t="shared" si="360"/>
        <v>2.6979166666666665E-2</v>
      </c>
    </row>
    <row r="3106" spans="1:27" x14ac:dyDescent="0.3">
      <c r="A3106" s="79" t="s">
        <v>10263</v>
      </c>
      <c r="C3106" s="115">
        <v>44048</v>
      </c>
      <c r="D3106" s="312">
        <v>44083</v>
      </c>
      <c r="E3106" s="81">
        <v>44077</v>
      </c>
      <c r="F3106" s="86" t="s">
        <v>10321</v>
      </c>
      <c r="G3106" s="86" t="s">
        <v>147</v>
      </c>
      <c r="H3106" s="96" t="s">
        <v>213</v>
      </c>
      <c r="I3106" s="97" t="s">
        <v>645</v>
      </c>
      <c r="J3106" s="73">
        <f t="shared" si="358"/>
        <v>1</v>
      </c>
      <c r="K3106" s="74" t="s">
        <v>204</v>
      </c>
      <c r="L3106" s="97" t="s">
        <v>10382</v>
      </c>
      <c r="N3106" s="76" t="s">
        <v>18</v>
      </c>
      <c r="Q3106" s="76" t="s">
        <v>2037</v>
      </c>
      <c r="R3106" s="73">
        <f t="shared" si="359"/>
        <v>1</v>
      </c>
      <c r="S3106" s="260" t="s">
        <v>1976</v>
      </c>
      <c r="T3106" s="260" t="s">
        <v>923</v>
      </c>
      <c r="Y3106" s="566">
        <v>0.48533564814814811</v>
      </c>
      <c r="Z3106" s="566">
        <v>0.49292824074074071</v>
      </c>
      <c r="AA3106" s="566">
        <f t="shared" si="360"/>
        <v>7.5925925925925952E-3</v>
      </c>
    </row>
    <row r="3107" spans="1:27" x14ac:dyDescent="0.3">
      <c r="A3107" s="79" t="s">
        <v>10264</v>
      </c>
      <c r="C3107" s="115">
        <v>44048</v>
      </c>
      <c r="D3107" s="312">
        <v>44083</v>
      </c>
      <c r="E3107" s="81">
        <v>44076</v>
      </c>
      <c r="F3107" s="86" t="s">
        <v>10322</v>
      </c>
      <c r="G3107" s="86" t="s">
        <v>150</v>
      </c>
      <c r="H3107" s="96" t="s">
        <v>213</v>
      </c>
      <c r="I3107" s="97" t="s">
        <v>645</v>
      </c>
      <c r="J3107" s="73">
        <f t="shared" si="358"/>
        <v>1</v>
      </c>
      <c r="K3107" s="74" t="s">
        <v>204</v>
      </c>
      <c r="L3107" s="97" t="s">
        <v>10375</v>
      </c>
      <c r="N3107" s="76" t="s">
        <v>17</v>
      </c>
      <c r="Q3107" s="76" t="s">
        <v>5193</v>
      </c>
      <c r="R3107" s="73">
        <f t="shared" si="359"/>
        <v>1</v>
      </c>
      <c r="S3107" s="260" t="s">
        <v>1976</v>
      </c>
      <c r="T3107" s="260" t="s">
        <v>923</v>
      </c>
      <c r="U3107" s="76" t="s">
        <v>5283</v>
      </c>
      <c r="V3107" s="301" t="s">
        <v>10376</v>
      </c>
      <c r="Y3107" s="566">
        <v>0.73892361111111116</v>
      </c>
      <c r="Z3107" s="566">
        <v>0.76250000000000007</v>
      </c>
      <c r="AA3107" s="566">
        <f t="shared" si="360"/>
        <v>2.3576388888888911E-2</v>
      </c>
    </row>
    <row r="3108" spans="1:27" x14ac:dyDescent="0.3">
      <c r="A3108" s="79" t="s">
        <v>10265</v>
      </c>
      <c r="C3108" s="115">
        <v>44048</v>
      </c>
      <c r="D3108" s="312">
        <v>44083</v>
      </c>
      <c r="E3108" s="81">
        <v>44077</v>
      </c>
      <c r="F3108" s="86" t="s">
        <v>10323</v>
      </c>
      <c r="G3108" s="86" t="s">
        <v>181</v>
      </c>
      <c r="H3108" s="96" t="s">
        <v>213</v>
      </c>
      <c r="I3108" s="97" t="s">
        <v>714</v>
      </c>
      <c r="J3108" s="73">
        <f t="shared" si="358"/>
        <v>1</v>
      </c>
      <c r="K3108" s="74" t="s">
        <v>204</v>
      </c>
      <c r="L3108" s="97" t="s">
        <v>7072</v>
      </c>
      <c r="N3108" s="76" t="s">
        <v>17</v>
      </c>
      <c r="Q3108" s="76" t="s">
        <v>5193</v>
      </c>
      <c r="R3108" s="73">
        <f t="shared" si="359"/>
        <v>1</v>
      </c>
      <c r="S3108" s="260" t="s">
        <v>1976</v>
      </c>
      <c r="T3108" s="260" t="s">
        <v>924</v>
      </c>
      <c r="Y3108" s="566">
        <v>0.42914351851851856</v>
      </c>
      <c r="Z3108" s="566">
        <v>0.43429398148148146</v>
      </c>
      <c r="AA3108" s="566">
        <f t="shared" si="360"/>
        <v>5.1504629629628984E-3</v>
      </c>
    </row>
    <row r="3109" spans="1:27" x14ac:dyDescent="0.3">
      <c r="A3109" s="79" t="s">
        <v>10266</v>
      </c>
      <c r="C3109" s="115">
        <v>44048</v>
      </c>
      <c r="D3109" s="312">
        <v>44084</v>
      </c>
      <c r="E3109" s="81">
        <v>44078</v>
      </c>
      <c r="F3109" s="86" t="s">
        <v>10324</v>
      </c>
      <c r="G3109" s="86" t="s">
        <v>9119</v>
      </c>
      <c r="H3109" s="96" t="s">
        <v>213</v>
      </c>
      <c r="I3109" s="97" t="s">
        <v>714</v>
      </c>
      <c r="J3109" s="73">
        <f t="shared" si="358"/>
        <v>1</v>
      </c>
      <c r="K3109" s="74" t="s">
        <v>204</v>
      </c>
      <c r="L3109" s="97" t="s">
        <v>7063</v>
      </c>
      <c r="N3109" s="76" t="s">
        <v>17</v>
      </c>
      <c r="Q3109" s="76" t="s">
        <v>5193</v>
      </c>
      <c r="R3109" s="73">
        <f t="shared" si="359"/>
        <v>1</v>
      </c>
      <c r="S3109" s="260" t="s">
        <v>1976</v>
      </c>
      <c r="T3109" s="260" t="s">
        <v>924</v>
      </c>
      <c r="X3109" s="301" t="s">
        <v>10394</v>
      </c>
      <c r="Y3109" s="566">
        <v>0.4306828703703704</v>
      </c>
      <c r="Z3109" s="566">
        <v>0.44002314814814819</v>
      </c>
      <c r="AA3109" s="566">
        <f t="shared" si="360"/>
        <v>9.3402777777777946E-3</v>
      </c>
    </row>
    <row r="3110" spans="1:27" x14ac:dyDescent="0.3">
      <c r="A3110" s="79" t="s">
        <v>10267</v>
      </c>
      <c r="C3110" s="115">
        <v>44049</v>
      </c>
      <c r="D3110" s="312">
        <v>44085</v>
      </c>
      <c r="E3110" s="81">
        <v>44081</v>
      </c>
      <c r="F3110" s="86" t="s">
        <v>10325</v>
      </c>
      <c r="G3110" s="86" t="s">
        <v>166</v>
      </c>
      <c r="H3110" s="96" t="s">
        <v>213</v>
      </c>
      <c r="I3110" s="97" t="s">
        <v>642</v>
      </c>
      <c r="J3110" s="73">
        <f t="shared" si="358"/>
        <v>1</v>
      </c>
      <c r="K3110" s="74" t="s">
        <v>204</v>
      </c>
      <c r="L3110" s="97" t="s">
        <v>7110</v>
      </c>
      <c r="N3110" s="76" t="s">
        <v>18</v>
      </c>
      <c r="Q3110" s="76" t="s">
        <v>2037</v>
      </c>
      <c r="R3110" s="73">
        <f t="shared" si="359"/>
        <v>1</v>
      </c>
      <c r="S3110" s="260" t="s">
        <v>1976</v>
      </c>
      <c r="T3110" s="260" t="s">
        <v>923</v>
      </c>
      <c r="Y3110" s="566">
        <v>0.3460300925925926</v>
      </c>
      <c r="Z3110" s="566">
        <v>0.35012731481481479</v>
      </c>
      <c r="AA3110" s="566">
        <f t="shared" si="360"/>
        <v>4.0972222222221966E-3</v>
      </c>
    </row>
    <row r="3111" spans="1:27" x14ac:dyDescent="0.3">
      <c r="A3111" s="79" t="s">
        <v>10268</v>
      </c>
      <c r="C3111" s="115">
        <v>44049</v>
      </c>
      <c r="D3111" s="312">
        <v>44085</v>
      </c>
      <c r="E3111" s="81">
        <v>44081</v>
      </c>
      <c r="F3111" s="86" t="s">
        <v>10326</v>
      </c>
      <c r="G3111" s="86" t="s">
        <v>9119</v>
      </c>
      <c r="H3111" s="96" t="s">
        <v>213</v>
      </c>
      <c r="I3111" s="97" t="s">
        <v>642</v>
      </c>
      <c r="J3111" s="73">
        <f t="shared" si="358"/>
        <v>1</v>
      </c>
      <c r="K3111" s="74" t="s">
        <v>204</v>
      </c>
      <c r="L3111" s="97" t="s">
        <v>7069</v>
      </c>
      <c r="N3111" s="76" t="s">
        <v>18</v>
      </c>
      <c r="Q3111" s="76" t="s">
        <v>2037</v>
      </c>
      <c r="R3111" s="73">
        <f t="shared" si="359"/>
        <v>1</v>
      </c>
      <c r="S3111" s="260" t="s">
        <v>1976</v>
      </c>
      <c r="T3111" s="260" t="s">
        <v>923</v>
      </c>
      <c r="Y3111" s="566">
        <v>0.35048611111111111</v>
      </c>
      <c r="Z3111" s="566">
        <v>0.35490740740740739</v>
      </c>
      <c r="AA3111" s="566">
        <f t="shared" si="360"/>
        <v>4.4212962962962843E-3</v>
      </c>
    </row>
    <row r="3112" spans="1:27" x14ac:dyDescent="0.3">
      <c r="A3112" s="79" t="s">
        <v>10269</v>
      </c>
      <c r="C3112" s="115">
        <v>44049</v>
      </c>
      <c r="D3112" s="312">
        <v>44085</v>
      </c>
      <c r="E3112" s="81">
        <v>44081</v>
      </c>
      <c r="F3112" s="86" t="s">
        <v>10327</v>
      </c>
      <c r="G3112" s="86" t="s">
        <v>6493</v>
      </c>
      <c r="H3112" s="96" t="s">
        <v>213</v>
      </c>
      <c r="I3112" s="97" t="s">
        <v>642</v>
      </c>
      <c r="J3112" s="73">
        <f t="shared" si="358"/>
        <v>1</v>
      </c>
      <c r="K3112" s="74" t="s">
        <v>204</v>
      </c>
      <c r="L3112" s="97" t="s">
        <v>7108</v>
      </c>
      <c r="N3112" s="76" t="s">
        <v>18</v>
      </c>
      <c r="Q3112" s="76" t="s">
        <v>2076</v>
      </c>
      <c r="R3112" s="73">
        <f t="shared" si="359"/>
        <v>1</v>
      </c>
      <c r="S3112" s="260" t="s">
        <v>1976</v>
      </c>
      <c r="T3112" s="260" t="s">
        <v>923</v>
      </c>
      <c r="Y3112" s="566">
        <v>0.43287037037037041</v>
      </c>
      <c r="Z3112" s="566">
        <v>0.45200231481481484</v>
      </c>
      <c r="AA3112" s="566">
        <f t="shared" si="360"/>
        <v>1.9131944444444438E-2</v>
      </c>
    </row>
    <row r="3113" spans="1:27" x14ac:dyDescent="0.3">
      <c r="A3113" s="79" t="s">
        <v>10270</v>
      </c>
      <c r="C3113" s="115">
        <v>44049</v>
      </c>
      <c r="D3113" s="312">
        <v>44085</v>
      </c>
      <c r="E3113" s="81">
        <v>44081</v>
      </c>
      <c r="F3113" s="86" t="s">
        <v>10328</v>
      </c>
      <c r="G3113" s="86" t="s">
        <v>166</v>
      </c>
      <c r="H3113" s="96" t="s">
        <v>213</v>
      </c>
      <c r="I3113" s="97" t="s">
        <v>714</v>
      </c>
      <c r="J3113" s="73">
        <f t="shared" si="358"/>
        <v>1</v>
      </c>
      <c r="K3113" s="74" t="s">
        <v>204</v>
      </c>
      <c r="L3113" s="97" t="s">
        <v>10405</v>
      </c>
      <c r="N3113" s="76" t="s">
        <v>17</v>
      </c>
      <c r="Q3113" s="76" t="s">
        <v>2076</v>
      </c>
      <c r="R3113" s="73">
        <f t="shared" si="359"/>
        <v>1</v>
      </c>
      <c r="S3113" s="260" t="s">
        <v>1976</v>
      </c>
      <c r="T3113" s="260" t="s">
        <v>923</v>
      </c>
      <c r="U3113" s="76" t="s">
        <v>5283</v>
      </c>
      <c r="V3113" s="301" t="s">
        <v>10403</v>
      </c>
      <c r="Y3113" s="566">
        <v>0.4931018518518519</v>
      </c>
      <c r="Z3113" s="566">
        <v>0.51945601851851853</v>
      </c>
      <c r="AA3113" s="566">
        <f t="shared" si="360"/>
        <v>2.6354166666666623E-2</v>
      </c>
    </row>
    <row r="3114" spans="1:27" x14ac:dyDescent="0.3">
      <c r="A3114" s="79" t="s">
        <v>10271</v>
      </c>
      <c r="C3114" s="115">
        <v>44049</v>
      </c>
      <c r="D3114" s="312">
        <v>44084</v>
      </c>
      <c r="E3114" s="81">
        <v>44081</v>
      </c>
      <c r="F3114" s="86" t="s">
        <v>10329</v>
      </c>
      <c r="G3114" s="86" t="s">
        <v>166</v>
      </c>
      <c r="H3114" s="96" t="s">
        <v>213</v>
      </c>
      <c r="I3114" s="97" t="s">
        <v>714</v>
      </c>
      <c r="J3114" s="73">
        <f t="shared" si="358"/>
        <v>1</v>
      </c>
      <c r="K3114" s="74" t="s">
        <v>204</v>
      </c>
      <c r="L3114" s="97" t="s">
        <v>7071</v>
      </c>
      <c r="N3114" s="76" t="s">
        <v>18</v>
      </c>
      <c r="Q3114" s="76" t="s">
        <v>2037</v>
      </c>
      <c r="R3114" s="73">
        <f t="shared" si="359"/>
        <v>1</v>
      </c>
      <c r="S3114" s="260" t="s">
        <v>1976</v>
      </c>
      <c r="T3114" s="260" t="s">
        <v>923</v>
      </c>
      <c r="Y3114" s="566">
        <v>0.34033564814814815</v>
      </c>
      <c r="Z3114" s="566">
        <v>0.34569444444444447</v>
      </c>
      <c r="AA3114" s="566">
        <f t="shared" si="360"/>
        <v>5.3587962962963198E-3</v>
      </c>
    </row>
    <row r="3115" spans="1:27" x14ac:dyDescent="0.3">
      <c r="A3115" s="79" t="s">
        <v>10272</v>
      </c>
      <c r="C3115" s="115">
        <v>44049</v>
      </c>
      <c r="D3115" s="312">
        <v>44084</v>
      </c>
      <c r="E3115" s="81">
        <v>44078</v>
      </c>
      <c r="F3115" s="86" t="s">
        <v>10330</v>
      </c>
      <c r="G3115" s="86" t="s">
        <v>147</v>
      </c>
      <c r="H3115" s="96" t="s">
        <v>213</v>
      </c>
      <c r="I3115" s="97" t="s">
        <v>642</v>
      </c>
      <c r="J3115" s="73">
        <f t="shared" si="358"/>
        <v>1</v>
      </c>
      <c r="K3115" s="74" t="s">
        <v>204</v>
      </c>
      <c r="L3115" s="97" t="s">
        <v>7110</v>
      </c>
      <c r="N3115" s="76" t="s">
        <v>18</v>
      </c>
      <c r="Q3115" s="76" t="s">
        <v>2076</v>
      </c>
      <c r="R3115" s="73">
        <f t="shared" si="359"/>
        <v>1</v>
      </c>
      <c r="S3115" s="260" t="s">
        <v>1976</v>
      </c>
      <c r="T3115" s="260" t="s">
        <v>923</v>
      </c>
      <c r="Y3115" s="566">
        <v>0.69010416666666663</v>
      </c>
      <c r="Z3115" s="566">
        <v>0.69775462962962964</v>
      </c>
      <c r="AA3115" s="566">
        <f t="shared" si="360"/>
        <v>7.6504629629630116E-3</v>
      </c>
    </row>
    <row r="3116" spans="1:27" x14ac:dyDescent="0.3">
      <c r="A3116" s="79" t="s">
        <v>10273</v>
      </c>
      <c r="C3116" s="115">
        <v>44049</v>
      </c>
      <c r="D3116" s="312">
        <v>44085</v>
      </c>
      <c r="E3116" s="81">
        <v>44081</v>
      </c>
      <c r="F3116" s="86" t="s">
        <v>10331</v>
      </c>
      <c r="G3116" s="86" t="s">
        <v>168</v>
      </c>
      <c r="H3116" s="79" t="s">
        <v>268</v>
      </c>
      <c r="I3116" s="97" t="s">
        <v>3648</v>
      </c>
      <c r="J3116" s="73">
        <f t="shared" si="358"/>
        <v>1</v>
      </c>
      <c r="K3116" s="74" t="s">
        <v>204</v>
      </c>
      <c r="L3116" s="97" t="s">
        <v>10415</v>
      </c>
      <c r="N3116" s="76" t="s">
        <v>17</v>
      </c>
      <c r="Q3116" s="76" t="s">
        <v>2037</v>
      </c>
      <c r="R3116" s="73">
        <f t="shared" si="359"/>
        <v>1</v>
      </c>
      <c r="S3116" s="260" t="s">
        <v>1976</v>
      </c>
      <c r="T3116" s="260" t="s">
        <v>925</v>
      </c>
      <c r="U3116" s="76" t="s">
        <v>5283</v>
      </c>
      <c r="V3116" s="301" t="s">
        <v>10416</v>
      </c>
      <c r="Y3116" s="566">
        <v>0.64736111111111116</v>
      </c>
      <c r="Z3116" s="566">
        <v>0.69870370370370372</v>
      </c>
      <c r="AA3116" s="566">
        <f t="shared" si="360"/>
        <v>5.1342592592592551E-2</v>
      </c>
    </row>
    <row r="3117" spans="1:27" x14ac:dyDescent="0.3">
      <c r="A3117" s="79" t="s">
        <v>10274</v>
      </c>
      <c r="C3117" s="115">
        <v>44050</v>
      </c>
      <c r="D3117" s="312">
        <v>44085</v>
      </c>
      <c r="E3117" s="81">
        <v>44078</v>
      </c>
      <c r="F3117" s="86" t="s">
        <v>10332</v>
      </c>
      <c r="G3117" s="86" t="s">
        <v>152</v>
      </c>
      <c r="H3117" s="96" t="s">
        <v>213</v>
      </c>
      <c r="I3117" s="97" t="s">
        <v>714</v>
      </c>
      <c r="J3117" s="73">
        <f t="shared" si="358"/>
        <v>1</v>
      </c>
      <c r="K3117" s="74" t="s">
        <v>204</v>
      </c>
      <c r="L3117" s="97" t="s">
        <v>10390</v>
      </c>
      <c r="N3117" s="76" t="s">
        <v>18</v>
      </c>
      <c r="Q3117" s="76" t="s">
        <v>5193</v>
      </c>
      <c r="R3117" s="73">
        <f t="shared" si="359"/>
        <v>1</v>
      </c>
      <c r="S3117" s="260" t="s">
        <v>1976</v>
      </c>
      <c r="T3117" s="260" t="s">
        <v>924</v>
      </c>
      <c r="X3117" s="301" t="s">
        <v>10395</v>
      </c>
      <c r="Y3117" s="566">
        <v>0.44136574074074075</v>
      </c>
      <c r="Z3117" s="566">
        <v>0.45468749999999997</v>
      </c>
      <c r="AA3117" s="566">
        <f t="shared" si="360"/>
        <v>1.3321759259259214E-2</v>
      </c>
    </row>
    <row r="3118" spans="1:27" x14ac:dyDescent="0.3">
      <c r="A3118" s="79" t="s">
        <v>10275</v>
      </c>
      <c r="C3118" s="115">
        <v>44050</v>
      </c>
      <c r="D3118" s="312">
        <v>44085</v>
      </c>
      <c r="E3118" s="81">
        <v>44078</v>
      </c>
      <c r="F3118" s="86" t="s">
        <v>10333</v>
      </c>
      <c r="G3118" s="86" t="s">
        <v>3771</v>
      </c>
      <c r="H3118" s="96" t="s">
        <v>213</v>
      </c>
      <c r="I3118" s="97" t="s">
        <v>714</v>
      </c>
      <c r="J3118" s="73">
        <f t="shared" si="358"/>
        <v>1</v>
      </c>
      <c r="K3118" s="74" t="s">
        <v>204</v>
      </c>
      <c r="L3118" s="97" t="s">
        <v>10391</v>
      </c>
      <c r="N3118" s="76" t="s">
        <v>17</v>
      </c>
      <c r="Q3118" s="76" t="s">
        <v>5193</v>
      </c>
      <c r="R3118" s="73">
        <f t="shared" si="359"/>
        <v>1</v>
      </c>
      <c r="S3118" s="260" t="s">
        <v>1976</v>
      </c>
      <c r="T3118" s="260" t="s">
        <v>923</v>
      </c>
      <c r="Y3118" s="566">
        <v>0.46309027777777773</v>
      </c>
      <c r="Z3118" s="566">
        <v>0.53040509259259261</v>
      </c>
      <c r="AA3118" s="566">
        <f t="shared" si="360"/>
        <v>6.7314814814814883E-2</v>
      </c>
    </row>
    <row r="3119" spans="1:27" x14ac:dyDescent="0.3">
      <c r="A3119" s="79" t="s">
        <v>10276</v>
      </c>
      <c r="C3119" s="115">
        <v>44050</v>
      </c>
      <c r="D3119" s="312">
        <v>44085</v>
      </c>
      <c r="E3119" s="81">
        <v>44081</v>
      </c>
      <c r="F3119" s="86" t="s">
        <v>10334</v>
      </c>
      <c r="G3119" s="86" t="s">
        <v>9119</v>
      </c>
      <c r="H3119" s="96" t="s">
        <v>213</v>
      </c>
      <c r="I3119" s="97" t="s">
        <v>714</v>
      </c>
      <c r="J3119" s="73">
        <f t="shared" si="358"/>
        <v>1</v>
      </c>
      <c r="K3119" s="74" t="s">
        <v>204</v>
      </c>
      <c r="L3119" s="97" t="s">
        <v>10397</v>
      </c>
      <c r="N3119" s="76" t="s">
        <v>17</v>
      </c>
      <c r="Q3119" s="76" t="s">
        <v>5193</v>
      </c>
      <c r="R3119" s="73">
        <f t="shared" si="359"/>
        <v>1</v>
      </c>
      <c r="S3119" s="260" t="s">
        <v>1976</v>
      </c>
      <c r="T3119" s="260" t="s">
        <v>923</v>
      </c>
      <c r="Y3119" s="566">
        <v>0.37637731481481485</v>
      </c>
      <c r="Z3119" s="566">
        <v>0.39516203703703701</v>
      </c>
      <c r="AA3119" s="566">
        <f t="shared" si="360"/>
        <v>1.8784722222222161E-2</v>
      </c>
    </row>
    <row r="3120" spans="1:27" x14ac:dyDescent="0.3">
      <c r="A3120" s="79" t="s">
        <v>10277</v>
      </c>
      <c r="C3120" s="115">
        <v>44057</v>
      </c>
      <c r="D3120" s="312">
        <v>44081</v>
      </c>
      <c r="E3120" s="81">
        <v>44077</v>
      </c>
      <c r="F3120" s="86" t="s">
        <v>10335</v>
      </c>
      <c r="G3120" s="86" t="s">
        <v>157</v>
      </c>
      <c r="H3120" s="96" t="s">
        <v>213</v>
      </c>
      <c r="I3120" s="97" t="s">
        <v>691</v>
      </c>
      <c r="J3120" s="73">
        <f t="shared" si="358"/>
        <v>1</v>
      </c>
      <c r="K3120" s="74" t="s">
        <v>204</v>
      </c>
      <c r="L3120" s="97" t="s">
        <v>10387</v>
      </c>
      <c r="N3120" s="76" t="s">
        <v>18</v>
      </c>
      <c r="Q3120" s="76" t="s">
        <v>2037</v>
      </c>
      <c r="R3120" s="73">
        <f t="shared" si="359"/>
        <v>1</v>
      </c>
      <c r="S3120" s="260" t="s">
        <v>1976</v>
      </c>
      <c r="T3120" s="260" t="s">
        <v>924</v>
      </c>
      <c r="X3120" s="301" t="s">
        <v>10388</v>
      </c>
      <c r="Y3120" s="566">
        <v>0.64512731481481478</v>
      </c>
      <c r="Z3120" s="566">
        <v>0.66293981481481479</v>
      </c>
      <c r="AA3120" s="566">
        <f t="shared" si="360"/>
        <v>1.7812500000000009E-2</v>
      </c>
    </row>
    <row r="3121" spans="1:27" x14ac:dyDescent="0.3">
      <c r="A3121" s="79" t="s">
        <v>10278</v>
      </c>
      <c r="C3121" s="115">
        <v>44060</v>
      </c>
      <c r="D3121" s="312">
        <v>44082</v>
      </c>
      <c r="E3121" s="81">
        <v>44077</v>
      </c>
      <c r="F3121" s="86" t="s">
        <v>10336</v>
      </c>
      <c r="G3121" s="86" t="s">
        <v>154</v>
      </c>
      <c r="H3121" s="96" t="s">
        <v>213</v>
      </c>
      <c r="I3121" s="97" t="s">
        <v>8403</v>
      </c>
      <c r="J3121" s="73">
        <f t="shared" si="358"/>
        <v>1</v>
      </c>
      <c r="K3121" s="74" t="s">
        <v>204</v>
      </c>
      <c r="L3121" s="97" t="s">
        <v>10384</v>
      </c>
      <c r="N3121" s="76" t="s">
        <v>19</v>
      </c>
      <c r="Q3121" s="76" t="s">
        <v>2076</v>
      </c>
      <c r="R3121" s="73">
        <f t="shared" si="359"/>
        <v>1</v>
      </c>
      <c r="S3121" s="260" t="s">
        <v>1976</v>
      </c>
      <c r="T3121" s="260" t="s">
        <v>923</v>
      </c>
      <c r="Y3121" s="566">
        <v>0.50784722222222223</v>
      </c>
      <c r="Z3121" s="566">
        <v>0.5248032407407407</v>
      </c>
      <c r="AA3121" s="566">
        <f t="shared" si="360"/>
        <v>1.6956018518518468E-2</v>
      </c>
    </row>
    <row r="3122" spans="1:27" x14ac:dyDescent="0.3">
      <c r="A3122" s="79" t="s">
        <v>10279</v>
      </c>
      <c r="C3122" s="115">
        <v>44060</v>
      </c>
      <c r="D3122" s="312">
        <v>44082</v>
      </c>
      <c r="E3122" s="81">
        <v>44076</v>
      </c>
      <c r="F3122" s="86" t="s">
        <v>10337</v>
      </c>
      <c r="G3122" s="86" t="s">
        <v>152</v>
      </c>
      <c r="H3122" s="96" t="s">
        <v>213</v>
      </c>
      <c r="I3122" s="97" t="s">
        <v>649</v>
      </c>
      <c r="J3122" s="73">
        <f t="shared" si="358"/>
        <v>1</v>
      </c>
      <c r="K3122" s="74" t="s">
        <v>204</v>
      </c>
      <c r="L3122" s="97" t="s">
        <v>7060</v>
      </c>
      <c r="N3122" s="76" t="s">
        <v>17</v>
      </c>
      <c r="Q3122" s="76" t="s">
        <v>2037</v>
      </c>
      <c r="R3122" s="73">
        <f t="shared" si="359"/>
        <v>1</v>
      </c>
      <c r="S3122" s="260" t="s">
        <v>1976</v>
      </c>
      <c r="T3122" s="260" t="s">
        <v>924</v>
      </c>
      <c r="Y3122" s="566">
        <v>0.61771990740740745</v>
      </c>
      <c r="Z3122" s="566">
        <v>0.6315277777777778</v>
      </c>
      <c r="AA3122" s="566">
        <f t="shared" si="360"/>
        <v>1.3807870370370345E-2</v>
      </c>
    </row>
    <row r="3123" spans="1:27" x14ac:dyDescent="0.3">
      <c r="A3123" s="79" t="s">
        <v>10280</v>
      </c>
      <c r="C3123" s="115">
        <v>44060</v>
      </c>
      <c r="D3123" s="312">
        <v>44082</v>
      </c>
      <c r="E3123" s="81">
        <v>44076</v>
      </c>
      <c r="F3123" s="86" t="s">
        <v>10338</v>
      </c>
      <c r="G3123" s="86" t="s">
        <v>152</v>
      </c>
      <c r="H3123" s="96" t="s">
        <v>213</v>
      </c>
      <c r="I3123" s="97" t="s">
        <v>1204</v>
      </c>
      <c r="J3123" s="73">
        <f t="shared" si="358"/>
        <v>1</v>
      </c>
      <c r="K3123" s="74" t="s">
        <v>204</v>
      </c>
      <c r="L3123" s="97" t="s">
        <v>7346</v>
      </c>
      <c r="N3123" s="76" t="s">
        <v>18</v>
      </c>
      <c r="Q3123" s="76" t="s">
        <v>5193</v>
      </c>
      <c r="R3123" s="73">
        <f t="shared" si="359"/>
        <v>1</v>
      </c>
      <c r="S3123" s="260" t="s">
        <v>1976</v>
      </c>
      <c r="T3123" s="260" t="s">
        <v>924</v>
      </c>
      <c r="Y3123" s="566">
        <v>0.58851851851851855</v>
      </c>
      <c r="Z3123" s="566">
        <v>0.59490740740740744</v>
      </c>
      <c r="AA3123" s="566">
        <f t="shared" si="360"/>
        <v>6.3888888888888884E-3</v>
      </c>
    </row>
    <row r="3124" spans="1:27" x14ac:dyDescent="0.3">
      <c r="A3124" s="79" t="s">
        <v>10281</v>
      </c>
      <c r="C3124" s="115">
        <v>44060</v>
      </c>
      <c r="D3124" s="312">
        <v>44082</v>
      </c>
      <c r="E3124" s="81">
        <v>44076</v>
      </c>
      <c r="F3124" s="86" t="s">
        <v>10339</v>
      </c>
      <c r="G3124" s="86" t="s">
        <v>175</v>
      </c>
      <c r="H3124" s="96" t="s">
        <v>213</v>
      </c>
      <c r="I3124" s="97" t="s">
        <v>649</v>
      </c>
      <c r="J3124" s="73">
        <f t="shared" si="358"/>
        <v>1</v>
      </c>
      <c r="K3124" s="74" t="s">
        <v>204</v>
      </c>
      <c r="L3124" s="97" t="s">
        <v>7060</v>
      </c>
      <c r="N3124" s="76" t="s">
        <v>17</v>
      </c>
      <c r="Q3124" s="76" t="s">
        <v>2037</v>
      </c>
      <c r="R3124" s="73">
        <f t="shared" si="359"/>
        <v>1</v>
      </c>
      <c r="S3124" s="260" t="s">
        <v>1976</v>
      </c>
      <c r="T3124" s="260" t="s">
        <v>924</v>
      </c>
      <c r="Y3124" s="566">
        <v>0.63368055555555558</v>
      </c>
      <c r="Z3124" s="566">
        <v>0.6676157407407407</v>
      </c>
      <c r="AA3124" s="566">
        <f t="shared" si="360"/>
        <v>3.3935185185185124E-2</v>
      </c>
    </row>
    <row r="3125" spans="1:27" x14ac:dyDescent="0.3">
      <c r="A3125" s="79" t="s">
        <v>10282</v>
      </c>
      <c r="C3125" s="115">
        <v>44061</v>
      </c>
      <c r="D3125" s="312">
        <v>44083</v>
      </c>
      <c r="E3125" s="81">
        <v>44077</v>
      </c>
      <c r="F3125" s="86" t="s">
        <v>10340</v>
      </c>
      <c r="G3125" s="86" t="s">
        <v>150</v>
      </c>
      <c r="H3125" s="96" t="s">
        <v>213</v>
      </c>
      <c r="I3125" s="97" t="s">
        <v>1204</v>
      </c>
      <c r="J3125" s="73">
        <f t="shared" si="358"/>
        <v>1</v>
      </c>
      <c r="K3125" s="74" t="s">
        <v>204</v>
      </c>
      <c r="L3125" s="97" t="s">
        <v>7872</v>
      </c>
      <c r="N3125" s="76" t="s">
        <v>18</v>
      </c>
      <c r="Q3125" s="76" t="s">
        <v>2076</v>
      </c>
      <c r="R3125" s="73">
        <f t="shared" si="359"/>
        <v>1</v>
      </c>
      <c r="S3125" s="260" t="s">
        <v>1976</v>
      </c>
      <c r="T3125" s="260" t="s">
        <v>924</v>
      </c>
      <c r="Y3125" s="566">
        <v>0.49788194444444445</v>
      </c>
      <c r="Z3125" s="566">
        <v>0.50539351851851855</v>
      </c>
      <c r="AA3125" s="566">
        <f t="shared" si="360"/>
        <v>7.511574074074101E-3</v>
      </c>
    </row>
    <row r="3126" spans="1:27" x14ac:dyDescent="0.3">
      <c r="A3126" s="79" t="s">
        <v>10283</v>
      </c>
      <c r="C3126" s="115">
        <v>44061</v>
      </c>
      <c r="D3126" s="312">
        <v>44082</v>
      </c>
      <c r="E3126" s="81">
        <v>44076</v>
      </c>
      <c r="F3126" s="86" t="s">
        <v>10341</v>
      </c>
      <c r="G3126" s="86" t="s">
        <v>9119</v>
      </c>
      <c r="H3126" s="96" t="s">
        <v>213</v>
      </c>
      <c r="I3126" s="97" t="s">
        <v>649</v>
      </c>
      <c r="J3126" s="73">
        <f t="shared" si="358"/>
        <v>1</v>
      </c>
      <c r="K3126" s="74" t="s">
        <v>204</v>
      </c>
      <c r="L3126" s="97" t="s">
        <v>7060</v>
      </c>
      <c r="N3126" s="76" t="s">
        <v>17</v>
      </c>
      <c r="Q3126" s="76" t="s">
        <v>5193</v>
      </c>
      <c r="R3126" s="73">
        <f t="shared" si="359"/>
        <v>1</v>
      </c>
      <c r="S3126" s="260" t="s">
        <v>1976</v>
      </c>
      <c r="T3126" s="260" t="s">
        <v>924</v>
      </c>
      <c r="U3126" s="76" t="s">
        <v>5283</v>
      </c>
      <c r="V3126" s="301" t="s">
        <v>6725</v>
      </c>
      <c r="Y3126" s="566">
        <v>0.59777777777777785</v>
      </c>
      <c r="Z3126" s="566">
        <v>0.6106597222222222</v>
      </c>
      <c r="AA3126" s="566">
        <f t="shared" si="360"/>
        <v>1.2881944444444349E-2</v>
      </c>
    </row>
    <row r="3127" spans="1:27" x14ac:dyDescent="0.3">
      <c r="A3127" s="79" t="s">
        <v>10284</v>
      </c>
      <c r="C3127" s="115">
        <v>44061</v>
      </c>
      <c r="D3127" s="312">
        <v>44082</v>
      </c>
      <c r="E3127" s="81">
        <v>44075</v>
      </c>
      <c r="F3127" s="86" t="s">
        <v>10342</v>
      </c>
      <c r="G3127" s="86" t="s">
        <v>410</v>
      </c>
      <c r="H3127" s="96" t="s">
        <v>213</v>
      </c>
      <c r="I3127" s="97" t="s">
        <v>622</v>
      </c>
      <c r="J3127" s="73">
        <f t="shared" si="358"/>
        <v>1</v>
      </c>
      <c r="K3127" s="74" t="s">
        <v>204</v>
      </c>
      <c r="L3127" s="97" t="s">
        <v>10369</v>
      </c>
      <c r="N3127" s="76" t="s">
        <v>19</v>
      </c>
      <c r="Q3127" s="76" t="s">
        <v>2076</v>
      </c>
      <c r="R3127" s="73">
        <f t="shared" si="359"/>
        <v>1</v>
      </c>
      <c r="S3127" s="260" t="s">
        <v>1976</v>
      </c>
      <c r="T3127" s="260" t="s">
        <v>924</v>
      </c>
      <c r="Y3127" s="566">
        <v>0.54166666666666663</v>
      </c>
      <c r="Z3127" s="566">
        <v>0.55555555555555558</v>
      </c>
      <c r="AA3127" s="566">
        <f t="shared" si="360"/>
        <v>1.3888888888888951E-2</v>
      </c>
    </row>
    <row r="3128" spans="1:27" x14ac:dyDescent="0.3">
      <c r="A3128" s="79" t="s">
        <v>10285</v>
      </c>
      <c r="C3128" s="115">
        <v>44061</v>
      </c>
      <c r="D3128" s="312">
        <v>44082</v>
      </c>
      <c r="E3128" s="81">
        <v>44075</v>
      </c>
      <c r="F3128" s="86" t="s">
        <v>10343</v>
      </c>
      <c r="G3128" s="86" t="s">
        <v>181</v>
      </c>
      <c r="H3128" s="96" t="s">
        <v>213</v>
      </c>
      <c r="I3128" s="97" t="s">
        <v>722</v>
      </c>
      <c r="J3128" s="73">
        <f t="shared" si="358"/>
        <v>1</v>
      </c>
      <c r="K3128" s="74" t="s">
        <v>204</v>
      </c>
      <c r="L3128" s="97" t="s">
        <v>10366</v>
      </c>
      <c r="N3128" s="76" t="s">
        <v>18</v>
      </c>
      <c r="Q3128" s="76" t="s">
        <v>2076</v>
      </c>
      <c r="R3128" s="73">
        <f t="shared" si="359"/>
        <v>1</v>
      </c>
      <c r="S3128" s="260" t="s">
        <v>1976</v>
      </c>
      <c r="T3128" s="260" t="s">
        <v>924</v>
      </c>
      <c r="U3128" s="76" t="s">
        <v>5283</v>
      </c>
      <c r="V3128" s="301" t="s">
        <v>10367</v>
      </c>
      <c r="Y3128" s="566">
        <v>0.5345833333333333</v>
      </c>
      <c r="Z3128" s="566">
        <v>0.54078703703703701</v>
      </c>
      <c r="AA3128" s="566">
        <f t="shared" si="360"/>
        <v>6.2037037037037113E-3</v>
      </c>
    </row>
    <row r="3129" spans="1:27" x14ac:dyDescent="0.3">
      <c r="A3129" s="79" t="s">
        <v>10286</v>
      </c>
      <c r="C3129" s="115">
        <v>44061</v>
      </c>
      <c r="D3129" s="312">
        <v>44082</v>
      </c>
      <c r="E3129" s="81">
        <v>44082</v>
      </c>
      <c r="F3129" s="86" t="s">
        <v>10344</v>
      </c>
      <c r="G3129" s="86" t="s">
        <v>1384</v>
      </c>
      <c r="H3129" s="96" t="s">
        <v>213</v>
      </c>
      <c r="I3129" s="97" t="s">
        <v>995</v>
      </c>
      <c r="J3129" s="73">
        <f t="shared" si="358"/>
        <v>1</v>
      </c>
      <c r="K3129" s="74" t="s">
        <v>204</v>
      </c>
      <c r="L3129" s="97" t="s">
        <v>7073</v>
      </c>
      <c r="N3129" s="76" t="s">
        <v>19</v>
      </c>
      <c r="Q3129" s="76" t="s">
        <v>2037</v>
      </c>
      <c r="R3129" s="73">
        <f t="shared" si="359"/>
        <v>1</v>
      </c>
      <c r="S3129" s="260" t="s">
        <v>1976</v>
      </c>
      <c r="T3129" s="260" t="s">
        <v>925</v>
      </c>
      <c r="Y3129" s="566">
        <v>0.48472222222222222</v>
      </c>
      <c r="Z3129" s="566">
        <v>0.48988425925925921</v>
      </c>
      <c r="AA3129" s="566">
        <f t="shared" si="360"/>
        <v>5.1620370370369928E-3</v>
      </c>
    </row>
    <row r="3130" spans="1:27" x14ac:dyDescent="0.3">
      <c r="A3130" s="79" t="s">
        <v>10287</v>
      </c>
      <c r="C3130" s="115">
        <v>44061</v>
      </c>
      <c r="D3130" s="312">
        <v>44083</v>
      </c>
      <c r="E3130" s="81">
        <v>44078</v>
      </c>
      <c r="F3130" s="86" t="s">
        <v>10345</v>
      </c>
      <c r="G3130" s="86" t="s">
        <v>181</v>
      </c>
      <c r="H3130" s="96" t="s">
        <v>213</v>
      </c>
      <c r="I3130" s="97" t="s">
        <v>649</v>
      </c>
      <c r="J3130" s="73">
        <f t="shared" si="358"/>
        <v>1</v>
      </c>
      <c r="K3130" s="74" t="s">
        <v>204</v>
      </c>
      <c r="L3130" s="97" t="s">
        <v>10389</v>
      </c>
      <c r="N3130" s="76" t="s">
        <v>8990</v>
      </c>
      <c r="Q3130" s="76" t="s">
        <v>2037</v>
      </c>
      <c r="R3130" s="73">
        <f t="shared" si="359"/>
        <v>1</v>
      </c>
      <c r="S3130" s="260" t="s">
        <v>1976</v>
      </c>
      <c r="T3130" s="260" t="s">
        <v>923</v>
      </c>
      <c r="Y3130" s="566">
        <v>0.42136574074074074</v>
      </c>
      <c r="Z3130" s="566">
        <v>0.42921296296296302</v>
      </c>
      <c r="AA3130" s="566">
        <f t="shared" si="360"/>
        <v>7.8472222222222832E-3</v>
      </c>
    </row>
    <row r="3131" spans="1:27" x14ac:dyDescent="0.3">
      <c r="A3131" s="79" t="s">
        <v>10288</v>
      </c>
      <c r="C3131" s="115">
        <v>44062</v>
      </c>
      <c r="D3131" s="312">
        <v>44083</v>
      </c>
      <c r="E3131" s="81">
        <v>44081</v>
      </c>
      <c r="F3131" s="86" t="s">
        <v>10346</v>
      </c>
      <c r="G3131" s="86" t="s">
        <v>154</v>
      </c>
      <c r="H3131" s="96" t="s">
        <v>213</v>
      </c>
      <c r="I3131" s="97" t="s">
        <v>995</v>
      </c>
      <c r="J3131" s="73">
        <f t="shared" si="358"/>
        <v>1</v>
      </c>
      <c r="K3131" s="74" t="s">
        <v>204</v>
      </c>
      <c r="L3131" s="97" t="s">
        <v>10404</v>
      </c>
      <c r="N3131" s="76" t="s">
        <v>19</v>
      </c>
      <c r="Q3131" s="76" t="s">
        <v>5193</v>
      </c>
      <c r="R3131" s="73">
        <f t="shared" si="359"/>
        <v>1</v>
      </c>
      <c r="S3131" s="260" t="s">
        <v>1976</v>
      </c>
      <c r="T3131" s="260" t="s">
        <v>923</v>
      </c>
      <c r="Y3131" s="566">
        <v>0.52016203703703701</v>
      </c>
      <c r="Z3131" s="566">
        <v>0.53401620370370373</v>
      </c>
      <c r="AA3131" s="566">
        <f t="shared" si="360"/>
        <v>1.3854166666666723E-2</v>
      </c>
    </row>
    <row r="3132" spans="1:27" x14ac:dyDescent="0.3">
      <c r="A3132" s="79" t="s">
        <v>10289</v>
      </c>
      <c r="C3132" s="115">
        <v>44062</v>
      </c>
      <c r="D3132" s="312">
        <v>44083</v>
      </c>
      <c r="E3132" s="81">
        <v>44077</v>
      </c>
      <c r="F3132" s="86" t="s">
        <v>10347</v>
      </c>
      <c r="G3132" s="86" t="s">
        <v>156</v>
      </c>
      <c r="H3132" s="96" t="s">
        <v>213</v>
      </c>
      <c r="I3132" s="97" t="s">
        <v>649</v>
      </c>
      <c r="J3132" s="73">
        <f t="shared" ref="J3132:J3145" si="361">IF(OR(K3132="Документы готовы",K3132="Запрос в ФО",K3132="ЭЗ",K3132="РЕШ",K3132="РЕШ шаблон"),0.1,IF(OR(K3132="ЭЗ согласование",K3132="РЕШ согласование"),0.3,IF(OR(K3132="ЭЗ согласовано",K3132="РЕШ согласовано",K3132="РЕШ подписано"),0.6,IF(OR(K3132="ЭЗ ПР согласование",K3132="РЕШ УВ согласование"),0.9,IF(OR(K3132="ЭЗ ПР DONE",K3132="РЕШ УВ DONE"),1,0)))))</f>
        <v>1</v>
      </c>
      <c r="K3132" s="74" t="s">
        <v>204</v>
      </c>
      <c r="L3132" s="97" t="s">
        <v>7089</v>
      </c>
      <c r="N3132" s="76" t="s">
        <v>8990</v>
      </c>
      <c r="Q3132" s="301" t="s">
        <v>5193</v>
      </c>
      <c r="R3132" s="73">
        <f t="shared" ref="R3132:R3145" si="362">IF(S3132="В работе",0.3,IF(S3132="Отписано",0.6,IF(S3132="На доработку",0.9,IF(S3132="Согласовано",1,0))))</f>
        <v>1</v>
      </c>
      <c r="S3132" s="260" t="s">
        <v>1976</v>
      </c>
      <c r="T3132" s="260" t="s">
        <v>923</v>
      </c>
      <c r="Y3132" s="566">
        <v>0.43489583333333331</v>
      </c>
      <c r="Z3132" s="566">
        <v>0.44526620370370368</v>
      </c>
      <c r="AA3132" s="566">
        <f t="shared" ref="AA3132:AA3145" si="363">Z3132-Y3132</f>
        <v>1.0370370370370363E-2</v>
      </c>
    </row>
    <row r="3133" spans="1:27" x14ac:dyDescent="0.3">
      <c r="A3133" s="79" t="s">
        <v>10290</v>
      </c>
      <c r="C3133" s="115">
        <v>44062</v>
      </c>
      <c r="D3133" s="312">
        <v>44083</v>
      </c>
      <c r="E3133" s="81">
        <v>44077</v>
      </c>
      <c r="F3133" s="86" t="s">
        <v>10348</v>
      </c>
      <c r="G3133" s="86" t="s">
        <v>154</v>
      </c>
      <c r="H3133" s="96" t="s">
        <v>213</v>
      </c>
      <c r="I3133" s="97" t="s">
        <v>658</v>
      </c>
      <c r="J3133" s="73">
        <f t="shared" si="361"/>
        <v>1</v>
      </c>
      <c r="K3133" s="74" t="s">
        <v>204</v>
      </c>
      <c r="L3133" s="97" t="s">
        <v>10385</v>
      </c>
      <c r="N3133" s="76" t="s">
        <v>18</v>
      </c>
      <c r="Q3133" s="76" t="s">
        <v>2037</v>
      </c>
      <c r="R3133" s="73">
        <f t="shared" si="362"/>
        <v>1</v>
      </c>
      <c r="S3133" s="260" t="s">
        <v>1976</v>
      </c>
      <c r="T3133" s="260" t="s">
        <v>923</v>
      </c>
      <c r="Y3133" s="566">
        <v>0.60747685185185185</v>
      </c>
      <c r="Z3133" s="566">
        <v>0.62741898148148145</v>
      </c>
      <c r="AA3133" s="566">
        <f t="shared" si="363"/>
        <v>1.9942129629629601E-2</v>
      </c>
    </row>
    <row r="3134" spans="1:27" x14ac:dyDescent="0.3">
      <c r="A3134" s="79" t="s">
        <v>10291</v>
      </c>
      <c r="C3134" s="115">
        <v>44062</v>
      </c>
      <c r="D3134" s="312">
        <v>44083</v>
      </c>
      <c r="E3134" s="81">
        <v>44077</v>
      </c>
      <c r="F3134" s="86" t="s">
        <v>10349</v>
      </c>
      <c r="G3134" s="86" t="s">
        <v>152</v>
      </c>
      <c r="H3134" s="96" t="s">
        <v>213</v>
      </c>
      <c r="I3134" s="97" t="s">
        <v>649</v>
      </c>
      <c r="J3134" s="73">
        <f t="shared" si="361"/>
        <v>1</v>
      </c>
      <c r="K3134" s="74" t="s">
        <v>204</v>
      </c>
      <c r="L3134" s="97" t="s">
        <v>7089</v>
      </c>
      <c r="N3134" s="76" t="s">
        <v>17</v>
      </c>
      <c r="Q3134" s="76" t="s">
        <v>5193</v>
      </c>
      <c r="R3134" s="73">
        <f t="shared" si="362"/>
        <v>1</v>
      </c>
      <c r="S3134" s="260" t="s">
        <v>1976</v>
      </c>
      <c r="T3134" s="260" t="s">
        <v>923</v>
      </c>
      <c r="U3134" s="76" t="s">
        <v>5283</v>
      </c>
      <c r="V3134" s="301" t="s">
        <v>10945</v>
      </c>
      <c r="Y3134" s="566">
        <v>0.47225694444444444</v>
      </c>
      <c r="Z3134" s="566">
        <v>0.48497685185185185</v>
      </c>
      <c r="AA3134" s="566">
        <f t="shared" si="363"/>
        <v>1.2719907407407416E-2</v>
      </c>
    </row>
    <row r="3135" spans="1:27" x14ac:dyDescent="0.3">
      <c r="A3135" s="79" t="s">
        <v>10292</v>
      </c>
      <c r="C3135" s="115">
        <v>44062</v>
      </c>
      <c r="D3135" s="312">
        <v>44083</v>
      </c>
      <c r="E3135" s="81">
        <v>44077</v>
      </c>
      <c r="F3135" s="86" t="s">
        <v>10350</v>
      </c>
      <c r="G3135" s="86" t="s">
        <v>156</v>
      </c>
      <c r="H3135" s="96" t="s">
        <v>213</v>
      </c>
      <c r="I3135" s="97" t="s">
        <v>1113</v>
      </c>
      <c r="J3135" s="73">
        <f t="shared" si="361"/>
        <v>1</v>
      </c>
      <c r="K3135" s="74" t="s">
        <v>204</v>
      </c>
      <c r="L3135" s="97" t="s">
        <v>7104</v>
      </c>
      <c r="N3135" s="76" t="s">
        <v>18</v>
      </c>
      <c r="Q3135" s="76" t="s">
        <v>2037</v>
      </c>
      <c r="R3135" s="73">
        <f t="shared" si="362"/>
        <v>1</v>
      </c>
      <c r="S3135" s="260" t="s">
        <v>1976</v>
      </c>
      <c r="T3135" s="260" t="s">
        <v>923</v>
      </c>
      <c r="Y3135" s="566">
        <v>0.49384259259259261</v>
      </c>
      <c r="Z3135" s="566">
        <v>0.49755787037037041</v>
      </c>
      <c r="AA3135" s="566">
        <f t="shared" si="363"/>
        <v>3.7152777777778034E-3</v>
      </c>
    </row>
    <row r="3136" spans="1:27" x14ac:dyDescent="0.3">
      <c r="A3136" s="79" t="s">
        <v>10293</v>
      </c>
      <c r="C3136" s="115">
        <v>44062</v>
      </c>
      <c r="D3136" s="312">
        <v>44084</v>
      </c>
      <c r="E3136" s="81">
        <v>44078</v>
      </c>
      <c r="F3136" s="86" t="s">
        <v>10351</v>
      </c>
      <c r="G3136" s="86" t="s">
        <v>150</v>
      </c>
      <c r="H3136" s="96" t="s">
        <v>213</v>
      </c>
      <c r="I3136" s="97" t="s">
        <v>649</v>
      </c>
      <c r="J3136" s="73">
        <f t="shared" si="361"/>
        <v>1</v>
      </c>
      <c r="K3136" s="74" t="s">
        <v>204</v>
      </c>
      <c r="L3136" s="97" t="s">
        <v>10393</v>
      </c>
      <c r="N3136" s="76" t="s">
        <v>17</v>
      </c>
      <c r="Q3136" s="76" t="s">
        <v>2076</v>
      </c>
      <c r="R3136" s="73">
        <f t="shared" si="362"/>
        <v>1</v>
      </c>
      <c r="S3136" s="260" t="s">
        <v>1976</v>
      </c>
      <c r="T3136" s="260" t="s">
        <v>923</v>
      </c>
      <c r="Y3136" s="566">
        <v>0.60675925925925933</v>
      </c>
      <c r="Z3136" s="566">
        <v>0.65085648148148145</v>
      </c>
      <c r="AA3136" s="566">
        <f t="shared" si="363"/>
        <v>4.4097222222222121E-2</v>
      </c>
    </row>
    <row r="3137" spans="1:27" x14ac:dyDescent="0.3">
      <c r="A3137" s="79" t="s">
        <v>10294</v>
      </c>
      <c r="C3137" s="115">
        <v>44063</v>
      </c>
      <c r="D3137" s="312">
        <v>44085</v>
      </c>
      <c r="E3137" s="81">
        <v>44083</v>
      </c>
      <c r="F3137" s="86" t="s">
        <v>10352</v>
      </c>
      <c r="G3137" s="86" t="s">
        <v>152</v>
      </c>
      <c r="H3137" s="96" t="s">
        <v>213</v>
      </c>
      <c r="I3137" s="97" t="s">
        <v>649</v>
      </c>
      <c r="J3137" s="73">
        <f t="shared" si="361"/>
        <v>1</v>
      </c>
      <c r="K3137" s="74" t="s">
        <v>204</v>
      </c>
      <c r="L3137" s="97" t="s">
        <v>7898</v>
      </c>
      <c r="N3137" s="76" t="s">
        <v>17</v>
      </c>
      <c r="Q3137" s="76" t="s">
        <v>2037</v>
      </c>
      <c r="R3137" s="73">
        <f t="shared" si="362"/>
        <v>1</v>
      </c>
      <c r="S3137" s="260" t="s">
        <v>1976</v>
      </c>
      <c r="T3137" s="260" t="s">
        <v>923</v>
      </c>
      <c r="U3137" s="76" t="s">
        <v>5283</v>
      </c>
      <c r="V3137" s="301" t="s">
        <v>6725</v>
      </c>
      <c r="Y3137" s="566">
        <v>0.44513888888888892</v>
      </c>
      <c r="Z3137" s="566">
        <v>0.47805555555555551</v>
      </c>
      <c r="AA3137" s="566">
        <f t="shared" si="363"/>
        <v>3.2916666666666594E-2</v>
      </c>
    </row>
    <row r="3138" spans="1:27" x14ac:dyDescent="0.3">
      <c r="A3138" s="79" t="s">
        <v>10295</v>
      </c>
      <c r="C3138" s="115">
        <v>44063</v>
      </c>
      <c r="D3138" s="312">
        <v>44084</v>
      </c>
      <c r="E3138" s="81">
        <v>44078</v>
      </c>
      <c r="F3138" s="86" t="s">
        <v>10353</v>
      </c>
      <c r="G3138" s="86" t="s">
        <v>154</v>
      </c>
      <c r="H3138" s="96" t="s">
        <v>213</v>
      </c>
      <c r="I3138" s="97" t="s">
        <v>649</v>
      </c>
      <c r="J3138" s="73">
        <f t="shared" si="361"/>
        <v>1</v>
      </c>
      <c r="K3138" s="74" t="s">
        <v>204</v>
      </c>
      <c r="L3138" s="97" t="s">
        <v>7089</v>
      </c>
      <c r="N3138" s="76" t="s">
        <v>17</v>
      </c>
      <c r="Q3138" s="76" t="s">
        <v>2037</v>
      </c>
      <c r="R3138" s="73">
        <f t="shared" si="362"/>
        <v>1</v>
      </c>
      <c r="S3138" s="260" t="s">
        <v>1976</v>
      </c>
      <c r="T3138" s="260" t="s">
        <v>923</v>
      </c>
      <c r="Y3138" s="566">
        <v>0.65173611111111118</v>
      </c>
      <c r="Z3138" s="566">
        <v>0.68934027777777773</v>
      </c>
      <c r="AA3138" s="566">
        <f t="shared" si="363"/>
        <v>3.760416666666655E-2</v>
      </c>
    </row>
    <row r="3139" spans="1:27" x14ac:dyDescent="0.3">
      <c r="A3139" s="79" t="s">
        <v>10296</v>
      </c>
      <c r="C3139" s="115">
        <v>44063</v>
      </c>
      <c r="D3139" s="312">
        <v>44084</v>
      </c>
      <c r="E3139" s="81">
        <v>44078</v>
      </c>
      <c r="F3139" s="86" t="s">
        <v>10354</v>
      </c>
      <c r="G3139" s="86" t="s">
        <v>9119</v>
      </c>
      <c r="H3139" s="96" t="s">
        <v>213</v>
      </c>
      <c r="I3139" s="97" t="s">
        <v>755</v>
      </c>
      <c r="J3139" s="73">
        <f t="shared" si="361"/>
        <v>1</v>
      </c>
      <c r="K3139" s="74" t="s">
        <v>204</v>
      </c>
      <c r="L3139" s="97" t="s">
        <v>10392</v>
      </c>
      <c r="N3139" s="76" t="s">
        <v>18</v>
      </c>
      <c r="Q3139" s="76" t="s">
        <v>2076</v>
      </c>
      <c r="R3139" s="73">
        <f t="shared" si="362"/>
        <v>1</v>
      </c>
      <c r="S3139" s="260" t="s">
        <v>1976</v>
      </c>
      <c r="T3139" s="260" t="s">
        <v>923</v>
      </c>
      <c r="Y3139" s="566">
        <v>0.56018518518518523</v>
      </c>
      <c r="Z3139" s="566">
        <v>0.6017245370370371</v>
      </c>
      <c r="AA3139" s="566">
        <f t="shared" si="363"/>
        <v>4.1539351851851869E-2</v>
      </c>
    </row>
    <row r="3140" spans="1:27" x14ac:dyDescent="0.3">
      <c r="A3140" s="79" t="s">
        <v>10297</v>
      </c>
      <c r="C3140" s="115">
        <v>44063</v>
      </c>
      <c r="D3140" s="312">
        <v>44084</v>
      </c>
      <c r="E3140" s="81">
        <v>44078</v>
      </c>
      <c r="F3140" s="86" t="s">
        <v>10355</v>
      </c>
      <c r="G3140" s="86" t="s">
        <v>150</v>
      </c>
      <c r="H3140" s="96" t="s">
        <v>213</v>
      </c>
      <c r="I3140" s="97" t="s">
        <v>722</v>
      </c>
      <c r="J3140" s="73">
        <f t="shared" si="361"/>
        <v>1</v>
      </c>
      <c r="K3140" s="74" t="s">
        <v>204</v>
      </c>
      <c r="L3140" s="97" t="s">
        <v>9001</v>
      </c>
      <c r="N3140" s="76" t="s">
        <v>18</v>
      </c>
      <c r="Q3140" s="76" t="s">
        <v>5193</v>
      </c>
      <c r="R3140" s="73">
        <f t="shared" si="362"/>
        <v>1</v>
      </c>
      <c r="S3140" s="260" t="s">
        <v>1976</v>
      </c>
      <c r="T3140" s="260" t="s">
        <v>923</v>
      </c>
      <c r="Y3140" s="566">
        <v>0.69858796296296299</v>
      </c>
      <c r="Z3140" s="566">
        <v>0.71204861111111117</v>
      </c>
      <c r="AA3140" s="566">
        <f t="shared" si="363"/>
        <v>1.346064814814818E-2</v>
      </c>
    </row>
    <row r="3141" spans="1:27" x14ac:dyDescent="0.3">
      <c r="A3141" s="79" t="s">
        <v>10298</v>
      </c>
      <c r="C3141" s="115">
        <v>44063</v>
      </c>
      <c r="D3141" s="312">
        <v>44084</v>
      </c>
      <c r="E3141" s="81">
        <v>44081</v>
      </c>
      <c r="F3141" s="86" t="s">
        <v>10356</v>
      </c>
      <c r="G3141" s="86" t="s">
        <v>152</v>
      </c>
      <c r="H3141" s="96" t="s">
        <v>213</v>
      </c>
      <c r="I3141" s="97" t="s">
        <v>5268</v>
      </c>
      <c r="J3141" s="73">
        <f t="shared" si="361"/>
        <v>1</v>
      </c>
      <c r="K3141" s="74" t="s">
        <v>204</v>
      </c>
      <c r="L3141" s="97" t="s">
        <v>10411</v>
      </c>
      <c r="N3141" s="76" t="s">
        <v>18</v>
      </c>
      <c r="Q3141" s="76" t="s">
        <v>5193</v>
      </c>
      <c r="R3141" s="73">
        <f t="shared" si="362"/>
        <v>1</v>
      </c>
      <c r="S3141" s="260" t="s">
        <v>1976</v>
      </c>
      <c r="T3141" s="260" t="s">
        <v>923</v>
      </c>
      <c r="U3141" s="76" t="s">
        <v>5283</v>
      </c>
      <c r="V3141" s="301" t="s">
        <v>10088</v>
      </c>
      <c r="Y3141" s="566">
        <v>0.63684027777777785</v>
      </c>
      <c r="Z3141" s="566">
        <v>0.64512731481481478</v>
      </c>
      <c r="AA3141" s="566">
        <f t="shared" si="363"/>
        <v>8.2870370370369262E-3</v>
      </c>
    </row>
    <row r="3142" spans="1:27" x14ac:dyDescent="0.3">
      <c r="A3142" s="79" t="s">
        <v>10299</v>
      </c>
      <c r="C3142" s="115">
        <v>44064</v>
      </c>
      <c r="D3142" s="312">
        <v>44085</v>
      </c>
      <c r="E3142" s="81">
        <v>44081</v>
      </c>
      <c r="F3142" s="86" t="s">
        <v>10357</v>
      </c>
      <c r="G3142" s="86" t="s">
        <v>9119</v>
      </c>
      <c r="H3142" s="96" t="s">
        <v>213</v>
      </c>
      <c r="I3142" s="97" t="s">
        <v>649</v>
      </c>
      <c r="J3142" s="73">
        <f t="shared" si="361"/>
        <v>1</v>
      </c>
      <c r="K3142" s="74" t="s">
        <v>204</v>
      </c>
      <c r="L3142" s="97" t="s">
        <v>7060</v>
      </c>
      <c r="N3142" s="76" t="s">
        <v>17</v>
      </c>
      <c r="Q3142" s="76" t="s">
        <v>2037</v>
      </c>
      <c r="R3142" s="73">
        <f t="shared" si="362"/>
        <v>1</v>
      </c>
      <c r="S3142" s="260" t="s">
        <v>1976</v>
      </c>
      <c r="T3142" s="260" t="s">
        <v>923</v>
      </c>
      <c r="Y3142" s="566">
        <v>0.35542824074074075</v>
      </c>
      <c r="Z3142" s="566">
        <v>0.36274305555555553</v>
      </c>
      <c r="AA3142" s="566">
        <f t="shared" si="363"/>
        <v>7.314814814814774E-3</v>
      </c>
    </row>
    <row r="3143" spans="1:27" x14ac:dyDescent="0.3">
      <c r="A3143" s="79" t="s">
        <v>10300</v>
      </c>
      <c r="C3143" s="115">
        <v>44064</v>
      </c>
      <c r="D3143" s="312">
        <v>44085</v>
      </c>
      <c r="E3143" s="81">
        <v>44081</v>
      </c>
      <c r="F3143" s="86" t="s">
        <v>10358</v>
      </c>
      <c r="G3143" s="86" t="s">
        <v>154</v>
      </c>
      <c r="H3143" s="96" t="s">
        <v>213</v>
      </c>
      <c r="I3143" s="97" t="s">
        <v>649</v>
      </c>
      <c r="J3143" s="73">
        <f t="shared" si="361"/>
        <v>1</v>
      </c>
      <c r="K3143" s="74" t="s">
        <v>204</v>
      </c>
      <c r="L3143" s="97" t="s">
        <v>10398</v>
      </c>
      <c r="N3143" s="76" t="s">
        <v>17</v>
      </c>
      <c r="Q3143" s="76" t="s">
        <v>5193</v>
      </c>
      <c r="R3143" s="73">
        <f t="shared" si="362"/>
        <v>1</v>
      </c>
      <c r="S3143" s="260" t="s">
        <v>1976</v>
      </c>
      <c r="T3143" s="260" t="s">
        <v>923</v>
      </c>
      <c r="X3143" s="301" t="s">
        <v>10421</v>
      </c>
      <c r="Y3143" s="566">
        <v>0.39556712962962964</v>
      </c>
      <c r="Z3143" s="566">
        <v>0.40413194444444445</v>
      </c>
      <c r="AA3143" s="566">
        <f t="shared" si="363"/>
        <v>8.5648148148148029E-3</v>
      </c>
    </row>
    <row r="3144" spans="1:27" x14ac:dyDescent="0.3">
      <c r="A3144" s="79" t="s">
        <v>10301</v>
      </c>
      <c r="C3144" s="115">
        <v>44064</v>
      </c>
      <c r="D3144" s="312">
        <v>44085</v>
      </c>
      <c r="E3144" s="81">
        <v>44081</v>
      </c>
      <c r="F3144" s="86" t="s">
        <v>10359</v>
      </c>
      <c r="G3144" s="86" t="s">
        <v>152</v>
      </c>
      <c r="H3144" s="96" t="s">
        <v>213</v>
      </c>
      <c r="I3144" s="97" t="s">
        <v>649</v>
      </c>
      <c r="J3144" s="73">
        <f t="shared" si="361"/>
        <v>1</v>
      </c>
      <c r="K3144" s="74" t="s">
        <v>204</v>
      </c>
      <c r="L3144" s="97" t="s">
        <v>10417</v>
      </c>
      <c r="N3144" s="76" t="s">
        <v>18</v>
      </c>
      <c r="Q3144" s="76" t="s">
        <v>2076</v>
      </c>
      <c r="R3144" s="73">
        <f t="shared" si="362"/>
        <v>1</v>
      </c>
      <c r="S3144" s="260" t="s">
        <v>1976</v>
      </c>
      <c r="T3144" s="260" t="s">
        <v>925</v>
      </c>
      <c r="U3144" s="301" t="s">
        <v>5283</v>
      </c>
      <c r="V3144" s="301" t="s">
        <v>10418</v>
      </c>
      <c r="Y3144" s="566">
        <v>0.70209490740740732</v>
      </c>
      <c r="Z3144" s="566">
        <v>0.71562500000000007</v>
      </c>
      <c r="AA3144" s="566">
        <f t="shared" si="363"/>
        <v>1.3530092592592746E-2</v>
      </c>
    </row>
    <row r="3145" spans="1:27" x14ac:dyDescent="0.3">
      <c r="A3145" s="79" t="s">
        <v>10302</v>
      </c>
      <c r="C3145" s="115">
        <v>44064</v>
      </c>
      <c r="D3145" s="312">
        <v>44085</v>
      </c>
      <c r="E3145" s="81">
        <v>44082</v>
      </c>
      <c r="F3145" s="86" t="s">
        <v>10360</v>
      </c>
      <c r="G3145" s="86" t="s">
        <v>172</v>
      </c>
      <c r="H3145" s="96" t="s">
        <v>213</v>
      </c>
      <c r="I3145" s="97" t="s">
        <v>649</v>
      </c>
      <c r="J3145" s="73">
        <f t="shared" si="361"/>
        <v>1</v>
      </c>
      <c r="K3145" s="74" t="s">
        <v>204</v>
      </c>
      <c r="L3145" s="97" t="s">
        <v>7065</v>
      </c>
      <c r="N3145" s="76" t="s">
        <v>17</v>
      </c>
      <c r="Q3145" s="76" t="s">
        <v>2076</v>
      </c>
      <c r="R3145" s="73">
        <f t="shared" si="362"/>
        <v>1</v>
      </c>
      <c r="S3145" s="260" t="s">
        <v>1976</v>
      </c>
      <c r="T3145" s="260" t="s">
        <v>925</v>
      </c>
      <c r="Y3145" s="566">
        <v>0.39431712962962967</v>
      </c>
      <c r="Z3145" s="566">
        <v>0.40898148148148145</v>
      </c>
      <c r="AA3145" s="566">
        <f t="shared" si="363"/>
        <v>1.4664351851851776E-2</v>
      </c>
    </row>
    <row r="3146" spans="1:27" x14ac:dyDescent="0.3">
      <c r="A3146" s="96" t="s">
        <v>10399</v>
      </c>
      <c r="C3146" s="81">
        <v>44050</v>
      </c>
      <c r="D3146" s="109">
        <v>44085</v>
      </c>
      <c r="E3146" s="81">
        <v>44081</v>
      </c>
      <c r="F3146" s="97" t="s">
        <v>10400</v>
      </c>
      <c r="G3146" s="97" t="s">
        <v>152</v>
      </c>
      <c r="H3146" s="96" t="s">
        <v>213</v>
      </c>
      <c r="I3146" s="97" t="s">
        <v>714</v>
      </c>
      <c r="J3146" s="73">
        <f t="shared" ref="J3146:J3150" si="364">IF(OR(K3146="Документы готовы",K3146="Запрос в ФО",K3146="ЭЗ",K3146="РЕШ",K3146="РЕШ шаблон"),0.1,IF(OR(K3146="ЭЗ согласование",K3146="РЕШ согласование"),0.3,IF(OR(K3146="ЭЗ согласовано",K3146="РЕШ согласовано",K3146="РЕШ подписано"),0.6,IF(OR(K3146="ЭЗ ПР согласование",K3146="РЕШ УВ согласование"),0.9,IF(OR(K3146="ЭЗ ПР DONE",K3146="РЕШ УВ DONE"),1,0)))))</f>
        <v>1</v>
      </c>
      <c r="K3146" s="74" t="s">
        <v>204</v>
      </c>
      <c r="L3146" s="97" t="s">
        <v>9436</v>
      </c>
      <c r="N3146" s="76" t="s">
        <v>17</v>
      </c>
      <c r="Q3146" s="301" t="s">
        <v>10401</v>
      </c>
      <c r="R3146" s="73">
        <f t="shared" ref="R3146:R3150" si="365">IF(S3146="В работе",0.3,IF(S3146="Отписано",0.6,IF(S3146="На доработку",0.9,IF(S3146="Согласовано",1,0))))</f>
        <v>1</v>
      </c>
      <c r="S3146" s="260" t="s">
        <v>1976</v>
      </c>
      <c r="T3146" s="260" t="s">
        <v>923</v>
      </c>
      <c r="U3146" s="76" t="s">
        <v>5283</v>
      </c>
      <c r="V3146" s="301" t="s">
        <v>10402</v>
      </c>
      <c r="Y3146" s="566">
        <v>0.4060300925925926</v>
      </c>
      <c r="Z3146" s="566">
        <v>0.42075231481481484</v>
      </c>
      <c r="AA3146" s="566">
        <f t="shared" ref="AA3146:AA3204" si="366">Z3146-Y3146</f>
        <v>1.4722222222222248E-2</v>
      </c>
    </row>
    <row r="3147" spans="1:27" x14ac:dyDescent="0.3">
      <c r="A3147" s="96" t="s">
        <v>10406</v>
      </c>
      <c r="C3147" s="81">
        <v>44043</v>
      </c>
      <c r="D3147" s="109">
        <v>44085</v>
      </c>
      <c r="E3147" s="81">
        <v>44081</v>
      </c>
      <c r="F3147" s="97" t="s">
        <v>10407</v>
      </c>
      <c r="G3147" s="97" t="s">
        <v>147</v>
      </c>
      <c r="H3147" s="96" t="s">
        <v>213</v>
      </c>
      <c r="I3147" s="97" t="s">
        <v>622</v>
      </c>
      <c r="J3147" s="73">
        <f t="shared" si="364"/>
        <v>1</v>
      </c>
      <c r="K3147" s="74" t="s">
        <v>204</v>
      </c>
      <c r="L3147" s="97" t="s">
        <v>10408</v>
      </c>
      <c r="N3147" s="76" t="s">
        <v>19</v>
      </c>
      <c r="Q3147" s="301" t="s">
        <v>10401</v>
      </c>
      <c r="R3147" s="73">
        <f t="shared" si="365"/>
        <v>1</v>
      </c>
      <c r="S3147" s="260" t="s">
        <v>1976</v>
      </c>
      <c r="T3147" s="260" t="s">
        <v>923</v>
      </c>
      <c r="U3147" s="76" t="s">
        <v>5283</v>
      </c>
      <c r="V3147" s="301" t="s">
        <v>10409</v>
      </c>
      <c r="Y3147" s="566">
        <v>0.54271990740740739</v>
      </c>
      <c r="Z3147" s="566">
        <v>0.56625000000000003</v>
      </c>
      <c r="AA3147" s="566">
        <f t="shared" si="366"/>
        <v>2.3530092592592644E-2</v>
      </c>
    </row>
    <row r="3148" spans="1:27" x14ac:dyDescent="0.3">
      <c r="A3148" s="96" t="s">
        <v>10412</v>
      </c>
      <c r="C3148" s="81">
        <v>44064</v>
      </c>
      <c r="F3148" s="97" t="s">
        <v>12675</v>
      </c>
      <c r="G3148" s="86" t="s">
        <v>168</v>
      </c>
      <c r="H3148" s="96" t="s">
        <v>213</v>
      </c>
      <c r="J3148" s="73">
        <f t="shared" si="364"/>
        <v>1</v>
      </c>
      <c r="K3148" s="74" t="s">
        <v>204</v>
      </c>
      <c r="L3148" s="97" t="s">
        <v>10414</v>
      </c>
      <c r="N3148" s="76" t="s">
        <v>18</v>
      </c>
      <c r="Q3148" s="301" t="s">
        <v>10413</v>
      </c>
      <c r="R3148" s="73">
        <f t="shared" si="365"/>
        <v>0</v>
      </c>
      <c r="S3148" s="260"/>
      <c r="T3148" s="260" t="s">
        <v>924</v>
      </c>
      <c r="AA3148" s="566">
        <f t="shared" si="366"/>
        <v>0</v>
      </c>
    </row>
    <row r="3149" spans="1:27" x14ac:dyDescent="0.3">
      <c r="A3149" s="96" t="s">
        <v>10419</v>
      </c>
      <c r="C3149" s="81">
        <v>44049</v>
      </c>
      <c r="E3149" s="81">
        <v>44078</v>
      </c>
      <c r="F3149" s="97" t="s">
        <v>12676</v>
      </c>
      <c r="G3149" s="97" t="s">
        <v>150</v>
      </c>
      <c r="H3149" s="96" t="s">
        <v>213</v>
      </c>
      <c r="I3149" s="97" t="s">
        <v>972</v>
      </c>
      <c r="J3149" s="73">
        <f t="shared" si="364"/>
        <v>1</v>
      </c>
      <c r="K3149" s="74" t="s">
        <v>204</v>
      </c>
      <c r="L3149" s="97" t="s">
        <v>10420</v>
      </c>
      <c r="R3149" s="73">
        <f t="shared" si="365"/>
        <v>0</v>
      </c>
      <c r="S3149" s="260"/>
      <c r="T3149" s="260" t="s">
        <v>923</v>
      </c>
      <c r="AA3149" s="566">
        <f t="shared" si="366"/>
        <v>0</v>
      </c>
    </row>
    <row r="3150" spans="1:27" x14ac:dyDescent="0.3">
      <c r="A3150" s="79" t="s">
        <v>10423</v>
      </c>
      <c r="C3150" s="115">
        <v>44032</v>
      </c>
      <c r="D3150" s="312">
        <v>44089</v>
      </c>
      <c r="E3150" s="81">
        <v>44084</v>
      </c>
      <c r="F3150" s="86" t="s">
        <v>10520</v>
      </c>
      <c r="G3150" s="86" t="s">
        <v>3771</v>
      </c>
      <c r="H3150" s="96" t="s">
        <v>213</v>
      </c>
      <c r="I3150" s="97" t="s">
        <v>714</v>
      </c>
      <c r="J3150" s="73">
        <f t="shared" si="364"/>
        <v>1</v>
      </c>
      <c r="K3150" s="74" t="s">
        <v>204</v>
      </c>
      <c r="L3150" s="97" t="s">
        <v>7072</v>
      </c>
      <c r="N3150" s="76" t="s">
        <v>8990</v>
      </c>
      <c r="Q3150" s="76" t="s">
        <v>10401</v>
      </c>
      <c r="R3150" s="73">
        <f t="shared" si="365"/>
        <v>1</v>
      </c>
      <c r="S3150" s="260" t="s">
        <v>1976</v>
      </c>
      <c r="T3150" s="260" t="s">
        <v>923</v>
      </c>
      <c r="Y3150" s="566">
        <v>0.39523148148148146</v>
      </c>
      <c r="Z3150" s="566">
        <v>0.41347222222222224</v>
      </c>
      <c r="AA3150" s="566">
        <f t="shared" si="366"/>
        <v>1.824074074074078E-2</v>
      </c>
    </row>
    <row r="3151" spans="1:27" x14ac:dyDescent="0.3">
      <c r="A3151" s="79" t="s">
        <v>10424</v>
      </c>
      <c r="C3151" s="115">
        <v>44034</v>
      </c>
      <c r="D3151" s="312">
        <v>44091</v>
      </c>
      <c r="E3151" s="81">
        <v>44084</v>
      </c>
      <c r="F3151" s="97" t="s">
        <v>10610</v>
      </c>
      <c r="G3151" s="86" t="s">
        <v>147</v>
      </c>
      <c r="H3151" s="96" t="s">
        <v>213</v>
      </c>
      <c r="I3151" s="97" t="s">
        <v>642</v>
      </c>
      <c r="J3151" s="73">
        <f t="shared" ref="J3151:J3209" si="367">IF(OR(K3151="Документы готовы",K3151="Запрос в ФО",K3151="ЭЗ",K3151="РЕШ",K3151="РЕШ шаблон"),0.1,IF(OR(K3151="ЭЗ согласование",K3151="РЕШ согласование"),0.3,IF(OR(K3151="ЭЗ согласовано",K3151="РЕШ согласовано",K3151="РЕШ подписано"),0.6,IF(OR(K3151="ЭЗ ПР согласование",K3151="РЕШ УВ согласование"),0.9,IF(OR(K3151="ЭЗ ПР DONE",K3151="РЕШ УВ DONE"),1,0)))))</f>
        <v>1</v>
      </c>
      <c r="K3151" s="74" t="s">
        <v>204</v>
      </c>
      <c r="L3151" s="97" t="s">
        <v>10642</v>
      </c>
      <c r="N3151" s="76" t="s">
        <v>18</v>
      </c>
      <c r="Q3151" s="76" t="s">
        <v>5193</v>
      </c>
      <c r="R3151" s="73">
        <f t="shared" ref="R3151:R3209" si="368">IF(S3151="В работе",0.3,IF(S3151="Отписано",0.6,IF(S3151="На доработку",0.9,IF(S3151="Согласовано",1,0))))</f>
        <v>1</v>
      </c>
      <c r="S3151" s="260" t="s">
        <v>1976</v>
      </c>
      <c r="T3151" s="260" t="s">
        <v>923</v>
      </c>
      <c r="Y3151" s="566">
        <v>0.91437500000000005</v>
      </c>
      <c r="Z3151" s="566">
        <v>0.9196643518518518</v>
      </c>
      <c r="AA3151" s="566">
        <f t="shared" si="366"/>
        <v>5.2893518518517535E-3</v>
      </c>
    </row>
    <row r="3152" spans="1:27" x14ac:dyDescent="0.3">
      <c r="A3152" s="79" t="s">
        <v>10425</v>
      </c>
      <c r="C3152" s="115">
        <v>44039</v>
      </c>
      <c r="D3152" s="312">
        <v>44088</v>
      </c>
      <c r="E3152" s="81">
        <v>44082</v>
      </c>
      <c r="F3152" s="86" t="s">
        <v>10521</v>
      </c>
      <c r="G3152" s="86" t="s">
        <v>152</v>
      </c>
      <c r="H3152" s="96" t="s">
        <v>213</v>
      </c>
      <c r="I3152" s="97" t="s">
        <v>714</v>
      </c>
      <c r="J3152" s="73">
        <f t="shared" si="367"/>
        <v>1</v>
      </c>
      <c r="K3152" s="74" t="s">
        <v>204</v>
      </c>
      <c r="L3152" s="97" t="s">
        <v>7741</v>
      </c>
      <c r="N3152" s="76" t="s">
        <v>18</v>
      </c>
      <c r="Q3152" s="76" t="s">
        <v>10401</v>
      </c>
      <c r="R3152" s="73">
        <f t="shared" si="368"/>
        <v>1</v>
      </c>
      <c r="S3152" s="260" t="s">
        <v>1976</v>
      </c>
      <c r="T3152" s="260" t="s">
        <v>923</v>
      </c>
      <c r="Y3152" s="566">
        <v>0.60498842592592594</v>
      </c>
      <c r="Z3152" s="566">
        <v>0.6192361111111111</v>
      </c>
      <c r="AA3152" s="566">
        <f t="shared" si="366"/>
        <v>1.4247685185185155E-2</v>
      </c>
    </row>
    <row r="3153" spans="1:27" x14ac:dyDescent="0.3">
      <c r="A3153" s="79" t="s">
        <v>10426</v>
      </c>
      <c r="C3153" s="115">
        <v>44039</v>
      </c>
      <c r="D3153" s="312">
        <v>44089</v>
      </c>
      <c r="E3153" s="81">
        <v>44084</v>
      </c>
      <c r="F3153" s="86" t="s">
        <v>10522</v>
      </c>
      <c r="G3153" s="86" t="s">
        <v>9119</v>
      </c>
      <c r="H3153" s="79" t="s">
        <v>268</v>
      </c>
      <c r="I3153" s="97" t="s">
        <v>642</v>
      </c>
      <c r="J3153" s="73">
        <f t="shared" si="367"/>
        <v>1</v>
      </c>
      <c r="K3153" s="74" t="s">
        <v>204</v>
      </c>
      <c r="L3153" s="97" t="s">
        <v>7110</v>
      </c>
      <c r="N3153" s="76" t="s">
        <v>18</v>
      </c>
      <c r="Q3153" s="76" t="s">
        <v>10401</v>
      </c>
      <c r="R3153" s="73">
        <f t="shared" si="368"/>
        <v>1</v>
      </c>
      <c r="S3153" s="260" t="s">
        <v>1976</v>
      </c>
      <c r="T3153" s="260" t="s">
        <v>923</v>
      </c>
      <c r="Y3153" s="566">
        <v>0.89374999999999993</v>
      </c>
      <c r="Z3153" s="566">
        <v>0.91412037037037042</v>
      </c>
      <c r="AA3153" s="566">
        <f t="shared" si="366"/>
        <v>2.0370370370370483E-2</v>
      </c>
    </row>
    <row r="3154" spans="1:27" x14ac:dyDescent="0.3">
      <c r="A3154" s="79" t="s">
        <v>10427</v>
      </c>
      <c r="C3154" s="115">
        <v>44040</v>
      </c>
      <c r="D3154" s="312">
        <v>44090</v>
      </c>
      <c r="E3154" s="81">
        <v>44083</v>
      </c>
      <c r="F3154" s="86" t="s">
        <v>10523</v>
      </c>
      <c r="G3154" s="86" t="s">
        <v>410</v>
      </c>
      <c r="H3154" s="96" t="s">
        <v>213</v>
      </c>
      <c r="I3154" s="97" t="s">
        <v>642</v>
      </c>
      <c r="J3154" s="73">
        <f t="shared" si="367"/>
        <v>1</v>
      </c>
      <c r="K3154" s="74" t="s">
        <v>204</v>
      </c>
      <c r="L3154" s="97" t="s">
        <v>7108</v>
      </c>
      <c r="Q3154" s="76" t="s">
        <v>5193</v>
      </c>
      <c r="R3154" s="73">
        <f t="shared" si="368"/>
        <v>1</v>
      </c>
      <c r="S3154" s="260" t="s">
        <v>1976</v>
      </c>
      <c r="T3154" s="260" t="s">
        <v>923</v>
      </c>
      <c r="U3154" s="76" t="s">
        <v>5283</v>
      </c>
      <c r="V3154" s="301" t="s">
        <v>10630</v>
      </c>
      <c r="Y3154" s="566">
        <v>0.95335648148148155</v>
      </c>
      <c r="Z3154" s="566">
        <v>0.9587268518518518</v>
      </c>
      <c r="AA3154" s="566">
        <f t="shared" si="366"/>
        <v>5.3703703703702477E-3</v>
      </c>
    </row>
    <row r="3155" spans="1:27" x14ac:dyDescent="0.3">
      <c r="A3155" s="79" t="s">
        <v>10428</v>
      </c>
      <c r="C3155" s="115">
        <v>44041</v>
      </c>
      <c r="D3155" s="312">
        <v>44090</v>
      </c>
      <c r="E3155" s="81">
        <v>44084</v>
      </c>
      <c r="F3155" s="86" t="s">
        <v>10524</v>
      </c>
      <c r="G3155" s="86" t="s">
        <v>9119</v>
      </c>
      <c r="H3155" s="96" t="s">
        <v>213</v>
      </c>
      <c r="I3155" s="97" t="s">
        <v>714</v>
      </c>
      <c r="J3155" s="73">
        <f t="shared" si="367"/>
        <v>1</v>
      </c>
      <c r="K3155" s="74" t="s">
        <v>204</v>
      </c>
      <c r="L3155" s="97" t="s">
        <v>7058</v>
      </c>
      <c r="N3155" s="76" t="s">
        <v>17</v>
      </c>
      <c r="Q3155" s="76" t="s">
        <v>2037</v>
      </c>
      <c r="R3155" s="73">
        <f t="shared" si="368"/>
        <v>1</v>
      </c>
      <c r="S3155" s="260" t="s">
        <v>1976</v>
      </c>
      <c r="T3155" s="260" t="s">
        <v>923</v>
      </c>
      <c r="Y3155" s="566">
        <v>0.68125000000000002</v>
      </c>
      <c r="Z3155" s="566">
        <v>0.69472222222222213</v>
      </c>
      <c r="AA3155" s="566">
        <f t="shared" si="366"/>
        <v>1.3472222222222108E-2</v>
      </c>
    </row>
    <row r="3156" spans="1:27" x14ac:dyDescent="0.3">
      <c r="A3156" s="79" t="s">
        <v>10429</v>
      </c>
      <c r="C3156" s="115">
        <v>44043</v>
      </c>
      <c r="D3156" s="312">
        <v>44088</v>
      </c>
      <c r="E3156" s="81">
        <v>44082</v>
      </c>
      <c r="F3156" s="86" t="s">
        <v>4659</v>
      </c>
      <c r="G3156" s="86" t="s">
        <v>152</v>
      </c>
      <c r="H3156" s="96" t="s">
        <v>213</v>
      </c>
      <c r="I3156" s="97" t="s">
        <v>10611</v>
      </c>
      <c r="J3156" s="73">
        <f t="shared" si="367"/>
        <v>1</v>
      </c>
      <c r="K3156" s="74" t="s">
        <v>204</v>
      </c>
      <c r="L3156" s="97" t="s">
        <v>10617</v>
      </c>
      <c r="N3156" s="76" t="s">
        <v>17</v>
      </c>
      <c r="Q3156" s="76" t="s">
        <v>2037</v>
      </c>
      <c r="R3156" s="73">
        <f t="shared" si="368"/>
        <v>1</v>
      </c>
      <c r="S3156" s="260" t="s">
        <v>1976</v>
      </c>
      <c r="T3156" s="260" t="s">
        <v>925</v>
      </c>
      <c r="U3156" s="76" t="s">
        <v>5283</v>
      </c>
      <c r="V3156" s="301" t="s">
        <v>10612</v>
      </c>
      <c r="Y3156" s="566">
        <v>0.40979166666666672</v>
      </c>
      <c r="Z3156" s="566">
        <v>0.46666666666666662</v>
      </c>
      <c r="AA3156" s="566">
        <f t="shared" si="366"/>
        <v>5.6874999999999898E-2</v>
      </c>
    </row>
    <row r="3157" spans="1:27" x14ac:dyDescent="0.3">
      <c r="A3157" s="79" t="s">
        <v>10430</v>
      </c>
      <c r="C3157" s="115">
        <v>44043</v>
      </c>
      <c r="D3157" s="312">
        <v>44092</v>
      </c>
      <c r="E3157" s="81">
        <v>44085</v>
      </c>
      <c r="F3157" s="86" t="s">
        <v>10525</v>
      </c>
      <c r="G3157" s="86" t="s">
        <v>164</v>
      </c>
      <c r="H3157" s="96" t="s">
        <v>213</v>
      </c>
      <c r="I3157" s="97" t="s">
        <v>642</v>
      </c>
      <c r="J3157" s="73">
        <f t="shared" si="367"/>
        <v>1</v>
      </c>
      <c r="K3157" s="74" t="s">
        <v>204</v>
      </c>
      <c r="L3157" s="97" t="s">
        <v>10664</v>
      </c>
      <c r="N3157" s="76" t="s">
        <v>17</v>
      </c>
      <c r="Q3157" s="76" t="s">
        <v>2142</v>
      </c>
      <c r="R3157" s="73">
        <f t="shared" si="368"/>
        <v>1</v>
      </c>
      <c r="S3157" s="260" t="s">
        <v>1976</v>
      </c>
      <c r="T3157" s="260" t="s">
        <v>925</v>
      </c>
      <c r="Y3157" s="566">
        <v>0.75834490740740745</v>
      </c>
      <c r="Z3157" s="566">
        <v>0.76550925925925928</v>
      </c>
      <c r="AA3157" s="566">
        <f t="shared" si="366"/>
        <v>7.1643518518518245E-3</v>
      </c>
    </row>
    <row r="3158" spans="1:27" x14ac:dyDescent="0.3">
      <c r="A3158" s="79" t="s">
        <v>10431</v>
      </c>
      <c r="C3158" s="115">
        <v>44043</v>
      </c>
      <c r="D3158" s="312">
        <v>44092</v>
      </c>
      <c r="E3158" s="81">
        <v>44085</v>
      </c>
      <c r="F3158" s="86" t="s">
        <v>10526</v>
      </c>
      <c r="G3158" s="86" t="s">
        <v>157</v>
      </c>
      <c r="H3158" s="96" t="s">
        <v>213</v>
      </c>
      <c r="I3158" s="97" t="s">
        <v>642</v>
      </c>
      <c r="J3158" s="73">
        <f t="shared" si="367"/>
        <v>1</v>
      </c>
      <c r="K3158" s="74" t="s">
        <v>204</v>
      </c>
      <c r="L3158" s="97" t="s">
        <v>7066</v>
      </c>
      <c r="N3158" s="76" t="s">
        <v>17</v>
      </c>
      <c r="Q3158" s="76" t="s">
        <v>2037</v>
      </c>
      <c r="R3158" s="73">
        <f t="shared" si="368"/>
        <v>1</v>
      </c>
      <c r="S3158" s="260" t="s">
        <v>1976</v>
      </c>
      <c r="T3158" s="260" t="s">
        <v>923</v>
      </c>
      <c r="Y3158" s="566">
        <v>0.76817129629629621</v>
      </c>
      <c r="Z3158" s="566">
        <v>0.78390046296296301</v>
      </c>
      <c r="AA3158" s="566">
        <f t="shared" si="366"/>
        <v>1.5729166666666794E-2</v>
      </c>
    </row>
    <row r="3159" spans="1:27" x14ac:dyDescent="0.3">
      <c r="A3159" s="79" t="s">
        <v>10432</v>
      </c>
      <c r="C3159" s="115">
        <v>44047</v>
      </c>
      <c r="D3159" s="312">
        <v>44090</v>
      </c>
      <c r="E3159" s="81">
        <v>44084</v>
      </c>
      <c r="F3159" s="86" t="s">
        <v>7676</v>
      </c>
      <c r="G3159" s="86" t="s">
        <v>150</v>
      </c>
      <c r="H3159" s="96" t="s">
        <v>213</v>
      </c>
      <c r="I3159" s="97" t="s">
        <v>1113</v>
      </c>
      <c r="J3159" s="73">
        <f t="shared" si="367"/>
        <v>1</v>
      </c>
      <c r="K3159" s="74" t="s">
        <v>204</v>
      </c>
      <c r="L3159" s="97" t="s">
        <v>10634</v>
      </c>
      <c r="N3159" s="76" t="s">
        <v>18</v>
      </c>
      <c r="Q3159" s="76" t="s">
        <v>2076</v>
      </c>
      <c r="R3159" s="73">
        <f t="shared" si="368"/>
        <v>1</v>
      </c>
      <c r="S3159" s="260" t="s">
        <v>1976</v>
      </c>
      <c r="T3159" s="260" t="s">
        <v>923</v>
      </c>
      <c r="U3159" s="76" t="s">
        <v>5283</v>
      </c>
      <c r="V3159" s="301" t="s">
        <v>10635</v>
      </c>
      <c r="Y3159" s="566">
        <v>0.50672453703703701</v>
      </c>
      <c r="Z3159" s="566">
        <v>0.58714120370370371</v>
      </c>
      <c r="AA3159" s="566">
        <f t="shared" si="366"/>
        <v>8.0416666666666692E-2</v>
      </c>
    </row>
    <row r="3160" spans="1:27" x14ac:dyDescent="0.3">
      <c r="A3160" s="79" t="s">
        <v>10433</v>
      </c>
      <c r="C3160" s="115">
        <v>44048</v>
      </c>
      <c r="D3160" s="312">
        <v>44091</v>
      </c>
      <c r="E3160" s="81">
        <v>44084</v>
      </c>
      <c r="F3160" s="86" t="s">
        <v>7676</v>
      </c>
      <c r="G3160" s="86" t="s">
        <v>150</v>
      </c>
      <c r="H3160" s="96" t="s">
        <v>213</v>
      </c>
      <c r="I3160" s="97" t="s">
        <v>1113</v>
      </c>
      <c r="J3160" s="73">
        <f t="shared" si="367"/>
        <v>1</v>
      </c>
      <c r="K3160" s="74" t="s">
        <v>204</v>
      </c>
      <c r="L3160" s="97" t="s">
        <v>10634</v>
      </c>
      <c r="N3160" s="76" t="s">
        <v>18</v>
      </c>
      <c r="Q3160" s="76" t="s">
        <v>5193</v>
      </c>
      <c r="R3160" s="73">
        <f t="shared" si="368"/>
        <v>1</v>
      </c>
      <c r="S3160" s="260" t="s">
        <v>1976</v>
      </c>
      <c r="T3160" s="260" t="s">
        <v>923</v>
      </c>
      <c r="Y3160" s="566">
        <v>0.92210648148148155</v>
      </c>
      <c r="Z3160" s="566">
        <v>0.92585648148148147</v>
      </c>
      <c r="AA3160" s="566">
        <f t="shared" si="366"/>
        <v>3.7499999999999201E-3</v>
      </c>
    </row>
    <row r="3161" spans="1:27" x14ac:dyDescent="0.3">
      <c r="A3161" s="79" t="s">
        <v>10434</v>
      </c>
      <c r="C3161" s="115">
        <v>44048</v>
      </c>
      <c r="D3161" s="312">
        <v>44091</v>
      </c>
      <c r="E3161" s="81">
        <v>44084</v>
      </c>
      <c r="F3161" s="86" t="s">
        <v>10527</v>
      </c>
      <c r="G3161" s="86" t="s">
        <v>150</v>
      </c>
      <c r="H3161" s="96" t="s">
        <v>213</v>
      </c>
      <c r="I3161" s="97" t="s">
        <v>1204</v>
      </c>
      <c r="J3161" s="73">
        <f t="shared" si="367"/>
        <v>1</v>
      </c>
      <c r="K3161" s="74" t="s">
        <v>204</v>
      </c>
      <c r="L3161" s="97" t="s">
        <v>10643</v>
      </c>
      <c r="N3161" s="76" t="s">
        <v>18</v>
      </c>
      <c r="Q3161" s="76" t="s">
        <v>5193</v>
      </c>
      <c r="R3161" s="73">
        <f t="shared" si="368"/>
        <v>1</v>
      </c>
      <c r="S3161" s="260" t="s">
        <v>1976</v>
      </c>
      <c r="T3161" s="260" t="s">
        <v>923</v>
      </c>
      <c r="Y3161" s="566">
        <v>0.92652777777777784</v>
      </c>
      <c r="Z3161" s="566">
        <v>0.93361111111111106</v>
      </c>
      <c r="AA3161" s="566">
        <f t="shared" si="366"/>
        <v>7.0833333333332194E-3</v>
      </c>
    </row>
    <row r="3162" spans="1:27" x14ac:dyDescent="0.3">
      <c r="A3162" s="79" t="s">
        <v>10435</v>
      </c>
      <c r="C3162" s="115">
        <v>44048</v>
      </c>
      <c r="D3162" s="312">
        <v>44091</v>
      </c>
      <c r="E3162" s="81">
        <v>44087</v>
      </c>
      <c r="F3162" s="86" t="s">
        <v>10528</v>
      </c>
      <c r="G3162" s="86" t="s">
        <v>9119</v>
      </c>
      <c r="H3162" s="96" t="s">
        <v>213</v>
      </c>
      <c r="I3162" s="97" t="s">
        <v>649</v>
      </c>
      <c r="J3162" s="73">
        <f t="shared" si="367"/>
        <v>1</v>
      </c>
      <c r="K3162" s="74" t="s">
        <v>204</v>
      </c>
      <c r="L3162" s="97" t="s">
        <v>7898</v>
      </c>
      <c r="N3162" s="76" t="s">
        <v>17</v>
      </c>
      <c r="Q3162" s="76" t="s">
        <v>10401</v>
      </c>
      <c r="R3162" s="73">
        <f t="shared" si="368"/>
        <v>1</v>
      </c>
      <c r="S3162" s="260" t="s">
        <v>1976</v>
      </c>
      <c r="T3162" s="260" t="s">
        <v>925</v>
      </c>
      <c r="Y3162" s="566">
        <v>0.46556712962962959</v>
      </c>
      <c r="Z3162" s="566">
        <v>0.47876157407407405</v>
      </c>
      <c r="AA3162" s="566">
        <f t="shared" si="366"/>
        <v>1.3194444444444453E-2</v>
      </c>
    </row>
    <row r="3163" spans="1:27" x14ac:dyDescent="0.3">
      <c r="A3163" s="79" t="s">
        <v>10436</v>
      </c>
      <c r="C3163" s="115">
        <v>44050</v>
      </c>
      <c r="D3163" s="312">
        <v>44092</v>
      </c>
      <c r="E3163" s="81">
        <v>44087</v>
      </c>
      <c r="F3163" s="86" t="s">
        <v>7676</v>
      </c>
      <c r="G3163" s="86" t="s">
        <v>150</v>
      </c>
      <c r="H3163" s="96" t="s">
        <v>213</v>
      </c>
      <c r="I3163" s="97" t="s">
        <v>1113</v>
      </c>
      <c r="J3163" s="73">
        <f t="shared" si="367"/>
        <v>1</v>
      </c>
      <c r="K3163" s="74" t="s">
        <v>204</v>
      </c>
      <c r="L3163" s="97" t="s">
        <v>10634</v>
      </c>
      <c r="N3163" s="76" t="s">
        <v>18</v>
      </c>
      <c r="Q3163" s="76" t="s">
        <v>2142</v>
      </c>
      <c r="R3163" s="73">
        <f t="shared" si="368"/>
        <v>1</v>
      </c>
      <c r="S3163" s="260" t="s">
        <v>1976</v>
      </c>
      <c r="T3163" s="260" t="s">
        <v>923</v>
      </c>
      <c r="Y3163" s="566">
        <v>0.51465277777777774</v>
      </c>
      <c r="Z3163" s="566">
        <v>0.51939814814814811</v>
      </c>
      <c r="AA3163" s="566">
        <f t="shared" si="366"/>
        <v>4.745370370370372E-3</v>
      </c>
    </row>
    <row r="3164" spans="1:27" x14ac:dyDescent="0.3">
      <c r="A3164" s="79" t="s">
        <v>10437</v>
      </c>
      <c r="C3164" s="115">
        <v>44050</v>
      </c>
      <c r="D3164" s="312">
        <v>44088</v>
      </c>
      <c r="E3164" s="81">
        <v>44082</v>
      </c>
      <c r="F3164" s="86" t="s">
        <v>10529</v>
      </c>
      <c r="G3164" s="86" t="s">
        <v>189</v>
      </c>
      <c r="H3164" s="96" t="s">
        <v>213</v>
      </c>
      <c r="I3164" s="97" t="s">
        <v>854</v>
      </c>
      <c r="J3164" s="73">
        <f t="shared" si="367"/>
        <v>1</v>
      </c>
      <c r="K3164" s="74" t="s">
        <v>204</v>
      </c>
      <c r="L3164" s="97" t="s">
        <v>10613</v>
      </c>
      <c r="N3164" s="76" t="s">
        <v>17</v>
      </c>
      <c r="Q3164" s="76" t="s">
        <v>2076</v>
      </c>
      <c r="R3164" s="73">
        <f t="shared" si="368"/>
        <v>1</v>
      </c>
      <c r="S3164" s="260" t="s">
        <v>1976</v>
      </c>
      <c r="T3164" s="260" t="s">
        <v>925</v>
      </c>
      <c r="U3164" s="76" t="s">
        <v>5283</v>
      </c>
      <c r="V3164" s="301" t="s">
        <v>10614</v>
      </c>
      <c r="Y3164" s="566">
        <v>0.46935185185185185</v>
      </c>
      <c r="Z3164" s="566">
        <v>0.4783101851851852</v>
      </c>
      <c r="AA3164" s="566">
        <f t="shared" si="366"/>
        <v>8.9583333333333459E-3</v>
      </c>
    </row>
    <row r="3165" spans="1:27" x14ac:dyDescent="0.3">
      <c r="A3165" s="79" t="s">
        <v>10438</v>
      </c>
      <c r="C3165" s="115">
        <v>44050</v>
      </c>
      <c r="D3165" s="312">
        <v>44088</v>
      </c>
      <c r="E3165" s="81">
        <v>44082</v>
      </c>
      <c r="F3165" s="86" t="s">
        <v>10530</v>
      </c>
      <c r="G3165" s="86" t="s">
        <v>9119</v>
      </c>
      <c r="H3165" s="96" t="s">
        <v>213</v>
      </c>
      <c r="I3165" s="97" t="s">
        <v>714</v>
      </c>
      <c r="J3165" s="73">
        <f t="shared" si="367"/>
        <v>1</v>
      </c>
      <c r="K3165" s="74" t="s">
        <v>204</v>
      </c>
      <c r="L3165" s="97" t="s">
        <v>10615</v>
      </c>
      <c r="N3165" s="76" t="s">
        <v>18</v>
      </c>
      <c r="Q3165" s="76" t="s">
        <v>2076</v>
      </c>
      <c r="R3165" s="73">
        <f t="shared" si="368"/>
        <v>1</v>
      </c>
      <c r="S3165" s="260" t="s">
        <v>1976</v>
      </c>
      <c r="T3165" s="260" t="s">
        <v>923</v>
      </c>
      <c r="Y3165" s="566">
        <v>0.4793634259259259</v>
      </c>
      <c r="Z3165" s="566">
        <v>0.48497685185185185</v>
      </c>
      <c r="AA3165" s="566">
        <f t="shared" si="366"/>
        <v>5.6134259259259522E-3</v>
      </c>
    </row>
    <row r="3166" spans="1:27" x14ac:dyDescent="0.3">
      <c r="A3166" s="79" t="s">
        <v>10439</v>
      </c>
      <c r="C3166" s="115">
        <v>44053</v>
      </c>
      <c r="D3166" s="312">
        <v>44088</v>
      </c>
      <c r="E3166" s="81">
        <v>44082</v>
      </c>
      <c r="F3166" s="86" t="s">
        <v>10531</v>
      </c>
      <c r="G3166" s="86" t="s">
        <v>150</v>
      </c>
      <c r="H3166" s="96" t="s">
        <v>213</v>
      </c>
      <c r="I3166" s="97" t="s">
        <v>714</v>
      </c>
      <c r="J3166" s="73">
        <f t="shared" si="367"/>
        <v>1</v>
      </c>
      <c r="K3166" s="74" t="s">
        <v>204</v>
      </c>
      <c r="L3166" s="97" t="s">
        <v>7072</v>
      </c>
      <c r="N3166" s="76" t="s">
        <v>18</v>
      </c>
      <c r="Q3166" s="76" t="s">
        <v>2037</v>
      </c>
      <c r="R3166" s="73">
        <f t="shared" si="368"/>
        <v>1</v>
      </c>
      <c r="S3166" s="260" t="s">
        <v>1976</v>
      </c>
      <c r="T3166" s="260" t="s">
        <v>925</v>
      </c>
      <c r="Y3166" s="566">
        <v>0.49041666666666667</v>
      </c>
      <c r="Z3166" s="566">
        <v>0.49774305555555554</v>
      </c>
      <c r="AA3166" s="566">
        <f t="shared" si="366"/>
        <v>7.3263888888888684E-3</v>
      </c>
    </row>
    <row r="3167" spans="1:27" x14ac:dyDescent="0.3">
      <c r="A3167" s="79" t="s">
        <v>10440</v>
      </c>
      <c r="C3167" s="115">
        <v>44053</v>
      </c>
      <c r="D3167" s="312">
        <v>44088</v>
      </c>
      <c r="E3167" s="81">
        <v>44084</v>
      </c>
      <c r="F3167" s="86" t="s">
        <v>10532</v>
      </c>
      <c r="G3167" s="86" t="s">
        <v>157</v>
      </c>
      <c r="H3167" s="79" t="s">
        <v>268</v>
      </c>
      <c r="I3167" s="97" t="s">
        <v>722</v>
      </c>
      <c r="J3167" s="73">
        <f t="shared" si="367"/>
        <v>1</v>
      </c>
      <c r="K3167" s="74" t="s">
        <v>204</v>
      </c>
      <c r="L3167" s="97" t="s">
        <v>7358</v>
      </c>
      <c r="N3167" s="76" t="s">
        <v>17</v>
      </c>
      <c r="Q3167" s="76" t="s">
        <v>2142</v>
      </c>
      <c r="R3167" s="73">
        <f t="shared" si="368"/>
        <v>1</v>
      </c>
      <c r="S3167" s="260" t="s">
        <v>1976</v>
      </c>
      <c r="T3167" s="260" t="s">
        <v>925</v>
      </c>
      <c r="Y3167" s="566">
        <v>0.58797453703703706</v>
      </c>
      <c r="Z3167" s="566">
        <v>0.61962962962962964</v>
      </c>
      <c r="AA3167" s="566">
        <f t="shared" si="366"/>
        <v>3.1655092592592582E-2</v>
      </c>
    </row>
    <row r="3168" spans="1:27" x14ac:dyDescent="0.3">
      <c r="A3168" s="96" t="s">
        <v>10441</v>
      </c>
      <c r="C3168" s="115">
        <v>44053</v>
      </c>
      <c r="D3168" s="312">
        <v>44088</v>
      </c>
      <c r="E3168" s="81">
        <v>44082</v>
      </c>
      <c r="F3168" s="86" t="s">
        <v>10533</v>
      </c>
      <c r="G3168" s="86" t="s">
        <v>1682</v>
      </c>
      <c r="H3168" s="96" t="s">
        <v>213</v>
      </c>
      <c r="I3168" s="97" t="s">
        <v>642</v>
      </c>
      <c r="J3168" s="73">
        <f t="shared" si="367"/>
        <v>1</v>
      </c>
      <c r="K3168" s="74" t="s">
        <v>204</v>
      </c>
      <c r="L3168" s="97" t="s">
        <v>7066</v>
      </c>
      <c r="N3168" s="76" t="s">
        <v>18</v>
      </c>
      <c r="Q3168" s="76" t="s">
        <v>2142</v>
      </c>
      <c r="R3168" s="73">
        <f t="shared" si="368"/>
        <v>1</v>
      </c>
      <c r="S3168" s="260" t="s">
        <v>1976</v>
      </c>
      <c r="T3168" s="260" t="s">
        <v>923</v>
      </c>
      <c r="Y3168" s="566">
        <v>0.55443287037037037</v>
      </c>
      <c r="Z3168" s="566">
        <v>0.5602314814814815</v>
      </c>
      <c r="AA3168" s="566">
        <f t="shared" si="366"/>
        <v>5.7986111111111294E-3</v>
      </c>
    </row>
    <row r="3169" spans="1:27" x14ac:dyDescent="0.3">
      <c r="A3169" s="79" t="s">
        <v>10442</v>
      </c>
      <c r="C3169" s="115">
        <v>44053</v>
      </c>
      <c r="D3169" s="312">
        <v>44088</v>
      </c>
      <c r="E3169" s="81">
        <v>44082</v>
      </c>
      <c r="F3169" s="86" t="s">
        <v>10534</v>
      </c>
      <c r="G3169" s="86" t="s">
        <v>172</v>
      </c>
      <c r="H3169" s="96" t="s">
        <v>213</v>
      </c>
      <c r="I3169" s="97" t="s">
        <v>854</v>
      </c>
      <c r="J3169" s="73">
        <f t="shared" si="367"/>
        <v>1</v>
      </c>
      <c r="K3169" s="74" t="s">
        <v>204</v>
      </c>
      <c r="L3169" s="97" t="s">
        <v>7120</v>
      </c>
      <c r="N3169" s="76" t="s">
        <v>17</v>
      </c>
      <c r="Q3169" s="76" t="s">
        <v>2076</v>
      </c>
      <c r="R3169" s="73">
        <f t="shared" si="368"/>
        <v>1</v>
      </c>
      <c r="S3169" s="260" t="s">
        <v>1976</v>
      </c>
      <c r="T3169" s="260" t="s">
        <v>925</v>
      </c>
      <c r="Y3169" s="566">
        <v>0.64025462962962965</v>
      </c>
      <c r="Z3169" s="566">
        <v>0.67702546296296295</v>
      </c>
      <c r="AA3169" s="566">
        <f t="shared" si="366"/>
        <v>3.6770833333333308E-2</v>
      </c>
    </row>
    <row r="3170" spans="1:27" x14ac:dyDescent="0.3">
      <c r="A3170" s="79" t="s">
        <v>10443</v>
      </c>
      <c r="C3170" s="115">
        <v>44053</v>
      </c>
      <c r="D3170" s="312">
        <v>44088</v>
      </c>
      <c r="E3170" s="81">
        <v>44082</v>
      </c>
      <c r="F3170" s="86" t="s">
        <v>10535</v>
      </c>
      <c r="G3170" s="86" t="s">
        <v>156</v>
      </c>
      <c r="H3170" s="96" t="s">
        <v>213</v>
      </c>
      <c r="I3170" s="97" t="s">
        <v>714</v>
      </c>
      <c r="J3170" s="73">
        <f t="shared" si="367"/>
        <v>1</v>
      </c>
      <c r="K3170" s="74" t="s">
        <v>204</v>
      </c>
      <c r="L3170" s="97" t="s">
        <v>7072</v>
      </c>
      <c r="N3170" s="76" t="s">
        <v>17</v>
      </c>
      <c r="Q3170" s="76" t="s">
        <v>2037</v>
      </c>
      <c r="R3170" s="73">
        <f t="shared" si="368"/>
        <v>1</v>
      </c>
      <c r="S3170" s="260" t="s">
        <v>1976</v>
      </c>
      <c r="T3170" s="260" t="s">
        <v>925</v>
      </c>
      <c r="Y3170" s="566">
        <v>0.56071759259259257</v>
      </c>
      <c r="Z3170" s="566">
        <v>0.56663194444444442</v>
      </c>
      <c r="AA3170" s="566">
        <f t="shared" si="366"/>
        <v>5.9143518518518512E-3</v>
      </c>
    </row>
    <row r="3171" spans="1:27" x14ac:dyDescent="0.3">
      <c r="A3171" s="79" t="s">
        <v>10444</v>
      </c>
      <c r="C3171" s="115">
        <v>44053</v>
      </c>
      <c r="D3171" s="312">
        <v>44089</v>
      </c>
      <c r="E3171" s="81">
        <v>44083</v>
      </c>
      <c r="F3171" s="86" t="s">
        <v>10536</v>
      </c>
      <c r="G3171" s="86" t="s">
        <v>189</v>
      </c>
      <c r="H3171" s="96" t="s">
        <v>213</v>
      </c>
      <c r="I3171" s="97" t="s">
        <v>714</v>
      </c>
      <c r="J3171" s="73">
        <f t="shared" si="367"/>
        <v>1</v>
      </c>
      <c r="K3171" s="74" t="s">
        <v>204</v>
      </c>
      <c r="L3171" s="97" t="s">
        <v>7058</v>
      </c>
      <c r="N3171" s="76" t="s">
        <v>18</v>
      </c>
      <c r="Q3171" s="76" t="s">
        <v>2076</v>
      </c>
      <c r="R3171" s="73">
        <f t="shared" si="368"/>
        <v>1</v>
      </c>
      <c r="S3171" s="260" t="s">
        <v>1976</v>
      </c>
      <c r="T3171" s="260" t="s">
        <v>925</v>
      </c>
      <c r="Y3171" s="566">
        <v>0.63861111111111113</v>
      </c>
      <c r="Z3171" s="566">
        <v>0.64467592592592593</v>
      </c>
      <c r="AA3171" s="566">
        <f t="shared" si="366"/>
        <v>6.0648148148148007E-3</v>
      </c>
    </row>
    <row r="3172" spans="1:27" x14ac:dyDescent="0.3">
      <c r="A3172" s="79" t="s">
        <v>10445</v>
      </c>
      <c r="C3172" s="115">
        <v>44053</v>
      </c>
      <c r="D3172" s="312">
        <v>44088</v>
      </c>
      <c r="E3172" s="81">
        <v>44082</v>
      </c>
      <c r="F3172" s="86" t="s">
        <v>10537</v>
      </c>
      <c r="G3172" s="86" t="s">
        <v>9119</v>
      </c>
      <c r="H3172" s="96" t="s">
        <v>213</v>
      </c>
      <c r="I3172" s="97" t="s">
        <v>714</v>
      </c>
      <c r="J3172" s="73">
        <f t="shared" si="367"/>
        <v>1</v>
      </c>
      <c r="K3172" s="74" t="s">
        <v>204</v>
      </c>
      <c r="L3172" s="97" t="s">
        <v>7071</v>
      </c>
      <c r="N3172" s="76" t="s">
        <v>17</v>
      </c>
      <c r="Q3172" s="76" t="s">
        <v>10401</v>
      </c>
      <c r="R3172" s="73">
        <f t="shared" si="368"/>
        <v>1</v>
      </c>
      <c r="S3172" s="260" t="s">
        <v>1976</v>
      </c>
      <c r="T3172" s="260" t="s">
        <v>923</v>
      </c>
      <c r="Y3172" s="566">
        <v>0.57841435185185186</v>
      </c>
      <c r="Z3172" s="566">
        <v>0.58796296296296291</v>
      </c>
      <c r="AA3172" s="566">
        <f t="shared" si="366"/>
        <v>9.5486111111110494E-3</v>
      </c>
    </row>
    <row r="3173" spans="1:27" x14ac:dyDescent="0.3">
      <c r="A3173" s="79" t="s">
        <v>10446</v>
      </c>
      <c r="C3173" s="115">
        <v>44053</v>
      </c>
      <c r="D3173" s="312">
        <v>44089</v>
      </c>
      <c r="E3173" s="81">
        <v>44083</v>
      </c>
      <c r="F3173" s="86" t="s">
        <v>10538</v>
      </c>
      <c r="G3173" s="86" t="s">
        <v>147</v>
      </c>
      <c r="H3173" s="96" t="s">
        <v>213</v>
      </c>
      <c r="I3173" s="97" t="s">
        <v>714</v>
      </c>
      <c r="J3173" s="73">
        <f t="shared" si="367"/>
        <v>1</v>
      </c>
      <c r="K3173" s="74" t="s">
        <v>204</v>
      </c>
      <c r="L3173" s="97" t="s">
        <v>7058</v>
      </c>
      <c r="N3173" s="76" t="s">
        <v>18</v>
      </c>
      <c r="Q3173" s="76" t="s">
        <v>5193</v>
      </c>
      <c r="R3173" s="73">
        <f t="shared" si="368"/>
        <v>1</v>
      </c>
      <c r="S3173" s="260" t="s">
        <v>1976</v>
      </c>
      <c r="T3173" s="260" t="s">
        <v>923</v>
      </c>
      <c r="Y3173" s="566">
        <v>0.64563657407407404</v>
      </c>
      <c r="Z3173" s="566">
        <v>0.67629629629629628</v>
      </c>
      <c r="AA3173" s="566">
        <f t="shared" si="366"/>
        <v>3.0659722222222241E-2</v>
      </c>
    </row>
    <row r="3174" spans="1:27" x14ac:dyDescent="0.3">
      <c r="A3174" s="79" t="s">
        <v>10447</v>
      </c>
      <c r="C3174" s="115">
        <v>44053</v>
      </c>
      <c r="D3174" s="312">
        <v>44089</v>
      </c>
      <c r="E3174" s="81">
        <v>44084</v>
      </c>
      <c r="F3174" s="86" t="s">
        <v>10539</v>
      </c>
      <c r="G3174" s="86" t="s">
        <v>156</v>
      </c>
      <c r="H3174" s="79" t="s">
        <v>268</v>
      </c>
      <c r="I3174" s="97" t="s">
        <v>722</v>
      </c>
      <c r="J3174" s="73">
        <f t="shared" si="367"/>
        <v>1</v>
      </c>
      <c r="K3174" s="74" t="s">
        <v>204</v>
      </c>
      <c r="L3174" s="97" t="s">
        <v>7358</v>
      </c>
      <c r="N3174" s="76" t="s">
        <v>17</v>
      </c>
      <c r="Q3174" s="76" t="s">
        <v>10401</v>
      </c>
      <c r="R3174" s="73">
        <f t="shared" si="368"/>
        <v>1</v>
      </c>
      <c r="S3174" s="260" t="s">
        <v>1976</v>
      </c>
      <c r="T3174" s="260" t="s">
        <v>925</v>
      </c>
      <c r="Y3174" s="566">
        <v>0.74157407407407405</v>
      </c>
      <c r="Z3174" s="566">
        <v>0.76839120370370362</v>
      </c>
      <c r="AA3174" s="566">
        <f t="shared" si="366"/>
        <v>2.6817129629629566E-2</v>
      </c>
    </row>
    <row r="3175" spans="1:27" x14ac:dyDescent="0.3">
      <c r="A3175" s="79" t="s">
        <v>10448</v>
      </c>
      <c r="C3175" s="115">
        <v>44053</v>
      </c>
      <c r="D3175" s="312">
        <v>44088</v>
      </c>
      <c r="E3175" s="81">
        <v>44082</v>
      </c>
      <c r="F3175" s="86" t="s">
        <v>10540</v>
      </c>
      <c r="G3175" s="86" t="s">
        <v>9119</v>
      </c>
      <c r="H3175" s="96" t="s">
        <v>213</v>
      </c>
      <c r="I3175" s="97" t="s">
        <v>714</v>
      </c>
      <c r="J3175" s="73">
        <f t="shared" si="367"/>
        <v>1</v>
      </c>
      <c r="K3175" s="74" t="s">
        <v>204</v>
      </c>
      <c r="L3175" s="97" t="s">
        <v>7072</v>
      </c>
      <c r="N3175" s="76" t="s">
        <v>18</v>
      </c>
      <c r="Q3175" s="76" t="s">
        <v>2142</v>
      </c>
      <c r="R3175" s="73">
        <f t="shared" si="368"/>
        <v>1</v>
      </c>
      <c r="S3175" s="260" t="s">
        <v>1976</v>
      </c>
      <c r="T3175" s="260" t="s">
        <v>925</v>
      </c>
      <c r="Y3175" s="566">
        <v>0.62650462962962961</v>
      </c>
      <c r="Z3175" s="566">
        <v>0.63962962962962966</v>
      </c>
      <c r="AA3175" s="566">
        <f t="shared" si="366"/>
        <v>1.3125000000000053E-2</v>
      </c>
    </row>
    <row r="3176" spans="1:27" x14ac:dyDescent="0.3">
      <c r="A3176" s="79" t="s">
        <v>10449</v>
      </c>
      <c r="C3176" s="115">
        <v>44053</v>
      </c>
      <c r="D3176" s="312">
        <v>44088</v>
      </c>
      <c r="E3176" s="81">
        <v>44082</v>
      </c>
      <c r="F3176" s="86" t="s">
        <v>10541</v>
      </c>
      <c r="G3176" s="86" t="s">
        <v>150</v>
      </c>
      <c r="H3176" s="96" t="s">
        <v>213</v>
      </c>
      <c r="I3176" s="97" t="s">
        <v>642</v>
      </c>
      <c r="J3176" s="73">
        <f t="shared" si="367"/>
        <v>1</v>
      </c>
      <c r="K3176" s="74" t="s">
        <v>204</v>
      </c>
      <c r="L3176" s="97" t="s">
        <v>7108</v>
      </c>
      <c r="N3176" s="76" t="s">
        <v>18</v>
      </c>
      <c r="Q3176" s="76" t="s">
        <v>5193</v>
      </c>
      <c r="R3176" s="73">
        <f t="shared" si="368"/>
        <v>1</v>
      </c>
      <c r="S3176" s="260" t="s">
        <v>1976</v>
      </c>
      <c r="T3176" s="260" t="s">
        <v>925</v>
      </c>
      <c r="Y3176" s="566">
        <v>0.49984953703703705</v>
      </c>
      <c r="Z3176" s="566">
        <v>0.52278935185185182</v>
      </c>
      <c r="AA3176" s="566">
        <f t="shared" si="366"/>
        <v>2.2939814814814774E-2</v>
      </c>
    </row>
    <row r="3177" spans="1:27" x14ac:dyDescent="0.3">
      <c r="A3177" s="79" t="s">
        <v>10450</v>
      </c>
      <c r="C3177" s="115">
        <v>44053</v>
      </c>
      <c r="D3177" s="312">
        <v>44088</v>
      </c>
      <c r="E3177" s="81">
        <v>44082</v>
      </c>
      <c r="F3177" s="86" t="s">
        <v>10542</v>
      </c>
      <c r="G3177" s="86" t="s">
        <v>152</v>
      </c>
      <c r="H3177" s="96" t="s">
        <v>213</v>
      </c>
      <c r="I3177" s="97" t="s">
        <v>722</v>
      </c>
      <c r="J3177" s="73">
        <f t="shared" si="367"/>
        <v>1</v>
      </c>
      <c r="K3177" s="74" t="s">
        <v>204</v>
      </c>
      <c r="L3177" s="97" t="s">
        <v>8102</v>
      </c>
      <c r="N3177" s="76" t="s">
        <v>18</v>
      </c>
      <c r="Q3177" s="76" t="s">
        <v>5193</v>
      </c>
      <c r="R3177" s="73">
        <f t="shared" si="368"/>
        <v>1</v>
      </c>
      <c r="S3177" s="260" t="s">
        <v>1976</v>
      </c>
      <c r="T3177" s="260" t="s">
        <v>925</v>
      </c>
      <c r="Y3177" s="566">
        <v>0.59033564814814821</v>
      </c>
      <c r="Z3177" s="566">
        <v>0.60432870370370373</v>
      </c>
      <c r="AA3177" s="566">
        <f t="shared" si="366"/>
        <v>1.3993055555555522E-2</v>
      </c>
    </row>
    <row r="3178" spans="1:27" x14ac:dyDescent="0.3">
      <c r="A3178" s="79" t="s">
        <v>10451</v>
      </c>
      <c r="C3178" s="115">
        <v>44054</v>
      </c>
      <c r="D3178" s="312">
        <v>44089</v>
      </c>
      <c r="E3178" s="81">
        <v>44083</v>
      </c>
      <c r="F3178" s="86" t="s">
        <v>10543</v>
      </c>
      <c r="G3178" s="86" t="s">
        <v>152</v>
      </c>
      <c r="H3178" s="96" t="s">
        <v>213</v>
      </c>
      <c r="J3178" s="73">
        <f t="shared" si="367"/>
        <v>1</v>
      </c>
      <c r="K3178" s="74" t="s">
        <v>204</v>
      </c>
      <c r="L3178" s="97" t="s">
        <v>10624</v>
      </c>
      <c r="N3178" s="76" t="s">
        <v>17</v>
      </c>
      <c r="Q3178" s="76" t="s">
        <v>2076</v>
      </c>
      <c r="R3178" s="73">
        <f t="shared" si="368"/>
        <v>1</v>
      </c>
      <c r="S3178" s="260" t="s">
        <v>1976</v>
      </c>
      <c r="T3178" s="260" t="s">
        <v>923</v>
      </c>
      <c r="Y3178" s="566">
        <v>0.59222222222222221</v>
      </c>
      <c r="Z3178" s="566">
        <v>0.62109953703703702</v>
      </c>
      <c r="AA3178" s="566">
        <f t="shared" si="366"/>
        <v>2.8877314814814814E-2</v>
      </c>
    </row>
    <row r="3179" spans="1:27" x14ac:dyDescent="0.3">
      <c r="A3179" s="79" t="s">
        <v>10452</v>
      </c>
      <c r="C3179" s="115">
        <v>44054</v>
      </c>
      <c r="D3179" s="312">
        <v>44089</v>
      </c>
      <c r="E3179" s="81">
        <v>44083</v>
      </c>
      <c r="F3179" s="86" t="s">
        <v>10544</v>
      </c>
      <c r="G3179" s="86" t="s">
        <v>152</v>
      </c>
      <c r="H3179" s="79" t="s">
        <v>268</v>
      </c>
      <c r="I3179" s="97" t="s">
        <v>714</v>
      </c>
      <c r="J3179" s="73">
        <f t="shared" si="367"/>
        <v>1</v>
      </c>
      <c r="K3179" s="74" t="s">
        <v>204</v>
      </c>
      <c r="L3179" s="97" t="s">
        <v>10625</v>
      </c>
      <c r="N3179" s="76" t="s">
        <v>18</v>
      </c>
      <c r="Q3179" s="76" t="s">
        <v>5193</v>
      </c>
      <c r="R3179" s="73">
        <f t="shared" si="368"/>
        <v>1</v>
      </c>
      <c r="S3179" s="260" t="s">
        <v>1976</v>
      </c>
      <c r="T3179" s="260" t="s">
        <v>923</v>
      </c>
      <c r="U3179" s="76" t="s">
        <v>5283</v>
      </c>
      <c r="V3179" s="301" t="s">
        <v>10626</v>
      </c>
      <c r="Y3179" s="566">
        <v>0.67680555555555555</v>
      </c>
      <c r="Z3179" s="566">
        <v>0.70574074074074078</v>
      </c>
      <c r="AA3179" s="566">
        <f t="shared" si="366"/>
        <v>2.893518518518523E-2</v>
      </c>
    </row>
    <row r="3180" spans="1:27" x14ac:dyDescent="0.3">
      <c r="A3180" s="79" t="s">
        <v>10453</v>
      </c>
      <c r="C3180" s="115">
        <v>44054</v>
      </c>
      <c r="D3180" s="312">
        <v>44089</v>
      </c>
      <c r="E3180" s="81">
        <v>44082</v>
      </c>
      <c r="F3180" s="86" t="s">
        <v>10545</v>
      </c>
      <c r="G3180" s="86" t="s">
        <v>9119</v>
      </c>
      <c r="H3180" s="96" t="s">
        <v>213</v>
      </c>
      <c r="I3180" s="97" t="s">
        <v>714</v>
      </c>
      <c r="J3180" s="73">
        <f t="shared" si="367"/>
        <v>1</v>
      </c>
      <c r="K3180" s="74" t="s">
        <v>204</v>
      </c>
      <c r="L3180" s="97" t="s">
        <v>10629</v>
      </c>
      <c r="N3180" s="76" t="s">
        <v>17</v>
      </c>
      <c r="Q3180" s="76" t="s">
        <v>2142</v>
      </c>
      <c r="R3180" s="73">
        <f t="shared" si="368"/>
        <v>1</v>
      </c>
      <c r="S3180" s="260" t="s">
        <v>1976</v>
      </c>
      <c r="T3180" s="260" t="s">
        <v>925</v>
      </c>
      <c r="Y3180" s="566">
        <v>0.92291666666666661</v>
      </c>
      <c r="Z3180" s="566">
        <v>0.92664351851851856</v>
      </c>
      <c r="AA3180" s="566">
        <f t="shared" si="366"/>
        <v>3.7268518518519533E-3</v>
      </c>
    </row>
    <row r="3181" spans="1:27" x14ac:dyDescent="0.3">
      <c r="A3181" s="79" t="s">
        <v>10454</v>
      </c>
      <c r="C3181" s="115">
        <v>44054</v>
      </c>
      <c r="D3181" s="312">
        <v>44089</v>
      </c>
      <c r="E3181" s="81">
        <v>44083</v>
      </c>
      <c r="F3181" s="86" t="s">
        <v>10546</v>
      </c>
      <c r="G3181" s="86" t="s">
        <v>172</v>
      </c>
      <c r="H3181" s="96" t="s">
        <v>213</v>
      </c>
      <c r="I3181" s="97" t="s">
        <v>755</v>
      </c>
      <c r="J3181" s="73">
        <f t="shared" si="367"/>
        <v>1</v>
      </c>
      <c r="K3181" s="74" t="s">
        <v>204</v>
      </c>
      <c r="L3181" s="97" t="s">
        <v>7343</v>
      </c>
      <c r="N3181" s="76" t="s">
        <v>18</v>
      </c>
      <c r="Q3181" s="76" t="s">
        <v>2142</v>
      </c>
      <c r="R3181" s="73">
        <f t="shared" si="368"/>
        <v>1</v>
      </c>
      <c r="S3181" s="260" t="s">
        <v>1976</v>
      </c>
      <c r="T3181" s="260" t="s">
        <v>923</v>
      </c>
      <c r="Y3181" s="566">
        <v>0.92722222222222228</v>
      </c>
      <c r="Z3181" s="566">
        <v>0.93413194444444436</v>
      </c>
      <c r="AA3181" s="566">
        <f t="shared" si="366"/>
        <v>6.9097222222220811E-3</v>
      </c>
    </row>
    <row r="3182" spans="1:27" x14ac:dyDescent="0.3">
      <c r="A3182" s="79" t="s">
        <v>10455</v>
      </c>
      <c r="C3182" s="115">
        <v>44054</v>
      </c>
      <c r="D3182" s="312">
        <v>44089</v>
      </c>
      <c r="E3182" s="81">
        <v>44082</v>
      </c>
      <c r="F3182" s="86" t="s">
        <v>10547</v>
      </c>
      <c r="G3182" s="86" t="s">
        <v>172</v>
      </c>
      <c r="H3182" s="96" t="s">
        <v>213</v>
      </c>
      <c r="I3182" s="97" t="s">
        <v>714</v>
      </c>
      <c r="J3182" s="73">
        <f t="shared" si="367"/>
        <v>1</v>
      </c>
      <c r="K3182" s="74" t="s">
        <v>204</v>
      </c>
      <c r="L3182" s="97" t="s">
        <v>7332</v>
      </c>
      <c r="N3182" s="76" t="s">
        <v>17</v>
      </c>
      <c r="Q3182" s="76" t="s">
        <v>2076</v>
      </c>
      <c r="R3182" s="73">
        <f t="shared" si="368"/>
        <v>1</v>
      </c>
      <c r="S3182" s="260" t="s">
        <v>1976</v>
      </c>
      <c r="T3182" s="260" t="s">
        <v>925</v>
      </c>
      <c r="Y3182" s="566">
        <v>0.70162037037037039</v>
      </c>
      <c r="Z3182" s="566">
        <v>0.71010416666666665</v>
      </c>
      <c r="AA3182" s="566">
        <f t="shared" si="366"/>
        <v>8.4837962962962532E-3</v>
      </c>
    </row>
    <row r="3183" spans="1:27" x14ac:dyDescent="0.3">
      <c r="A3183" s="79" t="s">
        <v>10456</v>
      </c>
      <c r="C3183" s="115">
        <v>44054</v>
      </c>
      <c r="D3183" s="312">
        <v>44089</v>
      </c>
      <c r="E3183" s="81">
        <v>44083</v>
      </c>
      <c r="F3183" s="86" t="s">
        <v>10548</v>
      </c>
      <c r="G3183" s="86" t="s">
        <v>156</v>
      </c>
      <c r="H3183" s="96" t="s">
        <v>213</v>
      </c>
      <c r="I3183" s="97" t="s">
        <v>714</v>
      </c>
      <c r="J3183" s="73">
        <f t="shared" si="367"/>
        <v>1</v>
      </c>
      <c r="K3183" s="74" t="s">
        <v>204</v>
      </c>
      <c r="L3183" s="97" t="s">
        <v>7071</v>
      </c>
      <c r="N3183" s="76" t="s">
        <v>17</v>
      </c>
      <c r="Q3183" s="76" t="s">
        <v>2037</v>
      </c>
      <c r="R3183" s="73">
        <f t="shared" si="368"/>
        <v>1</v>
      </c>
      <c r="S3183" s="260" t="s">
        <v>1976</v>
      </c>
      <c r="T3183" s="260" t="s">
        <v>925</v>
      </c>
      <c r="Y3183" s="566">
        <v>0.94335648148148143</v>
      </c>
      <c r="Z3183" s="566">
        <v>0.94806712962962969</v>
      </c>
      <c r="AA3183" s="566">
        <f t="shared" si="366"/>
        <v>4.7106481481482554E-3</v>
      </c>
    </row>
    <row r="3184" spans="1:27" x14ac:dyDescent="0.3">
      <c r="A3184" s="79" t="s">
        <v>10457</v>
      </c>
      <c r="C3184" s="115">
        <v>44054</v>
      </c>
      <c r="D3184" s="312">
        <v>44089</v>
      </c>
      <c r="E3184" s="81">
        <v>44083</v>
      </c>
      <c r="F3184" s="86" t="s">
        <v>10549</v>
      </c>
      <c r="G3184" s="86" t="s">
        <v>9119</v>
      </c>
      <c r="H3184" s="96" t="s">
        <v>213</v>
      </c>
      <c r="I3184" s="97" t="s">
        <v>642</v>
      </c>
      <c r="J3184" s="73">
        <f t="shared" si="367"/>
        <v>1</v>
      </c>
      <c r="K3184" s="74" t="s">
        <v>204</v>
      </c>
      <c r="L3184" s="97" t="s">
        <v>7059</v>
      </c>
      <c r="N3184" s="76" t="s">
        <v>17</v>
      </c>
      <c r="Q3184" s="76" t="s">
        <v>2142</v>
      </c>
      <c r="R3184" s="73">
        <f t="shared" si="368"/>
        <v>1</v>
      </c>
      <c r="S3184" s="260" t="s">
        <v>1976</v>
      </c>
      <c r="T3184" s="260" t="s">
        <v>923</v>
      </c>
      <c r="Y3184" s="566">
        <v>0.62827546296296299</v>
      </c>
      <c r="Z3184" s="566">
        <v>0.63776620370370374</v>
      </c>
      <c r="AA3184" s="566">
        <f t="shared" si="366"/>
        <v>9.490740740740744E-3</v>
      </c>
    </row>
    <row r="3185" spans="1:27" x14ac:dyDescent="0.3">
      <c r="A3185" s="79" t="s">
        <v>10458</v>
      </c>
      <c r="C3185" s="115">
        <v>44054</v>
      </c>
      <c r="D3185" s="312">
        <v>44089</v>
      </c>
      <c r="E3185" s="81">
        <v>44083</v>
      </c>
      <c r="F3185" s="86" t="s">
        <v>10550</v>
      </c>
      <c r="G3185" s="86" t="s">
        <v>173</v>
      </c>
      <c r="H3185" s="96" t="s">
        <v>213</v>
      </c>
      <c r="I3185" s="97" t="s">
        <v>714</v>
      </c>
      <c r="J3185" s="73">
        <f t="shared" si="367"/>
        <v>1</v>
      </c>
      <c r="K3185" s="74" t="s">
        <v>204</v>
      </c>
      <c r="L3185" s="97" t="s">
        <v>7349</v>
      </c>
      <c r="N3185" s="76" t="s">
        <v>17</v>
      </c>
      <c r="Q3185" s="76" t="s">
        <v>2142</v>
      </c>
      <c r="R3185" s="73">
        <f t="shared" si="368"/>
        <v>1</v>
      </c>
      <c r="S3185" s="260" t="s">
        <v>1976</v>
      </c>
      <c r="T3185" s="260" t="s">
        <v>925</v>
      </c>
      <c r="Y3185" s="566">
        <v>0.90591435185185187</v>
      </c>
      <c r="Z3185" s="566">
        <v>0.91125</v>
      </c>
      <c r="AA3185" s="566">
        <f t="shared" si="366"/>
        <v>5.335648148148131E-3</v>
      </c>
    </row>
    <row r="3186" spans="1:27" x14ac:dyDescent="0.3">
      <c r="A3186" s="79" t="s">
        <v>10459</v>
      </c>
      <c r="C3186" s="115">
        <v>44054</v>
      </c>
      <c r="D3186" s="312">
        <v>44089</v>
      </c>
      <c r="E3186" s="81">
        <v>44082</v>
      </c>
      <c r="F3186" s="86" t="s">
        <v>10551</v>
      </c>
      <c r="G3186" s="86" t="s">
        <v>9119</v>
      </c>
      <c r="H3186" s="96" t="s">
        <v>213</v>
      </c>
      <c r="I3186" s="97" t="s">
        <v>714</v>
      </c>
      <c r="J3186" s="73">
        <f t="shared" si="367"/>
        <v>1</v>
      </c>
      <c r="K3186" s="74" t="s">
        <v>204</v>
      </c>
      <c r="L3186" s="97" t="s">
        <v>9492</v>
      </c>
      <c r="N3186" s="76" t="s">
        <v>18</v>
      </c>
      <c r="Q3186" s="76" t="s">
        <v>2037</v>
      </c>
      <c r="R3186" s="73">
        <f t="shared" si="368"/>
        <v>1</v>
      </c>
      <c r="S3186" s="260" t="s">
        <v>1976</v>
      </c>
      <c r="T3186" s="260" t="s">
        <v>923</v>
      </c>
      <c r="Y3186" s="566">
        <v>0.69496527777777783</v>
      </c>
      <c r="Z3186" s="566">
        <v>0.70103009259259252</v>
      </c>
      <c r="AA3186" s="566">
        <f t="shared" si="366"/>
        <v>6.0648148148146896E-3</v>
      </c>
    </row>
    <row r="3187" spans="1:27" x14ac:dyDescent="0.3">
      <c r="A3187" s="79" t="s">
        <v>10460</v>
      </c>
      <c r="C3187" s="115">
        <v>44054</v>
      </c>
      <c r="D3187" s="312">
        <v>44090</v>
      </c>
      <c r="E3187" s="81">
        <v>44085</v>
      </c>
      <c r="F3187" s="86" t="s">
        <v>10552</v>
      </c>
      <c r="G3187" s="86" t="s">
        <v>9119</v>
      </c>
      <c r="H3187" s="96" t="s">
        <v>213</v>
      </c>
      <c r="I3187" s="97" t="s">
        <v>645</v>
      </c>
      <c r="J3187" s="73">
        <f t="shared" si="367"/>
        <v>1</v>
      </c>
      <c r="K3187" s="74" t="s">
        <v>204</v>
      </c>
      <c r="L3187" s="97" t="s">
        <v>10644</v>
      </c>
      <c r="N3187" s="76" t="s">
        <v>18</v>
      </c>
      <c r="Q3187" s="76" t="s">
        <v>10401</v>
      </c>
      <c r="R3187" s="73">
        <f t="shared" si="368"/>
        <v>1</v>
      </c>
      <c r="S3187" s="260" t="s">
        <v>1976</v>
      </c>
      <c r="T3187" s="260" t="s">
        <v>925</v>
      </c>
      <c r="Y3187" s="566">
        <v>0.3822916666666667</v>
      </c>
      <c r="Z3187" s="566">
        <v>0.39019675925925923</v>
      </c>
      <c r="AA3187" s="566">
        <f t="shared" si="366"/>
        <v>7.9050925925925331E-3</v>
      </c>
    </row>
    <row r="3188" spans="1:27" x14ac:dyDescent="0.3">
      <c r="A3188" s="79" t="s">
        <v>10461</v>
      </c>
      <c r="C3188" s="115">
        <v>44054</v>
      </c>
      <c r="D3188" s="312">
        <v>44090</v>
      </c>
      <c r="E3188" s="81">
        <v>44084</v>
      </c>
      <c r="F3188" s="86" t="s">
        <v>10553</v>
      </c>
      <c r="G3188" s="86" t="s">
        <v>156</v>
      </c>
      <c r="H3188" s="96" t="s">
        <v>213</v>
      </c>
      <c r="I3188" s="97" t="s">
        <v>714</v>
      </c>
      <c r="J3188" s="73">
        <f t="shared" si="367"/>
        <v>1</v>
      </c>
      <c r="K3188" s="74" t="s">
        <v>204</v>
      </c>
      <c r="L3188" s="97" t="s">
        <v>10632</v>
      </c>
      <c r="N3188" s="76" t="s">
        <v>17</v>
      </c>
      <c r="Q3188" s="76" t="s">
        <v>2076</v>
      </c>
      <c r="R3188" s="73">
        <f t="shared" si="368"/>
        <v>1</v>
      </c>
      <c r="S3188" s="260" t="s">
        <v>1976</v>
      </c>
      <c r="T3188" s="260" t="s">
        <v>925</v>
      </c>
      <c r="U3188" s="76" t="s">
        <v>5283</v>
      </c>
      <c r="V3188" s="301" t="s">
        <v>10633</v>
      </c>
      <c r="Y3188" s="566">
        <v>0.46179398148148149</v>
      </c>
      <c r="Z3188" s="566">
        <v>0.48122685185185188</v>
      </c>
      <c r="AA3188" s="566">
        <f t="shared" si="366"/>
        <v>1.9432870370370392E-2</v>
      </c>
    </row>
    <row r="3189" spans="1:27" x14ac:dyDescent="0.3">
      <c r="A3189" s="79" t="s">
        <v>10462</v>
      </c>
      <c r="C3189" s="115">
        <v>44055</v>
      </c>
      <c r="D3189" s="312">
        <v>44090</v>
      </c>
      <c r="E3189" s="81">
        <v>44084</v>
      </c>
      <c r="F3189" s="86" t="s">
        <v>10554</v>
      </c>
      <c r="G3189" s="86" t="s">
        <v>172</v>
      </c>
      <c r="H3189" s="96" t="s">
        <v>213</v>
      </c>
      <c r="I3189" s="97" t="s">
        <v>714</v>
      </c>
      <c r="J3189" s="73">
        <f t="shared" si="367"/>
        <v>1</v>
      </c>
      <c r="K3189" s="74" t="s">
        <v>204</v>
      </c>
      <c r="L3189" s="97" t="s">
        <v>7332</v>
      </c>
      <c r="N3189" s="76" t="s">
        <v>17</v>
      </c>
      <c r="Q3189" s="76" t="s">
        <v>2076</v>
      </c>
      <c r="R3189" s="73">
        <f t="shared" si="368"/>
        <v>1</v>
      </c>
      <c r="S3189" s="260" t="s">
        <v>1976</v>
      </c>
      <c r="T3189" s="260" t="s">
        <v>925</v>
      </c>
      <c r="U3189" s="76" t="s">
        <v>5283</v>
      </c>
      <c r="V3189" s="301" t="s">
        <v>10641</v>
      </c>
      <c r="Y3189" s="566">
        <v>0.69603009259259263</v>
      </c>
      <c r="Z3189" s="566">
        <v>0.70798611111111109</v>
      </c>
      <c r="AA3189" s="566">
        <f t="shared" si="366"/>
        <v>1.1956018518518463E-2</v>
      </c>
    </row>
    <row r="3190" spans="1:27" x14ac:dyDescent="0.3">
      <c r="A3190" s="79" t="s">
        <v>10463</v>
      </c>
      <c r="C3190" s="115">
        <v>44055</v>
      </c>
      <c r="D3190" s="312">
        <v>44090</v>
      </c>
      <c r="E3190" s="81">
        <v>44085</v>
      </c>
      <c r="F3190" s="86" t="s">
        <v>10555</v>
      </c>
      <c r="G3190" s="86" t="s">
        <v>166</v>
      </c>
      <c r="H3190" s="79" t="s">
        <v>268</v>
      </c>
      <c r="I3190" s="97" t="s">
        <v>714</v>
      </c>
      <c r="J3190" s="73">
        <f t="shared" si="367"/>
        <v>1</v>
      </c>
      <c r="K3190" s="74" t="s">
        <v>204</v>
      </c>
      <c r="L3190" s="97" t="s">
        <v>10663</v>
      </c>
      <c r="N3190" s="76" t="s">
        <v>17</v>
      </c>
      <c r="Q3190" s="76" t="s">
        <v>2037</v>
      </c>
      <c r="R3190" s="73">
        <f t="shared" si="368"/>
        <v>1</v>
      </c>
      <c r="S3190" s="260" t="s">
        <v>1976</v>
      </c>
      <c r="T3190" s="260" t="s">
        <v>923</v>
      </c>
      <c r="Y3190" s="566">
        <v>0.64793981481481489</v>
      </c>
      <c r="Z3190" s="566">
        <v>0.66445601851851854</v>
      </c>
      <c r="AA3190" s="566">
        <f t="shared" si="366"/>
        <v>1.6516203703703658E-2</v>
      </c>
    </row>
    <row r="3191" spans="1:27" x14ac:dyDescent="0.3">
      <c r="A3191" s="79" t="s">
        <v>10464</v>
      </c>
      <c r="C3191" s="115">
        <v>44055</v>
      </c>
      <c r="D3191" s="312">
        <v>44090</v>
      </c>
      <c r="E3191" s="81">
        <v>44084</v>
      </c>
      <c r="F3191" s="86" t="s">
        <v>10556</v>
      </c>
      <c r="G3191" s="86" t="s">
        <v>1682</v>
      </c>
      <c r="H3191" s="96" t="s">
        <v>213</v>
      </c>
      <c r="I3191" s="97" t="s">
        <v>714</v>
      </c>
      <c r="J3191" s="73">
        <f t="shared" si="367"/>
        <v>1</v>
      </c>
      <c r="K3191" s="74" t="s">
        <v>204</v>
      </c>
      <c r="L3191" s="97" t="s">
        <v>10639</v>
      </c>
      <c r="N3191" s="76" t="s">
        <v>18</v>
      </c>
      <c r="Q3191" s="76" t="s">
        <v>2142</v>
      </c>
      <c r="R3191" s="73">
        <f t="shared" si="368"/>
        <v>1</v>
      </c>
      <c r="S3191" s="260" t="s">
        <v>1976</v>
      </c>
      <c r="T3191" s="260" t="s">
        <v>925</v>
      </c>
      <c r="U3191" s="76" t="s">
        <v>5283</v>
      </c>
      <c r="Y3191" s="566">
        <v>0.48282407407407407</v>
      </c>
      <c r="Z3191" s="566">
        <v>0.49738425925925928</v>
      </c>
      <c r="AA3191" s="566">
        <f t="shared" si="366"/>
        <v>1.4560185185185204E-2</v>
      </c>
    </row>
    <row r="3192" spans="1:27" x14ac:dyDescent="0.3">
      <c r="A3192" s="79" t="s">
        <v>10465</v>
      </c>
      <c r="C3192" s="115">
        <v>44055</v>
      </c>
      <c r="D3192" s="312">
        <v>44090</v>
      </c>
      <c r="E3192" s="81">
        <v>44084</v>
      </c>
      <c r="F3192" s="86" t="s">
        <v>3711</v>
      </c>
      <c r="G3192" s="86" t="s">
        <v>152</v>
      </c>
      <c r="H3192" s="96" t="s">
        <v>213</v>
      </c>
      <c r="I3192" s="97" t="s">
        <v>714</v>
      </c>
      <c r="J3192" s="73">
        <f t="shared" si="367"/>
        <v>1</v>
      </c>
      <c r="K3192" s="74" t="s">
        <v>204</v>
      </c>
      <c r="L3192" s="97" t="s">
        <v>7349</v>
      </c>
      <c r="N3192" s="76" t="s">
        <v>17</v>
      </c>
      <c r="Q3192" s="76" t="s">
        <v>5193</v>
      </c>
      <c r="R3192" s="73">
        <f t="shared" si="368"/>
        <v>1</v>
      </c>
      <c r="S3192" s="260" t="s">
        <v>1976</v>
      </c>
      <c r="T3192" s="260" t="s">
        <v>925</v>
      </c>
      <c r="Y3192" s="566">
        <v>0.45223379629629629</v>
      </c>
      <c r="Z3192" s="566">
        <v>0.46124999999999999</v>
      </c>
      <c r="AA3192" s="566">
        <f t="shared" si="366"/>
        <v>9.0162037037037068E-3</v>
      </c>
    </row>
    <row r="3193" spans="1:27" x14ac:dyDescent="0.3">
      <c r="A3193" s="79" t="s">
        <v>10466</v>
      </c>
      <c r="C3193" s="115">
        <v>44055</v>
      </c>
      <c r="D3193" s="312">
        <v>44091</v>
      </c>
      <c r="E3193" s="81">
        <v>44085</v>
      </c>
      <c r="F3193" s="86" t="s">
        <v>10557</v>
      </c>
      <c r="G3193" s="86" t="s">
        <v>164</v>
      </c>
      <c r="H3193" s="96" t="s">
        <v>213</v>
      </c>
      <c r="I3193" s="97" t="s">
        <v>995</v>
      </c>
      <c r="J3193" s="73">
        <f t="shared" si="367"/>
        <v>1</v>
      </c>
      <c r="K3193" s="74" t="s">
        <v>204</v>
      </c>
      <c r="L3193" s="97" t="s">
        <v>10655</v>
      </c>
      <c r="N3193" s="76" t="s">
        <v>19</v>
      </c>
      <c r="Q3193" s="76" t="s">
        <v>10401</v>
      </c>
      <c r="R3193" s="73">
        <f t="shared" si="368"/>
        <v>1</v>
      </c>
      <c r="S3193" s="260" t="s">
        <v>1976</v>
      </c>
      <c r="T3193" s="260" t="s">
        <v>923</v>
      </c>
      <c r="Y3193" s="566">
        <v>0.47802083333333334</v>
      </c>
      <c r="Z3193" s="566">
        <v>0.48586805555555551</v>
      </c>
      <c r="AA3193" s="566">
        <f t="shared" si="366"/>
        <v>7.8472222222221721E-3</v>
      </c>
    </row>
    <row r="3194" spans="1:27" x14ac:dyDescent="0.3">
      <c r="A3194" s="96" t="s">
        <v>10467</v>
      </c>
      <c r="C3194" s="115">
        <v>44055</v>
      </c>
      <c r="D3194" s="312">
        <v>44091</v>
      </c>
      <c r="E3194" s="81">
        <v>44088</v>
      </c>
      <c r="F3194" s="86" t="s">
        <v>10558</v>
      </c>
      <c r="G3194" s="97" t="s">
        <v>8909</v>
      </c>
      <c r="H3194" s="96" t="s">
        <v>213</v>
      </c>
      <c r="I3194" s="97" t="s">
        <v>714</v>
      </c>
      <c r="J3194" s="73">
        <f t="shared" si="367"/>
        <v>1</v>
      </c>
      <c r="K3194" s="74" t="s">
        <v>204</v>
      </c>
      <c r="L3194" s="97" t="s">
        <v>7072</v>
      </c>
      <c r="N3194" s="76" t="s">
        <v>17</v>
      </c>
      <c r="Q3194" s="76" t="s">
        <v>2076</v>
      </c>
      <c r="R3194" s="73">
        <f t="shared" si="368"/>
        <v>1</v>
      </c>
      <c r="S3194" s="260" t="s">
        <v>1976</v>
      </c>
      <c r="T3194" s="260" t="s">
        <v>923</v>
      </c>
      <c r="Y3194" s="566">
        <v>0.90020833333333339</v>
      </c>
      <c r="Z3194" s="566">
        <v>0.90826388888888887</v>
      </c>
      <c r="AA3194" s="566">
        <f t="shared" si="366"/>
        <v>8.0555555555554825E-3</v>
      </c>
    </row>
    <row r="3195" spans="1:27" x14ac:dyDescent="0.3">
      <c r="A3195" s="79" t="s">
        <v>10468</v>
      </c>
      <c r="C3195" s="115">
        <v>44055</v>
      </c>
      <c r="D3195" s="312">
        <v>44091</v>
      </c>
      <c r="E3195" s="81">
        <v>44088</v>
      </c>
      <c r="F3195" s="86" t="s">
        <v>3685</v>
      </c>
      <c r="G3195" s="86" t="s">
        <v>154</v>
      </c>
      <c r="H3195" s="96" t="s">
        <v>213</v>
      </c>
      <c r="I3195" s="97" t="s">
        <v>995</v>
      </c>
      <c r="J3195" s="73">
        <f t="shared" si="367"/>
        <v>1</v>
      </c>
      <c r="K3195" s="74" t="s">
        <v>204</v>
      </c>
      <c r="L3195" s="97" t="s">
        <v>10905</v>
      </c>
      <c r="N3195" s="76" t="s">
        <v>19</v>
      </c>
      <c r="Q3195" s="76" t="s">
        <v>2076</v>
      </c>
      <c r="R3195" s="73">
        <f t="shared" si="368"/>
        <v>1</v>
      </c>
      <c r="S3195" s="260" t="s">
        <v>1976</v>
      </c>
      <c r="T3195" s="260" t="s">
        <v>925</v>
      </c>
      <c r="Y3195" s="566">
        <v>0.41244212962962962</v>
      </c>
      <c r="Z3195" s="566">
        <v>0.4227893518518519</v>
      </c>
      <c r="AA3195" s="566">
        <f t="shared" si="366"/>
        <v>1.0347222222222285E-2</v>
      </c>
    </row>
    <row r="3196" spans="1:27" x14ac:dyDescent="0.3">
      <c r="A3196" s="79" t="s">
        <v>10469</v>
      </c>
      <c r="C3196" s="115">
        <v>44055</v>
      </c>
      <c r="D3196" s="312">
        <v>44091</v>
      </c>
      <c r="E3196" s="81">
        <v>44085</v>
      </c>
      <c r="F3196" s="86" t="s">
        <v>10559</v>
      </c>
      <c r="G3196" s="86" t="s">
        <v>9119</v>
      </c>
      <c r="H3196" s="96" t="s">
        <v>213</v>
      </c>
      <c r="I3196" s="97" t="s">
        <v>642</v>
      </c>
      <c r="J3196" s="73">
        <f t="shared" si="367"/>
        <v>1</v>
      </c>
      <c r="K3196" s="74" t="s">
        <v>204</v>
      </c>
      <c r="L3196" s="97" t="s">
        <v>7069</v>
      </c>
      <c r="N3196" s="76" t="s">
        <v>18</v>
      </c>
      <c r="Q3196" s="76" t="s">
        <v>2142</v>
      </c>
      <c r="R3196" s="73">
        <f t="shared" si="368"/>
        <v>1</v>
      </c>
      <c r="S3196" s="260" t="s">
        <v>1976</v>
      </c>
      <c r="T3196" s="260" t="s">
        <v>923</v>
      </c>
      <c r="Y3196" s="566">
        <v>0.62456018518518519</v>
      </c>
      <c r="Z3196" s="566">
        <v>0.64339120370370373</v>
      </c>
      <c r="AA3196" s="566">
        <f t="shared" si="366"/>
        <v>1.8831018518518539E-2</v>
      </c>
    </row>
    <row r="3197" spans="1:27" x14ac:dyDescent="0.3">
      <c r="A3197" s="79" t="s">
        <v>10470</v>
      </c>
      <c r="C3197" s="115">
        <v>44055</v>
      </c>
      <c r="D3197" s="312">
        <v>44091</v>
      </c>
      <c r="E3197" s="81">
        <v>44087</v>
      </c>
      <c r="F3197" s="86" t="s">
        <v>10560</v>
      </c>
      <c r="G3197" s="86" t="s">
        <v>1682</v>
      </c>
      <c r="H3197" s="96" t="s">
        <v>3612</v>
      </c>
      <c r="I3197" s="97" t="s">
        <v>714</v>
      </c>
      <c r="J3197" s="73">
        <f t="shared" si="367"/>
        <v>1</v>
      </c>
      <c r="K3197" s="74" t="s">
        <v>204</v>
      </c>
      <c r="L3197" s="97" t="s">
        <v>10665</v>
      </c>
      <c r="N3197" s="76" t="s">
        <v>18</v>
      </c>
      <c r="Q3197" s="76" t="s">
        <v>5193</v>
      </c>
      <c r="R3197" s="73">
        <f t="shared" si="368"/>
        <v>1</v>
      </c>
      <c r="S3197" s="260" t="s">
        <v>1976</v>
      </c>
      <c r="T3197" s="260" t="s">
        <v>923</v>
      </c>
      <c r="U3197" s="76" t="s">
        <v>5283</v>
      </c>
      <c r="V3197" s="301" t="s">
        <v>10666</v>
      </c>
      <c r="Y3197" s="566">
        <v>0.43583333333333335</v>
      </c>
      <c r="Z3197" s="566">
        <v>0.46489583333333334</v>
      </c>
      <c r="AA3197" s="566">
        <f t="shared" si="366"/>
        <v>2.9062499999999991E-2</v>
      </c>
    </row>
    <row r="3198" spans="1:27" x14ac:dyDescent="0.3">
      <c r="A3198" s="79" t="s">
        <v>10471</v>
      </c>
      <c r="C3198" s="115">
        <v>44056</v>
      </c>
      <c r="D3198" s="312">
        <v>44091</v>
      </c>
      <c r="E3198" s="81">
        <v>44085</v>
      </c>
      <c r="F3198" s="86" t="s">
        <v>10561</v>
      </c>
      <c r="G3198" s="86" t="s">
        <v>9119</v>
      </c>
      <c r="H3198" s="96" t="s">
        <v>213</v>
      </c>
      <c r="I3198" s="97" t="s">
        <v>714</v>
      </c>
      <c r="J3198" s="73">
        <f t="shared" si="367"/>
        <v>1</v>
      </c>
      <c r="K3198" s="74" t="s">
        <v>204</v>
      </c>
      <c r="L3198" s="97" t="s">
        <v>7072</v>
      </c>
      <c r="N3198" s="76" t="s">
        <v>18</v>
      </c>
      <c r="Q3198" s="76" t="s">
        <v>5193</v>
      </c>
      <c r="R3198" s="73">
        <f t="shared" si="368"/>
        <v>1</v>
      </c>
      <c r="S3198" s="260" t="s">
        <v>1976</v>
      </c>
      <c r="T3198" s="260" t="s">
        <v>925</v>
      </c>
      <c r="Y3198" s="566">
        <v>0.48638888888888893</v>
      </c>
      <c r="Z3198" s="566">
        <v>0.49855324074074076</v>
      </c>
      <c r="AA3198" s="566">
        <f t="shared" si="366"/>
        <v>1.2164351851851829E-2</v>
      </c>
    </row>
    <row r="3199" spans="1:27" x14ac:dyDescent="0.3">
      <c r="A3199" s="79" t="s">
        <v>10472</v>
      </c>
      <c r="C3199" s="115">
        <v>44056</v>
      </c>
      <c r="D3199" s="312">
        <v>44091</v>
      </c>
      <c r="E3199" s="81">
        <v>44087</v>
      </c>
      <c r="F3199" s="86" t="s">
        <v>10562</v>
      </c>
      <c r="G3199" s="86" t="s">
        <v>150</v>
      </c>
      <c r="H3199" s="96" t="s">
        <v>213</v>
      </c>
      <c r="I3199" s="97" t="s">
        <v>642</v>
      </c>
      <c r="J3199" s="73">
        <f t="shared" si="367"/>
        <v>1</v>
      </c>
      <c r="K3199" s="74" t="s">
        <v>204</v>
      </c>
      <c r="L3199" s="97" t="s">
        <v>10668</v>
      </c>
      <c r="N3199" s="76" t="s">
        <v>18</v>
      </c>
      <c r="Q3199" s="76" t="s">
        <v>10401</v>
      </c>
      <c r="R3199" s="73">
        <f t="shared" si="368"/>
        <v>1</v>
      </c>
      <c r="S3199" s="260" t="s">
        <v>1976</v>
      </c>
      <c r="T3199" s="260" t="s">
        <v>925</v>
      </c>
      <c r="Y3199" s="566">
        <v>0.4793055555555556</v>
      </c>
      <c r="Z3199" s="566">
        <v>0.4899189814814815</v>
      </c>
      <c r="AA3199" s="566">
        <f t="shared" si="366"/>
        <v>1.0613425925925901E-2</v>
      </c>
    </row>
    <row r="3200" spans="1:27" x14ac:dyDescent="0.3">
      <c r="A3200" s="79" t="s">
        <v>10473</v>
      </c>
      <c r="C3200" s="115">
        <v>44056</v>
      </c>
      <c r="D3200" s="312">
        <v>44092</v>
      </c>
      <c r="E3200" s="81">
        <v>44087</v>
      </c>
      <c r="F3200" s="86" t="s">
        <v>10563</v>
      </c>
      <c r="G3200" s="86" t="s">
        <v>9119</v>
      </c>
      <c r="H3200" s="96" t="s">
        <v>213</v>
      </c>
      <c r="I3200" s="97" t="s">
        <v>714</v>
      </c>
      <c r="J3200" s="73">
        <f t="shared" si="367"/>
        <v>1</v>
      </c>
      <c r="K3200" s="74" t="s">
        <v>204</v>
      </c>
      <c r="L3200" s="97" t="s">
        <v>7336</v>
      </c>
      <c r="N3200" s="76" t="s">
        <v>18</v>
      </c>
      <c r="Q3200" s="76" t="s">
        <v>10401</v>
      </c>
      <c r="R3200" s="73">
        <f t="shared" si="368"/>
        <v>1</v>
      </c>
      <c r="S3200" s="260" t="s">
        <v>1976</v>
      </c>
      <c r="T3200" s="260" t="s">
        <v>925</v>
      </c>
      <c r="Y3200" s="566">
        <v>0.92196759259259264</v>
      </c>
      <c r="Z3200" s="566">
        <v>0.92799768518518511</v>
      </c>
      <c r="AA3200" s="566">
        <f t="shared" si="366"/>
        <v>6.030092592592462E-3</v>
      </c>
    </row>
    <row r="3201" spans="1:27" x14ac:dyDescent="0.3">
      <c r="A3201" s="79" t="s">
        <v>10474</v>
      </c>
      <c r="C3201" s="115">
        <v>44056</v>
      </c>
      <c r="D3201" s="312">
        <v>44091</v>
      </c>
      <c r="E3201" s="81">
        <v>44087</v>
      </c>
      <c r="F3201" s="86" t="s">
        <v>10564</v>
      </c>
      <c r="G3201" s="86" t="s">
        <v>152</v>
      </c>
      <c r="H3201" s="96" t="s">
        <v>213</v>
      </c>
      <c r="I3201" s="97" t="s">
        <v>995</v>
      </c>
      <c r="J3201" s="73">
        <f t="shared" si="367"/>
        <v>1</v>
      </c>
      <c r="K3201" s="74" t="s">
        <v>204</v>
      </c>
      <c r="L3201" s="97" t="s">
        <v>10898</v>
      </c>
      <c r="N3201" s="76" t="s">
        <v>19</v>
      </c>
      <c r="Q3201" s="76" t="s">
        <v>2076</v>
      </c>
      <c r="R3201" s="73">
        <f t="shared" si="368"/>
        <v>1</v>
      </c>
      <c r="S3201" s="260" t="s">
        <v>1976</v>
      </c>
      <c r="T3201" s="260" t="s">
        <v>923</v>
      </c>
      <c r="U3201" s="76" t="s">
        <v>5283</v>
      </c>
      <c r="V3201" s="301" t="s">
        <v>10908</v>
      </c>
      <c r="Y3201" s="566">
        <v>0.89862268518518518</v>
      </c>
      <c r="Z3201" s="566">
        <v>0.91125</v>
      </c>
      <c r="AA3201" s="566">
        <f t="shared" si="366"/>
        <v>1.2627314814814827E-2</v>
      </c>
    </row>
    <row r="3202" spans="1:27" x14ac:dyDescent="0.3">
      <c r="A3202" s="79" t="s">
        <v>10475</v>
      </c>
      <c r="C3202" s="115">
        <v>44056</v>
      </c>
      <c r="D3202" s="312">
        <v>44091</v>
      </c>
      <c r="E3202" s="81">
        <v>44085</v>
      </c>
      <c r="F3202" s="86" t="s">
        <v>10565</v>
      </c>
      <c r="G3202" s="86" t="s">
        <v>150</v>
      </c>
      <c r="H3202" s="96" t="s">
        <v>213</v>
      </c>
      <c r="J3202" s="73">
        <f t="shared" si="367"/>
        <v>1</v>
      </c>
      <c r="K3202" s="74" t="s">
        <v>204</v>
      </c>
      <c r="L3202" s="97" t="s">
        <v>10662</v>
      </c>
      <c r="N3202" s="76" t="s">
        <v>18</v>
      </c>
      <c r="Q3202" s="76" t="s">
        <v>2037</v>
      </c>
      <c r="R3202" s="73">
        <f t="shared" si="368"/>
        <v>1</v>
      </c>
      <c r="S3202" s="260" t="s">
        <v>1976</v>
      </c>
      <c r="T3202" s="260" t="s">
        <v>923</v>
      </c>
      <c r="Y3202" s="566">
        <v>0.5786458333333333</v>
      </c>
      <c r="Z3202" s="566">
        <v>0.62230324074074073</v>
      </c>
      <c r="AA3202" s="566">
        <f t="shared" si="366"/>
        <v>4.3657407407407423E-2</v>
      </c>
    </row>
    <row r="3203" spans="1:27" x14ac:dyDescent="0.3">
      <c r="A3203" s="79" t="s">
        <v>10476</v>
      </c>
      <c r="C3203" s="115">
        <v>44056</v>
      </c>
      <c r="D3203" s="312">
        <v>44091</v>
      </c>
      <c r="E3203" s="81">
        <v>44085</v>
      </c>
      <c r="F3203" s="86" t="s">
        <v>10566</v>
      </c>
      <c r="G3203" s="86" t="s">
        <v>9119</v>
      </c>
      <c r="H3203" s="96" t="s">
        <v>213</v>
      </c>
      <c r="I3203" s="97" t="s">
        <v>714</v>
      </c>
      <c r="J3203" s="73">
        <f t="shared" si="367"/>
        <v>1</v>
      </c>
      <c r="K3203" s="74" t="s">
        <v>204</v>
      </c>
      <c r="L3203" s="97" t="s">
        <v>7071</v>
      </c>
      <c r="N3203" s="76" t="s">
        <v>18</v>
      </c>
      <c r="Q3203" s="76" t="s">
        <v>2142</v>
      </c>
      <c r="R3203" s="73">
        <f t="shared" si="368"/>
        <v>1</v>
      </c>
      <c r="S3203" s="260" t="s">
        <v>1976</v>
      </c>
      <c r="T3203" s="260" t="s">
        <v>925</v>
      </c>
      <c r="Y3203" s="566">
        <v>0.53175925925925926</v>
      </c>
      <c r="Z3203" s="566">
        <v>0.53678240740740735</v>
      </c>
      <c r="AA3203" s="566">
        <f t="shared" si="366"/>
        <v>5.0231481481480822E-3</v>
      </c>
    </row>
    <row r="3204" spans="1:27" x14ac:dyDescent="0.3">
      <c r="A3204" s="79" t="s">
        <v>10477</v>
      </c>
      <c r="C3204" s="115">
        <v>44056</v>
      </c>
      <c r="D3204" s="312">
        <v>44091</v>
      </c>
      <c r="E3204" s="81">
        <v>44085</v>
      </c>
      <c r="F3204" s="86" t="s">
        <v>10567</v>
      </c>
      <c r="G3204" s="86" t="s">
        <v>186</v>
      </c>
      <c r="H3204" s="96" t="s">
        <v>213</v>
      </c>
      <c r="I3204" s="97" t="s">
        <v>642</v>
      </c>
      <c r="J3204" s="73">
        <f t="shared" si="367"/>
        <v>1</v>
      </c>
      <c r="K3204" s="74" t="s">
        <v>204</v>
      </c>
      <c r="L3204" s="97" t="s">
        <v>7110</v>
      </c>
      <c r="N3204" s="76" t="s">
        <v>18</v>
      </c>
      <c r="Q3204" s="76" t="s">
        <v>2076</v>
      </c>
      <c r="R3204" s="73">
        <f t="shared" si="368"/>
        <v>1</v>
      </c>
      <c r="S3204" s="260" t="s">
        <v>1976</v>
      </c>
      <c r="T3204" s="260" t="s">
        <v>923</v>
      </c>
      <c r="Y3204" s="566">
        <v>0.49923611111111116</v>
      </c>
      <c r="Z3204" s="566">
        <v>0.52211805555555557</v>
      </c>
      <c r="AA3204" s="566">
        <f t="shared" si="366"/>
        <v>2.2881944444444413E-2</v>
      </c>
    </row>
    <row r="3205" spans="1:27" x14ac:dyDescent="0.3">
      <c r="A3205" s="79" t="s">
        <v>10478</v>
      </c>
      <c r="C3205" s="115">
        <v>44056</v>
      </c>
      <c r="D3205" s="312">
        <v>44091</v>
      </c>
      <c r="E3205" s="81">
        <v>44085</v>
      </c>
      <c r="F3205" s="86" t="s">
        <v>10568</v>
      </c>
      <c r="G3205" s="86" t="s">
        <v>166</v>
      </c>
      <c r="H3205" s="96" t="s">
        <v>213</v>
      </c>
      <c r="I3205" s="97" t="s">
        <v>714</v>
      </c>
      <c r="J3205" s="73">
        <f t="shared" si="367"/>
        <v>1</v>
      </c>
      <c r="K3205" s="74" t="s">
        <v>204</v>
      </c>
      <c r="L3205" s="97" t="s">
        <v>10657</v>
      </c>
      <c r="N3205" s="76" t="s">
        <v>17</v>
      </c>
      <c r="Q3205" s="76" t="s">
        <v>2037</v>
      </c>
      <c r="R3205" s="73">
        <f t="shared" si="368"/>
        <v>1</v>
      </c>
      <c r="S3205" s="260" t="s">
        <v>1976</v>
      </c>
      <c r="T3205" s="260" t="s">
        <v>925</v>
      </c>
      <c r="Y3205" s="566">
        <v>0.53717592592592589</v>
      </c>
      <c r="Z3205" s="566">
        <v>0.55342592592592588</v>
      </c>
      <c r="AA3205" s="566">
        <f t="shared" ref="AA3205:AA3230" si="369">Z3205-Y3205</f>
        <v>1.6249999999999987E-2</v>
      </c>
    </row>
    <row r="3206" spans="1:27" x14ac:dyDescent="0.3">
      <c r="A3206" s="79" t="s">
        <v>10479</v>
      </c>
      <c r="C3206" s="115">
        <v>44056</v>
      </c>
      <c r="D3206" s="312">
        <v>44091</v>
      </c>
      <c r="E3206" s="81">
        <v>44085</v>
      </c>
      <c r="F3206" s="86" t="s">
        <v>10569</v>
      </c>
      <c r="G3206" s="86" t="s">
        <v>2652</v>
      </c>
      <c r="H3206" s="96" t="s">
        <v>213</v>
      </c>
      <c r="I3206" s="97" t="s">
        <v>714</v>
      </c>
      <c r="J3206" s="73">
        <f t="shared" si="367"/>
        <v>1</v>
      </c>
      <c r="K3206" s="74" t="s">
        <v>204</v>
      </c>
      <c r="L3206" s="97" t="s">
        <v>10658</v>
      </c>
      <c r="N3206" s="76" t="s">
        <v>17</v>
      </c>
      <c r="Q3206" s="76" t="s">
        <v>2037</v>
      </c>
      <c r="R3206" s="73">
        <f t="shared" si="368"/>
        <v>1</v>
      </c>
      <c r="S3206" s="260" t="s">
        <v>1976</v>
      </c>
      <c r="T3206" s="260" t="s">
        <v>925</v>
      </c>
      <c r="Y3206" s="566">
        <v>0.55391203703703706</v>
      </c>
      <c r="Z3206" s="566">
        <v>0.57092592592592595</v>
      </c>
      <c r="AA3206" s="566">
        <f t="shared" si="369"/>
        <v>1.7013888888888884E-2</v>
      </c>
    </row>
    <row r="3207" spans="1:27" x14ac:dyDescent="0.3">
      <c r="A3207" s="79" t="s">
        <v>10480</v>
      </c>
      <c r="C3207" s="115">
        <v>44057</v>
      </c>
      <c r="D3207" s="312">
        <v>44092</v>
      </c>
      <c r="E3207" s="81">
        <v>44089</v>
      </c>
      <c r="F3207" s="86" t="s">
        <v>10570</v>
      </c>
      <c r="G3207" s="86" t="s">
        <v>156</v>
      </c>
      <c r="H3207" s="96" t="s">
        <v>213</v>
      </c>
      <c r="I3207" s="97" t="s">
        <v>714</v>
      </c>
      <c r="J3207" s="73">
        <f t="shared" si="367"/>
        <v>1</v>
      </c>
      <c r="K3207" s="74" t="s">
        <v>204</v>
      </c>
      <c r="L3207" s="97" t="s">
        <v>10923</v>
      </c>
      <c r="N3207" s="76" t="s">
        <v>17</v>
      </c>
      <c r="Q3207" s="76" t="s">
        <v>2076</v>
      </c>
      <c r="R3207" s="73">
        <f t="shared" si="368"/>
        <v>1</v>
      </c>
      <c r="S3207" s="260" t="s">
        <v>1976</v>
      </c>
      <c r="T3207" s="260" t="s">
        <v>925</v>
      </c>
      <c r="U3207" s="76" t="s">
        <v>5283</v>
      </c>
      <c r="V3207" s="301" t="s">
        <v>10911</v>
      </c>
      <c r="Y3207" s="566">
        <v>0.42827546296296298</v>
      </c>
      <c r="Z3207" s="566">
        <v>0.44621527777777775</v>
      </c>
      <c r="AA3207" s="566">
        <f t="shared" si="369"/>
        <v>1.793981481481477E-2</v>
      </c>
    </row>
    <row r="3208" spans="1:27" x14ac:dyDescent="0.3">
      <c r="A3208" s="79" t="s">
        <v>10481</v>
      </c>
      <c r="C3208" s="115">
        <v>44057</v>
      </c>
      <c r="D3208" s="312">
        <v>44092</v>
      </c>
      <c r="E3208" s="81">
        <v>44087</v>
      </c>
      <c r="F3208" s="86" t="s">
        <v>10571</v>
      </c>
      <c r="G3208" s="86" t="s">
        <v>157</v>
      </c>
      <c r="H3208" s="96" t="s">
        <v>213</v>
      </c>
      <c r="I3208" s="97" t="s">
        <v>714</v>
      </c>
      <c r="J3208" s="73">
        <f t="shared" si="367"/>
        <v>1</v>
      </c>
      <c r="K3208" s="74" t="s">
        <v>204</v>
      </c>
      <c r="L3208" s="97" t="s">
        <v>7071</v>
      </c>
      <c r="N3208" s="76" t="s">
        <v>17</v>
      </c>
      <c r="Q3208" s="76" t="s">
        <v>2142</v>
      </c>
      <c r="R3208" s="73">
        <f t="shared" si="368"/>
        <v>1</v>
      </c>
      <c r="S3208" s="260" t="s">
        <v>1976</v>
      </c>
      <c r="T3208" s="260" t="s">
        <v>925</v>
      </c>
      <c r="Y3208" s="566">
        <v>0.51978009259259261</v>
      </c>
      <c r="Z3208" s="566">
        <v>0.53162037037037035</v>
      </c>
      <c r="AA3208" s="566">
        <f t="shared" si="369"/>
        <v>1.1840277777777741E-2</v>
      </c>
    </row>
    <row r="3209" spans="1:27" x14ac:dyDescent="0.3">
      <c r="A3209" s="79" t="s">
        <v>10482</v>
      </c>
      <c r="C3209" s="115">
        <v>44057</v>
      </c>
      <c r="D3209" s="312">
        <v>44092</v>
      </c>
      <c r="E3209" s="81">
        <v>44089</v>
      </c>
      <c r="F3209" s="86" t="s">
        <v>10572</v>
      </c>
      <c r="G3209" s="86" t="s">
        <v>172</v>
      </c>
      <c r="H3209" s="96" t="s">
        <v>213</v>
      </c>
      <c r="I3209" s="97" t="s">
        <v>642</v>
      </c>
      <c r="J3209" s="73">
        <f t="shared" si="367"/>
        <v>1</v>
      </c>
      <c r="K3209" s="74" t="s">
        <v>204</v>
      </c>
      <c r="L3209" s="97" t="s">
        <v>7069</v>
      </c>
      <c r="N3209" s="76" t="s">
        <v>18</v>
      </c>
      <c r="Q3209" s="76" t="s">
        <v>2076</v>
      </c>
      <c r="R3209" s="73">
        <f t="shared" si="368"/>
        <v>1</v>
      </c>
      <c r="S3209" s="260" t="s">
        <v>1976</v>
      </c>
      <c r="T3209" s="260" t="s">
        <v>923</v>
      </c>
      <c r="Y3209" s="566">
        <v>0.44721064814814815</v>
      </c>
      <c r="Z3209" s="566">
        <v>0.45082175925925921</v>
      </c>
      <c r="AA3209" s="566">
        <f t="shared" si="369"/>
        <v>3.611111111111065E-3</v>
      </c>
    </row>
    <row r="3210" spans="1:27" x14ac:dyDescent="0.3">
      <c r="A3210" s="79" t="s">
        <v>10483</v>
      </c>
      <c r="C3210" s="115">
        <v>44057</v>
      </c>
      <c r="D3210" s="312">
        <v>44092</v>
      </c>
      <c r="E3210" s="81">
        <v>44087</v>
      </c>
      <c r="F3210" s="86" t="s">
        <v>10573</v>
      </c>
      <c r="G3210" s="86" t="s">
        <v>150</v>
      </c>
      <c r="H3210" s="96" t="s">
        <v>213</v>
      </c>
      <c r="I3210" s="97" t="s">
        <v>642</v>
      </c>
      <c r="J3210" s="73">
        <f t="shared" ref="J3210:J3231" si="370">IF(OR(K3210="Документы готовы",K3210="Запрос в ФО",K3210="ЭЗ",K3210="РЕШ",K3210="РЕШ шаблон"),0.1,IF(OR(K3210="ЭЗ согласование",K3210="РЕШ согласование"),0.3,IF(OR(K3210="ЭЗ согласовано",K3210="РЕШ согласовано",K3210="РЕШ подписано"),0.6,IF(OR(K3210="ЭЗ ПР согласование",K3210="РЕШ УВ согласование"),0.9,IF(OR(K3210="ЭЗ ПР DONE",K3210="РЕШ УВ DONE"),1,0)))))</f>
        <v>1</v>
      </c>
      <c r="K3210" s="74" t="s">
        <v>204</v>
      </c>
      <c r="L3210" s="97" t="s">
        <v>10904</v>
      </c>
      <c r="N3210" s="76" t="s">
        <v>18</v>
      </c>
      <c r="Q3210" s="76" t="s">
        <v>5193</v>
      </c>
      <c r="R3210" s="73">
        <f t="shared" ref="R3210:R3231" si="371">IF(S3210="В работе",0.3,IF(S3210="Отписано",0.6,IF(S3210="На доработку",0.9,IF(S3210="Согласовано",1,0))))</f>
        <v>1</v>
      </c>
      <c r="S3210" s="260" t="s">
        <v>1976</v>
      </c>
      <c r="T3210" s="260" t="s">
        <v>925</v>
      </c>
      <c r="U3210" s="76" t="s">
        <v>5283</v>
      </c>
      <c r="V3210" s="301" t="s">
        <v>10669</v>
      </c>
      <c r="Y3210" s="566">
        <v>0.49059027777777775</v>
      </c>
      <c r="Z3210" s="566">
        <v>0.50641203703703697</v>
      </c>
      <c r="AA3210" s="566">
        <f t="shared" si="369"/>
        <v>1.5821759259259216E-2</v>
      </c>
    </row>
    <row r="3211" spans="1:27" x14ac:dyDescent="0.3">
      <c r="A3211" s="79" t="s">
        <v>10484</v>
      </c>
      <c r="C3211" s="115">
        <v>44057</v>
      </c>
      <c r="D3211" s="312">
        <v>44092</v>
      </c>
      <c r="E3211" s="81">
        <v>44087</v>
      </c>
      <c r="F3211" s="86" t="s">
        <v>10574</v>
      </c>
      <c r="G3211" s="86" t="s">
        <v>9119</v>
      </c>
      <c r="H3211" s="96" t="s">
        <v>213</v>
      </c>
      <c r="I3211" s="97" t="s">
        <v>714</v>
      </c>
      <c r="J3211" s="73">
        <f t="shared" si="370"/>
        <v>1</v>
      </c>
      <c r="K3211" s="74" t="s">
        <v>204</v>
      </c>
      <c r="L3211" s="97" t="s">
        <v>7715</v>
      </c>
      <c r="N3211" s="76" t="s">
        <v>18</v>
      </c>
      <c r="Q3211" s="76" t="s">
        <v>10401</v>
      </c>
      <c r="R3211" s="73">
        <f t="shared" si="371"/>
        <v>1</v>
      </c>
      <c r="S3211" s="260" t="s">
        <v>1976</v>
      </c>
      <c r="T3211" s="260" t="s">
        <v>925</v>
      </c>
      <c r="Y3211" s="566">
        <v>0.91429398148148155</v>
      </c>
      <c r="Z3211" s="566">
        <v>0.9213541666666667</v>
      </c>
      <c r="AA3211" s="566">
        <f t="shared" si="369"/>
        <v>7.0601851851851416E-3</v>
      </c>
    </row>
    <row r="3212" spans="1:27" x14ac:dyDescent="0.3">
      <c r="A3212" s="79" t="s">
        <v>10485</v>
      </c>
      <c r="C3212" s="115">
        <v>44067</v>
      </c>
      <c r="D3212" s="312">
        <v>44088</v>
      </c>
      <c r="E3212" s="81">
        <v>44083</v>
      </c>
      <c r="F3212" s="86" t="s">
        <v>10575</v>
      </c>
      <c r="G3212" s="86" t="s">
        <v>9119</v>
      </c>
      <c r="H3212" s="96" t="s">
        <v>213</v>
      </c>
      <c r="I3212" s="97" t="s">
        <v>622</v>
      </c>
      <c r="J3212" s="73">
        <f t="shared" si="370"/>
        <v>1</v>
      </c>
      <c r="K3212" s="74" t="s">
        <v>204</v>
      </c>
      <c r="L3212" s="97" t="s">
        <v>10622</v>
      </c>
      <c r="N3212" s="76" t="s">
        <v>19</v>
      </c>
      <c r="Q3212" s="76" t="s">
        <v>10401</v>
      </c>
      <c r="R3212" s="73">
        <f t="shared" si="371"/>
        <v>1</v>
      </c>
      <c r="S3212" s="260" t="s">
        <v>1976</v>
      </c>
      <c r="T3212" s="260" t="s">
        <v>925</v>
      </c>
      <c r="Y3212" s="566">
        <v>0.49666666666666665</v>
      </c>
      <c r="Z3212" s="566">
        <v>0.51688657407407412</v>
      </c>
      <c r="AA3212" s="566">
        <f t="shared" si="369"/>
        <v>2.0219907407407478E-2</v>
      </c>
    </row>
    <row r="3213" spans="1:27" x14ac:dyDescent="0.3">
      <c r="A3213" s="79" t="s">
        <v>10486</v>
      </c>
      <c r="C3213" s="115">
        <v>44067</v>
      </c>
      <c r="D3213" s="312">
        <v>44089</v>
      </c>
      <c r="E3213" s="81">
        <v>44083</v>
      </c>
      <c r="F3213" s="86" t="s">
        <v>10576</v>
      </c>
      <c r="G3213" s="86" t="s">
        <v>410</v>
      </c>
      <c r="H3213" s="96" t="s">
        <v>213</v>
      </c>
      <c r="I3213" s="97" t="s">
        <v>649</v>
      </c>
      <c r="J3213" s="73">
        <f t="shared" si="370"/>
        <v>1</v>
      </c>
      <c r="K3213" s="74" t="s">
        <v>204</v>
      </c>
      <c r="L3213" s="97" t="s">
        <v>7089</v>
      </c>
      <c r="N3213" s="76" t="s">
        <v>17</v>
      </c>
      <c r="Q3213" s="76" t="s">
        <v>2037</v>
      </c>
      <c r="R3213" s="73">
        <f t="shared" si="371"/>
        <v>1</v>
      </c>
      <c r="S3213" s="260" t="s">
        <v>1976</v>
      </c>
      <c r="T3213" s="260" t="s">
        <v>923</v>
      </c>
      <c r="Y3213" s="566">
        <v>0.93469907407407404</v>
      </c>
      <c r="Z3213" s="566">
        <v>0.93920138888888882</v>
      </c>
      <c r="AA3213" s="566">
        <f t="shared" si="369"/>
        <v>4.5023148148147785E-3</v>
      </c>
    </row>
    <row r="3214" spans="1:27" x14ac:dyDescent="0.3">
      <c r="A3214" s="79" t="s">
        <v>10487</v>
      </c>
      <c r="C3214" s="115">
        <v>44067</v>
      </c>
      <c r="D3214" s="312">
        <v>44089</v>
      </c>
      <c r="E3214" s="81">
        <v>44083</v>
      </c>
      <c r="F3214" s="86" t="s">
        <v>10577</v>
      </c>
      <c r="G3214" s="86" t="s">
        <v>152</v>
      </c>
      <c r="H3214" s="96" t="s">
        <v>213</v>
      </c>
      <c r="I3214" s="97" t="s">
        <v>649</v>
      </c>
      <c r="J3214" s="73">
        <f t="shared" si="370"/>
        <v>1</v>
      </c>
      <c r="K3214" s="74" t="s">
        <v>204</v>
      </c>
      <c r="L3214" s="97" t="s">
        <v>10627</v>
      </c>
      <c r="N3214" s="76" t="s">
        <v>18</v>
      </c>
      <c r="Q3214" s="76" t="s">
        <v>2037</v>
      </c>
      <c r="R3214" s="73">
        <f t="shared" si="371"/>
        <v>1</v>
      </c>
      <c r="S3214" s="260" t="s">
        <v>1976</v>
      </c>
      <c r="T3214" s="260" t="s">
        <v>925</v>
      </c>
      <c r="U3214" s="76" t="s">
        <v>5283</v>
      </c>
      <c r="V3214" s="301" t="s">
        <v>10628</v>
      </c>
      <c r="Y3214" s="566">
        <v>0.89141203703703698</v>
      </c>
      <c r="Z3214" s="566">
        <v>0.90468749999999998</v>
      </c>
      <c r="AA3214" s="566">
        <f t="shared" si="369"/>
        <v>1.3275462962963003E-2</v>
      </c>
    </row>
    <row r="3215" spans="1:27" x14ac:dyDescent="0.3">
      <c r="A3215" s="79" t="s">
        <v>10488</v>
      </c>
      <c r="C3215" s="115">
        <v>44067</v>
      </c>
      <c r="D3215" s="312">
        <v>44088</v>
      </c>
      <c r="E3215" s="81">
        <v>44082</v>
      </c>
      <c r="F3215" s="86" t="s">
        <v>10578</v>
      </c>
      <c r="G3215" s="86" t="s">
        <v>154</v>
      </c>
      <c r="H3215" s="96" t="s">
        <v>213</v>
      </c>
      <c r="I3215" s="97" t="s">
        <v>722</v>
      </c>
      <c r="J3215" s="73">
        <f t="shared" si="370"/>
        <v>1</v>
      </c>
      <c r="K3215" s="74" t="s">
        <v>204</v>
      </c>
      <c r="L3215" s="97" t="s">
        <v>7562</v>
      </c>
      <c r="N3215" s="76" t="s">
        <v>18</v>
      </c>
      <c r="Q3215" s="76" t="s">
        <v>2076</v>
      </c>
      <c r="R3215" s="73">
        <f t="shared" si="371"/>
        <v>1</v>
      </c>
      <c r="S3215" s="260" t="s">
        <v>1976</v>
      </c>
      <c r="T3215" s="260" t="s">
        <v>925</v>
      </c>
      <c r="Y3215" s="566">
        <v>0.68031249999999999</v>
      </c>
      <c r="Z3215" s="566">
        <v>0.69422453703703713</v>
      </c>
      <c r="AA3215" s="566">
        <f t="shared" si="369"/>
        <v>1.3912037037037139E-2</v>
      </c>
    </row>
    <row r="3216" spans="1:27" x14ac:dyDescent="0.3">
      <c r="A3216" s="79" t="s">
        <v>10489</v>
      </c>
      <c r="C3216" s="115">
        <v>44067</v>
      </c>
      <c r="D3216" s="312">
        <v>44088</v>
      </c>
      <c r="E3216" s="81">
        <v>44088</v>
      </c>
      <c r="F3216" s="86" t="s">
        <v>10579</v>
      </c>
      <c r="G3216" s="86" t="s">
        <v>157</v>
      </c>
      <c r="H3216" s="96" t="s">
        <v>213</v>
      </c>
      <c r="I3216" s="97" t="s">
        <v>649</v>
      </c>
      <c r="J3216" s="73">
        <f t="shared" si="370"/>
        <v>1</v>
      </c>
      <c r="K3216" s="74" t="s">
        <v>204</v>
      </c>
      <c r="L3216" s="97" t="s">
        <v>7089</v>
      </c>
      <c r="N3216" s="76" t="s">
        <v>18</v>
      </c>
      <c r="Q3216" s="76" t="s">
        <v>10401</v>
      </c>
      <c r="R3216" s="73">
        <f t="shared" si="371"/>
        <v>1</v>
      </c>
      <c r="S3216" s="260" t="s">
        <v>1976</v>
      </c>
      <c r="T3216" s="260" t="s">
        <v>925</v>
      </c>
      <c r="Y3216" s="566">
        <v>0.56628472222222226</v>
      </c>
      <c r="Z3216" s="566">
        <v>0.57773148148148146</v>
      </c>
      <c r="AA3216" s="566">
        <f t="shared" si="369"/>
        <v>1.1446759259259198E-2</v>
      </c>
    </row>
    <row r="3217" spans="1:27" x14ac:dyDescent="0.3">
      <c r="A3217" s="79" t="s">
        <v>10490</v>
      </c>
      <c r="C3217" s="115">
        <v>44067</v>
      </c>
      <c r="D3217" s="312">
        <v>44088</v>
      </c>
      <c r="E3217" s="81">
        <v>44082</v>
      </c>
      <c r="F3217" s="86" t="s">
        <v>6304</v>
      </c>
      <c r="G3217" s="86" t="s">
        <v>410</v>
      </c>
      <c r="H3217" s="96" t="s">
        <v>213</v>
      </c>
      <c r="I3217" s="97" t="s">
        <v>649</v>
      </c>
      <c r="J3217" s="73">
        <f t="shared" si="370"/>
        <v>1</v>
      </c>
      <c r="K3217" s="74" t="s">
        <v>204</v>
      </c>
      <c r="L3217" s="97" t="s">
        <v>10616</v>
      </c>
      <c r="N3217" s="76" t="s">
        <v>17</v>
      </c>
      <c r="Q3217" s="76" t="s">
        <v>10401</v>
      </c>
      <c r="R3217" s="73">
        <f t="shared" si="371"/>
        <v>1</v>
      </c>
      <c r="S3217" s="260" t="s">
        <v>1976</v>
      </c>
      <c r="T3217" s="260" t="s">
        <v>925</v>
      </c>
      <c r="Y3217" s="566">
        <v>0.56712962962962965</v>
      </c>
      <c r="Z3217" s="566">
        <v>0.57777777777777783</v>
      </c>
      <c r="AA3217" s="566">
        <f t="shared" si="369"/>
        <v>1.0648148148148184E-2</v>
      </c>
    </row>
    <row r="3218" spans="1:27" x14ac:dyDescent="0.3">
      <c r="A3218" s="79" t="s">
        <v>10491</v>
      </c>
      <c r="C3218" s="115">
        <v>44068</v>
      </c>
      <c r="D3218" s="312">
        <v>44089</v>
      </c>
      <c r="E3218" s="81">
        <v>44083</v>
      </c>
      <c r="F3218" s="86" t="s">
        <v>10580</v>
      </c>
      <c r="G3218" s="86" t="s">
        <v>156</v>
      </c>
      <c r="H3218" s="96" t="s">
        <v>213</v>
      </c>
      <c r="I3218" s="97" t="s">
        <v>649</v>
      </c>
      <c r="J3218" s="73">
        <f t="shared" si="370"/>
        <v>1</v>
      </c>
      <c r="K3218" s="74" t="s">
        <v>204</v>
      </c>
      <c r="L3218" s="97" t="s">
        <v>7089</v>
      </c>
      <c r="N3218" s="76" t="s">
        <v>8990</v>
      </c>
      <c r="Q3218" s="76" t="s">
        <v>2142</v>
      </c>
      <c r="R3218" s="73">
        <f t="shared" si="371"/>
        <v>1</v>
      </c>
      <c r="S3218" s="260" t="s">
        <v>1976</v>
      </c>
      <c r="T3218" s="260" t="s">
        <v>923</v>
      </c>
      <c r="Y3218" s="566">
        <v>0.91173611111111119</v>
      </c>
      <c r="Z3218" s="566">
        <v>0.91660879629629621</v>
      </c>
      <c r="AA3218" s="566">
        <f t="shared" si="369"/>
        <v>4.8726851851850217E-3</v>
      </c>
    </row>
    <row r="3219" spans="1:27" x14ac:dyDescent="0.3">
      <c r="A3219" s="79" t="s">
        <v>10492</v>
      </c>
      <c r="C3219" s="115">
        <v>44068</v>
      </c>
      <c r="D3219" s="312">
        <v>44089</v>
      </c>
      <c r="E3219" s="81">
        <v>44084</v>
      </c>
      <c r="F3219" s="86" t="s">
        <v>10581</v>
      </c>
      <c r="G3219" s="86" t="s">
        <v>147</v>
      </c>
      <c r="H3219" s="96" t="s">
        <v>213</v>
      </c>
      <c r="I3219" s="97" t="s">
        <v>1113</v>
      </c>
      <c r="J3219" s="73">
        <f t="shared" si="370"/>
        <v>1</v>
      </c>
      <c r="K3219" s="74" t="s">
        <v>204</v>
      </c>
      <c r="L3219" s="97" t="s">
        <v>7104</v>
      </c>
      <c r="N3219" s="76" t="s">
        <v>18</v>
      </c>
      <c r="Q3219" s="76" t="s">
        <v>10401</v>
      </c>
      <c r="R3219" s="73">
        <f t="shared" si="371"/>
        <v>1</v>
      </c>
      <c r="S3219" s="260" t="s">
        <v>1976</v>
      </c>
      <c r="T3219" s="260" t="s">
        <v>925</v>
      </c>
      <c r="Y3219" s="566">
        <v>0.39090277777777777</v>
      </c>
      <c r="Z3219" s="566">
        <v>0.3946527777777778</v>
      </c>
      <c r="AA3219" s="566">
        <f t="shared" si="369"/>
        <v>3.7500000000000311E-3</v>
      </c>
    </row>
    <row r="3220" spans="1:27" x14ac:dyDescent="0.3">
      <c r="A3220" s="79" t="s">
        <v>10493</v>
      </c>
      <c r="C3220" s="115">
        <v>44068</v>
      </c>
      <c r="D3220" s="312">
        <v>44089</v>
      </c>
      <c r="E3220" s="81">
        <v>44083</v>
      </c>
      <c r="F3220" s="86" t="s">
        <v>10582</v>
      </c>
      <c r="G3220" s="86" t="s">
        <v>152</v>
      </c>
      <c r="H3220" s="96" t="s">
        <v>213</v>
      </c>
      <c r="I3220" s="97" t="s">
        <v>649</v>
      </c>
      <c r="J3220" s="73">
        <f t="shared" si="370"/>
        <v>1</v>
      </c>
      <c r="K3220" s="74" t="s">
        <v>204</v>
      </c>
      <c r="L3220" s="97" t="s">
        <v>7089</v>
      </c>
      <c r="N3220" s="76" t="s">
        <v>18</v>
      </c>
      <c r="Q3220" s="76" t="s">
        <v>2076</v>
      </c>
      <c r="R3220" s="73">
        <f t="shared" si="371"/>
        <v>1</v>
      </c>
      <c r="S3220" s="260" t="s">
        <v>1976</v>
      </c>
      <c r="T3220" s="260" t="s">
        <v>925</v>
      </c>
      <c r="U3220" s="76" t="s">
        <v>5283</v>
      </c>
      <c r="V3220" s="301" t="s">
        <v>10623</v>
      </c>
      <c r="Y3220" s="566">
        <v>0.51729166666666659</v>
      </c>
      <c r="Z3220" s="566">
        <v>0.57806712962962969</v>
      </c>
      <c r="AA3220" s="566">
        <f t="shared" si="369"/>
        <v>6.07754629629631E-2</v>
      </c>
    </row>
    <row r="3221" spans="1:27" x14ac:dyDescent="0.3">
      <c r="A3221" s="79" t="s">
        <v>10494</v>
      </c>
      <c r="C3221" s="115">
        <v>44068</v>
      </c>
      <c r="D3221" s="312">
        <v>44089</v>
      </c>
      <c r="E3221" s="81">
        <v>44083</v>
      </c>
      <c r="F3221" s="86" t="s">
        <v>10583</v>
      </c>
      <c r="G3221" s="86" t="s">
        <v>189</v>
      </c>
      <c r="H3221" s="96" t="s">
        <v>213</v>
      </c>
      <c r="I3221" s="97" t="s">
        <v>649</v>
      </c>
      <c r="J3221" s="73">
        <f t="shared" si="370"/>
        <v>1</v>
      </c>
      <c r="K3221" s="74" t="s">
        <v>204</v>
      </c>
      <c r="L3221" s="97" t="s">
        <v>7089</v>
      </c>
      <c r="N3221" s="76" t="s">
        <v>17</v>
      </c>
      <c r="Q3221" s="76" t="s">
        <v>2142</v>
      </c>
      <c r="R3221" s="73">
        <f t="shared" si="371"/>
        <v>1</v>
      </c>
      <c r="S3221" s="260" t="s">
        <v>1976</v>
      </c>
      <c r="T3221" s="260" t="s">
        <v>923</v>
      </c>
      <c r="Y3221" s="566">
        <v>0.91695601851851849</v>
      </c>
      <c r="Z3221" s="566">
        <v>0.92274305555555547</v>
      </c>
      <c r="AA3221" s="566">
        <f t="shared" si="369"/>
        <v>5.7870370370369795E-3</v>
      </c>
    </row>
    <row r="3222" spans="1:27" x14ac:dyDescent="0.3">
      <c r="A3222" s="79" t="s">
        <v>10495</v>
      </c>
      <c r="C3222" s="115">
        <v>44068</v>
      </c>
      <c r="D3222" s="312">
        <v>44090</v>
      </c>
      <c r="E3222" s="81">
        <v>44085</v>
      </c>
      <c r="F3222" s="86" t="s">
        <v>10584</v>
      </c>
      <c r="G3222" s="86" t="s">
        <v>410</v>
      </c>
      <c r="H3222" s="96" t="s">
        <v>213</v>
      </c>
      <c r="I3222" s="97" t="s">
        <v>7856</v>
      </c>
      <c r="J3222" s="73">
        <f t="shared" si="370"/>
        <v>1</v>
      </c>
      <c r="K3222" s="74" t="s">
        <v>204</v>
      </c>
      <c r="L3222" s="97" t="s">
        <v>10645</v>
      </c>
      <c r="N3222" s="76" t="s">
        <v>19</v>
      </c>
      <c r="Q3222" s="76" t="s">
        <v>2037</v>
      </c>
      <c r="R3222" s="73">
        <f t="shared" si="371"/>
        <v>1</v>
      </c>
      <c r="S3222" s="260" t="s">
        <v>1976</v>
      </c>
      <c r="T3222" s="260" t="s">
        <v>925</v>
      </c>
      <c r="Y3222" s="566">
        <v>0.39180555555555552</v>
      </c>
      <c r="Z3222" s="566">
        <v>0.3994907407407407</v>
      </c>
      <c r="AA3222" s="566">
        <f t="shared" si="369"/>
        <v>7.6851851851851838E-3</v>
      </c>
    </row>
    <row r="3223" spans="1:27" x14ac:dyDescent="0.3">
      <c r="A3223" s="79" t="s">
        <v>10496</v>
      </c>
      <c r="C3223" s="115">
        <v>44068</v>
      </c>
      <c r="D3223" s="312">
        <v>44089</v>
      </c>
      <c r="E3223" s="81">
        <v>44083</v>
      </c>
      <c r="F3223" s="86" t="s">
        <v>10585</v>
      </c>
      <c r="G3223" s="86" t="s">
        <v>156</v>
      </c>
      <c r="H3223" s="96" t="s">
        <v>213</v>
      </c>
      <c r="I3223" s="97" t="s">
        <v>649</v>
      </c>
      <c r="J3223" s="73">
        <f t="shared" si="370"/>
        <v>1</v>
      </c>
      <c r="K3223" s="74" t="s">
        <v>204</v>
      </c>
      <c r="L3223" s="97" t="s">
        <v>7060</v>
      </c>
      <c r="N3223" s="76" t="s">
        <v>18</v>
      </c>
      <c r="Q3223" s="76" t="s">
        <v>5193</v>
      </c>
      <c r="R3223" s="73">
        <f t="shared" si="371"/>
        <v>1</v>
      </c>
      <c r="S3223" s="260" t="s">
        <v>1976</v>
      </c>
      <c r="T3223" s="260" t="s">
        <v>925</v>
      </c>
      <c r="Y3223" s="566">
        <v>0.70856481481481481</v>
      </c>
      <c r="Z3223" s="566">
        <v>0.7179861111111111</v>
      </c>
      <c r="AA3223" s="566">
        <f t="shared" si="369"/>
        <v>9.4212962962962887E-3</v>
      </c>
    </row>
    <row r="3224" spans="1:27" x14ac:dyDescent="0.3">
      <c r="A3224" s="79" t="s">
        <v>10497</v>
      </c>
      <c r="C3224" s="115">
        <v>44069</v>
      </c>
      <c r="D3224" s="312">
        <v>44090</v>
      </c>
      <c r="E3224" s="81">
        <v>44084</v>
      </c>
      <c r="F3224" s="86" t="s">
        <v>10586</v>
      </c>
      <c r="G3224" s="86" t="s">
        <v>152</v>
      </c>
      <c r="H3224" s="96" t="s">
        <v>213</v>
      </c>
      <c r="I3224" s="97" t="s">
        <v>645</v>
      </c>
      <c r="J3224" s="73">
        <f t="shared" si="370"/>
        <v>1</v>
      </c>
      <c r="K3224" s="74" t="s">
        <v>204</v>
      </c>
      <c r="L3224" s="97" t="s">
        <v>10640</v>
      </c>
      <c r="N3224" s="76" t="s">
        <v>18</v>
      </c>
      <c r="Q3224" s="76" t="s">
        <v>2037</v>
      </c>
      <c r="R3224" s="73">
        <f t="shared" si="371"/>
        <v>1</v>
      </c>
      <c r="S3224" s="260" t="s">
        <v>1976</v>
      </c>
      <c r="T3224" s="260" t="s">
        <v>925</v>
      </c>
      <c r="U3224" s="76" t="s">
        <v>5283</v>
      </c>
      <c r="V3224" s="301" t="s">
        <v>10631</v>
      </c>
      <c r="Y3224" s="566">
        <v>0.41486111111111112</v>
      </c>
      <c r="Z3224" s="566">
        <v>0.44871527777777781</v>
      </c>
      <c r="AA3224" s="566">
        <f t="shared" si="369"/>
        <v>3.3854166666666685E-2</v>
      </c>
    </row>
    <row r="3225" spans="1:27" x14ac:dyDescent="0.3">
      <c r="A3225" s="79" t="s">
        <v>10498</v>
      </c>
      <c r="C3225" s="115">
        <v>44069</v>
      </c>
      <c r="D3225" s="312">
        <v>44090</v>
      </c>
      <c r="E3225" s="81">
        <v>44087</v>
      </c>
      <c r="F3225" s="86" t="s">
        <v>10587</v>
      </c>
      <c r="G3225" s="86" t="s">
        <v>152</v>
      </c>
      <c r="H3225" s="96" t="s">
        <v>213</v>
      </c>
      <c r="I3225" s="97" t="s">
        <v>649</v>
      </c>
      <c r="J3225" s="73">
        <f t="shared" si="370"/>
        <v>1</v>
      </c>
      <c r="K3225" s="74" t="s">
        <v>204</v>
      </c>
      <c r="L3225" s="97" t="s">
        <v>7065</v>
      </c>
      <c r="N3225" s="76" t="s">
        <v>17</v>
      </c>
      <c r="Q3225" s="76" t="s">
        <v>2142</v>
      </c>
      <c r="R3225" s="73">
        <f t="shared" si="371"/>
        <v>1</v>
      </c>
      <c r="S3225" s="260" t="s">
        <v>1976</v>
      </c>
      <c r="T3225" s="260" t="s">
        <v>923</v>
      </c>
      <c r="Y3225" s="566">
        <v>0.42373842592592598</v>
      </c>
      <c r="Z3225" s="566">
        <v>0.43510416666666668</v>
      </c>
      <c r="AA3225" s="566">
        <f t="shared" si="369"/>
        <v>1.1365740740740704E-2</v>
      </c>
    </row>
    <row r="3226" spans="1:27" x14ac:dyDescent="0.3">
      <c r="A3226" s="79" t="s">
        <v>10499</v>
      </c>
      <c r="C3226" s="115">
        <v>44069</v>
      </c>
      <c r="D3226" s="312">
        <v>44091</v>
      </c>
      <c r="E3226" s="81">
        <v>44085</v>
      </c>
      <c r="F3226" s="86" t="s">
        <v>10588</v>
      </c>
      <c r="G3226" s="86" t="s">
        <v>152</v>
      </c>
      <c r="H3226" s="96" t="s">
        <v>213</v>
      </c>
      <c r="I3226" s="97" t="s">
        <v>1284</v>
      </c>
      <c r="J3226" s="73">
        <f t="shared" si="370"/>
        <v>1</v>
      </c>
      <c r="K3226" s="74" t="s">
        <v>204</v>
      </c>
      <c r="L3226" s="97" t="s">
        <v>10653</v>
      </c>
      <c r="N3226" s="76" t="s">
        <v>19</v>
      </c>
      <c r="Q3226" s="76" t="s">
        <v>2037</v>
      </c>
      <c r="R3226" s="73">
        <f t="shared" si="371"/>
        <v>1</v>
      </c>
      <c r="S3226" s="260" t="s">
        <v>1976</v>
      </c>
      <c r="T3226" s="260" t="s">
        <v>923</v>
      </c>
      <c r="Y3226" s="566">
        <v>0.46649305555555554</v>
      </c>
      <c r="Z3226" s="566">
        <v>0.4776157407407407</v>
      </c>
      <c r="AA3226" s="566">
        <f t="shared" si="369"/>
        <v>1.1122685185185166E-2</v>
      </c>
    </row>
    <row r="3227" spans="1:27" x14ac:dyDescent="0.3">
      <c r="A3227" s="79" t="s">
        <v>10500</v>
      </c>
      <c r="C3227" s="115">
        <v>44069</v>
      </c>
      <c r="D3227" s="312">
        <v>44090</v>
      </c>
      <c r="E3227" s="81">
        <v>44090</v>
      </c>
      <c r="F3227" s="86" t="s">
        <v>10589</v>
      </c>
      <c r="G3227" s="86" t="s">
        <v>150</v>
      </c>
      <c r="H3227" s="96" t="s">
        <v>213</v>
      </c>
      <c r="I3227" s="97" t="s">
        <v>649</v>
      </c>
      <c r="J3227" s="73">
        <f t="shared" si="370"/>
        <v>1</v>
      </c>
      <c r="K3227" s="74" t="s">
        <v>204</v>
      </c>
      <c r="L3227" s="97" t="s">
        <v>10204</v>
      </c>
      <c r="N3227" s="76" t="s">
        <v>17</v>
      </c>
      <c r="Q3227" s="76" t="s">
        <v>10401</v>
      </c>
      <c r="R3227" s="73">
        <f t="shared" si="371"/>
        <v>1</v>
      </c>
      <c r="S3227" s="260" t="s">
        <v>1976</v>
      </c>
      <c r="T3227" s="260" t="s">
        <v>925</v>
      </c>
      <c r="Y3227" s="566">
        <v>0.37245370370370368</v>
      </c>
      <c r="Z3227" s="566">
        <v>0.40479166666666666</v>
      </c>
      <c r="AA3227" s="566">
        <f t="shared" si="369"/>
        <v>3.2337962962962985E-2</v>
      </c>
    </row>
    <row r="3228" spans="1:27" x14ac:dyDescent="0.3">
      <c r="A3228" s="79" t="s">
        <v>10501</v>
      </c>
      <c r="C3228" s="115">
        <v>44069</v>
      </c>
      <c r="D3228" s="312">
        <v>44090</v>
      </c>
      <c r="E3228" s="81">
        <v>44085</v>
      </c>
      <c r="F3228" s="86" t="s">
        <v>10590</v>
      </c>
      <c r="G3228" s="86" t="s">
        <v>9119</v>
      </c>
      <c r="H3228" s="96" t="s">
        <v>213</v>
      </c>
      <c r="I3228" s="97" t="s">
        <v>649</v>
      </c>
      <c r="J3228" s="73">
        <f t="shared" si="370"/>
        <v>1</v>
      </c>
      <c r="K3228" s="74" t="s">
        <v>204</v>
      </c>
      <c r="L3228" s="97" t="s">
        <v>10652</v>
      </c>
      <c r="N3228" s="76" t="s">
        <v>17</v>
      </c>
      <c r="Q3228" s="76" t="s">
        <v>10401</v>
      </c>
      <c r="R3228" s="73">
        <f t="shared" si="371"/>
        <v>1</v>
      </c>
      <c r="S3228" s="260" t="s">
        <v>1976</v>
      </c>
      <c r="T3228" s="260" t="s">
        <v>923</v>
      </c>
      <c r="U3228" s="76" t="s">
        <v>5283</v>
      </c>
      <c r="V3228" s="301" t="s">
        <v>10651</v>
      </c>
      <c r="Y3228" s="566">
        <v>0.40001157407407412</v>
      </c>
      <c r="Z3228" s="566">
        <v>0.43621527777777774</v>
      </c>
      <c r="AA3228" s="566">
        <f t="shared" si="369"/>
        <v>3.6203703703703627E-2</v>
      </c>
    </row>
    <row r="3229" spans="1:27" x14ac:dyDescent="0.3">
      <c r="A3229" s="79" t="s">
        <v>10502</v>
      </c>
      <c r="C3229" s="115">
        <v>44069</v>
      </c>
      <c r="D3229" s="312">
        <v>44091</v>
      </c>
      <c r="E3229" s="81">
        <v>44085</v>
      </c>
      <c r="F3229" s="86" t="s">
        <v>10591</v>
      </c>
      <c r="G3229" s="86" t="s">
        <v>152</v>
      </c>
      <c r="H3229" s="96" t="s">
        <v>213</v>
      </c>
      <c r="I3229" s="97" t="s">
        <v>649</v>
      </c>
      <c r="J3229" s="73">
        <f t="shared" si="370"/>
        <v>1</v>
      </c>
      <c r="K3229" s="74" t="s">
        <v>204</v>
      </c>
      <c r="L3229" s="97" t="s">
        <v>7089</v>
      </c>
      <c r="N3229" s="76" t="s">
        <v>18</v>
      </c>
      <c r="Q3229" s="76" t="s">
        <v>2076</v>
      </c>
      <c r="R3229" s="73">
        <f t="shared" si="371"/>
        <v>1</v>
      </c>
      <c r="S3229" s="260" t="s">
        <v>1976</v>
      </c>
      <c r="T3229" s="260" t="s">
        <v>925</v>
      </c>
      <c r="Y3229" s="566">
        <v>0.66516203703703702</v>
      </c>
      <c r="Z3229" s="566">
        <v>0.6726388888888889</v>
      </c>
      <c r="AA3229" s="566">
        <f t="shared" si="369"/>
        <v>7.4768518518518734E-3</v>
      </c>
    </row>
    <row r="3230" spans="1:27" x14ac:dyDescent="0.3">
      <c r="A3230" s="79" t="s">
        <v>10503</v>
      </c>
      <c r="C3230" s="115">
        <v>44069</v>
      </c>
      <c r="D3230" s="312">
        <v>44090</v>
      </c>
      <c r="E3230" s="81">
        <v>44084</v>
      </c>
      <c r="F3230" s="86" t="s">
        <v>10592</v>
      </c>
      <c r="G3230" s="86" t="s">
        <v>154</v>
      </c>
      <c r="H3230" s="96" t="s">
        <v>213</v>
      </c>
      <c r="I3230" s="97" t="s">
        <v>649</v>
      </c>
      <c r="J3230" s="73">
        <f t="shared" si="370"/>
        <v>1</v>
      </c>
      <c r="K3230" s="74" t="s">
        <v>204</v>
      </c>
      <c r="L3230" s="97" t="s">
        <v>7089</v>
      </c>
      <c r="N3230" s="76" t="s">
        <v>17</v>
      </c>
      <c r="Q3230" s="76" t="s">
        <v>2142</v>
      </c>
      <c r="R3230" s="73">
        <f t="shared" si="371"/>
        <v>1</v>
      </c>
      <c r="S3230" s="260" t="s">
        <v>1976</v>
      </c>
      <c r="T3230" s="260" t="s">
        <v>925</v>
      </c>
      <c r="Y3230" s="566">
        <v>0.64006944444444447</v>
      </c>
      <c r="Z3230" s="566">
        <v>0.66356481481481489</v>
      </c>
      <c r="AA3230" s="566">
        <f t="shared" si="369"/>
        <v>2.3495370370370416E-2</v>
      </c>
    </row>
    <row r="3231" spans="1:27" x14ac:dyDescent="0.3">
      <c r="A3231" s="79" t="s">
        <v>10504</v>
      </c>
      <c r="C3231" s="115">
        <v>44070</v>
      </c>
      <c r="D3231" s="312">
        <v>44091</v>
      </c>
      <c r="E3231" s="81">
        <v>44085</v>
      </c>
      <c r="F3231" s="86" t="s">
        <v>10594</v>
      </c>
      <c r="G3231" s="86" t="s">
        <v>152</v>
      </c>
      <c r="H3231" s="96" t="s">
        <v>213</v>
      </c>
      <c r="I3231" s="97" t="s">
        <v>649</v>
      </c>
      <c r="J3231" s="73">
        <f t="shared" si="370"/>
        <v>1</v>
      </c>
      <c r="K3231" s="74" t="s">
        <v>204</v>
      </c>
      <c r="L3231" s="97" t="s">
        <v>7898</v>
      </c>
      <c r="N3231" s="76" t="s">
        <v>17</v>
      </c>
      <c r="Q3231" s="76" t="s">
        <v>10401</v>
      </c>
      <c r="R3231" s="73">
        <f t="shared" si="371"/>
        <v>1</v>
      </c>
      <c r="S3231" s="260" t="s">
        <v>1976</v>
      </c>
      <c r="T3231" s="260" t="s">
        <v>923</v>
      </c>
      <c r="Y3231" s="566">
        <v>0.52306712962962965</v>
      </c>
      <c r="Z3231" s="566">
        <v>0.53109953703703705</v>
      </c>
      <c r="AA3231" s="566">
        <f t="shared" ref="AA3231:AA3246" si="372">Z3231-Y3231</f>
        <v>8.0324074074074048E-3</v>
      </c>
    </row>
    <row r="3232" spans="1:27" x14ac:dyDescent="0.3">
      <c r="A3232" s="79" t="s">
        <v>10505</v>
      </c>
      <c r="C3232" s="115">
        <v>44070</v>
      </c>
      <c r="D3232" s="312">
        <v>44092</v>
      </c>
      <c r="E3232" s="81">
        <v>44087</v>
      </c>
      <c r="F3232" s="86" t="s">
        <v>10595</v>
      </c>
      <c r="G3232" s="86" t="s">
        <v>156</v>
      </c>
      <c r="H3232" s="96" t="s">
        <v>213</v>
      </c>
      <c r="I3232" s="97" t="s">
        <v>972</v>
      </c>
      <c r="J3232" s="73">
        <f t="shared" ref="J3232:J3246" si="373">IF(OR(K3232="Документы готовы",K3232="Запрос в ФО",K3232="ЭЗ",K3232="РЕШ",K3232="РЕШ шаблон"),0.1,IF(OR(K3232="ЭЗ согласование",K3232="РЕШ согласование"),0.3,IF(OR(K3232="ЭЗ согласовано",K3232="РЕШ согласовано",K3232="РЕШ подписано"),0.6,IF(OR(K3232="ЭЗ ПР согласование",K3232="РЕШ УВ согласование"),0.9,IF(OR(K3232="ЭЗ ПР DONE",K3232="РЕШ УВ DONE"),1,0)))))</f>
        <v>1</v>
      </c>
      <c r="K3232" s="74" t="s">
        <v>204</v>
      </c>
      <c r="L3232" s="97" t="s">
        <v>10896</v>
      </c>
      <c r="N3232" s="76" t="s">
        <v>17</v>
      </c>
      <c r="Q3232" s="76" t="s">
        <v>10401</v>
      </c>
      <c r="R3232" s="73">
        <f t="shared" ref="R3232:R3246" si="374">IF(S3232="В работе",0.3,IF(S3232="Отписано",0.6,IF(S3232="На доработку",0.9,IF(S3232="Согласовано",1,0))))</f>
        <v>1</v>
      </c>
      <c r="S3232" s="260" t="s">
        <v>1976</v>
      </c>
      <c r="T3232" s="260" t="s">
        <v>925</v>
      </c>
      <c r="Y3232" s="566">
        <v>0.67614583333333333</v>
      </c>
      <c r="Z3232" s="566">
        <v>0.68690972222222213</v>
      </c>
      <c r="AA3232" s="566">
        <f t="shared" si="372"/>
        <v>1.0763888888888795E-2</v>
      </c>
    </row>
    <row r="3233" spans="1:27" x14ac:dyDescent="0.3">
      <c r="A3233" s="79" t="s">
        <v>10506</v>
      </c>
      <c r="C3233" s="115">
        <v>44070</v>
      </c>
      <c r="D3233" s="312">
        <v>44091</v>
      </c>
      <c r="E3233" s="81">
        <v>44085</v>
      </c>
      <c r="F3233" s="86" t="s">
        <v>10596</v>
      </c>
      <c r="G3233" s="86" t="s">
        <v>168</v>
      </c>
      <c r="H3233" s="96" t="s">
        <v>213</v>
      </c>
      <c r="I3233" s="97" t="s">
        <v>658</v>
      </c>
      <c r="J3233" s="73">
        <f t="shared" si="373"/>
        <v>1</v>
      </c>
      <c r="K3233" s="74" t="s">
        <v>204</v>
      </c>
      <c r="L3233" s="97" t="s">
        <v>7728</v>
      </c>
      <c r="N3233" s="76" t="s">
        <v>18</v>
      </c>
      <c r="Q3233" s="76" t="s">
        <v>2037</v>
      </c>
      <c r="R3233" s="73">
        <f t="shared" si="374"/>
        <v>1</v>
      </c>
      <c r="S3233" s="260" t="s">
        <v>1976</v>
      </c>
      <c r="T3233" s="260" t="s">
        <v>923</v>
      </c>
      <c r="Y3233" s="566">
        <v>0.73074074074074069</v>
      </c>
      <c r="Z3233" s="566">
        <v>0.75718750000000001</v>
      </c>
      <c r="AA3233" s="566">
        <f t="shared" si="372"/>
        <v>2.6446759259259323E-2</v>
      </c>
    </row>
    <row r="3234" spans="1:27" x14ac:dyDescent="0.3">
      <c r="A3234" s="79" t="s">
        <v>10507</v>
      </c>
      <c r="C3234" s="115">
        <v>44070</v>
      </c>
      <c r="D3234" s="312">
        <v>44091</v>
      </c>
      <c r="E3234" s="81">
        <v>44085</v>
      </c>
      <c r="F3234" s="86" t="s">
        <v>10597</v>
      </c>
      <c r="G3234" s="86" t="s">
        <v>152</v>
      </c>
      <c r="H3234" s="96" t="s">
        <v>213</v>
      </c>
      <c r="I3234" s="97" t="s">
        <v>1284</v>
      </c>
      <c r="J3234" s="73">
        <f t="shared" si="373"/>
        <v>1</v>
      </c>
      <c r="K3234" s="74" t="s">
        <v>204</v>
      </c>
      <c r="L3234" s="97" t="s">
        <v>10653</v>
      </c>
      <c r="N3234" s="76" t="s">
        <v>19</v>
      </c>
      <c r="Q3234" s="76" t="s">
        <v>2076</v>
      </c>
      <c r="R3234" s="73">
        <f t="shared" si="374"/>
        <v>1</v>
      </c>
      <c r="S3234" s="260" t="s">
        <v>1976</v>
      </c>
      <c r="T3234" s="260" t="s">
        <v>925</v>
      </c>
      <c r="Y3234" s="566">
        <v>0.70835648148148145</v>
      </c>
      <c r="Z3234" s="566">
        <v>0.72996527777777775</v>
      </c>
      <c r="AA3234" s="566">
        <f t="shared" si="372"/>
        <v>2.1608796296296306E-2</v>
      </c>
    </row>
    <row r="3235" spans="1:27" x14ac:dyDescent="0.3">
      <c r="A3235" s="79" t="s">
        <v>10508</v>
      </c>
      <c r="C3235" s="115">
        <v>44070</v>
      </c>
      <c r="D3235" s="312">
        <v>44091</v>
      </c>
      <c r="E3235" s="81">
        <v>44089</v>
      </c>
      <c r="F3235" s="86" t="s">
        <v>10598</v>
      </c>
      <c r="G3235" s="86" t="s">
        <v>152</v>
      </c>
      <c r="H3235" s="96" t="s">
        <v>213</v>
      </c>
      <c r="I3235" s="97" t="s">
        <v>649</v>
      </c>
      <c r="J3235" s="73">
        <f t="shared" si="373"/>
        <v>1</v>
      </c>
      <c r="K3235" s="74" t="s">
        <v>204</v>
      </c>
      <c r="L3235" s="97" t="s">
        <v>7898</v>
      </c>
      <c r="N3235" s="76" t="s">
        <v>17</v>
      </c>
      <c r="Q3235" s="76" t="s">
        <v>10401</v>
      </c>
      <c r="R3235" s="73">
        <f t="shared" si="374"/>
        <v>1</v>
      </c>
      <c r="S3235" s="260" t="s">
        <v>1976</v>
      </c>
      <c r="T3235" s="260" t="s">
        <v>925</v>
      </c>
      <c r="Y3235" s="566">
        <v>0.96508101851851846</v>
      </c>
      <c r="Z3235" s="566">
        <v>0.9722453703703704</v>
      </c>
      <c r="AA3235" s="566">
        <f t="shared" si="372"/>
        <v>7.1643518518519356E-3</v>
      </c>
    </row>
    <row r="3236" spans="1:27" x14ac:dyDescent="0.3">
      <c r="A3236" s="79" t="s">
        <v>10509</v>
      </c>
      <c r="C3236" s="115">
        <v>44070</v>
      </c>
      <c r="D3236" s="312">
        <v>44091</v>
      </c>
      <c r="E3236" s="81">
        <v>44085</v>
      </c>
      <c r="F3236" s="86" t="s">
        <v>10599</v>
      </c>
      <c r="G3236" s="86" t="s">
        <v>154</v>
      </c>
      <c r="H3236" s="96" t="s">
        <v>213</v>
      </c>
      <c r="I3236" s="97" t="s">
        <v>649</v>
      </c>
      <c r="J3236" s="73">
        <f t="shared" si="373"/>
        <v>1</v>
      </c>
      <c r="K3236" s="74" t="s">
        <v>204</v>
      </c>
      <c r="L3236" s="97" t="s">
        <v>10659</v>
      </c>
      <c r="N3236" s="76" t="s">
        <v>17</v>
      </c>
      <c r="Q3236" s="76" t="s">
        <v>2142</v>
      </c>
      <c r="R3236" s="73">
        <f t="shared" si="374"/>
        <v>1</v>
      </c>
      <c r="S3236" s="260" t="s">
        <v>1976</v>
      </c>
      <c r="T3236" s="260" t="s">
        <v>923</v>
      </c>
      <c r="Y3236" s="566">
        <v>0.57144675925925925</v>
      </c>
      <c r="Z3236" s="566">
        <v>0.57802083333333332</v>
      </c>
      <c r="AA3236" s="566">
        <f t="shared" si="372"/>
        <v>6.5740740740740655E-3</v>
      </c>
    </row>
    <row r="3237" spans="1:27" x14ac:dyDescent="0.3">
      <c r="A3237" s="79" t="s">
        <v>10510</v>
      </c>
      <c r="C3237" s="115">
        <v>44070</v>
      </c>
      <c r="D3237" s="312">
        <v>44092</v>
      </c>
      <c r="E3237" s="81">
        <v>44087</v>
      </c>
      <c r="F3237" s="86" t="s">
        <v>10600</v>
      </c>
      <c r="G3237" s="86" t="s">
        <v>150</v>
      </c>
      <c r="H3237" s="96" t="s">
        <v>213</v>
      </c>
      <c r="I3237" s="97" t="s">
        <v>755</v>
      </c>
      <c r="J3237" s="73">
        <f t="shared" si="373"/>
        <v>1</v>
      </c>
      <c r="K3237" s="74" t="s">
        <v>204</v>
      </c>
      <c r="L3237" s="97" t="s">
        <v>10670</v>
      </c>
      <c r="N3237" s="76" t="s">
        <v>18</v>
      </c>
      <c r="Q3237" s="76" t="s">
        <v>5193</v>
      </c>
      <c r="R3237" s="73">
        <f t="shared" si="374"/>
        <v>1</v>
      </c>
      <c r="S3237" s="260" t="s">
        <v>1976</v>
      </c>
      <c r="T3237" s="260" t="s">
        <v>925</v>
      </c>
      <c r="Y3237" s="566">
        <v>0.50784722222222223</v>
      </c>
      <c r="Z3237" s="566">
        <v>0.51386574074074076</v>
      </c>
      <c r="AA3237" s="566">
        <f t="shared" si="372"/>
        <v>6.0185185185185341E-3</v>
      </c>
    </row>
    <row r="3238" spans="1:27" x14ac:dyDescent="0.3">
      <c r="A3238" s="79" t="s">
        <v>10511</v>
      </c>
      <c r="C3238" s="115">
        <v>44070</v>
      </c>
      <c r="D3238" s="312">
        <v>44091</v>
      </c>
      <c r="E3238" s="81">
        <v>44087</v>
      </c>
      <c r="F3238" s="86" t="s">
        <v>10601</v>
      </c>
      <c r="G3238" s="86" t="s">
        <v>410</v>
      </c>
      <c r="H3238" s="96" t="s">
        <v>213</v>
      </c>
      <c r="I3238" s="97" t="s">
        <v>995</v>
      </c>
      <c r="J3238" s="73">
        <f t="shared" si="373"/>
        <v>1</v>
      </c>
      <c r="K3238" s="74" t="s">
        <v>204</v>
      </c>
      <c r="L3238" s="97" t="s">
        <v>10897</v>
      </c>
      <c r="N3238" s="76" t="s">
        <v>19</v>
      </c>
      <c r="Q3238" s="76" t="s">
        <v>2076</v>
      </c>
      <c r="R3238" s="73">
        <f t="shared" si="374"/>
        <v>1</v>
      </c>
      <c r="S3238" s="260" t="s">
        <v>1976</v>
      </c>
      <c r="T3238" s="260" t="s">
        <v>923</v>
      </c>
      <c r="Y3238" s="566">
        <v>0.8878935185185185</v>
      </c>
      <c r="Z3238" s="566">
        <v>0.89795138888888892</v>
      </c>
      <c r="AA3238" s="566">
        <f t="shared" si="372"/>
        <v>1.0057870370370425E-2</v>
      </c>
    </row>
    <row r="3239" spans="1:27" x14ac:dyDescent="0.3">
      <c r="A3239" s="79" t="s">
        <v>10512</v>
      </c>
      <c r="C3239" s="115">
        <v>44071</v>
      </c>
      <c r="D3239" s="312">
        <v>44092</v>
      </c>
      <c r="E3239" s="81">
        <v>44087</v>
      </c>
      <c r="F3239" s="86" t="s">
        <v>10602</v>
      </c>
      <c r="G3239" s="86" t="s">
        <v>154</v>
      </c>
      <c r="H3239" s="96" t="s">
        <v>213</v>
      </c>
      <c r="I3239" s="97" t="s">
        <v>972</v>
      </c>
      <c r="J3239" s="73">
        <f t="shared" si="373"/>
        <v>1</v>
      </c>
      <c r="K3239" s="74" t="s">
        <v>204</v>
      </c>
      <c r="L3239" s="97" t="s">
        <v>7580</v>
      </c>
      <c r="N3239" s="76" t="s">
        <v>17</v>
      </c>
      <c r="Q3239" s="76" t="s">
        <v>10401</v>
      </c>
      <c r="R3239" s="73">
        <f t="shared" si="374"/>
        <v>1</v>
      </c>
      <c r="S3239" s="260" t="s">
        <v>1976</v>
      </c>
      <c r="T3239" s="260" t="s">
        <v>925</v>
      </c>
      <c r="Y3239" s="566">
        <v>0.6433564814814815</v>
      </c>
      <c r="Z3239" s="566">
        <v>0.67554398148148154</v>
      </c>
      <c r="AA3239" s="566">
        <f t="shared" si="372"/>
        <v>3.2187500000000036E-2</v>
      </c>
    </row>
    <row r="3240" spans="1:27" x14ac:dyDescent="0.3">
      <c r="A3240" s="79" t="s">
        <v>10513</v>
      </c>
      <c r="C3240" s="115">
        <v>44071</v>
      </c>
      <c r="D3240" s="312">
        <v>44092</v>
      </c>
      <c r="E3240" s="81">
        <v>44089</v>
      </c>
      <c r="F3240" s="86" t="s">
        <v>10603</v>
      </c>
      <c r="G3240" s="86" t="s">
        <v>152</v>
      </c>
      <c r="H3240" s="96" t="s">
        <v>213</v>
      </c>
      <c r="I3240" s="97" t="s">
        <v>649</v>
      </c>
      <c r="J3240" s="73">
        <f t="shared" si="373"/>
        <v>1</v>
      </c>
      <c r="K3240" s="74" t="s">
        <v>204</v>
      </c>
      <c r="L3240" s="97" t="s">
        <v>10912</v>
      </c>
      <c r="N3240" s="76" t="s">
        <v>18</v>
      </c>
      <c r="Q3240" s="76" t="s">
        <v>2076</v>
      </c>
      <c r="R3240" s="73">
        <f t="shared" si="374"/>
        <v>1</v>
      </c>
      <c r="S3240" s="260" t="s">
        <v>1976</v>
      </c>
      <c r="T3240" s="260" t="s">
        <v>923</v>
      </c>
      <c r="U3240" s="76" t="s">
        <v>5283</v>
      </c>
      <c r="V3240" s="301" t="s">
        <v>10913</v>
      </c>
      <c r="Y3240" s="566">
        <v>0.45233796296296297</v>
      </c>
      <c r="Z3240" s="566">
        <v>0.46328703703703705</v>
      </c>
      <c r="AA3240" s="566">
        <f t="shared" si="372"/>
        <v>1.0949074074074083E-2</v>
      </c>
    </row>
    <row r="3241" spans="1:27" x14ac:dyDescent="0.3">
      <c r="A3241" s="79" t="s">
        <v>10514</v>
      </c>
      <c r="C3241" s="115">
        <v>44070</v>
      </c>
      <c r="D3241" s="312">
        <v>44092</v>
      </c>
      <c r="E3241" s="81">
        <v>44087</v>
      </c>
      <c r="F3241" s="86" t="s">
        <v>10604</v>
      </c>
      <c r="G3241" s="86" t="s">
        <v>187</v>
      </c>
      <c r="H3241" s="96" t="s">
        <v>213</v>
      </c>
      <c r="I3241" s="97" t="s">
        <v>649</v>
      </c>
      <c r="J3241" s="73">
        <f t="shared" si="373"/>
        <v>1</v>
      </c>
      <c r="K3241" s="74" t="s">
        <v>204</v>
      </c>
      <c r="L3241" s="97" t="s">
        <v>10893</v>
      </c>
      <c r="N3241" s="76" t="s">
        <v>17</v>
      </c>
      <c r="Q3241" s="76" t="s">
        <v>5193</v>
      </c>
      <c r="R3241" s="73">
        <f t="shared" si="374"/>
        <v>1</v>
      </c>
      <c r="S3241" s="260" t="s">
        <v>1976</v>
      </c>
      <c r="T3241" s="260" t="s">
        <v>925</v>
      </c>
      <c r="X3241" s="301" t="s">
        <v>10899</v>
      </c>
      <c r="Y3241" s="566">
        <v>0.56166666666666665</v>
      </c>
      <c r="Z3241" s="566">
        <v>0.60380787037037031</v>
      </c>
      <c r="AA3241" s="566">
        <f t="shared" si="372"/>
        <v>4.2141203703703667E-2</v>
      </c>
    </row>
    <row r="3242" spans="1:27" x14ac:dyDescent="0.3">
      <c r="A3242" s="79" t="s">
        <v>10515</v>
      </c>
      <c r="C3242" s="115">
        <v>44071</v>
      </c>
      <c r="D3242" s="312">
        <v>44092</v>
      </c>
      <c r="E3242" s="81">
        <v>44087</v>
      </c>
      <c r="F3242" s="86" t="s">
        <v>10605</v>
      </c>
      <c r="G3242" s="86" t="s">
        <v>156</v>
      </c>
      <c r="H3242" s="96" t="s">
        <v>213</v>
      </c>
      <c r="I3242" s="97" t="s">
        <v>649</v>
      </c>
      <c r="J3242" s="73">
        <f t="shared" si="373"/>
        <v>1</v>
      </c>
      <c r="K3242" s="74" t="s">
        <v>204</v>
      </c>
      <c r="L3242" s="97" t="s">
        <v>7060</v>
      </c>
      <c r="N3242" s="76" t="s">
        <v>17</v>
      </c>
      <c r="Q3242" s="76" t="s">
        <v>5193</v>
      </c>
      <c r="R3242" s="73">
        <f t="shared" si="374"/>
        <v>1</v>
      </c>
      <c r="S3242" s="260" t="s">
        <v>1976</v>
      </c>
      <c r="T3242" s="260" t="s">
        <v>923</v>
      </c>
      <c r="Y3242" s="566">
        <v>0.60462962962962963</v>
      </c>
      <c r="Z3242" s="566">
        <v>0.61534722222222216</v>
      </c>
      <c r="AA3242" s="566">
        <f t="shared" si="372"/>
        <v>1.0717592592592529E-2</v>
      </c>
    </row>
    <row r="3243" spans="1:27" x14ac:dyDescent="0.3">
      <c r="A3243" s="79" t="s">
        <v>10516</v>
      </c>
      <c r="C3243" s="115">
        <v>44071</v>
      </c>
      <c r="D3243" s="312">
        <v>44092</v>
      </c>
      <c r="E3243" s="81">
        <v>44089</v>
      </c>
      <c r="F3243" s="86" t="s">
        <v>10606</v>
      </c>
      <c r="G3243" s="86" t="s">
        <v>150</v>
      </c>
      <c r="H3243" s="96" t="s">
        <v>213</v>
      </c>
      <c r="I3243" s="97" t="s">
        <v>691</v>
      </c>
      <c r="J3243" s="73">
        <f t="shared" si="373"/>
        <v>1</v>
      </c>
      <c r="K3243" s="74" t="s">
        <v>204</v>
      </c>
      <c r="L3243" s="97" t="s">
        <v>10914</v>
      </c>
      <c r="N3243" s="76" t="s">
        <v>19</v>
      </c>
      <c r="Q3243" s="76" t="s">
        <v>2142</v>
      </c>
      <c r="R3243" s="73">
        <f t="shared" si="374"/>
        <v>1</v>
      </c>
      <c r="S3243" s="260" t="s">
        <v>1976</v>
      </c>
      <c r="T3243" s="260" t="s">
        <v>925</v>
      </c>
      <c r="Y3243" s="566">
        <v>0.49430555555555555</v>
      </c>
      <c r="Z3243" s="566">
        <v>0.49973379629629627</v>
      </c>
      <c r="AA3243" s="566">
        <f t="shared" si="372"/>
        <v>5.4282407407407196E-3</v>
      </c>
    </row>
    <row r="3244" spans="1:27" x14ac:dyDescent="0.3">
      <c r="A3244" s="79" t="s">
        <v>10517</v>
      </c>
      <c r="C3244" s="115">
        <v>44071</v>
      </c>
      <c r="D3244" s="312">
        <v>44092</v>
      </c>
      <c r="E3244" s="81">
        <v>44087</v>
      </c>
      <c r="F3244" s="86" t="s">
        <v>10607</v>
      </c>
      <c r="G3244" s="86" t="s">
        <v>147</v>
      </c>
      <c r="H3244" s="96" t="s">
        <v>213</v>
      </c>
      <c r="I3244" s="97" t="s">
        <v>649</v>
      </c>
      <c r="J3244" s="73">
        <f t="shared" si="373"/>
        <v>1</v>
      </c>
      <c r="K3244" s="74" t="s">
        <v>204</v>
      </c>
      <c r="L3244" s="97" t="s">
        <v>7089</v>
      </c>
      <c r="N3244" s="76" t="s">
        <v>17</v>
      </c>
      <c r="Q3244" s="76" t="s">
        <v>2037</v>
      </c>
      <c r="R3244" s="73">
        <f t="shared" si="374"/>
        <v>1</v>
      </c>
      <c r="S3244" s="260" t="s">
        <v>1976</v>
      </c>
      <c r="T3244" s="260" t="s">
        <v>925</v>
      </c>
      <c r="Y3244" s="566">
        <v>0.53221064814814811</v>
      </c>
      <c r="Z3244" s="566">
        <v>0.54432870370370368</v>
      </c>
      <c r="AA3244" s="566">
        <f t="shared" si="372"/>
        <v>1.2118055555555562E-2</v>
      </c>
    </row>
    <row r="3245" spans="1:27" x14ac:dyDescent="0.3">
      <c r="A3245" s="79" t="s">
        <v>10518</v>
      </c>
      <c r="C3245" s="115">
        <v>44071</v>
      </c>
      <c r="D3245" s="312">
        <v>44092</v>
      </c>
      <c r="E3245" s="81">
        <v>44089</v>
      </c>
      <c r="F3245" s="86" t="s">
        <v>10608</v>
      </c>
      <c r="G3245" s="86" t="s">
        <v>164</v>
      </c>
      <c r="H3245" s="96" t="s">
        <v>213</v>
      </c>
      <c r="I3245" s="97" t="s">
        <v>1104</v>
      </c>
      <c r="J3245" s="73">
        <f t="shared" si="373"/>
        <v>1</v>
      </c>
      <c r="K3245" s="74" t="s">
        <v>204</v>
      </c>
      <c r="L3245" s="97" t="s">
        <v>10909</v>
      </c>
      <c r="N3245" s="76" t="s">
        <v>19</v>
      </c>
      <c r="Q3245" s="76" t="s">
        <v>2076</v>
      </c>
      <c r="R3245" s="73">
        <f t="shared" si="374"/>
        <v>1</v>
      </c>
      <c r="S3245" s="260" t="s">
        <v>1976</v>
      </c>
      <c r="T3245" s="260" t="s">
        <v>925</v>
      </c>
      <c r="U3245" s="76" t="s">
        <v>5283</v>
      </c>
      <c r="V3245" s="301" t="s">
        <v>10910</v>
      </c>
      <c r="Y3245" s="566">
        <v>0.42056712962962961</v>
      </c>
      <c r="Z3245" s="566">
        <v>0.4276388888888889</v>
      </c>
      <c r="AA3245" s="566">
        <f t="shared" si="372"/>
        <v>7.0717592592592915E-3</v>
      </c>
    </row>
    <row r="3246" spans="1:27" x14ac:dyDescent="0.3">
      <c r="A3246" s="79" t="s">
        <v>10519</v>
      </c>
      <c r="C3246" s="115">
        <v>44071</v>
      </c>
      <c r="D3246" s="312">
        <v>44092</v>
      </c>
      <c r="E3246" s="81">
        <v>44090</v>
      </c>
      <c r="F3246" s="86" t="s">
        <v>10609</v>
      </c>
      <c r="G3246" s="65" t="s">
        <v>10940</v>
      </c>
      <c r="H3246" s="79" t="s">
        <v>268</v>
      </c>
      <c r="I3246" s="97" t="s">
        <v>995</v>
      </c>
      <c r="J3246" s="73">
        <f t="shared" si="373"/>
        <v>1</v>
      </c>
      <c r="K3246" s="74" t="s">
        <v>204</v>
      </c>
      <c r="L3246" s="97" t="s">
        <v>7073</v>
      </c>
      <c r="N3246" s="76" t="s">
        <v>19</v>
      </c>
      <c r="Q3246" s="76" t="s">
        <v>5193</v>
      </c>
      <c r="R3246" s="73">
        <f t="shared" si="374"/>
        <v>1</v>
      </c>
      <c r="S3246" s="260" t="s">
        <v>1976</v>
      </c>
      <c r="T3246" s="260" t="s">
        <v>925</v>
      </c>
      <c r="Y3246" s="566">
        <v>0.94873842592592583</v>
      </c>
      <c r="Z3246" s="566">
        <v>0.95512731481481483</v>
      </c>
      <c r="AA3246" s="566">
        <f t="shared" si="372"/>
        <v>6.3888888888889994E-3</v>
      </c>
    </row>
    <row r="3247" spans="1:27" x14ac:dyDescent="0.3">
      <c r="A3247" s="96" t="s">
        <v>10619</v>
      </c>
      <c r="C3247" s="81">
        <v>44062</v>
      </c>
      <c r="D3247" s="109">
        <v>44083</v>
      </c>
      <c r="E3247" s="81">
        <v>44083</v>
      </c>
      <c r="F3247" s="97" t="s">
        <v>10620</v>
      </c>
      <c r="G3247" s="97" t="s">
        <v>152</v>
      </c>
      <c r="H3247" s="96" t="s">
        <v>213</v>
      </c>
      <c r="I3247" s="97" t="s">
        <v>1204</v>
      </c>
      <c r="J3247" s="73">
        <f t="shared" ref="J3247:J3248" si="375">IF(OR(K3247="Документы готовы",K3247="Запрос в ФО",K3247="ЭЗ",K3247="РЕШ",K3247="РЕШ шаблон"),0.1,IF(OR(K3247="ЭЗ согласование",K3247="РЕШ согласование"),0.3,IF(OR(K3247="ЭЗ согласовано",K3247="РЕШ согласовано",K3247="РЕШ подписано"),0.6,IF(OR(K3247="ЭЗ ПР согласование",K3247="РЕШ УВ согласование"),0.9,IF(OR(K3247="ЭЗ ПР DONE",K3247="РЕШ УВ DONE"),1,0)))))</f>
        <v>1</v>
      </c>
      <c r="K3247" s="74" t="s">
        <v>204</v>
      </c>
      <c r="L3247" s="97" t="s">
        <v>10621</v>
      </c>
      <c r="N3247" s="76" t="s">
        <v>18</v>
      </c>
      <c r="Q3247" s="76" t="s">
        <v>10401</v>
      </c>
      <c r="R3247" s="73">
        <f t="shared" ref="R3247:R3249" si="376">IF(S3247="В работе",0.3,IF(S3247="Отписано",0.6,IF(S3247="На доработку",0.9,IF(S3247="Согласовано",1,0))))</f>
        <v>1</v>
      </c>
      <c r="S3247" s="260" t="s">
        <v>1976</v>
      </c>
      <c r="T3247" s="260" t="s">
        <v>925</v>
      </c>
      <c r="Y3247" s="566">
        <v>0.47996527777777781</v>
      </c>
      <c r="Z3247" s="566">
        <v>0.4926388888888889</v>
      </c>
      <c r="AA3247" s="566">
        <f t="shared" ref="AA3247:AA3306" si="377">Z3247-Y3247</f>
        <v>1.2673611111111094E-2</v>
      </c>
    </row>
    <row r="3248" spans="1:27" x14ac:dyDescent="0.3">
      <c r="A3248" s="96" t="s">
        <v>10636</v>
      </c>
      <c r="C3248" s="81">
        <v>43956</v>
      </c>
      <c r="F3248" s="97" t="s">
        <v>10592</v>
      </c>
      <c r="G3248" s="97" t="s">
        <v>154</v>
      </c>
      <c r="H3248" s="96" t="s">
        <v>213</v>
      </c>
      <c r="J3248" s="73">
        <f t="shared" si="375"/>
        <v>1</v>
      </c>
      <c r="K3248" s="74" t="s">
        <v>204</v>
      </c>
      <c r="L3248" s="97" t="s">
        <v>10637</v>
      </c>
      <c r="Q3248" s="301" t="s">
        <v>10638</v>
      </c>
      <c r="R3248" s="73">
        <f t="shared" si="376"/>
        <v>1</v>
      </c>
      <c r="S3248" s="260" t="s">
        <v>1976</v>
      </c>
      <c r="T3248" s="260" t="s">
        <v>924</v>
      </c>
      <c r="AA3248" s="566">
        <f t="shared" si="377"/>
        <v>0</v>
      </c>
    </row>
    <row r="3249" spans="1:27" x14ac:dyDescent="0.3">
      <c r="A3249" s="79" t="s">
        <v>10672</v>
      </c>
      <c r="C3249" s="115">
        <v>44054</v>
      </c>
      <c r="D3249" s="312">
        <v>44096</v>
      </c>
      <c r="E3249" s="81">
        <v>44089</v>
      </c>
      <c r="F3249" s="86" t="s">
        <v>7676</v>
      </c>
      <c r="G3249" s="86" t="s">
        <v>150</v>
      </c>
      <c r="H3249" s="96" t="s">
        <v>213</v>
      </c>
      <c r="I3249" s="97" t="s">
        <v>1113</v>
      </c>
      <c r="J3249" s="73">
        <f t="shared" ref="J3249" si="378">IF(OR(K3249="Документы готовы",K3249="Запрос в ФО",K3249="ЭЗ",K3249="РЕШ",K3249="РЕШ шаблон"),0.1,IF(OR(K3249="ЭЗ согласование",K3249="РЕШ согласование"),0.3,IF(OR(K3249="ЭЗ согласовано",K3249="РЕШ согласовано",K3249="РЕШ подписано"),0.6,IF(OR(K3249="ЭЗ ПР согласование",K3249="РЕШ УВ согласование"),0.9,IF(OR(K3249="ЭЗ ПР DONE",K3249="РЕШ УВ DONE"),1,0)))))</f>
        <v>1</v>
      </c>
      <c r="K3249" s="74" t="s">
        <v>204</v>
      </c>
      <c r="L3249" s="97" t="s">
        <v>10634</v>
      </c>
      <c r="N3249" s="76" t="s">
        <v>18</v>
      </c>
      <c r="Q3249" s="76" t="s">
        <v>2142</v>
      </c>
      <c r="R3249" s="73">
        <f t="shared" si="376"/>
        <v>1</v>
      </c>
      <c r="S3249" s="260" t="s">
        <v>1976</v>
      </c>
      <c r="T3249" s="260" t="s">
        <v>925</v>
      </c>
      <c r="Y3249" s="566">
        <v>0.66446759259259258</v>
      </c>
      <c r="Z3249" s="566">
        <v>0.6814930555555555</v>
      </c>
      <c r="AA3249" s="566">
        <f t="shared" si="377"/>
        <v>1.7025462962962923E-2</v>
      </c>
    </row>
    <row r="3250" spans="1:27" x14ac:dyDescent="0.3">
      <c r="A3250" s="79" t="s">
        <v>10673</v>
      </c>
      <c r="C3250" s="115">
        <v>44055</v>
      </c>
      <c r="D3250" s="312">
        <v>44098</v>
      </c>
      <c r="E3250" s="81">
        <v>44095</v>
      </c>
      <c r="F3250" s="86" t="s">
        <v>10784</v>
      </c>
      <c r="G3250" s="86" t="s">
        <v>152</v>
      </c>
      <c r="H3250" s="96" t="s">
        <v>213</v>
      </c>
      <c r="I3250" s="97" t="s">
        <v>649</v>
      </c>
      <c r="J3250" s="73">
        <f t="shared" ref="J3250:J3309" si="379">IF(OR(K3250="Документы готовы",K3250="Запрос в ФО",K3250="ЭЗ",K3250="РЕШ",K3250="РЕШ шаблон"),0.1,IF(OR(K3250="ЭЗ согласование",K3250="РЕШ согласование"),0.3,IF(OR(K3250="ЭЗ согласовано",K3250="РЕШ согласовано",K3250="РЕШ подписано"),0.6,IF(OR(K3250="ЭЗ ПР согласование",K3250="РЕШ УВ согласование"),0.9,IF(OR(K3250="ЭЗ ПР DONE",K3250="РЕШ УВ DONE"),1,0)))))</f>
        <v>1</v>
      </c>
      <c r="K3250" s="74" t="s">
        <v>204</v>
      </c>
      <c r="L3250" s="97" t="s">
        <v>10978</v>
      </c>
      <c r="N3250" s="76" t="s">
        <v>17</v>
      </c>
      <c r="Q3250" s="76" t="s">
        <v>2142</v>
      </c>
      <c r="R3250" s="73">
        <f t="shared" ref="R3250:R3309" si="380">IF(S3250="В работе",0.3,IF(S3250="Отписано",0.6,IF(S3250="На доработку",0.9,IF(S3250="Согласовано",1,0))))</f>
        <v>1</v>
      </c>
      <c r="S3250" s="260" t="s">
        <v>1976</v>
      </c>
      <c r="T3250" s="260" t="s">
        <v>925</v>
      </c>
      <c r="Y3250" s="566">
        <v>0.53254629629629624</v>
      </c>
      <c r="Z3250" s="566">
        <v>0.54268518518518516</v>
      </c>
      <c r="AA3250" s="566">
        <f t="shared" si="377"/>
        <v>1.0138888888888919E-2</v>
      </c>
    </row>
    <row r="3251" spans="1:27" x14ac:dyDescent="0.3">
      <c r="A3251" s="79" t="s">
        <v>10674</v>
      </c>
      <c r="C3251" s="115">
        <v>44056</v>
      </c>
      <c r="D3251" s="312">
        <v>44099</v>
      </c>
      <c r="E3251" s="81">
        <v>44092</v>
      </c>
      <c r="F3251" s="86" t="s">
        <v>7676</v>
      </c>
      <c r="G3251" s="86" t="s">
        <v>150</v>
      </c>
      <c r="H3251" s="96" t="s">
        <v>213</v>
      </c>
      <c r="I3251" s="97" t="s">
        <v>1113</v>
      </c>
      <c r="J3251" s="73">
        <f t="shared" si="379"/>
        <v>1</v>
      </c>
      <c r="K3251" s="74" t="s">
        <v>204</v>
      </c>
      <c r="L3251" s="97" t="s">
        <v>10961</v>
      </c>
      <c r="Q3251" s="76" t="s">
        <v>2037</v>
      </c>
      <c r="R3251" s="73">
        <f t="shared" si="380"/>
        <v>1</v>
      </c>
      <c r="S3251" s="260" t="s">
        <v>1976</v>
      </c>
      <c r="T3251" s="260" t="s">
        <v>925</v>
      </c>
      <c r="U3251" s="76" t="s">
        <v>5283</v>
      </c>
      <c r="V3251" s="301" t="s">
        <v>10962</v>
      </c>
      <c r="Y3251" s="566">
        <v>0.40663194444444445</v>
      </c>
      <c r="Z3251" s="566">
        <v>0.48521990740740745</v>
      </c>
      <c r="AA3251" s="566">
        <f t="shared" si="377"/>
        <v>7.8587962962962998E-2</v>
      </c>
    </row>
    <row r="3252" spans="1:27" x14ac:dyDescent="0.3">
      <c r="A3252" s="79" t="s">
        <v>10675</v>
      </c>
      <c r="C3252" s="115">
        <v>44057</v>
      </c>
      <c r="D3252" s="312">
        <v>44095</v>
      </c>
      <c r="E3252" s="81">
        <v>44089</v>
      </c>
      <c r="F3252" s="86" t="s">
        <v>10785</v>
      </c>
      <c r="G3252" s="86" t="s">
        <v>9119</v>
      </c>
      <c r="H3252" s="96" t="s">
        <v>213</v>
      </c>
      <c r="I3252" s="97" t="s">
        <v>642</v>
      </c>
      <c r="J3252" s="73">
        <f t="shared" si="379"/>
        <v>1</v>
      </c>
      <c r="K3252" s="74" t="s">
        <v>204</v>
      </c>
      <c r="L3252" s="97" t="s">
        <v>7110</v>
      </c>
      <c r="N3252" s="76" t="s">
        <v>18</v>
      </c>
      <c r="Q3252" s="76" t="s">
        <v>2037</v>
      </c>
      <c r="R3252" s="73">
        <f t="shared" si="380"/>
        <v>1</v>
      </c>
      <c r="S3252" s="260" t="s">
        <v>1976</v>
      </c>
      <c r="T3252" s="260" t="s">
        <v>923</v>
      </c>
      <c r="Y3252" s="566">
        <v>0.50120370370370371</v>
      </c>
      <c r="Z3252" s="566">
        <v>0.50596064814814812</v>
      </c>
      <c r="AA3252" s="566">
        <f t="shared" si="377"/>
        <v>4.7569444444444109E-3</v>
      </c>
    </row>
    <row r="3253" spans="1:27" x14ac:dyDescent="0.3">
      <c r="A3253" s="79" t="s">
        <v>10676</v>
      </c>
      <c r="C3253" s="115">
        <v>44060</v>
      </c>
      <c r="D3253" s="312">
        <v>44095</v>
      </c>
      <c r="E3253" s="81">
        <v>44090</v>
      </c>
      <c r="F3253" s="86" t="s">
        <v>10786</v>
      </c>
      <c r="G3253" s="86" t="s">
        <v>156</v>
      </c>
      <c r="H3253" s="96" t="s">
        <v>213</v>
      </c>
      <c r="I3253" s="97" t="s">
        <v>714</v>
      </c>
      <c r="J3253" s="73">
        <f t="shared" si="379"/>
        <v>1</v>
      </c>
      <c r="K3253" s="74" t="s">
        <v>204</v>
      </c>
      <c r="L3253" s="97" t="s">
        <v>10929</v>
      </c>
      <c r="N3253" s="76" t="s">
        <v>18</v>
      </c>
      <c r="Q3253" s="76" t="s">
        <v>2076</v>
      </c>
      <c r="R3253" s="73">
        <f t="shared" si="380"/>
        <v>1</v>
      </c>
      <c r="S3253" s="260" t="s">
        <v>1976</v>
      </c>
      <c r="T3253" s="260" t="s">
        <v>925</v>
      </c>
      <c r="Y3253" s="566">
        <v>0.44791666666666669</v>
      </c>
      <c r="Z3253" s="566">
        <v>0.48031249999999998</v>
      </c>
      <c r="AA3253" s="566">
        <f t="shared" si="377"/>
        <v>3.239583333333329E-2</v>
      </c>
    </row>
    <row r="3254" spans="1:27" x14ac:dyDescent="0.3">
      <c r="A3254" s="79" t="s">
        <v>10677</v>
      </c>
      <c r="C3254" s="115">
        <v>44060</v>
      </c>
      <c r="D3254" s="312">
        <v>44096</v>
      </c>
      <c r="E3254" s="81">
        <v>44089</v>
      </c>
      <c r="F3254" s="86" t="s">
        <v>10787</v>
      </c>
      <c r="G3254" s="86" t="s">
        <v>157</v>
      </c>
      <c r="H3254" s="96" t="s">
        <v>213</v>
      </c>
      <c r="I3254" s="97" t="s">
        <v>714</v>
      </c>
      <c r="J3254" s="73">
        <f t="shared" si="379"/>
        <v>1</v>
      </c>
      <c r="K3254" s="74" t="s">
        <v>204</v>
      </c>
      <c r="L3254" s="97" t="s">
        <v>10919</v>
      </c>
      <c r="N3254" s="76" t="s">
        <v>17</v>
      </c>
      <c r="Q3254" s="76" t="s">
        <v>2037</v>
      </c>
      <c r="R3254" s="73">
        <f t="shared" si="380"/>
        <v>1</v>
      </c>
      <c r="S3254" s="260" t="s">
        <v>1976</v>
      </c>
      <c r="T3254" s="260" t="s">
        <v>923</v>
      </c>
      <c r="Y3254" s="566">
        <v>0.52832175925925928</v>
      </c>
      <c r="Z3254" s="566">
        <v>0.53723379629629631</v>
      </c>
      <c r="AA3254" s="566">
        <f t="shared" si="377"/>
        <v>8.9120370370370239E-3</v>
      </c>
    </row>
    <row r="3255" spans="1:27" x14ac:dyDescent="0.3">
      <c r="A3255" s="79" t="s">
        <v>10678</v>
      </c>
      <c r="C3255" s="115">
        <v>44060</v>
      </c>
      <c r="D3255" s="312">
        <v>44096</v>
      </c>
      <c r="E3255" s="81">
        <v>44089</v>
      </c>
      <c r="F3255" s="86" t="s">
        <v>10788</v>
      </c>
      <c r="G3255" s="86" t="s">
        <v>9119</v>
      </c>
      <c r="H3255" s="96" t="s">
        <v>213</v>
      </c>
      <c r="I3255" s="97" t="s">
        <v>642</v>
      </c>
      <c r="J3255" s="73">
        <f t="shared" si="379"/>
        <v>1</v>
      </c>
      <c r="K3255" s="74" t="s">
        <v>204</v>
      </c>
      <c r="L3255" s="97" t="s">
        <v>7066</v>
      </c>
      <c r="N3255" s="76" t="s">
        <v>18</v>
      </c>
      <c r="Q3255" s="76" t="s">
        <v>2142</v>
      </c>
      <c r="R3255" s="73">
        <f t="shared" si="380"/>
        <v>1</v>
      </c>
      <c r="S3255" s="260" t="s">
        <v>1976</v>
      </c>
      <c r="T3255" s="260" t="s">
        <v>923</v>
      </c>
      <c r="Y3255" s="566">
        <v>0.94789351851851855</v>
      </c>
      <c r="Z3255" s="566">
        <v>0.95217592592592604</v>
      </c>
      <c r="AA3255" s="566">
        <f t="shared" si="377"/>
        <v>4.2824074074074847E-3</v>
      </c>
    </row>
    <row r="3256" spans="1:27" x14ac:dyDescent="0.3">
      <c r="A3256" s="79" t="s">
        <v>10679</v>
      </c>
      <c r="C3256" s="115">
        <v>44060</v>
      </c>
      <c r="D3256" s="312">
        <v>44096</v>
      </c>
      <c r="E3256" s="81">
        <v>44091</v>
      </c>
      <c r="F3256" s="86" t="s">
        <v>10789</v>
      </c>
      <c r="G3256" s="86" t="s">
        <v>410</v>
      </c>
      <c r="H3256" s="96" t="s">
        <v>213</v>
      </c>
      <c r="I3256" s="97" t="s">
        <v>714</v>
      </c>
      <c r="J3256" s="73">
        <f t="shared" si="379"/>
        <v>1</v>
      </c>
      <c r="K3256" s="74" t="s">
        <v>204</v>
      </c>
      <c r="L3256" s="97" t="s">
        <v>7072</v>
      </c>
      <c r="N3256" s="76" t="s">
        <v>18</v>
      </c>
      <c r="Q3256" s="76" t="s">
        <v>2076</v>
      </c>
      <c r="R3256" s="73">
        <f t="shared" si="380"/>
        <v>1</v>
      </c>
      <c r="S3256" s="260" t="s">
        <v>1976</v>
      </c>
      <c r="T3256" s="260" t="s">
        <v>925</v>
      </c>
      <c r="Y3256" s="566">
        <v>0.51120370370370372</v>
      </c>
      <c r="Z3256" s="566">
        <v>0.53887731481481482</v>
      </c>
      <c r="AA3256" s="566">
        <f t="shared" si="377"/>
        <v>2.7673611111111107E-2</v>
      </c>
    </row>
    <row r="3257" spans="1:27" x14ac:dyDescent="0.3">
      <c r="A3257" s="79" t="s">
        <v>10680</v>
      </c>
      <c r="C3257" s="115">
        <v>44060</v>
      </c>
      <c r="D3257" s="312">
        <v>44096</v>
      </c>
      <c r="E3257" s="81">
        <v>44091</v>
      </c>
      <c r="F3257" s="86" t="s">
        <v>10790</v>
      </c>
      <c r="G3257" s="86" t="s">
        <v>152</v>
      </c>
      <c r="H3257" s="96" t="s">
        <v>213</v>
      </c>
      <c r="I3257" s="97" t="s">
        <v>645</v>
      </c>
      <c r="J3257" s="73">
        <f t="shared" si="379"/>
        <v>1</v>
      </c>
      <c r="K3257" s="74" t="s">
        <v>204</v>
      </c>
      <c r="L3257" s="97" t="s">
        <v>10950</v>
      </c>
      <c r="Q3257" s="76" t="s">
        <v>2142</v>
      </c>
      <c r="R3257" s="73">
        <f t="shared" si="380"/>
        <v>1</v>
      </c>
      <c r="S3257" s="260" t="s">
        <v>1976</v>
      </c>
      <c r="T3257" s="260" t="s">
        <v>925</v>
      </c>
      <c r="U3257" s="76" t="s">
        <v>5283</v>
      </c>
      <c r="V3257" s="301" t="s">
        <v>10951</v>
      </c>
      <c r="Y3257" s="566">
        <v>0.49500000000000005</v>
      </c>
      <c r="Z3257" s="566">
        <v>0.50974537037037038</v>
      </c>
      <c r="AA3257" s="566">
        <f t="shared" si="377"/>
        <v>1.4745370370370325E-2</v>
      </c>
    </row>
    <row r="3258" spans="1:27" x14ac:dyDescent="0.3">
      <c r="A3258" s="96" t="s">
        <v>10681</v>
      </c>
      <c r="C3258" s="115">
        <v>44060</v>
      </c>
      <c r="D3258" s="312">
        <v>44095</v>
      </c>
      <c r="E3258" s="81">
        <v>44088</v>
      </c>
      <c r="F3258" s="86" t="s">
        <v>10791</v>
      </c>
      <c r="G3258" s="86" t="s">
        <v>3771</v>
      </c>
      <c r="H3258" s="96" t="s">
        <v>213</v>
      </c>
      <c r="I3258" s="97" t="s">
        <v>714</v>
      </c>
      <c r="J3258" s="73">
        <f t="shared" si="379"/>
        <v>1</v>
      </c>
      <c r="K3258" s="74" t="s">
        <v>204</v>
      </c>
      <c r="L3258" s="97" t="s">
        <v>7072</v>
      </c>
      <c r="N3258" s="76" t="s">
        <v>17</v>
      </c>
      <c r="Q3258" s="76" t="s">
        <v>2037</v>
      </c>
      <c r="R3258" s="73">
        <f t="shared" si="380"/>
        <v>1</v>
      </c>
      <c r="S3258" s="260" t="s">
        <v>1976</v>
      </c>
      <c r="T3258" s="260" t="s">
        <v>925</v>
      </c>
      <c r="Y3258" s="566">
        <v>0.89369212962962974</v>
      </c>
      <c r="Z3258" s="566">
        <v>0.89900462962962957</v>
      </c>
      <c r="AA3258" s="566">
        <f t="shared" si="377"/>
        <v>5.3124999999998312E-3</v>
      </c>
    </row>
    <row r="3259" spans="1:27" x14ac:dyDescent="0.3">
      <c r="A3259" s="79" t="s">
        <v>10682</v>
      </c>
      <c r="C3259" s="115">
        <v>44060</v>
      </c>
      <c r="D3259" s="312">
        <v>44095</v>
      </c>
      <c r="E3259" s="81">
        <v>44088</v>
      </c>
      <c r="F3259" s="86" t="s">
        <v>10792</v>
      </c>
      <c r="G3259" s="86" t="s">
        <v>154</v>
      </c>
      <c r="H3259" s="96" t="s">
        <v>213</v>
      </c>
      <c r="I3259" s="97" t="s">
        <v>714</v>
      </c>
      <c r="J3259" s="73">
        <f t="shared" si="379"/>
        <v>1</v>
      </c>
      <c r="K3259" s="74" t="s">
        <v>204</v>
      </c>
      <c r="L3259" s="97" t="s">
        <v>8089</v>
      </c>
      <c r="N3259" s="76" t="s">
        <v>17</v>
      </c>
      <c r="Q3259" s="76" t="s">
        <v>5193</v>
      </c>
      <c r="R3259" s="73">
        <f t="shared" si="380"/>
        <v>1</v>
      </c>
      <c r="S3259" s="260" t="s">
        <v>1976</v>
      </c>
      <c r="T3259" s="260" t="s">
        <v>925</v>
      </c>
      <c r="Y3259" s="566">
        <v>0.90888888888888886</v>
      </c>
      <c r="Z3259" s="566">
        <v>0.91817129629629635</v>
      </c>
      <c r="AA3259" s="566">
        <f t="shared" si="377"/>
        <v>9.2824074074074892E-3</v>
      </c>
    </row>
    <row r="3260" spans="1:27" x14ac:dyDescent="0.3">
      <c r="A3260" s="79" t="s">
        <v>10683</v>
      </c>
      <c r="C3260" s="115">
        <v>44060</v>
      </c>
      <c r="D3260" s="312">
        <v>44095</v>
      </c>
      <c r="E3260" s="81">
        <v>44088</v>
      </c>
      <c r="F3260" s="86" t="s">
        <v>10793</v>
      </c>
      <c r="G3260" s="86" t="s">
        <v>1384</v>
      </c>
      <c r="H3260" s="96" t="s">
        <v>213</v>
      </c>
      <c r="I3260" s="97" t="s">
        <v>642</v>
      </c>
      <c r="J3260" s="73">
        <f t="shared" si="379"/>
        <v>1</v>
      </c>
      <c r="K3260" s="74" t="s">
        <v>204</v>
      </c>
      <c r="L3260" s="97" t="s">
        <v>10907</v>
      </c>
      <c r="N3260" s="76" t="s">
        <v>18</v>
      </c>
      <c r="Q3260" s="76" t="s">
        <v>2142</v>
      </c>
      <c r="R3260" s="73">
        <f t="shared" si="380"/>
        <v>1</v>
      </c>
      <c r="S3260" s="260" t="s">
        <v>1976</v>
      </c>
      <c r="T3260" s="260" t="s">
        <v>923</v>
      </c>
      <c r="Y3260" s="566">
        <v>0.95623842592592589</v>
      </c>
      <c r="Z3260" s="566">
        <v>0.96211805555555552</v>
      </c>
      <c r="AA3260" s="566">
        <f t="shared" si="377"/>
        <v>5.8796296296296235E-3</v>
      </c>
    </row>
    <row r="3261" spans="1:27" x14ac:dyDescent="0.3">
      <c r="A3261" s="96" t="s">
        <v>10684</v>
      </c>
      <c r="C3261" s="115">
        <v>44060</v>
      </c>
      <c r="D3261" s="312">
        <v>44095</v>
      </c>
      <c r="E3261" s="81">
        <v>44090</v>
      </c>
      <c r="F3261" s="86" t="s">
        <v>10794</v>
      </c>
      <c r="G3261" s="86" t="s">
        <v>156</v>
      </c>
      <c r="H3261" s="96" t="s">
        <v>213</v>
      </c>
      <c r="I3261" s="97" t="s">
        <v>714</v>
      </c>
      <c r="J3261" s="73">
        <f t="shared" si="379"/>
        <v>1</v>
      </c>
      <c r="K3261" s="74" t="s">
        <v>204</v>
      </c>
      <c r="L3261" s="97" t="s">
        <v>10928</v>
      </c>
      <c r="N3261" s="76" t="s">
        <v>17</v>
      </c>
      <c r="Q3261" s="76" t="s">
        <v>10401</v>
      </c>
      <c r="R3261" s="73">
        <f t="shared" si="380"/>
        <v>1</v>
      </c>
      <c r="S3261" s="260" t="s">
        <v>1976</v>
      </c>
      <c r="T3261" s="260" t="s">
        <v>925</v>
      </c>
      <c r="Y3261" s="566">
        <v>0.42601851851851852</v>
      </c>
      <c r="Z3261" s="566">
        <v>0.4448611111111111</v>
      </c>
      <c r="AA3261" s="566">
        <f t="shared" si="377"/>
        <v>1.8842592592592577E-2</v>
      </c>
    </row>
    <row r="3262" spans="1:27" x14ac:dyDescent="0.3">
      <c r="A3262" s="79" t="s">
        <v>10685</v>
      </c>
      <c r="C3262" s="115">
        <v>44060</v>
      </c>
      <c r="D3262" s="312">
        <v>44096</v>
      </c>
      <c r="E3262" s="81">
        <v>44089</v>
      </c>
      <c r="F3262" s="86" t="s">
        <v>10795</v>
      </c>
      <c r="G3262" s="86" t="s">
        <v>175</v>
      </c>
      <c r="H3262" s="96" t="s">
        <v>213</v>
      </c>
      <c r="I3262" s="97" t="s">
        <v>714</v>
      </c>
      <c r="J3262" s="73">
        <f t="shared" si="379"/>
        <v>1</v>
      </c>
      <c r="K3262" s="74" t="s">
        <v>204</v>
      </c>
      <c r="L3262" s="97" t="s">
        <v>10916</v>
      </c>
      <c r="N3262" s="76" t="s">
        <v>18</v>
      </c>
      <c r="Q3262" s="76" t="s">
        <v>2037</v>
      </c>
      <c r="R3262" s="73">
        <f t="shared" si="380"/>
        <v>1</v>
      </c>
      <c r="S3262" s="260" t="s">
        <v>1976</v>
      </c>
      <c r="T3262" s="260" t="s">
        <v>923</v>
      </c>
      <c r="Y3262" s="566">
        <v>0.51906249999999998</v>
      </c>
      <c r="Z3262" s="566">
        <v>0.52335648148148151</v>
      </c>
      <c r="AA3262" s="566">
        <f t="shared" si="377"/>
        <v>4.2939814814815236E-3</v>
      </c>
    </row>
    <row r="3263" spans="1:27" x14ac:dyDescent="0.3">
      <c r="A3263" s="79" t="s">
        <v>10686</v>
      </c>
      <c r="C3263" s="115">
        <v>44060</v>
      </c>
      <c r="D3263" s="312">
        <v>44096</v>
      </c>
      <c r="E3263" s="81">
        <v>44089</v>
      </c>
      <c r="F3263" s="86" t="s">
        <v>10796</v>
      </c>
      <c r="G3263" s="86" t="s">
        <v>175</v>
      </c>
      <c r="H3263" s="96" t="s">
        <v>213</v>
      </c>
      <c r="I3263" s="97" t="s">
        <v>714</v>
      </c>
      <c r="J3263" s="73">
        <f t="shared" si="379"/>
        <v>1</v>
      </c>
      <c r="K3263" s="74" t="s">
        <v>204</v>
      </c>
      <c r="L3263" s="97" t="s">
        <v>10916</v>
      </c>
      <c r="N3263" s="76" t="s">
        <v>18</v>
      </c>
      <c r="Q3263" s="76" t="s">
        <v>2037</v>
      </c>
      <c r="R3263" s="73">
        <f t="shared" si="380"/>
        <v>1</v>
      </c>
      <c r="S3263" s="260" t="s">
        <v>1976</v>
      </c>
      <c r="T3263" s="260" t="s">
        <v>923</v>
      </c>
      <c r="Y3263" s="566">
        <v>0.51256944444444441</v>
      </c>
      <c r="Z3263" s="566">
        <v>0.51868055555555559</v>
      </c>
      <c r="AA3263" s="566">
        <f t="shared" si="377"/>
        <v>6.1111111111111782E-3</v>
      </c>
    </row>
    <row r="3264" spans="1:27" x14ac:dyDescent="0.3">
      <c r="A3264" s="79" t="s">
        <v>10687</v>
      </c>
      <c r="C3264" s="115">
        <v>44060</v>
      </c>
      <c r="D3264" s="312">
        <v>44096</v>
      </c>
      <c r="E3264" s="81">
        <v>44089</v>
      </c>
      <c r="F3264" s="86" t="s">
        <v>10797</v>
      </c>
      <c r="G3264" s="86" t="s">
        <v>177</v>
      </c>
      <c r="H3264" s="96" t="s">
        <v>213</v>
      </c>
      <c r="I3264" s="97" t="s">
        <v>714</v>
      </c>
      <c r="J3264" s="73">
        <f t="shared" si="379"/>
        <v>1</v>
      </c>
      <c r="K3264" s="74" t="s">
        <v>204</v>
      </c>
      <c r="L3264" s="97" t="s">
        <v>7071</v>
      </c>
      <c r="N3264" s="76" t="s">
        <v>19</v>
      </c>
      <c r="Q3264" s="76" t="s">
        <v>5193</v>
      </c>
      <c r="R3264" s="73">
        <f t="shared" si="380"/>
        <v>1</v>
      </c>
      <c r="S3264" s="260" t="s">
        <v>1976</v>
      </c>
      <c r="T3264" s="260" t="s">
        <v>923</v>
      </c>
      <c r="Y3264" s="566">
        <v>0.90535879629629623</v>
      </c>
      <c r="Z3264" s="566">
        <v>0.91261574074074081</v>
      </c>
      <c r="AA3264" s="566">
        <f t="shared" si="377"/>
        <v>7.2569444444445796E-3</v>
      </c>
    </row>
    <row r="3265" spans="1:27" x14ac:dyDescent="0.3">
      <c r="A3265" s="79" t="s">
        <v>10688</v>
      </c>
      <c r="C3265" s="115">
        <v>44060</v>
      </c>
      <c r="D3265" s="312">
        <v>44096</v>
      </c>
      <c r="E3265" s="81">
        <v>44091</v>
      </c>
      <c r="F3265" s="86" t="s">
        <v>10798</v>
      </c>
      <c r="G3265" s="86" t="s">
        <v>150</v>
      </c>
      <c r="H3265" s="96" t="s">
        <v>213</v>
      </c>
      <c r="I3265" s="97" t="s">
        <v>714</v>
      </c>
      <c r="J3265" s="73">
        <f t="shared" si="379"/>
        <v>1</v>
      </c>
      <c r="K3265" s="74" t="s">
        <v>204</v>
      </c>
      <c r="L3265" s="97" t="s">
        <v>7071</v>
      </c>
      <c r="N3265" s="76" t="s">
        <v>17</v>
      </c>
      <c r="Q3265" s="76" t="s">
        <v>10401</v>
      </c>
      <c r="R3265" s="73">
        <f t="shared" si="380"/>
        <v>1</v>
      </c>
      <c r="S3265" s="260" t="s">
        <v>1976</v>
      </c>
      <c r="T3265" s="260" t="s">
        <v>923</v>
      </c>
      <c r="Y3265" s="566">
        <v>0.58251157407407406</v>
      </c>
      <c r="Z3265" s="566">
        <v>0.58843750000000006</v>
      </c>
      <c r="AA3265" s="566">
        <f t="shared" si="377"/>
        <v>5.9259259259260011E-3</v>
      </c>
    </row>
    <row r="3266" spans="1:27" x14ac:dyDescent="0.3">
      <c r="A3266" s="79" t="s">
        <v>10689</v>
      </c>
      <c r="C3266" s="115">
        <v>44060</v>
      </c>
      <c r="D3266" s="312">
        <v>44095</v>
      </c>
      <c r="E3266" s="81">
        <v>44088</v>
      </c>
      <c r="F3266" s="86" t="s">
        <v>10799</v>
      </c>
      <c r="G3266" s="86" t="s">
        <v>152</v>
      </c>
      <c r="H3266" s="96" t="s">
        <v>213</v>
      </c>
      <c r="I3266" s="97" t="s">
        <v>722</v>
      </c>
      <c r="J3266" s="73">
        <f t="shared" si="379"/>
        <v>1</v>
      </c>
      <c r="K3266" s="74" t="s">
        <v>204</v>
      </c>
      <c r="L3266" s="97" t="s">
        <v>10906</v>
      </c>
      <c r="N3266" s="76" t="s">
        <v>17</v>
      </c>
      <c r="Q3266" s="76" t="s">
        <v>5193</v>
      </c>
      <c r="R3266" s="73">
        <f t="shared" si="380"/>
        <v>1</v>
      </c>
      <c r="S3266" s="260" t="s">
        <v>1976</v>
      </c>
      <c r="T3266" s="260" t="s">
        <v>925</v>
      </c>
      <c r="Y3266" s="566">
        <v>0.91863425925925923</v>
      </c>
      <c r="Z3266" s="566">
        <v>0.93174768518518514</v>
      </c>
      <c r="AA3266" s="566">
        <f t="shared" si="377"/>
        <v>1.3113425925925903E-2</v>
      </c>
    </row>
    <row r="3267" spans="1:27" x14ac:dyDescent="0.3">
      <c r="A3267" s="79" t="s">
        <v>10690</v>
      </c>
      <c r="C3267" s="115">
        <v>44060</v>
      </c>
      <c r="D3267" s="312">
        <v>44096</v>
      </c>
      <c r="E3267" s="81">
        <v>44089</v>
      </c>
      <c r="F3267" s="86" t="s">
        <v>10800</v>
      </c>
      <c r="G3267" s="86" t="s">
        <v>147</v>
      </c>
      <c r="H3267" s="96" t="s">
        <v>213</v>
      </c>
      <c r="I3267" s="97" t="s">
        <v>642</v>
      </c>
      <c r="J3267" s="73">
        <f t="shared" si="379"/>
        <v>1</v>
      </c>
      <c r="K3267" s="74" t="s">
        <v>204</v>
      </c>
      <c r="L3267" s="97" t="s">
        <v>7066</v>
      </c>
      <c r="N3267" s="76" t="s">
        <v>18</v>
      </c>
      <c r="Q3267" s="76" t="s">
        <v>5193</v>
      </c>
      <c r="R3267" s="73">
        <f t="shared" si="380"/>
        <v>1</v>
      </c>
      <c r="S3267" s="260" t="s">
        <v>1976</v>
      </c>
      <c r="T3267" s="260" t="s">
        <v>925</v>
      </c>
      <c r="Y3267" s="566">
        <v>0.91304398148148147</v>
      </c>
      <c r="Z3267" s="566">
        <v>0.92244212962962957</v>
      </c>
      <c r="AA3267" s="566">
        <f t="shared" si="377"/>
        <v>9.3981481481481E-3</v>
      </c>
    </row>
    <row r="3268" spans="1:27" x14ac:dyDescent="0.3">
      <c r="A3268" s="79" t="s">
        <v>10691</v>
      </c>
      <c r="C3268" s="115">
        <v>44060</v>
      </c>
      <c r="D3268" s="312">
        <v>44096</v>
      </c>
      <c r="E3268" s="81">
        <v>44089</v>
      </c>
      <c r="F3268" s="86" t="s">
        <v>10801</v>
      </c>
      <c r="G3268" s="86" t="s">
        <v>152</v>
      </c>
      <c r="H3268" s="96" t="s">
        <v>213</v>
      </c>
      <c r="I3268" s="97" t="s">
        <v>714</v>
      </c>
      <c r="J3268" s="73">
        <f t="shared" si="379"/>
        <v>1</v>
      </c>
      <c r="K3268" s="74" t="s">
        <v>204</v>
      </c>
      <c r="L3268" s="97" t="s">
        <v>7336</v>
      </c>
      <c r="N3268" s="76" t="s">
        <v>17</v>
      </c>
      <c r="Q3268" s="76" t="s">
        <v>2142</v>
      </c>
      <c r="R3268" s="73">
        <f t="shared" si="380"/>
        <v>1</v>
      </c>
      <c r="S3268" s="260" t="s">
        <v>1976</v>
      </c>
      <c r="T3268" s="260" t="s">
        <v>923</v>
      </c>
      <c r="Y3268" s="566">
        <v>0.95287037037037037</v>
      </c>
      <c r="Z3268" s="566">
        <v>0.96137731481481481</v>
      </c>
      <c r="AA3268" s="566">
        <f t="shared" si="377"/>
        <v>8.506944444444442E-3</v>
      </c>
    </row>
    <row r="3269" spans="1:27" x14ac:dyDescent="0.3">
      <c r="A3269" s="79" t="s">
        <v>10692</v>
      </c>
      <c r="C3269" s="115">
        <v>44061</v>
      </c>
      <c r="D3269" s="312">
        <v>44096</v>
      </c>
      <c r="E3269" s="81">
        <v>44089</v>
      </c>
      <c r="F3269" s="86" t="s">
        <v>10802</v>
      </c>
      <c r="G3269" s="86" t="s">
        <v>9119</v>
      </c>
      <c r="H3269" s="96" t="s">
        <v>213</v>
      </c>
      <c r="I3269" s="97" t="s">
        <v>755</v>
      </c>
      <c r="J3269" s="73">
        <f t="shared" si="379"/>
        <v>1</v>
      </c>
      <c r="K3269" s="74" t="s">
        <v>204</v>
      </c>
      <c r="L3269" s="97" t="s">
        <v>7315</v>
      </c>
      <c r="N3269" s="76" t="s">
        <v>18</v>
      </c>
      <c r="Q3269" s="76" t="s">
        <v>2037</v>
      </c>
      <c r="R3269" s="73">
        <f t="shared" si="380"/>
        <v>1</v>
      </c>
      <c r="S3269" s="260" t="s">
        <v>1976</v>
      </c>
      <c r="T3269" s="260" t="s">
        <v>923</v>
      </c>
      <c r="Y3269" s="566">
        <v>0.53756944444444443</v>
      </c>
      <c r="Z3269" s="566">
        <v>0.54563657407407407</v>
      </c>
      <c r="AA3269" s="566">
        <f t="shared" si="377"/>
        <v>8.0671296296296324E-3</v>
      </c>
    </row>
    <row r="3270" spans="1:27" x14ac:dyDescent="0.3">
      <c r="A3270" s="79" t="s">
        <v>10693</v>
      </c>
      <c r="C3270" s="115">
        <v>44061</v>
      </c>
      <c r="D3270" s="312">
        <v>44096</v>
      </c>
      <c r="E3270" s="81">
        <v>44091</v>
      </c>
      <c r="F3270" s="86" t="s">
        <v>10803</v>
      </c>
      <c r="G3270" s="86" t="s">
        <v>166</v>
      </c>
      <c r="H3270" s="79" t="s">
        <v>268</v>
      </c>
      <c r="I3270" s="97" t="s">
        <v>995</v>
      </c>
      <c r="J3270" s="73">
        <f t="shared" si="379"/>
        <v>1</v>
      </c>
      <c r="K3270" s="74" t="s">
        <v>204</v>
      </c>
      <c r="L3270" s="97" t="s">
        <v>7073</v>
      </c>
      <c r="N3270" s="76" t="s">
        <v>19</v>
      </c>
      <c r="Q3270" s="76" t="s">
        <v>2076</v>
      </c>
      <c r="R3270" s="73">
        <f t="shared" si="380"/>
        <v>1</v>
      </c>
      <c r="S3270" s="260" t="s">
        <v>1976</v>
      </c>
      <c r="T3270" s="260" t="s">
        <v>925</v>
      </c>
      <c r="U3270" s="76" t="s">
        <v>5283</v>
      </c>
      <c r="V3270" s="301" t="s">
        <v>10948</v>
      </c>
      <c r="Y3270" s="566">
        <v>0.42861111111111111</v>
      </c>
      <c r="Z3270" s="566">
        <v>0.48667824074074079</v>
      </c>
      <c r="AA3270" s="566">
        <f t="shared" si="377"/>
        <v>5.8067129629629677E-2</v>
      </c>
    </row>
    <row r="3271" spans="1:27" x14ac:dyDescent="0.3">
      <c r="A3271" s="79" t="s">
        <v>10694</v>
      </c>
      <c r="C3271" s="115">
        <v>44061</v>
      </c>
      <c r="D3271" s="312">
        <v>44096</v>
      </c>
      <c r="E3271" s="81">
        <v>44090</v>
      </c>
      <c r="F3271" s="86" t="s">
        <v>10804</v>
      </c>
      <c r="G3271" s="86" t="s">
        <v>150</v>
      </c>
      <c r="H3271" s="96" t="s">
        <v>213</v>
      </c>
      <c r="I3271" s="97" t="s">
        <v>7725</v>
      </c>
      <c r="J3271" s="73">
        <f t="shared" si="379"/>
        <v>1</v>
      </c>
      <c r="K3271" s="74" t="s">
        <v>204</v>
      </c>
      <c r="L3271" s="97" t="s">
        <v>10939</v>
      </c>
      <c r="N3271" s="76" t="s">
        <v>17</v>
      </c>
      <c r="Q3271" s="76" t="s">
        <v>2142</v>
      </c>
      <c r="R3271" s="73">
        <f t="shared" si="380"/>
        <v>1</v>
      </c>
      <c r="S3271" s="260" t="s">
        <v>1976</v>
      </c>
      <c r="T3271" s="260" t="s">
        <v>923</v>
      </c>
      <c r="Y3271" s="566">
        <v>0.83236111111111111</v>
      </c>
      <c r="Z3271" s="566">
        <v>0.85065972222222219</v>
      </c>
      <c r="AA3271" s="566">
        <f t="shared" si="377"/>
        <v>1.8298611111111085E-2</v>
      </c>
    </row>
    <row r="3272" spans="1:27" x14ac:dyDescent="0.3">
      <c r="A3272" s="79" t="s">
        <v>10695</v>
      </c>
      <c r="C3272" s="115">
        <v>44061</v>
      </c>
      <c r="D3272" s="312">
        <v>44097</v>
      </c>
      <c r="E3272" s="81">
        <v>44091</v>
      </c>
      <c r="F3272" s="86" t="s">
        <v>10593</v>
      </c>
      <c r="G3272" s="86" t="s">
        <v>162</v>
      </c>
      <c r="H3272" s="96" t="s">
        <v>213</v>
      </c>
      <c r="I3272" s="97" t="s">
        <v>714</v>
      </c>
      <c r="J3272" s="73">
        <f t="shared" si="379"/>
        <v>1</v>
      </c>
      <c r="K3272" s="74" t="s">
        <v>204</v>
      </c>
      <c r="L3272" s="97" t="s">
        <v>7332</v>
      </c>
      <c r="N3272" s="76" t="s">
        <v>17</v>
      </c>
      <c r="Q3272" s="76" t="s">
        <v>10401</v>
      </c>
      <c r="R3272" s="73">
        <f t="shared" si="380"/>
        <v>1</v>
      </c>
      <c r="S3272" s="260" t="s">
        <v>1976</v>
      </c>
      <c r="T3272" s="260" t="s">
        <v>923</v>
      </c>
      <c r="Y3272" s="566">
        <v>0.66752314814814817</v>
      </c>
      <c r="Z3272" s="566">
        <v>0.6732407407407407</v>
      </c>
      <c r="AA3272" s="566">
        <f t="shared" si="377"/>
        <v>5.7175925925925242E-3</v>
      </c>
    </row>
    <row r="3273" spans="1:27" x14ac:dyDescent="0.3">
      <c r="A3273" s="79" t="s">
        <v>10696</v>
      </c>
      <c r="C3273" s="115">
        <v>44061</v>
      </c>
      <c r="D3273" s="312">
        <v>44096</v>
      </c>
      <c r="E3273" s="81">
        <v>44090</v>
      </c>
      <c r="F3273" s="86" t="s">
        <v>10805</v>
      </c>
      <c r="G3273" s="86" t="s">
        <v>150</v>
      </c>
      <c r="H3273" s="96" t="s">
        <v>213</v>
      </c>
      <c r="I3273" s="97" t="s">
        <v>714</v>
      </c>
      <c r="J3273" s="73">
        <f t="shared" si="379"/>
        <v>1</v>
      </c>
      <c r="K3273" s="74" t="s">
        <v>204</v>
      </c>
      <c r="L3273" s="97" t="s">
        <v>7349</v>
      </c>
      <c r="N3273" s="76" t="s">
        <v>17</v>
      </c>
      <c r="Q3273" s="76" t="s">
        <v>2142</v>
      </c>
      <c r="R3273" s="73">
        <f t="shared" si="380"/>
        <v>1</v>
      </c>
      <c r="S3273" s="260" t="s">
        <v>1976</v>
      </c>
      <c r="T3273" s="260" t="s">
        <v>925</v>
      </c>
      <c r="Y3273" s="566">
        <v>0.85240740740740739</v>
      </c>
      <c r="Z3273" s="566">
        <v>0.87033564814814823</v>
      </c>
      <c r="AA3273" s="566">
        <f t="shared" si="377"/>
        <v>1.7928240740740842E-2</v>
      </c>
    </row>
    <row r="3274" spans="1:27" x14ac:dyDescent="0.3">
      <c r="A3274" s="79" t="s">
        <v>10697</v>
      </c>
      <c r="C3274" s="115">
        <v>44061</v>
      </c>
      <c r="D3274" s="312">
        <v>44096</v>
      </c>
      <c r="E3274" s="81">
        <v>44091</v>
      </c>
      <c r="F3274" s="86" t="s">
        <v>10806</v>
      </c>
      <c r="G3274" s="86" t="s">
        <v>164</v>
      </c>
      <c r="H3274" s="96" t="s">
        <v>213</v>
      </c>
      <c r="I3274" s="97" t="s">
        <v>642</v>
      </c>
      <c r="J3274" s="73">
        <f t="shared" si="379"/>
        <v>1</v>
      </c>
      <c r="K3274" s="74" t="s">
        <v>204</v>
      </c>
      <c r="L3274" s="97" t="s">
        <v>7066</v>
      </c>
      <c r="N3274" s="76" t="s">
        <v>18</v>
      </c>
      <c r="Q3274" s="76" t="s">
        <v>2076</v>
      </c>
      <c r="R3274" s="73">
        <f t="shared" si="380"/>
        <v>1</v>
      </c>
      <c r="S3274" s="260" t="s">
        <v>1976</v>
      </c>
      <c r="T3274" s="260" t="s">
        <v>923</v>
      </c>
      <c r="Y3274" s="566">
        <v>0.92387731481481483</v>
      </c>
      <c r="Z3274" s="566">
        <v>0.92805555555555552</v>
      </c>
      <c r="AA3274" s="566">
        <f t="shared" si="377"/>
        <v>4.1782407407406907E-3</v>
      </c>
    </row>
    <row r="3275" spans="1:27" x14ac:dyDescent="0.3">
      <c r="A3275" s="79" t="s">
        <v>10698</v>
      </c>
      <c r="C3275" s="115">
        <v>44061</v>
      </c>
      <c r="D3275" s="312">
        <v>44096</v>
      </c>
      <c r="E3275" s="81">
        <v>44090</v>
      </c>
      <c r="F3275" s="86" t="s">
        <v>10807</v>
      </c>
      <c r="G3275" s="86" t="s">
        <v>9119</v>
      </c>
      <c r="H3275" s="96" t="s">
        <v>213</v>
      </c>
      <c r="I3275" s="97" t="s">
        <v>642</v>
      </c>
      <c r="J3275" s="73">
        <f t="shared" si="379"/>
        <v>1</v>
      </c>
      <c r="K3275" s="74" t="s">
        <v>204</v>
      </c>
      <c r="L3275" s="97" t="s">
        <v>7069</v>
      </c>
      <c r="N3275" s="76" t="s">
        <v>18</v>
      </c>
      <c r="Q3275" s="76" t="s">
        <v>2076</v>
      </c>
      <c r="R3275" s="73">
        <f t="shared" si="380"/>
        <v>1</v>
      </c>
      <c r="S3275" s="260" t="s">
        <v>1976</v>
      </c>
      <c r="T3275" s="260" t="s">
        <v>923</v>
      </c>
      <c r="Y3275" s="566">
        <v>0.52597222222222217</v>
      </c>
      <c r="Z3275" s="566">
        <v>0.53054398148148152</v>
      </c>
      <c r="AA3275" s="566">
        <f t="shared" si="377"/>
        <v>4.5717592592593448E-3</v>
      </c>
    </row>
    <row r="3276" spans="1:27" x14ac:dyDescent="0.3">
      <c r="A3276" s="79" t="s">
        <v>10699</v>
      </c>
      <c r="C3276" s="115">
        <v>44061</v>
      </c>
      <c r="D3276" s="312">
        <v>44096</v>
      </c>
      <c r="E3276" s="81">
        <v>44095</v>
      </c>
      <c r="F3276" s="86" t="s">
        <v>10808</v>
      </c>
      <c r="G3276" s="86" t="s">
        <v>181</v>
      </c>
      <c r="H3276" s="96" t="s">
        <v>213</v>
      </c>
      <c r="I3276" s="97" t="s">
        <v>722</v>
      </c>
      <c r="J3276" s="73">
        <f t="shared" si="379"/>
        <v>1</v>
      </c>
      <c r="K3276" s="74" t="s">
        <v>204</v>
      </c>
      <c r="L3276" s="97" t="s">
        <v>7893</v>
      </c>
      <c r="N3276" s="76" t="s">
        <v>18</v>
      </c>
      <c r="Q3276" s="76" t="s">
        <v>10401</v>
      </c>
      <c r="R3276" s="73">
        <f t="shared" si="380"/>
        <v>1</v>
      </c>
      <c r="S3276" s="260" t="s">
        <v>1976</v>
      </c>
      <c r="T3276" s="260" t="s">
        <v>923</v>
      </c>
      <c r="Y3276" s="566">
        <v>0.39451388888888889</v>
      </c>
      <c r="Z3276" s="566">
        <v>0.40371527777777777</v>
      </c>
      <c r="AA3276" s="566">
        <f t="shared" si="377"/>
        <v>9.201388888888884E-3</v>
      </c>
    </row>
    <row r="3277" spans="1:27" x14ac:dyDescent="0.3">
      <c r="A3277" s="79" t="s">
        <v>10700</v>
      </c>
      <c r="C3277" s="115">
        <v>44061</v>
      </c>
      <c r="D3277" s="312">
        <v>44096</v>
      </c>
      <c r="E3277" s="81">
        <v>44089</v>
      </c>
      <c r="F3277" s="86" t="s">
        <v>10809</v>
      </c>
      <c r="G3277" s="86" t="s">
        <v>152</v>
      </c>
      <c r="H3277" s="96" t="s">
        <v>213</v>
      </c>
      <c r="I3277" s="97" t="s">
        <v>645</v>
      </c>
      <c r="J3277" s="73">
        <f t="shared" si="379"/>
        <v>1</v>
      </c>
      <c r="K3277" s="74" t="s">
        <v>204</v>
      </c>
      <c r="L3277" s="97" t="s">
        <v>7314</v>
      </c>
      <c r="N3277" s="76" t="s">
        <v>18</v>
      </c>
      <c r="Q3277" s="76" t="s">
        <v>5193</v>
      </c>
      <c r="R3277" s="73">
        <f t="shared" si="380"/>
        <v>1</v>
      </c>
      <c r="S3277" s="260" t="s">
        <v>1976</v>
      </c>
      <c r="T3277" s="260" t="s">
        <v>923</v>
      </c>
      <c r="Y3277" s="566">
        <v>0.92296296296296287</v>
      </c>
      <c r="Z3277" s="566">
        <v>0.93004629629629632</v>
      </c>
      <c r="AA3277" s="566">
        <f t="shared" si="377"/>
        <v>7.0833333333334414E-3</v>
      </c>
    </row>
    <row r="3278" spans="1:27" x14ac:dyDescent="0.3">
      <c r="A3278" s="79" t="s">
        <v>10701</v>
      </c>
      <c r="C3278" s="115">
        <v>44061</v>
      </c>
      <c r="D3278" s="312">
        <v>44096</v>
      </c>
      <c r="E3278" s="81">
        <v>44090</v>
      </c>
      <c r="F3278" s="86" t="s">
        <v>10810</v>
      </c>
      <c r="G3278" s="86" t="s">
        <v>187</v>
      </c>
      <c r="H3278" s="96" t="s">
        <v>213</v>
      </c>
      <c r="I3278" s="97" t="s">
        <v>995</v>
      </c>
      <c r="J3278" s="73">
        <f t="shared" si="379"/>
        <v>1</v>
      </c>
      <c r="K3278" s="74" t="s">
        <v>204</v>
      </c>
      <c r="L3278" s="97" t="s">
        <v>10935</v>
      </c>
      <c r="Q3278" s="76" t="s">
        <v>10401</v>
      </c>
      <c r="R3278" s="73">
        <f t="shared" si="380"/>
        <v>1</v>
      </c>
      <c r="S3278" s="260" t="s">
        <v>1976</v>
      </c>
      <c r="T3278" s="260" t="s">
        <v>923</v>
      </c>
      <c r="U3278" s="76" t="s">
        <v>5283</v>
      </c>
      <c r="V3278" s="301" t="s">
        <v>10936</v>
      </c>
      <c r="Y3278" s="566">
        <v>0.64188657407407412</v>
      </c>
      <c r="Z3278" s="566">
        <v>0.65888888888888886</v>
      </c>
      <c r="AA3278" s="566">
        <f t="shared" si="377"/>
        <v>1.7002314814814734E-2</v>
      </c>
    </row>
    <row r="3279" spans="1:27" x14ac:dyDescent="0.3">
      <c r="A3279" s="96" t="s">
        <v>10702</v>
      </c>
      <c r="C3279" s="115">
        <v>44061</v>
      </c>
      <c r="D3279" s="312">
        <v>44096</v>
      </c>
      <c r="E3279" s="81">
        <v>44090</v>
      </c>
      <c r="F3279" s="86" t="s">
        <v>10811</v>
      </c>
      <c r="G3279" s="86" t="s">
        <v>189</v>
      </c>
      <c r="H3279" s="96" t="s">
        <v>213</v>
      </c>
      <c r="I3279" s="97" t="s">
        <v>642</v>
      </c>
      <c r="J3279" s="73">
        <f t="shared" si="379"/>
        <v>1</v>
      </c>
      <c r="K3279" s="74" t="s">
        <v>204</v>
      </c>
      <c r="L3279" s="97" t="s">
        <v>7110</v>
      </c>
      <c r="N3279" s="76" t="s">
        <v>18</v>
      </c>
      <c r="Q3279" s="76" t="s">
        <v>2076</v>
      </c>
      <c r="R3279" s="73">
        <f t="shared" si="380"/>
        <v>1</v>
      </c>
      <c r="S3279" s="260" t="s">
        <v>1976</v>
      </c>
      <c r="T3279" s="260" t="s">
        <v>925</v>
      </c>
      <c r="Y3279" s="566">
        <v>0.51968749999999997</v>
      </c>
      <c r="Z3279" s="566">
        <v>0.52546296296296291</v>
      </c>
      <c r="AA3279" s="566">
        <f t="shared" si="377"/>
        <v>5.7754629629629406E-3</v>
      </c>
    </row>
    <row r="3280" spans="1:27" x14ac:dyDescent="0.3">
      <c r="A3280" s="79" t="s">
        <v>10703</v>
      </c>
      <c r="C3280" s="115">
        <v>44061</v>
      </c>
      <c r="D3280" s="312">
        <v>44097</v>
      </c>
      <c r="E3280" s="81">
        <v>44090</v>
      </c>
      <c r="F3280" s="86" t="s">
        <v>10812</v>
      </c>
      <c r="G3280" s="86" t="s">
        <v>189</v>
      </c>
      <c r="H3280" s="96" t="s">
        <v>213</v>
      </c>
      <c r="I3280" s="97" t="s">
        <v>714</v>
      </c>
      <c r="J3280" s="73">
        <f t="shared" si="379"/>
        <v>1</v>
      </c>
      <c r="K3280" s="74" t="s">
        <v>204</v>
      </c>
      <c r="L3280" s="97" t="s">
        <v>7336</v>
      </c>
      <c r="N3280" s="76" t="s">
        <v>17</v>
      </c>
      <c r="Q3280" s="76" t="s">
        <v>5193</v>
      </c>
      <c r="R3280" s="73">
        <f t="shared" si="380"/>
        <v>1</v>
      </c>
      <c r="S3280" s="260" t="s">
        <v>1976</v>
      </c>
      <c r="T3280" s="260" t="s">
        <v>923</v>
      </c>
      <c r="Y3280" s="566">
        <v>0.87156250000000002</v>
      </c>
      <c r="Z3280" s="566">
        <v>0.88300925925925933</v>
      </c>
      <c r="AA3280" s="566">
        <f t="shared" si="377"/>
        <v>1.1446759259259309E-2</v>
      </c>
    </row>
    <row r="3281" spans="1:27" x14ac:dyDescent="0.3">
      <c r="A3281" s="79" t="s">
        <v>10704</v>
      </c>
      <c r="C3281" s="115">
        <v>44061</v>
      </c>
      <c r="D3281" s="312">
        <v>44096</v>
      </c>
      <c r="E3281" s="81">
        <v>44089</v>
      </c>
      <c r="F3281" s="86" t="s">
        <v>10813</v>
      </c>
      <c r="G3281" s="86" t="s">
        <v>175</v>
      </c>
      <c r="H3281" s="96" t="s">
        <v>213</v>
      </c>
      <c r="I3281" s="97" t="s">
        <v>714</v>
      </c>
      <c r="J3281" s="73">
        <f t="shared" si="379"/>
        <v>1</v>
      </c>
      <c r="K3281" s="74" t="s">
        <v>204</v>
      </c>
      <c r="L3281" s="97" t="s">
        <v>10916</v>
      </c>
      <c r="N3281" s="76" t="s">
        <v>18</v>
      </c>
      <c r="Q3281" s="76" t="s">
        <v>2037</v>
      </c>
      <c r="R3281" s="73">
        <f t="shared" si="380"/>
        <v>1</v>
      </c>
      <c r="S3281" s="260" t="s">
        <v>1976</v>
      </c>
      <c r="T3281" s="260" t="s">
        <v>925</v>
      </c>
      <c r="Y3281" s="566">
        <v>0.523900462962963</v>
      </c>
      <c r="Z3281" s="566">
        <v>0.52784722222222225</v>
      </c>
      <c r="AA3281" s="566">
        <f t="shared" si="377"/>
        <v>3.9467592592592471E-3</v>
      </c>
    </row>
    <row r="3282" spans="1:27" x14ac:dyDescent="0.3">
      <c r="A3282" s="79" t="s">
        <v>10705</v>
      </c>
      <c r="C3282" s="115">
        <v>44061</v>
      </c>
      <c r="D3282" s="312">
        <v>44096</v>
      </c>
      <c r="E3282" s="81">
        <v>44089</v>
      </c>
      <c r="F3282" s="86" t="s">
        <v>10814</v>
      </c>
      <c r="G3282" s="86" t="s">
        <v>147</v>
      </c>
      <c r="H3282" s="96" t="s">
        <v>213</v>
      </c>
      <c r="I3282" s="97" t="s">
        <v>714</v>
      </c>
      <c r="J3282" s="73">
        <f t="shared" si="379"/>
        <v>1</v>
      </c>
      <c r="K3282" s="74" t="s">
        <v>204</v>
      </c>
      <c r="L3282" s="97" t="s">
        <v>7058</v>
      </c>
      <c r="N3282" s="76" t="s">
        <v>18</v>
      </c>
      <c r="Q3282" s="76" t="s">
        <v>5193</v>
      </c>
      <c r="R3282" s="73">
        <f t="shared" si="380"/>
        <v>1</v>
      </c>
      <c r="S3282" s="260" t="s">
        <v>1976</v>
      </c>
      <c r="T3282" s="260" t="s">
        <v>923</v>
      </c>
      <c r="Y3282" s="566">
        <v>0.93065972222222226</v>
      </c>
      <c r="Z3282" s="566">
        <v>0.93831018518518527</v>
      </c>
      <c r="AA3282" s="566">
        <f t="shared" si="377"/>
        <v>7.6504629629630116E-3</v>
      </c>
    </row>
    <row r="3283" spans="1:27" x14ac:dyDescent="0.3">
      <c r="A3283" s="79" t="s">
        <v>10706</v>
      </c>
      <c r="C3283" s="115">
        <v>44061</v>
      </c>
      <c r="D3283" s="312">
        <v>44097</v>
      </c>
      <c r="E3283" s="81">
        <v>44090</v>
      </c>
      <c r="F3283" s="86" t="s">
        <v>10815</v>
      </c>
      <c r="G3283" s="86" t="s">
        <v>6493</v>
      </c>
      <c r="H3283" s="96" t="s">
        <v>213</v>
      </c>
      <c r="I3283" s="97" t="s">
        <v>642</v>
      </c>
      <c r="J3283" s="73">
        <f t="shared" si="379"/>
        <v>1</v>
      </c>
      <c r="K3283" s="74" t="s">
        <v>204</v>
      </c>
      <c r="L3283" s="97" t="s">
        <v>7108</v>
      </c>
      <c r="N3283" s="76" t="s">
        <v>18</v>
      </c>
      <c r="Q3283" s="76" t="s">
        <v>2037</v>
      </c>
      <c r="R3283" s="73">
        <f t="shared" si="380"/>
        <v>1</v>
      </c>
      <c r="S3283" s="260" t="s">
        <v>1976</v>
      </c>
      <c r="T3283" s="260" t="s">
        <v>925</v>
      </c>
      <c r="Y3283" s="566">
        <v>0.63230324074074074</v>
      </c>
      <c r="Z3283" s="566">
        <v>0.64134259259259263</v>
      </c>
      <c r="AA3283" s="566">
        <f t="shared" si="377"/>
        <v>9.0393518518518956E-3</v>
      </c>
    </row>
    <row r="3284" spans="1:27" x14ac:dyDescent="0.3">
      <c r="A3284" s="79" t="s">
        <v>10707</v>
      </c>
      <c r="C3284" s="115">
        <v>44062</v>
      </c>
      <c r="D3284" s="312">
        <v>44098</v>
      </c>
      <c r="E3284" s="81">
        <v>44096</v>
      </c>
      <c r="F3284" s="86" t="s">
        <v>10816</v>
      </c>
      <c r="G3284" s="86" t="s">
        <v>147</v>
      </c>
      <c r="H3284" s="96" t="s">
        <v>213</v>
      </c>
      <c r="I3284" s="97" t="s">
        <v>722</v>
      </c>
      <c r="J3284" s="73">
        <f t="shared" si="379"/>
        <v>1</v>
      </c>
      <c r="K3284" s="74" t="s">
        <v>204</v>
      </c>
      <c r="L3284" s="97" t="s">
        <v>7893</v>
      </c>
      <c r="N3284" s="76" t="s">
        <v>17</v>
      </c>
      <c r="Q3284" s="76" t="s">
        <v>2037</v>
      </c>
      <c r="R3284" s="73">
        <f t="shared" si="380"/>
        <v>1</v>
      </c>
      <c r="S3284" s="260" t="s">
        <v>1976</v>
      </c>
      <c r="T3284" s="260" t="s">
        <v>923</v>
      </c>
      <c r="Y3284" s="566">
        <v>0.42155092592592597</v>
      </c>
      <c r="Z3284" s="566">
        <v>0.43337962962962967</v>
      </c>
      <c r="AA3284" s="566">
        <f t="shared" si="377"/>
        <v>1.1828703703703702E-2</v>
      </c>
    </row>
    <row r="3285" spans="1:27" x14ac:dyDescent="0.3">
      <c r="A3285" s="79" t="s">
        <v>10708</v>
      </c>
      <c r="C3285" s="115">
        <v>44062</v>
      </c>
      <c r="D3285" s="312">
        <v>44097</v>
      </c>
      <c r="E3285" s="81">
        <v>44092</v>
      </c>
      <c r="F3285" s="86" t="s">
        <v>10817</v>
      </c>
      <c r="G3285" s="86" t="s">
        <v>166</v>
      </c>
      <c r="H3285" s="96" t="s">
        <v>213</v>
      </c>
      <c r="I3285" s="97" t="s">
        <v>722</v>
      </c>
      <c r="J3285" s="73">
        <f t="shared" si="379"/>
        <v>1</v>
      </c>
      <c r="K3285" s="74" t="s">
        <v>204</v>
      </c>
      <c r="L3285" s="97" t="s">
        <v>10972</v>
      </c>
      <c r="N3285" s="76" t="s">
        <v>18</v>
      </c>
      <c r="Q3285" s="76" t="s">
        <v>10401</v>
      </c>
      <c r="R3285" s="73">
        <f t="shared" si="380"/>
        <v>1</v>
      </c>
      <c r="S3285" s="260" t="s">
        <v>1976</v>
      </c>
      <c r="T3285" s="260" t="s">
        <v>925</v>
      </c>
      <c r="U3285" s="76" t="s">
        <v>5283</v>
      </c>
      <c r="V3285" s="301" t="s">
        <v>10964</v>
      </c>
      <c r="Y3285" s="566">
        <v>0.61585648148148142</v>
      </c>
      <c r="Z3285" s="566">
        <v>0.62758101851851855</v>
      </c>
      <c r="AA3285" s="566">
        <f t="shared" si="377"/>
        <v>1.172453703703713E-2</v>
      </c>
    </row>
    <row r="3286" spans="1:27" x14ac:dyDescent="0.3">
      <c r="A3286" s="79" t="s">
        <v>10709</v>
      </c>
      <c r="C3286" s="115">
        <v>44062</v>
      </c>
      <c r="D3286" s="312">
        <v>44097</v>
      </c>
      <c r="E3286" s="81">
        <v>44091</v>
      </c>
      <c r="F3286" s="86" t="s">
        <v>10818</v>
      </c>
      <c r="G3286" s="86" t="s">
        <v>152</v>
      </c>
      <c r="H3286" s="96" t="s">
        <v>213</v>
      </c>
      <c r="I3286" s="97" t="s">
        <v>645</v>
      </c>
      <c r="J3286" s="73">
        <f t="shared" si="379"/>
        <v>1</v>
      </c>
      <c r="K3286" s="74" t="s">
        <v>204</v>
      </c>
      <c r="L3286" s="97" t="s">
        <v>10957</v>
      </c>
      <c r="Q3286" s="76" t="s">
        <v>2142</v>
      </c>
      <c r="R3286" s="73">
        <f t="shared" si="380"/>
        <v>1</v>
      </c>
      <c r="S3286" s="260" t="s">
        <v>1976</v>
      </c>
      <c r="T3286" s="260" t="s">
        <v>923</v>
      </c>
      <c r="Y3286" s="566">
        <v>0.67383101851851857</v>
      </c>
      <c r="Z3286" s="566">
        <v>0.6875</v>
      </c>
      <c r="AA3286" s="566">
        <f t="shared" si="377"/>
        <v>1.3668981481481435E-2</v>
      </c>
    </row>
    <row r="3287" spans="1:27" x14ac:dyDescent="0.3">
      <c r="A3287" s="79" t="s">
        <v>10710</v>
      </c>
      <c r="C3287" s="115">
        <v>44062</v>
      </c>
      <c r="D3287" s="312">
        <v>44097</v>
      </c>
      <c r="E3287" s="81">
        <v>44091</v>
      </c>
      <c r="F3287" s="86" t="s">
        <v>10819</v>
      </c>
      <c r="G3287" s="86" t="s">
        <v>157</v>
      </c>
      <c r="H3287" s="96" t="s">
        <v>213</v>
      </c>
      <c r="I3287" s="97" t="s">
        <v>642</v>
      </c>
      <c r="J3287" s="73">
        <f t="shared" si="379"/>
        <v>1</v>
      </c>
      <c r="K3287" s="74" t="s">
        <v>204</v>
      </c>
      <c r="L3287" s="97" t="s">
        <v>7110</v>
      </c>
      <c r="N3287" s="76" t="s">
        <v>18</v>
      </c>
      <c r="Q3287" s="76" t="s">
        <v>10401</v>
      </c>
      <c r="R3287" s="73">
        <f t="shared" si="380"/>
        <v>1</v>
      </c>
      <c r="S3287" s="260" t="s">
        <v>1976</v>
      </c>
      <c r="T3287" s="260" t="s">
        <v>925</v>
      </c>
      <c r="Y3287" s="566">
        <v>0.70509259259259249</v>
      </c>
      <c r="Z3287" s="566">
        <v>0.70920138888888884</v>
      </c>
      <c r="AA3287" s="566">
        <f t="shared" si="377"/>
        <v>4.1087962962963465E-3</v>
      </c>
    </row>
    <row r="3288" spans="1:27" x14ac:dyDescent="0.3">
      <c r="A3288" s="79" t="s">
        <v>10711</v>
      </c>
      <c r="C3288" s="115">
        <v>44062</v>
      </c>
      <c r="D3288" s="312">
        <v>44097</v>
      </c>
      <c r="E3288" s="81">
        <v>44090</v>
      </c>
      <c r="F3288" s="86" t="s">
        <v>10820</v>
      </c>
      <c r="G3288" s="86" t="s">
        <v>150</v>
      </c>
      <c r="H3288" s="96" t="s">
        <v>213</v>
      </c>
      <c r="I3288" s="97" t="s">
        <v>714</v>
      </c>
      <c r="J3288" s="73">
        <f t="shared" si="379"/>
        <v>1</v>
      </c>
      <c r="K3288" s="74" t="s">
        <v>204</v>
      </c>
      <c r="L3288" s="97" t="s">
        <v>7071</v>
      </c>
      <c r="N3288" s="76" t="s">
        <v>18</v>
      </c>
      <c r="Q3288" s="76" t="s">
        <v>2037</v>
      </c>
      <c r="R3288" s="73">
        <f t="shared" si="380"/>
        <v>1</v>
      </c>
      <c r="S3288" s="260" t="s">
        <v>1976</v>
      </c>
      <c r="T3288" s="260" t="s">
        <v>925</v>
      </c>
      <c r="Y3288" s="566">
        <v>0.90104166666666663</v>
      </c>
      <c r="Z3288" s="566">
        <v>0.91746527777777775</v>
      </c>
      <c r="AA3288" s="566">
        <f t="shared" si="377"/>
        <v>1.6423611111111125E-2</v>
      </c>
    </row>
    <row r="3289" spans="1:27" x14ac:dyDescent="0.3">
      <c r="A3289" s="96" t="s">
        <v>10712</v>
      </c>
      <c r="C3289" s="115">
        <v>44062</v>
      </c>
      <c r="D3289" s="312">
        <v>44097</v>
      </c>
      <c r="E3289" s="81">
        <v>44091</v>
      </c>
      <c r="F3289" s="86" t="s">
        <v>10821</v>
      </c>
      <c r="G3289" s="86" t="s">
        <v>156</v>
      </c>
      <c r="H3289" s="96" t="s">
        <v>213</v>
      </c>
      <c r="I3289" s="97" t="s">
        <v>9251</v>
      </c>
      <c r="J3289" s="73">
        <f t="shared" si="379"/>
        <v>1</v>
      </c>
      <c r="K3289" s="74" t="s">
        <v>204</v>
      </c>
      <c r="L3289" s="97" t="s">
        <v>10963</v>
      </c>
      <c r="N3289" s="76" t="s">
        <v>17</v>
      </c>
      <c r="Q3289" s="76" t="s">
        <v>2076</v>
      </c>
      <c r="R3289" s="73">
        <f t="shared" si="380"/>
        <v>1</v>
      </c>
      <c r="S3289" s="260" t="s">
        <v>1976</v>
      </c>
      <c r="T3289" s="260" t="s">
        <v>923</v>
      </c>
      <c r="U3289" s="76" t="s">
        <v>5283</v>
      </c>
      <c r="V3289" s="301" t="s">
        <v>11605</v>
      </c>
      <c r="Y3289" s="566">
        <v>0.92858796296296298</v>
      </c>
      <c r="Z3289" s="566">
        <v>0.95134259259259257</v>
      </c>
      <c r="AA3289" s="566">
        <f t="shared" si="377"/>
        <v>2.2754629629629597E-2</v>
      </c>
    </row>
    <row r="3290" spans="1:27" x14ac:dyDescent="0.3">
      <c r="A3290" s="79" t="s">
        <v>10713</v>
      </c>
      <c r="C3290" s="115">
        <v>44062</v>
      </c>
      <c r="D3290" s="312">
        <v>44097</v>
      </c>
      <c r="E3290" s="81">
        <v>44092</v>
      </c>
      <c r="F3290" s="86" t="s">
        <v>10822</v>
      </c>
      <c r="G3290" s="86" t="s">
        <v>410</v>
      </c>
      <c r="H3290" s="96" t="s">
        <v>213</v>
      </c>
      <c r="I3290" s="97" t="s">
        <v>722</v>
      </c>
      <c r="J3290" s="73">
        <f t="shared" si="379"/>
        <v>1</v>
      </c>
      <c r="K3290" s="74" t="s">
        <v>204</v>
      </c>
      <c r="L3290" s="97" t="s">
        <v>7322</v>
      </c>
      <c r="N3290" s="76" t="s">
        <v>17</v>
      </c>
      <c r="Q3290" s="76" t="s">
        <v>2076</v>
      </c>
      <c r="R3290" s="73">
        <f t="shared" si="380"/>
        <v>1</v>
      </c>
      <c r="S3290" s="260" t="s">
        <v>1976</v>
      </c>
      <c r="T3290" s="260" t="s">
        <v>923</v>
      </c>
      <c r="Y3290" s="566">
        <v>0.58651620370370372</v>
      </c>
      <c r="Z3290" s="566">
        <v>0.61534722222222216</v>
      </c>
      <c r="AA3290" s="566">
        <f t="shared" si="377"/>
        <v>2.8831018518518436E-2</v>
      </c>
    </row>
    <row r="3291" spans="1:27" x14ac:dyDescent="0.3">
      <c r="A3291" s="79" t="s">
        <v>10714</v>
      </c>
      <c r="C3291" s="115">
        <v>44062</v>
      </c>
      <c r="D3291" s="312">
        <v>44098</v>
      </c>
      <c r="E3291" s="81">
        <v>44090</v>
      </c>
      <c r="F3291" s="86" t="s">
        <v>10823</v>
      </c>
      <c r="G3291" s="86" t="s">
        <v>3605</v>
      </c>
      <c r="H3291" s="96" t="s">
        <v>213</v>
      </c>
      <c r="I3291" s="97" t="s">
        <v>714</v>
      </c>
      <c r="J3291" s="73">
        <f t="shared" si="379"/>
        <v>1</v>
      </c>
      <c r="K3291" s="74" t="s">
        <v>204</v>
      </c>
      <c r="L3291" s="97" t="s">
        <v>7336</v>
      </c>
      <c r="N3291" s="76" t="s">
        <v>17</v>
      </c>
      <c r="Q3291" s="76" t="s">
        <v>2037</v>
      </c>
      <c r="R3291" s="73">
        <f t="shared" si="380"/>
        <v>1</v>
      </c>
      <c r="S3291" s="260" t="s">
        <v>1976</v>
      </c>
      <c r="T3291" s="260" t="s">
        <v>923</v>
      </c>
      <c r="Y3291" s="566">
        <v>0.93244212962962969</v>
      </c>
      <c r="Z3291" s="566">
        <v>0.93972222222222224</v>
      </c>
      <c r="AA3291" s="566">
        <f t="shared" si="377"/>
        <v>7.2800925925925464E-3</v>
      </c>
    </row>
    <row r="3292" spans="1:27" x14ac:dyDescent="0.3">
      <c r="A3292" s="79" t="s">
        <v>10715</v>
      </c>
      <c r="C3292" s="115">
        <v>44062</v>
      </c>
      <c r="D3292" s="312">
        <v>44097</v>
      </c>
      <c r="E3292" s="81">
        <v>44091</v>
      </c>
      <c r="F3292" s="86" t="s">
        <v>10824</v>
      </c>
      <c r="G3292" s="86" t="s">
        <v>3771</v>
      </c>
      <c r="H3292" s="96" t="s">
        <v>213</v>
      </c>
      <c r="I3292" s="97" t="s">
        <v>642</v>
      </c>
      <c r="J3292" s="73">
        <f t="shared" si="379"/>
        <v>1</v>
      </c>
      <c r="K3292" s="74" t="s">
        <v>204</v>
      </c>
      <c r="L3292" s="97" t="s">
        <v>10958</v>
      </c>
      <c r="N3292" s="76" t="s">
        <v>18</v>
      </c>
      <c r="Q3292" s="76" t="s">
        <v>2142</v>
      </c>
      <c r="R3292" s="73">
        <f t="shared" si="380"/>
        <v>1</v>
      </c>
      <c r="S3292" s="260" t="s">
        <v>1976</v>
      </c>
      <c r="T3292" s="260" t="s">
        <v>925</v>
      </c>
      <c r="Y3292" s="566">
        <v>0.6932060185185186</v>
      </c>
      <c r="Z3292" s="566">
        <v>0.70000000000000007</v>
      </c>
      <c r="AA3292" s="566">
        <f t="shared" si="377"/>
        <v>6.7939814814814703E-3</v>
      </c>
    </row>
    <row r="3293" spans="1:27" x14ac:dyDescent="0.3">
      <c r="A3293" s="79" t="s">
        <v>10716</v>
      </c>
      <c r="C3293" s="115">
        <v>44062</v>
      </c>
      <c r="D3293" s="312">
        <v>44098</v>
      </c>
      <c r="E3293" s="81">
        <v>44095</v>
      </c>
      <c r="F3293" s="86" t="s">
        <v>10825</v>
      </c>
      <c r="G3293" s="86" t="s">
        <v>189</v>
      </c>
      <c r="H3293" s="96" t="s">
        <v>213</v>
      </c>
      <c r="I3293" s="97" t="s">
        <v>714</v>
      </c>
      <c r="J3293" s="73">
        <f t="shared" si="379"/>
        <v>1</v>
      </c>
      <c r="K3293" s="74" t="s">
        <v>204</v>
      </c>
      <c r="L3293" s="97" t="s">
        <v>7072</v>
      </c>
      <c r="N3293" s="76" t="s">
        <v>17</v>
      </c>
      <c r="Q3293" s="76" t="s">
        <v>2142</v>
      </c>
      <c r="R3293" s="73">
        <f t="shared" si="380"/>
        <v>1</v>
      </c>
      <c r="S3293" s="260" t="s">
        <v>1976</v>
      </c>
      <c r="T3293" s="260" t="s">
        <v>923</v>
      </c>
      <c r="Y3293" s="566">
        <v>0.5432407407407408</v>
      </c>
      <c r="Z3293" s="566">
        <v>0.54630787037037043</v>
      </c>
      <c r="AA3293" s="566">
        <f t="shared" si="377"/>
        <v>3.067129629629628E-3</v>
      </c>
    </row>
    <row r="3294" spans="1:27" x14ac:dyDescent="0.3">
      <c r="A3294" s="79" t="s">
        <v>10717</v>
      </c>
      <c r="C3294" s="115">
        <v>44062</v>
      </c>
      <c r="D3294" s="312">
        <v>44097</v>
      </c>
      <c r="E3294" s="81">
        <v>44090</v>
      </c>
      <c r="F3294" s="86" t="s">
        <v>10826</v>
      </c>
      <c r="G3294" s="86" t="s">
        <v>410</v>
      </c>
      <c r="H3294" s="96" t="s">
        <v>213</v>
      </c>
      <c r="I3294" s="97" t="s">
        <v>642</v>
      </c>
      <c r="J3294" s="73">
        <f t="shared" si="379"/>
        <v>1</v>
      </c>
      <c r="K3294" s="74" t="s">
        <v>204</v>
      </c>
      <c r="L3294" s="97" t="s">
        <v>7069</v>
      </c>
      <c r="N3294" s="76" t="s">
        <v>18</v>
      </c>
      <c r="Q3294" s="76" t="s">
        <v>5193</v>
      </c>
      <c r="R3294" s="73">
        <f t="shared" si="380"/>
        <v>1</v>
      </c>
      <c r="S3294" s="260" t="s">
        <v>1976</v>
      </c>
      <c r="T3294" s="260" t="s">
        <v>923</v>
      </c>
      <c r="Y3294" s="566">
        <v>0.88334490740740745</v>
      </c>
      <c r="Z3294" s="566">
        <v>0.88847222222222222</v>
      </c>
      <c r="AA3294" s="566">
        <f t="shared" si="377"/>
        <v>5.1273148148147651E-3</v>
      </c>
    </row>
    <row r="3295" spans="1:27" x14ac:dyDescent="0.3">
      <c r="A3295" s="79" t="s">
        <v>10718</v>
      </c>
      <c r="C3295" s="115">
        <v>44062</v>
      </c>
      <c r="D3295" s="312">
        <v>44097</v>
      </c>
      <c r="E3295" s="81">
        <v>44091</v>
      </c>
      <c r="F3295" s="86" t="s">
        <v>10827</v>
      </c>
      <c r="G3295" s="86" t="s">
        <v>3014</v>
      </c>
      <c r="H3295" s="96" t="s">
        <v>213</v>
      </c>
      <c r="I3295" s="97" t="s">
        <v>642</v>
      </c>
      <c r="J3295" s="73">
        <f t="shared" si="379"/>
        <v>1</v>
      </c>
      <c r="K3295" s="74" t="s">
        <v>204</v>
      </c>
      <c r="L3295" s="97" t="s">
        <v>7066</v>
      </c>
      <c r="N3295" s="76" t="s">
        <v>18</v>
      </c>
      <c r="Q3295" s="76" t="s">
        <v>10401</v>
      </c>
      <c r="R3295" s="73">
        <f t="shared" si="380"/>
        <v>1</v>
      </c>
      <c r="S3295" s="260" t="s">
        <v>1976</v>
      </c>
      <c r="T3295" s="260" t="s">
        <v>925</v>
      </c>
      <c r="Y3295" s="566">
        <v>0.70037037037037031</v>
      </c>
      <c r="Z3295" s="566">
        <v>0.7041087962962963</v>
      </c>
      <c r="AA3295" s="566">
        <f t="shared" si="377"/>
        <v>3.7384259259259922E-3</v>
      </c>
    </row>
    <row r="3296" spans="1:27" x14ac:dyDescent="0.3">
      <c r="A3296" s="79" t="s">
        <v>10719</v>
      </c>
      <c r="C3296" s="115">
        <v>44062</v>
      </c>
      <c r="D3296" s="312">
        <v>44097</v>
      </c>
      <c r="E3296" s="81">
        <v>44091</v>
      </c>
      <c r="F3296" s="86" t="s">
        <v>10828</v>
      </c>
      <c r="G3296" s="86" t="s">
        <v>150</v>
      </c>
      <c r="H3296" s="96" t="s">
        <v>213</v>
      </c>
      <c r="I3296" s="97" t="s">
        <v>714</v>
      </c>
      <c r="J3296" s="73">
        <f t="shared" si="379"/>
        <v>1</v>
      </c>
      <c r="K3296" s="74" t="s">
        <v>204</v>
      </c>
      <c r="L3296" s="97" t="s">
        <v>7072</v>
      </c>
      <c r="N3296" s="76" t="s">
        <v>18</v>
      </c>
      <c r="Q3296" s="76" t="s">
        <v>2142</v>
      </c>
      <c r="R3296" s="73">
        <f t="shared" si="380"/>
        <v>1</v>
      </c>
      <c r="S3296" s="260" t="s">
        <v>1976</v>
      </c>
      <c r="T3296" s="260" t="s">
        <v>923</v>
      </c>
      <c r="Y3296" s="566">
        <v>0.73603009259259267</v>
      </c>
      <c r="Z3296" s="566">
        <v>0.74186342592592591</v>
      </c>
      <c r="AA3296" s="566">
        <f t="shared" si="377"/>
        <v>5.833333333333246E-3</v>
      </c>
    </row>
    <row r="3297" spans="1:27" x14ac:dyDescent="0.3">
      <c r="A3297" s="79" t="s">
        <v>10720</v>
      </c>
      <c r="C3297" s="115">
        <v>44062</v>
      </c>
      <c r="D3297" s="312">
        <v>44098</v>
      </c>
      <c r="E3297" s="81">
        <v>44092</v>
      </c>
      <c r="F3297" s="86" t="s">
        <v>10829</v>
      </c>
      <c r="G3297" s="86" t="s">
        <v>156</v>
      </c>
      <c r="H3297" s="79" t="s">
        <v>268</v>
      </c>
      <c r="I3297" s="97" t="s">
        <v>642</v>
      </c>
      <c r="J3297" s="73">
        <f t="shared" si="379"/>
        <v>1</v>
      </c>
      <c r="K3297" s="74" t="s">
        <v>204</v>
      </c>
      <c r="L3297" s="97" t="s">
        <v>10971</v>
      </c>
      <c r="N3297" s="76" t="s">
        <v>18</v>
      </c>
      <c r="Q3297" s="76" t="s">
        <v>2076</v>
      </c>
      <c r="R3297" s="73">
        <f t="shared" si="380"/>
        <v>1</v>
      </c>
      <c r="S3297" s="260" t="s">
        <v>1976</v>
      </c>
      <c r="T3297" s="260" t="s">
        <v>925</v>
      </c>
      <c r="Y3297" s="566">
        <v>0.84379629629629627</v>
      </c>
      <c r="Z3297" s="566">
        <v>0.84896990740740741</v>
      </c>
      <c r="AA3297" s="566">
        <f t="shared" si="377"/>
        <v>5.1736111111111427E-3</v>
      </c>
    </row>
    <row r="3298" spans="1:27" x14ac:dyDescent="0.3">
      <c r="A3298" s="79" t="s">
        <v>10721</v>
      </c>
      <c r="C3298" s="115">
        <v>44062</v>
      </c>
      <c r="D3298" s="312">
        <v>44097</v>
      </c>
      <c r="E3298" s="81">
        <v>44095</v>
      </c>
      <c r="F3298" s="86" t="s">
        <v>10830</v>
      </c>
      <c r="G3298" s="86" t="s">
        <v>9119</v>
      </c>
      <c r="H3298" s="96" t="s">
        <v>213</v>
      </c>
      <c r="I3298" s="97" t="s">
        <v>714</v>
      </c>
      <c r="J3298" s="73">
        <f t="shared" si="379"/>
        <v>1</v>
      </c>
      <c r="K3298" s="74" t="s">
        <v>204</v>
      </c>
      <c r="L3298" s="97" t="s">
        <v>10986</v>
      </c>
      <c r="N3298" s="76" t="s">
        <v>18</v>
      </c>
      <c r="Q3298" s="76" t="s">
        <v>2076</v>
      </c>
      <c r="R3298" s="73">
        <f t="shared" si="380"/>
        <v>1</v>
      </c>
      <c r="S3298" s="260" t="s">
        <v>1976</v>
      </c>
      <c r="T3298" s="260" t="s">
        <v>925</v>
      </c>
      <c r="U3298" s="76" t="s">
        <v>5283</v>
      </c>
      <c r="V3298" s="301" t="s">
        <v>10987</v>
      </c>
      <c r="Y3298" s="566">
        <v>0.6404050925925926</v>
      </c>
      <c r="Z3298" s="566">
        <v>0.64523148148148146</v>
      </c>
      <c r="AA3298" s="566">
        <f t="shared" si="377"/>
        <v>4.8263888888888662E-3</v>
      </c>
    </row>
    <row r="3299" spans="1:27" x14ac:dyDescent="0.3">
      <c r="A3299" s="79" t="s">
        <v>10722</v>
      </c>
      <c r="C3299" s="115">
        <v>44062</v>
      </c>
      <c r="D3299" s="312">
        <v>44098</v>
      </c>
      <c r="E3299" s="81">
        <v>44091</v>
      </c>
      <c r="F3299" s="86" t="s">
        <v>10831</v>
      </c>
      <c r="G3299" s="86" t="s">
        <v>164</v>
      </c>
      <c r="H3299" s="96" t="s">
        <v>213</v>
      </c>
      <c r="I3299" s="97" t="s">
        <v>714</v>
      </c>
      <c r="J3299" s="73">
        <f t="shared" si="379"/>
        <v>1</v>
      </c>
      <c r="K3299" s="74" t="s">
        <v>204</v>
      </c>
      <c r="L3299" s="97" t="s">
        <v>10207</v>
      </c>
      <c r="N3299" s="76" t="s">
        <v>8990</v>
      </c>
      <c r="Q3299" s="76" t="s">
        <v>5193</v>
      </c>
      <c r="R3299" s="73">
        <f t="shared" si="380"/>
        <v>1</v>
      </c>
      <c r="S3299" s="260" t="s">
        <v>1976</v>
      </c>
      <c r="T3299" s="260" t="s">
        <v>925</v>
      </c>
      <c r="Y3299" s="566">
        <v>0.74232638888888891</v>
      </c>
      <c r="Z3299" s="566">
        <v>0.74766203703703704</v>
      </c>
      <c r="AA3299" s="566">
        <f t="shared" si="377"/>
        <v>5.335648148148131E-3</v>
      </c>
    </row>
    <row r="3300" spans="1:27" x14ac:dyDescent="0.3">
      <c r="A3300" s="79" t="s">
        <v>10723</v>
      </c>
      <c r="C3300" s="115">
        <v>44062</v>
      </c>
      <c r="D3300" s="312">
        <v>44098</v>
      </c>
      <c r="E3300" s="81">
        <v>44092</v>
      </c>
      <c r="F3300" s="86" t="s">
        <v>10832</v>
      </c>
      <c r="G3300" s="86" t="s">
        <v>410</v>
      </c>
      <c r="H3300" s="96" t="s">
        <v>213</v>
      </c>
      <c r="I3300" s="97" t="s">
        <v>642</v>
      </c>
      <c r="J3300" s="73">
        <f t="shared" si="379"/>
        <v>1</v>
      </c>
      <c r="K3300" s="74" t="s">
        <v>204</v>
      </c>
      <c r="L3300" s="97" t="s">
        <v>7069</v>
      </c>
      <c r="N3300" s="76" t="s">
        <v>18</v>
      </c>
      <c r="Q3300" s="76" t="s">
        <v>2076</v>
      </c>
      <c r="R3300" s="73">
        <f t="shared" si="380"/>
        <v>1</v>
      </c>
      <c r="S3300" s="260" t="s">
        <v>1976</v>
      </c>
      <c r="T3300" s="260" t="s">
        <v>925</v>
      </c>
      <c r="U3300" s="76" t="s">
        <v>5283</v>
      </c>
      <c r="V3300" s="301" t="s">
        <v>10970</v>
      </c>
      <c r="Y3300" s="566">
        <v>0.83486111111111105</v>
      </c>
      <c r="Z3300" s="566">
        <v>0.84285879629629623</v>
      </c>
      <c r="AA3300" s="566">
        <f t="shared" si="377"/>
        <v>7.9976851851851771E-3</v>
      </c>
    </row>
    <row r="3301" spans="1:27" x14ac:dyDescent="0.3">
      <c r="A3301" s="79" t="s">
        <v>10724</v>
      </c>
      <c r="C3301" s="115">
        <v>44063</v>
      </c>
      <c r="D3301" s="312">
        <v>44099</v>
      </c>
      <c r="E3301" s="81">
        <v>44095</v>
      </c>
      <c r="F3301" s="86" t="s">
        <v>10833</v>
      </c>
      <c r="G3301" s="86" t="s">
        <v>172</v>
      </c>
      <c r="H3301" s="96" t="s">
        <v>213</v>
      </c>
      <c r="I3301" s="97" t="s">
        <v>642</v>
      </c>
      <c r="J3301" s="73">
        <f t="shared" si="379"/>
        <v>1</v>
      </c>
      <c r="K3301" s="74" t="s">
        <v>204</v>
      </c>
      <c r="L3301" s="97" t="s">
        <v>7110</v>
      </c>
      <c r="N3301" s="76" t="s">
        <v>18</v>
      </c>
      <c r="Q3301" s="76" t="s">
        <v>10401</v>
      </c>
      <c r="R3301" s="73">
        <f t="shared" si="380"/>
        <v>1</v>
      </c>
      <c r="S3301" s="260" t="s">
        <v>1976</v>
      </c>
      <c r="T3301" s="260" t="s">
        <v>925</v>
      </c>
      <c r="Y3301" s="566">
        <v>0.42244212962962963</v>
      </c>
      <c r="Z3301" s="566">
        <v>0.4265856481481482</v>
      </c>
      <c r="AA3301" s="566">
        <f t="shared" si="377"/>
        <v>4.1435185185185741E-3</v>
      </c>
    </row>
    <row r="3302" spans="1:27" x14ac:dyDescent="0.3">
      <c r="A3302" s="79" t="s">
        <v>10725</v>
      </c>
      <c r="C3302" s="115">
        <v>44063</v>
      </c>
      <c r="D3302" s="312">
        <v>44098</v>
      </c>
      <c r="E3302" s="81">
        <v>44095</v>
      </c>
      <c r="F3302" s="86" t="s">
        <v>10834</v>
      </c>
      <c r="G3302" s="86" t="s">
        <v>156</v>
      </c>
      <c r="H3302" s="96" t="s">
        <v>213</v>
      </c>
      <c r="I3302" s="97" t="s">
        <v>7725</v>
      </c>
      <c r="J3302" s="73">
        <f t="shared" si="379"/>
        <v>1</v>
      </c>
      <c r="K3302" s="74" t="s">
        <v>204</v>
      </c>
      <c r="L3302" s="97" t="s">
        <v>10981</v>
      </c>
      <c r="N3302" s="76" t="s">
        <v>17</v>
      </c>
      <c r="Q3302" s="76" t="s">
        <v>2142</v>
      </c>
      <c r="R3302" s="73">
        <f t="shared" si="380"/>
        <v>1</v>
      </c>
      <c r="S3302" s="260" t="s">
        <v>1976</v>
      </c>
      <c r="T3302" s="260" t="s">
        <v>925</v>
      </c>
      <c r="U3302" s="76" t="s">
        <v>5283</v>
      </c>
      <c r="V3302" s="301" t="s">
        <v>10974</v>
      </c>
      <c r="Y3302" s="566">
        <v>0.43093749999999997</v>
      </c>
      <c r="Z3302" s="566">
        <v>0.44391203703703702</v>
      </c>
      <c r="AA3302" s="566">
        <f t="shared" si="377"/>
        <v>1.2974537037037048E-2</v>
      </c>
    </row>
    <row r="3303" spans="1:27" x14ac:dyDescent="0.3">
      <c r="A3303" s="79" t="s">
        <v>10726</v>
      </c>
      <c r="C3303" s="115">
        <v>44063</v>
      </c>
      <c r="D3303" s="312">
        <v>44098</v>
      </c>
      <c r="E3303" s="81">
        <v>44091</v>
      </c>
      <c r="F3303" s="86" t="s">
        <v>10835</v>
      </c>
      <c r="G3303" s="86" t="s">
        <v>156</v>
      </c>
      <c r="H3303" s="96" t="s">
        <v>213</v>
      </c>
      <c r="I3303" s="97" t="s">
        <v>714</v>
      </c>
      <c r="J3303" s="73">
        <f t="shared" si="379"/>
        <v>1</v>
      </c>
      <c r="K3303" s="74" t="s">
        <v>204</v>
      </c>
      <c r="L3303" s="97" t="s">
        <v>7072</v>
      </c>
      <c r="N3303" s="76" t="s">
        <v>18</v>
      </c>
      <c r="Q3303" s="76" t="s">
        <v>5193</v>
      </c>
      <c r="R3303" s="73">
        <f t="shared" si="380"/>
        <v>1</v>
      </c>
      <c r="S3303" s="260" t="s">
        <v>1976</v>
      </c>
      <c r="T3303" s="260" t="s">
        <v>923</v>
      </c>
      <c r="Y3303" s="566">
        <v>0.74799768518518517</v>
      </c>
      <c r="Z3303" s="566">
        <v>0.75238425925925922</v>
      </c>
      <c r="AA3303" s="566">
        <f t="shared" si="377"/>
        <v>4.3865740740740566E-3</v>
      </c>
    </row>
    <row r="3304" spans="1:27" x14ac:dyDescent="0.3">
      <c r="A3304" s="79" t="s">
        <v>10727</v>
      </c>
      <c r="C3304" s="115">
        <v>44063</v>
      </c>
      <c r="D3304" s="312">
        <v>44098</v>
      </c>
      <c r="E3304" s="81">
        <v>44095</v>
      </c>
      <c r="F3304" s="86" t="s">
        <v>10836</v>
      </c>
      <c r="G3304" s="86" t="s">
        <v>3509</v>
      </c>
      <c r="H3304" s="96" t="s">
        <v>213</v>
      </c>
      <c r="I3304" s="97" t="s">
        <v>714</v>
      </c>
      <c r="J3304" s="73">
        <f t="shared" si="379"/>
        <v>1</v>
      </c>
      <c r="K3304" s="74" t="s">
        <v>204</v>
      </c>
      <c r="L3304" s="97" t="s">
        <v>10975</v>
      </c>
      <c r="N3304" s="76" t="s">
        <v>18</v>
      </c>
      <c r="Q3304" s="76" t="s">
        <v>2142</v>
      </c>
      <c r="R3304" s="73">
        <f t="shared" si="380"/>
        <v>1</v>
      </c>
      <c r="S3304" s="260" t="s">
        <v>1976</v>
      </c>
      <c r="T3304" s="260" t="s">
        <v>923</v>
      </c>
      <c r="Y3304" s="566">
        <v>0.44545138888888891</v>
      </c>
      <c r="Z3304" s="566">
        <v>0.4921875</v>
      </c>
      <c r="AA3304" s="566">
        <f t="shared" si="377"/>
        <v>4.6736111111111089E-2</v>
      </c>
    </row>
    <row r="3305" spans="1:27" x14ac:dyDescent="0.3">
      <c r="A3305" s="79" t="s">
        <v>10728</v>
      </c>
      <c r="C3305" s="115">
        <v>44063</v>
      </c>
      <c r="D3305" s="312">
        <v>44098</v>
      </c>
      <c r="E3305" s="81">
        <v>44092</v>
      </c>
      <c r="F3305" s="86" t="s">
        <v>10837</v>
      </c>
      <c r="G3305" s="86" t="s">
        <v>9119</v>
      </c>
      <c r="H3305" s="96" t="s">
        <v>213</v>
      </c>
      <c r="I3305" s="97" t="s">
        <v>645</v>
      </c>
      <c r="J3305" s="73">
        <f t="shared" si="379"/>
        <v>1</v>
      </c>
      <c r="K3305" s="74" t="s">
        <v>204</v>
      </c>
      <c r="L3305" s="97" t="s">
        <v>7117</v>
      </c>
      <c r="N3305" s="76" t="s">
        <v>18</v>
      </c>
      <c r="Q3305" s="76" t="s">
        <v>10401</v>
      </c>
      <c r="R3305" s="73">
        <f t="shared" si="380"/>
        <v>1</v>
      </c>
      <c r="S3305" s="260" t="s">
        <v>1976</v>
      </c>
      <c r="T3305" s="260" t="s">
        <v>925</v>
      </c>
      <c r="Y3305" s="566">
        <v>0.6347800925925926</v>
      </c>
      <c r="Z3305" s="566">
        <v>0.68973379629629628</v>
      </c>
      <c r="AA3305" s="566">
        <f t="shared" si="377"/>
        <v>5.4953703703703671E-2</v>
      </c>
    </row>
    <row r="3306" spans="1:27" x14ac:dyDescent="0.3">
      <c r="A3306" s="79" t="s">
        <v>10729</v>
      </c>
      <c r="C3306" s="115">
        <v>44063</v>
      </c>
      <c r="D3306" s="312">
        <v>44098</v>
      </c>
      <c r="E3306" s="81">
        <v>44092</v>
      </c>
      <c r="F3306" s="86" t="s">
        <v>10838</v>
      </c>
      <c r="G3306" s="86" t="s">
        <v>9119</v>
      </c>
      <c r="H3306" s="79" t="s">
        <v>268</v>
      </c>
      <c r="I3306" s="97" t="s">
        <v>642</v>
      </c>
      <c r="J3306" s="73">
        <f t="shared" si="379"/>
        <v>1</v>
      </c>
      <c r="K3306" s="74" t="s">
        <v>204</v>
      </c>
      <c r="L3306" s="97" t="s">
        <v>7110</v>
      </c>
      <c r="N3306" s="76" t="s">
        <v>18</v>
      </c>
      <c r="Q3306" s="76" t="s">
        <v>10401</v>
      </c>
      <c r="R3306" s="73">
        <f t="shared" si="380"/>
        <v>1</v>
      </c>
      <c r="S3306" s="260" t="s">
        <v>1976</v>
      </c>
      <c r="T3306" s="260" t="s">
        <v>923</v>
      </c>
      <c r="Y3306" s="566">
        <v>0.69076388888888884</v>
      </c>
      <c r="Z3306" s="566">
        <v>0.69684027777777768</v>
      </c>
      <c r="AA3306" s="566">
        <f t="shared" si="377"/>
        <v>6.0763888888888395E-3</v>
      </c>
    </row>
    <row r="3307" spans="1:27" x14ac:dyDescent="0.3">
      <c r="A3307" s="79" t="s">
        <v>10730</v>
      </c>
      <c r="C3307" s="115">
        <v>44063</v>
      </c>
      <c r="D3307" s="312">
        <v>44099</v>
      </c>
      <c r="E3307" s="81">
        <v>44095</v>
      </c>
      <c r="F3307" s="86" t="s">
        <v>10839</v>
      </c>
      <c r="G3307" s="86" t="s">
        <v>9119</v>
      </c>
      <c r="H3307" s="96" t="s">
        <v>213</v>
      </c>
      <c r="I3307" s="97" t="s">
        <v>642</v>
      </c>
      <c r="J3307" s="73">
        <f t="shared" si="379"/>
        <v>1</v>
      </c>
      <c r="K3307" s="74" t="s">
        <v>204</v>
      </c>
      <c r="L3307" s="97" t="s">
        <v>7108</v>
      </c>
      <c r="N3307" s="76" t="s">
        <v>18</v>
      </c>
      <c r="Q3307" s="76" t="s">
        <v>10401</v>
      </c>
      <c r="R3307" s="73">
        <f t="shared" si="380"/>
        <v>1</v>
      </c>
      <c r="S3307" s="260" t="s">
        <v>1976</v>
      </c>
      <c r="T3307" s="260" t="s">
        <v>923</v>
      </c>
      <c r="Y3307" s="566">
        <v>0.41523148148148148</v>
      </c>
      <c r="Z3307" s="566">
        <v>0.42200231481481482</v>
      </c>
      <c r="AA3307" s="566">
        <f t="shared" ref="AA3307:AA3336" si="381">Z3307-Y3307</f>
        <v>6.770833333333337E-3</v>
      </c>
    </row>
    <row r="3308" spans="1:27" x14ac:dyDescent="0.3">
      <c r="A3308" s="79" t="s">
        <v>10731</v>
      </c>
      <c r="C3308" s="115">
        <v>44064</v>
      </c>
      <c r="D3308" s="312">
        <v>44099</v>
      </c>
      <c r="E3308" s="81">
        <v>44092</v>
      </c>
      <c r="F3308" s="86" t="s">
        <v>10840</v>
      </c>
      <c r="G3308" s="86" t="s">
        <v>164</v>
      </c>
      <c r="H3308" s="96" t="s">
        <v>213</v>
      </c>
      <c r="I3308" s="97" t="s">
        <v>642</v>
      </c>
      <c r="J3308" s="73">
        <f t="shared" si="379"/>
        <v>1</v>
      </c>
      <c r="K3308" s="74" t="s">
        <v>204</v>
      </c>
      <c r="L3308" s="97" t="s">
        <v>9653</v>
      </c>
      <c r="N3308" s="76" t="s">
        <v>18</v>
      </c>
      <c r="Q3308" s="76" t="s">
        <v>5193</v>
      </c>
      <c r="R3308" s="73">
        <f t="shared" si="380"/>
        <v>1</v>
      </c>
      <c r="S3308" s="260" t="s">
        <v>1976</v>
      </c>
      <c r="T3308" s="260" t="s">
        <v>925</v>
      </c>
      <c r="Y3308" s="566">
        <v>0.6974421296296297</v>
      </c>
      <c r="Z3308" s="566">
        <v>0.70054398148148145</v>
      </c>
      <c r="AA3308" s="566">
        <f t="shared" si="381"/>
        <v>3.1018518518517446E-3</v>
      </c>
    </row>
    <row r="3309" spans="1:27" x14ac:dyDescent="0.3">
      <c r="A3309" s="79" t="s">
        <v>10732</v>
      </c>
      <c r="C3309" s="115">
        <v>44064</v>
      </c>
      <c r="D3309" s="312">
        <v>44099</v>
      </c>
      <c r="E3309" s="81">
        <v>44092</v>
      </c>
      <c r="F3309" s="86" t="s">
        <v>10841</v>
      </c>
      <c r="G3309" s="86" t="s">
        <v>164</v>
      </c>
      <c r="H3309" s="96" t="s">
        <v>213</v>
      </c>
      <c r="I3309" s="97" t="s">
        <v>642</v>
      </c>
      <c r="J3309" s="73">
        <f t="shared" si="379"/>
        <v>1</v>
      </c>
      <c r="K3309" s="74" t="s">
        <v>204</v>
      </c>
      <c r="L3309" s="97" t="s">
        <v>10966</v>
      </c>
      <c r="N3309" s="76" t="s">
        <v>17</v>
      </c>
      <c r="Q3309" s="76" t="s">
        <v>2037</v>
      </c>
      <c r="R3309" s="73">
        <f t="shared" si="380"/>
        <v>1</v>
      </c>
      <c r="S3309" s="260" t="s">
        <v>1976</v>
      </c>
      <c r="T3309" s="260" t="s">
        <v>925</v>
      </c>
      <c r="Y3309" s="566">
        <v>0.78340277777777778</v>
      </c>
      <c r="Z3309" s="566">
        <v>0.79190972222222211</v>
      </c>
      <c r="AA3309" s="566">
        <f t="shared" si="381"/>
        <v>8.506944444444331E-3</v>
      </c>
    </row>
    <row r="3310" spans="1:27" x14ac:dyDescent="0.3">
      <c r="A3310" s="79" t="s">
        <v>10733</v>
      </c>
      <c r="C3310" s="115">
        <v>44064</v>
      </c>
      <c r="D3310" s="312">
        <v>44099</v>
      </c>
      <c r="E3310" s="81">
        <v>44095</v>
      </c>
      <c r="F3310" s="86" t="s">
        <v>10842</v>
      </c>
      <c r="G3310" s="86" t="s">
        <v>154</v>
      </c>
      <c r="H3310" s="96" t="s">
        <v>213</v>
      </c>
      <c r="I3310" s="97" t="s">
        <v>714</v>
      </c>
      <c r="J3310" s="73">
        <f t="shared" ref="J3310:J3337" si="382">IF(OR(K3310="Документы готовы",K3310="Запрос в ФО",K3310="ЭЗ",K3310="РЕШ",K3310="РЕШ шаблон"),0.1,IF(OR(K3310="ЭЗ согласование",K3310="РЕШ согласование"),0.3,IF(OR(K3310="ЭЗ согласовано",K3310="РЕШ согласовано",K3310="РЕШ подписано"),0.6,IF(OR(K3310="ЭЗ ПР согласование",K3310="РЕШ УВ согласование"),0.9,IF(OR(K3310="ЭЗ ПР DONE",K3310="РЕШ УВ DONE"),1,0)))))</f>
        <v>1</v>
      </c>
      <c r="K3310" s="74" t="s">
        <v>204</v>
      </c>
      <c r="L3310" s="97" t="s">
        <v>7072</v>
      </c>
      <c r="N3310" s="76" t="s">
        <v>18</v>
      </c>
      <c r="Q3310" s="76" t="s">
        <v>2076</v>
      </c>
      <c r="R3310" s="73">
        <f t="shared" ref="R3310:R3337" si="383">IF(S3310="В работе",0.3,IF(S3310="Отписано",0.6,IF(S3310="На доработку",0.9,IF(S3310="Согласовано",1,0))))</f>
        <v>1</v>
      </c>
      <c r="S3310" s="260" t="s">
        <v>1976</v>
      </c>
      <c r="T3310" s="260" t="s">
        <v>925</v>
      </c>
      <c r="Y3310" s="566">
        <v>0.76839120370370362</v>
      </c>
      <c r="Z3310" s="566">
        <v>0.77327546296296301</v>
      </c>
      <c r="AA3310" s="566">
        <f t="shared" si="381"/>
        <v>4.8842592592593936E-3</v>
      </c>
    </row>
    <row r="3311" spans="1:27" x14ac:dyDescent="0.3">
      <c r="A3311" s="79" t="s">
        <v>10734</v>
      </c>
      <c r="C3311" s="115">
        <v>44064</v>
      </c>
      <c r="D3311" s="312">
        <v>44099</v>
      </c>
      <c r="E3311" s="81">
        <v>44095</v>
      </c>
      <c r="F3311" s="86" t="s">
        <v>10843</v>
      </c>
      <c r="G3311" s="86" t="s">
        <v>154</v>
      </c>
      <c r="H3311" s="96" t="s">
        <v>213</v>
      </c>
      <c r="I3311" s="97" t="s">
        <v>722</v>
      </c>
      <c r="J3311" s="73">
        <f t="shared" si="382"/>
        <v>1</v>
      </c>
      <c r="K3311" s="74" t="s">
        <v>204</v>
      </c>
      <c r="L3311" s="97" t="s">
        <v>9001</v>
      </c>
      <c r="N3311" s="76" t="s">
        <v>18</v>
      </c>
      <c r="Q3311" s="76" t="s">
        <v>2142</v>
      </c>
      <c r="R3311" s="73">
        <f t="shared" si="383"/>
        <v>1</v>
      </c>
      <c r="S3311" s="260" t="s">
        <v>1976</v>
      </c>
      <c r="T3311" s="260" t="s">
        <v>923</v>
      </c>
      <c r="Y3311" s="566">
        <v>0.54673611111111109</v>
      </c>
      <c r="Z3311" s="566">
        <v>0.55355324074074075</v>
      </c>
      <c r="AA3311" s="566">
        <f t="shared" si="381"/>
        <v>6.8171296296296591E-3</v>
      </c>
    </row>
    <row r="3312" spans="1:27" x14ac:dyDescent="0.3">
      <c r="A3312" s="79" t="s">
        <v>10735</v>
      </c>
      <c r="C3312" s="115">
        <v>44064</v>
      </c>
      <c r="D3312" s="312">
        <v>44099</v>
      </c>
      <c r="E3312" s="81">
        <v>44092</v>
      </c>
      <c r="F3312" s="86" t="s">
        <v>10844</v>
      </c>
      <c r="G3312" s="86" t="s">
        <v>150</v>
      </c>
      <c r="H3312" s="96" t="s">
        <v>213</v>
      </c>
      <c r="I3312" s="97" t="s">
        <v>714</v>
      </c>
      <c r="J3312" s="73">
        <f t="shared" si="382"/>
        <v>1</v>
      </c>
      <c r="K3312" s="74" t="s">
        <v>204</v>
      </c>
      <c r="L3312" s="97" t="s">
        <v>7336</v>
      </c>
      <c r="N3312" s="76" t="s">
        <v>18</v>
      </c>
      <c r="Q3312" s="76" t="s">
        <v>5193</v>
      </c>
      <c r="R3312" s="73">
        <f t="shared" si="383"/>
        <v>1</v>
      </c>
      <c r="S3312" s="260" t="s">
        <v>1976</v>
      </c>
      <c r="T3312" s="260" t="s">
        <v>923</v>
      </c>
      <c r="Y3312" s="566">
        <v>0.70092592592592595</v>
      </c>
      <c r="Z3312" s="566">
        <v>0.7053124999999999</v>
      </c>
      <c r="AA3312" s="566">
        <f t="shared" si="381"/>
        <v>4.3865740740739456E-3</v>
      </c>
    </row>
    <row r="3313" spans="1:27" x14ac:dyDescent="0.3">
      <c r="A3313" s="79" t="s">
        <v>10736</v>
      </c>
      <c r="C3313" s="115">
        <v>44064</v>
      </c>
      <c r="D3313" s="312">
        <v>44099</v>
      </c>
      <c r="E3313" s="81">
        <v>44092</v>
      </c>
      <c r="F3313" s="86" t="s">
        <v>10845</v>
      </c>
      <c r="G3313" s="86" t="s">
        <v>150</v>
      </c>
      <c r="H3313" s="96" t="s">
        <v>213</v>
      </c>
      <c r="I3313" s="97" t="s">
        <v>722</v>
      </c>
      <c r="J3313" s="73">
        <f t="shared" si="382"/>
        <v>1</v>
      </c>
      <c r="K3313" s="74" t="s">
        <v>204</v>
      </c>
      <c r="L3313" s="97" t="s">
        <v>10967</v>
      </c>
      <c r="N3313" s="76" t="s">
        <v>18</v>
      </c>
      <c r="Q3313" s="76" t="s">
        <v>2037</v>
      </c>
      <c r="R3313" s="73">
        <f t="shared" si="383"/>
        <v>1</v>
      </c>
      <c r="S3313" s="260" t="s">
        <v>1976</v>
      </c>
      <c r="T3313" s="260" t="s">
        <v>925</v>
      </c>
      <c r="Y3313" s="566">
        <v>0.79243055555555564</v>
      </c>
      <c r="Z3313" s="566">
        <v>0.79787037037037034</v>
      </c>
      <c r="AA3313" s="566">
        <f t="shared" si="381"/>
        <v>5.439814814814703E-3</v>
      </c>
    </row>
    <row r="3314" spans="1:27" x14ac:dyDescent="0.3">
      <c r="A3314" s="79" t="s">
        <v>10737</v>
      </c>
      <c r="C3314" s="115">
        <v>44064</v>
      </c>
      <c r="D3314" s="312">
        <v>44099</v>
      </c>
      <c r="E3314" s="81">
        <v>44095</v>
      </c>
      <c r="F3314" s="86" t="s">
        <v>10846</v>
      </c>
      <c r="G3314" s="86" t="s">
        <v>147</v>
      </c>
      <c r="H3314" s="96" t="s">
        <v>213</v>
      </c>
      <c r="I3314" s="97" t="s">
        <v>854</v>
      </c>
      <c r="J3314" s="73">
        <f t="shared" si="382"/>
        <v>1</v>
      </c>
      <c r="K3314" s="74" t="s">
        <v>204</v>
      </c>
      <c r="L3314" s="97" t="s">
        <v>10979</v>
      </c>
      <c r="N3314" s="76" t="s">
        <v>17</v>
      </c>
      <c r="Q3314" s="76" t="s">
        <v>2142</v>
      </c>
      <c r="R3314" s="73">
        <f t="shared" si="383"/>
        <v>1</v>
      </c>
      <c r="S3314" s="260" t="s">
        <v>1976</v>
      </c>
      <c r="T3314" s="260" t="s">
        <v>925</v>
      </c>
      <c r="U3314" s="76" t="s">
        <v>5283</v>
      </c>
      <c r="V3314" s="301" t="s">
        <v>10980</v>
      </c>
      <c r="Y3314" s="566">
        <v>0.5546875</v>
      </c>
      <c r="Z3314" s="566">
        <v>0.56510416666666663</v>
      </c>
      <c r="AA3314" s="566">
        <f t="shared" si="381"/>
        <v>1.041666666666663E-2</v>
      </c>
    </row>
    <row r="3315" spans="1:27" x14ac:dyDescent="0.3">
      <c r="A3315" s="79" t="s">
        <v>10738</v>
      </c>
      <c r="C3315" s="115">
        <v>44064</v>
      </c>
      <c r="D3315" s="312">
        <v>44099</v>
      </c>
      <c r="E3315" s="81">
        <v>44095</v>
      </c>
      <c r="F3315" s="86" t="s">
        <v>10847</v>
      </c>
      <c r="G3315" s="86" t="s">
        <v>9119</v>
      </c>
      <c r="H3315" s="96" t="s">
        <v>213</v>
      </c>
      <c r="I3315" s="97" t="s">
        <v>714</v>
      </c>
      <c r="J3315" s="73">
        <f t="shared" si="382"/>
        <v>1</v>
      </c>
      <c r="K3315" s="74" t="s">
        <v>204</v>
      </c>
      <c r="L3315" s="97" t="s">
        <v>7071</v>
      </c>
      <c r="N3315" s="76" t="s">
        <v>18</v>
      </c>
      <c r="Q3315" s="76" t="s">
        <v>2076</v>
      </c>
      <c r="R3315" s="73">
        <f t="shared" si="383"/>
        <v>1</v>
      </c>
      <c r="S3315" s="260" t="s">
        <v>1976</v>
      </c>
      <c r="T3315" s="260" t="s">
        <v>925</v>
      </c>
      <c r="Y3315" s="566">
        <v>0.76061342592592596</v>
      </c>
      <c r="Z3315" s="566">
        <v>0.76799768518518519</v>
      </c>
      <c r="AA3315" s="566">
        <f t="shared" si="381"/>
        <v>7.3842592592592293E-3</v>
      </c>
    </row>
    <row r="3316" spans="1:27" x14ac:dyDescent="0.3">
      <c r="A3316" s="96" t="s">
        <v>10739</v>
      </c>
      <c r="C3316" s="115">
        <v>44071</v>
      </c>
      <c r="D3316" s="312">
        <v>44095</v>
      </c>
      <c r="E3316" s="81">
        <v>44088</v>
      </c>
      <c r="F3316" s="86" t="s">
        <v>10848</v>
      </c>
      <c r="G3316" s="86" t="s">
        <v>150</v>
      </c>
      <c r="H3316" s="96" t="s">
        <v>213</v>
      </c>
      <c r="I3316" s="97" t="s">
        <v>649</v>
      </c>
      <c r="J3316" s="73">
        <f t="shared" si="382"/>
        <v>1</v>
      </c>
      <c r="K3316" s="74" t="s">
        <v>204</v>
      </c>
      <c r="L3316" s="97" t="s">
        <v>7060</v>
      </c>
      <c r="N3316" s="76" t="s">
        <v>17</v>
      </c>
      <c r="Q3316" s="76" t="s">
        <v>5193</v>
      </c>
      <c r="R3316" s="73">
        <f t="shared" si="383"/>
        <v>1</v>
      </c>
      <c r="S3316" s="260" t="s">
        <v>1976</v>
      </c>
      <c r="T3316" s="260" t="s">
        <v>923</v>
      </c>
      <c r="Y3316" s="566">
        <v>0.93244212962962969</v>
      </c>
      <c r="Z3316" s="566">
        <v>0.9434027777777777</v>
      </c>
      <c r="AA3316" s="566">
        <f t="shared" si="381"/>
        <v>1.0960648148148011E-2</v>
      </c>
    </row>
    <row r="3317" spans="1:27" x14ac:dyDescent="0.3">
      <c r="A3317" s="79" t="s">
        <v>10740</v>
      </c>
      <c r="C3317" s="115">
        <v>44071</v>
      </c>
      <c r="D3317" s="312">
        <v>44095</v>
      </c>
      <c r="E3317" s="81">
        <v>44090</v>
      </c>
      <c r="F3317" s="86" t="s">
        <v>10849</v>
      </c>
      <c r="G3317" s="86" t="s">
        <v>152</v>
      </c>
      <c r="H3317" s="96" t="s">
        <v>213</v>
      </c>
      <c r="I3317" s="97" t="s">
        <v>7856</v>
      </c>
      <c r="J3317" s="73">
        <f t="shared" si="382"/>
        <v>1</v>
      </c>
      <c r="K3317" s="74" t="s">
        <v>204</v>
      </c>
      <c r="L3317" s="97" t="s">
        <v>10930</v>
      </c>
      <c r="N3317" s="76" t="s">
        <v>19</v>
      </c>
      <c r="Q3317" s="76" t="s">
        <v>10401</v>
      </c>
      <c r="R3317" s="73">
        <f t="shared" si="383"/>
        <v>1</v>
      </c>
      <c r="S3317" s="260" t="s">
        <v>1976</v>
      </c>
      <c r="T3317" s="260" t="s">
        <v>923</v>
      </c>
      <c r="Y3317" s="566">
        <v>0.50206018518518525</v>
      </c>
      <c r="Z3317" s="566">
        <v>0.50809027777777771</v>
      </c>
      <c r="AA3317" s="566">
        <f t="shared" si="381"/>
        <v>6.030092592592462E-3</v>
      </c>
    </row>
    <row r="3318" spans="1:27" x14ac:dyDescent="0.3">
      <c r="A3318" s="79" t="s">
        <v>10741</v>
      </c>
      <c r="C3318" s="115">
        <v>44074</v>
      </c>
      <c r="D3318" s="312">
        <v>44096</v>
      </c>
      <c r="E3318" s="81">
        <v>44090</v>
      </c>
      <c r="F3318" s="86" t="s">
        <v>10850</v>
      </c>
      <c r="G3318" s="86" t="s">
        <v>154</v>
      </c>
      <c r="H3318" s="96" t="s">
        <v>213</v>
      </c>
      <c r="I3318" s="97" t="s">
        <v>7870</v>
      </c>
      <c r="J3318" s="73">
        <f t="shared" si="382"/>
        <v>1</v>
      </c>
      <c r="K3318" s="74" t="s">
        <v>204</v>
      </c>
      <c r="L3318" s="97" t="s">
        <v>10934</v>
      </c>
      <c r="N3318" s="76" t="s">
        <v>18</v>
      </c>
      <c r="Q3318" s="76" t="s">
        <v>10401</v>
      </c>
      <c r="R3318" s="73">
        <f t="shared" si="383"/>
        <v>1</v>
      </c>
      <c r="S3318" s="260" t="s">
        <v>1976</v>
      </c>
      <c r="T3318" s="260" t="s">
        <v>925</v>
      </c>
      <c r="Y3318" s="566">
        <v>0.53119212962962969</v>
      </c>
      <c r="Z3318" s="566">
        <v>0.61236111111111113</v>
      </c>
      <c r="AA3318" s="566">
        <f t="shared" si="381"/>
        <v>8.1168981481481439E-2</v>
      </c>
    </row>
    <row r="3319" spans="1:27" x14ac:dyDescent="0.3">
      <c r="A3319" s="79" t="s">
        <v>10742</v>
      </c>
      <c r="C3319" s="115">
        <v>44074</v>
      </c>
      <c r="D3319" s="312">
        <v>44095</v>
      </c>
      <c r="E3319" s="81">
        <v>44088</v>
      </c>
      <c r="F3319" s="86" t="s">
        <v>10851</v>
      </c>
      <c r="G3319" s="86" t="s">
        <v>156</v>
      </c>
      <c r="H3319" s="96" t="s">
        <v>213</v>
      </c>
      <c r="I3319" s="97" t="s">
        <v>649</v>
      </c>
      <c r="J3319" s="73">
        <f t="shared" si="382"/>
        <v>1</v>
      </c>
      <c r="K3319" s="74" t="s">
        <v>204</v>
      </c>
      <c r="L3319" s="97" t="s">
        <v>7065</v>
      </c>
      <c r="N3319" s="76" t="s">
        <v>18</v>
      </c>
      <c r="Q3319" s="76" t="s">
        <v>2037</v>
      </c>
      <c r="R3319" s="73">
        <f t="shared" si="383"/>
        <v>1</v>
      </c>
      <c r="S3319" s="260" t="s">
        <v>1976</v>
      </c>
      <c r="T3319" s="260" t="s">
        <v>923</v>
      </c>
      <c r="Y3319" s="566">
        <v>0.96320601851851861</v>
      </c>
      <c r="Z3319" s="566">
        <v>0.97091435185185182</v>
      </c>
      <c r="AA3319" s="566">
        <f t="shared" si="381"/>
        <v>7.708333333333206E-3</v>
      </c>
    </row>
    <row r="3320" spans="1:27" x14ac:dyDescent="0.3">
      <c r="A3320" s="79" t="s">
        <v>10743</v>
      </c>
      <c r="C3320" s="115">
        <v>44074</v>
      </c>
      <c r="D3320" s="312">
        <v>44095</v>
      </c>
      <c r="E3320" s="81">
        <v>44088</v>
      </c>
      <c r="F3320" s="86" t="s">
        <v>10852</v>
      </c>
      <c r="G3320" s="86" t="s">
        <v>172</v>
      </c>
      <c r="H3320" s="96" t="s">
        <v>213</v>
      </c>
      <c r="I3320" s="97" t="s">
        <v>649</v>
      </c>
      <c r="J3320" s="73">
        <f t="shared" si="382"/>
        <v>1</v>
      </c>
      <c r="K3320" s="74" t="s">
        <v>204</v>
      </c>
      <c r="L3320" s="97" t="s">
        <v>7915</v>
      </c>
      <c r="N3320" s="76" t="s">
        <v>17</v>
      </c>
      <c r="Q3320" s="76" t="s">
        <v>5193</v>
      </c>
      <c r="R3320" s="73">
        <f t="shared" si="383"/>
        <v>1</v>
      </c>
      <c r="S3320" s="260" t="s">
        <v>1976</v>
      </c>
      <c r="T3320" s="260" t="s">
        <v>925</v>
      </c>
      <c r="Y3320" s="566">
        <v>0.94486111111111104</v>
      </c>
      <c r="Z3320" s="566">
        <v>0.95570601851851855</v>
      </c>
      <c r="AA3320" s="566">
        <f t="shared" si="381"/>
        <v>1.0844907407407511E-2</v>
      </c>
    </row>
    <row r="3321" spans="1:27" x14ac:dyDescent="0.3">
      <c r="A3321" s="79" t="s">
        <v>10744</v>
      </c>
      <c r="C3321" s="115">
        <v>44074</v>
      </c>
      <c r="D3321" s="312">
        <v>44096</v>
      </c>
      <c r="E3321" s="81">
        <v>44090</v>
      </c>
      <c r="F3321" s="86" t="s">
        <v>10853</v>
      </c>
      <c r="G3321" s="86" t="s">
        <v>150</v>
      </c>
      <c r="H3321" s="96" t="s">
        <v>213</v>
      </c>
      <c r="J3321" s="73">
        <f t="shared" si="382"/>
        <v>1</v>
      </c>
      <c r="K3321" s="74" t="s">
        <v>204</v>
      </c>
      <c r="L3321" s="97" t="s">
        <v>10930</v>
      </c>
      <c r="N3321" s="76" t="s">
        <v>19</v>
      </c>
      <c r="Q3321" s="76" t="s">
        <v>2037</v>
      </c>
      <c r="R3321" s="73">
        <f t="shared" si="383"/>
        <v>1</v>
      </c>
      <c r="S3321" s="260" t="s">
        <v>1976</v>
      </c>
      <c r="T3321" s="260" t="s">
        <v>925</v>
      </c>
      <c r="Y3321" s="566">
        <v>0.6161226851851852</v>
      </c>
      <c r="Z3321" s="566">
        <v>0.63163194444444448</v>
      </c>
      <c r="AA3321" s="566">
        <f t="shared" si="381"/>
        <v>1.5509259259259278E-2</v>
      </c>
    </row>
    <row r="3322" spans="1:27" x14ac:dyDescent="0.3">
      <c r="A3322" s="79" t="s">
        <v>10745</v>
      </c>
      <c r="C3322" s="115">
        <v>44074</v>
      </c>
      <c r="D3322" s="312">
        <v>44096</v>
      </c>
      <c r="E3322" s="81">
        <v>44091</v>
      </c>
      <c r="F3322" s="86" t="s">
        <v>10854</v>
      </c>
      <c r="G3322" s="86" t="s">
        <v>152</v>
      </c>
      <c r="H3322" s="96" t="s">
        <v>213</v>
      </c>
      <c r="I3322" s="97" t="s">
        <v>604</v>
      </c>
      <c r="J3322" s="73">
        <f t="shared" si="382"/>
        <v>1</v>
      </c>
      <c r="K3322" s="74" t="s">
        <v>204</v>
      </c>
      <c r="L3322" s="97" t="s">
        <v>10952</v>
      </c>
      <c r="N3322" s="76" t="s">
        <v>18</v>
      </c>
      <c r="Q3322" s="76" t="s">
        <v>2142</v>
      </c>
      <c r="R3322" s="73">
        <f t="shared" si="383"/>
        <v>1</v>
      </c>
      <c r="S3322" s="260" t="s">
        <v>1976</v>
      </c>
      <c r="T3322" s="260" t="s">
        <v>923</v>
      </c>
      <c r="Y3322" s="566">
        <v>0.55091435185185189</v>
      </c>
      <c r="Z3322" s="566">
        <v>0.58187500000000003</v>
      </c>
      <c r="AA3322" s="566">
        <f t="shared" si="381"/>
        <v>3.096064814814814E-2</v>
      </c>
    </row>
    <row r="3323" spans="1:27" x14ac:dyDescent="0.3">
      <c r="A3323" s="79" t="s">
        <v>10746</v>
      </c>
      <c r="C3323" s="115">
        <v>44074</v>
      </c>
      <c r="D3323" s="312">
        <v>44095</v>
      </c>
      <c r="E3323" s="81">
        <v>44089</v>
      </c>
      <c r="F3323" s="86" t="s">
        <v>10855</v>
      </c>
      <c r="G3323" s="86" t="s">
        <v>150</v>
      </c>
      <c r="H3323" s="79" t="s">
        <v>268</v>
      </c>
      <c r="I3323" s="97" t="s">
        <v>2729</v>
      </c>
      <c r="J3323" s="73">
        <f t="shared" si="382"/>
        <v>1</v>
      </c>
      <c r="K3323" s="74" t="s">
        <v>204</v>
      </c>
      <c r="L3323" s="97" t="s">
        <v>10915</v>
      </c>
      <c r="N3323" s="76" t="s">
        <v>19</v>
      </c>
      <c r="Q3323" s="76" t="s">
        <v>2142</v>
      </c>
      <c r="R3323" s="73">
        <f t="shared" si="383"/>
        <v>1</v>
      </c>
      <c r="S3323" s="260" t="s">
        <v>1976</v>
      </c>
      <c r="T3323" s="260" t="s">
        <v>925</v>
      </c>
      <c r="Y3323" s="566">
        <v>0.50708333333333333</v>
      </c>
      <c r="Z3323" s="566">
        <v>0.51209490740740737</v>
      </c>
      <c r="AA3323" s="566">
        <f t="shared" si="381"/>
        <v>5.0115740740740433E-3</v>
      </c>
    </row>
    <row r="3324" spans="1:27" x14ac:dyDescent="0.3">
      <c r="A3324" s="79" t="s">
        <v>10747</v>
      </c>
      <c r="C3324" s="115">
        <v>44074</v>
      </c>
      <c r="D3324" s="312">
        <v>44095</v>
      </c>
      <c r="E3324" s="81">
        <v>44092</v>
      </c>
      <c r="F3324" s="86" t="s">
        <v>10856</v>
      </c>
      <c r="G3324" s="86" t="s">
        <v>157</v>
      </c>
      <c r="H3324" s="96" t="s">
        <v>213</v>
      </c>
      <c r="I3324" s="97" t="s">
        <v>649</v>
      </c>
      <c r="J3324" s="73">
        <f t="shared" si="382"/>
        <v>1</v>
      </c>
      <c r="K3324" s="74" t="s">
        <v>204</v>
      </c>
      <c r="L3324" s="97" t="s">
        <v>7060</v>
      </c>
      <c r="N3324" s="76" t="s">
        <v>17</v>
      </c>
      <c r="Q3324" s="76" t="s">
        <v>2142</v>
      </c>
      <c r="R3324" s="73">
        <f t="shared" si="383"/>
        <v>1</v>
      </c>
      <c r="S3324" s="260" t="s">
        <v>1976</v>
      </c>
      <c r="T3324" s="260" t="s">
        <v>925</v>
      </c>
      <c r="Y3324" s="566">
        <v>0.54788194444444438</v>
      </c>
      <c r="Z3324" s="566">
        <v>0.56836805555555558</v>
      </c>
      <c r="AA3324" s="566">
        <f t="shared" si="381"/>
        <v>2.0486111111111205E-2</v>
      </c>
    </row>
    <row r="3325" spans="1:27" x14ac:dyDescent="0.3">
      <c r="A3325" s="96" t="s">
        <v>10748</v>
      </c>
      <c r="C3325" s="115">
        <v>44074</v>
      </c>
      <c r="D3325" s="312">
        <v>44096</v>
      </c>
      <c r="E3325" s="81">
        <v>44091</v>
      </c>
      <c r="F3325" s="86" t="s">
        <v>10857</v>
      </c>
      <c r="G3325" s="86" t="s">
        <v>150</v>
      </c>
      <c r="H3325" s="96" t="s">
        <v>213</v>
      </c>
      <c r="I3325" s="97" t="s">
        <v>649</v>
      </c>
      <c r="J3325" s="73">
        <f t="shared" si="382"/>
        <v>1</v>
      </c>
      <c r="K3325" s="74" t="s">
        <v>204</v>
      </c>
      <c r="L3325" s="97" t="s">
        <v>10947</v>
      </c>
      <c r="N3325" s="76" t="s">
        <v>17</v>
      </c>
      <c r="Q3325" s="76" t="s">
        <v>5193</v>
      </c>
      <c r="R3325" s="73">
        <f t="shared" si="383"/>
        <v>1</v>
      </c>
      <c r="S3325" s="260" t="s">
        <v>1976</v>
      </c>
      <c r="T3325" s="260" t="s">
        <v>925</v>
      </c>
      <c r="U3325" s="301" t="s">
        <v>5283</v>
      </c>
      <c r="V3325" s="301" t="s">
        <v>10946</v>
      </c>
      <c r="Y3325" s="566">
        <v>0.40803240740740737</v>
      </c>
      <c r="Z3325" s="566">
        <v>0.42237268518518517</v>
      </c>
      <c r="AA3325" s="566">
        <f t="shared" si="381"/>
        <v>1.4340277777777799E-2</v>
      </c>
    </row>
    <row r="3326" spans="1:27" x14ac:dyDescent="0.3">
      <c r="A3326" s="79" t="s">
        <v>10749</v>
      </c>
      <c r="C3326" s="115">
        <v>44074</v>
      </c>
      <c r="D3326" s="312">
        <v>44095</v>
      </c>
      <c r="E3326" s="81">
        <v>44089</v>
      </c>
      <c r="F3326" s="86" t="s">
        <v>10858</v>
      </c>
      <c r="G3326" s="86" t="s">
        <v>156</v>
      </c>
      <c r="H3326" s="96" t="s">
        <v>213</v>
      </c>
      <c r="I3326" s="97" t="s">
        <v>649</v>
      </c>
      <c r="J3326" s="73">
        <f t="shared" si="382"/>
        <v>1</v>
      </c>
      <c r="K3326" s="74" t="s">
        <v>204</v>
      </c>
      <c r="L3326" s="97" t="s">
        <v>7060</v>
      </c>
      <c r="N3326" s="76" t="s">
        <v>17</v>
      </c>
      <c r="Q3326" s="76" t="s">
        <v>2076</v>
      </c>
      <c r="R3326" s="73">
        <f t="shared" si="383"/>
        <v>1</v>
      </c>
      <c r="S3326" s="260" t="s">
        <v>1976</v>
      </c>
      <c r="T3326" s="260" t="s">
        <v>923</v>
      </c>
      <c r="Y3326" s="566">
        <v>0.69444444444444453</v>
      </c>
      <c r="Z3326" s="566">
        <v>0.70986111111111105</v>
      </c>
      <c r="AA3326" s="566">
        <f t="shared" si="381"/>
        <v>1.5416666666666523E-2</v>
      </c>
    </row>
    <row r="3327" spans="1:27" x14ac:dyDescent="0.3">
      <c r="A3327" s="79" t="s">
        <v>10750</v>
      </c>
      <c r="C3327" s="115">
        <v>44074</v>
      </c>
      <c r="D3327" s="312">
        <v>44095</v>
      </c>
      <c r="E3327" s="81">
        <v>44088</v>
      </c>
      <c r="F3327" s="86" t="s">
        <v>10859</v>
      </c>
      <c r="G3327" s="86" t="s">
        <v>147</v>
      </c>
      <c r="H3327" s="96" t="s">
        <v>213</v>
      </c>
      <c r="I3327" s="97" t="s">
        <v>649</v>
      </c>
      <c r="J3327" s="73">
        <f t="shared" si="382"/>
        <v>1</v>
      </c>
      <c r="K3327" s="74" t="s">
        <v>204</v>
      </c>
      <c r="L3327" s="97" t="s">
        <v>10901</v>
      </c>
      <c r="N3327" s="76" t="s">
        <v>18</v>
      </c>
      <c r="Q3327" s="76" t="s">
        <v>2037</v>
      </c>
      <c r="R3327" s="73">
        <f t="shared" si="383"/>
        <v>1</v>
      </c>
      <c r="S3327" s="260" t="s">
        <v>1976</v>
      </c>
      <c r="T3327" s="260" t="s">
        <v>925</v>
      </c>
      <c r="Y3327" s="566">
        <v>0.38731481481481483</v>
      </c>
      <c r="Z3327" s="566">
        <v>0.3948726851851852</v>
      </c>
      <c r="AA3327" s="566">
        <f t="shared" si="381"/>
        <v>7.5578703703703676E-3</v>
      </c>
    </row>
    <row r="3328" spans="1:27" x14ac:dyDescent="0.3">
      <c r="A3328" s="96" t="s">
        <v>10751</v>
      </c>
      <c r="C3328" s="115">
        <v>44074</v>
      </c>
      <c r="D3328" s="312">
        <v>44095</v>
      </c>
      <c r="E3328" s="81">
        <v>44089</v>
      </c>
      <c r="F3328" s="86" t="s">
        <v>10860</v>
      </c>
      <c r="G3328" s="86" t="s">
        <v>150</v>
      </c>
      <c r="H3328" s="96" t="s">
        <v>213</v>
      </c>
      <c r="I3328" s="97" t="s">
        <v>7870</v>
      </c>
      <c r="J3328" s="73">
        <f t="shared" si="382"/>
        <v>1</v>
      </c>
      <c r="K3328" s="74" t="s">
        <v>204</v>
      </c>
      <c r="L3328" s="97" t="s">
        <v>10925</v>
      </c>
      <c r="N3328" s="76" t="s">
        <v>18</v>
      </c>
      <c r="Q3328" s="76" t="s">
        <v>2142</v>
      </c>
      <c r="R3328" s="73">
        <f t="shared" si="383"/>
        <v>1</v>
      </c>
      <c r="S3328" s="260" t="s">
        <v>1976</v>
      </c>
      <c r="T3328" s="260" t="s">
        <v>923</v>
      </c>
      <c r="U3328" s="76" t="s">
        <v>5283</v>
      </c>
      <c r="V3328" s="301" t="s">
        <v>10924</v>
      </c>
      <c r="X3328" s="301" t="s">
        <v>10937</v>
      </c>
      <c r="Y3328" s="566">
        <v>0.61633101851851857</v>
      </c>
      <c r="Z3328" s="566">
        <v>0.65787037037037044</v>
      </c>
      <c r="AA3328" s="566">
        <f t="shared" si="381"/>
        <v>4.1539351851851869E-2</v>
      </c>
    </row>
    <row r="3329" spans="1:27" x14ac:dyDescent="0.3">
      <c r="A3329" s="79" t="s">
        <v>10752</v>
      </c>
      <c r="C3329" s="115">
        <v>44075</v>
      </c>
      <c r="D3329" s="312">
        <v>44096</v>
      </c>
      <c r="E3329" s="81">
        <v>44089</v>
      </c>
      <c r="F3329" s="86" t="s">
        <v>10861</v>
      </c>
      <c r="G3329" s="86" t="s">
        <v>166</v>
      </c>
      <c r="H3329" s="96" t="s">
        <v>213</v>
      </c>
      <c r="I3329" s="97" t="s">
        <v>3150</v>
      </c>
      <c r="J3329" s="73">
        <f t="shared" si="382"/>
        <v>1</v>
      </c>
      <c r="K3329" s="74" t="s">
        <v>204</v>
      </c>
      <c r="L3329" s="97" t="s">
        <v>10920</v>
      </c>
      <c r="N3329" s="76" t="s">
        <v>18</v>
      </c>
      <c r="Q3329" s="76" t="s">
        <v>2037</v>
      </c>
      <c r="R3329" s="73">
        <f t="shared" si="383"/>
        <v>1</v>
      </c>
      <c r="S3329" s="260" t="s">
        <v>1976</v>
      </c>
      <c r="T3329" s="260" t="s">
        <v>925</v>
      </c>
      <c r="U3329" s="76" t="s">
        <v>5283</v>
      </c>
      <c r="V3329" s="301" t="s">
        <v>10921</v>
      </c>
      <c r="Y3329" s="566">
        <v>0.54613425925925929</v>
      </c>
      <c r="Z3329" s="566">
        <v>0.55353009259259256</v>
      </c>
      <c r="AA3329" s="566">
        <f t="shared" si="381"/>
        <v>7.3958333333332682E-3</v>
      </c>
    </row>
    <row r="3330" spans="1:27" x14ac:dyDescent="0.3">
      <c r="A3330" s="79" t="s">
        <v>10753</v>
      </c>
      <c r="C3330" s="115">
        <v>44075</v>
      </c>
      <c r="D3330" s="312">
        <v>44096</v>
      </c>
      <c r="E3330" s="81">
        <v>44090</v>
      </c>
      <c r="F3330" s="86" t="s">
        <v>10862</v>
      </c>
      <c r="G3330" s="86" t="s">
        <v>147</v>
      </c>
      <c r="H3330" s="96" t="s">
        <v>213</v>
      </c>
      <c r="I3330" s="97" t="s">
        <v>722</v>
      </c>
      <c r="J3330" s="73">
        <f t="shared" si="382"/>
        <v>1</v>
      </c>
      <c r="K3330" s="74" t="s">
        <v>204</v>
      </c>
      <c r="L3330" s="97" t="s">
        <v>7322</v>
      </c>
      <c r="N3330" s="76" t="s">
        <v>18</v>
      </c>
      <c r="Q3330" s="76" t="s">
        <v>2076</v>
      </c>
      <c r="R3330" s="73">
        <f t="shared" si="383"/>
        <v>1</v>
      </c>
      <c r="S3330" s="260" t="s">
        <v>1976</v>
      </c>
      <c r="T3330" s="260" t="s">
        <v>923</v>
      </c>
      <c r="Y3330" s="566">
        <v>0.66138888888888892</v>
      </c>
      <c r="Z3330" s="566">
        <v>0.69011574074074078</v>
      </c>
      <c r="AA3330" s="566">
        <f t="shared" si="381"/>
        <v>2.8726851851851865E-2</v>
      </c>
    </row>
    <row r="3331" spans="1:27" x14ac:dyDescent="0.3">
      <c r="A3331" s="79" t="s">
        <v>10754</v>
      </c>
      <c r="C3331" s="115">
        <v>44075</v>
      </c>
      <c r="D3331" s="312">
        <v>44096</v>
      </c>
      <c r="E3331" s="81">
        <v>44090</v>
      </c>
      <c r="F3331" s="86" t="s">
        <v>10863</v>
      </c>
      <c r="G3331" s="86" t="s">
        <v>152</v>
      </c>
      <c r="H3331" s="96" t="s">
        <v>213</v>
      </c>
      <c r="I3331" s="97" t="s">
        <v>10931</v>
      </c>
      <c r="J3331" s="73">
        <f t="shared" si="382"/>
        <v>1</v>
      </c>
      <c r="K3331" s="74" t="s">
        <v>204</v>
      </c>
      <c r="L3331" s="97" t="s">
        <v>10932</v>
      </c>
      <c r="N3331" s="76" t="s">
        <v>18</v>
      </c>
      <c r="Q3331" s="76" t="s">
        <v>2037</v>
      </c>
      <c r="R3331" s="73">
        <f t="shared" si="383"/>
        <v>1</v>
      </c>
      <c r="S3331" s="260" t="s">
        <v>1976</v>
      </c>
      <c r="T3331" s="260" t="s">
        <v>925</v>
      </c>
      <c r="U3331" s="76" t="s">
        <v>5283</v>
      </c>
      <c r="V3331" s="301" t="s">
        <v>10933</v>
      </c>
      <c r="Y3331" s="566">
        <v>0.50858796296296294</v>
      </c>
      <c r="Z3331" s="566">
        <v>0.51834490740740746</v>
      </c>
      <c r="AA3331" s="566">
        <f t="shared" si="381"/>
        <v>9.7569444444445264E-3</v>
      </c>
    </row>
    <row r="3332" spans="1:27" x14ac:dyDescent="0.3">
      <c r="A3332" s="79" t="s">
        <v>10755</v>
      </c>
      <c r="C3332" s="115">
        <v>44075</v>
      </c>
      <c r="D3332" s="312">
        <v>44096</v>
      </c>
      <c r="E3332" s="81">
        <v>44091</v>
      </c>
      <c r="F3332" s="86" t="s">
        <v>10864</v>
      </c>
      <c r="G3332" s="86" t="s">
        <v>152</v>
      </c>
      <c r="H3332" s="96" t="s">
        <v>213</v>
      </c>
      <c r="I3332" s="97" t="s">
        <v>683</v>
      </c>
      <c r="J3332" s="73">
        <f t="shared" si="382"/>
        <v>1</v>
      </c>
      <c r="K3332" s="74" t="s">
        <v>204</v>
      </c>
      <c r="L3332" s="97" t="s">
        <v>10953</v>
      </c>
      <c r="N3332" s="76" t="s">
        <v>19</v>
      </c>
      <c r="Q3332" s="76" t="s">
        <v>2142</v>
      </c>
      <c r="R3332" s="73">
        <f t="shared" si="383"/>
        <v>1</v>
      </c>
      <c r="S3332" s="260" t="s">
        <v>1976</v>
      </c>
      <c r="T3332" s="260" t="s">
        <v>925</v>
      </c>
      <c r="Y3332" s="566">
        <v>0.58895833333333336</v>
      </c>
      <c r="Z3332" s="566">
        <v>0.59623842592592591</v>
      </c>
      <c r="AA3332" s="566">
        <f t="shared" si="381"/>
        <v>7.2800925925925464E-3</v>
      </c>
    </row>
    <row r="3333" spans="1:27" x14ac:dyDescent="0.3">
      <c r="A3333" s="79" t="s">
        <v>10756</v>
      </c>
      <c r="C3333" s="115">
        <v>44075</v>
      </c>
      <c r="D3333" s="312">
        <v>44096</v>
      </c>
      <c r="E3333" s="81">
        <v>44090</v>
      </c>
      <c r="F3333" s="86" t="s">
        <v>10865</v>
      </c>
      <c r="G3333" s="86" t="s">
        <v>152</v>
      </c>
      <c r="H3333" s="96" t="s">
        <v>213</v>
      </c>
      <c r="I3333" s="97" t="s">
        <v>649</v>
      </c>
      <c r="J3333" s="73">
        <f t="shared" si="382"/>
        <v>1</v>
      </c>
      <c r="K3333" s="74" t="s">
        <v>204</v>
      </c>
      <c r="L3333" s="97" t="s">
        <v>10938</v>
      </c>
      <c r="N3333" s="76" t="s">
        <v>18</v>
      </c>
      <c r="Q3333" s="76" t="s">
        <v>10401</v>
      </c>
      <c r="R3333" s="73">
        <f t="shared" si="383"/>
        <v>1</v>
      </c>
      <c r="S3333" s="260" t="s">
        <v>1976</v>
      </c>
      <c r="T3333" s="260" t="s">
        <v>925</v>
      </c>
      <c r="Y3333" s="566">
        <v>0.80212962962962964</v>
      </c>
      <c r="Z3333" s="566">
        <v>0.83166666666666667</v>
      </c>
      <c r="AA3333" s="566">
        <f t="shared" si="381"/>
        <v>2.9537037037037028E-2</v>
      </c>
    </row>
    <row r="3334" spans="1:27" x14ac:dyDescent="0.3">
      <c r="A3334" s="79" t="s">
        <v>10757</v>
      </c>
      <c r="C3334" s="115">
        <v>44075</v>
      </c>
      <c r="D3334" s="312">
        <v>44097</v>
      </c>
      <c r="E3334" s="81">
        <v>44096</v>
      </c>
      <c r="F3334" s="86" t="s">
        <v>10866</v>
      </c>
      <c r="G3334" s="86" t="s">
        <v>150</v>
      </c>
      <c r="H3334" s="96" t="s">
        <v>213</v>
      </c>
      <c r="I3334" s="97" t="s">
        <v>995</v>
      </c>
      <c r="J3334" s="73">
        <f t="shared" si="382"/>
        <v>1</v>
      </c>
      <c r="K3334" s="74" t="s">
        <v>204</v>
      </c>
      <c r="L3334" s="97" t="s">
        <v>11151</v>
      </c>
      <c r="N3334" s="76" t="s">
        <v>19</v>
      </c>
      <c r="Q3334" s="76" t="s">
        <v>2142</v>
      </c>
      <c r="R3334" s="73">
        <f t="shared" si="383"/>
        <v>1</v>
      </c>
      <c r="S3334" s="260" t="s">
        <v>1976</v>
      </c>
      <c r="T3334" s="260" t="s">
        <v>923</v>
      </c>
      <c r="Y3334" s="566">
        <v>0.36407407407407405</v>
      </c>
      <c r="Z3334" s="566">
        <v>0.39195601851851852</v>
      </c>
      <c r="AA3334" s="566">
        <f t="shared" si="381"/>
        <v>2.7881944444444473E-2</v>
      </c>
    </row>
    <row r="3335" spans="1:27" x14ac:dyDescent="0.3">
      <c r="A3335" s="79" t="s">
        <v>10758</v>
      </c>
      <c r="C3335" s="115">
        <v>44075</v>
      </c>
      <c r="D3335" s="312">
        <v>44096</v>
      </c>
      <c r="E3335" s="81">
        <v>44089</v>
      </c>
      <c r="F3335" s="86" t="s">
        <v>10867</v>
      </c>
      <c r="G3335" s="86" t="s">
        <v>150</v>
      </c>
      <c r="H3335" s="96" t="s">
        <v>213</v>
      </c>
      <c r="I3335" s="97" t="s">
        <v>649</v>
      </c>
      <c r="J3335" s="73">
        <f t="shared" si="382"/>
        <v>1</v>
      </c>
      <c r="K3335" s="74" t="s">
        <v>204</v>
      </c>
      <c r="L3335" s="97" t="s">
        <v>7065</v>
      </c>
      <c r="N3335" s="76" t="s">
        <v>17</v>
      </c>
      <c r="Q3335" s="76" t="s">
        <v>2037</v>
      </c>
      <c r="R3335" s="73">
        <f t="shared" si="383"/>
        <v>1</v>
      </c>
      <c r="S3335" s="260" t="s">
        <v>1976</v>
      </c>
      <c r="T3335" s="260" t="s">
        <v>925</v>
      </c>
      <c r="U3335" s="76" t="s">
        <v>5283</v>
      </c>
      <c r="V3335" s="301" t="s">
        <v>10922</v>
      </c>
      <c r="Y3335" s="566">
        <v>0.55582175925925925</v>
      </c>
      <c r="Z3335" s="566">
        <v>0.56287037037037035</v>
      </c>
      <c r="AA3335" s="566">
        <f t="shared" si="381"/>
        <v>7.0486111111111027E-3</v>
      </c>
    </row>
    <row r="3336" spans="1:27" x14ac:dyDescent="0.3">
      <c r="A3336" s="79" t="s">
        <v>10759</v>
      </c>
      <c r="C3336" s="115">
        <v>44076</v>
      </c>
      <c r="D3336" s="312">
        <v>44098</v>
      </c>
      <c r="E3336" s="81">
        <v>44095</v>
      </c>
      <c r="F3336" s="86" t="s">
        <v>10868</v>
      </c>
      <c r="G3336" s="86" t="s">
        <v>152</v>
      </c>
      <c r="H3336" s="96" t="s">
        <v>213</v>
      </c>
      <c r="I3336" s="97" t="s">
        <v>649</v>
      </c>
      <c r="J3336" s="73">
        <f t="shared" si="382"/>
        <v>1</v>
      </c>
      <c r="K3336" s="74" t="s">
        <v>204</v>
      </c>
      <c r="L3336" s="97" t="s">
        <v>7898</v>
      </c>
      <c r="N3336" s="76" t="s">
        <v>18</v>
      </c>
      <c r="Q3336" s="76" t="s">
        <v>2076</v>
      </c>
      <c r="R3336" s="73">
        <f t="shared" si="383"/>
        <v>1</v>
      </c>
      <c r="S3336" s="260" t="s">
        <v>1976</v>
      </c>
      <c r="T3336" s="260" t="s">
        <v>923</v>
      </c>
      <c r="Y3336" s="566">
        <v>0.64762731481481484</v>
      </c>
      <c r="Z3336" s="566">
        <v>0.66105324074074068</v>
      </c>
      <c r="AA3336" s="566">
        <f t="shared" si="381"/>
        <v>1.3425925925925841E-2</v>
      </c>
    </row>
    <row r="3337" spans="1:27" x14ac:dyDescent="0.3">
      <c r="A3337" s="79" t="s">
        <v>10760</v>
      </c>
      <c r="C3337" s="115">
        <v>44076</v>
      </c>
      <c r="D3337" s="312">
        <v>44097</v>
      </c>
      <c r="E3337" s="81">
        <v>44091</v>
      </c>
      <c r="F3337" s="86" t="s">
        <v>10869</v>
      </c>
      <c r="G3337" s="86" t="s">
        <v>9119</v>
      </c>
      <c r="H3337" s="96" t="s">
        <v>213</v>
      </c>
      <c r="I3337" s="97" t="s">
        <v>1113</v>
      </c>
      <c r="J3337" s="73">
        <f t="shared" si="382"/>
        <v>1</v>
      </c>
      <c r="K3337" s="74" t="s">
        <v>204</v>
      </c>
      <c r="L3337" s="97" t="s">
        <v>9648</v>
      </c>
      <c r="N3337" s="76" t="s">
        <v>18</v>
      </c>
      <c r="Q3337" s="76" t="s">
        <v>10401</v>
      </c>
      <c r="R3337" s="73">
        <f t="shared" si="383"/>
        <v>1</v>
      </c>
      <c r="S3337" s="260" t="s">
        <v>1976</v>
      </c>
      <c r="T3337" s="260" t="s">
        <v>925</v>
      </c>
      <c r="Y3337" s="566">
        <v>0.68946759259259249</v>
      </c>
      <c r="Z3337" s="566">
        <v>0.6928009259259259</v>
      </c>
      <c r="AA3337" s="566">
        <f t="shared" ref="AA3337:AA3360" si="384">Z3337-Y3337</f>
        <v>3.3333333333334103E-3</v>
      </c>
    </row>
    <row r="3338" spans="1:27" x14ac:dyDescent="0.3">
      <c r="A3338" s="79" t="s">
        <v>10761</v>
      </c>
      <c r="C3338" s="115">
        <v>44076</v>
      </c>
      <c r="D3338" s="312">
        <v>44097</v>
      </c>
      <c r="E3338" s="81">
        <v>44092</v>
      </c>
      <c r="F3338" s="86" t="s">
        <v>10870</v>
      </c>
      <c r="G3338" s="86" t="s">
        <v>1682</v>
      </c>
      <c r="H3338" s="96" t="s">
        <v>213</v>
      </c>
      <c r="I3338" s="97" t="s">
        <v>658</v>
      </c>
      <c r="J3338" s="73">
        <f t="shared" ref="J3338:J3360" si="385">IF(OR(K3338="Документы готовы",K3338="Запрос в ФО",K3338="ЭЗ",K3338="РЕШ",K3338="РЕШ шаблон"),0.1,IF(OR(K3338="ЭЗ согласование",K3338="РЕШ согласование"),0.3,IF(OR(K3338="ЭЗ согласовано",K3338="РЕШ согласовано",K3338="РЕШ подписано"),0.6,IF(OR(K3338="ЭЗ ПР согласование",K3338="РЕШ УВ согласование"),0.9,IF(OR(K3338="ЭЗ ПР DONE",K3338="РЕШ УВ DONE"),1,0)))))</f>
        <v>1</v>
      </c>
      <c r="K3338" s="74" t="s">
        <v>204</v>
      </c>
      <c r="L3338" s="97" t="s">
        <v>10969</v>
      </c>
      <c r="N3338" s="76" t="s">
        <v>18</v>
      </c>
      <c r="Q3338" s="76" t="s">
        <v>2142</v>
      </c>
      <c r="R3338" s="73">
        <f t="shared" ref="R3338:R3360" si="386">IF(S3338="В работе",0.3,IF(S3338="Отписано",0.6,IF(S3338="На доработку",0.9,IF(S3338="Согласовано",1,0))))</f>
        <v>1</v>
      </c>
      <c r="S3338" s="260" t="s">
        <v>1976</v>
      </c>
      <c r="T3338" s="260" t="s">
        <v>923</v>
      </c>
      <c r="Y3338" s="566">
        <v>0.82168981481481485</v>
      </c>
      <c r="Z3338" s="566">
        <v>0.83296296296296291</v>
      </c>
      <c r="AA3338" s="566">
        <f t="shared" si="384"/>
        <v>1.127314814814806E-2</v>
      </c>
    </row>
    <row r="3339" spans="1:27" x14ac:dyDescent="0.3">
      <c r="A3339" s="79" t="s">
        <v>10762</v>
      </c>
      <c r="C3339" s="115">
        <v>44076</v>
      </c>
      <c r="D3339" s="312">
        <v>44098</v>
      </c>
      <c r="E3339" s="81">
        <v>44092</v>
      </c>
      <c r="F3339" s="86" t="s">
        <v>10871</v>
      </c>
      <c r="G3339" s="86" t="s">
        <v>154</v>
      </c>
      <c r="H3339" s="96" t="s">
        <v>213</v>
      </c>
      <c r="I3339" s="97" t="s">
        <v>972</v>
      </c>
      <c r="J3339" s="73">
        <f t="shared" si="385"/>
        <v>1</v>
      </c>
      <c r="K3339" s="74" t="s">
        <v>204</v>
      </c>
      <c r="L3339" s="97" t="s">
        <v>10965</v>
      </c>
      <c r="N3339" s="76" t="s">
        <v>19</v>
      </c>
      <c r="Q3339" s="76" t="s">
        <v>5193</v>
      </c>
      <c r="R3339" s="73">
        <f t="shared" si="386"/>
        <v>1</v>
      </c>
      <c r="S3339" s="260" t="s">
        <v>1976</v>
      </c>
      <c r="T3339" s="260" t="s">
        <v>925</v>
      </c>
      <c r="X3339" s="301" t="s">
        <v>10973</v>
      </c>
      <c r="Y3339" s="566">
        <v>0.75001157407407415</v>
      </c>
      <c r="Z3339" s="566">
        <v>0.76870370370370367</v>
      </c>
      <c r="AA3339" s="566">
        <f t="shared" si="384"/>
        <v>1.8692129629629517E-2</v>
      </c>
    </row>
    <row r="3340" spans="1:27" x14ac:dyDescent="0.3">
      <c r="A3340" s="79" t="s">
        <v>10763</v>
      </c>
      <c r="C3340" s="115">
        <v>44076</v>
      </c>
      <c r="D3340" s="312">
        <v>44092</v>
      </c>
      <c r="E3340" s="81">
        <v>44091</v>
      </c>
      <c r="F3340" s="86" t="s">
        <v>10872</v>
      </c>
      <c r="G3340" s="1305" t="s">
        <v>8909</v>
      </c>
      <c r="H3340" s="96" t="s">
        <v>213</v>
      </c>
      <c r="I3340" s="97" t="s">
        <v>5280</v>
      </c>
      <c r="J3340" s="73">
        <f t="shared" si="385"/>
        <v>1</v>
      </c>
      <c r="K3340" s="74" t="s">
        <v>204</v>
      </c>
      <c r="L3340" s="97" t="s">
        <v>10949</v>
      </c>
      <c r="N3340" s="76" t="s">
        <v>19</v>
      </c>
      <c r="Q3340" s="76" t="s">
        <v>5193</v>
      </c>
      <c r="R3340" s="73">
        <f t="shared" si="386"/>
        <v>1</v>
      </c>
      <c r="S3340" s="260" t="s">
        <v>1976</v>
      </c>
      <c r="T3340" s="260" t="s">
        <v>925</v>
      </c>
      <c r="Y3340" s="566">
        <v>0.48891203703703701</v>
      </c>
      <c r="Z3340" s="566">
        <v>0.49209490740740741</v>
      </c>
      <c r="AA3340" s="566">
        <f t="shared" si="384"/>
        <v>3.1828703703704053E-3</v>
      </c>
    </row>
    <row r="3341" spans="1:27" x14ac:dyDescent="0.3">
      <c r="A3341" s="79" t="s">
        <v>10764</v>
      </c>
      <c r="C3341" s="115">
        <v>44076</v>
      </c>
      <c r="D3341" s="312">
        <v>44098</v>
      </c>
      <c r="E3341" s="81">
        <v>44091</v>
      </c>
      <c r="F3341" s="86" t="s">
        <v>10873</v>
      </c>
      <c r="G3341" s="86" t="s">
        <v>147</v>
      </c>
      <c r="H3341" s="96" t="s">
        <v>213</v>
      </c>
      <c r="I3341" s="97" t="s">
        <v>649</v>
      </c>
      <c r="J3341" s="73">
        <f t="shared" si="385"/>
        <v>1</v>
      </c>
      <c r="K3341" s="74" t="s">
        <v>204</v>
      </c>
      <c r="L3341" s="97" t="s">
        <v>7915</v>
      </c>
      <c r="Q3341" s="76" t="s">
        <v>5193</v>
      </c>
      <c r="R3341" s="73">
        <f t="shared" si="386"/>
        <v>1</v>
      </c>
      <c r="S3341" s="260" t="s">
        <v>1976</v>
      </c>
      <c r="T3341" s="260" t="s">
        <v>925</v>
      </c>
      <c r="U3341" s="76" t="s">
        <v>5283</v>
      </c>
      <c r="Y3341" s="566">
        <v>0.75285879629629626</v>
      </c>
      <c r="Z3341" s="566">
        <v>0.76733796296296297</v>
      </c>
      <c r="AA3341" s="566">
        <f t="shared" si="384"/>
        <v>1.447916666666671E-2</v>
      </c>
    </row>
    <row r="3342" spans="1:27" x14ac:dyDescent="0.3">
      <c r="A3342" s="79" t="s">
        <v>10765</v>
      </c>
      <c r="C3342" s="115">
        <v>44076</v>
      </c>
      <c r="D3342" s="312">
        <v>44098</v>
      </c>
      <c r="E3342" s="81">
        <v>44095</v>
      </c>
      <c r="F3342" s="86" t="s">
        <v>10874</v>
      </c>
      <c r="G3342" s="86" t="s">
        <v>9119</v>
      </c>
      <c r="H3342" s="96" t="s">
        <v>213</v>
      </c>
      <c r="I3342" s="97" t="s">
        <v>649</v>
      </c>
      <c r="J3342" s="73">
        <f t="shared" si="385"/>
        <v>1</v>
      </c>
      <c r="K3342" s="74" t="s">
        <v>204</v>
      </c>
      <c r="L3342" s="97" t="s">
        <v>10976</v>
      </c>
      <c r="N3342" s="76" t="s">
        <v>17</v>
      </c>
      <c r="Q3342" s="76" t="s">
        <v>2142</v>
      </c>
      <c r="R3342" s="73">
        <f t="shared" si="386"/>
        <v>1</v>
      </c>
      <c r="S3342" s="260" t="s">
        <v>1976</v>
      </c>
      <c r="T3342" s="260" t="s">
        <v>925</v>
      </c>
      <c r="U3342" s="76" t="s">
        <v>5283</v>
      </c>
      <c r="V3342" s="301" t="s">
        <v>10977</v>
      </c>
      <c r="Y3342" s="566">
        <v>0.49260416666666668</v>
      </c>
      <c r="Z3342" s="566">
        <v>0.52553240740740736</v>
      </c>
      <c r="AA3342" s="566">
        <f t="shared" si="384"/>
        <v>3.2928240740740689E-2</v>
      </c>
    </row>
    <row r="3343" spans="1:27" x14ac:dyDescent="0.3">
      <c r="A3343" s="79" t="s">
        <v>10766</v>
      </c>
      <c r="C3343" s="115">
        <v>44076</v>
      </c>
      <c r="D3343" s="312">
        <v>44097</v>
      </c>
      <c r="E3343" s="81">
        <v>44090</v>
      </c>
      <c r="F3343" s="86" t="s">
        <v>10875</v>
      </c>
      <c r="G3343" s="86" t="s">
        <v>150</v>
      </c>
      <c r="H3343" s="96" t="s">
        <v>213</v>
      </c>
      <c r="I3343" s="97" t="s">
        <v>722</v>
      </c>
      <c r="J3343" s="73">
        <f t="shared" si="385"/>
        <v>1</v>
      </c>
      <c r="K3343" s="74" t="s">
        <v>204</v>
      </c>
      <c r="L3343" s="97" t="s">
        <v>9001</v>
      </c>
      <c r="N3343" s="76" t="s">
        <v>18</v>
      </c>
      <c r="Q3343" s="76" t="s">
        <v>2037</v>
      </c>
      <c r="R3343" s="73">
        <f t="shared" si="386"/>
        <v>1</v>
      </c>
      <c r="S3343" s="260" t="s">
        <v>1976</v>
      </c>
      <c r="T3343" s="260" t="s">
        <v>923</v>
      </c>
      <c r="Y3343" s="566">
        <v>0.91789351851851853</v>
      </c>
      <c r="Z3343" s="566">
        <v>0.92609953703703696</v>
      </c>
      <c r="AA3343" s="566">
        <f t="shared" si="384"/>
        <v>8.206018518518432E-3</v>
      </c>
    </row>
    <row r="3344" spans="1:27" x14ac:dyDescent="0.3">
      <c r="A3344" s="79" t="s">
        <v>10767</v>
      </c>
      <c r="C3344" s="115">
        <v>44076</v>
      </c>
      <c r="D3344" s="312">
        <v>44097</v>
      </c>
      <c r="E3344" s="81">
        <v>44090</v>
      </c>
      <c r="F3344" s="86" t="s">
        <v>10876</v>
      </c>
      <c r="G3344" s="86" t="s">
        <v>152</v>
      </c>
      <c r="H3344" s="96" t="s">
        <v>213</v>
      </c>
      <c r="I3344" s="97" t="s">
        <v>649</v>
      </c>
      <c r="J3344" s="73">
        <f t="shared" si="385"/>
        <v>1</v>
      </c>
      <c r="K3344" s="74" t="s">
        <v>204</v>
      </c>
      <c r="L3344" s="97" t="s">
        <v>7915</v>
      </c>
      <c r="N3344" s="76" t="s">
        <v>17</v>
      </c>
      <c r="Q3344" s="76" t="s">
        <v>5193</v>
      </c>
      <c r="R3344" s="73">
        <f t="shared" si="386"/>
        <v>1</v>
      </c>
      <c r="S3344" s="260" t="s">
        <v>1976</v>
      </c>
      <c r="T3344" s="260" t="s">
        <v>925</v>
      </c>
      <c r="Y3344" s="566">
        <v>0.88916666666666666</v>
      </c>
      <c r="Z3344" s="566">
        <v>0.89998842592592598</v>
      </c>
      <c r="AA3344" s="566">
        <f t="shared" si="384"/>
        <v>1.0821759259259323E-2</v>
      </c>
    </row>
    <row r="3345" spans="1:27" x14ac:dyDescent="0.3">
      <c r="A3345" s="79" t="s">
        <v>10768</v>
      </c>
      <c r="C3345" s="115">
        <v>44076</v>
      </c>
      <c r="D3345" s="312">
        <v>44098</v>
      </c>
      <c r="E3345" s="81">
        <v>44095</v>
      </c>
      <c r="F3345" s="86" t="s">
        <v>10877</v>
      </c>
      <c r="G3345" s="86" t="s">
        <v>154</v>
      </c>
      <c r="H3345" s="96" t="s">
        <v>213</v>
      </c>
      <c r="I3345" s="97" t="s">
        <v>3648</v>
      </c>
      <c r="J3345" s="73">
        <f t="shared" si="385"/>
        <v>1</v>
      </c>
      <c r="K3345" s="74" t="s">
        <v>204</v>
      </c>
      <c r="L3345" s="97" t="s">
        <v>10988</v>
      </c>
      <c r="N3345" s="76" t="s">
        <v>17</v>
      </c>
      <c r="Q3345" s="76" t="s">
        <v>2076</v>
      </c>
      <c r="R3345" s="73">
        <f t="shared" si="386"/>
        <v>1</v>
      </c>
      <c r="S3345" s="260" t="s">
        <v>1976</v>
      </c>
      <c r="T3345" s="260" t="s">
        <v>923</v>
      </c>
      <c r="U3345" s="76" t="s">
        <v>5283</v>
      </c>
      <c r="V3345" s="301" t="s">
        <v>10989</v>
      </c>
      <c r="Y3345" s="566">
        <v>0.66297453703703701</v>
      </c>
      <c r="Z3345" s="566">
        <v>0.68420138888888893</v>
      </c>
      <c r="AA3345" s="566">
        <f t="shared" si="384"/>
        <v>2.1226851851851913E-2</v>
      </c>
    </row>
    <row r="3346" spans="1:27" x14ac:dyDescent="0.3">
      <c r="A3346" s="79" t="s">
        <v>10769</v>
      </c>
      <c r="C3346" s="115">
        <v>44076</v>
      </c>
      <c r="D3346" s="312">
        <v>44097</v>
      </c>
      <c r="E3346" s="81">
        <v>44095</v>
      </c>
      <c r="F3346" s="86" t="s">
        <v>10878</v>
      </c>
      <c r="G3346" s="86" t="s">
        <v>9119</v>
      </c>
      <c r="H3346" s="96" t="s">
        <v>213</v>
      </c>
      <c r="I3346" s="97" t="s">
        <v>10983</v>
      </c>
      <c r="J3346" s="73">
        <f t="shared" si="385"/>
        <v>1</v>
      </c>
      <c r="K3346" s="74" t="s">
        <v>204</v>
      </c>
      <c r="L3346" s="97" t="s">
        <v>10982</v>
      </c>
      <c r="N3346" s="76" t="s">
        <v>19</v>
      </c>
      <c r="Q3346" s="76" t="s">
        <v>2076</v>
      </c>
      <c r="R3346" s="73">
        <f t="shared" si="386"/>
        <v>1</v>
      </c>
      <c r="S3346" s="260" t="s">
        <v>1976</v>
      </c>
      <c r="T3346" s="260" t="s">
        <v>925</v>
      </c>
      <c r="U3346" s="76" t="s">
        <v>5283</v>
      </c>
      <c r="V3346" s="301" t="s">
        <v>10984</v>
      </c>
      <c r="Y3346" s="566">
        <v>0.61343749999999997</v>
      </c>
      <c r="Z3346" s="566">
        <v>0.62753472222222217</v>
      </c>
      <c r="AA3346" s="566">
        <f t="shared" si="384"/>
        <v>1.4097222222222205E-2</v>
      </c>
    </row>
    <row r="3347" spans="1:27" x14ac:dyDescent="0.3">
      <c r="A3347" s="79" t="s">
        <v>10770</v>
      </c>
      <c r="C3347" s="115">
        <v>44076</v>
      </c>
      <c r="D3347" s="312">
        <v>44097</v>
      </c>
      <c r="E3347" s="81">
        <v>44092</v>
      </c>
      <c r="F3347" s="86" t="s">
        <v>10879</v>
      </c>
      <c r="G3347" s="86" t="s">
        <v>9119</v>
      </c>
      <c r="H3347" s="96" t="s">
        <v>213</v>
      </c>
      <c r="I3347" s="97" t="s">
        <v>1113</v>
      </c>
      <c r="J3347" s="73">
        <f t="shared" si="385"/>
        <v>1</v>
      </c>
      <c r="K3347" s="74" t="s">
        <v>204</v>
      </c>
      <c r="L3347" s="97" t="s">
        <v>7104</v>
      </c>
      <c r="N3347" s="76" t="s">
        <v>18</v>
      </c>
      <c r="Q3347" s="76" t="s">
        <v>2076</v>
      </c>
      <c r="R3347" s="73">
        <f t="shared" si="386"/>
        <v>1</v>
      </c>
      <c r="S3347" s="260" t="s">
        <v>1976</v>
      </c>
      <c r="T3347" s="260" t="s">
        <v>925</v>
      </c>
      <c r="Y3347" s="566">
        <v>0.58250000000000002</v>
      </c>
      <c r="Z3347" s="566">
        <v>0.58592592592592596</v>
      </c>
      <c r="AA3347" s="566">
        <f t="shared" si="384"/>
        <v>3.4259259259259434E-3</v>
      </c>
    </row>
    <row r="3348" spans="1:27" x14ac:dyDescent="0.3">
      <c r="A3348" s="79" t="s">
        <v>10771</v>
      </c>
      <c r="C3348" s="115">
        <v>44076</v>
      </c>
      <c r="D3348" s="312">
        <v>44097</v>
      </c>
      <c r="E3348" s="81">
        <v>44092</v>
      </c>
      <c r="F3348" s="86" t="s">
        <v>10880</v>
      </c>
      <c r="G3348" s="86" t="s">
        <v>177</v>
      </c>
      <c r="H3348" s="96" t="s">
        <v>213</v>
      </c>
      <c r="I3348" s="97" t="s">
        <v>995</v>
      </c>
      <c r="J3348" s="73">
        <f t="shared" si="385"/>
        <v>1</v>
      </c>
      <c r="K3348" s="74" t="s">
        <v>204</v>
      </c>
      <c r="L3348" s="97" t="s">
        <v>10968</v>
      </c>
      <c r="N3348" s="76" t="s">
        <v>19</v>
      </c>
      <c r="Q3348" s="76" t="s">
        <v>2142</v>
      </c>
      <c r="R3348" s="73">
        <f t="shared" si="386"/>
        <v>1</v>
      </c>
      <c r="S3348" s="260" t="s">
        <v>1976</v>
      </c>
      <c r="T3348" s="260" t="s">
        <v>923</v>
      </c>
      <c r="Y3348" s="566">
        <v>0.80293981481481491</v>
      </c>
      <c r="Z3348" s="566">
        <v>0.82121527777777781</v>
      </c>
      <c r="AA3348" s="566">
        <f t="shared" si="384"/>
        <v>1.8275462962962896E-2</v>
      </c>
    </row>
    <row r="3349" spans="1:27" x14ac:dyDescent="0.3">
      <c r="A3349" s="79" t="s">
        <v>10772</v>
      </c>
      <c r="C3349" s="115">
        <v>44076</v>
      </c>
      <c r="D3349" s="312">
        <v>44097</v>
      </c>
      <c r="E3349" s="81">
        <v>44090</v>
      </c>
      <c r="F3349" s="86" t="s">
        <v>10881</v>
      </c>
      <c r="G3349" s="86" t="s">
        <v>156</v>
      </c>
      <c r="H3349" s="96" t="s">
        <v>213</v>
      </c>
      <c r="I3349" s="97" t="s">
        <v>649</v>
      </c>
      <c r="J3349" s="73">
        <f t="shared" si="385"/>
        <v>1</v>
      </c>
      <c r="K3349" s="74" t="s">
        <v>204</v>
      </c>
      <c r="L3349" s="97" t="s">
        <v>7065</v>
      </c>
      <c r="N3349" s="76" t="s">
        <v>18</v>
      </c>
      <c r="Q3349" s="76" t="s">
        <v>2037</v>
      </c>
      <c r="R3349" s="73">
        <f t="shared" si="386"/>
        <v>1</v>
      </c>
      <c r="S3349" s="260" t="s">
        <v>1976</v>
      </c>
      <c r="T3349" s="260" t="s">
        <v>925</v>
      </c>
      <c r="Y3349" s="566">
        <v>0.787175925925926</v>
      </c>
      <c r="Z3349" s="566">
        <v>0.80150462962962965</v>
      </c>
      <c r="AA3349" s="566">
        <f t="shared" si="384"/>
        <v>1.4328703703703649E-2</v>
      </c>
    </row>
    <row r="3350" spans="1:27" x14ac:dyDescent="0.3">
      <c r="A3350" s="79" t="s">
        <v>10773</v>
      </c>
      <c r="C3350" s="115">
        <v>44076</v>
      </c>
      <c r="D3350" s="312">
        <v>44098</v>
      </c>
      <c r="E3350" s="81">
        <v>44096</v>
      </c>
      <c r="F3350" s="86" t="s">
        <v>10882</v>
      </c>
      <c r="G3350" s="86" t="s">
        <v>156</v>
      </c>
      <c r="H3350" s="79" t="s">
        <v>268</v>
      </c>
      <c r="I3350" s="97" t="s">
        <v>649</v>
      </c>
      <c r="J3350" s="73">
        <f t="shared" si="385"/>
        <v>1</v>
      </c>
      <c r="K3350" s="74" t="s">
        <v>204</v>
      </c>
      <c r="L3350" s="97" t="s">
        <v>11156</v>
      </c>
      <c r="N3350" s="76" t="s">
        <v>19</v>
      </c>
      <c r="Q3350" s="76" t="s">
        <v>2076</v>
      </c>
      <c r="R3350" s="73">
        <f t="shared" si="386"/>
        <v>1</v>
      </c>
      <c r="S3350" s="260" t="s">
        <v>1976</v>
      </c>
      <c r="T3350" s="260" t="s">
        <v>923</v>
      </c>
      <c r="U3350" s="76" t="s">
        <v>5283</v>
      </c>
      <c r="V3350" s="301" t="s">
        <v>11152</v>
      </c>
      <c r="Z3350" s="566">
        <v>0.41112268518518519</v>
      </c>
      <c r="AA3350" s="566">
        <f t="shared" si="384"/>
        <v>0.41112268518518519</v>
      </c>
    </row>
    <row r="3351" spans="1:27" x14ac:dyDescent="0.3">
      <c r="A3351" s="79" t="s">
        <v>10774</v>
      </c>
      <c r="C3351" s="115">
        <v>44076</v>
      </c>
      <c r="D3351" s="312">
        <v>44097</v>
      </c>
      <c r="E3351" s="81">
        <v>44095</v>
      </c>
      <c r="F3351" s="86" t="s">
        <v>10883</v>
      </c>
      <c r="G3351" s="86" t="s">
        <v>1328</v>
      </c>
      <c r="H3351" s="96" t="s">
        <v>213</v>
      </c>
      <c r="I3351" s="97" t="s">
        <v>649</v>
      </c>
      <c r="J3351" s="73">
        <f t="shared" si="385"/>
        <v>1</v>
      </c>
      <c r="K3351" s="74" t="s">
        <v>204</v>
      </c>
      <c r="L3351" s="97" t="s">
        <v>7089</v>
      </c>
      <c r="N3351" s="76" t="s">
        <v>17</v>
      </c>
      <c r="Q3351" s="76" t="s">
        <v>2076</v>
      </c>
      <c r="R3351" s="73">
        <f t="shared" si="386"/>
        <v>1</v>
      </c>
      <c r="S3351" s="260" t="s">
        <v>1976</v>
      </c>
      <c r="T3351" s="260" t="s">
        <v>923</v>
      </c>
      <c r="U3351" s="76" t="s">
        <v>5283</v>
      </c>
      <c r="V3351" s="301" t="s">
        <v>10985</v>
      </c>
      <c r="Y3351" s="566">
        <v>0.62974537037037037</v>
      </c>
      <c r="Z3351" s="566">
        <v>0.63981481481481484</v>
      </c>
      <c r="AA3351" s="566">
        <f t="shared" si="384"/>
        <v>1.0069444444444464E-2</v>
      </c>
    </row>
    <row r="3352" spans="1:27" x14ac:dyDescent="0.3">
      <c r="A3352" s="79" t="s">
        <v>10775</v>
      </c>
      <c r="C3352" s="115">
        <v>44077</v>
      </c>
      <c r="D3352" s="312">
        <v>44098</v>
      </c>
      <c r="E3352" s="81">
        <v>44092</v>
      </c>
      <c r="F3352" s="86" t="s">
        <v>10884</v>
      </c>
      <c r="G3352" s="86" t="s">
        <v>164</v>
      </c>
      <c r="H3352" s="96" t="s">
        <v>213</v>
      </c>
      <c r="I3352" s="97" t="s">
        <v>755</v>
      </c>
      <c r="J3352" s="73">
        <f t="shared" si="385"/>
        <v>1</v>
      </c>
      <c r="K3352" s="74" t="s">
        <v>204</v>
      </c>
      <c r="L3352" s="97" t="s">
        <v>7299</v>
      </c>
      <c r="N3352" s="76" t="s">
        <v>18</v>
      </c>
      <c r="Q3352" s="76" t="s">
        <v>10401</v>
      </c>
      <c r="R3352" s="73">
        <f t="shared" si="386"/>
        <v>1</v>
      </c>
      <c r="S3352" s="260" t="s">
        <v>1976</v>
      </c>
      <c r="T3352" s="260" t="s">
        <v>923</v>
      </c>
      <c r="Y3352" s="566">
        <v>0.6287962962962963</v>
      </c>
      <c r="Z3352" s="566">
        <v>0.63427083333333334</v>
      </c>
      <c r="AA3352" s="566">
        <f t="shared" si="384"/>
        <v>5.4745370370370416E-3</v>
      </c>
    </row>
    <row r="3353" spans="1:27" x14ac:dyDescent="0.3">
      <c r="A3353" s="79" t="s">
        <v>10776</v>
      </c>
      <c r="C3353" s="115">
        <v>44077</v>
      </c>
      <c r="D3353" s="312">
        <v>44098</v>
      </c>
      <c r="E3353" s="81">
        <v>44091</v>
      </c>
      <c r="F3353" s="86" t="s">
        <v>10885</v>
      </c>
      <c r="G3353" s="86" t="s">
        <v>156</v>
      </c>
      <c r="H3353" s="96" t="s">
        <v>213</v>
      </c>
      <c r="I3353" s="97" t="s">
        <v>684</v>
      </c>
      <c r="J3353" s="73">
        <f t="shared" si="385"/>
        <v>1</v>
      </c>
      <c r="K3353" s="74" t="s">
        <v>204</v>
      </c>
      <c r="L3353" s="97" t="s">
        <v>10959</v>
      </c>
      <c r="N3353" s="76" t="s">
        <v>18</v>
      </c>
      <c r="Q3353" s="76" t="s">
        <v>10401</v>
      </c>
      <c r="R3353" s="73">
        <f t="shared" si="386"/>
        <v>1</v>
      </c>
      <c r="S3353" s="260" t="s">
        <v>1976</v>
      </c>
      <c r="T3353" s="260" t="s">
        <v>925</v>
      </c>
      <c r="Y3353" s="566">
        <v>0.9582060185185185</v>
      </c>
      <c r="Z3353" s="566">
        <v>0.96805555555555556</v>
      </c>
      <c r="AA3353" s="566">
        <f t="shared" si="384"/>
        <v>9.8495370370370594E-3</v>
      </c>
    </row>
    <row r="3354" spans="1:27" x14ac:dyDescent="0.3">
      <c r="A3354" s="79" t="s">
        <v>10777</v>
      </c>
      <c r="C3354" s="115">
        <v>44077</v>
      </c>
      <c r="D3354" s="312">
        <v>44098</v>
      </c>
      <c r="E3354" s="81">
        <v>44090</v>
      </c>
      <c r="F3354" s="86" t="s">
        <v>10886</v>
      </c>
      <c r="G3354" s="86" t="s">
        <v>154</v>
      </c>
      <c r="H3354" s="96" t="s">
        <v>213</v>
      </c>
      <c r="I3354" s="97" t="s">
        <v>649</v>
      </c>
      <c r="J3354" s="73">
        <f t="shared" si="385"/>
        <v>1</v>
      </c>
      <c r="K3354" s="74" t="s">
        <v>204</v>
      </c>
      <c r="L3354" s="97" t="s">
        <v>7060</v>
      </c>
      <c r="N3354" s="76" t="s">
        <v>17</v>
      </c>
      <c r="Q3354" s="76" t="s">
        <v>2037</v>
      </c>
      <c r="R3354" s="73">
        <f t="shared" si="386"/>
        <v>1</v>
      </c>
      <c r="S3354" s="260" t="s">
        <v>1976</v>
      </c>
      <c r="T3354" s="260" t="s">
        <v>925</v>
      </c>
      <c r="U3354" s="76" t="s">
        <v>5283</v>
      </c>
      <c r="V3354" s="301" t="s">
        <v>6725</v>
      </c>
      <c r="Y3354" s="566">
        <v>0.94020833333333342</v>
      </c>
      <c r="Z3354" s="566">
        <v>0.94833333333333336</v>
      </c>
      <c r="AA3354" s="566">
        <f t="shared" si="384"/>
        <v>8.1249999999999378E-3</v>
      </c>
    </row>
    <row r="3355" spans="1:27" x14ac:dyDescent="0.3">
      <c r="A3355" s="79" t="s">
        <v>10778</v>
      </c>
      <c r="C3355" s="115">
        <v>44077</v>
      </c>
      <c r="D3355" s="312">
        <v>44098</v>
      </c>
      <c r="E3355" s="81">
        <v>44091</v>
      </c>
      <c r="F3355" s="86" t="s">
        <v>10887</v>
      </c>
      <c r="G3355" s="86" t="s">
        <v>156</v>
      </c>
      <c r="H3355" s="96" t="s">
        <v>213</v>
      </c>
      <c r="I3355" s="97" t="s">
        <v>649</v>
      </c>
      <c r="J3355" s="73">
        <f t="shared" si="385"/>
        <v>1</v>
      </c>
      <c r="K3355" s="74" t="s">
        <v>204</v>
      </c>
      <c r="L3355" s="97" t="s">
        <v>7065</v>
      </c>
      <c r="N3355" s="76" t="s">
        <v>18</v>
      </c>
      <c r="Q3355" s="76" t="s">
        <v>10401</v>
      </c>
      <c r="R3355" s="73">
        <f t="shared" si="386"/>
        <v>1</v>
      </c>
      <c r="S3355" s="260" t="s">
        <v>1976</v>
      </c>
      <c r="T3355" s="260" t="s">
        <v>925</v>
      </c>
      <c r="Y3355" s="566">
        <v>0.95258101851851851</v>
      </c>
      <c r="Z3355" s="566">
        <v>0.95775462962962965</v>
      </c>
      <c r="AA3355" s="566">
        <f t="shared" si="384"/>
        <v>5.1736111111111427E-3</v>
      </c>
    </row>
    <row r="3356" spans="1:27" x14ac:dyDescent="0.3">
      <c r="A3356" s="79" t="s">
        <v>10779</v>
      </c>
      <c r="C3356" s="115">
        <v>44078</v>
      </c>
      <c r="D3356" s="312">
        <v>44099</v>
      </c>
      <c r="E3356" s="81">
        <v>44095</v>
      </c>
      <c r="F3356" s="86" t="s">
        <v>10888</v>
      </c>
      <c r="G3356" s="86" t="s">
        <v>152</v>
      </c>
      <c r="H3356" s="96" t="s">
        <v>213</v>
      </c>
      <c r="I3356" s="97" t="s">
        <v>10990</v>
      </c>
      <c r="J3356" s="73">
        <f t="shared" si="385"/>
        <v>1</v>
      </c>
      <c r="K3356" s="74" t="s">
        <v>204</v>
      </c>
      <c r="L3356" s="97" t="s">
        <v>10991</v>
      </c>
      <c r="N3356" s="76" t="s">
        <v>18</v>
      </c>
      <c r="Q3356" s="76" t="s">
        <v>2076</v>
      </c>
      <c r="R3356" s="73">
        <f t="shared" si="386"/>
        <v>1</v>
      </c>
      <c r="S3356" s="260" t="s">
        <v>1976</v>
      </c>
      <c r="T3356" s="260" t="s">
        <v>923</v>
      </c>
      <c r="Y3356" s="566">
        <v>0.73490740740740745</v>
      </c>
      <c r="Z3356" s="566">
        <v>0.75651620370370365</v>
      </c>
      <c r="AA3356" s="566">
        <f t="shared" si="384"/>
        <v>2.1608796296296195E-2</v>
      </c>
    </row>
    <row r="3357" spans="1:27" x14ac:dyDescent="0.3">
      <c r="A3357" s="79" t="s">
        <v>10780</v>
      </c>
      <c r="C3357" s="115">
        <v>44078</v>
      </c>
      <c r="D3357" s="312">
        <v>44099</v>
      </c>
      <c r="E3357" s="81">
        <v>44095</v>
      </c>
      <c r="F3357" s="86" t="s">
        <v>10889</v>
      </c>
      <c r="G3357" s="86" t="s">
        <v>150</v>
      </c>
      <c r="H3357" s="96" t="s">
        <v>213</v>
      </c>
      <c r="I3357" s="97" t="s">
        <v>722</v>
      </c>
      <c r="J3357" s="73">
        <f t="shared" si="385"/>
        <v>1</v>
      </c>
      <c r="K3357" s="74" t="s">
        <v>204</v>
      </c>
      <c r="L3357" s="97" t="s">
        <v>7358</v>
      </c>
      <c r="N3357" s="76" t="s">
        <v>18</v>
      </c>
      <c r="Q3357" s="76" t="s">
        <v>2076</v>
      </c>
      <c r="R3357" s="73">
        <f t="shared" si="386"/>
        <v>1</v>
      </c>
      <c r="S3357" s="260" t="s">
        <v>1976</v>
      </c>
      <c r="T3357" s="260" t="s">
        <v>925</v>
      </c>
      <c r="Y3357" s="566">
        <v>0.68582175925925926</v>
      </c>
      <c r="Z3357" s="566">
        <v>0.73435185185185192</v>
      </c>
      <c r="AA3357" s="566">
        <f t="shared" si="384"/>
        <v>4.8530092592592666E-2</v>
      </c>
    </row>
    <row r="3358" spans="1:27" x14ac:dyDescent="0.3">
      <c r="A3358" s="96" t="s">
        <v>10781</v>
      </c>
      <c r="C3358" s="115">
        <v>44078</v>
      </c>
      <c r="D3358" s="312">
        <v>44099</v>
      </c>
      <c r="E3358" s="81">
        <v>44092</v>
      </c>
      <c r="F3358" s="86" t="s">
        <v>10890</v>
      </c>
      <c r="G3358" s="86" t="s">
        <v>150</v>
      </c>
      <c r="H3358" s="96" t="s">
        <v>213</v>
      </c>
      <c r="I3358" s="97" t="s">
        <v>649</v>
      </c>
      <c r="J3358" s="73">
        <f t="shared" si="385"/>
        <v>1</v>
      </c>
      <c r="K3358" s="74" t="s">
        <v>204</v>
      </c>
      <c r="L3358" s="97" t="s">
        <v>7060</v>
      </c>
      <c r="N3358" s="76" t="s">
        <v>17</v>
      </c>
      <c r="Q3358" s="76" t="s">
        <v>5193</v>
      </c>
      <c r="R3358" s="73">
        <f t="shared" si="386"/>
        <v>1</v>
      </c>
      <c r="S3358" s="260" t="s">
        <v>1976</v>
      </c>
      <c r="T3358" s="260" t="s">
        <v>925</v>
      </c>
      <c r="Y3358" s="566">
        <v>0.70598379629629626</v>
      </c>
      <c r="Z3358" s="566">
        <v>0.74940972222222213</v>
      </c>
      <c r="AA3358" s="566">
        <f t="shared" si="384"/>
        <v>4.3425925925925868E-2</v>
      </c>
    </row>
    <row r="3359" spans="1:27" x14ac:dyDescent="0.3">
      <c r="A3359" s="79" t="s">
        <v>10782</v>
      </c>
      <c r="C3359" s="115">
        <v>44078</v>
      </c>
      <c r="D3359" s="312">
        <v>44099</v>
      </c>
      <c r="E3359" s="81">
        <v>44092</v>
      </c>
      <c r="F3359" s="86" t="s">
        <v>10891</v>
      </c>
      <c r="G3359" s="86" t="s">
        <v>9119</v>
      </c>
      <c r="H3359" s="96" t="s">
        <v>213</v>
      </c>
      <c r="J3359" s="73">
        <f t="shared" si="385"/>
        <v>1</v>
      </c>
      <c r="K3359" s="74" t="s">
        <v>204</v>
      </c>
      <c r="L3359" s="97" t="s">
        <v>7545</v>
      </c>
      <c r="N3359" s="76" t="s">
        <v>19</v>
      </c>
      <c r="Q3359" s="76" t="s">
        <v>10401</v>
      </c>
      <c r="R3359" s="73">
        <f t="shared" si="386"/>
        <v>1</v>
      </c>
      <c r="S3359" s="260" t="s">
        <v>1976</v>
      </c>
      <c r="T3359" s="260" t="s">
        <v>923</v>
      </c>
      <c r="Y3359" s="566">
        <v>0.76949074074074064</v>
      </c>
      <c r="Z3359" s="566">
        <v>0.77471064814814816</v>
      </c>
      <c r="AA3359" s="566">
        <f t="shared" si="384"/>
        <v>5.2199074074075202E-3</v>
      </c>
    </row>
    <row r="3360" spans="1:27" x14ac:dyDescent="0.3">
      <c r="A3360" s="79" t="s">
        <v>10783</v>
      </c>
      <c r="C3360" s="115">
        <v>44078</v>
      </c>
      <c r="D3360" s="312">
        <v>44099</v>
      </c>
      <c r="E3360" s="81">
        <v>44095</v>
      </c>
      <c r="F3360" s="86" t="s">
        <v>10892</v>
      </c>
      <c r="G3360" s="86" t="s">
        <v>156</v>
      </c>
      <c r="H3360" s="96" t="s">
        <v>213</v>
      </c>
      <c r="I3360" s="97" t="s">
        <v>649</v>
      </c>
      <c r="J3360" s="73">
        <f t="shared" si="385"/>
        <v>1</v>
      </c>
      <c r="K3360" s="74" t="s">
        <v>204</v>
      </c>
      <c r="L3360" s="97" t="s">
        <v>7060</v>
      </c>
      <c r="N3360" s="76" t="s">
        <v>18</v>
      </c>
      <c r="Q3360" s="76" t="s">
        <v>10401</v>
      </c>
      <c r="R3360" s="73">
        <f t="shared" si="386"/>
        <v>1</v>
      </c>
      <c r="S3360" s="260" t="s">
        <v>1976</v>
      </c>
      <c r="T3360" s="260" t="s">
        <v>925</v>
      </c>
      <c r="Y3360" s="566">
        <v>0.40611111111111109</v>
      </c>
      <c r="Z3360" s="566">
        <v>0.41452546296296294</v>
      </c>
      <c r="AA3360" s="566">
        <f t="shared" si="384"/>
        <v>8.4143518518518534E-3</v>
      </c>
    </row>
    <row r="3361" spans="1:27" x14ac:dyDescent="0.3">
      <c r="A3361" s="96" t="s">
        <v>10902</v>
      </c>
      <c r="C3361" s="81">
        <v>44070</v>
      </c>
      <c r="D3361" s="109">
        <v>44091</v>
      </c>
      <c r="E3361" s="81">
        <v>44088</v>
      </c>
      <c r="F3361" s="97" t="s">
        <v>10903</v>
      </c>
      <c r="G3361" s="97" t="s">
        <v>173</v>
      </c>
      <c r="H3361" s="96" t="s">
        <v>213</v>
      </c>
      <c r="I3361" s="97" t="s">
        <v>995</v>
      </c>
      <c r="J3361" s="73">
        <f t="shared" ref="J3361:J3364" si="387">IF(OR(K3361="Документы готовы",K3361="Запрос в ФО",K3361="ЭЗ",K3361="РЕШ",K3361="РЕШ шаблон"),0.1,IF(OR(K3361="ЭЗ согласование",K3361="РЕШ согласование"),0.3,IF(OR(K3361="ЭЗ согласовано",K3361="РЕШ согласовано",K3361="РЕШ подписано"),0.6,IF(OR(K3361="ЭЗ ПР согласование",K3361="РЕШ УВ согласование"),0.9,IF(OR(K3361="ЭЗ ПР DONE",K3361="РЕШ УВ DONE"),1,0)))))</f>
        <v>1</v>
      </c>
      <c r="K3361" s="74" t="s">
        <v>204</v>
      </c>
      <c r="L3361" s="97" t="s">
        <v>7073</v>
      </c>
      <c r="N3361" s="76" t="s">
        <v>19</v>
      </c>
      <c r="Q3361" s="76" t="s">
        <v>5193</v>
      </c>
      <c r="R3361" s="73">
        <f t="shared" ref="R3361:R3364" si="388">IF(S3361="В работе",0.3,IF(S3361="Отписано",0.6,IF(S3361="На доработку",0.9,IF(S3361="Согласовано",1,0))))</f>
        <v>1</v>
      </c>
      <c r="S3361" s="260" t="s">
        <v>1976</v>
      </c>
      <c r="T3361" s="260" t="s">
        <v>925</v>
      </c>
      <c r="Y3361" s="566">
        <v>0.40225694444444443</v>
      </c>
      <c r="Z3361" s="566">
        <v>0.41092592592592592</v>
      </c>
      <c r="AA3361" s="566">
        <f t="shared" ref="AA3361:AA3364" si="389">Z3361-Y3361</f>
        <v>8.6689814814814858E-3</v>
      </c>
    </row>
    <row r="3362" spans="1:27" x14ac:dyDescent="0.3">
      <c r="A3362" s="96" t="s">
        <v>10926</v>
      </c>
      <c r="C3362" s="81">
        <v>44057</v>
      </c>
      <c r="D3362" s="109">
        <v>44092</v>
      </c>
      <c r="E3362" s="81">
        <v>44090</v>
      </c>
      <c r="F3362" s="97" t="s">
        <v>10927</v>
      </c>
      <c r="G3362" s="97" t="s">
        <v>154</v>
      </c>
      <c r="H3362" s="96" t="s">
        <v>213</v>
      </c>
      <c r="I3362" s="97" t="s">
        <v>3648</v>
      </c>
      <c r="J3362" s="73">
        <f t="shared" si="387"/>
        <v>1</v>
      </c>
      <c r="K3362" s="74" t="s">
        <v>204</v>
      </c>
      <c r="L3362" s="97" t="s">
        <v>11613</v>
      </c>
      <c r="N3362" s="76" t="s">
        <v>18</v>
      </c>
      <c r="Q3362" s="76" t="s">
        <v>2142</v>
      </c>
      <c r="R3362" s="73">
        <f t="shared" si="388"/>
        <v>1</v>
      </c>
      <c r="S3362" s="260" t="s">
        <v>1976</v>
      </c>
      <c r="T3362" s="260" t="s">
        <v>923</v>
      </c>
      <c r="Y3362" s="566">
        <v>0.40630787037037036</v>
      </c>
      <c r="Z3362" s="566">
        <v>0.42440972222222223</v>
      </c>
      <c r="AA3362" s="566">
        <f t="shared" si="389"/>
        <v>1.8101851851851869E-2</v>
      </c>
    </row>
    <row r="3363" spans="1:27" x14ac:dyDescent="0.3">
      <c r="A3363" s="96" t="s">
        <v>10954</v>
      </c>
      <c r="C3363" s="81">
        <v>44062</v>
      </c>
      <c r="D3363" s="109">
        <v>44097</v>
      </c>
      <c r="E3363" s="81">
        <v>44091</v>
      </c>
      <c r="F3363" s="97" t="s">
        <v>10955</v>
      </c>
      <c r="G3363" s="97" t="s">
        <v>156</v>
      </c>
      <c r="H3363" s="96" t="s">
        <v>213</v>
      </c>
      <c r="I3363" s="97" t="s">
        <v>714</v>
      </c>
      <c r="J3363" s="73">
        <f t="shared" si="387"/>
        <v>1</v>
      </c>
      <c r="K3363" s="74" t="s">
        <v>204</v>
      </c>
      <c r="L3363" s="97" t="s">
        <v>7332</v>
      </c>
      <c r="N3363" s="76" t="s">
        <v>17</v>
      </c>
      <c r="Q3363" s="76" t="s">
        <v>5193</v>
      </c>
      <c r="R3363" s="73">
        <f t="shared" si="388"/>
        <v>1</v>
      </c>
      <c r="S3363" s="260" t="s">
        <v>1976</v>
      </c>
      <c r="T3363" s="260" t="s">
        <v>923</v>
      </c>
      <c r="Y3363" s="566">
        <v>0.59716435185185179</v>
      </c>
      <c r="Z3363" s="566">
        <v>0.66665509259259259</v>
      </c>
      <c r="AA3363" s="566">
        <f t="shared" si="389"/>
        <v>6.9490740740740797E-2</v>
      </c>
    </row>
    <row r="3364" spans="1:27" x14ac:dyDescent="0.3">
      <c r="A3364" s="79" t="s">
        <v>10992</v>
      </c>
      <c r="C3364" s="115">
        <v>44048</v>
      </c>
      <c r="D3364" s="312">
        <v>44105</v>
      </c>
      <c r="E3364" s="81">
        <v>44098</v>
      </c>
      <c r="F3364" s="86" t="s">
        <v>10527</v>
      </c>
      <c r="G3364" s="86" t="s">
        <v>150</v>
      </c>
      <c r="H3364" s="96" t="s">
        <v>213</v>
      </c>
      <c r="I3364" s="97" t="s">
        <v>714</v>
      </c>
      <c r="J3364" s="73">
        <f t="shared" si="387"/>
        <v>1</v>
      </c>
      <c r="K3364" s="74" t="s">
        <v>204</v>
      </c>
      <c r="L3364" s="97" t="s">
        <v>11171</v>
      </c>
      <c r="N3364" s="76" t="s">
        <v>17</v>
      </c>
      <c r="Q3364" s="76" t="s">
        <v>5193</v>
      </c>
      <c r="R3364" s="73">
        <f t="shared" si="388"/>
        <v>1</v>
      </c>
      <c r="S3364" s="260" t="s">
        <v>1976</v>
      </c>
      <c r="T3364" s="260" t="s">
        <v>925</v>
      </c>
      <c r="Y3364" s="566">
        <v>0.60785879629629636</v>
      </c>
      <c r="Z3364" s="566">
        <v>0.61835648148148148</v>
      </c>
      <c r="AA3364" s="566">
        <f t="shared" si="389"/>
        <v>1.0497685185185124E-2</v>
      </c>
    </row>
    <row r="3365" spans="1:27" x14ac:dyDescent="0.3">
      <c r="A3365" s="79" t="s">
        <v>10993</v>
      </c>
      <c r="C3365" s="115">
        <v>44055</v>
      </c>
      <c r="D3365" s="312">
        <v>44104</v>
      </c>
      <c r="E3365" s="81">
        <v>44097</v>
      </c>
      <c r="F3365" s="86" t="s">
        <v>11073</v>
      </c>
      <c r="G3365" s="86" t="s">
        <v>177</v>
      </c>
      <c r="H3365" s="96" t="s">
        <v>213</v>
      </c>
      <c r="I3365" s="97" t="s">
        <v>714</v>
      </c>
      <c r="J3365" s="73">
        <f t="shared" ref="J3365:J3416" si="390">IF(OR(K3365="Документы готовы",K3365="Запрос в ФО",K3365="ЭЗ",K3365="РЕШ",K3365="РЕШ шаблон"),0.1,IF(OR(K3365="ЭЗ согласование",K3365="РЕШ согласование"),0.3,IF(OR(K3365="ЭЗ согласовано",K3365="РЕШ согласовано",K3365="РЕШ подписано"),0.6,IF(OR(K3365="ЭЗ ПР согласование",K3365="РЕШ УВ согласование"),0.9,IF(OR(K3365="ЭЗ ПР DONE",K3365="РЕШ УВ DONE"),1,0)))))</f>
        <v>1</v>
      </c>
      <c r="K3365" s="74" t="s">
        <v>204</v>
      </c>
      <c r="L3365" s="97" t="s">
        <v>7072</v>
      </c>
      <c r="N3365" s="76" t="s">
        <v>18</v>
      </c>
      <c r="Q3365" s="76" t="s">
        <v>2142</v>
      </c>
      <c r="R3365" s="73">
        <f t="shared" ref="R3365:R3416" si="391">IF(S3365="В работе",0.3,IF(S3365="Отписано",0.6,IF(S3365="На доработку",0.9,IF(S3365="Согласовано",1,0))))</f>
        <v>1</v>
      </c>
      <c r="S3365" s="260" t="s">
        <v>1976</v>
      </c>
      <c r="T3365" s="260" t="s">
        <v>925</v>
      </c>
      <c r="Y3365" s="566">
        <v>0.60430555555555554</v>
      </c>
      <c r="Z3365" s="566">
        <v>0.61810185185185185</v>
      </c>
      <c r="AA3365" s="566">
        <f t="shared" ref="AA3365:AA3416" si="392">Z3365-Y3365</f>
        <v>1.3796296296296306E-2</v>
      </c>
    </row>
    <row r="3366" spans="1:27" x14ac:dyDescent="0.3">
      <c r="A3366" s="79" t="s">
        <v>10994</v>
      </c>
      <c r="C3366" s="115">
        <v>44062</v>
      </c>
      <c r="D3366" s="312">
        <v>44105</v>
      </c>
      <c r="E3366" s="81">
        <v>44098</v>
      </c>
      <c r="F3366" s="86" t="s">
        <v>11074</v>
      </c>
      <c r="G3366" s="86" t="s">
        <v>152</v>
      </c>
      <c r="H3366" s="96" t="s">
        <v>213</v>
      </c>
      <c r="I3366" s="97" t="s">
        <v>649</v>
      </c>
      <c r="J3366" s="73">
        <f t="shared" si="390"/>
        <v>1</v>
      </c>
      <c r="K3366" s="74" t="s">
        <v>204</v>
      </c>
      <c r="L3366" s="97" t="s">
        <v>7060</v>
      </c>
      <c r="N3366" s="76" t="s">
        <v>17</v>
      </c>
      <c r="Q3366" s="76" t="s">
        <v>5193</v>
      </c>
      <c r="R3366" s="73">
        <f t="shared" si="391"/>
        <v>1</v>
      </c>
      <c r="S3366" s="260" t="s">
        <v>1976</v>
      </c>
      <c r="T3366" s="260" t="s">
        <v>923</v>
      </c>
      <c r="Y3366" s="566">
        <v>0.61894675925925924</v>
      </c>
      <c r="Z3366" s="566">
        <v>0.62728009259259265</v>
      </c>
      <c r="AA3366" s="566">
        <f t="shared" si="392"/>
        <v>8.3333333333334147E-3</v>
      </c>
    </row>
    <row r="3367" spans="1:27" x14ac:dyDescent="0.3">
      <c r="A3367" s="79" t="s">
        <v>10995</v>
      </c>
      <c r="C3367" s="115">
        <v>44062</v>
      </c>
      <c r="D3367" s="312">
        <v>44105</v>
      </c>
      <c r="E3367" s="81">
        <v>44099</v>
      </c>
      <c r="F3367" s="86" t="s">
        <v>7676</v>
      </c>
      <c r="G3367" s="86" t="s">
        <v>150</v>
      </c>
      <c r="H3367" s="96" t="s">
        <v>213</v>
      </c>
      <c r="I3367" s="97" t="s">
        <v>1113</v>
      </c>
      <c r="J3367" s="73">
        <f t="shared" si="390"/>
        <v>1</v>
      </c>
      <c r="K3367" s="74" t="s">
        <v>204</v>
      </c>
      <c r="L3367" s="97" t="s">
        <v>10634</v>
      </c>
      <c r="N3367" s="76" t="s">
        <v>18</v>
      </c>
      <c r="Q3367" s="76" t="s">
        <v>5193</v>
      </c>
      <c r="R3367" s="73">
        <f t="shared" si="391"/>
        <v>1</v>
      </c>
      <c r="S3367" s="260" t="s">
        <v>1976</v>
      </c>
      <c r="T3367" s="260" t="s">
        <v>923</v>
      </c>
      <c r="Y3367" s="566">
        <v>0.37928240740740743</v>
      </c>
      <c r="Z3367" s="566">
        <v>0.38626157407407408</v>
      </c>
      <c r="AA3367" s="566">
        <f t="shared" si="392"/>
        <v>6.9791666666666474E-3</v>
      </c>
    </row>
    <row r="3368" spans="1:27" x14ac:dyDescent="0.3">
      <c r="A3368" s="79" t="s">
        <v>10996</v>
      </c>
      <c r="C3368" s="115">
        <v>44063</v>
      </c>
      <c r="D3368" s="312">
        <v>44106</v>
      </c>
      <c r="E3368" s="81">
        <v>44102</v>
      </c>
      <c r="F3368" s="86" t="s">
        <v>7676</v>
      </c>
      <c r="G3368" s="86" t="s">
        <v>150</v>
      </c>
      <c r="H3368" s="96" t="s">
        <v>213</v>
      </c>
      <c r="I3368" s="97" t="s">
        <v>1113</v>
      </c>
      <c r="J3368" s="73">
        <f t="shared" si="390"/>
        <v>1</v>
      </c>
      <c r="K3368" s="74" t="s">
        <v>204</v>
      </c>
      <c r="L3368" s="97" t="s">
        <v>10634</v>
      </c>
      <c r="N3368" s="76" t="s">
        <v>18</v>
      </c>
      <c r="Q3368" s="76" t="s">
        <v>2076</v>
      </c>
      <c r="R3368" s="73">
        <f t="shared" si="391"/>
        <v>1</v>
      </c>
      <c r="S3368" s="260" t="s">
        <v>1976</v>
      </c>
      <c r="T3368" s="260" t="s">
        <v>925</v>
      </c>
      <c r="Y3368" s="566">
        <v>0.43273148148148149</v>
      </c>
      <c r="Z3368" s="566">
        <v>0.43940972222222219</v>
      </c>
      <c r="AA3368" s="566">
        <f t="shared" si="392"/>
        <v>6.678240740740693E-3</v>
      </c>
    </row>
    <row r="3369" spans="1:27" x14ac:dyDescent="0.3">
      <c r="A3369" s="79" t="s">
        <v>10997</v>
      </c>
      <c r="C3369" s="115">
        <v>44067</v>
      </c>
      <c r="D3369" s="312">
        <v>44103</v>
      </c>
      <c r="E3369" s="81">
        <v>44097</v>
      </c>
      <c r="F3369" s="86" t="s">
        <v>11075</v>
      </c>
      <c r="G3369" s="86" t="s">
        <v>166</v>
      </c>
      <c r="H3369" s="96" t="s">
        <v>213</v>
      </c>
      <c r="I3369" s="97" t="s">
        <v>642</v>
      </c>
      <c r="J3369" s="73">
        <f t="shared" si="390"/>
        <v>1</v>
      </c>
      <c r="K3369" s="74" t="s">
        <v>204</v>
      </c>
      <c r="L3369" s="97" t="s">
        <v>7069</v>
      </c>
      <c r="N3369" s="76" t="s">
        <v>18</v>
      </c>
      <c r="Q3369" s="76" t="s">
        <v>2076</v>
      </c>
      <c r="R3369" s="73">
        <f t="shared" si="391"/>
        <v>1</v>
      </c>
      <c r="S3369" s="260" t="s">
        <v>1976</v>
      </c>
      <c r="T3369" s="260" t="s">
        <v>925</v>
      </c>
      <c r="Y3369" s="566">
        <v>0.44067129629629626</v>
      </c>
      <c r="Z3369" s="566">
        <v>0.45628472222222222</v>
      </c>
      <c r="AA3369" s="566">
        <f t="shared" si="392"/>
        <v>1.5613425925925961E-2</v>
      </c>
    </row>
    <row r="3370" spans="1:27" x14ac:dyDescent="0.3">
      <c r="A3370" s="79" t="s">
        <v>10998</v>
      </c>
      <c r="C3370" s="115">
        <v>44067</v>
      </c>
      <c r="D3370" s="312">
        <v>44102</v>
      </c>
      <c r="E3370" s="81">
        <v>44099</v>
      </c>
      <c r="F3370" s="86" t="s">
        <v>11076</v>
      </c>
      <c r="G3370" s="86" t="s">
        <v>157</v>
      </c>
      <c r="H3370" s="96" t="s">
        <v>213</v>
      </c>
      <c r="I3370" s="97" t="s">
        <v>714</v>
      </c>
      <c r="J3370" s="73">
        <f t="shared" si="390"/>
        <v>1</v>
      </c>
      <c r="K3370" s="74" t="s">
        <v>204</v>
      </c>
      <c r="L3370" s="97" t="s">
        <v>7729</v>
      </c>
      <c r="N3370" s="76" t="s">
        <v>17</v>
      </c>
      <c r="Q3370" s="76" t="s">
        <v>2142</v>
      </c>
      <c r="R3370" s="73">
        <f t="shared" si="391"/>
        <v>1</v>
      </c>
      <c r="S3370" s="260" t="s">
        <v>1976</v>
      </c>
      <c r="T3370" s="260" t="s">
        <v>923</v>
      </c>
      <c r="Y3370" s="566">
        <v>0.62354166666666666</v>
      </c>
      <c r="Z3370" s="566">
        <v>0.6404629629629629</v>
      </c>
      <c r="AA3370" s="566">
        <f t="shared" si="392"/>
        <v>1.692129629629624E-2</v>
      </c>
    </row>
    <row r="3371" spans="1:27" x14ac:dyDescent="0.3">
      <c r="A3371" s="79" t="s">
        <v>10999</v>
      </c>
      <c r="C3371" s="115">
        <v>44067</v>
      </c>
      <c r="D3371" s="312">
        <v>44102</v>
      </c>
      <c r="E3371" s="81">
        <v>44096</v>
      </c>
      <c r="F3371" s="86" t="s">
        <v>11077</v>
      </c>
      <c r="G3371" s="86" t="s">
        <v>1682</v>
      </c>
      <c r="H3371" s="96" t="s">
        <v>213</v>
      </c>
      <c r="I3371" s="97" t="s">
        <v>642</v>
      </c>
      <c r="J3371" s="73">
        <f t="shared" si="390"/>
        <v>1</v>
      </c>
      <c r="K3371" s="74" t="s">
        <v>204</v>
      </c>
      <c r="L3371" s="97" t="s">
        <v>8389</v>
      </c>
      <c r="N3371" s="76" t="s">
        <v>17</v>
      </c>
      <c r="Q3371" s="76" t="s">
        <v>5193</v>
      </c>
      <c r="R3371" s="73">
        <f t="shared" si="391"/>
        <v>1</v>
      </c>
      <c r="S3371" s="260" t="s">
        <v>1976</v>
      </c>
      <c r="T3371" s="260" t="s">
        <v>923</v>
      </c>
      <c r="Y3371" s="566">
        <v>0.43483796296296301</v>
      </c>
      <c r="Z3371" s="566">
        <v>0.44109953703703703</v>
      </c>
      <c r="AA3371" s="566">
        <f t="shared" si="392"/>
        <v>6.2615740740740167E-3</v>
      </c>
    </row>
    <row r="3372" spans="1:27" x14ac:dyDescent="0.3">
      <c r="A3372" s="79" t="s">
        <v>11000</v>
      </c>
      <c r="C3372" s="115">
        <v>44067</v>
      </c>
      <c r="D3372" s="312">
        <v>44102</v>
      </c>
      <c r="E3372" s="81">
        <v>44096</v>
      </c>
      <c r="F3372" s="86" t="s">
        <v>11078</v>
      </c>
      <c r="G3372" s="86" t="s">
        <v>410</v>
      </c>
      <c r="H3372" s="96" t="s">
        <v>213</v>
      </c>
      <c r="I3372" s="97" t="s">
        <v>714</v>
      </c>
      <c r="J3372" s="73">
        <f t="shared" si="390"/>
        <v>1</v>
      </c>
      <c r="K3372" s="74" t="s">
        <v>204</v>
      </c>
      <c r="L3372" s="97" t="s">
        <v>7336</v>
      </c>
      <c r="N3372" s="76" t="s">
        <v>18</v>
      </c>
      <c r="Q3372" s="76" t="s">
        <v>2076</v>
      </c>
      <c r="R3372" s="73">
        <f t="shared" si="391"/>
        <v>1</v>
      </c>
      <c r="S3372" s="260" t="s">
        <v>1976</v>
      </c>
      <c r="T3372" s="260" t="s">
        <v>923</v>
      </c>
      <c r="Y3372" s="566">
        <v>0.53350694444444446</v>
      </c>
      <c r="Z3372" s="566">
        <v>0.53684027777777776</v>
      </c>
      <c r="AA3372" s="566">
        <f t="shared" si="392"/>
        <v>3.3333333333332993E-3</v>
      </c>
    </row>
    <row r="3373" spans="1:27" x14ac:dyDescent="0.3">
      <c r="A3373" s="79" t="s">
        <v>11001</v>
      </c>
      <c r="C3373" s="115">
        <v>44067</v>
      </c>
      <c r="D3373" s="312">
        <v>44102</v>
      </c>
      <c r="E3373" s="81">
        <v>44096</v>
      </c>
      <c r="F3373" s="86" t="s">
        <v>11079</v>
      </c>
      <c r="G3373" s="86" t="s">
        <v>157</v>
      </c>
      <c r="H3373" s="96" t="s">
        <v>213</v>
      </c>
      <c r="I3373" s="97" t="s">
        <v>645</v>
      </c>
      <c r="J3373" s="73">
        <f t="shared" si="390"/>
        <v>1</v>
      </c>
      <c r="K3373" s="74" t="s">
        <v>204</v>
      </c>
      <c r="L3373" s="97" t="s">
        <v>11164</v>
      </c>
      <c r="N3373" s="76" t="s">
        <v>17</v>
      </c>
      <c r="Q3373" s="76" t="s">
        <v>5193</v>
      </c>
      <c r="R3373" s="73">
        <f t="shared" si="391"/>
        <v>1</v>
      </c>
      <c r="S3373" s="260" t="s">
        <v>1976</v>
      </c>
      <c r="T3373" s="260" t="s">
        <v>925</v>
      </c>
      <c r="U3373" s="76" t="s">
        <v>5283</v>
      </c>
      <c r="V3373" s="301" t="s">
        <v>11155</v>
      </c>
      <c r="Y3373" s="566">
        <v>0.4435763888888889</v>
      </c>
      <c r="Z3373" s="566">
        <v>0.46355324074074072</v>
      </c>
      <c r="AA3373" s="566">
        <f t="shared" si="392"/>
        <v>1.9976851851851829E-2</v>
      </c>
    </row>
    <row r="3374" spans="1:27" x14ac:dyDescent="0.3">
      <c r="A3374" s="79" t="s">
        <v>11002</v>
      </c>
      <c r="C3374" s="115">
        <v>44067</v>
      </c>
      <c r="D3374" s="312">
        <v>44102</v>
      </c>
      <c r="E3374" s="81">
        <v>44096</v>
      </c>
      <c r="F3374" s="86" t="s">
        <v>11080</v>
      </c>
      <c r="G3374" s="86" t="s">
        <v>152</v>
      </c>
      <c r="H3374" s="96" t="s">
        <v>213</v>
      </c>
      <c r="I3374" s="97" t="s">
        <v>4589</v>
      </c>
      <c r="J3374" s="73">
        <f t="shared" si="390"/>
        <v>1</v>
      </c>
      <c r="K3374" s="74" t="s">
        <v>204</v>
      </c>
      <c r="L3374" s="97" t="s">
        <v>11157</v>
      </c>
      <c r="N3374" s="76" t="s">
        <v>17</v>
      </c>
      <c r="Q3374" s="76" t="s">
        <v>2076</v>
      </c>
      <c r="R3374" s="73">
        <f t="shared" si="391"/>
        <v>1</v>
      </c>
      <c r="S3374" s="260" t="s">
        <v>1976</v>
      </c>
      <c r="T3374" s="260" t="s">
        <v>923</v>
      </c>
      <c r="Y3374" s="566">
        <v>0.52430555555555558</v>
      </c>
      <c r="Z3374" s="566">
        <v>0.53230324074074076</v>
      </c>
      <c r="AA3374" s="566">
        <f t="shared" si="392"/>
        <v>7.9976851851851771E-3</v>
      </c>
    </row>
    <row r="3375" spans="1:27" x14ac:dyDescent="0.3">
      <c r="A3375" s="79" t="s">
        <v>11003</v>
      </c>
      <c r="C3375" s="115">
        <v>44067</v>
      </c>
      <c r="D3375" s="312">
        <v>44102</v>
      </c>
      <c r="E3375" s="81">
        <v>44096</v>
      </c>
      <c r="F3375" s="86" t="s">
        <v>11081</v>
      </c>
      <c r="G3375" s="86" t="s">
        <v>154</v>
      </c>
      <c r="H3375" s="96" t="s">
        <v>213</v>
      </c>
      <c r="I3375" s="97" t="s">
        <v>722</v>
      </c>
      <c r="J3375" s="73">
        <f t="shared" si="390"/>
        <v>1</v>
      </c>
      <c r="K3375" s="74" t="s">
        <v>204</v>
      </c>
      <c r="L3375" s="97" t="s">
        <v>7742</v>
      </c>
      <c r="N3375" s="76" t="s">
        <v>18</v>
      </c>
      <c r="Q3375" s="76" t="s">
        <v>5193</v>
      </c>
      <c r="R3375" s="73">
        <f t="shared" si="391"/>
        <v>1</v>
      </c>
      <c r="S3375" s="260" t="s">
        <v>1976</v>
      </c>
      <c r="T3375" s="260" t="s">
        <v>923</v>
      </c>
      <c r="Y3375" s="566">
        <v>0.46431712962962962</v>
      </c>
      <c r="Z3375" s="566">
        <v>0.52103009259259259</v>
      </c>
      <c r="AA3375" s="566">
        <f t="shared" si="392"/>
        <v>5.6712962962962965E-2</v>
      </c>
    </row>
    <row r="3376" spans="1:27" x14ac:dyDescent="0.3">
      <c r="A3376" s="79" t="s">
        <v>11004</v>
      </c>
      <c r="C3376" s="115">
        <v>44067</v>
      </c>
      <c r="D3376" s="312">
        <v>44102</v>
      </c>
      <c r="E3376" s="81">
        <v>44095</v>
      </c>
      <c r="F3376" s="86" t="s">
        <v>11082</v>
      </c>
      <c r="G3376" s="86" t="s">
        <v>150</v>
      </c>
      <c r="H3376" s="96" t="s">
        <v>213</v>
      </c>
      <c r="I3376" s="97" t="s">
        <v>714</v>
      </c>
      <c r="J3376" s="73">
        <f t="shared" si="390"/>
        <v>1</v>
      </c>
      <c r="K3376" s="74" t="s">
        <v>204</v>
      </c>
      <c r="L3376" s="97" t="s">
        <v>11150</v>
      </c>
      <c r="N3376" s="76" t="s">
        <v>17</v>
      </c>
      <c r="Q3376" s="76" t="s">
        <v>2037</v>
      </c>
      <c r="R3376" s="73">
        <f t="shared" si="391"/>
        <v>1</v>
      </c>
      <c r="S3376" s="260" t="s">
        <v>1976</v>
      </c>
      <c r="T3376" s="260" t="s">
        <v>925</v>
      </c>
      <c r="U3376" s="76" t="s">
        <v>5283</v>
      </c>
      <c r="V3376" s="301" t="s">
        <v>11149</v>
      </c>
      <c r="Y3376" s="566">
        <v>0.82525462962962959</v>
      </c>
      <c r="Z3376" s="566">
        <v>0.84376157407407415</v>
      </c>
      <c r="AA3376" s="566">
        <f t="shared" si="392"/>
        <v>1.8506944444444562E-2</v>
      </c>
    </row>
    <row r="3377" spans="1:27" x14ac:dyDescent="0.3">
      <c r="A3377" s="79" t="s">
        <v>11005</v>
      </c>
      <c r="C3377" s="115">
        <v>44067</v>
      </c>
      <c r="D3377" s="312">
        <v>44103</v>
      </c>
      <c r="E3377" s="81">
        <v>44096</v>
      </c>
      <c r="F3377" s="86" t="s">
        <v>11083</v>
      </c>
      <c r="G3377" s="86" t="s">
        <v>150</v>
      </c>
      <c r="H3377" s="96" t="s">
        <v>213</v>
      </c>
      <c r="I3377" s="97" t="s">
        <v>714</v>
      </c>
      <c r="J3377" s="73">
        <f t="shared" si="390"/>
        <v>1</v>
      </c>
      <c r="K3377" s="74" t="s">
        <v>204</v>
      </c>
      <c r="L3377" s="97" t="s">
        <v>7349</v>
      </c>
      <c r="N3377" s="76" t="s">
        <v>17</v>
      </c>
      <c r="Q3377" s="76" t="s">
        <v>5193</v>
      </c>
      <c r="R3377" s="73">
        <f t="shared" si="391"/>
        <v>1</v>
      </c>
      <c r="S3377" s="260" t="s">
        <v>1976</v>
      </c>
      <c r="T3377" s="260" t="s">
        <v>923</v>
      </c>
      <c r="Y3377" s="566">
        <v>0.86090277777777768</v>
      </c>
      <c r="Z3377" s="566">
        <v>0.87567129629629636</v>
      </c>
      <c r="AA3377" s="566">
        <f t="shared" si="392"/>
        <v>1.4768518518518681E-2</v>
      </c>
    </row>
    <row r="3378" spans="1:27" x14ac:dyDescent="0.3">
      <c r="A3378" s="79" t="s">
        <v>11006</v>
      </c>
      <c r="C3378" s="115">
        <v>44067</v>
      </c>
      <c r="D3378" s="312">
        <v>44102</v>
      </c>
      <c r="E3378" s="81">
        <v>44095</v>
      </c>
      <c r="F3378" s="86" t="s">
        <v>11084</v>
      </c>
      <c r="G3378" s="86" t="s">
        <v>187</v>
      </c>
      <c r="H3378" s="96" t="s">
        <v>213</v>
      </c>
      <c r="I3378" s="97" t="s">
        <v>642</v>
      </c>
      <c r="J3378" s="73">
        <f t="shared" si="390"/>
        <v>1</v>
      </c>
      <c r="K3378" s="74" t="s">
        <v>204</v>
      </c>
      <c r="L3378" s="97" t="s">
        <v>7108</v>
      </c>
      <c r="N3378" s="76" t="s">
        <v>18</v>
      </c>
      <c r="Q3378" s="76" t="s">
        <v>2037</v>
      </c>
      <c r="R3378" s="73">
        <f t="shared" si="391"/>
        <v>1</v>
      </c>
      <c r="S3378" s="260" t="s">
        <v>1976</v>
      </c>
      <c r="T3378" s="260" t="s">
        <v>923</v>
      </c>
      <c r="Y3378" s="566">
        <v>0.85159722222222223</v>
      </c>
      <c r="Z3378" s="566">
        <v>0.85663194444444446</v>
      </c>
      <c r="AA3378" s="566">
        <f t="shared" si="392"/>
        <v>5.0347222222222321E-3</v>
      </c>
    </row>
    <row r="3379" spans="1:27" x14ac:dyDescent="0.3">
      <c r="A3379" s="79" t="s">
        <v>11007</v>
      </c>
      <c r="C3379" s="115">
        <v>44067</v>
      </c>
      <c r="D3379" s="312">
        <v>44102</v>
      </c>
      <c r="E3379" s="81">
        <v>44095</v>
      </c>
      <c r="F3379" s="86" t="s">
        <v>11085</v>
      </c>
      <c r="G3379" s="86" t="s">
        <v>177</v>
      </c>
      <c r="H3379" s="96" t="s">
        <v>213</v>
      </c>
      <c r="I3379" s="97" t="s">
        <v>642</v>
      </c>
      <c r="J3379" s="73">
        <f t="shared" si="390"/>
        <v>1</v>
      </c>
      <c r="K3379" s="74" t="s">
        <v>204</v>
      </c>
      <c r="L3379" s="97" t="s">
        <v>8302</v>
      </c>
      <c r="N3379" s="76" t="s">
        <v>18</v>
      </c>
      <c r="Q3379" s="76" t="s">
        <v>2037</v>
      </c>
      <c r="R3379" s="73">
        <f t="shared" si="391"/>
        <v>1</v>
      </c>
      <c r="S3379" s="260" t="s">
        <v>1976</v>
      </c>
      <c r="T3379" s="260" t="s">
        <v>923</v>
      </c>
      <c r="Y3379" s="566">
        <v>0.8571875000000001</v>
      </c>
      <c r="Z3379" s="566">
        <v>0.86133101851851857</v>
      </c>
      <c r="AA3379" s="566">
        <f t="shared" si="392"/>
        <v>4.1435185185184631E-3</v>
      </c>
    </row>
    <row r="3380" spans="1:27" x14ac:dyDescent="0.3">
      <c r="A3380" s="79" t="s">
        <v>11008</v>
      </c>
      <c r="C3380" s="115">
        <v>44067</v>
      </c>
      <c r="D3380" s="312">
        <v>44102</v>
      </c>
      <c r="E3380" s="81">
        <v>44095</v>
      </c>
      <c r="F3380" s="86" t="s">
        <v>11086</v>
      </c>
      <c r="G3380" s="86" t="s">
        <v>152</v>
      </c>
      <c r="H3380" s="96" t="s">
        <v>213</v>
      </c>
      <c r="I3380" s="97" t="s">
        <v>642</v>
      </c>
      <c r="J3380" s="73">
        <f t="shared" si="390"/>
        <v>1</v>
      </c>
      <c r="K3380" s="74" t="s">
        <v>204</v>
      </c>
      <c r="L3380" s="97" t="s">
        <v>7110</v>
      </c>
      <c r="N3380" s="76" t="s">
        <v>18</v>
      </c>
      <c r="Q3380" s="76" t="s">
        <v>2037</v>
      </c>
      <c r="R3380" s="73">
        <f t="shared" si="391"/>
        <v>1</v>
      </c>
      <c r="S3380" s="260" t="s">
        <v>1976</v>
      </c>
      <c r="T3380" s="260" t="s">
        <v>923</v>
      </c>
      <c r="Y3380" s="566">
        <v>0.82086805555555553</v>
      </c>
      <c r="Z3380" s="566">
        <v>0.82467592592592587</v>
      </c>
      <c r="AA3380" s="566">
        <f t="shared" si="392"/>
        <v>3.8078703703703365E-3</v>
      </c>
    </row>
    <row r="3381" spans="1:27" x14ac:dyDescent="0.3">
      <c r="A3381" s="79" t="s">
        <v>11009</v>
      </c>
      <c r="C3381" s="115">
        <v>44067</v>
      </c>
      <c r="D3381" s="312">
        <v>44102</v>
      </c>
      <c r="E3381" s="81">
        <v>44096</v>
      </c>
      <c r="F3381" s="86" t="s">
        <v>11087</v>
      </c>
      <c r="G3381" s="86" t="s">
        <v>150</v>
      </c>
      <c r="H3381" s="96" t="s">
        <v>213</v>
      </c>
      <c r="I3381" s="97" t="s">
        <v>642</v>
      </c>
      <c r="J3381" s="73">
        <f t="shared" si="390"/>
        <v>1</v>
      </c>
      <c r="K3381" s="74" t="s">
        <v>204</v>
      </c>
      <c r="L3381" s="97" t="s">
        <v>7108</v>
      </c>
      <c r="N3381" s="76" t="s">
        <v>18</v>
      </c>
      <c r="Q3381" s="76" t="s">
        <v>2142</v>
      </c>
      <c r="R3381" s="73">
        <f t="shared" si="391"/>
        <v>1</v>
      </c>
      <c r="S3381" s="260" t="s">
        <v>1976</v>
      </c>
      <c r="T3381" s="260" t="s">
        <v>925</v>
      </c>
      <c r="Y3381" s="566">
        <v>0.54563657407407407</v>
      </c>
      <c r="Z3381" s="566">
        <v>0.57422453703703702</v>
      </c>
      <c r="AA3381" s="566">
        <f t="shared" si="392"/>
        <v>2.8587962962962954E-2</v>
      </c>
    </row>
    <row r="3382" spans="1:27" x14ac:dyDescent="0.3">
      <c r="A3382" s="79" t="s">
        <v>11010</v>
      </c>
      <c r="C3382" s="115">
        <v>44068</v>
      </c>
      <c r="D3382" s="312">
        <v>44103</v>
      </c>
      <c r="E3382" s="81">
        <v>44095</v>
      </c>
      <c r="F3382" s="86" t="s">
        <v>11088</v>
      </c>
      <c r="G3382" s="86" t="s">
        <v>150</v>
      </c>
      <c r="H3382" s="96" t="s">
        <v>213</v>
      </c>
      <c r="I3382" s="97" t="s">
        <v>642</v>
      </c>
      <c r="J3382" s="73">
        <f t="shared" si="390"/>
        <v>1</v>
      </c>
      <c r="K3382" s="74" t="s">
        <v>204</v>
      </c>
      <c r="L3382" s="97" t="s">
        <v>7108</v>
      </c>
      <c r="N3382" s="76" t="s">
        <v>18</v>
      </c>
      <c r="Q3382" s="76" t="s">
        <v>2037</v>
      </c>
      <c r="R3382" s="73">
        <f t="shared" si="391"/>
        <v>1</v>
      </c>
      <c r="S3382" s="260" t="s">
        <v>1976</v>
      </c>
      <c r="T3382" s="260" t="s">
        <v>923</v>
      </c>
      <c r="Y3382" s="566">
        <v>0.80541666666666656</v>
      </c>
      <c r="Z3382" s="566">
        <v>0.80829861111111112</v>
      </c>
      <c r="AA3382" s="566">
        <f t="shared" si="392"/>
        <v>2.8819444444445619E-3</v>
      </c>
    </row>
    <row r="3383" spans="1:27" x14ac:dyDescent="0.3">
      <c r="A3383" s="96" t="s">
        <v>11011</v>
      </c>
      <c r="C3383" s="115">
        <v>44068</v>
      </c>
      <c r="D3383" s="312">
        <v>44103</v>
      </c>
      <c r="E3383" s="81">
        <v>44097</v>
      </c>
      <c r="F3383" s="86" t="s">
        <v>11089</v>
      </c>
      <c r="G3383" s="86" t="s">
        <v>164</v>
      </c>
      <c r="H3383" s="96" t="s">
        <v>213</v>
      </c>
      <c r="I3383" s="97" t="s">
        <v>642</v>
      </c>
      <c r="J3383" s="73">
        <f t="shared" si="390"/>
        <v>1</v>
      </c>
      <c r="K3383" s="74" t="s">
        <v>204</v>
      </c>
      <c r="L3383" s="97" t="s">
        <v>8389</v>
      </c>
      <c r="N3383" s="76" t="s">
        <v>18</v>
      </c>
      <c r="Q3383" s="76" t="s">
        <v>2076</v>
      </c>
      <c r="R3383" s="73">
        <f t="shared" si="391"/>
        <v>1</v>
      </c>
      <c r="S3383" s="260" t="s">
        <v>1976</v>
      </c>
      <c r="T3383" s="260" t="s">
        <v>925</v>
      </c>
      <c r="Y3383" s="566">
        <v>0.54417824074074073</v>
      </c>
      <c r="Z3383" s="566">
        <v>0.551875</v>
      </c>
      <c r="AA3383" s="566">
        <f t="shared" si="392"/>
        <v>7.6967592592592782E-3</v>
      </c>
    </row>
    <row r="3384" spans="1:27" x14ac:dyDescent="0.3">
      <c r="A3384" s="79" t="s">
        <v>11012</v>
      </c>
      <c r="C3384" s="115">
        <v>44068</v>
      </c>
      <c r="D3384" s="312">
        <v>44103</v>
      </c>
      <c r="E3384" s="81">
        <v>44096</v>
      </c>
      <c r="F3384" s="86" t="s">
        <v>11090</v>
      </c>
      <c r="G3384" s="86" t="s">
        <v>9119</v>
      </c>
      <c r="H3384" s="79" t="s">
        <v>268</v>
      </c>
      <c r="I3384" s="97" t="s">
        <v>642</v>
      </c>
      <c r="J3384" s="73">
        <f t="shared" si="390"/>
        <v>1</v>
      </c>
      <c r="K3384" s="74" t="s">
        <v>204</v>
      </c>
      <c r="L3384" s="97" t="s">
        <v>7108</v>
      </c>
      <c r="N3384" s="76" t="s">
        <v>18</v>
      </c>
      <c r="Q3384" s="76" t="s">
        <v>2142</v>
      </c>
      <c r="R3384" s="73">
        <f t="shared" si="391"/>
        <v>1</v>
      </c>
      <c r="S3384" s="260" t="s">
        <v>1976</v>
      </c>
      <c r="T3384" s="260" t="s">
        <v>925</v>
      </c>
      <c r="Y3384" s="566">
        <v>0.69456018518518514</v>
      </c>
      <c r="Z3384" s="566">
        <v>0.71431712962962957</v>
      </c>
      <c r="AA3384" s="566">
        <f t="shared" si="392"/>
        <v>1.9756944444444424E-2</v>
      </c>
    </row>
    <row r="3385" spans="1:27" x14ac:dyDescent="0.3">
      <c r="A3385" s="79" t="s">
        <v>11013</v>
      </c>
      <c r="C3385" s="115">
        <v>44068</v>
      </c>
      <c r="D3385" s="312">
        <v>44103</v>
      </c>
      <c r="E3385" s="81">
        <v>44096</v>
      </c>
      <c r="F3385" s="86" t="s">
        <v>11091</v>
      </c>
      <c r="G3385" s="86" t="s">
        <v>166</v>
      </c>
      <c r="H3385" s="96" t="s">
        <v>213</v>
      </c>
      <c r="I3385" s="97" t="s">
        <v>642</v>
      </c>
      <c r="J3385" s="73">
        <f t="shared" si="390"/>
        <v>1</v>
      </c>
      <c r="K3385" s="74" t="s">
        <v>204</v>
      </c>
      <c r="L3385" s="97" t="s">
        <v>7108</v>
      </c>
      <c r="N3385" s="76" t="s">
        <v>17</v>
      </c>
      <c r="Q3385" s="76" t="s">
        <v>5193</v>
      </c>
      <c r="R3385" s="73">
        <f t="shared" si="391"/>
        <v>1</v>
      </c>
      <c r="S3385" s="260" t="s">
        <v>1976</v>
      </c>
      <c r="T3385" s="260" t="s">
        <v>925</v>
      </c>
      <c r="Y3385" s="566">
        <v>0.87594907407407396</v>
      </c>
      <c r="Z3385" s="566">
        <v>0.88138888888888889</v>
      </c>
      <c r="AA3385" s="566">
        <f t="shared" si="392"/>
        <v>5.439814814814925E-3</v>
      </c>
    </row>
    <row r="3386" spans="1:27" x14ac:dyDescent="0.3">
      <c r="A3386" s="79" t="s">
        <v>11014</v>
      </c>
      <c r="C3386" s="115">
        <v>44068</v>
      </c>
      <c r="D3386" s="312">
        <v>44103</v>
      </c>
      <c r="E3386" s="81">
        <v>44095</v>
      </c>
      <c r="F3386" s="86" t="s">
        <v>11092</v>
      </c>
      <c r="G3386" s="86" t="s">
        <v>2718</v>
      </c>
      <c r="H3386" s="96" t="s">
        <v>213</v>
      </c>
      <c r="I3386" s="97" t="s">
        <v>714</v>
      </c>
      <c r="J3386" s="73">
        <f t="shared" si="390"/>
        <v>1</v>
      </c>
      <c r="K3386" s="74" t="s">
        <v>204</v>
      </c>
      <c r="L3386" s="97" t="s">
        <v>11148</v>
      </c>
      <c r="N3386" s="76" t="s">
        <v>17</v>
      </c>
      <c r="Q3386" s="76" t="s">
        <v>2037</v>
      </c>
      <c r="R3386" s="73">
        <f t="shared" si="391"/>
        <v>1</v>
      </c>
      <c r="S3386" s="260" t="s">
        <v>1976</v>
      </c>
      <c r="T3386" s="260" t="s">
        <v>923</v>
      </c>
      <c r="Y3386" s="566">
        <v>0.80879629629629635</v>
      </c>
      <c r="Z3386" s="566">
        <v>0.81960648148148152</v>
      </c>
      <c r="AA3386" s="566">
        <f t="shared" si="392"/>
        <v>1.0810185185185173E-2</v>
      </c>
    </row>
    <row r="3387" spans="1:27" x14ac:dyDescent="0.3">
      <c r="A3387" s="79" t="s">
        <v>11015</v>
      </c>
      <c r="C3387" s="115">
        <v>44068</v>
      </c>
      <c r="D3387" s="312">
        <v>44103</v>
      </c>
      <c r="E3387" s="81">
        <v>44096</v>
      </c>
      <c r="F3387" s="86" t="s">
        <v>11093</v>
      </c>
      <c r="G3387" s="86" t="s">
        <v>147</v>
      </c>
      <c r="H3387" s="96" t="s">
        <v>213</v>
      </c>
      <c r="I3387" s="97" t="s">
        <v>714</v>
      </c>
      <c r="J3387" s="73">
        <f t="shared" si="390"/>
        <v>1</v>
      </c>
      <c r="K3387" s="74" t="s">
        <v>204</v>
      </c>
      <c r="L3387" s="97" t="s">
        <v>7532</v>
      </c>
      <c r="N3387" s="76" t="s">
        <v>18</v>
      </c>
      <c r="Q3387" s="76" t="s">
        <v>2142</v>
      </c>
      <c r="R3387" s="73">
        <f t="shared" si="391"/>
        <v>1</v>
      </c>
      <c r="S3387" s="260" t="s">
        <v>1976</v>
      </c>
      <c r="T3387" s="260" t="s">
        <v>923</v>
      </c>
      <c r="Y3387" s="566">
        <v>0.71484953703703702</v>
      </c>
      <c r="Z3387" s="566">
        <v>0.72751157407407396</v>
      </c>
      <c r="AA3387" s="566">
        <f t="shared" si="392"/>
        <v>1.2662037037036944E-2</v>
      </c>
    </row>
    <row r="3388" spans="1:27" x14ac:dyDescent="0.3">
      <c r="A3388" s="79" t="s">
        <v>11016</v>
      </c>
      <c r="C3388" s="115">
        <v>44069</v>
      </c>
      <c r="D3388" s="312">
        <v>44104</v>
      </c>
      <c r="E3388" s="81">
        <v>44098</v>
      </c>
      <c r="F3388" s="86" t="s">
        <v>11094</v>
      </c>
      <c r="G3388" s="86" t="s">
        <v>152</v>
      </c>
      <c r="H3388" s="96" t="s">
        <v>213</v>
      </c>
      <c r="I3388" s="97" t="s">
        <v>642</v>
      </c>
      <c r="J3388" s="73">
        <f t="shared" si="390"/>
        <v>1</v>
      </c>
      <c r="K3388" s="74" t="s">
        <v>204</v>
      </c>
      <c r="L3388" s="97" t="s">
        <v>7069</v>
      </c>
      <c r="N3388" s="76" t="s">
        <v>18</v>
      </c>
      <c r="Q3388" s="76" t="s">
        <v>2076</v>
      </c>
      <c r="R3388" s="73">
        <f t="shared" si="391"/>
        <v>1</v>
      </c>
      <c r="S3388" s="260" t="s">
        <v>1976</v>
      </c>
      <c r="T3388" s="260" t="s">
        <v>923</v>
      </c>
      <c r="Y3388" s="566">
        <v>0.48671296296296296</v>
      </c>
      <c r="Z3388" s="566">
        <v>0.49201388888888892</v>
      </c>
      <c r="AA3388" s="566">
        <f t="shared" si="392"/>
        <v>5.3009259259259589E-3</v>
      </c>
    </row>
    <row r="3389" spans="1:27" x14ac:dyDescent="0.3">
      <c r="A3389" s="79" t="s">
        <v>11017</v>
      </c>
      <c r="C3389" s="115">
        <v>44068</v>
      </c>
      <c r="D3389" s="312">
        <v>44104</v>
      </c>
      <c r="E3389" s="81">
        <v>44097</v>
      </c>
      <c r="F3389" s="86" t="s">
        <v>11095</v>
      </c>
      <c r="G3389" s="86" t="s">
        <v>154</v>
      </c>
      <c r="H3389" s="96" t="s">
        <v>213</v>
      </c>
      <c r="I3389" s="97" t="s">
        <v>714</v>
      </c>
      <c r="J3389" s="73">
        <f t="shared" si="390"/>
        <v>1</v>
      </c>
      <c r="K3389" s="74" t="s">
        <v>204</v>
      </c>
      <c r="L3389" s="97" t="s">
        <v>11166</v>
      </c>
      <c r="N3389" s="76" t="s">
        <v>17</v>
      </c>
      <c r="Q3389" s="76" t="s">
        <v>2142</v>
      </c>
      <c r="R3389" s="73">
        <f t="shared" si="391"/>
        <v>1</v>
      </c>
      <c r="S3389" s="260" t="s">
        <v>1976</v>
      </c>
      <c r="T3389" s="260" t="s">
        <v>923</v>
      </c>
      <c r="Y3389" s="566">
        <v>0.68604166666666666</v>
      </c>
      <c r="Z3389" s="566">
        <v>0.69127314814814811</v>
      </c>
      <c r="AA3389" s="566">
        <f t="shared" si="392"/>
        <v>5.2314814814814481E-3</v>
      </c>
    </row>
    <row r="3390" spans="1:27" x14ac:dyDescent="0.3">
      <c r="A3390" s="79" t="s">
        <v>11018</v>
      </c>
      <c r="C3390" s="115">
        <v>44069</v>
      </c>
      <c r="D3390" s="312">
        <v>44104</v>
      </c>
      <c r="E3390" s="81">
        <v>44098</v>
      </c>
      <c r="F3390" s="86" t="s">
        <v>11096</v>
      </c>
      <c r="G3390" s="86" t="s">
        <v>3771</v>
      </c>
      <c r="H3390" s="96" t="s">
        <v>213</v>
      </c>
      <c r="I3390" s="97" t="s">
        <v>714</v>
      </c>
      <c r="J3390" s="73">
        <f t="shared" si="390"/>
        <v>1</v>
      </c>
      <c r="K3390" s="74" t="s">
        <v>204</v>
      </c>
      <c r="L3390" s="97" t="s">
        <v>7072</v>
      </c>
      <c r="N3390" s="76" t="s">
        <v>18</v>
      </c>
      <c r="Q3390" s="76" t="s">
        <v>2076</v>
      </c>
      <c r="R3390" s="73">
        <f t="shared" si="391"/>
        <v>1</v>
      </c>
      <c r="S3390" s="260" t="s">
        <v>1976</v>
      </c>
      <c r="T3390" s="260" t="s">
        <v>923</v>
      </c>
      <c r="Y3390" s="566">
        <v>0.46997685185185184</v>
      </c>
      <c r="Z3390" s="566">
        <v>0.47875000000000001</v>
      </c>
      <c r="AA3390" s="566">
        <f t="shared" si="392"/>
        <v>8.7731481481481688E-3</v>
      </c>
    </row>
    <row r="3391" spans="1:27" x14ac:dyDescent="0.3">
      <c r="A3391" s="79" t="s">
        <v>11019</v>
      </c>
      <c r="C3391" s="115">
        <v>44069</v>
      </c>
      <c r="D3391" s="312">
        <v>44105</v>
      </c>
      <c r="E3391" s="81">
        <v>44101</v>
      </c>
      <c r="F3391" s="86" t="s">
        <v>11097</v>
      </c>
      <c r="G3391" s="86" t="s">
        <v>152</v>
      </c>
      <c r="H3391" s="96" t="s">
        <v>213</v>
      </c>
      <c r="I3391" s="97" t="s">
        <v>714</v>
      </c>
      <c r="J3391" s="73">
        <f t="shared" si="390"/>
        <v>1</v>
      </c>
      <c r="K3391" s="74" t="s">
        <v>204</v>
      </c>
      <c r="L3391" s="97" t="s">
        <v>11183</v>
      </c>
      <c r="N3391" s="76" t="s">
        <v>18</v>
      </c>
      <c r="Q3391" s="76" t="s">
        <v>2037</v>
      </c>
      <c r="R3391" s="73">
        <f t="shared" si="391"/>
        <v>1</v>
      </c>
      <c r="S3391" s="260" t="s">
        <v>1976</v>
      </c>
      <c r="T3391" s="260" t="s">
        <v>923</v>
      </c>
      <c r="Y3391" s="566">
        <v>0.80653935185185188</v>
      </c>
      <c r="Z3391" s="566">
        <v>0.82303240740740735</v>
      </c>
      <c r="AA3391" s="566">
        <f t="shared" si="392"/>
        <v>1.6493055555555469E-2</v>
      </c>
    </row>
    <row r="3392" spans="1:27" x14ac:dyDescent="0.3">
      <c r="A3392" s="79" t="s">
        <v>11020</v>
      </c>
      <c r="C3392" s="115">
        <v>44069</v>
      </c>
      <c r="D3392" s="312">
        <v>44104</v>
      </c>
      <c r="E3392" s="81">
        <v>44097</v>
      </c>
      <c r="F3392" s="86" t="s">
        <v>11098</v>
      </c>
      <c r="G3392" s="86" t="s">
        <v>156</v>
      </c>
      <c r="H3392" s="96" t="s">
        <v>213</v>
      </c>
      <c r="I3392" s="97" t="s">
        <v>714</v>
      </c>
      <c r="J3392" s="73">
        <f t="shared" si="390"/>
        <v>1</v>
      </c>
      <c r="K3392" s="74" t="s">
        <v>204</v>
      </c>
      <c r="L3392" s="97" t="s">
        <v>7072</v>
      </c>
      <c r="N3392" s="76" t="s">
        <v>18</v>
      </c>
      <c r="Q3392" s="76" t="s">
        <v>2037</v>
      </c>
      <c r="R3392" s="73">
        <f t="shared" si="391"/>
        <v>1</v>
      </c>
      <c r="S3392" s="260" t="s">
        <v>1976</v>
      </c>
      <c r="T3392" s="260" t="s">
        <v>923</v>
      </c>
      <c r="Y3392" s="566">
        <v>0.59991898148148148</v>
      </c>
      <c r="Z3392" s="566">
        <v>0.60372685185185182</v>
      </c>
      <c r="AA3392" s="566">
        <f t="shared" si="392"/>
        <v>3.8078703703703365E-3</v>
      </c>
    </row>
    <row r="3393" spans="1:27" x14ac:dyDescent="0.3">
      <c r="A3393" s="79" t="s">
        <v>11021</v>
      </c>
      <c r="C3393" s="115">
        <v>44069</v>
      </c>
      <c r="D3393" s="312">
        <v>44105</v>
      </c>
      <c r="E3393" s="81">
        <v>44102</v>
      </c>
      <c r="F3393" s="86" t="s">
        <v>11099</v>
      </c>
      <c r="G3393" s="86" t="s">
        <v>156</v>
      </c>
      <c r="H3393" s="96" t="s">
        <v>213</v>
      </c>
      <c r="I3393" s="97" t="s">
        <v>691</v>
      </c>
      <c r="J3393" s="73">
        <f t="shared" si="390"/>
        <v>1</v>
      </c>
      <c r="K3393" s="74" t="s">
        <v>204</v>
      </c>
      <c r="L3393" s="97" t="s">
        <v>11346</v>
      </c>
      <c r="N3393" s="76" t="s">
        <v>19</v>
      </c>
      <c r="Q3393" s="76" t="s">
        <v>5193</v>
      </c>
      <c r="R3393" s="73">
        <f t="shared" si="391"/>
        <v>1</v>
      </c>
      <c r="S3393" s="260" t="s">
        <v>1976</v>
      </c>
      <c r="T3393" s="260" t="s">
        <v>923</v>
      </c>
      <c r="Y3393" s="566">
        <v>0.38055555555555554</v>
      </c>
      <c r="Z3393" s="566">
        <v>0.39651620370370372</v>
      </c>
      <c r="AA3393" s="566">
        <f t="shared" si="392"/>
        <v>1.5960648148148182E-2</v>
      </c>
    </row>
    <row r="3394" spans="1:27" x14ac:dyDescent="0.3">
      <c r="A3394" s="79" t="s">
        <v>11022</v>
      </c>
      <c r="C3394" s="115">
        <v>44069</v>
      </c>
      <c r="D3394" s="312">
        <v>44105</v>
      </c>
      <c r="E3394" s="81">
        <v>44098</v>
      </c>
      <c r="F3394" s="86" t="s">
        <v>11100</v>
      </c>
      <c r="G3394" s="86" t="s">
        <v>1328</v>
      </c>
      <c r="H3394" s="96" t="s">
        <v>213</v>
      </c>
      <c r="I3394" s="97" t="s">
        <v>714</v>
      </c>
      <c r="J3394" s="73">
        <f t="shared" si="390"/>
        <v>1</v>
      </c>
      <c r="K3394" s="74" t="s">
        <v>204</v>
      </c>
      <c r="L3394" s="97" t="s">
        <v>7071</v>
      </c>
      <c r="N3394" s="76" t="s">
        <v>18</v>
      </c>
      <c r="Q3394" s="76" t="s">
        <v>2142</v>
      </c>
      <c r="R3394" s="73">
        <f t="shared" si="391"/>
        <v>1</v>
      </c>
      <c r="S3394" s="260" t="s">
        <v>1976</v>
      </c>
      <c r="T3394" s="260" t="s">
        <v>923</v>
      </c>
      <c r="Y3394" s="566">
        <v>0.43796296296296294</v>
      </c>
      <c r="Z3394" s="566">
        <v>0.44807870370370373</v>
      </c>
      <c r="AA3394" s="566">
        <f t="shared" si="392"/>
        <v>1.0115740740740786E-2</v>
      </c>
    </row>
    <row r="3395" spans="1:27" x14ac:dyDescent="0.3">
      <c r="A3395" s="79" t="s">
        <v>11023</v>
      </c>
      <c r="C3395" s="115">
        <v>44069</v>
      </c>
      <c r="D3395" s="312">
        <v>44104</v>
      </c>
      <c r="E3395" s="81">
        <v>44097</v>
      </c>
      <c r="F3395" s="86" t="s">
        <v>10593</v>
      </c>
      <c r="G3395" s="86" t="s">
        <v>9119</v>
      </c>
      <c r="H3395" s="96" t="s">
        <v>213</v>
      </c>
      <c r="I3395" s="97" t="s">
        <v>642</v>
      </c>
      <c r="J3395" s="73">
        <f t="shared" si="390"/>
        <v>1</v>
      </c>
      <c r="K3395" s="74" t="s">
        <v>204</v>
      </c>
      <c r="L3395" s="97" t="s">
        <v>7066</v>
      </c>
      <c r="N3395" s="76" t="s">
        <v>18</v>
      </c>
      <c r="Q3395" s="76" t="s">
        <v>2037</v>
      </c>
      <c r="R3395" s="73">
        <f t="shared" si="391"/>
        <v>1</v>
      </c>
      <c r="S3395" s="260" t="s">
        <v>1976</v>
      </c>
      <c r="T3395" s="260" t="s">
        <v>923</v>
      </c>
      <c r="Y3395" s="566">
        <v>0.55233796296296289</v>
      </c>
      <c r="Z3395" s="566">
        <v>0.55668981481481483</v>
      </c>
      <c r="AA3395" s="566">
        <f t="shared" si="392"/>
        <v>4.35185185185194E-3</v>
      </c>
    </row>
    <row r="3396" spans="1:27" x14ac:dyDescent="0.3">
      <c r="A3396" s="79" t="s">
        <v>11024</v>
      </c>
      <c r="C3396" s="115">
        <v>44069</v>
      </c>
      <c r="D3396" s="312">
        <v>44104</v>
      </c>
      <c r="E3396" s="81">
        <v>44098</v>
      </c>
      <c r="F3396" s="86" t="s">
        <v>11101</v>
      </c>
      <c r="G3396" s="86" t="s">
        <v>154</v>
      </c>
      <c r="H3396" s="96" t="s">
        <v>213</v>
      </c>
      <c r="I3396" s="97" t="s">
        <v>722</v>
      </c>
      <c r="J3396" s="73">
        <f t="shared" si="390"/>
        <v>1</v>
      </c>
      <c r="K3396" s="74" t="s">
        <v>204</v>
      </c>
      <c r="L3396" s="97" t="s">
        <v>11169</v>
      </c>
      <c r="N3396" s="76" t="s">
        <v>17</v>
      </c>
      <c r="Q3396" s="76" t="s">
        <v>5193</v>
      </c>
      <c r="R3396" s="73">
        <f t="shared" si="391"/>
        <v>1</v>
      </c>
      <c r="S3396" s="260" t="s">
        <v>1976</v>
      </c>
      <c r="T3396" s="260" t="s">
        <v>925</v>
      </c>
      <c r="Y3396" s="566">
        <v>0.45564814814814819</v>
      </c>
      <c r="Z3396" s="566">
        <v>0.46486111111111111</v>
      </c>
      <c r="AA3396" s="566">
        <f t="shared" si="392"/>
        <v>9.2129629629629228E-3</v>
      </c>
    </row>
    <row r="3397" spans="1:27" x14ac:dyDescent="0.3">
      <c r="A3397" s="79" t="s">
        <v>11025</v>
      </c>
      <c r="C3397" s="115">
        <v>44069</v>
      </c>
      <c r="D3397" s="312">
        <v>44104</v>
      </c>
      <c r="E3397" s="81">
        <v>44098</v>
      </c>
      <c r="F3397" s="86" t="s">
        <v>11102</v>
      </c>
      <c r="G3397" s="86" t="s">
        <v>150</v>
      </c>
      <c r="H3397" s="96" t="s">
        <v>213</v>
      </c>
      <c r="I3397" s="97" t="s">
        <v>642</v>
      </c>
      <c r="J3397" s="73">
        <f t="shared" si="390"/>
        <v>1</v>
      </c>
      <c r="K3397" s="74" t="s">
        <v>204</v>
      </c>
      <c r="L3397" s="97" t="s">
        <v>7108</v>
      </c>
      <c r="N3397" s="76" t="s">
        <v>18</v>
      </c>
      <c r="Q3397" s="76" t="s">
        <v>2076</v>
      </c>
      <c r="R3397" s="73">
        <f t="shared" si="391"/>
        <v>1</v>
      </c>
      <c r="S3397" s="260" t="s">
        <v>1976</v>
      </c>
      <c r="T3397" s="260" t="s">
        <v>925</v>
      </c>
      <c r="Y3397" s="566">
        <v>0.47916666666666669</v>
      </c>
      <c r="Z3397" s="566">
        <v>0.48616898148148152</v>
      </c>
      <c r="AA3397" s="566">
        <f t="shared" si="392"/>
        <v>7.0023148148148362E-3</v>
      </c>
    </row>
    <row r="3398" spans="1:27" x14ac:dyDescent="0.3">
      <c r="A3398" s="79" t="s">
        <v>11026</v>
      </c>
      <c r="C3398" s="115">
        <v>44069</v>
      </c>
      <c r="D3398" s="312">
        <v>44104</v>
      </c>
      <c r="E3398" s="81">
        <v>44098</v>
      </c>
      <c r="F3398" s="86" t="s">
        <v>11103</v>
      </c>
      <c r="G3398" s="86" t="s">
        <v>410</v>
      </c>
      <c r="H3398" s="96" t="s">
        <v>213</v>
      </c>
      <c r="I3398" s="97" t="s">
        <v>714</v>
      </c>
      <c r="J3398" s="73">
        <f t="shared" si="390"/>
        <v>1</v>
      </c>
      <c r="K3398" s="74" t="s">
        <v>204</v>
      </c>
      <c r="L3398" s="97" t="s">
        <v>7072</v>
      </c>
      <c r="N3398" s="76" t="s">
        <v>18</v>
      </c>
      <c r="Q3398" s="76" t="s">
        <v>5193</v>
      </c>
      <c r="R3398" s="73">
        <f t="shared" si="391"/>
        <v>1</v>
      </c>
      <c r="S3398" s="260" t="s">
        <v>1976</v>
      </c>
      <c r="T3398" s="260" t="s">
        <v>923</v>
      </c>
      <c r="Y3398" s="566">
        <v>0.45130787037037035</v>
      </c>
      <c r="Z3398" s="566">
        <v>0.45525462962962965</v>
      </c>
      <c r="AA3398" s="566">
        <f t="shared" si="392"/>
        <v>3.9467592592593026E-3</v>
      </c>
    </row>
    <row r="3399" spans="1:27" x14ac:dyDescent="0.3">
      <c r="A3399" s="96" t="s">
        <v>11027</v>
      </c>
      <c r="C3399" s="115">
        <v>44070</v>
      </c>
      <c r="D3399" s="312">
        <v>44105</v>
      </c>
      <c r="E3399" s="81">
        <v>44099</v>
      </c>
      <c r="F3399" s="86" t="s">
        <v>11104</v>
      </c>
      <c r="G3399" s="86" t="s">
        <v>9119</v>
      </c>
      <c r="H3399" s="96" t="s">
        <v>213</v>
      </c>
      <c r="I3399" s="97" t="s">
        <v>642</v>
      </c>
      <c r="J3399" s="73">
        <f t="shared" si="390"/>
        <v>1</v>
      </c>
      <c r="K3399" s="74" t="s">
        <v>204</v>
      </c>
      <c r="L3399" s="97" t="s">
        <v>7066</v>
      </c>
      <c r="N3399" s="76" t="s">
        <v>18</v>
      </c>
      <c r="Q3399" s="76" t="s">
        <v>2037</v>
      </c>
      <c r="R3399" s="73">
        <f t="shared" si="391"/>
        <v>1</v>
      </c>
      <c r="S3399" s="260" t="s">
        <v>1976</v>
      </c>
      <c r="T3399" s="260" t="s">
        <v>925</v>
      </c>
      <c r="Y3399" s="566">
        <v>0.7565277777777778</v>
      </c>
      <c r="Z3399" s="566">
        <v>0.77653935185185186</v>
      </c>
      <c r="AA3399" s="566">
        <f t="shared" si="392"/>
        <v>2.0011574074074057E-2</v>
      </c>
    </row>
    <row r="3400" spans="1:27" x14ac:dyDescent="0.3">
      <c r="A3400" s="79" t="s">
        <v>11028</v>
      </c>
      <c r="C3400" s="115">
        <v>44070</v>
      </c>
      <c r="D3400" s="312">
        <v>44105</v>
      </c>
      <c r="E3400" s="81">
        <v>44098</v>
      </c>
      <c r="F3400" s="86" t="s">
        <v>11105</v>
      </c>
      <c r="G3400" s="86" t="s">
        <v>191</v>
      </c>
      <c r="H3400" s="96" t="s">
        <v>213</v>
      </c>
      <c r="I3400" s="97" t="s">
        <v>642</v>
      </c>
      <c r="J3400" s="73">
        <f t="shared" si="390"/>
        <v>1</v>
      </c>
      <c r="K3400" s="74" t="s">
        <v>204</v>
      </c>
      <c r="L3400" s="97" t="s">
        <v>7066</v>
      </c>
      <c r="N3400" s="76" t="s">
        <v>18</v>
      </c>
      <c r="Q3400" s="76" t="s">
        <v>2076</v>
      </c>
      <c r="R3400" s="73">
        <f t="shared" si="391"/>
        <v>1</v>
      </c>
      <c r="S3400" s="260" t="s">
        <v>1976</v>
      </c>
      <c r="T3400" s="260" t="s">
        <v>925</v>
      </c>
      <c r="Y3400" s="566">
        <v>0.42587962962962966</v>
      </c>
      <c r="Z3400" s="566">
        <v>0.43093749999999997</v>
      </c>
      <c r="AA3400" s="566">
        <f t="shared" si="392"/>
        <v>5.0578703703703098E-3</v>
      </c>
    </row>
    <row r="3401" spans="1:27" x14ac:dyDescent="0.3">
      <c r="A3401" s="79" t="s">
        <v>11029</v>
      </c>
      <c r="C3401" s="115">
        <v>44070</v>
      </c>
      <c r="D3401" s="312">
        <v>44105</v>
      </c>
      <c r="E3401" s="81">
        <v>44098</v>
      </c>
      <c r="F3401" s="86" t="s">
        <v>11106</v>
      </c>
      <c r="G3401" s="86" t="s">
        <v>179</v>
      </c>
      <c r="H3401" s="96" t="s">
        <v>213</v>
      </c>
      <c r="I3401" s="97" t="s">
        <v>645</v>
      </c>
      <c r="J3401" s="73">
        <f t="shared" si="390"/>
        <v>1</v>
      </c>
      <c r="K3401" s="74" t="s">
        <v>204</v>
      </c>
      <c r="L3401" s="97" t="s">
        <v>11168</v>
      </c>
      <c r="N3401" s="76" t="s">
        <v>18</v>
      </c>
      <c r="Q3401" s="76" t="s">
        <v>2076</v>
      </c>
      <c r="R3401" s="73">
        <f t="shared" si="391"/>
        <v>1</v>
      </c>
      <c r="S3401" s="260" t="s">
        <v>1976</v>
      </c>
      <c r="T3401" s="260" t="s">
        <v>925</v>
      </c>
      <c r="Y3401" s="566">
        <v>0.41576388888888888</v>
      </c>
      <c r="Z3401" s="566">
        <v>0.42550925925925925</v>
      </c>
      <c r="AA3401" s="566">
        <f t="shared" si="392"/>
        <v>9.7453703703703765E-3</v>
      </c>
    </row>
    <row r="3402" spans="1:27" x14ac:dyDescent="0.3">
      <c r="A3402" s="79" t="s">
        <v>11030</v>
      </c>
      <c r="C3402" s="115">
        <v>44070</v>
      </c>
      <c r="D3402" s="312">
        <v>44106</v>
      </c>
      <c r="E3402" s="81">
        <v>44099</v>
      </c>
      <c r="F3402" s="86" t="s">
        <v>11107</v>
      </c>
      <c r="G3402" s="86" t="s">
        <v>164</v>
      </c>
      <c r="H3402" s="96" t="s">
        <v>213</v>
      </c>
      <c r="I3402" s="97" t="s">
        <v>645</v>
      </c>
      <c r="J3402" s="73">
        <f t="shared" si="390"/>
        <v>1</v>
      </c>
      <c r="K3402" s="74" t="s">
        <v>204</v>
      </c>
      <c r="L3402" s="97" t="s">
        <v>11173</v>
      </c>
      <c r="N3402" s="76" t="s">
        <v>17</v>
      </c>
      <c r="Q3402" s="76" t="s">
        <v>5193</v>
      </c>
      <c r="R3402" s="73">
        <f t="shared" si="391"/>
        <v>1</v>
      </c>
      <c r="S3402" s="260" t="s">
        <v>1976</v>
      </c>
      <c r="T3402" s="260" t="s">
        <v>925</v>
      </c>
      <c r="Y3402" s="566">
        <v>0.68039351851851848</v>
      </c>
      <c r="Z3402" s="566">
        <v>0.70180555555555557</v>
      </c>
      <c r="AA3402" s="566">
        <f t="shared" si="392"/>
        <v>2.141203703703709E-2</v>
      </c>
    </row>
    <row r="3403" spans="1:27" x14ac:dyDescent="0.3">
      <c r="A3403" s="79" t="s">
        <v>11031</v>
      </c>
      <c r="C3403" s="115">
        <v>44070</v>
      </c>
      <c r="D3403" s="312">
        <v>44106</v>
      </c>
      <c r="E3403" s="81">
        <v>44099</v>
      </c>
      <c r="F3403" s="86" t="s">
        <v>11108</v>
      </c>
      <c r="G3403" s="86" t="s">
        <v>9119</v>
      </c>
      <c r="H3403" s="96" t="s">
        <v>213</v>
      </c>
      <c r="I3403" s="97" t="s">
        <v>604</v>
      </c>
      <c r="J3403" s="73">
        <f t="shared" si="390"/>
        <v>1</v>
      </c>
      <c r="K3403" s="74" t="s">
        <v>204</v>
      </c>
      <c r="L3403" s="97" t="s">
        <v>11175</v>
      </c>
      <c r="N3403" s="76" t="s">
        <v>18</v>
      </c>
      <c r="Q3403" s="76" t="s">
        <v>5193</v>
      </c>
      <c r="R3403" s="73">
        <f t="shared" si="391"/>
        <v>1</v>
      </c>
      <c r="S3403" s="260" t="s">
        <v>1976</v>
      </c>
      <c r="T3403" s="260" t="s">
        <v>923</v>
      </c>
      <c r="Y3403" s="566">
        <v>0.77700231481481474</v>
      </c>
      <c r="Z3403" s="566">
        <v>0.78486111111111112</v>
      </c>
      <c r="AA3403" s="566">
        <f t="shared" si="392"/>
        <v>7.8587962962963775E-3</v>
      </c>
    </row>
    <row r="3404" spans="1:27" x14ac:dyDescent="0.3">
      <c r="A3404" s="79" t="s">
        <v>11032</v>
      </c>
      <c r="C3404" s="115">
        <v>44070</v>
      </c>
      <c r="D3404" s="312">
        <v>44106</v>
      </c>
      <c r="E3404" s="81">
        <v>44101</v>
      </c>
      <c r="F3404" s="86" t="s">
        <v>11109</v>
      </c>
      <c r="G3404" s="86" t="s">
        <v>152</v>
      </c>
      <c r="H3404" s="96" t="s">
        <v>213</v>
      </c>
      <c r="I3404" s="97" t="s">
        <v>714</v>
      </c>
      <c r="J3404" s="73">
        <f t="shared" si="390"/>
        <v>1</v>
      </c>
      <c r="K3404" s="74" t="s">
        <v>204</v>
      </c>
      <c r="L3404" s="97" t="s">
        <v>7336</v>
      </c>
      <c r="N3404" s="76" t="s">
        <v>17</v>
      </c>
      <c r="Q3404" s="76" t="s">
        <v>2142</v>
      </c>
      <c r="R3404" s="73">
        <f t="shared" si="391"/>
        <v>1</v>
      </c>
      <c r="S3404" s="260" t="s">
        <v>1976</v>
      </c>
      <c r="T3404" s="260" t="s">
        <v>923</v>
      </c>
      <c r="Y3404" s="566">
        <v>0.41684027777777777</v>
      </c>
      <c r="Z3404" s="566">
        <v>0.42347222222222225</v>
      </c>
      <c r="AA3404" s="566">
        <f t="shared" si="392"/>
        <v>6.6319444444444819E-3</v>
      </c>
    </row>
    <row r="3405" spans="1:27" x14ac:dyDescent="0.3">
      <c r="A3405" s="79" t="s">
        <v>11033</v>
      </c>
      <c r="C3405" s="115">
        <v>44071</v>
      </c>
      <c r="D3405" s="312">
        <v>44106</v>
      </c>
      <c r="E3405" s="81">
        <v>44102</v>
      </c>
      <c r="F3405" s="86" t="s">
        <v>11110</v>
      </c>
      <c r="G3405" s="86" t="s">
        <v>147</v>
      </c>
      <c r="H3405" s="96" t="s">
        <v>213</v>
      </c>
      <c r="I3405" s="97" t="s">
        <v>642</v>
      </c>
      <c r="J3405" s="73">
        <f t="shared" si="390"/>
        <v>1</v>
      </c>
      <c r="K3405" s="74" t="s">
        <v>204</v>
      </c>
      <c r="L3405" s="97" t="s">
        <v>7110</v>
      </c>
      <c r="N3405" s="76" t="s">
        <v>18</v>
      </c>
      <c r="Q3405" s="76" t="s">
        <v>2142</v>
      </c>
      <c r="R3405" s="73">
        <f t="shared" si="391"/>
        <v>1</v>
      </c>
      <c r="S3405" s="260" t="s">
        <v>1976</v>
      </c>
      <c r="T3405" s="260" t="s">
        <v>925</v>
      </c>
      <c r="Y3405" s="566">
        <v>0.52625</v>
      </c>
      <c r="Z3405" s="566">
        <v>0.5316319444444445</v>
      </c>
      <c r="AA3405" s="566">
        <f t="shared" si="392"/>
        <v>5.3819444444445086E-3</v>
      </c>
    </row>
    <row r="3406" spans="1:27" x14ac:dyDescent="0.3">
      <c r="A3406" s="79" t="s">
        <v>11034</v>
      </c>
      <c r="C3406" s="115">
        <v>44070</v>
      </c>
      <c r="D3406" s="312">
        <v>44106</v>
      </c>
      <c r="E3406" s="81">
        <v>44102</v>
      </c>
      <c r="F3406" s="86" t="s">
        <v>7500</v>
      </c>
      <c r="G3406" s="86" t="s">
        <v>154</v>
      </c>
      <c r="H3406" s="96" t="s">
        <v>213</v>
      </c>
      <c r="I3406" s="97" t="s">
        <v>645</v>
      </c>
      <c r="J3406" s="73">
        <f t="shared" si="390"/>
        <v>1</v>
      </c>
      <c r="K3406" s="74" t="s">
        <v>204</v>
      </c>
      <c r="L3406" s="97" t="s">
        <v>7117</v>
      </c>
      <c r="N3406" s="76" t="s">
        <v>18</v>
      </c>
      <c r="Q3406" s="76" t="s">
        <v>2037</v>
      </c>
      <c r="R3406" s="73">
        <f t="shared" si="391"/>
        <v>1</v>
      </c>
      <c r="S3406" s="260" t="s">
        <v>1976</v>
      </c>
      <c r="T3406" s="260" t="s">
        <v>923</v>
      </c>
      <c r="Y3406" s="566">
        <v>0.53844907407407405</v>
      </c>
      <c r="Z3406" s="566">
        <v>0.55655092592592592</v>
      </c>
      <c r="AA3406" s="566">
        <f t="shared" si="392"/>
        <v>1.8101851851851869E-2</v>
      </c>
    </row>
    <row r="3407" spans="1:27" x14ac:dyDescent="0.3">
      <c r="A3407" s="79" t="s">
        <v>11035</v>
      </c>
      <c r="C3407" s="115">
        <v>44071</v>
      </c>
      <c r="D3407" s="312">
        <v>44106</v>
      </c>
      <c r="E3407" s="81">
        <v>44102</v>
      </c>
      <c r="F3407" s="86" t="s">
        <v>11111</v>
      </c>
      <c r="G3407" s="86" t="s">
        <v>147</v>
      </c>
      <c r="H3407" s="96" t="s">
        <v>213</v>
      </c>
      <c r="I3407" s="97" t="s">
        <v>642</v>
      </c>
      <c r="J3407" s="73">
        <f t="shared" si="390"/>
        <v>1</v>
      </c>
      <c r="K3407" s="74" t="s">
        <v>204</v>
      </c>
      <c r="L3407" s="97" t="s">
        <v>8286</v>
      </c>
      <c r="N3407" s="76" t="s">
        <v>18</v>
      </c>
      <c r="Q3407" s="76" t="s">
        <v>2076</v>
      </c>
      <c r="R3407" s="73">
        <f t="shared" si="391"/>
        <v>1</v>
      </c>
      <c r="S3407" s="260" t="s">
        <v>1976</v>
      </c>
      <c r="T3407" s="260" t="s">
        <v>925</v>
      </c>
      <c r="Y3407" s="566">
        <v>0.38263888888888892</v>
      </c>
      <c r="Z3407" s="566">
        <v>0.38697916666666665</v>
      </c>
      <c r="AA3407" s="566">
        <f t="shared" si="392"/>
        <v>4.3402777777777346E-3</v>
      </c>
    </row>
    <row r="3408" spans="1:27" x14ac:dyDescent="0.3">
      <c r="A3408" s="79" t="s">
        <v>11036</v>
      </c>
      <c r="C3408" s="115">
        <v>44071</v>
      </c>
      <c r="D3408" s="312">
        <v>44106</v>
      </c>
      <c r="E3408" s="81">
        <v>44102</v>
      </c>
      <c r="F3408" s="86" t="s">
        <v>11112</v>
      </c>
      <c r="G3408" s="86" t="s">
        <v>154</v>
      </c>
      <c r="H3408" s="96" t="s">
        <v>213</v>
      </c>
      <c r="I3408" s="97" t="s">
        <v>658</v>
      </c>
      <c r="J3408" s="73">
        <f t="shared" si="390"/>
        <v>1</v>
      </c>
      <c r="K3408" s="74" t="s">
        <v>204</v>
      </c>
      <c r="L3408" s="97" t="s">
        <v>11348</v>
      </c>
      <c r="N3408" s="76" t="s">
        <v>18</v>
      </c>
      <c r="Q3408" s="76" t="s">
        <v>2076</v>
      </c>
      <c r="R3408" s="73">
        <f t="shared" si="391"/>
        <v>1</v>
      </c>
      <c r="S3408" s="260" t="s">
        <v>1976</v>
      </c>
      <c r="T3408" s="260" t="s">
        <v>925</v>
      </c>
      <c r="U3408" s="76" t="s">
        <v>5283</v>
      </c>
      <c r="V3408" s="301" t="s">
        <v>11349</v>
      </c>
      <c r="Y3408" s="566">
        <v>0.45709490740740738</v>
      </c>
      <c r="Z3408" s="566">
        <v>0.47940972222222222</v>
      </c>
      <c r="AA3408" s="566">
        <f t="shared" si="392"/>
        <v>2.2314814814814843E-2</v>
      </c>
    </row>
    <row r="3409" spans="1:27" x14ac:dyDescent="0.3">
      <c r="A3409" s="79" t="s">
        <v>11037</v>
      </c>
      <c r="C3409" s="115">
        <v>44071</v>
      </c>
      <c r="D3409" s="312">
        <v>44106</v>
      </c>
      <c r="E3409" s="81">
        <v>44102</v>
      </c>
      <c r="F3409" s="86" t="s">
        <v>11113</v>
      </c>
      <c r="G3409" s="86" t="s">
        <v>156</v>
      </c>
      <c r="H3409" s="96" t="s">
        <v>213</v>
      </c>
      <c r="I3409" s="97" t="s">
        <v>642</v>
      </c>
      <c r="J3409" s="73">
        <f t="shared" si="390"/>
        <v>1</v>
      </c>
      <c r="K3409" s="74" t="s">
        <v>204</v>
      </c>
      <c r="L3409" s="97" t="s">
        <v>7108</v>
      </c>
      <c r="N3409" s="76" t="s">
        <v>18</v>
      </c>
      <c r="Q3409" s="76" t="s">
        <v>2037</v>
      </c>
      <c r="R3409" s="73">
        <f t="shared" si="391"/>
        <v>1</v>
      </c>
      <c r="S3409" s="260" t="s">
        <v>1976</v>
      </c>
      <c r="T3409" s="260" t="s">
        <v>925</v>
      </c>
      <c r="Y3409" s="566">
        <v>0.42622685185185188</v>
      </c>
      <c r="Z3409" s="566">
        <v>0.4324305555555556</v>
      </c>
      <c r="AA3409" s="566">
        <f t="shared" si="392"/>
        <v>6.2037037037037113E-3</v>
      </c>
    </row>
    <row r="3410" spans="1:27" x14ac:dyDescent="0.3">
      <c r="A3410" s="79" t="s">
        <v>11038</v>
      </c>
      <c r="C3410" s="115">
        <v>44071</v>
      </c>
      <c r="D3410" s="312">
        <v>44106</v>
      </c>
      <c r="E3410" s="81">
        <v>44102</v>
      </c>
      <c r="F3410" s="86" t="s">
        <v>11114</v>
      </c>
      <c r="G3410" s="86" t="s">
        <v>152</v>
      </c>
      <c r="H3410" s="96" t="s">
        <v>213</v>
      </c>
      <c r="I3410" s="97" t="s">
        <v>714</v>
      </c>
      <c r="J3410" s="73">
        <f t="shared" si="390"/>
        <v>1</v>
      </c>
      <c r="K3410" s="74" t="s">
        <v>204</v>
      </c>
      <c r="L3410" s="97" t="s">
        <v>11347</v>
      </c>
      <c r="N3410" s="76" t="s">
        <v>17</v>
      </c>
      <c r="Q3410" s="76" t="s">
        <v>2076</v>
      </c>
      <c r="R3410" s="73">
        <f t="shared" si="391"/>
        <v>1</v>
      </c>
      <c r="S3410" s="260" t="s">
        <v>1976</v>
      </c>
      <c r="T3410" s="260" t="s">
        <v>923</v>
      </c>
      <c r="Y3410" s="566">
        <v>0.43969907407407405</v>
      </c>
      <c r="Z3410" s="566">
        <v>0.44814814814814818</v>
      </c>
      <c r="AA3410" s="566">
        <f t="shared" si="392"/>
        <v>8.4490740740741366E-3</v>
      </c>
    </row>
    <row r="3411" spans="1:27" x14ac:dyDescent="0.3">
      <c r="A3411" s="79" t="s">
        <v>11039</v>
      </c>
      <c r="C3411" s="115">
        <v>44071</v>
      </c>
      <c r="D3411" s="312">
        <v>44106</v>
      </c>
      <c r="E3411" s="81">
        <v>44102</v>
      </c>
      <c r="F3411" s="86" t="s">
        <v>11115</v>
      </c>
      <c r="G3411" s="86" t="s">
        <v>172</v>
      </c>
      <c r="H3411" s="96" t="s">
        <v>213</v>
      </c>
      <c r="I3411" s="97" t="s">
        <v>714</v>
      </c>
      <c r="J3411" s="73">
        <f t="shared" si="390"/>
        <v>1</v>
      </c>
      <c r="K3411" s="74" t="s">
        <v>204</v>
      </c>
      <c r="L3411" s="97" t="s">
        <v>7072</v>
      </c>
      <c r="N3411" s="76" t="s">
        <v>17</v>
      </c>
      <c r="Q3411" s="76" t="s">
        <v>2142</v>
      </c>
      <c r="R3411" s="73">
        <f t="shared" si="391"/>
        <v>1</v>
      </c>
      <c r="S3411" s="260" t="s">
        <v>1976</v>
      </c>
      <c r="T3411" s="260" t="s">
        <v>923</v>
      </c>
      <c r="Y3411" s="566">
        <v>0.53224537037037034</v>
      </c>
      <c r="Z3411" s="566">
        <v>0.53711805555555558</v>
      </c>
      <c r="AA3411" s="566">
        <f t="shared" si="392"/>
        <v>4.8726851851852437E-3</v>
      </c>
    </row>
    <row r="3412" spans="1:27" x14ac:dyDescent="0.3">
      <c r="A3412" s="79" t="s">
        <v>11040</v>
      </c>
      <c r="C3412" s="115">
        <v>44081</v>
      </c>
      <c r="D3412" s="312">
        <v>44102</v>
      </c>
      <c r="E3412" s="81">
        <v>44096</v>
      </c>
      <c r="F3412" s="86" t="s">
        <v>11116</v>
      </c>
      <c r="G3412" s="86" t="s">
        <v>152</v>
      </c>
      <c r="H3412" s="96" t="s">
        <v>213</v>
      </c>
      <c r="I3412" s="97" t="s">
        <v>972</v>
      </c>
      <c r="J3412" s="73">
        <f t="shared" si="390"/>
        <v>1</v>
      </c>
      <c r="K3412" s="74" t="s">
        <v>204</v>
      </c>
      <c r="L3412" s="97" t="s">
        <v>11158</v>
      </c>
      <c r="N3412" s="76" t="s">
        <v>17</v>
      </c>
      <c r="Q3412" s="76" t="s">
        <v>2142</v>
      </c>
      <c r="R3412" s="73">
        <f t="shared" si="391"/>
        <v>1</v>
      </c>
      <c r="S3412" s="260" t="s">
        <v>1976</v>
      </c>
      <c r="T3412" s="260" t="s">
        <v>923</v>
      </c>
      <c r="Y3412" s="566">
        <v>0.57465277777777779</v>
      </c>
      <c r="Z3412" s="566">
        <v>0.65266203703703707</v>
      </c>
      <c r="AA3412" s="566">
        <f t="shared" si="392"/>
        <v>7.8009259259259278E-2</v>
      </c>
    </row>
    <row r="3413" spans="1:27" x14ac:dyDescent="0.3">
      <c r="A3413" s="79" t="s">
        <v>11041</v>
      </c>
      <c r="C3413" s="115">
        <v>44078</v>
      </c>
      <c r="D3413" s="312">
        <v>44102</v>
      </c>
      <c r="E3413" s="81">
        <v>44097</v>
      </c>
      <c r="F3413" s="86" t="s">
        <v>11117</v>
      </c>
      <c r="G3413" s="86" t="s">
        <v>186</v>
      </c>
      <c r="H3413" s="96" t="s">
        <v>213</v>
      </c>
      <c r="I3413" s="97" t="s">
        <v>3475</v>
      </c>
      <c r="J3413" s="73">
        <f t="shared" si="390"/>
        <v>1</v>
      </c>
      <c r="K3413" s="74" t="s">
        <v>204</v>
      </c>
      <c r="L3413" s="97" t="s">
        <v>7073</v>
      </c>
      <c r="N3413" s="76" t="s">
        <v>19</v>
      </c>
      <c r="Q3413" s="76" t="s">
        <v>2142</v>
      </c>
      <c r="R3413" s="73">
        <f t="shared" si="391"/>
        <v>1</v>
      </c>
      <c r="S3413" s="260" t="s">
        <v>1976</v>
      </c>
      <c r="T3413" s="260" t="s">
        <v>925</v>
      </c>
      <c r="Y3413" s="566">
        <v>0.40607638888888892</v>
      </c>
      <c r="Z3413" s="566">
        <v>0.41055555555555556</v>
      </c>
      <c r="AA3413" s="566">
        <f t="shared" si="392"/>
        <v>4.4791666666666452E-3</v>
      </c>
    </row>
    <row r="3414" spans="1:27" x14ac:dyDescent="0.3">
      <c r="A3414" s="79" t="s">
        <v>11042</v>
      </c>
      <c r="C3414" s="115">
        <v>44081</v>
      </c>
      <c r="D3414" s="312">
        <v>44102</v>
      </c>
      <c r="E3414" s="81">
        <v>44096</v>
      </c>
      <c r="F3414" s="86" t="s">
        <v>11118</v>
      </c>
      <c r="G3414" s="97" t="s">
        <v>8909</v>
      </c>
      <c r="H3414" s="96" t="s">
        <v>213</v>
      </c>
      <c r="I3414" s="97" t="s">
        <v>649</v>
      </c>
      <c r="J3414" s="73">
        <f t="shared" si="390"/>
        <v>1</v>
      </c>
      <c r="K3414" s="74" t="s">
        <v>204</v>
      </c>
      <c r="L3414" s="97" t="s">
        <v>7060</v>
      </c>
      <c r="N3414" s="76" t="s">
        <v>17</v>
      </c>
      <c r="Q3414" s="76" t="s">
        <v>2037</v>
      </c>
      <c r="R3414" s="73">
        <f t="shared" si="391"/>
        <v>1</v>
      </c>
      <c r="S3414" s="260" t="s">
        <v>1976</v>
      </c>
      <c r="T3414" s="260" t="s">
        <v>925</v>
      </c>
      <c r="Y3414" s="566">
        <v>0.65348379629629627</v>
      </c>
      <c r="Z3414" s="566">
        <v>0.65907407407407403</v>
      </c>
      <c r="AA3414" s="566">
        <f t="shared" si="392"/>
        <v>5.5902777777777635E-3</v>
      </c>
    </row>
    <row r="3415" spans="1:27" x14ac:dyDescent="0.3">
      <c r="A3415" s="79" t="s">
        <v>11043</v>
      </c>
      <c r="C3415" s="115">
        <v>44081</v>
      </c>
      <c r="D3415" s="312">
        <v>44102</v>
      </c>
      <c r="E3415" s="81">
        <v>44096</v>
      </c>
      <c r="F3415" s="86" t="s">
        <v>11119</v>
      </c>
      <c r="G3415" s="86" t="s">
        <v>156</v>
      </c>
      <c r="H3415" s="96" t="s">
        <v>213</v>
      </c>
      <c r="I3415" s="97" t="s">
        <v>649</v>
      </c>
      <c r="J3415" s="73">
        <f t="shared" si="390"/>
        <v>1</v>
      </c>
      <c r="K3415" s="74" t="s">
        <v>204</v>
      </c>
      <c r="L3415" s="97" t="s">
        <v>7089</v>
      </c>
      <c r="N3415" s="76" t="s">
        <v>17</v>
      </c>
      <c r="Q3415" s="76" t="s">
        <v>2037</v>
      </c>
      <c r="R3415" s="73">
        <f t="shared" si="391"/>
        <v>1</v>
      </c>
      <c r="S3415" s="260" t="s">
        <v>1976</v>
      </c>
      <c r="T3415" s="260" t="s">
        <v>923</v>
      </c>
      <c r="Y3415" s="566">
        <v>0.66885416666666664</v>
      </c>
      <c r="Z3415" s="566">
        <v>0.67980324074074072</v>
      </c>
      <c r="AA3415" s="566">
        <f t="shared" si="392"/>
        <v>1.0949074074074083E-2</v>
      </c>
    </row>
    <row r="3416" spans="1:27" x14ac:dyDescent="0.3">
      <c r="A3416" s="79" t="s">
        <v>11044</v>
      </c>
      <c r="C3416" s="115">
        <v>44081</v>
      </c>
      <c r="D3416" s="312">
        <v>44102</v>
      </c>
      <c r="E3416" s="81">
        <v>44096</v>
      </c>
      <c r="F3416" s="86" t="s">
        <v>11120</v>
      </c>
      <c r="G3416" s="86" t="s">
        <v>172</v>
      </c>
      <c r="H3416" s="96" t="s">
        <v>213</v>
      </c>
      <c r="I3416" s="97" t="s">
        <v>1113</v>
      </c>
      <c r="J3416" s="73">
        <f t="shared" si="390"/>
        <v>1</v>
      </c>
      <c r="K3416" s="74" t="s">
        <v>204</v>
      </c>
      <c r="L3416" s="97" t="s">
        <v>9640</v>
      </c>
      <c r="N3416" s="76" t="s">
        <v>18</v>
      </c>
      <c r="Q3416" s="76" t="s">
        <v>2142</v>
      </c>
      <c r="R3416" s="73">
        <f t="shared" si="391"/>
        <v>1</v>
      </c>
      <c r="S3416" s="260" t="s">
        <v>1976</v>
      </c>
      <c r="T3416" s="260" t="s">
        <v>923</v>
      </c>
      <c r="Y3416" s="566">
        <v>0.53723379629629631</v>
      </c>
      <c r="Z3416" s="566">
        <v>0.54524305555555552</v>
      </c>
      <c r="AA3416" s="566">
        <f t="shared" si="392"/>
        <v>8.009259259259216E-3</v>
      </c>
    </row>
    <row r="3417" spans="1:27" x14ac:dyDescent="0.3">
      <c r="A3417" s="79" t="s">
        <v>11045</v>
      </c>
      <c r="C3417" s="115">
        <v>44082</v>
      </c>
      <c r="D3417" s="312">
        <v>44103</v>
      </c>
      <c r="E3417" s="81">
        <v>44096</v>
      </c>
      <c r="F3417" s="86" t="s">
        <v>11121</v>
      </c>
      <c r="G3417" s="86" t="s">
        <v>9119</v>
      </c>
      <c r="H3417" s="96" t="s">
        <v>213</v>
      </c>
      <c r="I3417" s="97" t="s">
        <v>649</v>
      </c>
      <c r="J3417" s="73">
        <f t="shared" ref="J3417:J3439" si="393">IF(OR(K3417="Документы готовы",K3417="Запрос в ФО",K3417="ЭЗ",K3417="РЕШ",K3417="РЕШ шаблон"),0.1,IF(OR(K3417="ЭЗ согласование",K3417="РЕШ согласование"),0.3,IF(OR(K3417="ЭЗ согласовано",K3417="РЕШ согласовано",K3417="РЕШ подписано"),0.6,IF(OR(K3417="ЭЗ ПР согласование",K3417="РЕШ УВ согласование"),0.9,IF(OR(K3417="ЭЗ ПР DONE",K3417="РЕШ УВ DONE"),1,0)))))</f>
        <v>1</v>
      </c>
      <c r="K3417" s="74" t="s">
        <v>204</v>
      </c>
      <c r="L3417" s="97" t="s">
        <v>7089</v>
      </c>
      <c r="N3417" s="76" t="s">
        <v>17</v>
      </c>
      <c r="Q3417" s="76" t="s">
        <v>5193</v>
      </c>
      <c r="R3417" s="73">
        <f t="shared" ref="R3417:R3439" si="394">IF(S3417="В работе",0.3,IF(S3417="Отписано",0.6,IF(S3417="На доработку",0.9,IF(S3417="Согласовано",1,0))))</f>
        <v>1</v>
      </c>
      <c r="S3417" s="260" t="s">
        <v>1976</v>
      </c>
      <c r="T3417" s="260" t="s">
        <v>923</v>
      </c>
      <c r="Y3417" s="566">
        <v>0.88196759259259261</v>
      </c>
      <c r="Z3417" s="566">
        <v>0.89045138888888886</v>
      </c>
      <c r="AA3417" s="566">
        <f t="shared" ref="AA3417:AA3439" si="395">Z3417-Y3417</f>
        <v>8.4837962962962532E-3</v>
      </c>
    </row>
    <row r="3418" spans="1:27" x14ac:dyDescent="0.3">
      <c r="A3418" s="79" t="s">
        <v>11046</v>
      </c>
      <c r="C3418" s="115">
        <v>44082</v>
      </c>
      <c r="D3418" s="312">
        <v>44103</v>
      </c>
      <c r="E3418" s="81">
        <v>44096</v>
      </c>
      <c r="F3418" s="86" t="s">
        <v>11122</v>
      </c>
      <c r="G3418" s="86" t="s">
        <v>150</v>
      </c>
      <c r="H3418" s="96" t="s">
        <v>213</v>
      </c>
      <c r="I3418" s="97" t="s">
        <v>11160</v>
      </c>
      <c r="J3418" s="73">
        <f t="shared" si="393"/>
        <v>1</v>
      </c>
      <c r="K3418" s="74" t="s">
        <v>204</v>
      </c>
      <c r="L3418" s="97" t="s">
        <v>11159</v>
      </c>
      <c r="N3418" s="76" t="s">
        <v>18</v>
      </c>
      <c r="Q3418" s="76" t="s">
        <v>2037</v>
      </c>
      <c r="R3418" s="73">
        <f t="shared" si="394"/>
        <v>1</v>
      </c>
      <c r="S3418" s="260" t="s">
        <v>1976</v>
      </c>
      <c r="T3418" s="260" t="s">
        <v>923</v>
      </c>
      <c r="Y3418" s="566">
        <v>0.89140046296296294</v>
      </c>
      <c r="Z3418" s="566">
        <v>0.91659722222222229</v>
      </c>
      <c r="AA3418" s="566">
        <f t="shared" si="395"/>
        <v>2.5196759259259349E-2</v>
      </c>
    </row>
    <row r="3419" spans="1:27" x14ac:dyDescent="0.3">
      <c r="A3419" s="79" t="s">
        <v>11047</v>
      </c>
      <c r="C3419" s="115">
        <v>44082</v>
      </c>
      <c r="D3419" s="312">
        <v>44103</v>
      </c>
      <c r="E3419" s="81">
        <v>44097</v>
      </c>
      <c r="F3419" s="86" t="s">
        <v>11123</v>
      </c>
      <c r="G3419" s="86" t="s">
        <v>172</v>
      </c>
      <c r="H3419" s="96" t="s">
        <v>213</v>
      </c>
      <c r="I3419" s="97" t="s">
        <v>755</v>
      </c>
      <c r="J3419" s="73">
        <f t="shared" si="393"/>
        <v>1</v>
      </c>
      <c r="K3419" s="74" t="s">
        <v>204</v>
      </c>
      <c r="L3419" s="97" t="s">
        <v>9242</v>
      </c>
      <c r="N3419" s="76" t="s">
        <v>18</v>
      </c>
      <c r="Q3419" s="76" t="s">
        <v>2076</v>
      </c>
      <c r="R3419" s="73">
        <f t="shared" si="394"/>
        <v>1</v>
      </c>
      <c r="S3419" s="260" t="s">
        <v>1976</v>
      </c>
      <c r="T3419" s="260" t="s">
        <v>923</v>
      </c>
      <c r="U3419" s="76" t="s">
        <v>5283</v>
      </c>
      <c r="V3419" s="301" t="s">
        <v>11163</v>
      </c>
      <c r="Y3419" s="566">
        <v>0.5647106481481482</v>
      </c>
      <c r="Z3419" s="566">
        <v>0.59888888888888892</v>
      </c>
      <c r="AA3419" s="566">
        <f t="shared" si="395"/>
        <v>3.4178240740740717E-2</v>
      </c>
    </row>
    <row r="3420" spans="1:27" x14ac:dyDescent="0.3">
      <c r="A3420" s="79" t="s">
        <v>11048</v>
      </c>
      <c r="C3420" s="115">
        <v>44082</v>
      </c>
      <c r="D3420" s="312">
        <v>44103</v>
      </c>
      <c r="E3420" s="81">
        <v>44097</v>
      </c>
      <c r="F3420" s="86" t="s">
        <v>11124</v>
      </c>
      <c r="G3420" s="86" t="s">
        <v>152</v>
      </c>
      <c r="H3420" s="96" t="s">
        <v>213</v>
      </c>
      <c r="I3420" s="97" t="s">
        <v>649</v>
      </c>
      <c r="J3420" s="73">
        <f t="shared" si="393"/>
        <v>1</v>
      </c>
      <c r="K3420" s="74" t="s">
        <v>204</v>
      </c>
      <c r="L3420" s="97" t="s">
        <v>11161</v>
      </c>
      <c r="N3420" s="76" t="s">
        <v>18</v>
      </c>
      <c r="Q3420" s="76" t="s">
        <v>2037</v>
      </c>
      <c r="R3420" s="73">
        <f t="shared" si="394"/>
        <v>1</v>
      </c>
      <c r="S3420" s="260" t="s">
        <v>1976</v>
      </c>
      <c r="T3420" s="260" t="s">
        <v>925</v>
      </c>
      <c r="Y3420" s="566">
        <v>0.41100694444444441</v>
      </c>
      <c r="Z3420" s="566">
        <v>0.43938657407407411</v>
      </c>
      <c r="AA3420" s="566">
        <f t="shared" si="395"/>
        <v>2.8379629629629699E-2</v>
      </c>
    </row>
    <row r="3421" spans="1:27" x14ac:dyDescent="0.3">
      <c r="A3421" s="79" t="s">
        <v>11049</v>
      </c>
      <c r="C3421" s="115">
        <v>44082</v>
      </c>
      <c r="D3421" s="312">
        <v>44103</v>
      </c>
      <c r="E3421" s="81">
        <v>44097</v>
      </c>
      <c r="F3421" s="86" t="s">
        <v>9170</v>
      </c>
      <c r="G3421" s="86" t="s">
        <v>157</v>
      </c>
      <c r="H3421" s="96" t="s">
        <v>213</v>
      </c>
      <c r="I3421" s="97" t="s">
        <v>649</v>
      </c>
      <c r="J3421" s="73">
        <f t="shared" si="393"/>
        <v>1</v>
      </c>
      <c r="K3421" s="74" t="s">
        <v>204</v>
      </c>
      <c r="L3421" s="97" t="s">
        <v>7089</v>
      </c>
      <c r="N3421" s="76" t="s">
        <v>18</v>
      </c>
      <c r="Q3421" s="76" t="s">
        <v>2076</v>
      </c>
      <c r="R3421" s="73">
        <f t="shared" si="394"/>
        <v>1</v>
      </c>
      <c r="S3421" s="260" t="s">
        <v>1976</v>
      </c>
      <c r="T3421" s="260" t="s">
        <v>923</v>
      </c>
      <c r="U3421" s="76" t="s">
        <v>5283</v>
      </c>
      <c r="V3421" s="301" t="s">
        <v>11162</v>
      </c>
      <c r="Y3421" s="566">
        <v>0.55726851851851855</v>
      </c>
      <c r="Z3421" s="566">
        <v>0.56328703703703698</v>
      </c>
      <c r="AA3421" s="566">
        <f t="shared" si="395"/>
        <v>6.0185185185184231E-3</v>
      </c>
    </row>
    <row r="3422" spans="1:27" x14ac:dyDescent="0.3">
      <c r="A3422" s="79" t="s">
        <v>11050</v>
      </c>
      <c r="C3422" s="115">
        <v>44082</v>
      </c>
      <c r="D3422" s="312">
        <v>44103</v>
      </c>
      <c r="E3422" s="81">
        <v>44101</v>
      </c>
      <c r="F3422" s="86" t="s">
        <v>11125</v>
      </c>
      <c r="G3422" s="86" t="s">
        <v>9119</v>
      </c>
      <c r="H3422" s="96" t="s">
        <v>213</v>
      </c>
      <c r="I3422" s="97" t="s">
        <v>972</v>
      </c>
      <c r="J3422" s="73">
        <f t="shared" si="393"/>
        <v>1</v>
      </c>
      <c r="K3422" s="74" t="s">
        <v>204</v>
      </c>
      <c r="L3422" s="97" t="s">
        <v>11180</v>
      </c>
      <c r="N3422" s="76" t="s">
        <v>17</v>
      </c>
      <c r="Q3422" s="76" t="s">
        <v>2037</v>
      </c>
      <c r="R3422" s="73">
        <f t="shared" si="394"/>
        <v>1</v>
      </c>
      <c r="S3422" s="260" t="s">
        <v>1976</v>
      </c>
      <c r="T3422" s="260" t="s">
        <v>925</v>
      </c>
      <c r="Y3422" s="566">
        <v>0.4045138888888889</v>
      </c>
      <c r="Z3422" s="566">
        <v>0.41196759259259258</v>
      </c>
      <c r="AA3422" s="566">
        <f t="shared" si="395"/>
        <v>7.4537037037036846E-3</v>
      </c>
    </row>
    <row r="3423" spans="1:27" x14ac:dyDescent="0.3">
      <c r="A3423" s="79" t="s">
        <v>11051</v>
      </c>
      <c r="C3423" s="115">
        <v>44082</v>
      </c>
      <c r="D3423" s="312">
        <v>44104</v>
      </c>
      <c r="E3423" s="81">
        <v>44097</v>
      </c>
      <c r="F3423" s="86" t="s">
        <v>11126</v>
      </c>
      <c r="G3423" s="86" t="s">
        <v>166</v>
      </c>
      <c r="H3423" s="96" t="s">
        <v>213</v>
      </c>
      <c r="I3423" s="97" t="s">
        <v>649</v>
      </c>
      <c r="J3423" s="73">
        <f t="shared" si="393"/>
        <v>1</v>
      </c>
      <c r="K3423" s="74" t="s">
        <v>204</v>
      </c>
      <c r="L3423" s="97" t="s">
        <v>7060</v>
      </c>
      <c r="N3423" s="76" t="s">
        <v>17</v>
      </c>
      <c r="Q3423" s="76" t="s">
        <v>2037</v>
      </c>
      <c r="R3423" s="73">
        <f t="shared" si="394"/>
        <v>1</v>
      </c>
      <c r="S3423" s="260" t="s">
        <v>1976</v>
      </c>
      <c r="T3423" s="260" t="s">
        <v>925</v>
      </c>
      <c r="Y3423" s="566">
        <v>0.6185532407407407</v>
      </c>
      <c r="Z3423" s="566">
        <v>0.62585648148148143</v>
      </c>
      <c r="AA3423" s="566">
        <f t="shared" si="395"/>
        <v>7.3032407407407351E-3</v>
      </c>
    </row>
    <row r="3424" spans="1:27" x14ac:dyDescent="0.3">
      <c r="A3424" s="79" t="s">
        <v>11052</v>
      </c>
      <c r="C3424" s="115">
        <v>44083</v>
      </c>
      <c r="D3424" s="312">
        <v>44104</v>
      </c>
      <c r="E3424" s="81">
        <v>44098</v>
      </c>
      <c r="F3424" s="86" t="s">
        <v>11127</v>
      </c>
      <c r="G3424" s="86" t="s">
        <v>152</v>
      </c>
      <c r="H3424" s="96" t="s">
        <v>213</v>
      </c>
      <c r="I3424" s="97" t="s">
        <v>1113</v>
      </c>
      <c r="J3424" s="73">
        <f t="shared" si="393"/>
        <v>1</v>
      </c>
      <c r="K3424" s="74" t="s">
        <v>204</v>
      </c>
      <c r="L3424" s="97" t="s">
        <v>9640</v>
      </c>
      <c r="N3424" s="76" t="s">
        <v>18</v>
      </c>
      <c r="Q3424" s="76" t="s">
        <v>5193</v>
      </c>
      <c r="R3424" s="73">
        <f t="shared" si="394"/>
        <v>1</v>
      </c>
      <c r="S3424" s="260" t="s">
        <v>1976</v>
      </c>
      <c r="T3424" s="260" t="s">
        <v>923</v>
      </c>
      <c r="Y3424" s="566">
        <v>0.44846064814814812</v>
      </c>
      <c r="Z3424" s="566">
        <v>0.45087962962962963</v>
      </c>
      <c r="AA3424" s="566">
        <f t="shared" si="395"/>
        <v>2.418981481481508E-3</v>
      </c>
    </row>
    <row r="3425" spans="1:27" x14ac:dyDescent="0.3">
      <c r="A3425" s="96" t="s">
        <v>11053</v>
      </c>
      <c r="C3425" s="115">
        <v>44083</v>
      </c>
      <c r="D3425" s="312">
        <v>44104</v>
      </c>
      <c r="E3425" s="81">
        <v>44099</v>
      </c>
      <c r="F3425" s="86" t="s">
        <v>11128</v>
      </c>
      <c r="G3425" s="86" t="s">
        <v>150</v>
      </c>
      <c r="H3425" s="96" t="s">
        <v>213</v>
      </c>
      <c r="I3425" s="97" t="s">
        <v>2729</v>
      </c>
      <c r="J3425" s="73">
        <f t="shared" si="393"/>
        <v>1</v>
      </c>
      <c r="K3425" s="74" t="s">
        <v>204</v>
      </c>
      <c r="L3425" s="97" t="s">
        <v>7073</v>
      </c>
      <c r="N3425" s="76" t="s">
        <v>19</v>
      </c>
      <c r="Q3425" s="76" t="s">
        <v>2076</v>
      </c>
      <c r="R3425" s="73">
        <f t="shared" si="394"/>
        <v>1</v>
      </c>
      <c r="S3425" s="260" t="s">
        <v>1976</v>
      </c>
      <c r="T3425" s="260" t="s">
        <v>923</v>
      </c>
      <c r="Y3425" s="566">
        <v>0.64315972222222217</v>
      </c>
      <c r="Z3425" s="566">
        <v>0.65017361111111105</v>
      </c>
      <c r="AA3425" s="566">
        <f t="shared" si="395"/>
        <v>7.0138888888888751E-3</v>
      </c>
    </row>
    <row r="3426" spans="1:27" x14ac:dyDescent="0.3">
      <c r="A3426" s="79" t="s">
        <v>11054</v>
      </c>
      <c r="C3426" s="115">
        <v>44083</v>
      </c>
      <c r="D3426" s="312">
        <v>44105</v>
      </c>
      <c r="E3426" s="81">
        <v>44099</v>
      </c>
      <c r="F3426" s="86" t="s">
        <v>11129</v>
      </c>
      <c r="G3426" s="86" t="s">
        <v>152</v>
      </c>
      <c r="H3426" s="96" t="s">
        <v>213</v>
      </c>
      <c r="I3426" s="97" t="s">
        <v>622</v>
      </c>
      <c r="J3426" s="73">
        <f t="shared" si="393"/>
        <v>1</v>
      </c>
      <c r="K3426" s="74" t="s">
        <v>204</v>
      </c>
      <c r="L3426" s="97" t="s">
        <v>11182</v>
      </c>
      <c r="N3426" s="76" t="s">
        <v>19</v>
      </c>
      <c r="Q3426" s="76" t="s">
        <v>2037</v>
      </c>
      <c r="R3426" s="73">
        <f t="shared" si="394"/>
        <v>1</v>
      </c>
      <c r="S3426" s="260" t="s">
        <v>1976</v>
      </c>
      <c r="T3426" s="260" t="s">
        <v>923</v>
      </c>
      <c r="U3426" s="76" t="s">
        <v>5283</v>
      </c>
      <c r="V3426" s="301" t="s">
        <v>11174</v>
      </c>
      <c r="Y3426" s="566">
        <v>0.70291666666666675</v>
      </c>
      <c r="Z3426" s="566">
        <v>0.71292824074074079</v>
      </c>
      <c r="AA3426" s="566">
        <f t="shared" si="395"/>
        <v>1.0011574074074048E-2</v>
      </c>
    </row>
    <row r="3427" spans="1:27" x14ac:dyDescent="0.3">
      <c r="A3427" s="96" t="s">
        <v>11055</v>
      </c>
      <c r="C3427" s="115">
        <v>44083</v>
      </c>
      <c r="D3427" s="312">
        <v>44105</v>
      </c>
      <c r="E3427" s="81">
        <v>44099</v>
      </c>
      <c r="F3427" s="86" t="s">
        <v>11130</v>
      </c>
      <c r="G3427" s="86" t="s">
        <v>152</v>
      </c>
      <c r="H3427" s="96" t="s">
        <v>213</v>
      </c>
      <c r="I3427" s="97" t="s">
        <v>722</v>
      </c>
      <c r="J3427" s="73">
        <f t="shared" si="393"/>
        <v>1</v>
      </c>
      <c r="K3427" s="74" t="s">
        <v>204</v>
      </c>
      <c r="L3427" s="97" t="s">
        <v>7322</v>
      </c>
      <c r="N3427" s="76" t="s">
        <v>18</v>
      </c>
      <c r="Q3427" s="76" t="s">
        <v>2142</v>
      </c>
      <c r="R3427" s="73">
        <f t="shared" si="394"/>
        <v>1</v>
      </c>
      <c r="S3427" s="260" t="s">
        <v>1976</v>
      </c>
      <c r="T3427" s="260" t="s">
        <v>923</v>
      </c>
      <c r="Y3427" s="566">
        <v>0.375</v>
      </c>
      <c r="Z3427" s="566">
        <v>0.37863425925925925</v>
      </c>
      <c r="AA3427" s="566">
        <f t="shared" si="395"/>
        <v>3.6342592592592537E-3</v>
      </c>
    </row>
    <row r="3428" spans="1:27" x14ac:dyDescent="0.3">
      <c r="A3428" s="79" t="s">
        <v>11056</v>
      </c>
      <c r="C3428" s="115">
        <v>44083</v>
      </c>
      <c r="D3428" s="312">
        <v>44104</v>
      </c>
      <c r="E3428" s="81">
        <v>44098</v>
      </c>
      <c r="F3428" s="86" t="s">
        <v>11131</v>
      </c>
      <c r="G3428" s="86" t="s">
        <v>150</v>
      </c>
      <c r="H3428" s="79" t="s">
        <v>268</v>
      </c>
      <c r="I3428" s="97" t="s">
        <v>689</v>
      </c>
      <c r="J3428" s="73">
        <f t="shared" si="393"/>
        <v>1</v>
      </c>
      <c r="K3428" s="74" t="s">
        <v>204</v>
      </c>
      <c r="L3428" s="97" t="s">
        <v>11170</v>
      </c>
      <c r="N3428" s="76" t="s">
        <v>18</v>
      </c>
      <c r="Q3428" s="76" t="s">
        <v>2142</v>
      </c>
      <c r="R3428" s="73">
        <f t="shared" si="394"/>
        <v>1</v>
      </c>
      <c r="S3428" s="260" t="s">
        <v>1976</v>
      </c>
      <c r="T3428" s="260" t="s">
        <v>925</v>
      </c>
      <c r="Y3428" s="566">
        <v>0.49245370370370373</v>
      </c>
      <c r="Z3428" s="566">
        <v>0.60601851851851851</v>
      </c>
      <c r="AA3428" s="566">
        <f t="shared" si="395"/>
        <v>0.11356481481481479</v>
      </c>
    </row>
    <row r="3429" spans="1:27" x14ac:dyDescent="0.3">
      <c r="A3429" s="96" t="s">
        <v>11057</v>
      </c>
      <c r="C3429" s="115">
        <v>44084</v>
      </c>
      <c r="D3429" s="312">
        <v>44105</v>
      </c>
      <c r="E3429" s="81">
        <v>44099</v>
      </c>
      <c r="F3429" s="86" t="s">
        <v>11132</v>
      </c>
      <c r="G3429" s="86" t="s">
        <v>156</v>
      </c>
      <c r="H3429" s="96" t="s">
        <v>213</v>
      </c>
      <c r="I3429" s="97" t="s">
        <v>649</v>
      </c>
      <c r="J3429" s="73">
        <f t="shared" si="393"/>
        <v>1</v>
      </c>
      <c r="K3429" s="74" t="s">
        <v>204</v>
      </c>
      <c r="L3429" s="97" t="s">
        <v>11172</v>
      </c>
      <c r="N3429" s="76" t="s">
        <v>18</v>
      </c>
      <c r="Q3429" s="76" t="s">
        <v>5193</v>
      </c>
      <c r="R3429" s="73">
        <f t="shared" si="394"/>
        <v>1</v>
      </c>
      <c r="S3429" s="260" t="s">
        <v>1976</v>
      </c>
      <c r="T3429" s="260" t="s">
        <v>925</v>
      </c>
      <c r="Y3429" s="566">
        <v>0.38692129629629629</v>
      </c>
      <c r="Z3429" s="566">
        <v>0.40516203703703701</v>
      </c>
      <c r="AA3429" s="566">
        <f t="shared" si="395"/>
        <v>1.8240740740740724E-2</v>
      </c>
    </row>
    <row r="3430" spans="1:27" x14ac:dyDescent="0.3">
      <c r="A3430" s="79" t="s">
        <v>11058</v>
      </c>
      <c r="C3430" s="115">
        <v>44084</v>
      </c>
      <c r="D3430" s="312">
        <v>44105</v>
      </c>
      <c r="E3430" s="81">
        <v>44101</v>
      </c>
      <c r="F3430" s="86" t="s">
        <v>11133</v>
      </c>
      <c r="G3430" s="86" t="s">
        <v>147</v>
      </c>
      <c r="H3430" s="96" t="s">
        <v>213</v>
      </c>
      <c r="I3430" s="97" t="s">
        <v>3475</v>
      </c>
      <c r="J3430" s="73">
        <f t="shared" si="393"/>
        <v>1</v>
      </c>
      <c r="K3430" s="74" t="s">
        <v>204</v>
      </c>
      <c r="L3430" s="97" t="s">
        <v>11181</v>
      </c>
      <c r="N3430" s="76" t="s">
        <v>19</v>
      </c>
      <c r="Q3430" s="76" t="s">
        <v>2142</v>
      </c>
      <c r="R3430" s="73">
        <f t="shared" si="394"/>
        <v>1</v>
      </c>
      <c r="S3430" s="260" t="s">
        <v>1976</v>
      </c>
      <c r="T3430" s="260" t="s">
        <v>925</v>
      </c>
      <c r="Y3430" s="566">
        <v>0.41238425925925926</v>
      </c>
      <c r="Z3430" s="566">
        <v>0.41648148148148145</v>
      </c>
      <c r="AA3430" s="566">
        <f t="shared" si="395"/>
        <v>4.0972222222221966E-3</v>
      </c>
    </row>
    <row r="3431" spans="1:27" x14ac:dyDescent="0.3">
      <c r="A3431" s="79" t="s">
        <v>11059</v>
      </c>
      <c r="C3431" s="115">
        <v>44084</v>
      </c>
      <c r="D3431" s="312">
        <v>44105</v>
      </c>
      <c r="E3431" s="81">
        <v>44099</v>
      </c>
      <c r="F3431" s="86" t="s">
        <v>11134</v>
      </c>
      <c r="G3431" s="86" t="s">
        <v>6493</v>
      </c>
      <c r="H3431" s="96" t="s">
        <v>213</v>
      </c>
      <c r="I3431" s="97" t="s">
        <v>649</v>
      </c>
      <c r="J3431" s="73">
        <f t="shared" si="393"/>
        <v>1</v>
      </c>
      <c r="K3431" s="74" t="s">
        <v>204</v>
      </c>
      <c r="L3431" s="97" t="s">
        <v>7060</v>
      </c>
      <c r="N3431" s="76" t="s">
        <v>17</v>
      </c>
      <c r="Q3431" s="76" t="s">
        <v>2076</v>
      </c>
      <c r="R3431" s="73">
        <f t="shared" si="394"/>
        <v>1</v>
      </c>
      <c r="S3431" s="260" t="s">
        <v>1976</v>
      </c>
      <c r="T3431" s="260" t="s">
        <v>925</v>
      </c>
      <c r="Y3431" s="566">
        <v>0.42508101851851854</v>
      </c>
      <c r="Z3431" s="566">
        <v>0.43275462962962963</v>
      </c>
      <c r="AA3431" s="566">
        <f t="shared" si="395"/>
        <v>7.6736111111110894E-3</v>
      </c>
    </row>
    <row r="3432" spans="1:27" x14ac:dyDescent="0.3">
      <c r="A3432" s="79" t="s">
        <v>11060</v>
      </c>
      <c r="C3432" s="115">
        <v>44084</v>
      </c>
      <c r="D3432" s="312">
        <v>44105</v>
      </c>
      <c r="E3432" s="81">
        <v>44102</v>
      </c>
      <c r="F3432" s="86" t="s">
        <v>11135</v>
      </c>
      <c r="G3432" s="86" t="s">
        <v>157</v>
      </c>
      <c r="H3432" s="96" t="s">
        <v>213</v>
      </c>
      <c r="I3432" s="97" t="s">
        <v>9209</v>
      </c>
      <c r="J3432" s="73">
        <f t="shared" si="393"/>
        <v>1</v>
      </c>
      <c r="K3432" s="74" t="s">
        <v>204</v>
      </c>
      <c r="L3432" s="97" t="s">
        <v>11350</v>
      </c>
      <c r="N3432" s="76" t="s">
        <v>18</v>
      </c>
      <c r="Q3432" s="76" t="s">
        <v>2076</v>
      </c>
      <c r="R3432" s="73">
        <f t="shared" si="394"/>
        <v>1</v>
      </c>
      <c r="S3432" s="260" t="s">
        <v>1976</v>
      </c>
      <c r="T3432" s="260" t="s">
        <v>925</v>
      </c>
      <c r="U3432" s="76" t="s">
        <v>5283</v>
      </c>
      <c r="V3432" s="301" t="s">
        <v>11353</v>
      </c>
      <c r="Y3432" s="566">
        <v>0.40116898148148145</v>
      </c>
      <c r="Z3432" s="566">
        <v>0.42538194444444444</v>
      </c>
      <c r="AA3432" s="566">
        <f t="shared" si="395"/>
        <v>2.4212962962962992E-2</v>
      </c>
    </row>
    <row r="3433" spans="1:27" x14ac:dyDescent="0.3">
      <c r="A3433" s="79" t="s">
        <v>11061</v>
      </c>
      <c r="C3433" s="115">
        <v>44084</v>
      </c>
      <c r="D3433" s="312">
        <v>44105</v>
      </c>
      <c r="E3433" s="81">
        <v>44099</v>
      </c>
      <c r="F3433" s="86" t="s">
        <v>11136</v>
      </c>
      <c r="G3433" s="86" t="s">
        <v>154</v>
      </c>
      <c r="H3433" s="96" t="s">
        <v>213</v>
      </c>
      <c r="I3433" s="97" t="s">
        <v>658</v>
      </c>
      <c r="J3433" s="73">
        <f t="shared" si="393"/>
        <v>1</v>
      </c>
      <c r="K3433" s="74" t="s">
        <v>204</v>
      </c>
      <c r="L3433" s="97" t="s">
        <v>11177</v>
      </c>
      <c r="N3433" s="76" t="s">
        <v>17</v>
      </c>
      <c r="Q3433" s="76" t="s">
        <v>5193</v>
      </c>
      <c r="R3433" s="73">
        <f t="shared" si="394"/>
        <v>1</v>
      </c>
      <c r="S3433" s="260" t="s">
        <v>1976</v>
      </c>
      <c r="T3433" s="260" t="s">
        <v>925</v>
      </c>
      <c r="Y3433" s="566">
        <v>0.6506481481481482</v>
      </c>
      <c r="Z3433" s="566">
        <v>0.78935185185185175</v>
      </c>
      <c r="AA3433" s="566">
        <f t="shared" si="395"/>
        <v>0.13870370370370355</v>
      </c>
    </row>
    <row r="3434" spans="1:27" x14ac:dyDescent="0.3">
      <c r="A3434" s="79" t="s">
        <v>11062</v>
      </c>
      <c r="C3434" s="115">
        <v>44084</v>
      </c>
      <c r="D3434" s="312">
        <v>44105</v>
      </c>
      <c r="E3434" s="81">
        <v>44104</v>
      </c>
      <c r="F3434" s="86" t="s">
        <v>11137</v>
      </c>
      <c r="G3434" s="86" t="s">
        <v>154</v>
      </c>
      <c r="H3434" s="96" t="s">
        <v>213</v>
      </c>
      <c r="I3434" s="97" t="s">
        <v>2729</v>
      </c>
      <c r="J3434" s="73">
        <f t="shared" si="393"/>
        <v>1</v>
      </c>
      <c r="K3434" s="74" t="s">
        <v>204</v>
      </c>
      <c r="L3434" s="97" t="s">
        <v>9478</v>
      </c>
      <c r="N3434" s="76" t="s">
        <v>19</v>
      </c>
      <c r="Q3434" s="76" t="s">
        <v>2142</v>
      </c>
      <c r="R3434" s="73">
        <f t="shared" si="394"/>
        <v>1</v>
      </c>
      <c r="S3434" s="260" t="s">
        <v>1976</v>
      </c>
      <c r="T3434" s="260" t="s">
        <v>923</v>
      </c>
      <c r="Y3434" s="566">
        <v>0.47839120370370369</v>
      </c>
      <c r="Z3434" s="566">
        <v>0.48214120370370367</v>
      </c>
      <c r="AA3434" s="566">
        <f t="shared" si="395"/>
        <v>3.7499999999999756E-3</v>
      </c>
    </row>
    <row r="3435" spans="1:27" x14ac:dyDescent="0.3">
      <c r="A3435" s="79" t="s">
        <v>11063</v>
      </c>
      <c r="C3435" s="115">
        <v>44084</v>
      </c>
      <c r="D3435" s="312">
        <v>44105</v>
      </c>
      <c r="E3435" s="81">
        <v>44099</v>
      </c>
      <c r="F3435" s="86" t="s">
        <v>11138</v>
      </c>
      <c r="G3435" s="86" t="s">
        <v>150</v>
      </c>
      <c r="H3435" s="96" t="s">
        <v>213</v>
      </c>
      <c r="I3435" s="97" t="s">
        <v>649</v>
      </c>
      <c r="J3435" s="73">
        <f t="shared" si="393"/>
        <v>1</v>
      </c>
      <c r="K3435" s="74" t="s">
        <v>204</v>
      </c>
      <c r="L3435" s="97" t="s">
        <v>7060</v>
      </c>
      <c r="N3435" s="76" t="s">
        <v>17</v>
      </c>
      <c r="Q3435" s="76" t="s">
        <v>2076</v>
      </c>
      <c r="R3435" s="73">
        <f t="shared" si="394"/>
        <v>1</v>
      </c>
      <c r="S3435" s="260" t="s">
        <v>1976</v>
      </c>
      <c r="T3435" s="260" t="s">
        <v>923</v>
      </c>
      <c r="Y3435" s="566">
        <v>0.40613425925925922</v>
      </c>
      <c r="Z3435" s="566">
        <v>0.42457175925925927</v>
      </c>
      <c r="AA3435" s="566">
        <f t="shared" si="395"/>
        <v>1.8437500000000051E-2</v>
      </c>
    </row>
    <row r="3436" spans="1:27" x14ac:dyDescent="0.3">
      <c r="A3436" s="79" t="s">
        <v>11064</v>
      </c>
      <c r="C3436" s="115">
        <v>44084</v>
      </c>
      <c r="D3436" s="312">
        <v>44105</v>
      </c>
      <c r="E3436" s="81">
        <v>44098</v>
      </c>
      <c r="F3436" s="86" t="s">
        <v>11139</v>
      </c>
      <c r="G3436" s="86" t="s">
        <v>150</v>
      </c>
      <c r="H3436" s="96" t="s">
        <v>213</v>
      </c>
      <c r="I3436" s="97" t="s">
        <v>5824</v>
      </c>
      <c r="J3436" s="73">
        <f t="shared" si="393"/>
        <v>1</v>
      </c>
      <c r="K3436" s="74" t="s">
        <v>204</v>
      </c>
      <c r="L3436" s="97" t="s">
        <v>9242</v>
      </c>
      <c r="N3436" s="76" t="s">
        <v>18</v>
      </c>
      <c r="Q3436" s="76" t="s">
        <v>2076</v>
      </c>
      <c r="R3436" s="73">
        <f t="shared" si="394"/>
        <v>1</v>
      </c>
      <c r="S3436" s="260" t="s">
        <v>1976</v>
      </c>
      <c r="T3436" s="260" t="s">
        <v>923</v>
      </c>
      <c r="Y3436" s="566">
        <v>0.43130787037037038</v>
      </c>
      <c r="Z3436" s="566">
        <v>0.43762731481481482</v>
      </c>
      <c r="AA3436" s="566">
        <f t="shared" si="395"/>
        <v>6.3194444444444331E-3</v>
      </c>
    </row>
    <row r="3437" spans="1:27" x14ac:dyDescent="0.3">
      <c r="A3437" s="79" t="s">
        <v>11065</v>
      </c>
      <c r="C3437" s="115">
        <v>44084</v>
      </c>
      <c r="D3437" s="312">
        <v>44105</v>
      </c>
      <c r="E3437" s="81">
        <v>44099</v>
      </c>
      <c r="F3437" s="86" t="s">
        <v>11140</v>
      </c>
      <c r="G3437" s="86" t="s">
        <v>150</v>
      </c>
      <c r="H3437" s="96" t="s">
        <v>213</v>
      </c>
      <c r="I3437" s="97" t="s">
        <v>649</v>
      </c>
      <c r="J3437" s="73">
        <f t="shared" si="393"/>
        <v>1</v>
      </c>
      <c r="K3437" s="74" t="s">
        <v>204</v>
      </c>
      <c r="L3437" s="97" t="s">
        <v>11178</v>
      </c>
      <c r="N3437" s="76" t="s">
        <v>19</v>
      </c>
      <c r="Q3437" s="76" t="s">
        <v>2076</v>
      </c>
      <c r="R3437" s="73">
        <f t="shared" si="394"/>
        <v>1</v>
      </c>
      <c r="S3437" s="260" t="s">
        <v>1976</v>
      </c>
      <c r="T3437" s="260" t="s">
        <v>923</v>
      </c>
      <c r="Y3437" s="566">
        <v>0.43331018518518521</v>
      </c>
      <c r="Z3437" s="566">
        <v>0.47105324074074079</v>
      </c>
      <c r="AA3437" s="566">
        <f t="shared" si="395"/>
        <v>3.7743055555555571E-2</v>
      </c>
    </row>
    <row r="3438" spans="1:27" x14ac:dyDescent="0.3">
      <c r="A3438" s="79" t="s">
        <v>11066</v>
      </c>
      <c r="C3438" s="115">
        <v>44085</v>
      </c>
      <c r="D3438" s="312">
        <v>44106</v>
      </c>
      <c r="E3438" s="81">
        <v>44101</v>
      </c>
      <c r="F3438" s="86" t="s">
        <v>11141</v>
      </c>
      <c r="G3438" s="86" t="s">
        <v>152</v>
      </c>
      <c r="H3438" s="96" t="s">
        <v>213</v>
      </c>
      <c r="I3438" s="97" t="s">
        <v>649</v>
      </c>
      <c r="J3438" s="73">
        <f t="shared" si="393"/>
        <v>1</v>
      </c>
      <c r="K3438" s="74" t="s">
        <v>204</v>
      </c>
      <c r="L3438" s="97" t="s">
        <v>11184</v>
      </c>
      <c r="N3438" s="76" t="s">
        <v>17</v>
      </c>
      <c r="Q3438" s="76" t="s">
        <v>2037</v>
      </c>
      <c r="R3438" s="73">
        <f t="shared" si="394"/>
        <v>1</v>
      </c>
      <c r="S3438" s="260" t="s">
        <v>1976</v>
      </c>
      <c r="T3438" s="260" t="s">
        <v>923</v>
      </c>
      <c r="Y3438" s="566">
        <v>0.82335648148148144</v>
      </c>
      <c r="Z3438" s="566">
        <v>0.93084490740740744</v>
      </c>
      <c r="AA3438" s="566">
        <f t="shared" si="395"/>
        <v>0.107488425925926</v>
      </c>
    </row>
    <row r="3439" spans="1:27" x14ac:dyDescent="0.3">
      <c r="A3439" s="96" t="s">
        <v>11067</v>
      </c>
      <c r="C3439" s="115">
        <v>44085</v>
      </c>
      <c r="D3439" s="312">
        <v>44106</v>
      </c>
      <c r="E3439" s="81">
        <v>44098</v>
      </c>
      <c r="F3439" s="86" t="s">
        <v>11142</v>
      </c>
      <c r="G3439" s="86" t="s">
        <v>152</v>
      </c>
      <c r="H3439" s="96" t="s">
        <v>213</v>
      </c>
      <c r="I3439" s="97" t="s">
        <v>9251</v>
      </c>
      <c r="J3439" s="73">
        <f t="shared" si="393"/>
        <v>1</v>
      </c>
      <c r="K3439" s="74" t="s">
        <v>204</v>
      </c>
      <c r="L3439" s="97" t="s">
        <v>11176</v>
      </c>
      <c r="N3439" s="76" t="s">
        <v>17</v>
      </c>
      <c r="Q3439" s="76" t="s">
        <v>5193</v>
      </c>
      <c r="R3439" s="73">
        <f t="shared" si="394"/>
        <v>1</v>
      </c>
      <c r="S3439" s="260" t="s">
        <v>1976</v>
      </c>
      <c r="T3439" s="260" t="s">
        <v>923</v>
      </c>
      <c r="V3439" s="301"/>
      <c r="Y3439" s="566">
        <v>0.74312500000000004</v>
      </c>
      <c r="Z3439" s="566">
        <v>0.76300925925925922</v>
      </c>
      <c r="AA3439" s="566">
        <f t="shared" si="395"/>
        <v>1.9884259259259185E-2</v>
      </c>
    </row>
    <row r="3440" spans="1:27" x14ac:dyDescent="0.3">
      <c r="A3440" s="79" t="s">
        <v>11068</v>
      </c>
      <c r="C3440" s="115">
        <v>44085</v>
      </c>
      <c r="D3440" s="312">
        <v>44106</v>
      </c>
      <c r="E3440" s="81">
        <v>44102</v>
      </c>
      <c r="F3440" s="86" t="s">
        <v>11143</v>
      </c>
      <c r="G3440" s="86" t="s">
        <v>147</v>
      </c>
      <c r="H3440" s="96" t="s">
        <v>213</v>
      </c>
      <c r="I3440" s="97" t="s">
        <v>3475</v>
      </c>
      <c r="J3440" s="73">
        <f t="shared" ref="J3440:J3444" si="396">IF(OR(K3440="Документы готовы",K3440="Запрос в ФО",K3440="ЭЗ",K3440="РЕШ",K3440="РЕШ шаблон"),0.1,IF(OR(K3440="ЭЗ согласование",K3440="РЕШ согласование"),0.3,IF(OR(K3440="ЭЗ согласовано",K3440="РЕШ согласовано",K3440="РЕШ подписано"),0.6,IF(OR(K3440="ЭЗ ПР согласование",K3440="РЕШ УВ согласование"),0.9,IF(OR(K3440="ЭЗ ПР DONE",K3440="РЕШ УВ DONE"),1,0)))))</f>
        <v>1</v>
      </c>
      <c r="K3440" s="74" t="s">
        <v>204</v>
      </c>
      <c r="L3440" s="97" t="s">
        <v>11351</v>
      </c>
      <c r="N3440" s="76" t="s">
        <v>19</v>
      </c>
      <c r="Q3440" s="76" t="s">
        <v>5193</v>
      </c>
      <c r="R3440" s="73">
        <f t="shared" ref="R3440:R3444" si="397">IF(S3440="В работе",0.3,IF(S3440="Отписано",0.6,IF(S3440="На доработку",0.9,IF(S3440="Согласовано",1,0))))</f>
        <v>1</v>
      </c>
      <c r="S3440" s="260" t="s">
        <v>1976</v>
      </c>
      <c r="T3440" s="260" t="s">
        <v>923</v>
      </c>
      <c r="Y3440" s="566">
        <v>0.51285879629629627</v>
      </c>
      <c r="Z3440" s="566">
        <v>0.52238425925925924</v>
      </c>
      <c r="AA3440" s="566">
        <f t="shared" ref="AA3440:AA3445" si="398">Z3440-Y3440</f>
        <v>9.5254629629629717E-3</v>
      </c>
    </row>
    <row r="3441" spans="1:27" x14ac:dyDescent="0.3">
      <c r="A3441" s="79" t="s">
        <v>11069</v>
      </c>
      <c r="C3441" s="115">
        <v>44085</v>
      </c>
      <c r="D3441" s="312">
        <v>44106</v>
      </c>
      <c r="E3441" s="81">
        <v>44099</v>
      </c>
      <c r="F3441" s="86" t="s">
        <v>11144</v>
      </c>
      <c r="G3441" s="86" t="s">
        <v>150</v>
      </c>
      <c r="H3441" s="96" t="s">
        <v>213</v>
      </c>
      <c r="I3441" s="97" t="s">
        <v>649</v>
      </c>
      <c r="J3441" s="73">
        <f t="shared" si="396"/>
        <v>1</v>
      </c>
      <c r="K3441" s="74" t="s">
        <v>204</v>
      </c>
      <c r="L3441" s="97" t="s">
        <v>7089</v>
      </c>
      <c r="N3441" s="76" t="s">
        <v>18</v>
      </c>
      <c r="Q3441" s="76" t="s">
        <v>2142</v>
      </c>
      <c r="R3441" s="73">
        <f t="shared" si="397"/>
        <v>1</v>
      </c>
      <c r="S3441" s="260" t="s">
        <v>1976</v>
      </c>
      <c r="T3441" s="260" t="s">
        <v>925</v>
      </c>
      <c r="Y3441" s="566">
        <v>0.80753472222222233</v>
      </c>
      <c r="Z3441" s="566">
        <v>0.81393518518518526</v>
      </c>
      <c r="AA3441" s="566">
        <f t="shared" si="398"/>
        <v>6.4004629629629273E-3</v>
      </c>
    </row>
    <row r="3442" spans="1:27" x14ac:dyDescent="0.3">
      <c r="A3442" s="79" t="s">
        <v>11070</v>
      </c>
      <c r="C3442" s="115">
        <v>44085</v>
      </c>
      <c r="D3442" s="312">
        <v>44106</v>
      </c>
      <c r="E3442" s="81">
        <v>44099</v>
      </c>
      <c r="F3442" s="86" t="s">
        <v>11145</v>
      </c>
      <c r="G3442" s="86" t="s">
        <v>157</v>
      </c>
      <c r="H3442" s="96" t="s">
        <v>213</v>
      </c>
      <c r="I3442" s="97" t="s">
        <v>649</v>
      </c>
      <c r="J3442" s="73">
        <f t="shared" si="396"/>
        <v>1</v>
      </c>
      <c r="K3442" s="74" t="s">
        <v>204</v>
      </c>
      <c r="L3442" s="97" t="s">
        <v>11179</v>
      </c>
      <c r="N3442" s="76" t="s">
        <v>17</v>
      </c>
      <c r="Q3442" s="76" t="s">
        <v>2076</v>
      </c>
      <c r="R3442" s="73">
        <f t="shared" si="397"/>
        <v>1</v>
      </c>
      <c r="S3442" s="260" t="s">
        <v>1976</v>
      </c>
      <c r="T3442" s="260" t="s">
        <v>923</v>
      </c>
      <c r="Y3442" s="566">
        <v>0.79584490740740732</v>
      </c>
      <c r="Z3442" s="566">
        <v>0.80704861111111104</v>
      </c>
      <c r="AA3442" s="566">
        <f t="shared" si="398"/>
        <v>1.1203703703703716E-2</v>
      </c>
    </row>
    <row r="3443" spans="1:27" x14ac:dyDescent="0.3">
      <c r="A3443" s="79" t="s">
        <v>11071</v>
      </c>
      <c r="C3443" s="115">
        <v>44085</v>
      </c>
      <c r="D3443" s="312">
        <v>44106</v>
      </c>
      <c r="E3443" s="81">
        <v>44098</v>
      </c>
      <c r="F3443" s="86" t="s">
        <v>11146</v>
      </c>
      <c r="G3443" s="86" t="s">
        <v>181</v>
      </c>
      <c r="H3443" s="96" t="s">
        <v>213</v>
      </c>
      <c r="I3443" s="97" t="s">
        <v>755</v>
      </c>
      <c r="J3443" s="73">
        <f t="shared" si="396"/>
        <v>1</v>
      </c>
      <c r="K3443" s="74" t="s">
        <v>204</v>
      </c>
      <c r="L3443" s="97" t="s">
        <v>7299</v>
      </c>
      <c r="N3443" s="76" t="s">
        <v>18</v>
      </c>
      <c r="Q3443" s="76" t="s">
        <v>5193</v>
      </c>
      <c r="R3443" s="73">
        <f t="shared" si="397"/>
        <v>1</v>
      </c>
      <c r="S3443" s="260" t="s">
        <v>1976</v>
      </c>
      <c r="T3443" s="260" t="s">
        <v>923</v>
      </c>
      <c r="Y3443" s="566">
        <v>0.73380787037037043</v>
      </c>
      <c r="Z3443" s="566">
        <v>0.74267361111111108</v>
      </c>
      <c r="AA3443" s="566">
        <f t="shared" si="398"/>
        <v>8.8657407407406463E-3</v>
      </c>
    </row>
    <row r="3444" spans="1:27" x14ac:dyDescent="0.3">
      <c r="A3444" s="79" t="s">
        <v>11072</v>
      </c>
      <c r="C3444" s="115">
        <v>44085</v>
      </c>
      <c r="D3444" s="312">
        <v>44106</v>
      </c>
      <c r="E3444" s="81">
        <v>44102</v>
      </c>
      <c r="F3444" s="86" t="s">
        <v>11147</v>
      </c>
      <c r="G3444" s="86" t="s">
        <v>152</v>
      </c>
      <c r="H3444" s="96" t="s">
        <v>213</v>
      </c>
      <c r="I3444" s="97" t="s">
        <v>649</v>
      </c>
      <c r="J3444" s="73">
        <f t="shared" si="396"/>
        <v>1</v>
      </c>
      <c r="K3444" s="74" t="s">
        <v>204</v>
      </c>
      <c r="L3444" s="97" t="s">
        <v>7060</v>
      </c>
      <c r="N3444" s="76" t="s">
        <v>18</v>
      </c>
      <c r="Q3444" s="76" t="s">
        <v>2076</v>
      </c>
      <c r="R3444" s="73">
        <f t="shared" si="397"/>
        <v>1</v>
      </c>
      <c r="S3444" s="260" t="s">
        <v>1976</v>
      </c>
      <c r="T3444" s="260" t="s">
        <v>923</v>
      </c>
      <c r="Y3444" s="566">
        <v>0.44854166666666667</v>
      </c>
      <c r="Z3444" s="566">
        <v>0.45666666666666672</v>
      </c>
      <c r="AA3444" s="566">
        <f t="shared" si="398"/>
        <v>8.1250000000000488E-3</v>
      </c>
    </row>
    <row r="3445" spans="1:27" x14ac:dyDescent="0.3">
      <c r="A3445" s="96" t="s">
        <v>11153</v>
      </c>
      <c r="C3445" s="81">
        <v>44063</v>
      </c>
      <c r="D3445" s="109">
        <v>44098</v>
      </c>
      <c r="E3445" s="81">
        <v>44096</v>
      </c>
      <c r="F3445" s="97" t="s">
        <v>11154</v>
      </c>
      <c r="G3445" s="97" t="s">
        <v>3280</v>
      </c>
      <c r="H3445" s="96" t="s">
        <v>213</v>
      </c>
      <c r="I3445" s="97" t="s">
        <v>714</v>
      </c>
      <c r="J3445" s="73">
        <f t="shared" ref="J3445:J3446" si="399">IF(OR(K3445="Документы готовы",K3445="Запрос в ФО",K3445="ЭЗ",K3445="РЕШ",K3445="РЕШ шаблон"),0.1,IF(OR(K3445="ЭЗ согласование",K3445="РЕШ согласование"),0.3,IF(OR(K3445="ЭЗ согласовано",K3445="РЕШ согласовано",K3445="РЕШ подписано"),0.6,IF(OR(K3445="ЭЗ ПР согласование",K3445="РЕШ УВ согласование"),0.9,IF(OR(K3445="ЭЗ ПР DONE",K3445="РЕШ УВ DONE"),1,0)))))</f>
        <v>1</v>
      </c>
      <c r="K3445" s="74" t="s">
        <v>204</v>
      </c>
      <c r="L3445" s="97" t="s">
        <v>7071</v>
      </c>
      <c r="N3445" s="76" t="s">
        <v>17</v>
      </c>
      <c r="Q3445" s="76" t="s">
        <v>5193</v>
      </c>
      <c r="R3445" s="73">
        <f t="shared" ref="R3445:R3446" si="400">IF(S3445="В работе",0.3,IF(S3445="Отписано",0.6,IF(S3445="На доработку",0.9,IF(S3445="Согласовано",1,0))))</f>
        <v>1</v>
      </c>
      <c r="S3445" s="260" t="s">
        <v>1976</v>
      </c>
      <c r="T3445" s="260" t="s">
        <v>923</v>
      </c>
      <c r="Y3445" s="566">
        <v>0.41695601851851855</v>
      </c>
      <c r="Z3445" s="566">
        <v>0.42098379629629629</v>
      </c>
      <c r="AA3445" s="566">
        <f t="shared" si="398"/>
        <v>4.0277777777777413E-3</v>
      </c>
    </row>
    <row r="3446" spans="1:27" x14ac:dyDescent="0.3">
      <c r="A3446" s="79" t="s">
        <v>11185</v>
      </c>
      <c r="C3446" s="115">
        <v>44060</v>
      </c>
      <c r="D3446" s="312">
        <v>44110</v>
      </c>
      <c r="E3446" s="81">
        <v>44104</v>
      </c>
      <c r="F3446" s="86" t="s">
        <v>11266</v>
      </c>
      <c r="G3446" s="86" t="s">
        <v>157</v>
      </c>
      <c r="H3446" s="96" t="s">
        <v>213</v>
      </c>
      <c r="I3446" s="97" t="s">
        <v>657</v>
      </c>
      <c r="J3446" s="73">
        <f t="shared" si="399"/>
        <v>1</v>
      </c>
      <c r="K3446" s="74" t="s">
        <v>204</v>
      </c>
      <c r="L3446" s="97" t="s">
        <v>11367</v>
      </c>
      <c r="N3446" s="76" t="s">
        <v>17</v>
      </c>
      <c r="Q3446" s="76" t="s">
        <v>5193</v>
      </c>
      <c r="R3446" s="73">
        <f t="shared" si="400"/>
        <v>1</v>
      </c>
      <c r="S3446" s="260" t="s">
        <v>1976</v>
      </c>
      <c r="T3446" s="260" t="s">
        <v>923</v>
      </c>
      <c r="Y3446" s="566">
        <v>0.52848379629629627</v>
      </c>
      <c r="Z3446" s="566">
        <v>0.53815972222222219</v>
      </c>
      <c r="AA3446" s="566">
        <f t="shared" ref="AA3446" si="401">Z3446-Y3446</f>
        <v>9.6759259259259212E-3</v>
      </c>
    </row>
    <row r="3447" spans="1:27" x14ac:dyDescent="0.3">
      <c r="A3447" s="79" t="s">
        <v>11186</v>
      </c>
      <c r="C3447" s="115">
        <v>44060</v>
      </c>
      <c r="D3447" s="312">
        <v>44110</v>
      </c>
      <c r="E3447" s="81">
        <v>44103</v>
      </c>
      <c r="F3447" s="86" t="s">
        <v>11267</v>
      </c>
      <c r="G3447" s="97" t="s">
        <v>164</v>
      </c>
      <c r="H3447" s="96" t="s">
        <v>213</v>
      </c>
      <c r="I3447" s="97" t="s">
        <v>642</v>
      </c>
      <c r="J3447" s="73">
        <f t="shared" ref="J3447:J3502" si="402">IF(OR(K3447="Документы готовы",K3447="Запрос в ФО",K3447="ЭЗ",K3447="РЕШ",K3447="РЕШ шаблон"),0.1,IF(OR(K3447="ЭЗ согласование",K3447="РЕШ согласование"),0.3,IF(OR(K3447="ЭЗ согласовано",K3447="РЕШ согласовано",K3447="РЕШ подписано"),0.6,IF(OR(K3447="ЭЗ ПР согласование",K3447="РЕШ УВ согласование"),0.9,IF(OR(K3447="ЭЗ ПР DONE",K3447="РЕШ УВ DONE"),1,0)))))</f>
        <v>1</v>
      </c>
      <c r="K3447" s="74" t="s">
        <v>204</v>
      </c>
      <c r="L3447" s="97" t="s">
        <v>8912</v>
      </c>
      <c r="N3447" s="76" t="s">
        <v>18</v>
      </c>
      <c r="Q3447" s="76" t="s">
        <v>2037</v>
      </c>
      <c r="R3447" s="73">
        <f t="shared" ref="R3447:R3502" si="403">IF(S3447="В работе",0.3,IF(S3447="Отписано",0.6,IF(S3447="На доработку",0.9,IF(S3447="Согласовано",1,0))))</f>
        <v>1</v>
      </c>
      <c r="S3447" s="260" t="s">
        <v>1976</v>
      </c>
      <c r="T3447" s="260" t="s">
        <v>924</v>
      </c>
      <c r="Y3447" s="566">
        <v>0.55626157407407406</v>
      </c>
      <c r="Z3447" s="566">
        <v>0.55988425925925933</v>
      </c>
      <c r="AA3447" s="566">
        <f t="shared" ref="AA3447:AA3502" si="404">Z3447-Y3447</f>
        <v>3.6226851851852704E-3</v>
      </c>
    </row>
    <row r="3448" spans="1:27" x14ac:dyDescent="0.3">
      <c r="A3448" s="79" t="s">
        <v>11187</v>
      </c>
      <c r="C3448" s="115">
        <v>44068</v>
      </c>
      <c r="D3448" s="312">
        <v>44111</v>
      </c>
      <c r="E3448" s="81">
        <v>44105</v>
      </c>
      <c r="F3448" s="86" t="s">
        <v>11268</v>
      </c>
      <c r="G3448" s="86" t="s">
        <v>152</v>
      </c>
      <c r="H3448" s="96" t="s">
        <v>213</v>
      </c>
      <c r="I3448" s="97" t="s">
        <v>4963</v>
      </c>
      <c r="J3448" s="73">
        <f t="shared" si="402"/>
        <v>1</v>
      </c>
      <c r="K3448" s="74" t="s">
        <v>204</v>
      </c>
      <c r="L3448" s="97" t="s">
        <v>7578</v>
      </c>
      <c r="N3448" s="76" t="s">
        <v>19</v>
      </c>
      <c r="Q3448" s="76" t="s">
        <v>2037</v>
      </c>
      <c r="R3448" s="73">
        <f t="shared" si="403"/>
        <v>1</v>
      </c>
      <c r="S3448" s="260" t="s">
        <v>1976</v>
      </c>
      <c r="T3448" s="260" t="s">
        <v>925</v>
      </c>
      <c r="U3448" s="76" t="s">
        <v>5283</v>
      </c>
      <c r="V3448" s="301" t="s">
        <v>11378</v>
      </c>
      <c r="Y3448" s="566">
        <v>0.41138888888888886</v>
      </c>
      <c r="Z3448" s="566">
        <v>0.43702546296296302</v>
      </c>
      <c r="AA3448" s="566">
        <f t="shared" si="404"/>
        <v>2.5636574074074159E-2</v>
      </c>
    </row>
    <row r="3449" spans="1:27" x14ac:dyDescent="0.3">
      <c r="A3449" s="79" t="s">
        <v>11188</v>
      </c>
      <c r="C3449" s="115">
        <v>44069</v>
      </c>
      <c r="D3449" s="312">
        <v>44112</v>
      </c>
      <c r="E3449" s="81">
        <v>44106</v>
      </c>
      <c r="F3449" s="86" t="s">
        <v>7676</v>
      </c>
      <c r="G3449" s="86" t="s">
        <v>150</v>
      </c>
      <c r="H3449" s="96" t="s">
        <v>213</v>
      </c>
      <c r="I3449" s="97" t="s">
        <v>1113</v>
      </c>
      <c r="J3449" s="73">
        <f t="shared" si="402"/>
        <v>1</v>
      </c>
      <c r="K3449" s="74" t="s">
        <v>204</v>
      </c>
      <c r="L3449" s="97" t="s">
        <v>10634</v>
      </c>
      <c r="N3449" s="76" t="s">
        <v>18</v>
      </c>
      <c r="Q3449" s="76" t="s">
        <v>2076</v>
      </c>
      <c r="R3449" s="73">
        <f t="shared" si="403"/>
        <v>1</v>
      </c>
      <c r="S3449" s="260" t="s">
        <v>1976</v>
      </c>
      <c r="T3449" s="260" t="s">
        <v>925</v>
      </c>
      <c r="Y3449" s="566">
        <v>0.42753472222222227</v>
      </c>
      <c r="Z3449" s="566">
        <v>0.43353009259259262</v>
      </c>
      <c r="AA3449" s="566">
        <f t="shared" si="404"/>
        <v>5.9953703703703454E-3</v>
      </c>
    </row>
    <row r="3450" spans="1:27" x14ac:dyDescent="0.3">
      <c r="A3450" s="79" t="s">
        <v>11189</v>
      </c>
      <c r="C3450" s="115">
        <v>44069</v>
      </c>
      <c r="D3450" s="312">
        <v>44112</v>
      </c>
      <c r="E3450" s="81">
        <v>44106</v>
      </c>
      <c r="F3450" s="86" t="s">
        <v>7676</v>
      </c>
      <c r="G3450" s="86" t="s">
        <v>150</v>
      </c>
      <c r="H3450" s="96" t="s">
        <v>213</v>
      </c>
      <c r="I3450" s="97" t="s">
        <v>1113</v>
      </c>
      <c r="J3450" s="73">
        <f t="shared" si="402"/>
        <v>1</v>
      </c>
      <c r="K3450" s="74" t="s">
        <v>204</v>
      </c>
      <c r="L3450" s="97" t="s">
        <v>10634</v>
      </c>
      <c r="N3450" s="76" t="s">
        <v>18</v>
      </c>
      <c r="Q3450" s="76" t="s">
        <v>2076</v>
      </c>
      <c r="R3450" s="73">
        <f t="shared" si="403"/>
        <v>1</v>
      </c>
      <c r="S3450" s="260" t="s">
        <v>1976</v>
      </c>
      <c r="T3450" s="260" t="s">
        <v>923</v>
      </c>
      <c r="Y3450" s="566">
        <v>0.43394675925925924</v>
      </c>
      <c r="Z3450" s="566">
        <v>0.43775462962962958</v>
      </c>
      <c r="AA3450" s="566">
        <f t="shared" si="404"/>
        <v>3.8078703703703365E-3</v>
      </c>
    </row>
    <row r="3451" spans="1:27" x14ac:dyDescent="0.3">
      <c r="A3451" s="79" t="s">
        <v>11190</v>
      </c>
      <c r="C3451" s="115">
        <v>44070</v>
      </c>
      <c r="D3451" s="312">
        <v>44113</v>
      </c>
      <c r="E3451" s="81">
        <v>44106</v>
      </c>
      <c r="F3451" s="86" t="s">
        <v>11269</v>
      </c>
      <c r="G3451" s="86" t="s">
        <v>156</v>
      </c>
      <c r="H3451" s="96" t="s">
        <v>213</v>
      </c>
      <c r="I3451" s="97" t="s">
        <v>8403</v>
      </c>
      <c r="J3451" s="73">
        <f t="shared" si="402"/>
        <v>1</v>
      </c>
      <c r="K3451" s="74" t="s">
        <v>204</v>
      </c>
      <c r="L3451" s="97" t="s">
        <v>11392</v>
      </c>
      <c r="N3451" s="76" t="s">
        <v>19</v>
      </c>
      <c r="Q3451" s="76" t="s">
        <v>2142</v>
      </c>
      <c r="R3451" s="73">
        <f t="shared" si="403"/>
        <v>1</v>
      </c>
      <c r="S3451" s="260" t="s">
        <v>1976</v>
      </c>
      <c r="T3451" s="260" t="s">
        <v>925</v>
      </c>
      <c r="Y3451" s="566">
        <v>0.39150462962962962</v>
      </c>
      <c r="Z3451" s="566">
        <v>0.39851851851851849</v>
      </c>
      <c r="AA3451" s="566">
        <f t="shared" si="404"/>
        <v>7.0138888888888751E-3</v>
      </c>
    </row>
    <row r="3452" spans="1:27" x14ac:dyDescent="0.3">
      <c r="A3452" s="79" t="s">
        <v>11191</v>
      </c>
      <c r="C3452" s="115">
        <v>44071</v>
      </c>
      <c r="D3452" s="312">
        <v>44109</v>
      </c>
      <c r="E3452" s="81">
        <v>44103</v>
      </c>
      <c r="F3452" s="86" t="s">
        <v>11270</v>
      </c>
      <c r="G3452" s="86" t="s">
        <v>189</v>
      </c>
      <c r="H3452" s="96" t="s">
        <v>213</v>
      </c>
      <c r="I3452" s="97" t="s">
        <v>714</v>
      </c>
      <c r="J3452" s="73">
        <f t="shared" si="402"/>
        <v>1</v>
      </c>
      <c r="K3452" s="74" t="s">
        <v>204</v>
      </c>
      <c r="L3452" s="97" t="s">
        <v>8371</v>
      </c>
      <c r="N3452" s="76" t="s">
        <v>17</v>
      </c>
      <c r="Q3452" s="76" t="s">
        <v>2037</v>
      </c>
      <c r="R3452" s="73">
        <f t="shared" si="403"/>
        <v>1</v>
      </c>
      <c r="S3452" s="260" t="s">
        <v>1976</v>
      </c>
      <c r="T3452" s="260" t="s">
        <v>923</v>
      </c>
      <c r="Y3452" s="566">
        <v>0.41965277777777782</v>
      </c>
      <c r="Z3452" s="566">
        <v>0.43678240740740737</v>
      </c>
      <c r="AA3452" s="566">
        <f t="shared" si="404"/>
        <v>1.712962962962955E-2</v>
      </c>
    </row>
    <row r="3453" spans="1:27" x14ac:dyDescent="0.3">
      <c r="A3453" s="79" t="s">
        <v>11192</v>
      </c>
      <c r="C3453" s="115">
        <v>44071</v>
      </c>
      <c r="D3453" s="312">
        <v>44109</v>
      </c>
      <c r="E3453" s="81">
        <v>44102</v>
      </c>
      <c r="F3453" s="86" t="s">
        <v>11271</v>
      </c>
      <c r="G3453" s="86" t="s">
        <v>156</v>
      </c>
      <c r="H3453" s="96" t="s">
        <v>213</v>
      </c>
      <c r="I3453" s="97" t="s">
        <v>642</v>
      </c>
      <c r="J3453" s="73">
        <f t="shared" si="402"/>
        <v>1</v>
      </c>
      <c r="K3453" s="74" t="s">
        <v>204</v>
      </c>
      <c r="L3453" s="97" t="s">
        <v>7108</v>
      </c>
      <c r="N3453" s="76" t="s">
        <v>18</v>
      </c>
      <c r="Q3453" s="76" t="s">
        <v>2076</v>
      </c>
      <c r="R3453" s="73">
        <f t="shared" si="403"/>
        <v>1</v>
      </c>
      <c r="S3453" s="260" t="s">
        <v>1976</v>
      </c>
      <c r="T3453" s="260" t="s">
        <v>925</v>
      </c>
      <c r="Y3453" s="566">
        <v>0.55704861111111115</v>
      </c>
      <c r="Z3453" s="566">
        <v>0.56062500000000004</v>
      </c>
      <c r="AA3453" s="566">
        <f t="shared" si="404"/>
        <v>3.5763888888888928E-3</v>
      </c>
    </row>
    <row r="3454" spans="1:27" x14ac:dyDescent="0.3">
      <c r="A3454" s="79" t="s">
        <v>11193</v>
      </c>
      <c r="C3454" s="115">
        <v>44074</v>
      </c>
      <c r="D3454" s="312">
        <v>44109</v>
      </c>
      <c r="E3454" s="81">
        <v>44102</v>
      </c>
      <c r="F3454" s="86" t="s">
        <v>11272</v>
      </c>
      <c r="G3454" s="86" t="s">
        <v>181</v>
      </c>
      <c r="H3454" s="96" t="s">
        <v>213</v>
      </c>
      <c r="I3454" s="97" t="s">
        <v>642</v>
      </c>
      <c r="J3454" s="73">
        <f t="shared" si="402"/>
        <v>1</v>
      </c>
      <c r="K3454" s="74" t="s">
        <v>204</v>
      </c>
      <c r="L3454" s="97" t="s">
        <v>7069</v>
      </c>
      <c r="N3454" s="76" t="s">
        <v>18</v>
      </c>
      <c r="Q3454" s="76" t="s">
        <v>2076</v>
      </c>
      <c r="R3454" s="73">
        <f t="shared" si="403"/>
        <v>1</v>
      </c>
      <c r="S3454" s="260" t="s">
        <v>1976</v>
      </c>
      <c r="T3454" s="260" t="s">
        <v>925</v>
      </c>
      <c r="Y3454" s="566">
        <v>0.56122685185185184</v>
      </c>
      <c r="Z3454" s="566">
        <v>0.56663194444444442</v>
      </c>
      <c r="AA3454" s="566">
        <f t="shared" si="404"/>
        <v>5.4050925925925863E-3</v>
      </c>
    </row>
    <row r="3455" spans="1:27" x14ac:dyDescent="0.3">
      <c r="A3455" s="79" t="s">
        <v>11194</v>
      </c>
      <c r="C3455" s="115">
        <v>44074</v>
      </c>
      <c r="D3455" s="312">
        <v>44109</v>
      </c>
      <c r="E3455" s="81">
        <v>44102</v>
      </c>
      <c r="F3455" s="86" t="s">
        <v>11273</v>
      </c>
      <c r="G3455" s="86" t="s">
        <v>9119</v>
      </c>
      <c r="H3455" s="96" t="s">
        <v>213</v>
      </c>
      <c r="I3455" s="97" t="s">
        <v>642</v>
      </c>
      <c r="J3455" s="73">
        <f t="shared" si="402"/>
        <v>1</v>
      </c>
      <c r="K3455" s="74" t="s">
        <v>204</v>
      </c>
      <c r="L3455" s="97" t="s">
        <v>11352</v>
      </c>
      <c r="N3455" s="76" t="s">
        <v>18</v>
      </c>
      <c r="Q3455" s="76" t="s">
        <v>2142</v>
      </c>
      <c r="R3455" s="73">
        <f t="shared" si="403"/>
        <v>1</v>
      </c>
      <c r="S3455" s="260" t="s">
        <v>1976</v>
      </c>
      <c r="T3455" s="260" t="s">
        <v>923</v>
      </c>
      <c r="Y3455" s="566">
        <v>0.58745370370370364</v>
      </c>
      <c r="Z3455" s="566">
        <v>0.59745370370370365</v>
      </c>
      <c r="AA3455" s="566">
        <f t="shared" si="404"/>
        <v>1.0000000000000009E-2</v>
      </c>
    </row>
    <row r="3456" spans="1:27" x14ac:dyDescent="0.3">
      <c r="A3456" s="79" t="s">
        <v>11195</v>
      </c>
      <c r="C3456" s="115">
        <v>44074</v>
      </c>
      <c r="D3456" s="312">
        <v>44109</v>
      </c>
      <c r="E3456" s="81">
        <v>44103</v>
      </c>
      <c r="F3456" s="86" t="s">
        <v>11274</v>
      </c>
      <c r="G3456" s="86" t="s">
        <v>9119</v>
      </c>
      <c r="H3456" s="96" t="s">
        <v>213</v>
      </c>
      <c r="I3456" s="97" t="s">
        <v>714</v>
      </c>
      <c r="J3456" s="73">
        <f t="shared" si="402"/>
        <v>1</v>
      </c>
      <c r="K3456" s="74" t="s">
        <v>204</v>
      </c>
      <c r="L3456" s="97" t="s">
        <v>11356</v>
      </c>
      <c r="N3456" s="76" t="s">
        <v>17</v>
      </c>
      <c r="Q3456" s="76" t="s">
        <v>2037</v>
      </c>
      <c r="R3456" s="73">
        <f t="shared" si="403"/>
        <v>1</v>
      </c>
      <c r="S3456" s="260" t="s">
        <v>1976</v>
      </c>
      <c r="T3456" s="260" t="s">
        <v>925</v>
      </c>
      <c r="Y3456" s="566">
        <v>0.4372685185185185</v>
      </c>
      <c r="Z3456" s="566">
        <v>0.44607638888888884</v>
      </c>
      <c r="AA3456" s="566">
        <f t="shared" si="404"/>
        <v>8.8078703703703409E-3</v>
      </c>
    </row>
    <row r="3457" spans="1:27" x14ac:dyDescent="0.3">
      <c r="A3457" s="79" t="s">
        <v>11196</v>
      </c>
      <c r="C3457" s="115">
        <v>44074</v>
      </c>
      <c r="D3457" s="312">
        <v>44109</v>
      </c>
      <c r="E3457" s="81">
        <v>44103</v>
      </c>
      <c r="F3457" s="86" t="s">
        <v>11275</v>
      </c>
      <c r="G3457" s="86" t="s">
        <v>168</v>
      </c>
      <c r="H3457" s="96" t="s">
        <v>213</v>
      </c>
      <c r="I3457" s="97" t="s">
        <v>642</v>
      </c>
      <c r="J3457" s="73">
        <f t="shared" si="402"/>
        <v>1</v>
      </c>
      <c r="K3457" s="74" t="s">
        <v>204</v>
      </c>
      <c r="L3457" s="97" t="s">
        <v>7066</v>
      </c>
      <c r="N3457" s="76" t="s">
        <v>18</v>
      </c>
      <c r="Q3457" s="76" t="s">
        <v>2037</v>
      </c>
      <c r="R3457" s="73">
        <f t="shared" si="403"/>
        <v>1</v>
      </c>
      <c r="S3457" s="260" t="s">
        <v>1976</v>
      </c>
      <c r="T3457" s="260" t="s">
        <v>923</v>
      </c>
      <c r="Y3457" s="566">
        <v>0.44671296296296298</v>
      </c>
      <c r="Z3457" s="566">
        <v>0.45015046296296296</v>
      </c>
      <c r="AA3457" s="566">
        <f t="shared" si="404"/>
        <v>3.4374999999999822E-3</v>
      </c>
    </row>
    <row r="3458" spans="1:27" x14ac:dyDescent="0.3">
      <c r="A3458" s="79" t="s">
        <v>11197</v>
      </c>
      <c r="C3458" s="115">
        <v>44074</v>
      </c>
      <c r="D3458" s="312">
        <v>44109</v>
      </c>
      <c r="E3458" s="81">
        <v>44103</v>
      </c>
      <c r="F3458" s="86" t="s">
        <v>11276</v>
      </c>
      <c r="G3458" s="86" t="s">
        <v>9119</v>
      </c>
      <c r="H3458" s="96" t="s">
        <v>213</v>
      </c>
      <c r="I3458" s="97" t="s">
        <v>714</v>
      </c>
      <c r="J3458" s="73">
        <f t="shared" si="402"/>
        <v>1</v>
      </c>
      <c r="K3458" s="74" t="s">
        <v>204</v>
      </c>
      <c r="L3458" s="97" t="s">
        <v>7072</v>
      </c>
      <c r="N3458" s="76" t="s">
        <v>17</v>
      </c>
      <c r="Q3458" s="76" t="s">
        <v>5193</v>
      </c>
      <c r="R3458" s="73">
        <f t="shared" si="403"/>
        <v>1</v>
      </c>
      <c r="S3458" s="260" t="s">
        <v>1976</v>
      </c>
      <c r="T3458" s="260" t="s">
        <v>924</v>
      </c>
      <c r="Y3458" s="566">
        <v>0.39984953703703702</v>
      </c>
      <c r="Z3458" s="566">
        <v>0.40546296296296297</v>
      </c>
      <c r="AA3458" s="566">
        <f t="shared" si="404"/>
        <v>5.6134259259259522E-3</v>
      </c>
    </row>
    <row r="3459" spans="1:27" x14ac:dyDescent="0.3">
      <c r="A3459" s="79" t="s">
        <v>11198</v>
      </c>
      <c r="C3459" s="115">
        <v>44074</v>
      </c>
      <c r="D3459" s="312">
        <v>44109</v>
      </c>
      <c r="E3459" s="81">
        <v>44103</v>
      </c>
      <c r="F3459" s="86" t="s">
        <v>11277</v>
      </c>
      <c r="G3459" s="86" t="s">
        <v>9119</v>
      </c>
      <c r="H3459" s="96" t="s">
        <v>213</v>
      </c>
      <c r="I3459" s="97" t="s">
        <v>642</v>
      </c>
      <c r="J3459" s="73">
        <f t="shared" si="402"/>
        <v>1</v>
      </c>
      <c r="K3459" s="74" t="s">
        <v>204</v>
      </c>
      <c r="L3459" s="97" t="s">
        <v>7380</v>
      </c>
      <c r="N3459" s="76" t="s">
        <v>8990</v>
      </c>
      <c r="Q3459" s="76" t="s">
        <v>5193</v>
      </c>
      <c r="R3459" s="73">
        <f t="shared" si="403"/>
        <v>1</v>
      </c>
      <c r="S3459" s="260" t="s">
        <v>1976</v>
      </c>
      <c r="T3459" s="260" t="s">
        <v>923</v>
      </c>
      <c r="Y3459" s="566">
        <v>0.40600694444444446</v>
      </c>
      <c r="Z3459" s="566">
        <v>0.4140625</v>
      </c>
      <c r="AA3459" s="566">
        <f t="shared" si="404"/>
        <v>8.055555555555538E-3</v>
      </c>
    </row>
    <row r="3460" spans="1:27" x14ac:dyDescent="0.3">
      <c r="A3460" s="79" t="s">
        <v>11199</v>
      </c>
      <c r="C3460" s="115">
        <v>44074</v>
      </c>
      <c r="D3460" s="312">
        <v>44109</v>
      </c>
      <c r="E3460" s="81">
        <v>44103</v>
      </c>
      <c r="F3460" s="86" t="s">
        <v>11278</v>
      </c>
      <c r="G3460" s="86" t="s">
        <v>410</v>
      </c>
      <c r="H3460" s="96" t="s">
        <v>213</v>
      </c>
      <c r="I3460" s="97" t="s">
        <v>642</v>
      </c>
      <c r="J3460" s="73">
        <f t="shared" si="402"/>
        <v>1</v>
      </c>
      <c r="K3460" s="74" t="s">
        <v>204</v>
      </c>
      <c r="L3460" s="97" t="s">
        <v>11357</v>
      </c>
      <c r="N3460" s="76" t="s">
        <v>18</v>
      </c>
      <c r="Q3460" s="76" t="s">
        <v>2142</v>
      </c>
      <c r="R3460" s="73">
        <f t="shared" si="403"/>
        <v>1</v>
      </c>
      <c r="S3460" s="260" t="s">
        <v>1976</v>
      </c>
      <c r="T3460" s="260" t="s">
        <v>925</v>
      </c>
      <c r="Y3460" s="566">
        <v>0.45076388888888891</v>
      </c>
      <c r="Z3460" s="566">
        <v>0.46628472222222223</v>
      </c>
      <c r="AA3460" s="566">
        <f t="shared" si="404"/>
        <v>1.5520833333333317E-2</v>
      </c>
    </row>
    <row r="3461" spans="1:27" x14ac:dyDescent="0.3">
      <c r="A3461" s="79" t="s">
        <v>11200</v>
      </c>
      <c r="C3461" s="115">
        <v>44074</v>
      </c>
      <c r="D3461" s="312">
        <v>44109</v>
      </c>
      <c r="E3461" s="81">
        <v>44103</v>
      </c>
      <c r="F3461" s="86" t="s">
        <v>11279</v>
      </c>
      <c r="G3461" s="86" t="s">
        <v>150</v>
      </c>
      <c r="H3461" s="96" t="s">
        <v>213</v>
      </c>
      <c r="I3461" s="97" t="s">
        <v>642</v>
      </c>
      <c r="J3461" s="73">
        <f t="shared" si="402"/>
        <v>1</v>
      </c>
      <c r="K3461" s="74" t="s">
        <v>204</v>
      </c>
      <c r="L3461" s="97" t="s">
        <v>7110</v>
      </c>
      <c r="N3461" s="76" t="s">
        <v>8990</v>
      </c>
      <c r="Q3461" s="76" t="s">
        <v>5193</v>
      </c>
      <c r="R3461" s="73">
        <f t="shared" si="403"/>
        <v>1</v>
      </c>
      <c r="S3461" s="260" t="s">
        <v>1976</v>
      </c>
      <c r="T3461" s="260" t="s">
        <v>925</v>
      </c>
      <c r="Y3461" s="566">
        <v>0.41445601851851849</v>
      </c>
      <c r="Z3461" s="566">
        <v>0.4192939814814815</v>
      </c>
      <c r="AA3461" s="566">
        <f t="shared" si="404"/>
        <v>4.8379629629630161E-3</v>
      </c>
    </row>
    <row r="3462" spans="1:27" x14ac:dyDescent="0.3">
      <c r="A3462" s="79" t="s">
        <v>11201</v>
      </c>
      <c r="C3462" s="115">
        <v>44075</v>
      </c>
      <c r="D3462" s="312">
        <v>44110</v>
      </c>
      <c r="E3462" s="81">
        <v>44103</v>
      </c>
      <c r="F3462" s="86" t="s">
        <v>11280</v>
      </c>
      <c r="G3462" s="97" t="s">
        <v>8909</v>
      </c>
      <c r="H3462" s="96" t="s">
        <v>213</v>
      </c>
      <c r="I3462" s="97" t="s">
        <v>714</v>
      </c>
      <c r="J3462" s="73">
        <f t="shared" si="402"/>
        <v>1</v>
      </c>
      <c r="K3462" s="74" t="s">
        <v>204</v>
      </c>
      <c r="L3462" s="97" t="s">
        <v>7611</v>
      </c>
      <c r="N3462" s="76" t="s">
        <v>18</v>
      </c>
      <c r="Q3462" s="76" t="s">
        <v>2076</v>
      </c>
      <c r="R3462" s="73">
        <f t="shared" si="403"/>
        <v>1</v>
      </c>
      <c r="S3462" s="260" t="s">
        <v>1976</v>
      </c>
      <c r="T3462" s="260" t="s">
        <v>923</v>
      </c>
      <c r="Y3462" s="566">
        <v>0.56039351851851849</v>
      </c>
      <c r="Z3462" s="566">
        <v>0.56883101851851847</v>
      </c>
      <c r="AA3462" s="566">
        <f t="shared" si="404"/>
        <v>8.4374999999999867E-3</v>
      </c>
    </row>
    <row r="3463" spans="1:27" x14ac:dyDescent="0.3">
      <c r="A3463" s="79" t="s">
        <v>11202</v>
      </c>
      <c r="C3463" s="115">
        <v>44075</v>
      </c>
      <c r="D3463" s="312">
        <v>44111</v>
      </c>
      <c r="E3463" s="81">
        <v>44104</v>
      </c>
      <c r="F3463" s="86" t="s">
        <v>11281</v>
      </c>
      <c r="G3463" s="86" t="s">
        <v>164</v>
      </c>
      <c r="H3463" s="96" t="s">
        <v>213</v>
      </c>
      <c r="I3463" s="97" t="s">
        <v>642</v>
      </c>
      <c r="J3463" s="73">
        <f t="shared" si="402"/>
        <v>1</v>
      </c>
      <c r="K3463" s="74" t="s">
        <v>204</v>
      </c>
      <c r="L3463" s="97" t="s">
        <v>7066</v>
      </c>
      <c r="N3463" s="76" t="s">
        <v>18</v>
      </c>
      <c r="Q3463" s="76" t="s">
        <v>2142</v>
      </c>
      <c r="R3463" s="73">
        <f t="shared" si="403"/>
        <v>1</v>
      </c>
      <c r="S3463" s="260" t="s">
        <v>1976</v>
      </c>
      <c r="T3463" s="260" t="s">
        <v>923</v>
      </c>
      <c r="Y3463" s="566">
        <v>0.67440972222222229</v>
      </c>
      <c r="Z3463" s="566">
        <v>0.68134259259259267</v>
      </c>
      <c r="AA3463" s="566">
        <f t="shared" si="404"/>
        <v>6.9328703703703809E-3</v>
      </c>
    </row>
    <row r="3464" spans="1:27" x14ac:dyDescent="0.3">
      <c r="A3464" s="79" t="s">
        <v>11203</v>
      </c>
      <c r="C3464" s="115">
        <v>44075</v>
      </c>
      <c r="D3464" s="312">
        <v>44111</v>
      </c>
      <c r="E3464" s="81">
        <v>44105</v>
      </c>
      <c r="F3464" s="86" t="s">
        <v>11282</v>
      </c>
      <c r="G3464" s="86" t="s">
        <v>152</v>
      </c>
      <c r="H3464" s="96" t="s">
        <v>213</v>
      </c>
      <c r="I3464" s="97" t="s">
        <v>722</v>
      </c>
      <c r="J3464" s="73">
        <f t="shared" si="402"/>
        <v>1</v>
      </c>
      <c r="K3464" s="74" t="s">
        <v>204</v>
      </c>
      <c r="L3464" s="97" t="s">
        <v>11381</v>
      </c>
      <c r="N3464" s="76" t="s">
        <v>17</v>
      </c>
      <c r="Q3464" s="76" t="s">
        <v>2037</v>
      </c>
      <c r="R3464" s="73">
        <f t="shared" si="403"/>
        <v>1</v>
      </c>
      <c r="S3464" s="260" t="s">
        <v>1976</v>
      </c>
      <c r="T3464" s="260" t="s">
        <v>925</v>
      </c>
      <c r="U3464" s="76" t="s">
        <v>5283</v>
      </c>
      <c r="V3464" s="301" t="s">
        <v>11382</v>
      </c>
      <c r="Y3464" s="566">
        <v>0.47712962962962963</v>
      </c>
      <c r="Z3464" s="566">
        <v>0.50083333333333335</v>
      </c>
      <c r="AA3464" s="566">
        <f t="shared" si="404"/>
        <v>2.3703703703703727E-2</v>
      </c>
    </row>
    <row r="3465" spans="1:27" x14ac:dyDescent="0.3">
      <c r="A3465" s="79" t="s">
        <v>11204</v>
      </c>
      <c r="C3465" s="115">
        <v>44075</v>
      </c>
      <c r="D3465" s="312">
        <v>44110</v>
      </c>
      <c r="E3465" s="81">
        <v>44103</v>
      </c>
      <c r="F3465" s="86" t="s">
        <v>11283</v>
      </c>
      <c r="G3465" s="86" t="s">
        <v>150</v>
      </c>
      <c r="H3465" s="96" t="s">
        <v>213</v>
      </c>
      <c r="I3465" s="97" t="s">
        <v>714</v>
      </c>
      <c r="J3465" s="73">
        <f t="shared" si="402"/>
        <v>1</v>
      </c>
      <c r="K3465" s="74" t="s">
        <v>204</v>
      </c>
      <c r="L3465" s="97" t="s">
        <v>11359</v>
      </c>
      <c r="N3465" s="76" t="s">
        <v>17</v>
      </c>
      <c r="Q3465" s="76" t="s">
        <v>2142</v>
      </c>
      <c r="R3465" s="73">
        <f t="shared" si="403"/>
        <v>1</v>
      </c>
      <c r="S3465" s="260" t="s">
        <v>1976</v>
      </c>
      <c r="T3465" s="260" t="s">
        <v>925</v>
      </c>
      <c r="Y3465" s="566">
        <v>0.58467592592592588</v>
      </c>
      <c r="Z3465" s="566">
        <v>0.5959606481481482</v>
      </c>
      <c r="AA3465" s="566">
        <f t="shared" si="404"/>
        <v>1.1284722222222321E-2</v>
      </c>
    </row>
    <row r="3466" spans="1:27" x14ac:dyDescent="0.3">
      <c r="A3466" s="79" t="s">
        <v>11205</v>
      </c>
      <c r="C3466" s="115">
        <v>44075</v>
      </c>
      <c r="D3466" s="312">
        <v>44110</v>
      </c>
      <c r="E3466" s="81">
        <v>44103</v>
      </c>
      <c r="F3466" s="86" t="s">
        <v>11284</v>
      </c>
      <c r="G3466" s="86" t="s">
        <v>1384</v>
      </c>
      <c r="H3466" s="96" t="s">
        <v>213</v>
      </c>
      <c r="I3466" s="97" t="s">
        <v>995</v>
      </c>
      <c r="J3466" s="73">
        <f t="shared" si="402"/>
        <v>1</v>
      </c>
      <c r="K3466" s="74" t="s">
        <v>204</v>
      </c>
      <c r="L3466" s="97" t="s">
        <v>7073</v>
      </c>
      <c r="N3466" s="76" t="s">
        <v>19</v>
      </c>
      <c r="Q3466" s="76" t="s">
        <v>2037</v>
      </c>
      <c r="R3466" s="73">
        <f t="shared" si="403"/>
        <v>1</v>
      </c>
      <c r="S3466" s="260" t="s">
        <v>1976</v>
      </c>
      <c r="T3466" s="260" t="s">
        <v>924</v>
      </c>
      <c r="Y3466" s="566">
        <v>0.60805555555555557</v>
      </c>
      <c r="Z3466" s="566">
        <v>0.61331018518518521</v>
      </c>
      <c r="AA3466" s="566">
        <f t="shared" si="404"/>
        <v>5.2546296296296369E-3</v>
      </c>
    </row>
    <row r="3467" spans="1:27" x14ac:dyDescent="0.3">
      <c r="A3467" s="79" t="s">
        <v>11206</v>
      </c>
      <c r="C3467" s="115">
        <v>44075</v>
      </c>
      <c r="D3467" s="312">
        <v>44110</v>
      </c>
      <c r="E3467" s="81">
        <v>44103</v>
      </c>
      <c r="F3467" s="86" t="s">
        <v>11285</v>
      </c>
      <c r="G3467" s="86" t="s">
        <v>189</v>
      </c>
      <c r="H3467" s="96" t="s">
        <v>213</v>
      </c>
      <c r="I3467" s="97" t="s">
        <v>714</v>
      </c>
      <c r="J3467" s="73">
        <f t="shared" si="402"/>
        <v>1</v>
      </c>
      <c r="K3467" s="74" t="s">
        <v>204</v>
      </c>
      <c r="L3467" s="97" t="s">
        <v>7349</v>
      </c>
      <c r="N3467" s="76" t="s">
        <v>17</v>
      </c>
      <c r="Q3467" s="76" t="s">
        <v>2076</v>
      </c>
      <c r="R3467" s="73">
        <f t="shared" si="403"/>
        <v>1</v>
      </c>
      <c r="S3467" s="260" t="s">
        <v>1976</v>
      </c>
      <c r="T3467" s="260" t="s">
        <v>925</v>
      </c>
      <c r="Y3467" s="566">
        <v>0.56917824074074075</v>
      </c>
      <c r="Z3467" s="566">
        <v>0.58395833333333336</v>
      </c>
      <c r="AA3467" s="566">
        <f t="shared" si="404"/>
        <v>1.4780092592592609E-2</v>
      </c>
    </row>
    <row r="3468" spans="1:27" x14ac:dyDescent="0.3">
      <c r="A3468" s="79" t="s">
        <v>11207</v>
      </c>
      <c r="C3468" s="115">
        <v>44075</v>
      </c>
      <c r="D3468" s="312">
        <v>44110</v>
      </c>
      <c r="E3468" s="81">
        <v>44104</v>
      </c>
      <c r="F3468" s="86" t="s">
        <v>11286</v>
      </c>
      <c r="G3468" s="86" t="s">
        <v>181</v>
      </c>
      <c r="H3468" s="96" t="s">
        <v>213</v>
      </c>
      <c r="I3468" s="97" t="s">
        <v>714</v>
      </c>
      <c r="J3468" s="73">
        <f t="shared" si="402"/>
        <v>1</v>
      </c>
      <c r="K3468" s="74" t="s">
        <v>204</v>
      </c>
      <c r="L3468" s="97" t="s">
        <v>7071</v>
      </c>
      <c r="N3468" s="76" t="s">
        <v>18</v>
      </c>
      <c r="Q3468" s="76" t="s">
        <v>5193</v>
      </c>
      <c r="R3468" s="73">
        <f t="shared" si="403"/>
        <v>1</v>
      </c>
      <c r="S3468" s="260" t="s">
        <v>1976</v>
      </c>
      <c r="T3468" s="260" t="s">
        <v>924</v>
      </c>
      <c r="Y3468" s="566">
        <v>0.5388425925925926</v>
      </c>
      <c r="Z3468" s="566">
        <v>0.55972222222222223</v>
      </c>
      <c r="AA3468" s="566">
        <f t="shared" si="404"/>
        <v>2.0879629629629637E-2</v>
      </c>
    </row>
    <row r="3469" spans="1:27" x14ac:dyDescent="0.3">
      <c r="A3469" s="79" t="s">
        <v>11208</v>
      </c>
      <c r="C3469" s="115">
        <v>44075</v>
      </c>
      <c r="D3469" s="312">
        <v>44110</v>
      </c>
      <c r="E3469" s="81">
        <v>44103</v>
      </c>
      <c r="F3469" s="86" t="s">
        <v>11287</v>
      </c>
      <c r="G3469" s="86" t="s">
        <v>150</v>
      </c>
      <c r="H3469" s="96" t="s">
        <v>213</v>
      </c>
      <c r="J3469" s="73">
        <f t="shared" si="402"/>
        <v>1</v>
      </c>
      <c r="K3469" s="74" t="s">
        <v>204</v>
      </c>
      <c r="L3469" s="97" t="s">
        <v>11363</v>
      </c>
      <c r="Q3469" s="76" t="s">
        <v>2142</v>
      </c>
      <c r="R3469" s="73">
        <f t="shared" si="403"/>
        <v>1</v>
      </c>
      <c r="S3469" s="260" t="s">
        <v>1976</v>
      </c>
      <c r="T3469" s="260" t="s">
        <v>923</v>
      </c>
      <c r="U3469" s="76" t="s">
        <v>5283</v>
      </c>
      <c r="V3469" s="301" t="s">
        <v>11362</v>
      </c>
      <c r="X3469" s="301" t="s">
        <v>11377</v>
      </c>
      <c r="Y3469" s="566">
        <v>0.62436342592592597</v>
      </c>
      <c r="Z3469" s="566">
        <v>0.65031249999999996</v>
      </c>
      <c r="AA3469" s="566">
        <f t="shared" si="404"/>
        <v>2.5949074074073986E-2</v>
      </c>
    </row>
    <row r="3470" spans="1:27" x14ac:dyDescent="0.3">
      <c r="A3470" s="79" t="s">
        <v>11209</v>
      </c>
      <c r="C3470" s="115">
        <v>44075</v>
      </c>
      <c r="D3470" s="312">
        <v>44111</v>
      </c>
      <c r="E3470" s="81">
        <v>44104</v>
      </c>
      <c r="F3470" s="86" t="s">
        <v>11288</v>
      </c>
      <c r="G3470" s="86" t="s">
        <v>154</v>
      </c>
      <c r="H3470" s="96" t="s">
        <v>213</v>
      </c>
      <c r="I3470" s="97" t="s">
        <v>722</v>
      </c>
      <c r="J3470" s="73">
        <f t="shared" si="402"/>
        <v>1</v>
      </c>
      <c r="K3470" s="74" t="s">
        <v>204</v>
      </c>
      <c r="L3470" s="97" t="s">
        <v>11373</v>
      </c>
      <c r="N3470" s="76" t="s">
        <v>17</v>
      </c>
      <c r="Q3470" s="76" t="s">
        <v>5193</v>
      </c>
      <c r="R3470" s="73">
        <f t="shared" si="403"/>
        <v>1</v>
      </c>
      <c r="S3470" s="260" t="s">
        <v>1976</v>
      </c>
      <c r="T3470" s="260" t="s">
        <v>923</v>
      </c>
      <c r="Y3470" s="566">
        <v>0.68678240740740737</v>
      </c>
      <c r="Z3470" s="566">
        <v>0.72071759259259249</v>
      </c>
      <c r="AA3470" s="566">
        <f t="shared" si="404"/>
        <v>3.3935185185185124E-2</v>
      </c>
    </row>
    <row r="3471" spans="1:27" x14ac:dyDescent="0.3">
      <c r="A3471" s="79" t="s">
        <v>11210</v>
      </c>
      <c r="C3471" s="115">
        <v>44075</v>
      </c>
      <c r="D3471" s="312">
        <v>44111</v>
      </c>
      <c r="E3471" s="81">
        <v>44104</v>
      </c>
      <c r="F3471" s="86" t="s">
        <v>11289</v>
      </c>
      <c r="G3471" s="86" t="s">
        <v>156</v>
      </c>
      <c r="H3471" s="96" t="s">
        <v>213</v>
      </c>
      <c r="I3471" s="97" t="s">
        <v>714</v>
      </c>
      <c r="J3471" s="73">
        <f t="shared" si="402"/>
        <v>1</v>
      </c>
      <c r="K3471" s="74" t="s">
        <v>204</v>
      </c>
      <c r="L3471" s="97" t="s">
        <v>11374</v>
      </c>
      <c r="N3471" s="76" t="s">
        <v>17</v>
      </c>
      <c r="Q3471" s="76" t="s">
        <v>2142</v>
      </c>
      <c r="R3471" s="73">
        <f t="shared" si="403"/>
        <v>1</v>
      </c>
      <c r="S3471" s="260" t="s">
        <v>1976</v>
      </c>
      <c r="T3471" s="260" t="s">
        <v>924</v>
      </c>
      <c r="Y3471" s="566">
        <v>0.72547453703703713</v>
      </c>
      <c r="Z3471" s="566">
        <v>0.73493055555555553</v>
      </c>
      <c r="AA3471" s="566">
        <f t="shared" si="404"/>
        <v>9.4560185185184054E-3</v>
      </c>
    </row>
    <row r="3472" spans="1:27" x14ac:dyDescent="0.3">
      <c r="A3472" s="79" t="s">
        <v>11211</v>
      </c>
      <c r="C3472" s="115">
        <v>44075</v>
      </c>
      <c r="D3472" s="312">
        <v>44111</v>
      </c>
      <c r="E3472" s="81">
        <v>44104</v>
      </c>
      <c r="F3472" s="86" t="s">
        <v>11290</v>
      </c>
      <c r="G3472" s="86" t="s">
        <v>152</v>
      </c>
      <c r="H3472" s="96" t="s">
        <v>213</v>
      </c>
      <c r="I3472" s="97" t="s">
        <v>722</v>
      </c>
      <c r="J3472" s="73">
        <f t="shared" si="402"/>
        <v>1</v>
      </c>
      <c r="K3472" s="74" t="s">
        <v>204</v>
      </c>
      <c r="L3472" s="97" t="s">
        <v>11375</v>
      </c>
      <c r="N3472" s="76" t="s">
        <v>17</v>
      </c>
      <c r="Q3472" s="76" t="s">
        <v>2076</v>
      </c>
      <c r="R3472" s="73">
        <f t="shared" si="403"/>
        <v>1</v>
      </c>
      <c r="S3472" s="260" t="s">
        <v>1976</v>
      </c>
      <c r="T3472" s="260" t="s">
        <v>923</v>
      </c>
      <c r="U3472" s="76" t="s">
        <v>5283</v>
      </c>
      <c r="V3472" s="301" t="s">
        <v>11380</v>
      </c>
      <c r="Y3472" s="566">
        <v>0.74476851851851855</v>
      </c>
      <c r="Z3472" s="566">
        <v>0.7596180555555555</v>
      </c>
      <c r="AA3472" s="566">
        <f t="shared" si="404"/>
        <v>1.4849537037036953E-2</v>
      </c>
    </row>
    <row r="3473" spans="1:27" x14ac:dyDescent="0.3">
      <c r="A3473" s="79" t="s">
        <v>11212</v>
      </c>
      <c r="C3473" s="115">
        <v>44076</v>
      </c>
      <c r="D3473" s="312">
        <v>44112</v>
      </c>
      <c r="E3473" s="81">
        <v>44105</v>
      </c>
      <c r="F3473" s="86" t="s">
        <v>11291</v>
      </c>
      <c r="G3473" s="86" t="s">
        <v>156</v>
      </c>
      <c r="H3473" s="96" t="s">
        <v>213</v>
      </c>
      <c r="I3473" s="97" t="s">
        <v>714</v>
      </c>
      <c r="J3473" s="73">
        <f t="shared" si="402"/>
        <v>1</v>
      </c>
      <c r="K3473" s="74" t="s">
        <v>204</v>
      </c>
      <c r="L3473" s="97" t="s">
        <v>11387</v>
      </c>
      <c r="N3473" s="76" t="s">
        <v>17</v>
      </c>
      <c r="Q3473" s="76" t="s">
        <v>2142</v>
      </c>
      <c r="R3473" s="73">
        <f t="shared" si="403"/>
        <v>1</v>
      </c>
      <c r="S3473" s="260" t="s">
        <v>1976</v>
      </c>
      <c r="T3473" s="260" t="s">
        <v>923</v>
      </c>
      <c r="V3473" s="301"/>
      <c r="Y3473" s="566">
        <v>0.72936342592592596</v>
      </c>
      <c r="Z3473" s="566">
        <v>0.74699074074074068</v>
      </c>
      <c r="AA3473" s="566">
        <f t="shared" si="404"/>
        <v>1.7627314814814721E-2</v>
      </c>
    </row>
    <row r="3474" spans="1:27" x14ac:dyDescent="0.3">
      <c r="A3474" s="79" t="s">
        <v>11213</v>
      </c>
      <c r="C3474" s="115">
        <v>44076</v>
      </c>
      <c r="D3474" s="312">
        <v>44111</v>
      </c>
      <c r="E3474" s="81">
        <v>44104</v>
      </c>
      <c r="F3474" s="86" t="s">
        <v>11292</v>
      </c>
      <c r="G3474" s="86" t="s">
        <v>156</v>
      </c>
      <c r="H3474" s="96" t="s">
        <v>213</v>
      </c>
      <c r="I3474" s="97" t="s">
        <v>642</v>
      </c>
      <c r="J3474" s="73">
        <f t="shared" si="402"/>
        <v>1</v>
      </c>
      <c r="K3474" s="74" t="s">
        <v>204</v>
      </c>
      <c r="L3474" s="97" t="s">
        <v>11372</v>
      </c>
      <c r="N3474" s="76" t="s">
        <v>18</v>
      </c>
      <c r="Q3474" s="76" t="s">
        <v>5193</v>
      </c>
      <c r="R3474" s="73">
        <f t="shared" si="403"/>
        <v>1</v>
      </c>
      <c r="S3474" s="260" t="s">
        <v>1976</v>
      </c>
      <c r="T3474" s="260" t="s">
        <v>925</v>
      </c>
      <c r="Y3474" s="566">
        <v>0.68208333333333337</v>
      </c>
      <c r="Z3474" s="566">
        <v>0.68627314814814822</v>
      </c>
      <c r="AA3474" s="566">
        <f t="shared" si="404"/>
        <v>4.1898148148148406E-3</v>
      </c>
    </row>
    <row r="3475" spans="1:27" x14ac:dyDescent="0.3">
      <c r="A3475" s="79" t="s">
        <v>11214</v>
      </c>
      <c r="C3475" s="115">
        <v>44076</v>
      </c>
      <c r="D3475" s="312">
        <v>44111</v>
      </c>
      <c r="E3475" s="81">
        <v>44104</v>
      </c>
      <c r="F3475" s="86" t="s">
        <v>11293</v>
      </c>
      <c r="G3475" s="97" t="s">
        <v>8909</v>
      </c>
      <c r="H3475" s="96" t="s">
        <v>213</v>
      </c>
      <c r="I3475" s="97" t="s">
        <v>642</v>
      </c>
      <c r="J3475" s="73">
        <f t="shared" si="402"/>
        <v>1</v>
      </c>
      <c r="K3475" s="74" t="s">
        <v>204</v>
      </c>
      <c r="L3475" s="97" t="s">
        <v>7110</v>
      </c>
      <c r="N3475" s="76" t="s">
        <v>18</v>
      </c>
      <c r="Q3475" s="76" t="s">
        <v>2142</v>
      </c>
      <c r="R3475" s="73">
        <f t="shared" si="403"/>
        <v>1</v>
      </c>
      <c r="S3475" s="260" t="s">
        <v>1976</v>
      </c>
      <c r="T3475" s="260" t="s">
        <v>925</v>
      </c>
      <c r="Y3475" s="566">
        <v>0.73672453703703711</v>
      </c>
      <c r="Z3475" s="566">
        <v>0.7442939814814814</v>
      </c>
      <c r="AA3475" s="566">
        <f t="shared" si="404"/>
        <v>7.5694444444442954E-3</v>
      </c>
    </row>
    <row r="3476" spans="1:27" x14ac:dyDescent="0.3">
      <c r="A3476" s="79" t="s">
        <v>11215</v>
      </c>
      <c r="C3476" s="115">
        <v>44076</v>
      </c>
      <c r="D3476" s="312">
        <v>44111</v>
      </c>
      <c r="E3476" s="81">
        <v>44105</v>
      </c>
      <c r="F3476" s="86" t="s">
        <v>11294</v>
      </c>
      <c r="G3476" s="86" t="s">
        <v>2718</v>
      </c>
      <c r="H3476" s="96" t="s">
        <v>213</v>
      </c>
      <c r="I3476" s="97" t="s">
        <v>645</v>
      </c>
      <c r="J3476" s="73">
        <f t="shared" si="402"/>
        <v>1</v>
      </c>
      <c r="K3476" s="74" t="s">
        <v>204</v>
      </c>
      <c r="L3476" s="97" t="s">
        <v>11383</v>
      </c>
      <c r="N3476" s="76" t="s">
        <v>18</v>
      </c>
      <c r="Q3476" s="76" t="s">
        <v>5193</v>
      </c>
      <c r="R3476" s="73">
        <f t="shared" si="403"/>
        <v>1</v>
      </c>
      <c r="S3476" s="260" t="s">
        <v>1976</v>
      </c>
      <c r="T3476" s="260" t="s">
        <v>925</v>
      </c>
      <c r="Y3476" s="566">
        <v>0.50187499999999996</v>
      </c>
      <c r="Z3476" s="566">
        <v>0.52236111111111116</v>
      </c>
      <c r="AA3476" s="566">
        <f t="shared" si="404"/>
        <v>2.0486111111111205E-2</v>
      </c>
    </row>
    <row r="3477" spans="1:27" x14ac:dyDescent="0.3">
      <c r="A3477" s="79" t="s">
        <v>11216</v>
      </c>
      <c r="C3477" s="115">
        <v>44076</v>
      </c>
      <c r="D3477" s="312">
        <v>44111</v>
      </c>
      <c r="E3477" s="81">
        <v>44104</v>
      </c>
      <c r="F3477" s="86" t="s">
        <v>11295</v>
      </c>
      <c r="G3477" s="86" t="s">
        <v>9119</v>
      </c>
      <c r="H3477" s="96" t="s">
        <v>213</v>
      </c>
      <c r="I3477" s="97" t="s">
        <v>714</v>
      </c>
      <c r="J3477" s="73">
        <f t="shared" si="402"/>
        <v>1</v>
      </c>
      <c r="K3477" s="74" t="s">
        <v>204</v>
      </c>
      <c r="L3477" s="97" t="s">
        <v>7528</v>
      </c>
      <c r="N3477" s="76" t="s">
        <v>17</v>
      </c>
      <c r="Q3477" s="76" t="s">
        <v>2037</v>
      </c>
      <c r="R3477" s="73">
        <f t="shared" si="403"/>
        <v>1</v>
      </c>
      <c r="S3477" s="260" t="s">
        <v>1976</v>
      </c>
      <c r="T3477" s="260" t="s">
        <v>924</v>
      </c>
      <c r="Y3477" s="566">
        <v>0.76157407407407407</v>
      </c>
      <c r="Z3477" s="566">
        <v>0.77189814814814817</v>
      </c>
      <c r="AA3477" s="566">
        <f t="shared" si="404"/>
        <v>1.0324074074074097E-2</v>
      </c>
    </row>
    <row r="3478" spans="1:27" x14ac:dyDescent="0.3">
      <c r="A3478" s="79" t="s">
        <v>11217</v>
      </c>
      <c r="C3478" s="115">
        <v>44076</v>
      </c>
      <c r="D3478" s="312">
        <v>44111</v>
      </c>
      <c r="E3478" s="81">
        <v>44105</v>
      </c>
      <c r="F3478" s="86" t="s">
        <v>11296</v>
      </c>
      <c r="G3478" s="86" t="s">
        <v>152</v>
      </c>
      <c r="H3478" s="96" t="s">
        <v>213</v>
      </c>
      <c r="I3478" s="97" t="s">
        <v>657</v>
      </c>
      <c r="J3478" s="73">
        <f t="shared" si="402"/>
        <v>1</v>
      </c>
      <c r="K3478" s="74" t="s">
        <v>204</v>
      </c>
      <c r="L3478" s="97" t="s">
        <v>11384</v>
      </c>
      <c r="N3478" s="76" t="s">
        <v>17</v>
      </c>
      <c r="Q3478" s="76" t="s">
        <v>2076</v>
      </c>
      <c r="R3478" s="73">
        <f t="shared" si="403"/>
        <v>1</v>
      </c>
      <c r="S3478" s="260" t="s">
        <v>1976</v>
      </c>
      <c r="T3478" s="260" t="s">
        <v>924</v>
      </c>
      <c r="Y3478" s="566">
        <v>0.67027777777777775</v>
      </c>
      <c r="Z3478" s="566">
        <v>0.67776620370370377</v>
      </c>
      <c r="AA3478" s="566">
        <f t="shared" si="404"/>
        <v>7.4884259259260233E-3</v>
      </c>
    </row>
    <row r="3479" spans="1:27" x14ac:dyDescent="0.3">
      <c r="A3479" s="79" t="s">
        <v>11218</v>
      </c>
      <c r="C3479" s="115">
        <v>44077</v>
      </c>
      <c r="D3479" s="312">
        <v>44112</v>
      </c>
      <c r="E3479" s="81">
        <v>44105</v>
      </c>
      <c r="F3479" s="86" t="s">
        <v>11297</v>
      </c>
      <c r="G3479" s="86" t="s">
        <v>147</v>
      </c>
      <c r="H3479" s="96" t="s">
        <v>213</v>
      </c>
      <c r="I3479" s="97" t="s">
        <v>714</v>
      </c>
      <c r="J3479" s="73">
        <f t="shared" si="402"/>
        <v>1</v>
      </c>
      <c r="K3479" s="74" t="s">
        <v>204</v>
      </c>
      <c r="L3479" s="97" t="s">
        <v>7071</v>
      </c>
      <c r="N3479" s="76" t="s">
        <v>18</v>
      </c>
      <c r="Q3479" s="76" t="s">
        <v>2142</v>
      </c>
      <c r="R3479" s="73">
        <f t="shared" si="403"/>
        <v>1</v>
      </c>
      <c r="S3479" s="260" t="s">
        <v>1976</v>
      </c>
      <c r="T3479" s="260" t="s">
        <v>924</v>
      </c>
      <c r="Y3479" s="566">
        <v>0.75033564814814813</v>
      </c>
      <c r="Z3479" s="566">
        <v>0.75822916666666673</v>
      </c>
      <c r="AA3479" s="566">
        <f t="shared" si="404"/>
        <v>7.8935185185186052E-3</v>
      </c>
    </row>
    <row r="3480" spans="1:27" x14ac:dyDescent="0.3">
      <c r="A3480" s="79" t="s">
        <v>11219</v>
      </c>
      <c r="C3480" s="115">
        <v>44077</v>
      </c>
      <c r="D3480" s="312">
        <v>44112</v>
      </c>
      <c r="E3480" s="81">
        <v>44105</v>
      </c>
      <c r="F3480" s="86" t="s">
        <v>11298</v>
      </c>
      <c r="G3480" s="86" t="s">
        <v>156</v>
      </c>
      <c r="H3480" s="96" t="s">
        <v>213</v>
      </c>
      <c r="I3480" s="97" t="s">
        <v>714</v>
      </c>
      <c r="J3480" s="73">
        <f t="shared" si="402"/>
        <v>1</v>
      </c>
      <c r="K3480" s="74" t="s">
        <v>204</v>
      </c>
      <c r="L3480" s="97" t="s">
        <v>11359</v>
      </c>
      <c r="N3480" s="76" t="s">
        <v>17</v>
      </c>
      <c r="Q3480" s="76" t="s">
        <v>5193</v>
      </c>
      <c r="R3480" s="73">
        <f t="shared" si="403"/>
        <v>1</v>
      </c>
      <c r="S3480" s="260" t="s">
        <v>1976</v>
      </c>
      <c r="T3480" s="260" t="s">
        <v>924</v>
      </c>
      <c r="Y3480" s="566">
        <v>0.70212962962962966</v>
      </c>
      <c r="Z3480" s="566">
        <v>0.71155092592592595</v>
      </c>
      <c r="AA3480" s="566">
        <f t="shared" si="404"/>
        <v>9.4212962962962887E-3</v>
      </c>
    </row>
    <row r="3481" spans="1:27" x14ac:dyDescent="0.3">
      <c r="A3481" s="79" t="s">
        <v>11220</v>
      </c>
      <c r="C3481" s="115">
        <v>44077</v>
      </c>
      <c r="D3481" s="312">
        <v>44112</v>
      </c>
      <c r="E3481" s="81">
        <v>44105</v>
      </c>
      <c r="F3481" s="86" t="s">
        <v>11299</v>
      </c>
      <c r="G3481" s="86" t="s">
        <v>154</v>
      </c>
      <c r="H3481" s="96" t="s">
        <v>213</v>
      </c>
      <c r="I3481" s="97" t="s">
        <v>604</v>
      </c>
      <c r="J3481" s="73">
        <f t="shared" si="402"/>
        <v>1</v>
      </c>
      <c r="K3481" s="74" t="s">
        <v>204</v>
      </c>
      <c r="L3481" s="97" t="s">
        <v>11389</v>
      </c>
      <c r="N3481" s="76" t="s">
        <v>17</v>
      </c>
      <c r="Q3481" s="76" t="s">
        <v>2037</v>
      </c>
      <c r="R3481" s="73">
        <f t="shared" si="403"/>
        <v>1</v>
      </c>
      <c r="S3481" s="260" t="s">
        <v>1976</v>
      </c>
      <c r="T3481" s="260" t="s">
        <v>923</v>
      </c>
      <c r="U3481" s="76" t="s">
        <v>5283</v>
      </c>
      <c r="V3481" s="301" t="s">
        <v>11390</v>
      </c>
      <c r="Y3481" s="566">
        <v>0.92967592592592585</v>
      </c>
      <c r="Z3481" s="566">
        <v>0.94939814814814805</v>
      </c>
      <c r="AA3481" s="566">
        <f t="shared" si="404"/>
        <v>1.9722222222222197E-2</v>
      </c>
    </row>
    <row r="3482" spans="1:27" x14ac:dyDescent="0.3">
      <c r="A3482" s="79" t="s">
        <v>11221</v>
      </c>
      <c r="C3482" s="115">
        <v>44077</v>
      </c>
      <c r="D3482" s="312">
        <v>44112</v>
      </c>
      <c r="E3482" s="81">
        <v>44106</v>
      </c>
      <c r="F3482" s="86" t="s">
        <v>11300</v>
      </c>
      <c r="G3482" s="86" t="s">
        <v>9119</v>
      </c>
      <c r="H3482" s="96" t="s">
        <v>213</v>
      </c>
      <c r="I3482" s="97" t="s">
        <v>714</v>
      </c>
      <c r="J3482" s="73">
        <f t="shared" si="402"/>
        <v>1</v>
      </c>
      <c r="K3482" s="74" t="s">
        <v>204</v>
      </c>
      <c r="L3482" s="97" t="s">
        <v>7336</v>
      </c>
      <c r="N3482" s="76" t="s">
        <v>17</v>
      </c>
      <c r="Q3482" s="76" t="s">
        <v>2076</v>
      </c>
      <c r="R3482" s="73">
        <f t="shared" si="403"/>
        <v>1</v>
      </c>
      <c r="S3482" s="260" t="s">
        <v>1976</v>
      </c>
      <c r="T3482" s="260" t="s">
        <v>923</v>
      </c>
      <c r="Y3482" s="566">
        <v>0.41256944444444449</v>
      </c>
      <c r="Z3482" s="566">
        <v>0.41783564814814816</v>
      </c>
      <c r="AA3482" s="566">
        <f t="shared" si="404"/>
        <v>5.2662037037036757E-3</v>
      </c>
    </row>
    <row r="3483" spans="1:27" x14ac:dyDescent="0.3">
      <c r="A3483" s="79" t="s">
        <v>11222</v>
      </c>
      <c r="C3483" s="115">
        <v>44077</v>
      </c>
      <c r="D3483" s="312">
        <v>44112</v>
      </c>
      <c r="E3483" s="81">
        <v>44106</v>
      </c>
      <c r="F3483" s="86" t="s">
        <v>11301</v>
      </c>
      <c r="G3483" s="86" t="s">
        <v>9119</v>
      </c>
      <c r="H3483" s="96" t="s">
        <v>213</v>
      </c>
      <c r="I3483" s="97" t="s">
        <v>714</v>
      </c>
      <c r="J3483" s="73">
        <f t="shared" si="402"/>
        <v>1</v>
      </c>
      <c r="K3483" s="74" t="s">
        <v>204</v>
      </c>
      <c r="L3483" s="97" t="s">
        <v>7611</v>
      </c>
      <c r="N3483" s="76" t="s">
        <v>18</v>
      </c>
      <c r="Q3483" s="76" t="s">
        <v>2076</v>
      </c>
      <c r="R3483" s="73">
        <f t="shared" si="403"/>
        <v>1</v>
      </c>
      <c r="S3483" s="260" t="s">
        <v>1976</v>
      </c>
      <c r="T3483" s="260" t="s">
        <v>924</v>
      </c>
      <c r="U3483" s="76" t="s">
        <v>5283</v>
      </c>
      <c r="V3483" s="301" t="s">
        <v>11394</v>
      </c>
      <c r="Y3483" s="566">
        <v>0.4183101851851852</v>
      </c>
      <c r="Z3483" s="566">
        <v>0.42563657407407413</v>
      </c>
      <c r="AA3483" s="566">
        <f t="shared" si="404"/>
        <v>7.3263888888889239E-3</v>
      </c>
    </row>
    <row r="3484" spans="1:27" x14ac:dyDescent="0.3">
      <c r="A3484" s="79" t="s">
        <v>11223</v>
      </c>
      <c r="C3484" s="115">
        <v>44077</v>
      </c>
      <c r="D3484" s="312">
        <v>44112</v>
      </c>
      <c r="E3484" s="81">
        <v>44105</v>
      </c>
      <c r="F3484" s="86" t="s">
        <v>11302</v>
      </c>
      <c r="G3484" s="86" t="s">
        <v>410</v>
      </c>
      <c r="H3484" s="96" t="s">
        <v>213</v>
      </c>
      <c r="I3484" s="97" t="s">
        <v>642</v>
      </c>
      <c r="J3484" s="73">
        <f t="shared" si="402"/>
        <v>1</v>
      </c>
      <c r="K3484" s="74" t="s">
        <v>204</v>
      </c>
      <c r="L3484" s="97" t="s">
        <v>11388</v>
      </c>
      <c r="N3484" s="76" t="s">
        <v>18</v>
      </c>
      <c r="Q3484" s="76" t="s">
        <v>2037</v>
      </c>
      <c r="R3484" s="73">
        <f t="shared" si="403"/>
        <v>1</v>
      </c>
      <c r="S3484" s="260" t="s">
        <v>1976</v>
      </c>
      <c r="T3484" s="260" t="s">
        <v>923</v>
      </c>
      <c r="Y3484" s="566">
        <v>0.91847222222222225</v>
      </c>
      <c r="Z3484" s="566">
        <v>0.92918981481481477</v>
      </c>
      <c r="AA3484" s="566">
        <f t="shared" si="404"/>
        <v>1.0717592592592529E-2</v>
      </c>
    </row>
    <row r="3485" spans="1:27" x14ac:dyDescent="0.3">
      <c r="A3485" s="79" t="s">
        <v>11224</v>
      </c>
      <c r="C3485" s="115">
        <v>44077</v>
      </c>
      <c r="D3485" s="312">
        <v>44112</v>
      </c>
      <c r="E3485" s="81">
        <v>44106</v>
      </c>
      <c r="F3485" s="86" t="s">
        <v>11303</v>
      </c>
      <c r="G3485" s="86" t="s">
        <v>9119</v>
      </c>
      <c r="H3485" s="96" t="s">
        <v>213</v>
      </c>
      <c r="I3485" s="97" t="s">
        <v>854</v>
      </c>
      <c r="J3485" s="73">
        <f t="shared" si="402"/>
        <v>1</v>
      </c>
      <c r="K3485" s="74" t="s">
        <v>204</v>
      </c>
      <c r="L3485" s="97" t="s">
        <v>11395</v>
      </c>
      <c r="N3485" s="76" t="s">
        <v>17</v>
      </c>
      <c r="Q3485" s="76" t="s">
        <v>5193</v>
      </c>
      <c r="R3485" s="73">
        <f t="shared" si="403"/>
        <v>1</v>
      </c>
      <c r="S3485" s="260" t="s">
        <v>1976</v>
      </c>
      <c r="T3485" s="260" t="s">
        <v>924</v>
      </c>
      <c r="Y3485" s="566">
        <v>0.43809027777777776</v>
      </c>
      <c r="Z3485" s="566">
        <v>0.44528935185185187</v>
      </c>
      <c r="AA3485" s="566">
        <f t="shared" si="404"/>
        <v>7.1990740740741077E-3</v>
      </c>
    </row>
    <row r="3486" spans="1:27" x14ac:dyDescent="0.3">
      <c r="A3486" s="79" t="s">
        <v>11225</v>
      </c>
      <c r="C3486" s="115">
        <v>44078</v>
      </c>
      <c r="D3486" s="312">
        <v>44113</v>
      </c>
      <c r="E3486" s="81">
        <v>44106</v>
      </c>
      <c r="F3486" s="86" t="s">
        <v>11304</v>
      </c>
      <c r="G3486" s="86" t="s">
        <v>175</v>
      </c>
      <c r="H3486" s="96" t="s">
        <v>213</v>
      </c>
      <c r="I3486" s="97" t="s">
        <v>714</v>
      </c>
      <c r="J3486" s="73">
        <f t="shared" si="402"/>
        <v>1</v>
      </c>
      <c r="K3486" s="74" t="s">
        <v>204</v>
      </c>
      <c r="L3486" s="97" t="s">
        <v>10615</v>
      </c>
      <c r="N3486" s="76" t="s">
        <v>18</v>
      </c>
      <c r="Q3486" s="76" t="s">
        <v>5193</v>
      </c>
      <c r="R3486" s="73">
        <f t="shared" si="403"/>
        <v>1</v>
      </c>
      <c r="S3486" s="260" t="s">
        <v>1976</v>
      </c>
      <c r="T3486" s="260" t="s">
        <v>924</v>
      </c>
      <c r="Y3486" s="566">
        <v>0.4924884259259259</v>
      </c>
      <c r="Z3486" s="566">
        <v>0.5163888888888889</v>
      </c>
      <c r="AA3486" s="566">
        <f t="shared" si="404"/>
        <v>2.3900462962962998E-2</v>
      </c>
    </row>
    <row r="3487" spans="1:27" x14ac:dyDescent="0.3">
      <c r="A3487" s="79" t="s">
        <v>11226</v>
      </c>
      <c r="C3487" s="115">
        <v>44078</v>
      </c>
      <c r="D3487" s="312">
        <v>44113</v>
      </c>
      <c r="E3487" s="81">
        <v>44106</v>
      </c>
      <c r="F3487" s="86" t="s">
        <v>11305</v>
      </c>
      <c r="G3487" s="86" t="s">
        <v>175</v>
      </c>
      <c r="H3487" s="96" t="s">
        <v>213</v>
      </c>
      <c r="I3487" s="97" t="s">
        <v>714</v>
      </c>
      <c r="J3487" s="73">
        <f t="shared" si="402"/>
        <v>1</v>
      </c>
      <c r="K3487" s="74" t="s">
        <v>204</v>
      </c>
      <c r="L3487" s="97" t="s">
        <v>7336</v>
      </c>
      <c r="N3487" s="76" t="s">
        <v>18</v>
      </c>
      <c r="Q3487" s="76" t="s">
        <v>2037</v>
      </c>
      <c r="R3487" s="73">
        <f t="shared" si="403"/>
        <v>1</v>
      </c>
      <c r="S3487" s="260" t="s">
        <v>1976</v>
      </c>
      <c r="T3487" s="260" t="s">
        <v>925</v>
      </c>
      <c r="Y3487" s="566">
        <v>0.38636574074074076</v>
      </c>
      <c r="Z3487" s="566">
        <v>0.39109953703703698</v>
      </c>
      <c r="AA3487" s="566">
        <f t="shared" si="404"/>
        <v>4.7337962962962221E-3</v>
      </c>
    </row>
    <row r="3488" spans="1:27" x14ac:dyDescent="0.3">
      <c r="A3488" s="79" t="s">
        <v>11227</v>
      </c>
      <c r="C3488" s="115">
        <v>44078</v>
      </c>
      <c r="D3488" s="312">
        <v>44113</v>
      </c>
      <c r="E3488" s="81">
        <v>44106</v>
      </c>
      <c r="F3488" s="86" t="s">
        <v>11306</v>
      </c>
      <c r="G3488" s="86" t="s">
        <v>152</v>
      </c>
      <c r="H3488" s="96" t="s">
        <v>213</v>
      </c>
      <c r="I3488" s="97" t="s">
        <v>1635</v>
      </c>
      <c r="J3488" s="73">
        <f t="shared" si="402"/>
        <v>1</v>
      </c>
      <c r="K3488" s="74" t="s">
        <v>204</v>
      </c>
      <c r="L3488" s="97" t="s">
        <v>11401</v>
      </c>
      <c r="N3488" s="76" t="s">
        <v>17</v>
      </c>
      <c r="Q3488" s="76" t="s">
        <v>2142</v>
      </c>
      <c r="R3488" s="73">
        <f t="shared" si="403"/>
        <v>1</v>
      </c>
      <c r="S3488" s="260" t="s">
        <v>1976</v>
      </c>
      <c r="T3488" s="260" t="s">
        <v>923</v>
      </c>
      <c r="Y3488" s="566">
        <v>0.64302083333333326</v>
      </c>
      <c r="Z3488" s="566">
        <v>0.65935185185185186</v>
      </c>
      <c r="AA3488" s="566">
        <f t="shared" si="404"/>
        <v>1.6331018518518592E-2</v>
      </c>
    </row>
    <row r="3489" spans="1:27" x14ac:dyDescent="0.3">
      <c r="A3489" s="79" t="s">
        <v>11228</v>
      </c>
      <c r="C3489" s="115">
        <v>44078</v>
      </c>
      <c r="D3489" s="312">
        <v>44113</v>
      </c>
      <c r="E3489" s="81">
        <v>44109</v>
      </c>
      <c r="F3489" s="86" t="s">
        <v>11307</v>
      </c>
      <c r="G3489" s="86" t="s">
        <v>147</v>
      </c>
      <c r="H3489" s="96" t="s">
        <v>213</v>
      </c>
      <c r="I3489" s="97" t="s">
        <v>714</v>
      </c>
      <c r="J3489" s="73">
        <f t="shared" si="402"/>
        <v>1</v>
      </c>
      <c r="K3489" s="74" t="s">
        <v>204</v>
      </c>
      <c r="L3489" s="97" t="s">
        <v>11581</v>
      </c>
      <c r="N3489" s="76" t="s">
        <v>17</v>
      </c>
      <c r="Q3489" s="76" t="s">
        <v>2142</v>
      </c>
      <c r="R3489" s="73">
        <f t="shared" si="403"/>
        <v>1</v>
      </c>
      <c r="S3489" s="260" t="s">
        <v>1976</v>
      </c>
      <c r="T3489" s="260" t="s">
        <v>924</v>
      </c>
      <c r="Y3489" s="566">
        <v>0.40375</v>
      </c>
      <c r="Z3489" s="566">
        <v>0.41175925925925921</v>
      </c>
      <c r="AA3489" s="566">
        <f t="shared" si="404"/>
        <v>8.009259259259216E-3</v>
      </c>
    </row>
    <row r="3490" spans="1:27" x14ac:dyDescent="0.3">
      <c r="A3490" s="79" t="s">
        <v>11229</v>
      </c>
      <c r="C3490" s="115">
        <v>44078</v>
      </c>
      <c r="D3490" s="312">
        <v>44113</v>
      </c>
      <c r="E3490" s="81">
        <v>44109</v>
      </c>
      <c r="F3490" s="86" t="s">
        <v>11308</v>
      </c>
      <c r="G3490" s="86" t="s">
        <v>172</v>
      </c>
      <c r="H3490" s="96" t="s">
        <v>213</v>
      </c>
      <c r="I3490" s="97" t="s">
        <v>714</v>
      </c>
      <c r="J3490" s="73">
        <f t="shared" si="402"/>
        <v>1</v>
      </c>
      <c r="K3490" s="74" t="s">
        <v>204</v>
      </c>
      <c r="L3490" s="97" t="s">
        <v>7072</v>
      </c>
      <c r="N3490" s="76" t="s">
        <v>18</v>
      </c>
      <c r="Q3490" s="76" t="s">
        <v>2076</v>
      </c>
      <c r="R3490" s="73">
        <f t="shared" si="403"/>
        <v>1</v>
      </c>
      <c r="S3490" s="260" t="s">
        <v>1976</v>
      </c>
      <c r="T3490" s="260" t="s">
        <v>924</v>
      </c>
      <c r="Y3490" s="566">
        <v>0.45699074074074075</v>
      </c>
      <c r="Z3490" s="566">
        <v>0.45979166666666665</v>
      </c>
      <c r="AA3490" s="566">
        <f t="shared" si="404"/>
        <v>2.8009259259259012E-3</v>
      </c>
    </row>
    <row r="3491" spans="1:27" x14ac:dyDescent="0.3">
      <c r="A3491" s="79" t="s">
        <v>11230</v>
      </c>
      <c r="C3491" s="115">
        <v>44078</v>
      </c>
      <c r="D3491" s="312">
        <v>44113</v>
      </c>
      <c r="E3491" s="81">
        <v>44106</v>
      </c>
      <c r="F3491" s="86" t="s">
        <v>11309</v>
      </c>
      <c r="G3491" s="86" t="s">
        <v>150</v>
      </c>
      <c r="H3491" s="96" t="s">
        <v>213</v>
      </c>
      <c r="I3491" s="97" t="s">
        <v>645</v>
      </c>
      <c r="J3491" s="73">
        <f t="shared" si="402"/>
        <v>1</v>
      </c>
      <c r="K3491" s="74" t="s">
        <v>204</v>
      </c>
      <c r="L3491" s="97" t="s">
        <v>9888</v>
      </c>
      <c r="N3491" s="76" t="s">
        <v>17</v>
      </c>
      <c r="Q3491" s="76" t="s">
        <v>2037</v>
      </c>
      <c r="R3491" s="73">
        <f t="shared" si="403"/>
        <v>1</v>
      </c>
      <c r="S3491" s="260" t="s">
        <v>1976</v>
      </c>
      <c r="T3491" s="260" t="s">
        <v>923</v>
      </c>
      <c r="Y3491" s="566">
        <v>0.60807870370370376</v>
      </c>
      <c r="Z3491" s="566">
        <v>0.62189814814814814</v>
      </c>
      <c r="AA3491" s="566">
        <f t="shared" si="404"/>
        <v>1.3819444444444384E-2</v>
      </c>
    </row>
    <row r="3492" spans="1:27" x14ac:dyDescent="0.3">
      <c r="A3492" s="79" t="s">
        <v>11231</v>
      </c>
      <c r="C3492" s="115">
        <v>44078</v>
      </c>
      <c r="D3492" s="312">
        <v>44113</v>
      </c>
      <c r="E3492" s="81">
        <v>44106</v>
      </c>
      <c r="F3492" s="86" t="s">
        <v>11310</v>
      </c>
      <c r="G3492" s="86" t="s">
        <v>9119</v>
      </c>
      <c r="H3492" s="96" t="s">
        <v>213</v>
      </c>
      <c r="I3492" s="97" t="s">
        <v>714</v>
      </c>
      <c r="J3492" s="73">
        <f t="shared" si="402"/>
        <v>1</v>
      </c>
      <c r="K3492" s="74" t="s">
        <v>204</v>
      </c>
      <c r="L3492" s="97" t="s">
        <v>7096</v>
      </c>
      <c r="N3492" s="76" t="s">
        <v>17</v>
      </c>
      <c r="Q3492" s="76" t="s">
        <v>2076</v>
      </c>
      <c r="R3492" s="73">
        <f t="shared" si="403"/>
        <v>1</v>
      </c>
      <c r="S3492" s="260" t="s">
        <v>1976</v>
      </c>
      <c r="T3492" s="260" t="s">
        <v>923</v>
      </c>
      <c r="U3492" s="76" t="s">
        <v>5283</v>
      </c>
      <c r="V3492" s="301" t="s">
        <v>11400</v>
      </c>
      <c r="Y3492" s="566">
        <v>0.53238425925925925</v>
      </c>
      <c r="Z3492" s="566">
        <v>0.54188657407407403</v>
      </c>
      <c r="AA3492" s="566">
        <f t="shared" si="404"/>
        <v>9.5023148148147829E-3</v>
      </c>
    </row>
    <row r="3493" spans="1:27" x14ac:dyDescent="0.3">
      <c r="A3493" s="79" t="s">
        <v>11232</v>
      </c>
      <c r="C3493" s="115">
        <v>44078</v>
      </c>
      <c r="D3493" s="312">
        <v>44113</v>
      </c>
      <c r="E3493" s="81">
        <v>44109</v>
      </c>
      <c r="F3493" s="86" t="s">
        <v>11311</v>
      </c>
      <c r="G3493" s="86" t="s">
        <v>9119</v>
      </c>
      <c r="H3493" s="96" t="s">
        <v>213</v>
      </c>
      <c r="I3493" s="97" t="s">
        <v>642</v>
      </c>
      <c r="J3493" s="73">
        <f t="shared" si="402"/>
        <v>1</v>
      </c>
      <c r="K3493" s="74" t="s">
        <v>204</v>
      </c>
      <c r="L3493" s="97" t="s">
        <v>7110</v>
      </c>
      <c r="N3493" s="76" t="s">
        <v>18</v>
      </c>
      <c r="Q3493" s="76" t="s">
        <v>2076</v>
      </c>
      <c r="R3493" s="73">
        <f t="shared" si="403"/>
        <v>1</v>
      </c>
      <c r="S3493" s="260" t="s">
        <v>1976</v>
      </c>
      <c r="T3493" s="260" t="s">
        <v>925</v>
      </c>
      <c r="Y3493" s="566">
        <v>0.42390046296296297</v>
      </c>
      <c r="Z3493" s="566">
        <v>0.4268865740740741</v>
      </c>
      <c r="AA3493" s="566">
        <f t="shared" si="404"/>
        <v>2.9861111111111338E-3</v>
      </c>
    </row>
    <row r="3494" spans="1:27" x14ac:dyDescent="0.3">
      <c r="A3494" s="79" t="s">
        <v>11233</v>
      </c>
      <c r="C3494" s="115">
        <v>44078</v>
      </c>
      <c r="D3494" s="312">
        <v>44113</v>
      </c>
      <c r="E3494" s="81">
        <v>44106</v>
      </c>
      <c r="F3494" s="86" t="s">
        <v>11312</v>
      </c>
      <c r="G3494" s="86" t="s">
        <v>6493</v>
      </c>
      <c r="H3494" s="96" t="s">
        <v>213</v>
      </c>
      <c r="I3494" s="97" t="s">
        <v>642</v>
      </c>
      <c r="J3494" s="73">
        <f t="shared" si="402"/>
        <v>1</v>
      </c>
      <c r="K3494" s="74" t="s">
        <v>204</v>
      </c>
      <c r="L3494" s="97" t="s">
        <v>8389</v>
      </c>
      <c r="N3494" s="76" t="s">
        <v>18</v>
      </c>
      <c r="Q3494" s="76" t="s">
        <v>2037</v>
      </c>
      <c r="R3494" s="73">
        <f t="shared" si="403"/>
        <v>1</v>
      </c>
      <c r="S3494" s="260" t="s">
        <v>1976</v>
      </c>
      <c r="T3494" s="260" t="s">
        <v>923</v>
      </c>
      <c r="Y3494" s="566">
        <v>0.40283564814814815</v>
      </c>
      <c r="Z3494" s="566">
        <v>0.40894675925925927</v>
      </c>
      <c r="AA3494" s="566">
        <f t="shared" si="404"/>
        <v>6.1111111111111227E-3</v>
      </c>
    </row>
    <row r="3495" spans="1:27" x14ac:dyDescent="0.3">
      <c r="A3495" s="79" t="s">
        <v>11234</v>
      </c>
      <c r="C3495" s="115">
        <v>44078</v>
      </c>
      <c r="D3495" s="312">
        <v>44113</v>
      </c>
      <c r="E3495" s="81">
        <v>44109</v>
      </c>
      <c r="F3495" s="86" t="s">
        <v>11313</v>
      </c>
      <c r="G3495" s="97" t="s">
        <v>8909</v>
      </c>
      <c r="H3495" s="96" t="s">
        <v>213</v>
      </c>
      <c r="I3495" s="97" t="s">
        <v>642</v>
      </c>
      <c r="J3495" s="73">
        <f t="shared" si="402"/>
        <v>1</v>
      </c>
      <c r="K3495" s="74" t="s">
        <v>204</v>
      </c>
      <c r="L3495" s="97" t="s">
        <v>7069</v>
      </c>
      <c r="N3495" s="76" t="s">
        <v>18</v>
      </c>
      <c r="Q3495" s="76" t="s">
        <v>2142</v>
      </c>
      <c r="R3495" s="73">
        <f t="shared" si="403"/>
        <v>1</v>
      </c>
      <c r="S3495" s="260" t="s">
        <v>1976</v>
      </c>
      <c r="T3495" s="260" t="s">
        <v>925</v>
      </c>
      <c r="Y3495" s="566">
        <v>0.3992708333333333</v>
      </c>
      <c r="Z3495" s="566">
        <v>0.4033680555555556</v>
      </c>
      <c r="AA3495" s="566">
        <f t="shared" si="404"/>
        <v>4.0972222222223076E-3</v>
      </c>
    </row>
    <row r="3496" spans="1:27" x14ac:dyDescent="0.3">
      <c r="A3496" s="79" t="s">
        <v>11235</v>
      </c>
      <c r="C3496" s="115">
        <v>44078</v>
      </c>
      <c r="D3496" s="312">
        <v>44113</v>
      </c>
      <c r="E3496" s="81">
        <v>44106</v>
      </c>
      <c r="F3496" s="86" t="s">
        <v>11314</v>
      </c>
      <c r="G3496" s="86" t="s">
        <v>173</v>
      </c>
      <c r="H3496" s="96" t="s">
        <v>213</v>
      </c>
      <c r="I3496" s="97" t="s">
        <v>714</v>
      </c>
      <c r="J3496" s="73">
        <f t="shared" si="402"/>
        <v>1</v>
      </c>
      <c r="K3496" s="74" t="s">
        <v>204</v>
      </c>
      <c r="L3496" s="97" t="s">
        <v>7072</v>
      </c>
      <c r="N3496" s="76" t="s">
        <v>17</v>
      </c>
      <c r="Q3496" s="76" t="s">
        <v>2037</v>
      </c>
      <c r="R3496" s="73">
        <f t="shared" si="403"/>
        <v>1</v>
      </c>
      <c r="S3496" s="260" t="s">
        <v>1976</v>
      </c>
      <c r="T3496" s="260" t="s">
        <v>923</v>
      </c>
      <c r="Y3496" s="566">
        <v>0.39886574074074077</v>
      </c>
      <c r="Z3496" s="566">
        <v>0.40256944444444448</v>
      </c>
      <c r="AA3496" s="566">
        <f t="shared" si="404"/>
        <v>3.703703703703709E-3</v>
      </c>
    </row>
    <row r="3497" spans="1:27" x14ac:dyDescent="0.3">
      <c r="A3497" s="79" t="s">
        <v>11236</v>
      </c>
      <c r="C3497" s="115">
        <v>44078</v>
      </c>
      <c r="D3497" s="312">
        <v>44113</v>
      </c>
      <c r="E3497" s="81">
        <v>44106</v>
      </c>
      <c r="F3497" s="86" t="s">
        <v>11315</v>
      </c>
      <c r="G3497" s="86" t="s">
        <v>154</v>
      </c>
      <c r="H3497" s="96" t="s">
        <v>213</v>
      </c>
      <c r="I3497" s="97" t="s">
        <v>657</v>
      </c>
      <c r="J3497" s="73">
        <f t="shared" si="402"/>
        <v>1</v>
      </c>
      <c r="K3497" s="74" t="s">
        <v>204</v>
      </c>
      <c r="L3497" s="97" t="s">
        <v>11399</v>
      </c>
      <c r="N3497" s="76" t="s">
        <v>18</v>
      </c>
      <c r="Q3497" s="76" t="s">
        <v>5193</v>
      </c>
      <c r="R3497" s="73">
        <f t="shared" si="403"/>
        <v>1</v>
      </c>
      <c r="S3497" s="260" t="s">
        <v>1976</v>
      </c>
      <c r="T3497" s="260" t="s">
        <v>923</v>
      </c>
      <c r="Y3497" s="566">
        <v>0.51733796296296297</v>
      </c>
      <c r="Z3497" s="566">
        <v>0.53148148148148155</v>
      </c>
      <c r="AA3497" s="566">
        <f t="shared" si="404"/>
        <v>1.4143518518518583E-2</v>
      </c>
    </row>
    <row r="3498" spans="1:27" x14ac:dyDescent="0.3">
      <c r="A3498" s="79" t="s">
        <v>11237</v>
      </c>
      <c r="C3498" s="115">
        <v>44078</v>
      </c>
      <c r="D3498" s="312">
        <v>44113</v>
      </c>
      <c r="E3498" s="81">
        <v>44109</v>
      </c>
      <c r="F3498" s="86" t="s">
        <v>11316</v>
      </c>
      <c r="G3498" s="86" t="s">
        <v>147</v>
      </c>
      <c r="H3498" s="96" t="s">
        <v>213</v>
      </c>
      <c r="I3498" s="97" t="s">
        <v>7725</v>
      </c>
      <c r="J3498" s="73">
        <f t="shared" si="402"/>
        <v>1</v>
      </c>
      <c r="K3498" s="74" t="s">
        <v>204</v>
      </c>
      <c r="L3498" s="97" t="s">
        <v>11584</v>
      </c>
      <c r="N3498" s="76" t="s">
        <v>18</v>
      </c>
      <c r="Q3498" s="76" t="s">
        <v>5193</v>
      </c>
      <c r="R3498" s="73">
        <f t="shared" si="403"/>
        <v>1</v>
      </c>
      <c r="S3498" s="260" t="s">
        <v>1976</v>
      </c>
      <c r="T3498" s="260" t="s">
        <v>925</v>
      </c>
      <c r="Y3498" s="566">
        <v>0.42873842592592593</v>
      </c>
      <c r="Z3498" s="566">
        <v>0.45079861111111108</v>
      </c>
      <c r="AA3498" s="566">
        <f t="shared" si="404"/>
        <v>2.2060185185185155E-2</v>
      </c>
    </row>
    <row r="3499" spans="1:27" x14ac:dyDescent="0.3">
      <c r="A3499" s="79" t="s">
        <v>11238</v>
      </c>
      <c r="C3499" s="115">
        <v>44085</v>
      </c>
      <c r="D3499" s="312">
        <v>44109</v>
      </c>
      <c r="E3499" s="81">
        <v>44103</v>
      </c>
      <c r="F3499" s="86" t="s">
        <v>11317</v>
      </c>
      <c r="G3499" s="86" t="s">
        <v>177</v>
      </c>
      <c r="H3499" s="96" t="s">
        <v>213</v>
      </c>
      <c r="I3499" s="97" t="s">
        <v>1113</v>
      </c>
      <c r="J3499" s="73">
        <f t="shared" si="402"/>
        <v>1</v>
      </c>
      <c r="K3499" s="74" t="s">
        <v>204</v>
      </c>
      <c r="L3499" s="97" t="s">
        <v>11355</v>
      </c>
      <c r="N3499" s="76" t="s">
        <v>18</v>
      </c>
      <c r="Q3499" s="76" t="s">
        <v>2076</v>
      </c>
      <c r="R3499" s="73">
        <f t="shared" si="403"/>
        <v>1</v>
      </c>
      <c r="S3499" s="260" t="s">
        <v>1976</v>
      </c>
      <c r="T3499" s="260" t="s">
        <v>923</v>
      </c>
      <c r="Y3499" s="566">
        <v>0.39645833333333336</v>
      </c>
      <c r="Z3499" s="566">
        <v>0.3994328703703704</v>
      </c>
      <c r="AA3499" s="566">
        <f t="shared" si="404"/>
        <v>2.9745370370370394E-3</v>
      </c>
    </row>
    <row r="3500" spans="1:27" x14ac:dyDescent="0.3">
      <c r="A3500" s="79" t="s">
        <v>11239</v>
      </c>
      <c r="C3500" s="115">
        <v>44085</v>
      </c>
      <c r="D3500" s="312">
        <v>44109</v>
      </c>
      <c r="E3500" s="81">
        <v>44102</v>
      </c>
      <c r="F3500" s="86" t="s">
        <v>11318</v>
      </c>
      <c r="G3500" s="86" t="s">
        <v>152</v>
      </c>
      <c r="H3500" s="96" t="s">
        <v>213</v>
      </c>
      <c r="I3500" s="97" t="s">
        <v>649</v>
      </c>
      <c r="J3500" s="73">
        <f t="shared" si="402"/>
        <v>1</v>
      </c>
      <c r="K3500" s="74" t="s">
        <v>204</v>
      </c>
      <c r="L3500" s="97" t="s">
        <v>7060</v>
      </c>
      <c r="N3500" s="76" t="s">
        <v>18</v>
      </c>
      <c r="Q3500" s="76" t="s">
        <v>2142</v>
      </c>
      <c r="R3500" s="73">
        <f t="shared" si="403"/>
        <v>1</v>
      </c>
      <c r="S3500" s="260" t="s">
        <v>1976</v>
      </c>
      <c r="T3500" s="260" t="s">
        <v>923</v>
      </c>
      <c r="Y3500" s="566">
        <v>0.56701388888888882</v>
      </c>
      <c r="Z3500" s="566">
        <v>0.57532407407407404</v>
      </c>
      <c r="AA3500" s="566">
        <f t="shared" si="404"/>
        <v>8.310185185185226E-3</v>
      </c>
    </row>
    <row r="3501" spans="1:27" x14ac:dyDescent="0.3">
      <c r="A3501" s="79" t="s">
        <v>11240</v>
      </c>
      <c r="C3501" s="115">
        <v>44085</v>
      </c>
      <c r="D3501" s="312">
        <v>44109</v>
      </c>
      <c r="E3501" s="81">
        <v>44102</v>
      </c>
      <c r="F3501" s="86" t="s">
        <v>11319</v>
      </c>
      <c r="G3501" s="86" t="s">
        <v>152</v>
      </c>
      <c r="H3501" s="96" t="s">
        <v>213</v>
      </c>
      <c r="I3501" s="97" t="s">
        <v>722</v>
      </c>
      <c r="J3501" s="73">
        <f t="shared" si="402"/>
        <v>1</v>
      </c>
      <c r="K3501" s="74" t="s">
        <v>204</v>
      </c>
      <c r="L3501" s="97" t="s">
        <v>7322</v>
      </c>
      <c r="N3501" s="76" t="s">
        <v>18</v>
      </c>
      <c r="Q3501" s="76" t="s">
        <v>2142</v>
      </c>
      <c r="R3501" s="73">
        <f t="shared" si="403"/>
        <v>1</v>
      </c>
      <c r="S3501" s="260" t="s">
        <v>1976</v>
      </c>
      <c r="T3501" s="260" t="s">
        <v>924</v>
      </c>
      <c r="Y3501" s="566">
        <v>0.57587962962962969</v>
      </c>
      <c r="Z3501" s="566">
        <v>0.58708333333333329</v>
      </c>
      <c r="AA3501" s="566">
        <f t="shared" si="404"/>
        <v>1.1203703703703605E-2</v>
      </c>
    </row>
    <row r="3502" spans="1:27" x14ac:dyDescent="0.3">
      <c r="A3502" s="79" t="s">
        <v>11241</v>
      </c>
      <c r="C3502" s="115">
        <v>44088</v>
      </c>
      <c r="D3502" s="312">
        <v>44109</v>
      </c>
      <c r="E3502" s="81">
        <v>44103</v>
      </c>
      <c r="F3502" s="86" t="s">
        <v>11320</v>
      </c>
      <c r="G3502" s="86" t="s">
        <v>150</v>
      </c>
      <c r="H3502" s="96" t="s">
        <v>213</v>
      </c>
      <c r="I3502" s="97" t="s">
        <v>2479</v>
      </c>
      <c r="J3502" s="73">
        <f t="shared" si="402"/>
        <v>1</v>
      </c>
      <c r="K3502" s="74" t="s">
        <v>204</v>
      </c>
      <c r="L3502" s="97" t="s">
        <v>11354</v>
      </c>
      <c r="N3502" s="76" t="s">
        <v>18</v>
      </c>
      <c r="Q3502" s="76" t="s">
        <v>2076</v>
      </c>
      <c r="R3502" s="73">
        <f t="shared" si="403"/>
        <v>1</v>
      </c>
      <c r="S3502" s="260" t="s">
        <v>1976</v>
      </c>
      <c r="T3502" s="260" t="s">
        <v>925</v>
      </c>
      <c r="Y3502" s="566">
        <v>0.38989583333333333</v>
      </c>
      <c r="Z3502" s="566">
        <v>0.39591435185185181</v>
      </c>
      <c r="AA3502" s="566">
        <f t="shared" si="404"/>
        <v>6.0185185185184786E-3</v>
      </c>
    </row>
    <row r="3503" spans="1:27" x14ac:dyDescent="0.3">
      <c r="A3503" s="79" t="s">
        <v>11242</v>
      </c>
      <c r="C3503" s="115">
        <v>44088</v>
      </c>
      <c r="D3503" s="312">
        <v>44109</v>
      </c>
      <c r="E3503" s="81">
        <v>44104</v>
      </c>
      <c r="F3503" s="86" t="s">
        <v>11321</v>
      </c>
      <c r="G3503" s="86" t="s">
        <v>166</v>
      </c>
      <c r="H3503" s="96" t="s">
        <v>213</v>
      </c>
      <c r="I3503" s="97" t="s">
        <v>755</v>
      </c>
      <c r="J3503" s="73">
        <f t="shared" ref="J3503:J3526" si="405">IF(OR(K3503="Документы готовы",K3503="Запрос в ФО",K3503="ЭЗ",K3503="РЕШ",K3503="РЕШ шаблон"),0.1,IF(OR(K3503="ЭЗ согласование",K3503="РЕШ согласование"),0.3,IF(OR(K3503="ЭЗ согласовано",K3503="РЕШ согласовано",K3503="РЕШ подписано"),0.6,IF(OR(K3503="ЭЗ ПР согласование",K3503="РЕШ УВ согласование"),0.9,IF(OR(K3503="ЭЗ ПР DONE",K3503="РЕШ УВ DONE"),1,0)))))</f>
        <v>1</v>
      </c>
      <c r="K3503" s="74" t="s">
        <v>204</v>
      </c>
      <c r="L3503" s="97" t="s">
        <v>11366</v>
      </c>
      <c r="N3503" s="76" t="s">
        <v>17</v>
      </c>
      <c r="Q3503" s="76" t="s">
        <v>5193</v>
      </c>
      <c r="R3503" s="73">
        <f t="shared" ref="R3503:R3526" si="406">IF(S3503="В работе",0.3,IF(S3503="Отписано",0.6,IF(S3503="На доработку",0.9,IF(S3503="Согласовано",1,0))))</f>
        <v>1</v>
      </c>
      <c r="S3503" s="260" t="s">
        <v>1976</v>
      </c>
      <c r="T3503" s="260" t="s">
        <v>923</v>
      </c>
      <c r="Y3503" s="566">
        <v>0.49831018518518522</v>
      </c>
      <c r="Z3503" s="566">
        <v>0.51091435185185186</v>
      </c>
      <c r="AA3503" s="566">
        <f t="shared" ref="AA3503:AA3526" si="407">Z3503-Y3503</f>
        <v>1.2604166666666639E-2</v>
      </c>
    </row>
    <row r="3504" spans="1:27" x14ac:dyDescent="0.3">
      <c r="A3504" s="79" t="s">
        <v>11243</v>
      </c>
      <c r="C3504" s="115">
        <v>44088</v>
      </c>
      <c r="D3504" s="312">
        <v>44109</v>
      </c>
      <c r="E3504" s="81">
        <v>44105</v>
      </c>
      <c r="F3504" s="86" t="s">
        <v>11322</v>
      </c>
      <c r="G3504" s="86" t="s">
        <v>157</v>
      </c>
      <c r="H3504" s="79" t="s">
        <v>268</v>
      </c>
      <c r="I3504" s="97" t="s">
        <v>4391</v>
      </c>
      <c r="J3504" s="73">
        <f t="shared" si="405"/>
        <v>1</v>
      </c>
      <c r="K3504" s="74" t="s">
        <v>204</v>
      </c>
      <c r="L3504" s="97" t="s">
        <v>11379</v>
      </c>
      <c r="N3504" s="76" t="s">
        <v>18</v>
      </c>
      <c r="Q3504" s="76" t="s">
        <v>2037</v>
      </c>
      <c r="R3504" s="73">
        <f t="shared" si="406"/>
        <v>1</v>
      </c>
      <c r="S3504" s="260" t="s">
        <v>1976</v>
      </c>
      <c r="T3504" s="260" t="s">
        <v>924</v>
      </c>
      <c r="Y3504" s="566">
        <v>0.4368055555555555</v>
      </c>
      <c r="Z3504" s="566">
        <v>0.46563657407407405</v>
      </c>
      <c r="AA3504" s="566">
        <f t="shared" si="407"/>
        <v>2.8831018518518547E-2</v>
      </c>
    </row>
    <row r="3505" spans="1:27" x14ac:dyDescent="0.3">
      <c r="A3505" s="96" t="s">
        <v>11244</v>
      </c>
      <c r="C3505" s="115">
        <v>44089</v>
      </c>
      <c r="D3505" s="312">
        <v>44110</v>
      </c>
      <c r="E3505" s="81">
        <v>44104</v>
      </c>
      <c r="F3505" s="86" t="s">
        <v>11323</v>
      </c>
      <c r="G3505" s="86" t="s">
        <v>150</v>
      </c>
      <c r="H3505" s="96" t="s">
        <v>213</v>
      </c>
      <c r="I3505" s="97" t="s">
        <v>722</v>
      </c>
      <c r="J3505" s="73">
        <f t="shared" si="405"/>
        <v>1</v>
      </c>
      <c r="K3505" s="74" t="s">
        <v>204</v>
      </c>
      <c r="L3505" s="97" t="s">
        <v>11369</v>
      </c>
      <c r="N3505" s="76" t="s">
        <v>18</v>
      </c>
      <c r="Q3505" s="76" t="s">
        <v>2142</v>
      </c>
      <c r="R3505" s="73">
        <f t="shared" si="406"/>
        <v>1</v>
      </c>
      <c r="S3505" s="260" t="s">
        <v>1976</v>
      </c>
      <c r="T3505" s="260" t="s">
        <v>924</v>
      </c>
      <c r="U3505" s="76" t="s">
        <v>5283</v>
      </c>
      <c r="V3505" s="301" t="s">
        <v>11370</v>
      </c>
      <c r="Y3505" s="566">
        <v>0.57379629629629625</v>
      </c>
      <c r="Z3505" s="566">
        <v>0.58122685185185186</v>
      </c>
      <c r="AA3505" s="566">
        <f t="shared" si="407"/>
        <v>7.4305555555556069E-3</v>
      </c>
    </row>
    <row r="3506" spans="1:27" x14ac:dyDescent="0.3">
      <c r="A3506" s="79" t="s">
        <v>11245</v>
      </c>
      <c r="C3506" s="115">
        <v>44089</v>
      </c>
      <c r="D3506" s="312">
        <v>44110</v>
      </c>
      <c r="E3506" s="81">
        <v>44104</v>
      </c>
      <c r="F3506" s="86" t="s">
        <v>11324</v>
      </c>
      <c r="G3506" s="86" t="s">
        <v>189</v>
      </c>
      <c r="H3506" s="96" t="s">
        <v>213</v>
      </c>
      <c r="I3506" s="97" t="s">
        <v>649</v>
      </c>
      <c r="J3506" s="73">
        <f t="shared" si="405"/>
        <v>1</v>
      </c>
      <c r="K3506" s="74" t="s">
        <v>204</v>
      </c>
      <c r="L3506" s="97" t="s">
        <v>11368</v>
      </c>
      <c r="N3506" s="76" t="s">
        <v>17</v>
      </c>
      <c r="Q3506" s="76" t="s">
        <v>5193</v>
      </c>
      <c r="R3506" s="73">
        <f t="shared" si="406"/>
        <v>1</v>
      </c>
      <c r="S3506" s="260" t="s">
        <v>1976</v>
      </c>
      <c r="T3506" s="260" t="s">
        <v>923</v>
      </c>
      <c r="Y3506" s="566">
        <v>0.5604513888888889</v>
      </c>
      <c r="Z3506" s="566">
        <v>0.57155092592592593</v>
      </c>
      <c r="AA3506" s="566">
        <f t="shared" si="407"/>
        <v>1.1099537037037033E-2</v>
      </c>
    </row>
    <row r="3507" spans="1:27" x14ac:dyDescent="0.3">
      <c r="A3507" s="79" t="s">
        <v>11246</v>
      </c>
      <c r="C3507" s="115">
        <v>44089</v>
      </c>
      <c r="D3507" s="312">
        <v>44110</v>
      </c>
      <c r="E3507" s="81">
        <v>44103</v>
      </c>
      <c r="F3507" s="86" t="s">
        <v>11325</v>
      </c>
      <c r="G3507" s="86" t="s">
        <v>152</v>
      </c>
      <c r="H3507" s="96" t="s">
        <v>213</v>
      </c>
      <c r="I3507" s="97" t="s">
        <v>649</v>
      </c>
      <c r="J3507" s="73">
        <f t="shared" si="405"/>
        <v>1</v>
      </c>
      <c r="K3507" s="74" t="s">
        <v>204</v>
      </c>
      <c r="L3507" s="97" t="s">
        <v>11358</v>
      </c>
      <c r="N3507" s="76" t="s">
        <v>17</v>
      </c>
      <c r="Q3507" s="76" t="s">
        <v>2076</v>
      </c>
      <c r="R3507" s="73">
        <f t="shared" si="406"/>
        <v>1</v>
      </c>
      <c r="S3507" s="260" t="s">
        <v>1976</v>
      </c>
      <c r="T3507" s="260" t="s">
        <v>924</v>
      </c>
      <c r="Y3507" s="566">
        <v>0.54077546296296297</v>
      </c>
      <c r="Z3507" s="566">
        <v>0.55583333333333329</v>
      </c>
      <c r="AA3507" s="566">
        <f t="shared" si="407"/>
        <v>1.5057870370370319E-2</v>
      </c>
    </row>
    <row r="3508" spans="1:27" x14ac:dyDescent="0.3">
      <c r="A3508" s="79" t="s">
        <v>11247</v>
      </c>
      <c r="C3508" s="115">
        <v>44089</v>
      </c>
      <c r="D3508" s="312">
        <v>44110</v>
      </c>
      <c r="E3508" s="81">
        <v>44103</v>
      </c>
      <c r="F3508" s="86" t="s">
        <v>11326</v>
      </c>
      <c r="G3508" s="86" t="s">
        <v>173</v>
      </c>
      <c r="H3508" s="96" t="s">
        <v>213</v>
      </c>
      <c r="I3508" s="97" t="s">
        <v>755</v>
      </c>
      <c r="J3508" s="73">
        <f t="shared" si="405"/>
        <v>1</v>
      </c>
      <c r="K3508" s="74" t="s">
        <v>204</v>
      </c>
      <c r="L3508" s="97" t="s">
        <v>7299</v>
      </c>
      <c r="N3508" s="76" t="s">
        <v>18</v>
      </c>
      <c r="Q3508" s="76" t="s">
        <v>2037</v>
      </c>
      <c r="R3508" s="73">
        <f t="shared" si="406"/>
        <v>1</v>
      </c>
      <c r="S3508" s="260" t="s">
        <v>1976</v>
      </c>
      <c r="T3508" s="260" t="s">
        <v>925</v>
      </c>
      <c r="Y3508" s="566">
        <v>0.61362268518518526</v>
      </c>
      <c r="Z3508" s="566">
        <v>0.62059027777777775</v>
      </c>
      <c r="AA3508" s="566">
        <f t="shared" si="407"/>
        <v>6.9675925925924975E-3</v>
      </c>
    </row>
    <row r="3509" spans="1:27" x14ac:dyDescent="0.3">
      <c r="A3509" s="79" t="s">
        <v>11248</v>
      </c>
      <c r="C3509" s="115">
        <v>44090</v>
      </c>
      <c r="D3509" s="312">
        <v>44111</v>
      </c>
      <c r="E3509" s="81">
        <v>44105</v>
      </c>
      <c r="F3509" s="86" t="s">
        <v>11327</v>
      </c>
      <c r="G3509" s="86" t="s">
        <v>147</v>
      </c>
      <c r="H3509" s="96" t="s">
        <v>213</v>
      </c>
      <c r="I3509" s="97" t="s">
        <v>4963</v>
      </c>
      <c r="J3509" s="73">
        <f t="shared" si="405"/>
        <v>1</v>
      </c>
      <c r="K3509" s="74" t="s">
        <v>204</v>
      </c>
      <c r="L3509" s="97" t="s">
        <v>7578</v>
      </c>
      <c r="N3509" s="76" t="s">
        <v>19</v>
      </c>
      <c r="Q3509" s="76" t="s">
        <v>5193</v>
      </c>
      <c r="R3509" s="73">
        <f t="shared" si="406"/>
        <v>1</v>
      </c>
      <c r="S3509" s="260" t="s">
        <v>1976</v>
      </c>
      <c r="T3509" s="260" t="s">
        <v>923</v>
      </c>
      <c r="Y3509" s="566">
        <v>0.60877314814814809</v>
      </c>
      <c r="Z3509" s="566">
        <v>0.6193171296296297</v>
      </c>
      <c r="AA3509" s="566">
        <f t="shared" si="407"/>
        <v>1.0543981481481612E-2</v>
      </c>
    </row>
    <row r="3510" spans="1:27" x14ac:dyDescent="0.3">
      <c r="A3510" s="79" t="s">
        <v>11249</v>
      </c>
      <c r="C3510" s="115">
        <v>44090</v>
      </c>
      <c r="D3510" s="312">
        <v>44112</v>
      </c>
      <c r="E3510" s="81">
        <v>44105</v>
      </c>
      <c r="F3510" s="86" t="s">
        <v>5460</v>
      </c>
      <c r="G3510" s="86" t="s">
        <v>157</v>
      </c>
      <c r="H3510" s="96" t="s">
        <v>213</v>
      </c>
      <c r="I3510" s="97" t="s">
        <v>649</v>
      </c>
      <c r="J3510" s="73">
        <f t="shared" si="405"/>
        <v>1</v>
      </c>
      <c r="K3510" s="74" t="s">
        <v>204</v>
      </c>
      <c r="L3510" s="97" t="s">
        <v>7089</v>
      </c>
      <c r="N3510" s="76" t="s">
        <v>18</v>
      </c>
      <c r="Q3510" s="76" t="s">
        <v>2037</v>
      </c>
      <c r="R3510" s="73">
        <f t="shared" si="406"/>
        <v>1</v>
      </c>
      <c r="S3510" s="260" t="s">
        <v>1976</v>
      </c>
      <c r="T3510" s="260" t="s">
        <v>925</v>
      </c>
      <c r="Y3510" s="566">
        <v>0.54701388888888891</v>
      </c>
      <c r="Z3510" s="566">
        <v>0.60820601851851852</v>
      </c>
      <c r="AA3510" s="566">
        <f t="shared" si="407"/>
        <v>6.119212962962961E-2</v>
      </c>
    </row>
    <row r="3511" spans="1:27" x14ac:dyDescent="0.3">
      <c r="A3511" s="79" t="s">
        <v>11250</v>
      </c>
      <c r="C3511" s="115">
        <v>44090</v>
      </c>
      <c r="D3511" s="312">
        <v>44111</v>
      </c>
      <c r="E3511" s="81">
        <v>44105</v>
      </c>
      <c r="F3511" s="86" t="s">
        <v>11328</v>
      </c>
      <c r="G3511" s="86" t="s">
        <v>150</v>
      </c>
      <c r="H3511" s="96" t="s">
        <v>213</v>
      </c>
      <c r="I3511" s="97" t="s">
        <v>691</v>
      </c>
      <c r="J3511" s="73">
        <f t="shared" si="405"/>
        <v>1</v>
      </c>
      <c r="K3511" s="74" t="s">
        <v>204</v>
      </c>
      <c r="L3511" s="97" t="s">
        <v>11385</v>
      </c>
      <c r="N3511" s="76" t="s">
        <v>19</v>
      </c>
      <c r="Q3511" s="76" t="s">
        <v>2076</v>
      </c>
      <c r="R3511" s="73">
        <f t="shared" si="406"/>
        <v>1</v>
      </c>
      <c r="S3511" s="260" t="s">
        <v>1976</v>
      </c>
      <c r="T3511" s="260" t="s">
        <v>925</v>
      </c>
      <c r="U3511" s="76" t="s">
        <v>5283</v>
      </c>
      <c r="V3511" s="301" t="s">
        <v>11386</v>
      </c>
      <c r="Y3511" s="566">
        <v>0.67829861111111101</v>
      </c>
      <c r="Z3511" s="566">
        <v>0.6993287037037037</v>
      </c>
      <c r="AA3511" s="566">
        <f t="shared" si="407"/>
        <v>2.1030092592592697E-2</v>
      </c>
    </row>
    <row r="3512" spans="1:27" x14ac:dyDescent="0.3">
      <c r="A3512" s="79" t="s">
        <v>11251</v>
      </c>
      <c r="C3512" s="115">
        <v>44090</v>
      </c>
      <c r="D3512" s="312">
        <v>44111</v>
      </c>
      <c r="E3512" s="81">
        <v>44104</v>
      </c>
      <c r="F3512" s="86" t="s">
        <v>11329</v>
      </c>
      <c r="G3512" s="86" t="s">
        <v>152</v>
      </c>
      <c r="H3512" s="96" t="s">
        <v>213</v>
      </c>
      <c r="I3512" s="97" t="s">
        <v>649</v>
      </c>
      <c r="J3512" s="73">
        <f t="shared" si="405"/>
        <v>1</v>
      </c>
      <c r="K3512" s="74" t="s">
        <v>204</v>
      </c>
      <c r="L3512" s="97" t="s">
        <v>7089</v>
      </c>
      <c r="N3512" s="76" t="s">
        <v>17</v>
      </c>
      <c r="Q3512" s="76" t="s">
        <v>2076</v>
      </c>
      <c r="R3512" s="73">
        <f t="shared" si="406"/>
        <v>1</v>
      </c>
      <c r="S3512" s="260" t="s">
        <v>1976</v>
      </c>
      <c r="T3512" s="260" t="s">
        <v>924</v>
      </c>
      <c r="U3512" s="76" t="s">
        <v>5283</v>
      </c>
      <c r="V3512" s="301" t="s">
        <v>6725</v>
      </c>
      <c r="Y3512" s="566">
        <v>0.61012731481481486</v>
      </c>
      <c r="Z3512" s="566">
        <v>0.66855324074074074</v>
      </c>
      <c r="AA3512" s="566">
        <f t="shared" si="407"/>
        <v>5.8425925925925881E-2</v>
      </c>
    </row>
    <row r="3513" spans="1:27" x14ac:dyDescent="0.3">
      <c r="A3513" s="79" t="s">
        <v>11252</v>
      </c>
      <c r="C3513" s="115">
        <v>44090</v>
      </c>
      <c r="D3513" s="312">
        <v>44111</v>
      </c>
      <c r="E3513" s="81">
        <v>44104</v>
      </c>
      <c r="F3513" s="86" t="s">
        <v>11330</v>
      </c>
      <c r="G3513" s="86" t="s">
        <v>150</v>
      </c>
      <c r="H3513" s="96" t="s">
        <v>213</v>
      </c>
      <c r="I3513" s="97" t="s">
        <v>649</v>
      </c>
      <c r="J3513" s="73">
        <f t="shared" si="405"/>
        <v>1</v>
      </c>
      <c r="K3513" s="74" t="s">
        <v>204</v>
      </c>
      <c r="L3513" s="97" t="s">
        <v>9846</v>
      </c>
      <c r="N3513" s="76" t="s">
        <v>18</v>
      </c>
      <c r="Q3513" s="76" t="s">
        <v>2076</v>
      </c>
      <c r="R3513" s="73">
        <f t="shared" si="406"/>
        <v>1</v>
      </c>
      <c r="S3513" s="260" t="s">
        <v>1976</v>
      </c>
      <c r="T3513" s="260" t="s">
        <v>923</v>
      </c>
      <c r="U3513" s="76" t="s">
        <v>5283</v>
      </c>
      <c r="V3513" s="301" t="s">
        <v>11371</v>
      </c>
      <c r="Y3513" s="566">
        <v>0.58180555555555558</v>
      </c>
      <c r="Z3513" s="566">
        <v>0.60350694444444442</v>
      </c>
      <c r="AA3513" s="566">
        <f t="shared" si="407"/>
        <v>2.170138888888884E-2</v>
      </c>
    </row>
    <row r="3514" spans="1:27" x14ac:dyDescent="0.3">
      <c r="A3514" s="79" t="s">
        <v>11253</v>
      </c>
      <c r="C3514" s="115">
        <v>44090</v>
      </c>
      <c r="D3514" s="312">
        <v>44111</v>
      </c>
      <c r="E3514" s="81">
        <v>44104</v>
      </c>
      <c r="F3514" s="86" t="s">
        <v>11331</v>
      </c>
      <c r="G3514" s="86" t="s">
        <v>410</v>
      </c>
      <c r="H3514" s="96" t="s">
        <v>213</v>
      </c>
      <c r="I3514" s="97" t="s">
        <v>722</v>
      </c>
      <c r="J3514" s="73">
        <f t="shared" si="405"/>
        <v>1</v>
      </c>
      <c r="K3514" s="74" t="s">
        <v>204</v>
      </c>
      <c r="L3514" s="97" t="s">
        <v>11376</v>
      </c>
      <c r="N3514" s="76" t="s">
        <v>18</v>
      </c>
      <c r="Q3514" s="76" t="s">
        <v>2142</v>
      </c>
      <c r="R3514" s="73">
        <f t="shared" si="406"/>
        <v>1</v>
      </c>
      <c r="S3514" s="260" t="s">
        <v>1976</v>
      </c>
      <c r="T3514" s="260" t="s">
        <v>925</v>
      </c>
      <c r="Y3514" s="566">
        <v>0.78746527777777775</v>
      </c>
      <c r="Z3514" s="566">
        <v>0.79229166666666673</v>
      </c>
      <c r="AA3514" s="566">
        <f t="shared" si="407"/>
        <v>4.8263888888889772E-3</v>
      </c>
    </row>
    <row r="3515" spans="1:27" x14ac:dyDescent="0.3">
      <c r="A3515" s="79" t="s">
        <v>11254</v>
      </c>
      <c r="C3515" s="115">
        <v>44090</v>
      </c>
      <c r="D3515" s="312">
        <v>44111</v>
      </c>
      <c r="E3515" s="81">
        <v>44104</v>
      </c>
      <c r="F3515" s="86" t="s">
        <v>11332</v>
      </c>
      <c r="G3515" s="86" t="s">
        <v>154</v>
      </c>
      <c r="H3515" s="96" t="s">
        <v>213</v>
      </c>
      <c r="I3515" s="97" t="s">
        <v>649</v>
      </c>
      <c r="J3515" s="73">
        <f t="shared" si="405"/>
        <v>1</v>
      </c>
      <c r="K3515" s="74" t="s">
        <v>204</v>
      </c>
      <c r="L3515" s="97" t="s">
        <v>7082</v>
      </c>
      <c r="N3515" s="76" t="s">
        <v>18</v>
      </c>
      <c r="Q3515" s="76" t="s">
        <v>2142</v>
      </c>
      <c r="R3515" s="73">
        <f t="shared" si="406"/>
        <v>1</v>
      </c>
      <c r="S3515" s="260" t="s">
        <v>1976</v>
      </c>
      <c r="T3515" s="260" t="s">
        <v>925</v>
      </c>
      <c r="Y3515" s="566">
        <v>0.7782175925925926</v>
      </c>
      <c r="Z3515" s="566">
        <v>0.78694444444444445</v>
      </c>
      <c r="AA3515" s="566">
        <f t="shared" si="407"/>
        <v>8.7268518518518468E-3</v>
      </c>
    </row>
    <row r="3516" spans="1:27" x14ac:dyDescent="0.3">
      <c r="A3516" s="79" t="s">
        <v>11255</v>
      </c>
      <c r="C3516" s="115">
        <v>44091</v>
      </c>
      <c r="D3516" s="312">
        <v>44112</v>
      </c>
      <c r="E3516" s="81">
        <v>44106</v>
      </c>
      <c r="F3516" s="86" t="s">
        <v>11333</v>
      </c>
      <c r="G3516" s="86" t="s">
        <v>166</v>
      </c>
      <c r="H3516" s="79" t="s">
        <v>268</v>
      </c>
      <c r="I3516" s="97" t="s">
        <v>4751</v>
      </c>
      <c r="J3516" s="73">
        <f t="shared" si="405"/>
        <v>1</v>
      </c>
      <c r="K3516" s="74" t="s">
        <v>204</v>
      </c>
      <c r="L3516" s="97" t="s">
        <v>11396</v>
      </c>
      <c r="N3516" s="76" t="s">
        <v>18</v>
      </c>
      <c r="Q3516" s="76" t="s">
        <v>2142</v>
      </c>
      <c r="R3516" s="73">
        <f t="shared" si="406"/>
        <v>1</v>
      </c>
      <c r="S3516" s="260" t="s">
        <v>1976</v>
      </c>
      <c r="T3516" s="260" t="s">
        <v>924</v>
      </c>
      <c r="Y3516" s="566">
        <v>0.4478935185185185</v>
      </c>
      <c r="Z3516" s="566">
        <v>0.46684027777777781</v>
      </c>
      <c r="AA3516" s="566">
        <f t="shared" si="407"/>
        <v>1.8946759259259316E-2</v>
      </c>
    </row>
    <row r="3517" spans="1:27" x14ac:dyDescent="0.3">
      <c r="A3517" s="79" t="s">
        <v>11256</v>
      </c>
      <c r="C3517" s="115">
        <v>44091</v>
      </c>
      <c r="D3517" s="312">
        <v>44112</v>
      </c>
      <c r="E3517" s="81">
        <v>44105</v>
      </c>
      <c r="F3517" s="86" t="s">
        <v>11334</v>
      </c>
      <c r="G3517" s="86" t="s">
        <v>175</v>
      </c>
      <c r="H3517" s="96" t="s">
        <v>213</v>
      </c>
      <c r="I3517" s="97" t="s">
        <v>3475</v>
      </c>
      <c r="J3517" s="73">
        <f t="shared" si="405"/>
        <v>1</v>
      </c>
      <c r="K3517" s="74" t="s">
        <v>204</v>
      </c>
      <c r="L3517" s="97" t="s">
        <v>7561</v>
      </c>
      <c r="N3517" s="76" t="s">
        <v>19</v>
      </c>
      <c r="Q3517" s="76" t="s">
        <v>2142</v>
      </c>
      <c r="R3517" s="73">
        <f t="shared" si="406"/>
        <v>1</v>
      </c>
      <c r="S3517" s="260" t="s">
        <v>1976</v>
      </c>
      <c r="T3517" s="260" t="s">
        <v>923</v>
      </c>
      <c r="Y3517" s="566">
        <v>0.90750000000000008</v>
      </c>
      <c r="Z3517" s="566">
        <v>0.91571759259259267</v>
      </c>
      <c r="AA3517" s="566">
        <f t="shared" si="407"/>
        <v>8.2175925925925819E-3</v>
      </c>
    </row>
    <row r="3518" spans="1:27" x14ac:dyDescent="0.3">
      <c r="A3518" s="79" t="s">
        <v>11257</v>
      </c>
      <c r="C3518" s="115">
        <v>44091</v>
      </c>
      <c r="D3518" s="312">
        <v>44112</v>
      </c>
      <c r="E3518" s="81">
        <v>44106</v>
      </c>
      <c r="F3518" s="86" t="s">
        <v>11335</v>
      </c>
      <c r="G3518" s="86" t="s">
        <v>164</v>
      </c>
      <c r="H3518" s="96" t="s">
        <v>213</v>
      </c>
      <c r="I3518" s="97" t="s">
        <v>1113</v>
      </c>
      <c r="J3518" s="73">
        <f t="shared" si="405"/>
        <v>1</v>
      </c>
      <c r="K3518" s="74" t="s">
        <v>204</v>
      </c>
      <c r="L3518" s="97" t="s">
        <v>11393</v>
      </c>
      <c r="N3518" s="76" t="s">
        <v>18</v>
      </c>
      <c r="Q3518" s="76" t="s">
        <v>2142</v>
      </c>
      <c r="R3518" s="73">
        <f t="shared" si="406"/>
        <v>1</v>
      </c>
      <c r="S3518" s="260" t="s">
        <v>1976</v>
      </c>
      <c r="T3518" s="260" t="s">
        <v>924</v>
      </c>
      <c r="Y3518" s="566">
        <v>0.40934027777777776</v>
      </c>
      <c r="Z3518" s="566">
        <v>0.41202546296296294</v>
      </c>
      <c r="AA3518" s="566">
        <f t="shared" si="407"/>
        <v>2.6851851851851793E-3</v>
      </c>
    </row>
    <row r="3519" spans="1:27" x14ac:dyDescent="0.3">
      <c r="A3519" s="79" t="s">
        <v>11258</v>
      </c>
      <c r="C3519" s="115">
        <v>44091</v>
      </c>
      <c r="D3519" s="312">
        <v>44112</v>
      </c>
      <c r="E3519" s="81">
        <v>44105</v>
      </c>
      <c r="F3519" s="86" t="s">
        <v>11336</v>
      </c>
      <c r="G3519" s="86" t="s">
        <v>152</v>
      </c>
      <c r="H3519" s="96" t="s">
        <v>213</v>
      </c>
      <c r="I3519" s="97" t="s">
        <v>649</v>
      </c>
      <c r="J3519" s="73">
        <f t="shared" si="405"/>
        <v>1</v>
      </c>
      <c r="K3519" s="74" t="s">
        <v>204</v>
      </c>
      <c r="L3519" s="97" t="s">
        <v>7089</v>
      </c>
      <c r="N3519" s="76" t="s">
        <v>17</v>
      </c>
      <c r="Q3519" s="76" t="s">
        <v>2037</v>
      </c>
      <c r="R3519" s="73">
        <f t="shared" si="406"/>
        <v>1</v>
      </c>
      <c r="S3519" s="260" t="s">
        <v>1976</v>
      </c>
      <c r="T3519" s="260" t="s">
        <v>924</v>
      </c>
      <c r="Y3519" s="566">
        <v>0.52803240740740742</v>
      </c>
      <c r="Z3519" s="566">
        <v>0.54634259259259255</v>
      </c>
      <c r="AA3519" s="566">
        <f t="shared" si="407"/>
        <v>1.8310185185185124E-2</v>
      </c>
    </row>
    <row r="3520" spans="1:27" x14ac:dyDescent="0.3">
      <c r="A3520" s="79" t="s">
        <v>11259</v>
      </c>
      <c r="C3520" s="115">
        <v>44091</v>
      </c>
      <c r="D3520" s="312">
        <v>44112</v>
      </c>
      <c r="E3520" s="81">
        <v>44105</v>
      </c>
      <c r="F3520" s="86" t="s">
        <v>11337</v>
      </c>
      <c r="G3520" s="86" t="s">
        <v>150</v>
      </c>
      <c r="H3520" s="96" t="s">
        <v>213</v>
      </c>
      <c r="I3520" s="97" t="s">
        <v>649</v>
      </c>
      <c r="J3520" s="73">
        <f t="shared" si="405"/>
        <v>1</v>
      </c>
      <c r="K3520" s="74" t="s">
        <v>204</v>
      </c>
      <c r="L3520" s="97" t="s">
        <v>7065</v>
      </c>
      <c r="N3520" s="76" t="s">
        <v>17</v>
      </c>
      <c r="Q3520" s="76" t="s">
        <v>5193</v>
      </c>
      <c r="R3520" s="73">
        <f t="shared" si="406"/>
        <v>1</v>
      </c>
      <c r="S3520" s="260" t="s">
        <v>1976</v>
      </c>
      <c r="T3520" s="260" t="s">
        <v>923</v>
      </c>
      <c r="Y3520" s="566">
        <v>0.71576388888888898</v>
      </c>
      <c r="Z3520" s="566">
        <v>0.72868055555555555</v>
      </c>
      <c r="AA3520" s="566">
        <f t="shared" si="407"/>
        <v>1.2916666666666576E-2</v>
      </c>
    </row>
    <row r="3521" spans="1:27" x14ac:dyDescent="0.3">
      <c r="A3521" s="96" t="s">
        <v>11260</v>
      </c>
      <c r="C3521" s="115">
        <v>44092</v>
      </c>
      <c r="D3521" s="312">
        <v>44113</v>
      </c>
      <c r="E3521" s="81">
        <v>44110</v>
      </c>
      <c r="F3521" s="86" t="s">
        <v>11338</v>
      </c>
      <c r="G3521" s="86" t="s">
        <v>152</v>
      </c>
      <c r="H3521" s="96" t="s">
        <v>213</v>
      </c>
      <c r="I3521" s="97" t="s">
        <v>649</v>
      </c>
      <c r="J3521" s="73">
        <f t="shared" si="405"/>
        <v>1</v>
      </c>
      <c r="K3521" s="74" t="s">
        <v>204</v>
      </c>
      <c r="L3521" s="97" t="s">
        <v>11603</v>
      </c>
      <c r="N3521" s="76" t="s">
        <v>18</v>
      </c>
      <c r="Q3521" s="76" t="s">
        <v>2076</v>
      </c>
      <c r="R3521" s="73">
        <f t="shared" si="406"/>
        <v>1</v>
      </c>
      <c r="S3521" s="260" t="s">
        <v>1976</v>
      </c>
      <c r="T3521" s="260" t="s">
        <v>923</v>
      </c>
      <c r="U3521" s="76" t="s">
        <v>5283</v>
      </c>
      <c r="V3521" s="301" t="s">
        <v>11591</v>
      </c>
      <c r="Y3521" s="566">
        <v>0.41805555555555557</v>
      </c>
      <c r="Z3521" s="566">
        <v>0.42988425925925927</v>
      </c>
      <c r="AA3521" s="566">
        <f t="shared" si="407"/>
        <v>1.1828703703703702E-2</v>
      </c>
    </row>
    <row r="3522" spans="1:27" x14ac:dyDescent="0.3">
      <c r="A3522" s="79" t="s">
        <v>11261</v>
      </c>
      <c r="C3522" s="115">
        <v>44092</v>
      </c>
      <c r="D3522" s="312">
        <v>44113</v>
      </c>
      <c r="E3522" s="81">
        <v>44109</v>
      </c>
      <c r="F3522" s="86" t="s">
        <v>11339</v>
      </c>
      <c r="G3522" s="86" t="s">
        <v>154</v>
      </c>
      <c r="H3522" s="96" t="s">
        <v>213</v>
      </c>
      <c r="I3522" s="97" t="s">
        <v>972</v>
      </c>
      <c r="J3522" s="73">
        <f t="shared" si="405"/>
        <v>1</v>
      </c>
      <c r="K3522" s="74" t="s">
        <v>204</v>
      </c>
      <c r="L3522" s="97" t="s">
        <v>11583</v>
      </c>
      <c r="N3522" s="76" t="s">
        <v>18</v>
      </c>
      <c r="Q3522" s="76" t="s">
        <v>2142</v>
      </c>
      <c r="R3522" s="73">
        <f t="shared" si="406"/>
        <v>1</v>
      </c>
      <c r="S3522" s="260" t="s">
        <v>1976</v>
      </c>
      <c r="T3522" s="260" t="s">
        <v>924</v>
      </c>
      <c r="U3522" s="76" t="s">
        <v>5283</v>
      </c>
      <c r="V3522" s="301" t="s">
        <v>11582</v>
      </c>
      <c r="Y3522" s="566">
        <v>0.41203703703703703</v>
      </c>
      <c r="Z3522" s="566">
        <v>0.41952546296296295</v>
      </c>
      <c r="AA3522" s="566">
        <f t="shared" si="407"/>
        <v>7.4884259259259123E-3</v>
      </c>
    </row>
    <row r="3523" spans="1:27" x14ac:dyDescent="0.3">
      <c r="A3523" s="79" t="s">
        <v>11262</v>
      </c>
      <c r="C3523" s="115">
        <v>44092</v>
      </c>
      <c r="D3523" s="312">
        <v>44113</v>
      </c>
      <c r="E3523" s="81">
        <v>44106</v>
      </c>
      <c r="F3523" s="86" t="s">
        <v>11340</v>
      </c>
      <c r="G3523" s="86" t="s">
        <v>150</v>
      </c>
      <c r="H3523" s="96" t="s">
        <v>213</v>
      </c>
      <c r="I3523" s="97" t="s">
        <v>649</v>
      </c>
      <c r="J3523" s="73">
        <f t="shared" si="405"/>
        <v>1</v>
      </c>
      <c r="K3523" s="74" t="s">
        <v>204</v>
      </c>
      <c r="L3523" s="97" t="s">
        <v>11391</v>
      </c>
      <c r="N3523" s="76" t="s">
        <v>18</v>
      </c>
      <c r="Q3523" s="76" t="s">
        <v>2037</v>
      </c>
      <c r="R3523" s="73">
        <f t="shared" si="406"/>
        <v>1</v>
      </c>
      <c r="S3523" s="260" t="s">
        <v>1976</v>
      </c>
      <c r="T3523" s="260" t="s">
        <v>925</v>
      </c>
      <c r="Y3523" s="566">
        <v>0.38099537037037035</v>
      </c>
      <c r="Z3523" s="566">
        <v>0.38599537037037041</v>
      </c>
      <c r="AA3523" s="566">
        <f t="shared" si="407"/>
        <v>5.00000000000006E-3</v>
      </c>
    </row>
    <row r="3524" spans="1:27" x14ac:dyDescent="0.3">
      <c r="A3524" s="79" t="s">
        <v>11263</v>
      </c>
      <c r="C3524" s="115">
        <v>44092</v>
      </c>
      <c r="D3524" s="312">
        <v>44113</v>
      </c>
      <c r="E3524" s="81">
        <v>44109</v>
      </c>
      <c r="F3524" s="86" t="s">
        <v>11341</v>
      </c>
      <c r="G3524" s="86" t="s">
        <v>181</v>
      </c>
      <c r="H3524" s="96" t="s">
        <v>213</v>
      </c>
      <c r="I3524" s="97" t="s">
        <v>4037</v>
      </c>
      <c r="J3524" s="73">
        <f t="shared" si="405"/>
        <v>1</v>
      </c>
      <c r="K3524" s="74" t="s">
        <v>204</v>
      </c>
      <c r="L3524" s="97" t="s">
        <v>11590</v>
      </c>
      <c r="N3524" s="76" t="s">
        <v>17</v>
      </c>
      <c r="Q3524" s="76" t="s">
        <v>2142</v>
      </c>
      <c r="R3524" s="73">
        <f t="shared" si="406"/>
        <v>1</v>
      </c>
      <c r="S3524" s="260" t="s">
        <v>1976</v>
      </c>
      <c r="T3524" s="260" t="s">
        <v>923</v>
      </c>
      <c r="Y3524" s="566">
        <v>0.61336805555555551</v>
      </c>
      <c r="Z3524" s="566">
        <v>0.62616898148148148</v>
      </c>
      <c r="AA3524" s="566">
        <f t="shared" si="407"/>
        <v>1.2800925925925966E-2</v>
      </c>
    </row>
    <row r="3525" spans="1:27" x14ac:dyDescent="0.3">
      <c r="A3525" s="79" t="s">
        <v>11264</v>
      </c>
      <c r="C3525" s="115">
        <v>44092</v>
      </c>
      <c r="D3525" s="312">
        <v>44113</v>
      </c>
      <c r="E3525" s="81">
        <v>44109</v>
      </c>
      <c r="F3525" s="86" t="s">
        <v>7262</v>
      </c>
      <c r="G3525" s="86" t="s">
        <v>172</v>
      </c>
      <c r="H3525" s="96" t="s">
        <v>213</v>
      </c>
      <c r="I3525" s="97" t="s">
        <v>3475</v>
      </c>
      <c r="J3525" s="73">
        <f t="shared" si="405"/>
        <v>1</v>
      </c>
      <c r="K3525" s="74" t="s">
        <v>204</v>
      </c>
      <c r="L3525" s="97" t="s">
        <v>11351</v>
      </c>
      <c r="N3525" s="76" t="s">
        <v>19</v>
      </c>
      <c r="Q3525" s="76" t="s">
        <v>2142</v>
      </c>
      <c r="R3525" s="73">
        <f t="shared" si="406"/>
        <v>1</v>
      </c>
      <c r="S3525" s="260" t="s">
        <v>1976</v>
      </c>
      <c r="T3525" s="260" t="s">
        <v>924</v>
      </c>
      <c r="Y3525" s="566">
        <v>0.60687499999999994</v>
      </c>
      <c r="Z3525" s="566">
        <v>0.6116435185185185</v>
      </c>
      <c r="AA3525" s="566">
        <f t="shared" si="407"/>
        <v>4.7685185185185608E-3</v>
      </c>
    </row>
    <row r="3526" spans="1:27" x14ac:dyDescent="0.3">
      <c r="A3526" s="79" t="s">
        <v>11265</v>
      </c>
      <c r="C3526" s="115">
        <v>44092</v>
      </c>
      <c r="D3526" s="312">
        <v>44113</v>
      </c>
      <c r="E3526" s="81">
        <v>44106</v>
      </c>
      <c r="F3526" s="86" t="s">
        <v>11342</v>
      </c>
      <c r="G3526" s="86" t="s">
        <v>152</v>
      </c>
      <c r="H3526" s="96" t="s">
        <v>213</v>
      </c>
      <c r="I3526" s="97" t="s">
        <v>3222</v>
      </c>
      <c r="J3526" s="73">
        <f t="shared" si="405"/>
        <v>1</v>
      </c>
      <c r="K3526" s="74" t="s">
        <v>204</v>
      </c>
      <c r="L3526" s="97" t="s">
        <v>11397</v>
      </c>
      <c r="Q3526" s="76" t="s">
        <v>2076</v>
      </c>
      <c r="R3526" s="73">
        <f t="shared" si="406"/>
        <v>1</v>
      </c>
      <c r="S3526" s="260" t="s">
        <v>1976</v>
      </c>
      <c r="T3526" s="260" t="s">
        <v>925</v>
      </c>
      <c r="U3526" s="76" t="s">
        <v>5283</v>
      </c>
      <c r="V3526" s="301" t="s">
        <v>11398</v>
      </c>
      <c r="Y3526" s="566">
        <v>0.46810185185185182</v>
      </c>
      <c r="Z3526" s="566">
        <v>0.48524305555555558</v>
      </c>
      <c r="AA3526" s="566">
        <f t="shared" si="407"/>
        <v>1.7141203703703756E-2</v>
      </c>
    </row>
    <row r="3527" spans="1:27" x14ac:dyDescent="0.3">
      <c r="A3527" s="96" t="s">
        <v>11360</v>
      </c>
      <c r="C3527" s="81">
        <v>44082</v>
      </c>
      <c r="D3527" s="109">
        <v>44103</v>
      </c>
      <c r="E3527" s="81">
        <v>44103</v>
      </c>
      <c r="F3527" s="97" t="s">
        <v>11361</v>
      </c>
      <c r="G3527" s="97" t="s">
        <v>172</v>
      </c>
      <c r="H3527" s="96" t="s">
        <v>213</v>
      </c>
      <c r="I3527" s="97" t="s">
        <v>642</v>
      </c>
      <c r="J3527" s="73">
        <f t="shared" ref="J3527:J3529" si="408">IF(OR(K3527="Документы готовы",K3527="Запрос в ФО",K3527="ЭЗ",K3527="РЕШ",K3527="РЕШ шаблон"),0.1,IF(OR(K3527="ЭЗ согласование",K3527="РЕШ согласование"),0.3,IF(OR(K3527="ЭЗ согласовано",K3527="РЕШ согласовано",K3527="РЕШ подписано"),0.6,IF(OR(K3527="ЭЗ ПР согласование",K3527="РЕШ УВ согласование"),0.9,IF(OR(K3527="ЭЗ ПР DONE",K3527="РЕШ УВ DONE"),1,0)))))</f>
        <v>1</v>
      </c>
      <c r="K3527" s="74" t="s">
        <v>204</v>
      </c>
      <c r="L3527" s="97" t="s">
        <v>7110</v>
      </c>
      <c r="N3527" s="76" t="s">
        <v>18</v>
      </c>
      <c r="Q3527" s="76" t="s">
        <v>2076</v>
      </c>
      <c r="R3527" s="73">
        <f t="shared" ref="R3527:R3529" si="409">IF(S3527="В работе",0.3,IF(S3527="Отписано",0.6,IF(S3527="На доработку",0.9,IF(S3527="Согласовано",1,0))))</f>
        <v>1</v>
      </c>
      <c r="S3527" s="260" t="s">
        <v>1976</v>
      </c>
      <c r="T3527" s="260" t="s">
        <v>925</v>
      </c>
      <c r="Y3527" s="566">
        <v>0.65093750000000006</v>
      </c>
      <c r="Z3527" s="566">
        <v>0.6541203703703703</v>
      </c>
      <c r="AA3527" s="566">
        <f t="shared" ref="AA3527:AA3582" si="410">Z3527-Y3527</f>
        <v>3.1828703703702388E-3</v>
      </c>
    </row>
    <row r="3528" spans="1:27" x14ac:dyDescent="0.3">
      <c r="A3528" s="96" t="s">
        <v>11364</v>
      </c>
      <c r="C3528" s="81">
        <v>44070</v>
      </c>
      <c r="D3528" s="109">
        <v>44105</v>
      </c>
      <c r="E3528" s="81">
        <v>44104</v>
      </c>
      <c r="F3528" s="97" t="s">
        <v>11365</v>
      </c>
      <c r="G3528" s="97" t="s">
        <v>152</v>
      </c>
      <c r="H3528" s="96" t="s">
        <v>213</v>
      </c>
      <c r="I3528" s="97" t="s">
        <v>645</v>
      </c>
      <c r="J3528" s="73">
        <f t="shared" si="408"/>
        <v>1</v>
      </c>
      <c r="K3528" s="74" t="s">
        <v>204</v>
      </c>
      <c r="L3528" s="97" t="s">
        <v>7582</v>
      </c>
      <c r="N3528" s="76" t="s">
        <v>18</v>
      </c>
      <c r="Q3528" s="76" t="s">
        <v>2142</v>
      </c>
      <c r="R3528" s="73">
        <f t="shared" si="409"/>
        <v>1</v>
      </c>
      <c r="S3528" s="260" t="s">
        <v>1976</v>
      </c>
      <c r="T3528" s="260" t="s">
        <v>924</v>
      </c>
      <c r="Y3528" s="566">
        <v>0.48320601851851852</v>
      </c>
      <c r="Z3528" s="566">
        <v>0.49774305555555554</v>
      </c>
      <c r="AA3528" s="566">
        <f t="shared" si="410"/>
        <v>1.4537037037037015E-2</v>
      </c>
    </row>
    <row r="3529" spans="1:27" x14ac:dyDescent="0.3">
      <c r="A3529" s="79" t="s">
        <v>11402</v>
      </c>
      <c r="C3529" s="115">
        <v>44061</v>
      </c>
      <c r="D3529" s="312">
        <v>44117</v>
      </c>
      <c r="E3529" s="81">
        <v>44111</v>
      </c>
      <c r="F3529" s="86" t="s">
        <v>11495</v>
      </c>
      <c r="G3529" s="97" t="s">
        <v>189</v>
      </c>
      <c r="H3529" s="96" t="s">
        <v>213</v>
      </c>
      <c r="I3529" s="97" t="s">
        <v>714</v>
      </c>
      <c r="J3529" s="73">
        <f t="shared" si="408"/>
        <v>1</v>
      </c>
      <c r="K3529" s="74" t="s">
        <v>204</v>
      </c>
      <c r="L3529" s="97" t="s">
        <v>11607</v>
      </c>
      <c r="N3529" s="76" t="s">
        <v>17</v>
      </c>
      <c r="Q3529" s="76" t="s">
        <v>2037</v>
      </c>
      <c r="R3529" s="73">
        <f t="shared" si="409"/>
        <v>1</v>
      </c>
      <c r="S3529" s="260" t="s">
        <v>1976</v>
      </c>
      <c r="T3529" s="260" t="s">
        <v>923</v>
      </c>
      <c r="Y3529" s="566">
        <v>0.43363425925925925</v>
      </c>
      <c r="Z3529" s="566">
        <v>0.44513888888888892</v>
      </c>
      <c r="AA3529" s="566">
        <f t="shared" si="410"/>
        <v>1.150462962962967E-2</v>
      </c>
    </row>
    <row r="3530" spans="1:27" x14ac:dyDescent="0.3">
      <c r="A3530" s="79" t="s">
        <v>11403</v>
      </c>
      <c r="C3530" s="115">
        <v>44067</v>
      </c>
      <c r="D3530" s="312">
        <v>44116</v>
      </c>
      <c r="E3530" s="81">
        <v>44109</v>
      </c>
      <c r="F3530" s="86" t="s">
        <v>11496</v>
      </c>
      <c r="G3530" s="86" t="s">
        <v>147</v>
      </c>
      <c r="H3530" s="96" t="s">
        <v>213</v>
      </c>
      <c r="I3530" s="97" t="s">
        <v>657</v>
      </c>
      <c r="J3530" s="73">
        <f t="shared" ref="J3530:J3584" si="411">IF(OR(K3530="Документы готовы",K3530="Запрос в ФО",K3530="ЭЗ",K3530="РЕШ",K3530="РЕШ шаблон"),0.1,IF(OR(K3530="ЭЗ согласование",K3530="РЕШ согласование"),0.3,IF(OR(K3530="ЭЗ согласовано",K3530="РЕШ согласовано",K3530="РЕШ подписано"),0.6,IF(OR(K3530="ЭЗ ПР согласование",K3530="РЕШ УВ согласование"),0.9,IF(OR(K3530="ЭЗ ПР DONE",K3530="РЕШ УВ DONE"),1,0)))))</f>
        <v>1</v>
      </c>
      <c r="K3530" s="74" t="s">
        <v>204</v>
      </c>
      <c r="L3530" s="97" t="s">
        <v>11585</v>
      </c>
      <c r="N3530" s="76" t="s">
        <v>17</v>
      </c>
      <c r="Q3530" s="76" t="s">
        <v>2037</v>
      </c>
      <c r="R3530" s="73">
        <f t="shared" ref="R3530:R3584" si="412">IF(S3530="В работе",0.3,IF(S3530="Отписано",0.6,IF(S3530="На доработку",0.9,IF(S3530="Согласовано",1,0))))</f>
        <v>1</v>
      </c>
      <c r="S3530" s="260" t="s">
        <v>1976</v>
      </c>
      <c r="T3530" s="260" t="s">
        <v>925</v>
      </c>
      <c r="Y3530" s="566">
        <v>0.46458333333333335</v>
      </c>
      <c r="Z3530" s="566">
        <v>0.47468749999999998</v>
      </c>
      <c r="AA3530" s="566">
        <f t="shared" si="410"/>
        <v>1.0104166666666636E-2</v>
      </c>
    </row>
    <row r="3531" spans="1:27" x14ac:dyDescent="0.3">
      <c r="A3531" s="79" t="s">
        <v>11404</v>
      </c>
      <c r="C3531" s="115">
        <v>44070</v>
      </c>
      <c r="D3531" s="312">
        <v>44119</v>
      </c>
      <c r="E3531" s="81">
        <v>44112</v>
      </c>
      <c r="F3531" s="86" t="s">
        <v>11497</v>
      </c>
      <c r="G3531" s="86" t="s">
        <v>172</v>
      </c>
      <c r="H3531" s="96" t="s">
        <v>213</v>
      </c>
      <c r="I3531" s="97" t="s">
        <v>714</v>
      </c>
      <c r="J3531" s="73">
        <f t="shared" si="411"/>
        <v>1</v>
      </c>
      <c r="K3531" s="74" t="s">
        <v>204</v>
      </c>
      <c r="L3531" s="97" t="s">
        <v>7332</v>
      </c>
      <c r="N3531" s="76" t="s">
        <v>17</v>
      </c>
      <c r="Q3531" s="76" t="s">
        <v>5193</v>
      </c>
      <c r="R3531" s="73">
        <f t="shared" si="412"/>
        <v>1</v>
      </c>
      <c r="S3531" s="260" t="s">
        <v>1976</v>
      </c>
      <c r="T3531" s="260" t="s">
        <v>923</v>
      </c>
      <c r="U3531" s="76" t="s">
        <v>5283</v>
      </c>
      <c r="V3531" s="301" t="s">
        <v>11623</v>
      </c>
      <c r="Y3531" s="566">
        <v>0.70546296296296296</v>
      </c>
      <c r="Z3531" s="566">
        <v>0.73579861111111111</v>
      </c>
      <c r="AA3531" s="566">
        <f t="shared" si="410"/>
        <v>3.0335648148148153E-2</v>
      </c>
    </row>
    <row r="3532" spans="1:27" x14ac:dyDescent="0.3">
      <c r="A3532" s="79" t="s">
        <v>11405</v>
      </c>
      <c r="C3532" s="115">
        <v>44074</v>
      </c>
      <c r="D3532" s="312">
        <v>44116</v>
      </c>
      <c r="E3532" s="81">
        <v>44109</v>
      </c>
      <c r="F3532" s="86" t="s">
        <v>7676</v>
      </c>
      <c r="G3532" s="86" t="s">
        <v>150</v>
      </c>
      <c r="H3532" s="96" t="s">
        <v>213</v>
      </c>
      <c r="I3532" s="97" t="s">
        <v>1113</v>
      </c>
      <c r="J3532" s="73">
        <f t="shared" si="411"/>
        <v>1</v>
      </c>
      <c r="K3532" s="74" t="s">
        <v>204</v>
      </c>
      <c r="L3532" s="97" t="s">
        <v>10634</v>
      </c>
      <c r="N3532" s="76" t="s">
        <v>18</v>
      </c>
      <c r="Q3532" s="76" t="s">
        <v>2142</v>
      </c>
      <c r="R3532" s="73">
        <f t="shared" si="412"/>
        <v>1</v>
      </c>
      <c r="S3532" s="260" t="s">
        <v>1976</v>
      </c>
      <c r="T3532" s="260" t="s">
        <v>925</v>
      </c>
      <c r="Y3532" s="566">
        <v>0.69641203703703702</v>
      </c>
      <c r="Z3532" s="566">
        <v>0.7038078703703704</v>
      </c>
      <c r="AA3532" s="566">
        <f t="shared" si="410"/>
        <v>7.3958333333333792E-3</v>
      </c>
    </row>
    <row r="3533" spans="1:27" x14ac:dyDescent="0.3">
      <c r="A3533" s="79" t="s">
        <v>11406</v>
      </c>
      <c r="C3533" s="115">
        <v>44075</v>
      </c>
      <c r="D3533" s="312">
        <v>44118</v>
      </c>
      <c r="E3533" s="81">
        <v>44110</v>
      </c>
      <c r="F3533" s="86" t="s">
        <v>11268</v>
      </c>
      <c r="G3533" s="86" t="s">
        <v>147</v>
      </c>
      <c r="H3533" s="96" t="s">
        <v>213</v>
      </c>
      <c r="I3533" s="97" t="s">
        <v>1204</v>
      </c>
      <c r="J3533" s="73">
        <f t="shared" si="411"/>
        <v>1</v>
      </c>
      <c r="K3533" s="74" t="s">
        <v>204</v>
      </c>
      <c r="L3533" s="97" t="s">
        <v>7872</v>
      </c>
      <c r="N3533" s="76" t="s">
        <v>18</v>
      </c>
      <c r="Q3533" s="76" t="s">
        <v>5193</v>
      </c>
      <c r="R3533" s="73">
        <f t="shared" si="412"/>
        <v>1</v>
      </c>
      <c r="S3533" s="260" t="s">
        <v>1976</v>
      </c>
      <c r="T3533" s="260" t="s">
        <v>925</v>
      </c>
      <c r="Y3533" s="566">
        <v>0.71606481481481488</v>
      </c>
      <c r="Z3533" s="566">
        <v>0.73328703703703713</v>
      </c>
      <c r="AA3533" s="566">
        <f t="shared" si="410"/>
        <v>1.722222222222225E-2</v>
      </c>
    </row>
    <row r="3534" spans="1:27" x14ac:dyDescent="0.3">
      <c r="A3534" s="79" t="s">
        <v>11407</v>
      </c>
      <c r="C3534" s="115">
        <v>44076</v>
      </c>
      <c r="D3534" s="312">
        <v>44118</v>
      </c>
      <c r="E3534" s="81">
        <v>44112</v>
      </c>
      <c r="F3534" s="86" t="s">
        <v>11498</v>
      </c>
      <c r="G3534" s="86" t="s">
        <v>154</v>
      </c>
      <c r="H3534" s="96" t="s">
        <v>213</v>
      </c>
      <c r="I3534" s="97" t="s">
        <v>649</v>
      </c>
      <c r="J3534" s="73">
        <f t="shared" si="411"/>
        <v>1</v>
      </c>
      <c r="K3534" s="74" t="s">
        <v>204</v>
      </c>
      <c r="L3534" s="97" t="s">
        <v>7060</v>
      </c>
      <c r="N3534" s="76" t="s">
        <v>17</v>
      </c>
      <c r="Q3534" s="76" t="s">
        <v>5193</v>
      </c>
      <c r="R3534" s="73">
        <f t="shared" si="412"/>
        <v>1</v>
      </c>
      <c r="S3534" s="260" t="s">
        <v>1976</v>
      </c>
      <c r="T3534" s="260" t="s">
        <v>925</v>
      </c>
      <c r="Y3534" s="566">
        <v>0.40317129629629633</v>
      </c>
      <c r="Z3534" s="566">
        <v>0.42702546296296301</v>
      </c>
      <c r="AA3534" s="566">
        <f t="shared" si="410"/>
        <v>2.3854166666666676E-2</v>
      </c>
    </row>
    <row r="3535" spans="1:27" x14ac:dyDescent="0.3">
      <c r="A3535" s="79" t="s">
        <v>11408</v>
      </c>
      <c r="C3535" s="115">
        <v>44076</v>
      </c>
      <c r="D3535" s="312">
        <v>44118</v>
      </c>
      <c r="E3535" s="81">
        <v>44112</v>
      </c>
      <c r="F3535" s="86" t="s">
        <v>7676</v>
      </c>
      <c r="G3535" s="86" t="s">
        <v>150</v>
      </c>
      <c r="H3535" s="96" t="s">
        <v>213</v>
      </c>
      <c r="I3535" s="97" t="s">
        <v>1113</v>
      </c>
      <c r="J3535" s="73">
        <f t="shared" si="411"/>
        <v>1</v>
      </c>
      <c r="K3535" s="74" t="s">
        <v>204</v>
      </c>
      <c r="L3535" s="97" t="s">
        <v>10634</v>
      </c>
      <c r="N3535" s="76" t="s">
        <v>18</v>
      </c>
      <c r="Q3535" s="76" t="s">
        <v>5193</v>
      </c>
      <c r="R3535" s="73">
        <f t="shared" si="412"/>
        <v>1</v>
      </c>
      <c r="S3535" s="260" t="s">
        <v>1976</v>
      </c>
      <c r="T3535" s="260" t="s">
        <v>923</v>
      </c>
      <c r="Y3535" s="566">
        <v>0.42743055555555554</v>
      </c>
      <c r="Z3535" s="566">
        <v>0.43061342592592594</v>
      </c>
      <c r="AA3535" s="566">
        <f t="shared" si="410"/>
        <v>3.1828703703704053E-3</v>
      </c>
    </row>
    <row r="3536" spans="1:27" x14ac:dyDescent="0.3">
      <c r="A3536" s="79" t="s">
        <v>11409</v>
      </c>
      <c r="C3536" s="115">
        <v>44078</v>
      </c>
      <c r="D3536" s="312">
        <v>44120</v>
      </c>
      <c r="E3536" s="81">
        <v>44117</v>
      </c>
      <c r="F3536" s="86" t="s">
        <v>7676</v>
      </c>
      <c r="G3536" s="86" t="s">
        <v>150</v>
      </c>
      <c r="H3536" s="96" t="s">
        <v>213</v>
      </c>
      <c r="I3536" s="97" t="s">
        <v>1113</v>
      </c>
      <c r="J3536" s="73">
        <f t="shared" si="411"/>
        <v>1</v>
      </c>
      <c r="K3536" s="74" t="s">
        <v>204</v>
      </c>
      <c r="L3536" s="97" t="s">
        <v>10634</v>
      </c>
      <c r="N3536" s="76" t="s">
        <v>18</v>
      </c>
      <c r="Q3536" s="76" t="s">
        <v>5193</v>
      </c>
      <c r="R3536" s="73">
        <f t="shared" si="412"/>
        <v>1</v>
      </c>
      <c r="S3536" s="260" t="s">
        <v>1976</v>
      </c>
      <c r="T3536" s="260" t="s">
        <v>925</v>
      </c>
      <c r="Y3536" s="566">
        <v>0.48348379629629629</v>
      </c>
      <c r="Z3536" s="566">
        <v>0.48841435185185184</v>
      </c>
      <c r="AA3536" s="566">
        <f t="shared" si="410"/>
        <v>4.9305555555555491E-3</v>
      </c>
    </row>
    <row r="3537" spans="1:27" x14ac:dyDescent="0.3">
      <c r="A3537" s="79" t="s">
        <v>11410</v>
      </c>
      <c r="C3537" s="115">
        <v>44078</v>
      </c>
      <c r="D3537" s="312">
        <v>44120</v>
      </c>
      <c r="E3537" s="81">
        <v>44113</v>
      </c>
      <c r="F3537" s="86" t="s">
        <v>7676</v>
      </c>
      <c r="G3537" s="86" t="s">
        <v>150</v>
      </c>
      <c r="H3537" s="96" t="s">
        <v>213</v>
      </c>
      <c r="I3537" s="97" t="s">
        <v>1113</v>
      </c>
      <c r="J3537" s="73">
        <f t="shared" si="411"/>
        <v>1</v>
      </c>
      <c r="K3537" s="74" t="s">
        <v>204</v>
      </c>
      <c r="L3537" s="97" t="s">
        <v>10634</v>
      </c>
      <c r="N3537" s="76" t="s">
        <v>18</v>
      </c>
      <c r="Q3537" s="76" t="s">
        <v>2142</v>
      </c>
      <c r="R3537" s="73">
        <f t="shared" si="412"/>
        <v>1</v>
      </c>
      <c r="S3537" s="260" t="s">
        <v>1976</v>
      </c>
      <c r="T3537" s="260" t="s">
        <v>923</v>
      </c>
      <c r="Y3537" s="566">
        <v>0.54297453703703702</v>
      </c>
      <c r="Z3537" s="566">
        <v>0.6045949074074074</v>
      </c>
      <c r="AA3537" s="566">
        <f t="shared" si="410"/>
        <v>6.1620370370370381E-2</v>
      </c>
    </row>
    <row r="3538" spans="1:27" x14ac:dyDescent="0.3">
      <c r="A3538" s="79" t="s">
        <v>11411</v>
      </c>
      <c r="C3538" s="115">
        <v>44078</v>
      </c>
      <c r="D3538" s="312">
        <v>44116</v>
      </c>
      <c r="E3538" s="81">
        <v>44109</v>
      </c>
      <c r="F3538" s="86" t="s">
        <v>11499</v>
      </c>
      <c r="G3538" s="86" t="s">
        <v>1682</v>
      </c>
      <c r="H3538" s="96" t="s">
        <v>213</v>
      </c>
      <c r="I3538" s="97" t="s">
        <v>10990</v>
      </c>
      <c r="J3538" s="73">
        <f t="shared" si="411"/>
        <v>1</v>
      </c>
      <c r="K3538" s="74" t="s">
        <v>204</v>
      </c>
      <c r="L3538" s="97" t="s">
        <v>11588</v>
      </c>
      <c r="Q3538" s="76" t="s">
        <v>2037</v>
      </c>
      <c r="R3538" s="73">
        <f t="shared" si="412"/>
        <v>1</v>
      </c>
      <c r="S3538" s="260" t="s">
        <v>1976</v>
      </c>
      <c r="T3538" s="260" t="s">
        <v>925</v>
      </c>
      <c r="U3538" s="76" t="s">
        <v>5283</v>
      </c>
      <c r="V3538" s="301" t="s">
        <v>11589</v>
      </c>
      <c r="Y3538" s="566">
        <v>0.56724537037037037</v>
      </c>
      <c r="Z3538" s="566">
        <v>0.57495370370370369</v>
      </c>
      <c r="AA3538" s="566">
        <f t="shared" si="410"/>
        <v>7.7083333333333171E-3</v>
      </c>
    </row>
    <row r="3539" spans="1:27" x14ac:dyDescent="0.3">
      <c r="A3539" s="79" t="s">
        <v>11412</v>
      </c>
      <c r="C3539" s="115">
        <v>44078</v>
      </c>
      <c r="D3539" s="312">
        <v>44116</v>
      </c>
      <c r="E3539" s="81">
        <v>44110</v>
      </c>
      <c r="F3539" s="86" t="s">
        <v>11500</v>
      </c>
      <c r="G3539" s="86" t="s">
        <v>152</v>
      </c>
      <c r="H3539" s="96" t="s">
        <v>213</v>
      </c>
      <c r="I3539" s="97" t="s">
        <v>714</v>
      </c>
      <c r="J3539" s="73">
        <f t="shared" si="411"/>
        <v>1</v>
      </c>
      <c r="K3539" s="74" t="s">
        <v>204</v>
      </c>
      <c r="L3539" s="97" t="s">
        <v>7072</v>
      </c>
      <c r="N3539" s="76" t="s">
        <v>17</v>
      </c>
      <c r="Q3539" s="76" t="s">
        <v>5193</v>
      </c>
      <c r="R3539" s="73">
        <f t="shared" si="412"/>
        <v>1</v>
      </c>
      <c r="S3539" s="260" t="s">
        <v>1976</v>
      </c>
      <c r="T3539" s="260" t="s">
        <v>924</v>
      </c>
      <c r="Y3539" s="566">
        <v>0.46937500000000004</v>
      </c>
      <c r="Z3539" s="566">
        <v>0.47650462962962964</v>
      </c>
      <c r="AA3539" s="566">
        <f t="shared" si="410"/>
        <v>7.1296296296295969E-3</v>
      </c>
    </row>
    <row r="3540" spans="1:27" x14ac:dyDescent="0.3">
      <c r="A3540" s="79" t="s">
        <v>11413</v>
      </c>
      <c r="C3540" s="115">
        <v>44081</v>
      </c>
      <c r="D3540" s="312">
        <v>44116</v>
      </c>
      <c r="E3540" s="81">
        <v>44110</v>
      </c>
      <c r="F3540" s="86" t="s">
        <v>11501</v>
      </c>
      <c r="G3540" s="86" t="s">
        <v>172</v>
      </c>
      <c r="H3540" s="96" t="s">
        <v>213</v>
      </c>
      <c r="I3540" s="97" t="s">
        <v>755</v>
      </c>
      <c r="J3540" s="73">
        <f t="shared" si="411"/>
        <v>1</v>
      </c>
      <c r="K3540" s="74" t="s">
        <v>204</v>
      </c>
      <c r="L3540" s="97" t="s">
        <v>11592</v>
      </c>
      <c r="N3540" s="76" t="s">
        <v>17</v>
      </c>
      <c r="Q3540" s="76" t="s">
        <v>11580</v>
      </c>
      <c r="R3540" s="73">
        <f t="shared" si="412"/>
        <v>1</v>
      </c>
      <c r="S3540" s="260" t="s">
        <v>1976</v>
      </c>
      <c r="T3540" s="260" t="s">
        <v>925</v>
      </c>
      <c r="Y3540" s="566">
        <v>0.4486342592592592</v>
      </c>
      <c r="Z3540" s="566">
        <v>0.4650347222222222</v>
      </c>
      <c r="AA3540" s="566">
        <f t="shared" si="410"/>
        <v>1.6400462962962992E-2</v>
      </c>
    </row>
    <row r="3541" spans="1:27" x14ac:dyDescent="0.3">
      <c r="A3541" s="79" t="s">
        <v>11414</v>
      </c>
      <c r="C3541" s="115">
        <v>44081</v>
      </c>
      <c r="D3541" s="312">
        <v>44116</v>
      </c>
      <c r="E3541" s="81">
        <v>44110</v>
      </c>
      <c r="F3541" s="86" t="s">
        <v>11502</v>
      </c>
      <c r="G3541" s="86" t="s">
        <v>147</v>
      </c>
      <c r="H3541" s="96" t="s">
        <v>213</v>
      </c>
      <c r="I3541" s="97" t="s">
        <v>4963</v>
      </c>
      <c r="J3541" s="73">
        <f t="shared" si="411"/>
        <v>1</v>
      </c>
      <c r="K3541" s="74" t="s">
        <v>204</v>
      </c>
      <c r="L3541" s="97" t="s">
        <v>7578</v>
      </c>
      <c r="N3541" s="76" t="s">
        <v>19</v>
      </c>
      <c r="Q3541" s="76" t="s">
        <v>2076</v>
      </c>
      <c r="R3541" s="73">
        <f t="shared" si="412"/>
        <v>1</v>
      </c>
      <c r="S3541" s="260" t="s">
        <v>1976</v>
      </c>
      <c r="T3541" s="260" t="s">
        <v>923</v>
      </c>
      <c r="Y3541" s="566">
        <v>0.6228703703703703</v>
      </c>
      <c r="Z3541" s="566">
        <v>0.62681712962962965</v>
      </c>
      <c r="AA3541" s="566">
        <f t="shared" si="410"/>
        <v>3.9467592592593581E-3</v>
      </c>
    </row>
    <row r="3542" spans="1:27" x14ac:dyDescent="0.3">
      <c r="A3542" s="79" t="s">
        <v>11415</v>
      </c>
      <c r="C3542" s="115">
        <v>44081</v>
      </c>
      <c r="D3542" s="312">
        <v>44116</v>
      </c>
      <c r="E3542" s="81">
        <v>44112</v>
      </c>
      <c r="F3542" s="86" t="s">
        <v>11503</v>
      </c>
      <c r="G3542" s="86" t="s">
        <v>164</v>
      </c>
      <c r="H3542" s="96" t="s">
        <v>213</v>
      </c>
      <c r="I3542" s="97" t="s">
        <v>645</v>
      </c>
      <c r="J3542" s="73">
        <f t="shared" si="411"/>
        <v>1</v>
      </c>
      <c r="K3542" s="74" t="s">
        <v>204</v>
      </c>
      <c r="L3542" s="97" t="s">
        <v>11625</v>
      </c>
      <c r="N3542" s="76" t="s">
        <v>17</v>
      </c>
      <c r="Q3542" s="76" t="s">
        <v>2142</v>
      </c>
      <c r="R3542" s="73">
        <f t="shared" si="412"/>
        <v>1</v>
      </c>
      <c r="S3542" s="260" t="s">
        <v>1976</v>
      </c>
      <c r="T3542" s="260" t="s">
        <v>924</v>
      </c>
      <c r="Y3542" s="566">
        <v>0.93212962962962964</v>
      </c>
      <c r="Z3542" s="566">
        <v>0.96706018518518511</v>
      </c>
      <c r="AA3542" s="566">
        <f t="shared" si="410"/>
        <v>3.4930555555555465E-2</v>
      </c>
    </row>
    <row r="3543" spans="1:27" x14ac:dyDescent="0.3">
      <c r="A3543" s="79" t="s">
        <v>11416</v>
      </c>
      <c r="C3543" s="115">
        <v>44081</v>
      </c>
      <c r="D3543" s="312">
        <v>44116</v>
      </c>
      <c r="E3543" s="81">
        <v>44110</v>
      </c>
      <c r="F3543" s="86" t="s">
        <v>11504</v>
      </c>
      <c r="G3543" s="86" t="s">
        <v>150</v>
      </c>
      <c r="H3543" s="96" t="s">
        <v>213</v>
      </c>
      <c r="I3543" s="97" t="s">
        <v>722</v>
      </c>
      <c r="J3543" s="73">
        <f t="shared" si="411"/>
        <v>1</v>
      </c>
      <c r="K3543" s="74" t="s">
        <v>204</v>
      </c>
      <c r="L3543" s="97" t="s">
        <v>11593</v>
      </c>
      <c r="N3543" s="76" t="s">
        <v>17</v>
      </c>
      <c r="Q3543" s="76" t="s">
        <v>5193</v>
      </c>
      <c r="R3543" s="73">
        <f t="shared" si="412"/>
        <v>1</v>
      </c>
      <c r="S3543" s="260" t="s">
        <v>1976</v>
      </c>
      <c r="T3543" s="260" t="s">
        <v>925</v>
      </c>
      <c r="Y3543" s="566">
        <v>0.47706018518518517</v>
      </c>
      <c r="Z3543" s="566">
        <v>0.48618055555555556</v>
      </c>
      <c r="AA3543" s="566">
        <f t="shared" si="410"/>
        <v>9.1203703703703898E-3</v>
      </c>
    </row>
    <row r="3544" spans="1:27" x14ac:dyDescent="0.3">
      <c r="A3544" s="79" t="s">
        <v>11417</v>
      </c>
      <c r="C3544" s="115">
        <v>44081</v>
      </c>
      <c r="D3544" s="312">
        <v>44116</v>
      </c>
      <c r="E3544" s="81">
        <v>44109</v>
      </c>
      <c r="F3544" s="86" t="s">
        <v>11505</v>
      </c>
      <c r="G3544" s="86" t="s">
        <v>166</v>
      </c>
      <c r="H3544" s="96" t="s">
        <v>213</v>
      </c>
      <c r="I3544" s="97" t="s">
        <v>714</v>
      </c>
      <c r="J3544" s="73">
        <f t="shared" si="411"/>
        <v>1</v>
      </c>
      <c r="K3544" s="74" t="s">
        <v>204</v>
      </c>
      <c r="L3544" s="97" t="s">
        <v>7336</v>
      </c>
      <c r="N3544" s="76" t="s">
        <v>18</v>
      </c>
      <c r="Q3544" s="76" t="s">
        <v>11580</v>
      </c>
      <c r="R3544" s="73">
        <f t="shared" si="412"/>
        <v>1</v>
      </c>
      <c r="S3544" s="260" t="s">
        <v>1976</v>
      </c>
      <c r="T3544" s="260" t="s">
        <v>925</v>
      </c>
      <c r="Y3544" s="566">
        <v>0.65973379629629625</v>
      </c>
      <c r="Z3544" s="566">
        <v>0.66802083333333329</v>
      </c>
      <c r="AA3544" s="566">
        <f t="shared" si="410"/>
        <v>8.2870370370370372E-3</v>
      </c>
    </row>
    <row r="3545" spans="1:27" x14ac:dyDescent="0.3">
      <c r="A3545" s="79" t="s">
        <v>11418</v>
      </c>
      <c r="C3545" s="115">
        <v>44081</v>
      </c>
      <c r="D3545" s="312">
        <v>44116</v>
      </c>
      <c r="E3545" s="81">
        <v>44110</v>
      </c>
      <c r="F3545" s="86" t="s">
        <v>11506</v>
      </c>
      <c r="G3545" s="86" t="s">
        <v>150</v>
      </c>
      <c r="H3545" s="96" t="s">
        <v>213</v>
      </c>
      <c r="I3545" s="97" t="s">
        <v>3796</v>
      </c>
      <c r="J3545" s="73">
        <f t="shared" si="411"/>
        <v>1</v>
      </c>
      <c r="K3545" s="74" t="s">
        <v>204</v>
      </c>
      <c r="L3545" s="97" t="s">
        <v>11595</v>
      </c>
      <c r="N3545" s="76" t="s">
        <v>18</v>
      </c>
      <c r="Q3545" s="76" t="s">
        <v>2076</v>
      </c>
      <c r="R3545" s="73">
        <f t="shared" si="412"/>
        <v>1</v>
      </c>
      <c r="S3545" s="260" t="s">
        <v>1976</v>
      </c>
      <c r="T3545" s="260" t="s">
        <v>923</v>
      </c>
      <c r="U3545" s="76" t="s">
        <v>5283</v>
      </c>
      <c r="V3545" s="301" t="s">
        <v>11596</v>
      </c>
      <c r="Y3545" s="566">
        <v>0.61099537037037044</v>
      </c>
      <c r="Z3545" s="566">
        <v>0.62209490740740747</v>
      </c>
      <c r="AA3545" s="566">
        <f t="shared" si="410"/>
        <v>1.1099537037037033E-2</v>
      </c>
    </row>
    <row r="3546" spans="1:27" x14ac:dyDescent="0.3">
      <c r="A3546" s="79" t="s">
        <v>11419</v>
      </c>
      <c r="C3546" s="115">
        <v>44081</v>
      </c>
      <c r="D3546" s="312">
        <v>44116</v>
      </c>
      <c r="E3546" s="81">
        <v>44110</v>
      </c>
      <c r="F3546" s="86" t="s">
        <v>11507</v>
      </c>
      <c r="G3546" s="86" t="s">
        <v>2652</v>
      </c>
      <c r="H3546" s="96" t="s">
        <v>213</v>
      </c>
      <c r="I3546" s="97" t="s">
        <v>722</v>
      </c>
      <c r="J3546" s="73">
        <f t="shared" si="411"/>
        <v>1</v>
      </c>
      <c r="K3546" s="74" t="s">
        <v>204</v>
      </c>
      <c r="L3546" s="97" t="s">
        <v>7358</v>
      </c>
      <c r="N3546" s="76" t="s">
        <v>18</v>
      </c>
      <c r="Q3546" s="76" t="s">
        <v>5193</v>
      </c>
      <c r="R3546" s="73">
        <f t="shared" si="412"/>
        <v>1</v>
      </c>
      <c r="S3546" s="260" t="s">
        <v>1976</v>
      </c>
      <c r="T3546" s="260" t="s">
        <v>923</v>
      </c>
      <c r="Y3546" s="566">
        <v>0.48671296296296296</v>
      </c>
      <c r="Z3546" s="566">
        <v>0.49236111111111108</v>
      </c>
      <c r="AA3546" s="566">
        <f t="shared" si="410"/>
        <v>5.6481481481481244E-3</v>
      </c>
    </row>
    <row r="3547" spans="1:27" x14ac:dyDescent="0.3">
      <c r="A3547" s="79" t="s">
        <v>11420</v>
      </c>
      <c r="C3547" s="115">
        <v>44081</v>
      </c>
      <c r="D3547" s="312">
        <v>44116</v>
      </c>
      <c r="E3547" s="81">
        <v>44110</v>
      </c>
      <c r="F3547" s="86" t="s">
        <v>11508</v>
      </c>
      <c r="G3547" s="86" t="s">
        <v>152</v>
      </c>
      <c r="H3547" s="96" t="s">
        <v>213</v>
      </c>
      <c r="I3547" s="97" t="s">
        <v>645</v>
      </c>
      <c r="J3547" s="73">
        <f t="shared" si="411"/>
        <v>1</v>
      </c>
      <c r="K3547" s="74" t="s">
        <v>204</v>
      </c>
      <c r="L3547" s="97" t="s">
        <v>7117</v>
      </c>
      <c r="N3547" s="76" t="s">
        <v>17</v>
      </c>
      <c r="Q3547" s="76" t="s">
        <v>2142</v>
      </c>
      <c r="R3547" s="73">
        <f t="shared" si="412"/>
        <v>1</v>
      </c>
      <c r="S3547" s="260" t="s">
        <v>1976</v>
      </c>
      <c r="T3547" s="260" t="s">
        <v>924</v>
      </c>
      <c r="Y3547" s="566">
        <v>0.73956018518518529</v>
      </c>
      <c r="Z3547" s="566">
        <v>0.75239583333333337</v>
      </c>
      <c r="AA3547" s="566">
        <f t="shared" si="410"/>
        <v>1.2835648148148082E-2</v>
      </c>
    </row>
    <row r="3548" spans="1:27" x14ac:dyDescent="0.3">
      <c r="A3548" s="79" t="s">
        <v>11421</v>
      </c>
      <c r="C3548" s="115">
        <v>44081</v>
      </c>
      <c r="D3548" s="312">
        <v>44116</v>
      </c>
      <c r="E3548" s="81">
        <v>44109</v>
      </c>
      <c r="F3548" s="86" t="s">
        <v>11509</v>
      </c>
      <c r="G3548" s="86" t="s">
        <v>147</v>
      </c>
      <c r="H3548" s="96" t="s">
        <v>213</v>
      </c>
      <c r="I3548" s="97" t="s">
        <v>642</v>
      </c>
      <c r="J3548" s="73">
        <f t="shared" si="411"/>
        <v>1</v>
      </c>
      <c r="K3548" s="74" t="s">
        <v>204</v>
      </c>
      <c r="L3548" s="97" t="s">
        <v>10668</v>
      </c>
      <c r="N3548" s="76" t="s">
        <v>18</v>
      </c>
      <c r="Q3548" s="76" t="s">
        <v>2037</v>
      </c>
      <c r="R3548" s="73">
        <f t="shared" si="412"/>
        <v>1</v>
      </c>
      <c r="S3548" s="260" t="s">
        <v>1976</v>
      </c>
      <c r="T3548" s="260" t="s">
        <v>924</v>
      </c>
      <c r="X3548" s="301" t="s">
        <v>11604</v>
      </c>
      <c r="Y3548" s="566">
        <v>0.57592592592592595</v>
      </c>
      <c r="Z3548" s="566">
        <v>0.59912037037037036</v>
      </c>
      <c r="AA3548" s="566">
        <f t="shared" si="410"/>
        <v>2.3194444444444406E-2</v>
      </c>
    </row>
    <row r="3549" spans="1:27" x14ac:dyDescent="0.3">
      <c r="A3549" s="79" t="s">
        <v>11422</v>
      </c>
      <c r="C3549" s="115">
        <v>44081</v>
      </c>
      <c r="D3549" s="312">
        <v>44116</v>
      </c>
      <c r="E3549" s="81">
        <v>44109</v>
      </c>
      <c r="F3549" s="86" t="s">
        <v>11510</v>
      </c>
      <c r="G3549" s="86" t="s">
        <v>152</v>
      </c>
      <c r="H3549" s="96" t="s">
        <v>213</v>
      </c>
      <c r="I3549" s="97" t="s">
        <v>642</v>
      </c>
      <c r="J3549" s="73">
        <f t="shared" si="411"/>
        <v>1</v>
      </c>
      <c r="K3549" s="74" t="s">
        <v>204</v>
      </c>
      <c r="L3549" s="97" t="s">
        <v>8035</v>
      </c>
      <c r="N3549" s="76" t="s">
        <v>18</v>
      </c>
      <c r="Q3549" s="76" t="s">
        <v>11580</v>
      </c>
      <c r="R3549" s="73">
        <f t="shared" si="412"/>
        <v>1</v>
      </c>
      <c r="S3549" s="260" t="s">
        <v>1976</v>
      </c>
      <c r="T3549" s="260" t="s">
        <v>923</v>
      </c>
      <c r="Y3549" s="566">
        <v>0.50008101851851849</v>
      </c>
      <c r="Z3549" s="566">
        <v>0.5526388888888889</v>
      </c>
      <c r="AA3549" s="566">
        <f t="shared" si="410"/>
        <v>5.2557870370370408E-2</v>
      </c>
    </row>
    <row r="3550" spans="1:27" x14ac:dyDescent="0.3">
      <c r="A3550" s="79" t="s">
        <v>11423</v>
      </c>
      <c r="C3550" s="115">
        <v>44082</v>
      </c>
      <c r="D3550" s="312">
        <v>44118</v>
      </c>
      <c r="E3550" s="81">
        <v>44112</v>
      </c>
      <c r="F3550" s="86" t="s">
        <v>11511</v>
      </c>
      <c r="G3550" s="86" t="s">
        <v>152</v>
      </c>
      <c r="H3550" s="96" t="s">
        <v>213</v>
      </c>
      <c r="I3550" s="97" t="s">
        <v>722</v>
      </c>
      <c r="J3550" s="73">
        <f t="shared" si="411"/>
        <v>1</v>
      </c>
      <c r="K3550" s="74" t="s">
        <v>204</v>
      </c>
      <c r="L3550" s="97" t="s">
        <v>7358</v>
      </c>
      <c r="N3550" s="76" t="s">
        <v>18</v>
      </c>
      <c r="Q3550" s="76" t="s">
        <v>11580</v>
      </c>
      <c r="R3550" s="73">
        <f t="shared" si="412"/>
        <v>1</v>
      </c>
      <c r="S3550" s="260" t="s">
        <v>1976</v>
      </c>
      <c r="T3550" s="260" t="s">
        <v>923</v>
      </c>
      <c r="Y3550" s="566">
        <v>0.49344907407407407</v>
      </c>
      <c r="Z3550" s="566">
        <v>0.50414351851851846</v>
      </c>
      <c r="AA3550" s="566">
        <f t="shared" si="410"/>
        <v>1.0694444444444395E-2</v>
      </c>
    </row>
    <row r="3551" spans="1:27" x14ac:dyDescent="0.3">
      <c r="A3551" s="79" t="s">
        <v>11424</v>
      </c>
      <c r="C3551" s="115">
        <v>44082</v>
      </c>
      <c r="D3551" s="312">
        <v>44117</v>
      </c>
      <c r="E3551" s="81">
        <v>44110</v>
      </c>
      <c r="F3551" s="86" t="s">
        <v>11512</v>
      </c>
      <c r="G3551" s="86" t="s">
        <v>172</v>
      </c>
      <c r="H3551" s="96" t="s">
        <v>213</v>
      </c>
      <c r="I3551" s="97" t="s">
        <v>714</v>
      </c>
      <c r="J3551" s="73">
        <f t="shared" si="411"/>
        <v>1</v>
      </c>
      <c r="K3551" s="74" t="s">
        <v>204</v>
      </c>
      <c r="L3551" s="97" t="s">
        <v>7071</v>
      </c>
      <c r="N3551" s="76" t="s">
        <v>18</v>
      </c>
      <c r="Q3551" s="76" t="s">
        <v>2142</v>
      </c>
      <c r="R3551" s="73">
        <f t="shared" si="412"/>
        <v>1</v>
      </c>
      <c r="S3551" s="260" t="s">
        <v>1976</v>
      </c>
      <c r="T3551" s="260" t="s">
        <v>923</v>
      </c>
      <c r="Y3551" s="566">
        <v>0.75320601851851843</v>
      </c>
      <c r="Z3551" s="566">
        <v>0.75950231481481489</v>
      </c>
      <c r="AA3551" s="566">
        <f t="shared" si="410"/>
        <v>6.2962962962964664E-3</v>
      </c>
    </row>
    <row r="3552" spans="1:27" x14ac:dyDescent="0.3">
      <c r="A3552" s="79" t="s">
        <v>11425</v>
      </c>
      <c r="C3552" s="115">
        <v>44082</v>
      </c>
      <c r="D3552" s="312">
        <v>44117</v>
      </c>
      <c r="E3552" s="81">
        <v>44111</v>
      </c>
      <c r="F3552" s="86" t="s">
        <v>11513</v>
      </c>
      <c r="G3552" s="86" t="s">
        <v>152</v>
      </c>
      <c r="H3552" s="96" t="s">
        <v>213</v>
      </c>
      <c r="I3552" s="97" t="s">
        <v>642</v>
      </c>
      <c r="J3552" s="73">
        <f t="shared" si="411"/>
        <v>1</v>
      </c>
      <c r="K3552" s="74" t="s">
        <v>204</v>
      </c>
      <c r="L3552" s="97" t="s">
        <v>7110</v>
      </c>
      <c r="N3552" s="76" t="s">
        <v>18</v>
      </c>
      <c r="Q3552" s="76" t="s">
        <v>2076</v>
      </c>
      <c r="R3552" s="73">
        <f t="shared" si="412"/>
        <v>1</v>
      </c>
      <c r="S3552" s="260" t="s">
        <v>1976</v>
      </c>
      <c r="T3552" s="260" t="s">
        <v>924</v>
      </c>
      <c r="Y3552" s="566">
        <v>0.66374999999999995</v>
      </c>
      <c r="Z3552" s="566">
        <v>0.66752314814814817</v>
      </c>
      <c r="AA3552" s="566">
        <f t="shared" si="410"/>
        <v>3.7731481481482199E-3</v>
      </c>
    </row>
    <row r="3553" spans="1:27" x14ac:dyDescent="0.3">
      <c r="A3553" s="79" t="s">
        <v>11426</v>
      </c>
      <c r="C3553" s="115">
        <v>44082</v>
      </c>
      <c r="D3553" s="312">
        <v>44117</v>
      </c>
      <c r="E3553" s="81">
        <v>44111</v>
      </c>
      <c r="F3553" s="86" t="s">
        <v>11514</v>
      </c>
      <c r="G3553" s="86" t="s">
        <v>164</v>
      </c>
      <c r="H3553" s="96" t="s">
        <v>213</v>
      </c>
      <c r="I3553" s="97" t="s">
        <v>714</v>
      </c>
      <c r="J3553" s="73">
        <f t="shared" si="411"/>
        <v>1</v>
      </c>
      <c r="K3553" s="74" t="s">
        <v>204</v>
      </c>
      <c r="L3553" s="97" t="s">
        <v>10207</v>
      </c>
      <c r="N3553" s="76" t="s">
        <v>18</v>
      </c>
      <c r="Q3553" s="76" t="s">
        <v>11580</v>
      </c>
      <c r="R3553" s="73">
        <f t="shared" si="412"/>
        <v>1</v>
      </c>
      <c r="S3553" s="260" t="s">
        <v>1976</v>
      </c>
      <c r="T3553" s="260" t="s">
        <v>924</v>
      </c>
      <c r="Y3553" s="566">
        <v>0.40432870370370372</v>
      </c>
      <c r="Z3553" s="566">
        <v>0.41645833333333332</v>
      </c>
      <c r="AA3553" s="566">
        <f t="shared" si="410"/>
        <v>1.2129629629629601E-2</v>
      </c>
    </row>
    <row r="3554" spans="1:27" x14ac:dyDescent="0.3">
      <c r="A3554" s="79" t="s">
        <v>11427</v>
      </c>
      <c r="C3554" s="115">
        <v>44082</v>
      </c>
      <c r="D3554" s="312">
        <v>44117</v>
      </c>
      <c r="E3554" s="81">
        <v>44111</v>
      </c>
      <c r="F3554" s="86" t="s">
        <v>11515</v>
      </c>
      <c r="G3554" s="86" t="s">
        <v>150</v>
      </c>
      <c r="H3554" s="96" t="s">
        <v>213</v>
      </c>
      <c r="I3554" s="97" t="s">
        <v>642</v>
      </c>
      <c r="J3554" s="73">
        <f t="shared" si="411"/>
        <v>1</v>
      </c>
      <c r="K3554" s="74" t="s">
        <v>204</v>
      </c>
      <c r="L3554" s="97" t="s">
        <v>9653</v>
      </c>
      <c r="N3554" s="76" t="s">
        <v>18</v>
      </c>
      <c r="Q3554" s="76" t="s">
        <v>2076</v>
      </c>
      <c r="R3554" s="73">
        <f t="shared" si="412"/>
        <v>1</v>
      </c>
      <c r="S3554" s="260" t="s">
        <v>1976</v>
      </c>
      <c r="T3554" s="260" t="s">
        <v>925</v>
      </c>
      <c r="U3554" s="76" t="s">
        <v>5283</v>
      </c>
      <c r="V3554" s="301" t="s">
        <v>11616</v>
      </c>
      <c r="Y3554" s="566">
        <v>0.67690972222222223</v>
      </c>
      <c r="Z3554" s="566">
        <v>0.68321759259259263</v>
      </c>
      <c r="AA3554" s="566">
        <f t="shared" si="410"/>
        <v>6.3078703703703942E-3</v>
      </c>
    </row>
    <row r="3555" spans="1:27" x14ac:dyDescent="0.3">
      <c r="A3555" s="79" t="s">
        <v>11428</v>
      </c>
      <c r="C3555" s="115">
        <v>44082</v>
      </c>
      <c r="D3555" s="312">
        <v>44117</v>
      </c>
      <c r="E3555" s="81">
        <v>44111</v>
      </c>
      <c r="F3555" s="86" t="s">
        <v>11516</v>
      </c>
      <c r="G3555" s="86" t="s">
        <v>9119</v>
      </c>
      <c r="H3555" s="96" t="s">
        <v>213</v>
      </c>
      <c r="I3555" s="97" t="s">
        <v>642</v>
      </c>
      <c r="J3555" s="73">
        <f t="shared" si="411"/>
        <v>1</v>
      </c>
      <c r="K3555" s="74" t="s">
        <v>204</v>
      </c>
      <c r="L3555" s="97" t="s">
        <v>7110</v>
      </c>
      <c r="N3555" s="76" t="s">
        <v>18</v>
      </c>
      <c r="Q3555" s="76" t="s">
        <v>11580</v>
      </c>
      <c r="R3555" s="73">
        <f t="shared" si="412"/>
        <v>1</v>
      </c>
      <c r="S3555" s="260" t="s">
        <v>1976</v>
      </c>
      <c r="T3555" s="260" t="s">
        <v>924</v>
      </c>
      <c r="Y3555" s="566">
        <v>0.39611111111111108</v>
      </c>
      <c r="Z3555" s="566">
        <v>0.40399305555555554</v>
      </c>
      <c r="AA3555" s="566">
        <f t="shared" si="410"/>
        <v>7.8819444444444553E-3</v>
      </c>
    </row>
    <row r="3556" spans="1:27" x14ac:dyDescent="0.3">
      <c r="A3556" s="79" t="s">
        <v>11429</v>
      </c>
      <c r="C3556" s="115">
        <v>44082</v>
      </c>
      <c r="D3556" s="312">
        <v>44117</v>
      </c>
      <c r="E3556" s="81">
        <v>44111</v>
      </c>
      <c r="F3556" s="86" t="s">
        <v>11517</v>
      </c>
      <c r="G3556" s="86" t="s">
        <v>172</v>
      </c>
      <c r="H3556" s="96" t="s">
        <v>213</v>
      </c>
      <c r="I3556" s="97" t="s">
        <v>642</v>
      </c>
      <c r="J3556" s="73">
        <f t="shared" si="411"/>
        <v>1</v>
      </c>
      <c r="K3556" s="74" t="s">
        <v>204</v>
      </c>
      <c r="L3556" s="97" t="s">
        <v>7097</v>
      </c>
      <c r="N3556" s="76" t="s">
        <v>18</v>
      </c>
      <c r="Q3556" s="76" t="s">
        <v>11580</v>
      </c>
      <c r="R3556" s="73">
        <f t="shared" si="412"/>
        <v>1</v>
      </c>
      <c r="S3556" s="260" t="s">
        <v>1976</v>
      </c>
      <c r="T3556" s="260" t="s">
        <v>923</v>
      </c>
      <c r="Y3556" s="566">
        <v>0.39086805555555554</v>
      </c>
      <c r="Z3556" s="566">
        <v>0.39526620370370374</v>
      </c>
      <c r="AA3556" s="566">
        <f t="shared" si="410"/>
        <v>4.3981481481482065E-3</v>
      </c>
    </row>
    <row r="3557" spans="1:27" x14ac:dyDescent="0.3">
      <c r="A3557" s="79" t="s">
        <v>11430</v>
      </c>
      <c r="C3557" s="115">
        <v>44082</v>
      </c>
      <c r="D3557" s="312">
        <v>44117</v>
      </c>
      <c r="E3557" s="81">
        <v>44110</v>
      </c>
      <c r="F3557" s="86" t="s">
        <v>11518</v>
      </c>
      <c r="G3557" s="86" t="s">
        <v>156</v>
      </c>
      <c r="H3557" s="96" t="s">
        <v>213</v>
      </c>
      <c r="I3557" s="97" t="s">
        <v>604</v>
      </c>
      <c r="J3557" s="73">
        <f t="shared" si="411"/>
        <v>1</v>
      </c>
      <c r="K3557" s="74" t="s">
        <v>204</v>
      </c>
      <c r="L3557" s="97" t="s">
        <v>11597</v>
      </c>
      <c r="N3557" s="76" t="s">
        <v>18</v>
      </c>
      <c r="Q3557" s="76" t="s">
        <v>5193</v>
      </c>
      <c r="R3557" s="73">
        <f t="shared" si="412"/>
        <v>1</v>
      </c>
      <c r="S3557" s="260" t="s">
        <v>1976</v>
      </c>
      <c r="T3557" s="260" t="s">
        <v>923</v>
      </c>
      <c r="Y3557" s="566">
        <v>0.63968749999999996</v>
      </c>
      <c r="Z3557" s="566">
        <v>0.64927083333333335</v>
      </c>
      <c r="AA3557" s="566">
        <f t="shared" si="410"/>
        <v>9.5833333333333881E-3</v>
      </c>
    </row>
    <row r="3558" spans="1:27" x14ac:dyDescent="0.3">
      <c r="A3558" s="79" t="s">
        <v>11431</v>
      </c>
      <c r="C3558" s="115">
        <v>44082</v>
      </c>
      <c r="D3558" s="312">
        <v>44117</v>
      </c>
      <c r="E3558" s="81">
        <v>44111</v>
      </c>
      <c r="F3558" s="86" t="s">
        <v>11519</v>
      </c>
      <c r="G3558" s="86" t="s">
        <v>9119</v>
      </c>
      <c r="H3558" s="96" t="s">
        <v>213</v>
      </c>
      <c r="I3558" s="97" t="s">
        <v>642</v>
      </c>
      <c r="J3558" s="73">
        <f t="shared" si="411"/>
        <v>1</v>
      </c>
      <c r="K3558" s="74" t="s">
        <v>204</v>
      </c>
      <c r="L3558" s="97" t="s">
        <v>7108</v>
      </c>
      <c r="N3558" s="76" t="s">
        <v>17</v>
      </c>
      <c r="Q3558" s="76" t="s">
        <v>2076</v>
      </c>
      <c r="R3558" s="73">
        <f t="shared" si="412"/>
        <v>1</v>
      </c>
      <c r="S3558" s="260" t="s">
        <v>1976</v>
      </c>
      <c r="T3558" s="260" t="s">
        <v>925</v>
      </c>
      <c r="U3558" s="76" t="s">
        <v>5283</v>
      </c>
      <c r="V3558" s="301" t="s">
        <v>11614</v>
      </c>
      <c r="Y3558" s="566">
        <v>0.51140046296296293</v>
      </c>
      <c r="Z3558" s="566">
        <v>0.60872685185185182</v>
      </c>
      <c r="AA3558" s="566">
        <f t="shared" si="410"/>
        <v>9.7326388888888893E-2</v>
      </c>
    </row>
    <row r="3559" spans="1:27" x14ac:dyDescent="0.3">
      <c r="A3559" s="79" t="s">
        <v>11432</v>
      </c>
      <c r="C3559" s="115">
        <v>44082</v>
      </c>
      <c r="D3559" s="312">
        <v>44117</v>
      </c>
      <c r="E3559" s="81">
        <v>44110</v>
      </c>
      <c r="F3559" s="86" t="s">
        <v>11520</v>
      </c>
      <c r="G3559" s="86" t="s">
        <v>152</v>
      </c>
      <c r="H3559" s="96" t="s">
        <v>213</v>
      </c>
      <c r="I3559" s="97" t="s">
        <v>714</v>
      </c>
      <c r="J3559" s="73">
        <f t="shared" si="411"/>
        <v>1</v>
      </c>
      <c r="K3559" s="74" t="s">
        <v>204</v>
      </c>
      <c r="L3559" s="97" t="s">
        <v>7072</v>
      </c>
      <c r="N3559" s="76" t="s">
        <v>17</v>
      </c>
      <c r="Q3559" s="76" t="s">
        <v>2142</v>
      </c>
      <c r="R3559" s="73">
        <f t="shared" si="412"/>
        <v>1</v>
      </c>
      <c r="S3559" s="260" t="s">
        <v>1976</v>
      </c>
      <c r="T3559" s="260" t="s">
        <v>924</v>
      </c>
      <c r="Y3559" s="566">
        <v>0.8939583333333333</v>
      </c>
      <c r="Z3559" s="566">
        <v>0.91303240740740732</v>
      </c>
      <c r="AA3559" s="566">
        <f t="shared" si="410"/>
        <v>1.9074074074074021E-2</v>
      </c>
    </row>
    <row r="3560" spans="1:27" x14ac:dyDescent="0.3">
      <c r="A3560" s="79" t="s">
        <v>11433</v>
      </c>
      <c r="C3560" s="115">
        <v>44082</v>
      </c>
      <c r="D3560" s="312">
        <v>44117</v>
      </c>
      <c r="E3560" s="81">
        <v>44111</v>
      </c>
      <c r="F3560" s="86" t="s">
        <v>11521</v>
      </c>
      <c r="G3560" s="86" t="s">
        <v>177</v>
      </c>
      <c r="H3560" s="96" t="s">
        <v>213</v>
      </c>
      <c r="I3560" s="97" t="s">
        <v>714</v>
      </c>
      <c r="J3560" s="73">
        <f t="shared" si="411"/>
        <v>1</v>
      </c>
      <c r="K3560" s="74" t="s">
        <v>204</v>
      </c>
      <c r="L3560" s="97" t="s">
        <v>9430</v>
      </c>
      <c r="N3560" s="76" t="s">
        <v>18</v>
      </c>
      <c r="Q3560" s="76" t="s">
        <v>2037</v>
      </c>
      <c r="R3560" s="73">
        <f t="shared" si="412"/>
        <v>1</v>
      </c>
      <c r="S3560" s="260" t="s">
        <v>1976</v>
      </c>
      <c r="T3560" s="260" t="s">
        <v>924</v>
      </c>
      <c r="Y3560" s="566">
        <v>0.44564814814814818</v>
      </c>
      <c r="Z3560" s="566">
        <v>0.46114583333333337</v>
      </c>
      <c r="AA3560" s="566">
        <f t="shared" si="410"/>
        <v>1.5497685185185184E-2</v>
      </c>
    </row>
    <row r="3561" spans="1:27" x14ac:dyDescent="0.3">
      <c r="A3561" s="79" t="s">
        <v>11434</v>
      </c>
      <c r="C3561" s="115">
        <v>44082</v>
      </c>
      <c r="D3561" s="312">
        <v>44117</v>
      </c>
      <c r="E3561" s="81">
        <v>44110</v>
      </c>
      <c r="F3561" s="86" t="s">
        <v>11522</v>
      </c>
      <c r="G3561" s="86" t="s">
        <v>152</v>
      </c>
      <c r="H3561" s="96" t="s">
        <v>213</v>
      </c>
      <c r="I3561" s="97" t="s">
        <v>714</v>
      </c>
      <c r="J3561" s="73">
        <f t="shared" si="411"/>
        <v>1</v>
      </c>
      <c r="K3561" s="74" t="s">
        <v>204</v>
      </c>
      <c r="L3561" s="97" t="s">
        <v>11599</v>
      </c>
      <c r="N3561" s="76" t="s">
        <v>17</v>
      </c>
      <c r="Q3561" s="76" t="s">
        <v>2142</v>
      </c>
      <c r="R3561" s="73">
        <f t="shared" si="412"/>
        <v>1</v>
      </c>
      <c r="S3561" s="260" t="s">
        <v>1976</v>
      </c>
      <c r="T3561" s="260" t="s">
        <v>925</v>
      </c>
      <c r="Y3561" s="566">
        <v>0.91413194444444434</v>
      </c>
      <c r="Z3561" s="566">
        <v>0.92383101851851857</v>
      </c>
      <c r="AA3561" s="566">
        <f t="shared" si="410"/>
        <v>9.699074074074221E-3</v>
      </c>
    </row>
    <row r="3562" spans="1:27" x14ac:dyDescent="0.3">
      <c r="A3562" s="79" t="s">
        <v>11435</v>
      </c>
      <c r="C3562" s="115">
        <v>44082</v>
      </c>
      <c r="D3562" s="312">
        <v>44117</v>
      </c>
      <c r="E3562" s="81">
        <v>44110</v>
      </c>
      <c r="F3562" s="86" t="s">
        <v>11523</v>
      </c>
      <c r="G3562" s="86" t="s">
        <v>173</v>
      </c>
      <c r="H3562" s="96" t="s">
        <v>213</v>
      </c>
      <c r="I3562" s="97" t="s">
        <v>714</v>
      </c>
      <c r="J3562" s="73">
        <f t="shared" si="411"/>
        <v>1</v>
      </c>
      <c r="K3562" s="74" t="s">
        <v>204</v>
      </c>
      <c r="L3562" s="97" t="s">
        <v>7072</v>
      </c>
      <c r="N3562" s="76" t="s">
        <v>17</v>
      </c>
      <c r="Q3562" s="76" t="s">
        <v>5193</v>
      </c>
      <c r="R3562" s="73">
        <f t="shared" si="412"/>
        <v>1</v>
      </c>
      <c r="S3562" s="260" t="s">
        <v>1976</v>
      </c>
      <c r="T3562" s="260" t="s">
        <v>924</v>
      </c>
      <c r="Y3562" s="566">
        <v>0.6498032407407407</v>
      </c>
      <c r="Z3562" s="566">
        <v>0.65825231481481483</v>
      </c>
      <c r="AA3562" s="566">
        <f t="shared" si="410"/>
        <v>8.4490740740741366E-3</v>
      </c>
    </row>
    <row r="3563" spans="1:27" x14ac:dyDescent="0.3">
      <c r="A3563" s="79" t="s">
        <v>11436</v>
      </c>
      <c r="C3563" s="115">
        <v>44083</v>
      </c>
      <c r="D3563" s="312">
        <v>44118</v>
      </c>
      <c r="E3563" s="81">
        <v>44112</v>
      </c>
      <c r="F3563" s="86" t="s">
        <v>11524</v>
      </c>
      <c r="G3563" s="86" t="s">
        <v>152</v>
      </c>
      <c r="H3563" s="96" t="s">
        <v>213</v>
      </c>
      <c r="I3563" s="97" t="s">
        <v>714</v>
      </c>
      <c r="J3563" s="73">
        <f t="shared" si="411"/>
        <v>1</v>
      </c>
      <c r="K3563" s="74" t="s">
        <v>204</v>
      </c>
      <c r="L3563" s="97" t="s">
        <v>11620</v>
      </c>
      <c r="N3563" s="76" t="s">
        <v>17</v>
      </c>
      <c r="Q3563" s="76" t="s">
        <v>11580</v>
      </c>
      <c r="R3563" s="73">
        <f t="shared" si="412"/>
        <v>1</v>
      </c>
      <c r="S3563" s="260" t="s">
        <v>1976</v>
      </c>
      <c r="T3563" s="260" t="s">
        <v>924</v>
      </c>
      <c r="U3563" s="76" t="s">
        <v>5283</v>
      </c>
      <c r="V3563" s="301" t="s">
        <v>11621</v>
      </c>
      <c r="Y3563" s="566">
        <v>0.59675925925925932</v>
      </c>
      <c r="Z3563" s="566">
        <v>0.61365740740740737</v>
      </c>
      <c r="AA3563" s="566">
        <f t="shared" si="410"/>
        <v>1.6898148148148051E-2</v>
      </c>
    </row>
    <row r="3564" spans="1:27" x14ac:dyDescent="0.3">
      <c r="A3564" s="79" t="s">
        <v>11437</v>
      </c>
      <c r="C3564" s="115">
        <v>44083</v>
      </c>
      <c r="D3564" s="312">
        <v>44118</v>
      </c>
      <c r="E3564" s="81">
        <v>44111</v>
      </c>
      <c r="F3564" s="86" t="s">
        <v>11525</v>
      </c>
      <c r="G3564" s="86" t="s">
        <v>150</v>
      </c>
      <c r="H3564" s="96" t="s">
        <v>213</v>
      </c>
      <c r="I3564" s="97" t="s">
        <v>684</v>
      </c>
      <c r="J3564" s="73">
        <f t="shared" si="411"/>
        <v>1</v>
      </c>
      <c r="K3564" s="74" t="s">
        <v>204</v>
      </c>
      <c r="L3564" s="97" t="s">
        <v>1748</v>
      </c>
      <c r="N3564" s="76" t="s">
        <v>18</v>
      </c>
      <c r="Q3564" s="76" t="s">
        <v>2037</v>
      </c>
      <c r="R3564" s="73">
        <f t="shared" si="412"/>
        <v>1</v>
      </c>
      <c r="S3564" s="260" t="s">
        <v>1976</v>
      </c>
      <c r="T3564" s="260" t="s">
        <v>923</v>
      </c>
      <c r="U3564" s="76" t="s">
        <v>5283</v>
      </c>
      <c r="V3564" s="301" t="s">
        <v>11611</v>
      </c>
      <c r="Y3564" s="566">
        <v>0.48099537037037038</v>
      </c>
      <c r="Z3564" s="566">
        <v>0.4904398148148148</v>
      </c>
      <c r="AA3564" s="566">
        <f t="shared" si="410"/>
        <v>9.444444444444422E-3</v>
      </c>
    </row>
    <row r="3565" spans="1:27" x14ac:dyDescent="0.3">
      <c r="A3565" s="79" t="s">
        <v>11438</v>
      </c>
      <c r="C3565" s="115">
        <v>44083</v>
      </c>
      <c r="D3565" s="312">
        <v>44118</v>
      </c>
      <c r="E3565" s="81">
        <v>44112</v>
      </c>
      <c r="F3565" s="86" t="s">
        <v>11526</v>
      </c>
      <c r="G3565" s="86" t="s">
        <v>154</v>
      </c>
      <c r="H3565" s="96" t="s">
        <v>213</v>
      </c>
      <c r="I3565" s="97" t="s">
        <v>722</v>
      </c>
      <c r="J3565" s="73">
        <f t="shared" si="411"/>
        <v>1</v>
      </c>
      <c r="K3565" s="74" t="s">
        <v>204</v>
      </c>
      <c r="L3565" s="97" t="s">
        <v>7322</v>
      </c>
      <c r="N3565" s="76" t="s">
        <v>17</v>
      </c>
      <c r="Q3565" s="76" t="s">
        <v>2142</v>
      </c>
      <c r="R3565" s="73">
        <f t="shared" si="412"/>
        <v>1</v>
      </c>
      <c r="S3565" s="260" t="s">
        <v>1976</v>
      </c>
      <c r="T3565" s="260" t="s">
        <v>925</v>
      </c>
      <c r="Y3565" s="566">
        <v>0.63454861111111105</v>
      </c>
      <c r="Z3565" s="566">
        <v>0.69537037037037042</v>
      </c>
      <c r="AA3565" s="566">
        <f t="shared" si="410"/>
        <v>6.0821759259259367E-2</v>
      </c>
    </row>
    <row r="3566" spans="1:27" x14ac:dyDescent="0.3">
      <c r="A3566" s="79" t="s">
        <v>11439</v>
      </c>
      <c r="C3566" s="115">
        <v>44083</v>
      </c>
      <c r="D3566" s="312">
        <v>44118</v>
      </c>
      <c r="E3566" s="81">
        <v>44111</v>
      </c>
      <c r="F3566" s="86" t="s">
        <v>11527</v>
      </c>
      <c r="G3566" s="86" t="s">
        <v>147</v>
      </c>
      <c r="H3566" s="96" t="s">
        <v>213</v>
      </c>
      <c r="I3566" s="97" t="s">
        <v>714</v>
      </c>
      <c r="J3566" s="73">
        <f t="shared" si="411"/>
        <v>1</v>
      </c>
      <c r="K3566" s="74" t="s">
        <v>204</v>
      </c>
      <c r="L3566" s="97" t="s">
        <v>7071</v>
      </c>
      <c r="N3566" s="76" t="s">
        <v>17</v>
      </c>
      <c r="Q3566" s="76" t="s">
        <v>2037</v>
      </c>
      <c r="R3566" s="73">
        <f t="shared" si="412"/>
        <v>1</v>
      </c>
      <c r="S3566" s="260" t="s">
        <v>1976</v>
      </c>
      <c r="T3566" s="260" t="s">
        <v>924</v>
      </c>
      <c r="Y3566" s="566">
        <v>0.49107638888888888</v>
      </c>
      <c r="Z3566" s="566">
        <v>0.50752314814814814</v>
      </c>
      <c r="AA3566" s="566">
        <f t="shared" si="410"/>
        <v>1.6446759259259258E-2</v>
      </c>
    </row>
    <row r="3567" spans="1:27" x14ac:dyDescent="0.3">
      <c r="A3567" s="79" t="s">
        <v>11440</v>
      </c>
      <c r="C3567" s="115">
        <v>44083</v>
      </c>
      <c r="D3567" s="312">
        <v>44118</v>
      </c>
      <c r="E3567" s="81">
        <v>44111</v>
      </c>
      <c r="F3567" s="86" t="s">
        <v>11528</v>
      </c>
      <c r="G3567" s="86" t="s">
        <v>147</v>
      </c>
      <c r="H3567" s="96" t="s">
        <v>213</v>
      </c>
      <c r="I3567" s="97" t="s">
        <v>714</v>
      </c>
      <c r="J3567" s="73">
        <f t="shared" si="411"/>
        <v>1</v>
      </c>
      <c r="K3567" s="74" t="s">
        <v>204</v>
      </c>
      <c r="L3567" s="97" t="s">
        <v>7072</v>
      </c>
      <c r="N3567" s="76" t="s">
        <v>18</v>
      </c>
      <c r="Q3567" s="76" t="s">
        <v>2076</v>
      </c>
      <c r="R3567" s="73">
        <f t="shared" si="412"/>
        <v>1</v>
      </c>
      <c r="S3567" s="260" t="s">
        <v>1976</v>
      </c>
      <c r="T3567" s="260" t="s">
        <v>923</v>
      </c>
      <c r="Y3567" s="566">
        <v>0.47513888888888883</v>
      </c>
      <c r="Z3567" s="566">
        <v>0.48053240740740738</v>
      </c>
      <c r="AA3567" s="566">
        <f t="shared" si="410"/>
        <v>5.3935185185185475E-3</v>
      </c>
    </row>
    <row r="3568" spans="1:27" x14ac:dyDescent="0.3">
      <c r="A3568" s="79" t="s">
        <v>11441</v>
      </c>
      <c r="C3568" s="115">
        <v>44083</v>
      </c>
      <c r="D3568" s="312">
        <v>44118</v>
      </c>
      <c r="E3568" s="81">
        <v>44112</v>
      </c>
      <c r="F3568" s="86" t="s">
        <v>11529</v>
      </c>
      <c r="G3568" s="86" t="s">
        <v>156</v>
      </c>
      <c r="H3568" s="96" t="s">
        <v>213</v>
      </c>
      <c r="I3568" s="97" t="s">
        <v>722</v>
      </c>
      <c r="J3568" s="73">
        <f t="shared" si="411"/>
        <v>1</v>
      </c>
      <c r="K3568" s="74" t="s">
        <v>204</v>
      </c>
      <c r="L3568" s="97" t="s">
        <v>7322</v>
      </c>
      <c r="N3568" s="76" t="s">
        <v>17</v>
      </c>
      <c r="Q3568" s="76" t="s">
        <v>5193</v>
      </c>
      <c r="R3568" s="73">
        <f t="shared" si="412"/>
        <v>1</v>
      </c>
      <c r="S3568" s="260" t="s">
        <v>1976</v>
      </c>
      <c r="T3568" s="260" t="s">
        <v>924</v>
      </c>
      <c r="Y3568" s="566">
        <v>0.43104166666666671</v>
      </c>
      <c r="Z3568" s="566">
        <v>0.43869212962962961</v>
      </c>
      <c r="AA3568" s="566">
        <f t="shared" si="410"/>
        <v>7.6504629629629006E-3</v>
      </c>
    </row>
    <row r="3569" spans="1:27" x14ac:dyDescent="0.3">
      <c r="A3569" s="79" t="s">
        <v>11442</v>
      </c>
      <c r="C3569" s="115">
        <v>44083</v>
      </c>
      <c r="D3569" s="312">
        <v>44119</v>
      </c>
      <c r="E3569" s="81">
        <v>44112</v>
      </c>
      <c r="F3569" s="86" t="s">
        <v>11530</v>
      </c>
      <c r="G3569" s="86" t="s">
        <v>9119</v>
      </c>
      <c r="H3569" s="96" t="s">
        <v>213</v>
      </c>
      <c r="I3569" s="97" t="s">
        <v>722</v>
      </c>
      <c r="J3569" s="73">
        <f t="shared" si="411"/>
        <v>1</v>
      </c>
      <c r="K3569" s="74" t="s">
        <v>204</v>
      </c>
      <c r="L3569" s="97" t="s">
        <v>7322</v>
      </c>
      <c r="N3569" s="76" t="s">
        <v>18</v>
      </c>
      <c r="Q3569" s="76" t="s">
        <v>5193</v>
      </c>
      <c r="R3569" s="73">
        <f t="shared" si="412"/>
        <v>1</v>
      </c>
      <c r="S3569" s="260" t="s">
        <v>1976</v>
      </c>
      <c r="T3569" s="260" t="s">
        <v>923</v>
      </c>
      <c r="Y3569" s="566">
        <v>0.73655092592592597</v>
      </c>
      <c r="Z3569" s="566">
        <v>0.74244212962962963</v>
      </c>
      <c r="AA3569" s="566">
        <f t="shared" si="410"/>
        <v>5.8912037037036624E-3</v>
      </c>
    </row>
    <row r="3570" spans="1:27" x14ac:dyDescent="0.3">
      <c r="A3570" s="79" t="s">
        <v>11443</v>
      </c>
      <c r="C3570" s="115">
        <v>44083</v>
      </c>
      <c r="D3570" s="312">
        <v>44118</v>
      </c>
      <c r="E3570" s="81">
        <v>44112</v>
      </c>
      <c r="F3570" s="86" t="s">
        <v>11531</v>
      </c>
      <c r="G3570" s="86" t="s">
        <v>9119</v>
      </c>
      <c r="H3570" s="96" t="s">
        <v>213</v>
      </c>
      <c r="I3570" s="97" t="s">
        <v>714</v>
      </c>
      <c r="J3570" s="73">
        <f t="shared" si="411"/>
        <v>1</v>
      </c>
      <c r="K3570" s="74" t="s">
        <v>204</v>
      </c>
      <c r="L3570" s="97" t="s">
        <v>7063</v>
      </c>
      <c r="N3570" s="76" t="s">
        <v>17</v>
      </c>
      <c r="Q3570" s="76" t="s">
        <v>2142</v>
      </c>
      <c r="R3570" s="73">
        <f t="shared" si="412"/>
        <v>1</v>
      </c>
      <c r="S3570" s="260" t="s">
        <v>1976</v>
      </c>
      <c r="T3570" s="260" t="s">
        <v>925</v>
      </c>
      <c r="Y3570" s="566">
        <v>0.61710648148148151</v>
      </c>
      <c r="Z3570" s="566">
        <v>0.63245370370370368</v>
      </c>
      <c r="AA3570" s="566">
        <f t="shared" si="410"/>
        <v>1.5347222222222179E-2</v>
      </c>
    </row>
    <row r="3571" spans="1:27" x14ac:dyDescent="0.3">
      <c r="A3571" s="79" t="s">
        <v>11444</v>
      </c>
      <c r="C3571" s="115">
        <v>44083</v>
      </c>
      <c r="D3571" s="312">
        <v>44118</v>
      </c>
      <c r="E3571" s="81">
        <v>44112</v>
      </c>
      <c r="F3571" s="86" t="s">
        <v>11532</v>
      </c>
      <c r="G3571" s="86" t="s">
        <v>1682</v>
      </c>
      <c r="H3571" s="96" t="s">
        <v>213</v>
      </c>
      <c r="I3571" s="97" t="s">
        <v>714</v>
      </c>
      <c r="J3571" s="73">
        <f t="shared" si="411"/>
        <v>1</v>
      </c>
      <c r="K3571" s="74" t="s">
        <v>204</v>
      </c>
      <c r="L3571" s="97" t="s">
        <v>11618</v>
      </c>
      <c r="N3571" s="76" t="s">
        <v>18</v>
      </c>
      <c r="Q3571" s="76" t="s">
        <v>2076</v>
      </c>
      <c r="R3571" s="73">
        <f t="shared" si="412"/>
        <v>1</v>
      </c>
      <c r="S3571" s="260" t="s">
        <v>1976</v>
      </c>
      <c r="T3571" s="260" t="s">
        <v>924</v>
      </c>
      <c r="Y3571" s="566">
        <v>0.44874999999999998</v>
      </c>
      <c r="Z3571" s="566">
        <v>0.46222222222222226</v>
      </c>
      <c r="AA3571" s="566">
        <f t="shared" si="410"/>
        <v>1.3472222222222274E-2</v>
      </c>
    </row>
    <row r="3572" spans="1:27" x14ac:dyDescent="0.3">
      <c r="A3572" s="79" t="s">
        <v>11445</v>
      </c>
      <c r="C3572" s="115">
        <v>44083</v>
      </c>
      <c r="D3572" s="312">
        <v>44118</v>
      </c>
      <c r="E3572" s="81">
        <v>44112</v>
      </c>
      <c r="F3572" s="86" t="s">
        <v>11533</v>
      </c>
      <c r="G3572" s="86" t="s">
        <v>181</v>
      </c>
      <c r="H3572" s="96" t="s">
        <v>213</v>
      </c>
      <c r="I3572" s="97" t="s">
        <v>714</v>
      </c>
      <c r="J3572" s="73">
        <f t="shared" si="411"/>
        <v>1</v>
      </c>
      <c r="K3572" s="74" t="s">
        <v>204</v>
      </c>
      <c r="L3572" s="97" t="s">
        <v>7349</v>
      </c>
      <c r="N3572" s="76" t="s">
        <v>17</v>
      </c>
      <c r="Q3572" s="76" t="s">
        <v>5193</v>
      </c>
      <c r="R3572" s="73">
        <f t="shared" si="412"/>
        <v>1</v>
      </c>
      <c r="S3572" s="260" t="s">
        <v>1976</v>
      </c>
      <c r="T3572" s="260" t="s">
        <v>923</v>
      </c>
      <c r="Y3572" s="566">
        <v>0.43928240740740737</v>
      </c>
      <c r="Z3572" s="566">
        <v>0.44832175925925927</v>
      </c>
      <c r="AA3572" s="566">
        <f t="shared" si="410"/>
        <v>9.0393518518518956E-3</v>
      </c>
    </row>
    <row r="3573" spans="1:27" x14ac:dyDescent="0.3">
      <c r="A3573" s="79" t="s">
        <v>11446</v>
      </c>
      <c r="C3573" s="115">
        <v>44084</v>
      </c>
      <c r="D3573" s="312">
        <v>44119</v>
      </c>
      <c r="E3573" s="81">
        <v>44113</v>
      </c>
      <c r="F3573" s="86" t="s">
        <v>3895</v>
      </c>
      <c r="G3573" s="86" t="s">
        <v>157</v>
      </c>
      <c r="H3573" s="96" t="s">
        <v>213</v>
      </c>
      <c r="I3573" s="97" t="s">
        <v>755</v>
      </c>
      <c r="J3573" s="73">
        <f t="shared" si="411"/>
        <v>1</v>
      </c>
      <c r="K3573" s="74" t="s">
        <v>204</v>
      </c>
      <c r="L3573" s="97" t="s">
        <v>11631</v>
      </c>
      <c r="N3573" s="76" t="s">
        <v>17</v>
      </c>
      <c r="Q3573" s="76" t="s">
        <v>2142</v>
      </c>
      <c r="R3573" s="73">
        <f t="shared" si="412"/>
        <v>1</v>
      </c>
      <c r="S3573" s="260" t="s">
        <v>1976</v>
      </c>
      <c r="T3573" s="260" t="s">
        <v>925</v>
      </c>
      <c r="Y3573" s="566">
        <v>0.60840277777777774</v>
      </c>
      <c r="Z3573" s="566">
        <v>0.6484375</v>
      </c>
      <c r="AA3573" s="566">
        <f t="shared" si="410"/>
        <v>4.0034722222222263E-2</v>
      </c>
    </row>
    <row r="3574" spans="1:27" x14ac:dyDescent="0.3">
      <c r="A3574" s="79" t="s">
        <v>11447</v>
      </c>
      <c r="C3574" s="115">
        <v>44084</v>
      </c>
      <c r="D3574" s="312">
        <v>44119</v>
      </c>
      <c r="E3574" s="81">
        <v>44113</v>
      </c>
      <c r="F3574" s="86" t="s">
        <v>11534</v>
      </c>
      <c r="G3574" s="86" t="s">
        <v>9119</v>
      </c>
      <c r="H3574" s="96" t="s">
        <v>213</v>
      </c>
      <c r="I3574" s="97" t="s">
        <v>642</v>
      </c>
      <c r="J3574" s="73">
        <f t="shared" si="411"/>
        <v>1</v>
      </c>
      <c r="K3574" s="74" t="s">
        <v>204</v>
      </c>
      <c r="L3574" s="97" t="s">
        <v>11626</v>
      </c>
      <c r="N3574" s="76" t="s">
        <v>18</v>
      </c>
      <c r="Q3574" s="76" t="s">
        <v>2037</v>
      </c>
      <c r="R3574" s="73">
        <f t="shared" si="412"/>
        <v>1</v>
      </c>
      <c r="S3574" s="260" t="s">
        <v>1976</v>
      </c>
      <c r="T3574" s="260" t="s">
        <v>924</v>
      </c>
      <c r="Y3574" s="566">
        <v>0.39171296296296299</v>
      </c>
      <c r="Z3574" s="566">
        <v>0.39707175925925925</v>
      </c>
      <c r="AA3574" s="566">
        <f t="shared" si="410"/>
        <v>5.3587962962962643E-3</v>
      </c>
    </row>
    <row r="3575" spans="1:27" x14ac:dyDescent="0.3">
      <c r="A3575" s="79" t="s">
        <v>11448</v>
      </c>
      <c r="C3575" s="115">
        <v>44084</v>
      </c>
      <c r="D3575" s="312">
        <v>44119</v>
      </c>
      <c r="E3575" s="81">
        <v>44113</v>
      </c>
      <c r="F3575" s="86" t="s">
        <v>11535</v>
      </c>
      <c r="G3575" s="86" t="s">
        <v>410</v>
      </c>
      <c r="H3575" s="96" t="s">
        <v>213</v>
      </c>
      <c r="I3575" s="97" t="s">
        <v>714</v>
      </c>
      <c r="J3575" s="73">
        <f t="shared" si="411"/>
        <v>1</v>
      </c>
      <c r="K3575" s="74" t="s">
        <v>204</v>
      </c>
      <c r="L3575" s="97" t="s">
        <v>7072</v>
      </c>
      <c r="N3575" s="76" t="s">
        <v>17</v>
      </c>
      <c r="Q3575" s="76" t="s">
        <v>2076</v>
      </c>
      <c r="R3575" s="73">
        <f t="shared" si="412"/>
        <v>1</v>
      </c>
      <c r="S3575" s="260" t="s">
        <v>1976</v>
      </c>
      <c r="T3575" s="260" t="s">
        <v>923</v>
      </c>
      <c r="Y3575" s="566">
        <v>0.51694444444444443</v>
      </c>
      <c r="Z3575" s="566">
        <v>0.52460648148148148</v>
      </c>
      <c r="AA3575" s="566">
        <f t="shared" si="410"/>
        <v>7.6620370370370505E-3</v>
      </c>
    </row>
    <row r="3576" spans="1:27" x14ac:dyDescent="0.3">
      <c r="A3576" s="96" t="s">
        <v>11449</v>
      </c>
      <c r="C3576" s="115">
        <v>44084</v>
      </c>
      <c r="D3576" s="312">
        <v>44119</v>
      </c>
      <c r="E3576" s="81">
        <v>44112</v>
      </c>
      <c r="F3576" s="86" t="s">
        <v>11536</v>
      </c>
      <c r="G3576" s="86" t="s">
        <v>150</v>
      </c>
      <c r="H3576" s="96" t="s">
        <v>213</v>
      </c>
      <c r="I3576" s="97" t="s">
        <v>642</v>
      </c>
      <c r="J3576" s="73">
        <f t="shared" si="411"/>
        <v>1</v>
      </c>
      <c r="K3576" s="74" t="s">
        <v>204</v>
      </c>
      <c r="L3576" s="97" t="s">
        <v>8286</v>
      </c>
      <c r="N3576" s="76" t="s">
        <v>18</v>
      </c>
      <c r="Q3576" s="76" t="s">
        <v>5193</v>
      </c>
      <c r="R3576" s="73">
        <f t="shared" si="412"/>
        <v>1</v>
      </c>
      <c r="S3576" s="260" t="s">
        <v>1976</v>
      </c>
      <c r="T3576" s="260" t="s">
        <v>924</v>
      </c>
      <c r="U3576" s="76" t="s">
        <v>5283</v>
      </c>
      <c r="V3576" s="301" t="s">
        <v>11624</v>
      </c>
      <c r="Y3576" s="566">
        <v>0.7534953703703704</v>
      </c>
      <c r="Z3576" s="566">
        <v>0.76015046296296296</v>
      </c>
      <c r="AA3576" s="566">
        <f t="shared" si="410"/>
        <v>6.6550925925925597E-3</v>
      </c>
    </row>
    <row r="3577" spans="1:27" x14ac:dyDescent="0.3">
      <c r="A3577" s="79" t="s">
        <v>11450</v>
      </c>
      <c r="C3577" s="115">
        <v>44084</v>
      </c>
      <c r="D3577" s="312">
        <v>44119</v>
      </c>
      <c r="E3577" s="81">
        <v>44113</v>
      </c>
      <c r="F3577" s="86" t="s">
        <v>11537</v>
      </c>
      <c r="G3577" s="86" t="s">
        <v>9119</v>
      </c>
      <c r="H3577" s="96" t="s">
        <v>213</v>
      </c>
      <c r="I3577" s="97" t="s">
        <v>714</v>
      </c>
      <c r="J3577" s="73">
        <f t="shared" si="411"/>
        <v>1</v>
      </c>
      <c r="K3577" s="74" t="s">
        <v>204</v>
      </c>
      <c r="L3577" s="97" t="s">
        <v>7071</v>
      </c>
      <c r="N3577" s="76" t="s">
        <v>18</v>
      </c>
      <c r="Q3577" s="76" t="s">
        <v>2076</v>
      </c>
      <c r="R3577" s="73">
        <f t="shared" si="412"/>
        <v>1</v>
      </c>
      <c r="S3577" s="260" t="s">
        <v>1976</v>
      </c>
      <c r="T3577" s="260" t="s">
        <v>925</v>
      </c>
      <c r="Y3577" s="566">
        <v>0.52509259259259256</v>
      </c>
      <c r="Z3577" s="566">
        <v>0.53921296296296295</v>
      </c>
      <c r="AA3577" s="566">
        <f t="shared" si="410"/>
        <v>1.4120370370370394E-2</v>
      </c>
    </row>
    <row r="3578" spans="1:27" x14ac:dyDescent="0.3">
      <c r="A3578" s="79" t="s">
        <v>11451</v>
      </c>
      <c r="C3578" s="115">
        <v>44084</v>
      </c>
      <c r="D3578" s="312">
        <v>44119</v>
      </c>
      <c r="E3578" s="81">
        <v>44113</v>
      </c>
      <c r="F3578" s="86" t="s">
        <v>11538</v>
      </c>
      <c r="G3578" s="86" t="s">
        <v>172</v>
      </c>
      <c r="H3578" s="96" t="s">
        <v>213</v>
      </c>
      <c r="I3578" s="97" t="s">
        <v>714</v>
      </c>
      <c r="J3578" s="73">
        <f t="shared" si="411"/>
        <v>1</v>
      </c>
      <c r="K3578" s="74" t="s">
        <v>204</v>
      </c>
      <c r="L3578" s="97" t="s">
        <v>7058</v>
      </c>
      <c r="N3578" s="76" t="s">
        <v>18</v>
      </c>
      <c r="Q3578" s="76" t="s">
        <v>2037</v>
      </c>
      <c r="R3578" s="73">
        <f t="shared" si="412"/>
        <v>1</v>
      </c>
      <c r="S3578" s="260" t="s">
        <v>1976</v>
      </c>
      <c r="T3578" s="260" t="s">
        <v>923</v>
      </c>
      <c r="Y3578" s="566">
        <v>0.38297453703703704</v>
      </c>
      <c r="Z3578" s="566">
        <v>0.39144675925925926</v>
      </c>
      <c r="AA3578" s="566">
        <f t="shared" si="410"/>
        <v>8.4722222222222143E-3</v>
      </c>
    </row>
    <row r="3579" spans="1:27" x14ac:dyDescent="0.3">
      <c r="A3579" s="79" t="s">
        <v>11452</v>
      </c>
      <c r="C3579" s="115">
        <v>44084</v>
      </c>
      <c r="D3579" s="312">
        <v>44119</v>
      </c>
      <c r="E3579" s="81">
        <v>44116</v>
      </c>
      <c r="F3579" s="86" t="s">
        <v>11539</v>
      </c>
      <c r="G3579" s="86" t="s">
        <v>175</v>
      </c>
      <c r="H3579" s="96" t="s">
        <v>213</v>
      </c>
      <c r="I3579" s="97" t="s">
        <v>714</v>
      </c>
      <c r="J3579" s="73">
        <f t="shared" si="411"/>
        <v>1</v>
      </c>
      <c r="K3579" s="74" t="s">
        <v>204</v>
      </c>
      <c r="L3579" s="97" t="s">
        <v>7058</v>
      </c>
      <c r="N3579" s="76" t="s">
        <v>18</v>
      </c>
      <c r="Q3579" s="76" t="s">
        <v>11580</v>
      </c>
      <c r="R3579" s="73">
        <f t="shared" si="412"/>
        <v>1</v>
      </c>
      <c r="S3579" s="260" t="s">
        <v>1976</v>
      </c>
      <c r="T3579" s="260" t="s">
        <v>924</v>
      </c>
      <c r="Y3579" s="566">
        <v>0.45956018518518515</v>
      </c>
      <c r="Z3579" s="566">
        <v>0.46993055555555552</v>
      </c>
      <c r="AA3579" s="566">
        <f t="shared" si="410"/>
        <v>1.0370370370370363E-2</v>
      </c>
    </row>
    <row r="3580" spans="1:27" x14ac:dyDescent="0.3">
      <c r="A3580" s="79" t="s">
        <v>11453</v>
      </c>
      <c r="C3580" s="115">
        <v>44084</v>
      </c>
      <c r="D3580" s="312">
        <v>44120</v>
      </c>
      <c r="E3580" s="81">
        <v>44113</v>
      </c>
      <c r="F3580" s="86" t="s">
        <v>11540</v>
      </c>
      <c r="G3580" s="86" t="s">
        <v>9119</v>
      </c>
      <c r="H3580" s="96" t="s">
        <v>213</v>
      </c>
      <c r="I3580" s="97" t="s">
        <v>714</v>
      </c>
      <c r="J3580" s="73">
        <f t="shared" si="411"/>
        <v>1</v>
      </c>
      <c r="K3580" s="74" t="s">
        <v>204</v>
      </c>
      <c r="L3580" s="97" t="s">
        <v>7532</v>
      </c>
      <c r="N3580" s="76" t="s">
        <v>18</v>
      </c>
      <c r="Q3580" s="76" t="s">
        <v>2037</v>
      </c>
      <c r="R3580" s="73">
        <f t="shared" si="412"/>
        <v>1</v>
      </c>
      <c r="S3580" s="260" t="s">
        <v>1976</v>
      </c>
      <c r="T3580" s="260" t="s">
        <v>923</v>
      </c>
      <c r="Y3580" s="566">
        <v>0.37687500000000002</v>
      </c>
      <c r="Z3580" s="566">
        <v>0.38152777777777774</v>
      </c>
      <c r="AA3580" s="566">
        <f t="shared" si="410"/>
        <v>4.6527777777777279E-3</v>
      </c>
    </row>
    <row r="3581" spans="1:27" x14ac:dyDescent="0.3">
      <c r="A3581" s="79" t="s">
        <v>11454</v>
      </c>
      <c r="C3581" s="115">
        <v>44085</v>
      </c>
      <c r="D3581" s="312">
        <v>44120</v>
      </c>
      <c r="E3581" s="81">
        <v>44117</v>
      </c>
      <c r="F3581" s="86" t="s">
        <v>11541</v>
      </c>
      <c r="G3581" s="86" t="s">
        <v>152</v>
      </c>
      <c r="H3581" s="96" t="s">
        <v>213</v>
      </c>
      <c r="I3581" s="97" t="s">
        <v>642</v>
      </c>
      <c r="J3581" s="73">
        <f t="shared" si="411"/>
        <v>1</v>
      </c>
      <c r="K3581" s="74" t="s">
        <v>204</v>
      </c>
      <c r="L3581" s="97" t="s">
        <v>7110</v>
      </c>
      <c r="N3581" s="76" t="s">
        <v>17</v>
      </c>
      <c r="Q3581" s="76" t="s">
        <v>5193</v>
      </c>
      <c r="R3581" s="73">
        <f t="shared" si="412"/>
        <v>1</v>
      </c>
      <c r="S3581" s="260" t="s">
        <v>1976</v>
      </c>
      <c r="T3581" s="260" t="s">
        <v>924</v>
      </c>
      <c r="Y3581" s="566">
        <v>0.45859953703703704</v>
      </c>
      <c r="Z3581" s="566">
        <v>0.48317129629629635</v>
      </c>
      <c r="AA3581" s="566">
        <f t="shared" si="410"/>
        <v>2.4571759259259307E-2</v>
      </c>
    </row>
    <row r="3582" spans="1:27" x14ac:dyDescent="0.3">
      <c r="A3582" s="79" t="s">
        <v>11455</v>
      </c>
      <c r="C3582" s="115">
        <v>44085</v>
      </c>
      <c r="D3582" s="312">
        <v>44120</v>
      </c>
      <c r="E3582" s="81">
        <v>44116</v>
      </c>
      <c r="F3582" s="86" t="s">
        <v>11542</v>
      </c>
      <c r="G3582" s="86" t="s">
        <v>181</v>
      </c>
      <c r="H3582" s="96" t="s">
        <v>213</v>
      </c>
      <c r="I3582" s="97" t="s">
        <v>642</v>
      </c>
      <c r="J3582" s="73">
        <f t="shared" si="411"/>
        <v>1</v>
      </c>
      <c r="K3582" s="74" t="s">
        <v>204</v>
      </c>
      <c r="L3582" s="97" t="s">
        <v>11633</v>
      </c>
      <c r="N3582" s="76" t="s">
        <v>18</v>
      </c>
      <c r="Q3582" s="76" t="s">
        <v>11580</v>
      </c>
      <c r="R3582" s="73">
        <f t="shared" si="412"/>
        <v>1</v>
      </c>
      <c r="S3582" s="260" t="s">
        <v>1976</v>
      </c>
      <c r="T3582" s="260" t="s">
        <v>923</v>
      </c>
      <c r="Y3582" s="566">
        <v>0.4415972222222222</v>
      </c>
      <c r="Z3582" s="566">
        <v>0.45827546296296301</v>
      </c>
      <c r="AA3582" s="566">
        <f t="shared" si="410"/>
        <v>1.6678240740740813E-2</v>
      </c>
    </row>
    <row r="3583" spans="1:27" x14ac:dyDescent="0.3">
      <c r="A3583" s="79" t="s">
        <v>11456</v>
      </c>
      <c r="C3583" s="115">
        <v>44085</v>
      </c>
      <c r="D3583" s="312">
        <v>44120</v>
      </c>
      <c r="E3583" s="81">
        <v>44113</v>
      </c>
      <c r="F3583" s="86" t="s">
        <v>11543</v>
      </c>
      <c r="G3583" s="86" t="s">
        <v>152</v>
      </c>
      <c r="H3583" s="96" t="s">
        <v>213</v>
      </c>
      <c r="I3583" s="97" t="s">
        <v>714</v>
      </c>
      <c r="J3583" s="73">
        <f t="shared" si="411"/>
        <v>1</v>
      </c>
      <c r="K3583" s="74" t="s">
        <v>204</v>
      </c>
      <c r="L3583" s="97" t="s">
        <v>7532</v>
      </c>
      <c r="N3583" s="76" t="s">
        <v>18</v>
      </c>
      <c r="Q3583" s="76" t="s">
        <v>2076</v>
      </c>
      <c r="R3583" s="73">
        <f t="shared" si="412"/>
        <v>1</v>
      </c>
      <c r="S3583" s="260" t="s">
        <v>1976</v>
      </c>
      <c r="T3583" s="260" t="s">
        <v>924</v>
      </c>
      <c r="Y3583" s="566">
        <v>0.41821759259259261</v>
      </c>
      <c r="Z3583" s="566">
        <v>0.42924768518518519</v>
      </c>
      <c r="AA3583" s="566">
        <f t="shared" ref="AA3583:AA3607" si="413">Z3583-Y3583</f>
        <v>1.1030092592592577E-2</v>
      </c>
    </row>
    <row r="3584" spans="1:27" x14ac:dyDescent="0.3">
      <c r="A3584" s="79" t="s">
        <v>11457</v>
      </c>
      <c r="C3584" s="115">
        <v>44085</v>
      </c>
      <c r="D3584" s="312">
        <v>44120</v>
      </c>
      <c r="E3584" s="81">
        <v>44113</v>
      </c>
      <c r="F3584" s="86" t="s">
        <v>11544</v>
      </c>
      <c r="G3584" s="86" t="s">
        <v>9119</v>
      </c>
      <c r="H3584" s="96" t="s">
        <v>213</v>
      </c>
      <c r="I3584" s="97" t="s">
        <v>642</v>
      </c>
      <c r="J3584" s="73">
        <f t="shared" si="411"/>
        <v>1</v>
      </c>
      <c r="K3584" s="74" t="s">
        <v>204</v>
      </c>
      <c r="L3584" s="97" t="s">
        <v>9818</v>
      </c>
      <c r="N3584" s="76" t="s">
        <v>18</v>
      </c>
      <c r="Q3584" s="76" t="s">
        <v>2076</v>
      </c>
      <c r="R3584" s="73">
        <f t="shared" si="412"/>
        <v>1</v>
      </c>
      <c r="S3584" s="260" t="s">
        <v>1976</v>
      </c>
      <c r="T3584" s="260" t="s">
        <v>923</v>
      </c>
      <c r="Y3584" s="566">
        <v>0.42978009259259259</v>
      </c>
      <c r="Z3584" s="566">
        <v>0.4346180555555556</v>
      </c>
      <c r="AA3584" s="566">
        <f t="shared" si="413"/>
        <v>4.8379629629630161E-3</v>
      </c>
    </row>
    <row r="3585" spans="1:27" x14ac:dyDescent="0.3">
      <c r="A3585" s="79" t="s">
        <v>11458</v>
      </c>
      <c r="C3585" s="115">
        <v>44085</v>
      </c>
      <c r="D3585" s="312">
        <v>44120</v>
      </c>
      <c r="E3585" s="81">
        <v>43385</v>
      </c>
      <c r="F3585" s="86" t="s">
        <v>11545</v>
      </c>
      <c r="G3585" s="86" t="s">
        <v>150</v>
      </c>
      <c r="H3585" s="96" t="s">
        <v>213</v>
      </c>
      <c r="I3585" s="97" t="s">
        <v>722</v>
      </c>
      <c r="J3585" s="73">
        <f t="shared" ref="J3585:J3608" si="414">IF(OR(K3585="Документы готовы",K3585="Запрос в ФО",K3585="ЭЗ",K3585="РЕШ",K3585="РЕШ шаблон"),0.1,IF(OR(K3585="ЭЗ согласование",K3585="РЕШ согласование"),0.3,IF(OR(K3585="ЭЗ согласовано",K3585="РЕШ согласовано",K3585="РЕШ подписано"),0.6,IF(OR(K3585="ЭЗ ПР согласование",K3585="РЕШ УВ согласование"),0.9,IF(OR(K3585="ЭЗ ПР DONE",K3585="РЕШ УВ DONE"),1,0)))))</f>
        <v>1</v>
      </c>
      <c r="K3585" s="74" t="s">
        <v>204</v>
      </c>
      <c r="L3585" s="97" t="s">
        <v>7322</v>
      </c>
      <c r="N3585" s="76" t="s">
        <v>18</v>
      </c>
      <c r="Q3585" s="76" t="s">
        <v>5193</v>
      </c>
      <c r="R3585" s="73">
        <f t="shared" ref="R3585:R3608" si="415">IF(S3585="В работе",0.3,IF(S3585="Отписано",0.6,IF(S3585="На доработку",0.9,IF(S3585="Согласовано",1,0))))</f>
        <v>1</v>
      </c>
      <c r="S3585" s="260" t="s">
        <v>1976</v>
      </c>
      <c r="T3585" s="260" t="s">
        <v>925</v>
      </c>
      <c r="Y3585" s="566">
        <v>0.43611111111111112</v>
      </c>
      <c r="Z3585" s="566">
        <v>0.4409953703703704</v>
      </c>
      <c r="AA3585" s="566">
        <f t="shared" si="413"/>
        <v>4.8842592592592826E-3</v>
      </c>
    </row>
    <row r="3586" spans="1:27" x14ac:dyDescent="0.3">
      <c r="A3586" s="79" t="s">
        <v>11459</v>
      </c>
      <c r="C3586" s="115">
        <v>44092</v>
      </c>
      <c r="D3586" s="312">
        <v>44116</v>
      </c>
      <c r="E3586" s="81">
        <v>44109</v>
      </c>
      <c r="F3586" s="86" t="s">
        <v>11546</v>
      </c>
      <c r="G3586" s="86" t="s">
        <v>152</v>
      </c>
      <c r="H3586" s="96" t="s">
        <v>213</v>
      </c>
      <c r="I3586" s="97" t="s">
        <v>649</v>
      </c>
      <c r="J3586" s="73">
        <f t="shared" si="414"/>
        <v>1</v>
      </c>
      <c r="K3586" s="74" t="s">
        <v>204</v>
      </c>
      <c r="L3586" s="97" t="s">
        <v>7089</v>
      </c>
      <c r="N3586" s="76" t="s">
        <v>17</v>
      </c>
      <c r="Q3586" s="76" t="s">
        <v>2076</v>
      </c>
      <c r="R3586" s="73">
        <f t="shared" si="415"/>
        <v>1</v>
      </c>
      <c r="S3586" s="260" t="s">
        <v>1976</v>
      </c>
      <c r="T3586" s="260" t="s">
        <v>925</v>
      </c>
      <c r="Y3586" s="566">
        <v>0.62659722222222225</v>
      </c>
      <c r="Z3586" s="566">
        <v>0.65916666666666668</v>
      </c>
      <c r="AA3586" s="566">
        <f t="shared" si="413"/>
        <v>3.2569444444444429E-2</v>
      </c>
    </row>
    <row r="3587" spans="1:27" x14ac:dyDescent="0.3">
      <c r="A3587" s="79" t="s">
        <v>11460</v>
      </c>
      <c r="C3587" s="115">
        <v>44095</v>
      </c>
      <c r="D3587" s="312">
        <v>44116</v>
      </c>
      <c r="E3587" s="81">
        <v>44110</v>
      </c>
      <c r="F3587" s="86" t="s">
        <v>11547</v>
      </c>
      <c r="G3587" s="86" t="s">
        <v>147</v>
      </c>
      <c r="H3587" s="96" t="s">
        <v>213</v>
      </c>
      <c r="I3587" s="97" t="s">
        <v>649</v>
      </c>
      <c r="J3587" s="73">
        <f t="shared" si="414"/>
        <v>1</v>
      </c>
      <c r="K3587" s="74" t="s">
        <v>204</v>
      </c>
      <c r="L3587" s="97" t="s">
        <v>11594</v>
      </c>
      <c r="N3587" s="76" t="s">
        <v>17</v>
      </c>
      <c r="Q3587" s="76" t="s">
        <v>5193</v>
      </c>
      <c r="R3587" s="73">
        <f t="shared" si="415"/>
        <v>1</v>
      </c>
      <c r="S3587" s="260" t="s">
        <v>1976</v>
      </c>
      <c r="T3587" s="260" t="s">
        <v>923</v>
      </c>
      <c r="Y3587" s="566">
        <v>0.49285879629629631</v>
      </c>
      <c r="Z3587" s="566">
        <v>0.50384259259259256</v>
      </c>
      <c r="AA3587" s="566">
        <f t="shared" si="413"/>
        <v>1.0983796296296255E-2</v>
      </c>
    </row>
    <row r="3588" spans="1:27" x14ac:dyDescent="0.3">
      <c r="A3588" s="79" t="s">
        <v>11461</v>
      </c>
      <c r="C3588" s="115">
        <v>44095</v>
      </c>
      <c r="D3588" s="312">
        <v>44116</v>
      </c>
      <c r="E3588" s="81">
        <v>44109</v>
      </c>
      <c r="F3588" s="86" t="s">
        <v>11548</v>
      </c>
      <c r="G3588" s="86" t="s">
        <v>152</v>
      </c>
      <c r="H3588" s="96" t="s">
        <v>213</v>
      </c>
      <c r="I3588" s="97" t="s">
        <v>649</v>
      </c>
      <c r="J3588" s="73">
        <f t="shared" si="414"/>
        <v>1</v>
      </c>
      <c r="K3588" s="74" t="s">
        <v>204</v>
      </c>
      <c r="L3588" s="97" t="s">
        <v>11358</v>
      </c>
      <c r="N3588" s="76" t="s">
        <v>17</v>
      </c>
      <c r="Q3588" s="76" t="s">
        <v>2037</v>
      </c>
      <c r="R3588" s="73">
        <f t="shared" si="415"/>
        <v>1</v>
      </c>
      <c r="S3588" s="260" t="s">
        <v>1976</v>
      </c>
      <c r="T3588" s="260" t="s">
        <v>923</v>
      </c>
      <c r="Y3588" s="566">
        <v>0.5531018518518519</v>
      </c>
      <c r="Z3588" s="566">
        <v>0.56699074074074074</v>
      </c>
      <c r="AA3588" s="566">
        <f t="shared" si="413"/>
        <v>1.388888888888884E-2</v>
      </c>
    </row>
    <row r="3589" spans="1:27" x14ac:dyDescent="0.3">
      <c r="A3589" s="79" t="s">
        <v>11462</v>
      </c>
      <c r="C3589" s="115">
        <v>44095</v>
      </c>
      <c r="D3589" s="312">
        <v>44116</v>
      </c>
      <c r="E3589" s="81">
        <v>44110</v>
      </c>
      <c r="F3589" s="86" t="s">
        <v>11549</v>
      </c>
      <c r="G3589" s="86" t="s">
        <v>154</v>
      </c>
      <c r="H3589" s="96" t="s">
        <v>213</v>
      </c>
      <c r="I3589" s="97" t="s">
        <v>649</v>
      </c>
      <c r="J3589" s="73">
        <f t="shared" si="414"/>
        <v>1</v>
      </c>
      <c r="K3589" s="74" t="s">
        <v>204</v>
      </c>
      <c r="L3589" s="97" t="s">
        <v>7089</v>
      </c>
      <c r="N3589" s="76" t="s">
        <v>17</v>
      </c>
      <c r="Q3589" s="76" t="s">
        <v>2076</v>
      </c>
      <c r="R3589" s="73">
        <f t="shared" si="415"/>
        <v>1</v>
      </c>
      <c r="S3589" s="260" t="s">
        <v>1976</v>
      </c>
      <c r="T3589" s="260" t="s">
        <v>923</v>
      </c>
      <c r="U3589" s="76" t="s">
        <v>5283</v>
      </c>
      <c r="V3589" s="301" t="s">
        <v>11612</v>
      </c>
      <c r="Y3589" s="566">
        <v>0.62709490740740736</v>
      </c>
      <c r="Z3589" s="566">
        <v>0.63886574074074076</v>
      </c>
      <c r="AA3589" s="566">
        <f t="shared" si="413"/>
        <v>1.1770833333333397E-2</v>
      </c>
    </row>
    <row r="3590" spans="1:27" x14ac:dyDescent="0.3">
      <c r="A3590" s="79" t="s">
        <v>11463</v>
      </c>
      <c r="C3590" s="115">
        <v>44095</v>
      </c>
      <c r="D3590" s="312">
        <v>44116</v>
      </c>
      <c r="E3590" s="81">
        <v>44110</v>
      </c>
      <c r="F3590" s="86" t="s">
        <v>11550</v>
      </c>
      <c r="G3590" s="86" t="s">
        <v>152</v>
      </c>
      <c r="H3590" s="96" t="s">
        <v>213</v>
      </c>
      <c r="I3590" s="97" t="s">
        <v>649</v>
      </c>
      <c r="J3590" s="73">
        <f t="shared" si="414"/>
        <v>1</v>
      </c>
      <c r="K3590" s="74" t="s">
        <v>204</v>
      </c>
      <c r="L3590" s="97" t="s">
        <v>11358</v>
      </c>
      <c r="N3590" s="76" t="s">
        <v>17</v>
      </c>
      <c r="Q3590" s="76" t="s">
        <v>11580</v>
      </c>
      <c r="R3590" s="73">
        <f t="shared" si="415"/>
        <v>1</v>
      </c>
      <c r="S3590" s="260" t="s">
        <v>1976</v>
      </c>
      <c r="T3590" s="260" t="s">
        <v>924</v>
      </c>
      <c r="Y3590" s="566">
        <v>0.43281249999999999</v>
      </c>
      <c r="Z3590" s="566">
        <v>0.44803240740740741</v>
      </c>
      <c r="AA3590" s="566">
        <f t="shared" si="413"/>
        <v>1.5219907407407418E-2</v>
      </c>
    </row>
    <row r="3591" spans="1:27" x14ac:dyDescent="0.3">
      <c r="A3591" s="79" t="s">
        <v>11464</v>
      </c>
      <c r="C3591" s="115">
        <v>44095</v>
      </c>
      <c r="D3591" s="312">
        <v>44116</v>
      </c>
      <c r="E3591" s="81">
        <v>44109</v>
      </c>
      <c r="F3591" s="86" t="s">
        <v>11551</v>
      </c>
      <c r="G3591" s="86" t="s">
        <v>152</v>
      </c>
      <c r="H3591" s="96" t="s">
        <v>213</v>
      </c>
      <c r="I3591" s="97" t="s">
        <v>722</v>
      </c>
      <c r="J3591" s="73">
        <f t="shared" si="414"/>
        <v>1</v>
      </c>
      <c r="K3591" s="74" t="s">
        <v>204</v>
      </c>
      <c r="L3591" s="97" t="s">
        <v>11586</v>
      </c>
      <c r="N3591" s="76" t="s">
        <v>18</v>
      </c>
      <c r="Q3591" s="76" t="s">
        <v>2037</v>
      </c>
      <c r="R3591" s="73">
        <f t="shared" si="415"/>
        <v>1</v>
      </c>
      <c r="S3591" s="260" t="s">
        <v>1976</v>
      </c>
      <c r="T3591" s="260" t="s">
        <v>924</v>
      </c>
      <c r="Y3591" s="566">
        <v>0.47509259259259262</v>
      </c>
      <c r="Z3591" s="566">
        <v>0.48258101851851848</v>
      </c>
      <c r="AA3591" s="566">
        <f t="shared" si="413"/>
        <v>7.4884259259258568E-3</v>
      </c>
    </row>
    <row r="3592" spans="1:27" x14ac:dyDescent="0.3">
      <c r="A3592" s="79" t="s">
        <v>11465</v>
      </c>
      <c r="C3592" s="115">
        <v>44095</v>
      </c>
      <c r="D3592" s="312">
        <v>44116</v>
      </c>
      <c r="E3592" s="81">
        <v>44109</v>
      </c>
      <c r="F3592" s="86" t="s">
        <v>11552</v>
      </c>
      <c r="G3592" s="86" t="s">
        <v>152</v>
      </c>
      <c r="H3592" s="96" t="s">
        <v>213</v>
      </c>
      <c r="I3592" s="97" t="s">
        <v>995</v>
      </c>
      <c r="J3592" s="73">
        <f t="shared" si="414"/>
        <v>1</v>
      </c>
      <c r="K3592" s="74" t="s">
        <v>204</v>
      </c>
      <c r="L3592" s="97" t="s">
        <v>11587</v>
      </c>
      <c r="N3592" s="76" t="s">
        <v>19</v>
      </c>
      <c r="Q3592" s="76" t="s">
        <v>2037</v>
      </c>
      <c r="R3592" s="73">
        <f t="shared" si="415"/>
        <v>1</v>
      </c>
      <c r="S3592" s="260" t="s">
        <v>1976</v>
      </c>
      <c r="T3592" s="260" t="s">
        <v>923</v>
      </c>
      <c r="Y3592" s="566">
        <v>0.48343749999999996</v>
      </c>
      <c r="Z3592" s="566">
        <v>0.49972222222222223</v>
      </c>
      <c r="AA3592" s="566">
        <f t="shared" si="413"/>
        <v>1.628472222222227E-2</v>
      </c>
    </row>
    <row r="3593" spans="1:27" x14ac:dyDescent="0.3">
      <c r="A3593" s="79" t="s">
        <v>11466</v>
      </c>
      <c r="C3593" s="115">
        <v>44095</v>
      </c>
      <c r="D3593" s="312">
        <v>44117</v>
      </c>
      <c r="E3593" s="81">
        <v>44110</v>
      </c>
      <c r="F3593" s="86" t="s">
        <v>11553</v>
      </c>
      <c r="G3593" s="86" t="s">
        <v>152</v>
      </c>
      <c r="H3593" s="96" t="s">
        <v>213</v>
      </c>
      <c r="I3593" s="97" t="s">
        <v>649</v>
      </c>
      <c r="J3593" s="73">
        <f t="shared" si="414"/>
        <v>1</v>
      </c>
      <c r="K3593" s="74" t="s">
        <v>204</v>
      </c>
      <c r="L3593" s="97" t="s">
        <v>11600</v>
      </c>
      <c r="N3593" s="76" t="s">
        <v>17</v>
      </c>
      <c r="Q3593" s="76" t="s">
        <v>2142</v>
      </c>
      <c r="R3593" s="73">
        <f t="shared" si="415"/>
        <v>1</v>
      </c>
      <c r="S3593" s="260" t="s">
        <v>1976</v>
      </c>
      <c r="T3593" s="260" t="s">
        <v>924</v>
      </c>
      <c r="U3593" s="76" t="s">
        <v>5283</v>
      </c>
      <c r="V3593" s="301" t="s">
        <v>11601</v>
      </c>
      <c r="Y3593" s="566">
        <v>0.92415509259259254</v>
      </c>
      <c r="Z3593" s="566">
        <v>0.94190972222222225</v>
      </c>
      <c r="AA3593" s="566">
        <f t="shared" si="413"/>
        <v>1.7754629629629703E-2</v>
      </c>
    </row>
    <row r="3594" spans="1:27" x14ac:dyDescent="0.3">
      <c r="A3594" s="79" t="s">
        <v>11467</v>
      </c>
      <c r="C3594" s="115">
        <v>44095</v>
      </c>
      <c r="D3594" s="312">
        <v>44116</v>
      </c>
      <c r="E3594" s="81">
        <v>44110</v>
      </c>
      <c r="F3594" s="86" t="s">
        <v>11554</v>
      </c>
      <c r="G3594" s="86" t="s">
        <v>152</v>
      </c>
      <c r="H3594" s="96" t="s">
        <v>213</v>
      </c>
      <c r="I3594" s="97" t="s">
        <v>649</v>
      </c>
      <c r="J3594" s="73">
        <f t="shared" si="414"/>
        <v>1</v>
      </c>
      <c r="K3594" s="74" t="s">
        <v>204</v>
      </c>
      <c r="L3594" s="97" t="s">
        <v>7089</v>
      </c>
      <c r="N3594" s="76" t="s">
        <v>18</v>
      </c>
      <c r="Q3594" s="76" t="s">
        <v>2142</v>
      </c>
      <c r="R3594" s="73">
        <f t="shared" si="415"/>
        <v>1</v>
      </c>
      <c r="S3594" s="260" t="s">
        <v>1976</v>
      </c>
      <c r="T3594" s="260" t="s">
        <v>925</v>
      </c>
      <c r="Y3594" s="566">
        <v>0.73399305555555561</v>
      </c>
      <c r="Z3594" s="566">
        <v>0.73910879629629633</v>
      </c>
      <c r="AA3594" s="566">
        <f t="shared" si="413"/>
        <v>5.1157407407407263E-3</v>
      </c>
    </row>
    <row r="3595" spans="1:27" x14ac:dyDescent="0.3">
      <c r="A3595" s="79" t="s">
        <v>11468</v>
      </c>
      <c r="C3595" s="115">
        <v>44095</v>
      </c>
      <c r="D3595" s="312">
        <v>44117</v>
      </c>
      <c r="E3595" s="81">
        <v>44110</v>
      </c>
      <c r="F3595" s="86" t="s">
        <v>11555</v>
      </c>
      <c r="G3595" s="86" t="s">
        <v>157</v>
      </c>
      <c r="H3595" s="96" t="s">
        <v>213</v>
      </c>
      <c r="I3595" s="97" t="s">
        <v>8403</v>
      </c>
      <c r="J3595" s="73">
        <f t="shared" si="414"/>
        <v>1</v>
      </c>
      <c r="K3595" s="74" t="s">
        <v>204</v>
      </c>
      <c r="L3595" s="97" t="s">
        <v>11602</v>
      </c>
      <c r="N3595" s="76" t="s">
        <v>19</v>
      </c>
      <c r="Q3595" s="76" t="s">
        <v>2142</v>
      </c>
      <c r="R3595" s="73">
        <f t="shared" si="415"/>
        <v>1</v>
      </c>
      <c r="S3595" s="260" t="s">
        <v>1976</v>
      </c>
      <c r="T3595" s="260" t="s">
        <v>923</v>
      </c>
      <c r="Y3595" s="566">
        <v>0.95289351851851845</v>
      </c>
      <c r="Z3595" s="566">
        <v>0.96410879629629631</v>
      </c>
      <c r="AA3595" s="566">
        <f t="shared" si="413"/>
        <v>1.1215277777777866E-2</v>
      </c>
    </row>
    <row r="3596" spans="1:27" x14ac:dyDescent="0.3">
      <c r="A3596" s="79" t="s">
        <v>11469</v>
      </c>
      <c r="C3596" s="115">
        <v>44095</v>
      </c>
      <c r="D3596" s="312">
        <v>44116</v>
      </c>
      <c r="E3596" s="81">
        <v>44110</v>
      </c>
      <c r="F3596" s="86" t="s">
        <v>11556</v>
      </c>
      <c r="G3596" s="86" t="s">
        <v>150</v>
      </c>
      <c r="H3596" s="96" t="s">
        <v>213</v>
      </c>
      <c r="I3596" s="97" t="s">
        <v>649</v>
      </c>
      <c r="J3596" s="73">
        <f t="shared" si="414"/>
        <v>1</v>
      </c>
      <c r="K3596" s="74" t="s">
        <v>204</v>
      </c>
      <c r="L3596" s="97" t="s">
        <v>7060</v>
      </c>
      <c r="N3596" s="76" t="s">
        <v>17</v>
      </c>
      <c r="Q3596" s="76" t="s">
        <v>2076</v>
      </c>
      <c r="R3596" s="73">
        <f t="shared" si="415"/>
        <v>1</v>
      </c>
      <c r="S3596" s="260" t="s">
        <v>1976</v>
      </c>
      <c r="T3596" s="260" t="s">
        <v>924</v>
      </c>
      <c r="Y3596" s="566">
        <v>0.51011574074074073</v>
      </c>
      <c r="Z3596" s="566">
        <v>0.61038194444444438</v>
      </c>
      <c r="AA3596" s="566">
        <f t="shared" si="413"/>
        <v>0.10026620370370365</v>
      </c>
    </row>
    <row r="3597" spans="1:27" x14ac:dyDescent="0.3">
      <c r="A3597" s="79" t="s">
        <v>11470</v>
      </c>
      <c r="C3597" s="115">
        <v>44096</v>
      </c>
      <c r="D3597" s="312">
        <v>44117</v>
      </c>
      <c r="E3597" s="81">
        <v>44111</v>
      </c>
      <c r="F3597" s="86" t="s">
        <v>11557</v>
      </c>
      <c r="G3597" s="86" t="s">
        <v>162</v>
      </c>
      <c r="H3597" s="96" t="s">
        <v>213</v>
      </c>
      <c r="I3597" s="97" t="s">
        <v>722</v>
      </c>
      <c r="J3597" s="73">
        <f t="shared" si="414"/>
        <v>1</v>
      </c>
      <c r="K3597" s="74" t="s">
        <v>204</v>
      </c>
      <c r="L3597" s="97" t="s">
        <v>7322</v>
      </c>
      <c r="N3597" s="76" t="s">
        <v>18</v>
      </c>
      <c r="Q3597" s="76" t="s">
        <v>2076</v>
      </c>
      <c r="R3597" s="73">
        <f t="shared" si="415"/>
        <v>1</v>
      </c>
      <c r="S3597" s="260" t="s">
        <v>1976</v>
      </c>
      <c r="T3597" s="260" t="s">
        <v>923</v>
      </c>
      <c r="Y3597" s="566">
        <v>0.63331018518518511</v>
      </c>
      <c r="Z3597" s="566">
        <v>0.64515046296296297</v>
      </c>
      <c r="AA3597" s="566">
        <f t="shared" si="413"/>
        <v>1.1840277777777852E-2</v>
      </c>
    </row>
    <row r="3598" spans="1:27" x14ac:dyDescent="0.3">
      <c r="A3598" s="79" t="s">
        <v>11471</v>
      </c>
      <c r="C3598" s="115">
        <v>44096</v>
      </c>
      <c r="D3598" s="312">
        <v>44117</v>
      </c>
      <c r="E3598" s="81">
        <v>44111</v>
      </c>
      <c r="F3598" s="86" t="s">
        <v>11558</v>
      </c>
      <c r="G3598" s="86" t="s">
        <v>152</v>
      </c>
      <c r="H3598" s="96" t="s">
        <v>213</v>
      </c>
      <c r="I3598" s="97" t="s">
        <v>3475</v>
      </c>
      <c r="J3598" s="73">
        <f t="shared" si="414"/>
        <v>1</v>
      </c>
      <c r="K3598" s="74" t="s">
        <v>204</v>
      </c>
      <c r="L3598" s="97" t="s">
        <v>11351</v>
      </c>
      <c r="N3598" s="76" t="s">
        <v>19</v>
      </c>
      <c r="Q3598" s="76" t="s">
        <v>2037</v>
      </c>
      <c r="R3598" s="73">
        <f t="shared" si="415"/>
        <v>1</v>
      </c>
      <c r="S3598" s="260" t="s">
        <v>1976</v>
      </c>
      <c r="T3598" s="260" t="s">
        <v>924</v>
      </c>
      <c r="U3598" s="76" t="s">
        <v>5283</v>
      </c>
      <c r="V3598" s="301" t="s">
        <v>11606</v>
      </c>
      <c r="Y3598" s="566">
        <v>0.42368055555555556</v>
      </c>
      <c r="Z3598" s="566">
        <v>0.43311342592592594</v>
      </c>
      <c r="AA3598" s="566">
        <f t="shared" si="413"/>
        <v>9.4328703703703831E-3</v>
      </c>
    </row>
    <row r="3599" spans="1:27" x14ac:dyDescent="0.3">
      <c r="A3599" s="79" t="s">
        <v>11472</v>
      </c>
      <c r="C3599" s="115">
        <v>44096</v>
      </c>
      <c r="D3599" s="312">
        <v>44117</v>
      </c>
      <c r="E3599" s="81">
        <v>44111</v>
      </c>
      <c r="F3599" s="86" t="s">
        <v>11559</v>
      </c>
      <c r="G3599" s="86" t="s">
        <v>156</v>
      </c>
      <c r="H3599" s="96" t="s">
        <v>213</v>
      </c>
      <c r="I3599" s="97" t="s">
        <v>649</v>
      </c>
      <c r="J3599" s="73">
        <f t="shared" si="414"/>
        <v>1</v>
      </c>
      <c r="K3599" s="74" t="s">
        <v>204</v>
      </c>
      <c r="L3599" s="97" t="s">
        <v>7089</v>
      </c>
      <c r="N3599" s="76" t="s">
        <v>17</v>
      </c>
      <c r="Q3599" s="76" t="s">
        <v>2037</v>
      </c>
      <c r="R3599" s="73">
        <f t="shared" si="415"/>
        <v>1</v>
      </c>
      <c r="S3599" s="260" t="s">
        <v>1976</v>
      </c>
      <c r="T3599" s="260" t="s">
        <v>925</v>
      </c>
      <c r="Y3599" s="566">
        <v>0.46156250000000004</v>
      </c>
      <c r="Z3599" s="566">
        <v>0.4748148148148148</v>
      </c>
      <c r="AA3599" s="566">
        <f t="shared" si="413"/>
        <v>1.3252314814814758E-2</v>
      </c>
    </row>
    <row r="3600" spans="1:27" x14ac:dyDescent="0.3">
      <c r="A3600" s="79" t="s">
        <v>11473</v>
      </c>
      <c r="C3600" s="115">
        <v>44096</v>
      </c>
      <c r="D3600" s="312">
        <v>44117</v>
      </c>
      <c r="E3600" s="81">
        <v>44112</v>
      </c>
      <c r="F3600" s="86" t="s">
        <v>11560</v>
      </c>
      <c r="G3600" s="86" t="s">
        <v>152</v>
      </c>
      <c r="H3600" s="96" t="s">
        <v>213</v>
      </c>
      <c r="I3600" s="97" t="s">
        <v>649</v>
      </c>
      <c r="J3600" s="73">
        <f t="shared" si="414"/>
        <v>1</v>
      </c>
      <c r="K3600" s="74" t="s">
        <v>204</v>
      </c>
      <c r="L3600" s="97" t="s">
        <v>11619</v>
      </c>
      <c r="N3600" s="76" t="s">
        <v>18</v>
      </c>
      <c r="Q3600" s="76" t="s">
        <v>2142</v>
      </c>
      <c r="R3600" s="73">
        <f t="shared" si="415"/>
        <v>1</v>
      </c>
      <c r="S3600" s="260" t="s">
        <v>1976</v>
      </c>
      <c r="T3600" s="260" t="s">
        <v>923</v>
      </c>
      <c r="Y3600" s="566">
        <v>0.56998842592592591</v>
      </c>
      <c r="Z3600" s="566">
        <v>0.58328703703703699</v>
      </c>
      <c r="AA3600" s="566">
        <f t="shared" si="413"/>
        <v>1.3298611111111081E-2</v>
      </c>
    </row>
    <row r="3601" spans="1:27" x14ac:dyDescent="0.3">
      <c r="A3601" s="79" t="s">
        <v>11474</v>
      </c>
      <c r="C3601" s="115">
        <v>44096</v>
      </c>
      <c r="D3601" s="312">
        <v>44117</v>
      </c>
      <c r="E3601" s="81">
        <v>44112</v>
      </c>
      <c r="F3601" s="86" t="s">
        <v>5147</v>
      </c>
      <c r="G3601" s="86" t="s">
        <v>152</v>
      </c>
      <c r="H3601" s="96" t="s">
        <v>213</v>
      </c>
      <c r="I3601" s="97" t="s">
        <v>722</v>
      </c>
      <c r="J3601" s="73">
        <f t="shared" si="414"/>
        <v>1</v>
      </c>
      <c r="K3601" s="74" t="s">
        <v>204</v>
      </c>
      <c r="L3601" s="97" t="s">
        <v>7742</v>
      </c>
      <c r="N3601" s="76" t="s">
        <v>18</v>
      </c>
      <c r="Q3601" s="76" t="s">
        <v>2142</v>
      </c>
      <c r="R3601" s="73">
        <f t="shared" si="415"/>
        <v>1</v>
      </c>
      <c r="S3601" s="260" t="s">
        <v>1976</v>
      </c>
      <c r="T3601" s="260" t="s">
        <v>923</v>
      </c>
      <c r="Y3601" s="566">
        <v>0.58377314814814818</v>
      </c>
      <c r="Z3601" s="566">
        <v>0.59086805555555555</v>
      </c>
      <c r="AA3601" s="566">
        <f t="shared" si="413"/>
        <v>7.0949074074073692E-3</v>
      </c>
    </row>
    <row r="3602" spans="1:27" x14ac:dyDescent="0.3">
      <c r="A3602" s="79" t="s">
        <v>11475</v>
      </c>
      <c r="C3602" s="115">
        <v>44096</v>
      </c>
      <c r="D3602" s="312">
        <v>44117</v>
      </c>
      <c r="E3602" s="81">
        <v>44110</v>
      </c>
      <c r="F3602" s="86" t="s">
        <v>11561</v>
      </c>
      <c r="G3602" s="86" t="s">
        <v>9119</v>
      </c>
      <c r="H3602" s="96" t="s">
        <v>213</v>
      </c>
      <c r="I3602" s="97" t="s">
        <v>649</v>
      </c>
      <c r="J3602" s="73">
        <f t="shared" si="414"/>
        <v>1</v>
      </c>
      <c r="K3602" s="74" t="s">
        <v>204</v>
      </c>
      <c r="L3602" s="97" t="s">
        <v>11598</v>
      </c>
      <c r="N3602" s="76" t="s">
        <v>17</v>
      </c>
      <c r="Q3602" s="76" t="s">
        <v>5193</v>
      </c>
      <c r="R3602" s="73">
        <f t="shared" si="415"/>
        <v>1</v>
      </c>
      <c r="S3602" s="260" t="s">
        <v>1976</v>
      </c>
      <c r="T3602" s="260" t="s">
        <v>925</v>
      </c>
      <c r="Y3602" s="566">
        <v>0.65865740740740741</v>
      </c>
      <c r="Z3602" s="566">
        <v>0.66866898148148157</v>
      </c>
      <c r="AA3602" s="566">
        <f t="shared" si="413"/>
        <v>1.0011574074074159E-2</v>
      </c>
    </row>
    <row r="3603" spans="1:27" x14ac:dyDescent="0.3">
      <c r="A3603" s="79" t="s">
        <v>11476</v>
      </c>
      <c r="C3603" s="115">
        <v>44096</v>
      </c>
      <c r="D3603" s="312">
        <v>44117</v>
      </c>
      <c r="E3603" s="81">
        <v>44111</v>
      </c>
      <c r="F3603" s="86" t="s">
        <v>11562</v>
      </c>
      <c r="G3603" s="86" t="s">
        <v>150</v>
      </c>
      <c r="H3603" s="96" t="s">
        <v>213</v>
      </c>
      <c r="I3603" s="97" t="s">
        <v>722</v>
      </c>
      <c r="J3603" s="73">
        <f t="shared" si="414"/>
        <v>1</v>
      </c>
      <c r="K3603" s="74" t="s">
        <v>204</v>
      </c>
      <c r="L3603" s="97" t="s">
        <v>9001</v>
      </c>
      <c r="N3603" s="76" t="s">
        <v>18</v>
      </c>
      <c r="Q3603" s="76" t="s">
        <v>11580</v>
      </c>
      <c r="R3603" s="73">
        <f t="shared" si="415"/>
        <v>1</v>
      </c>
      <c r="S3603" s="260" t="s">
        <v>1976</v>
      </c>
      <c r="T3603" s="260" t="s">
        <v>925</v>
      </c>
      <c r="Y3603" s="566">
        <v>0.4171643518518518</v>
      </c>
      <c r="Z3603" s="566">
        <v>0.42306712962962961</v>
      </c>
      <c r="AA3603" s="566">
        <f t="shared" si="413"/>
        <v>5.9027777777778123E-3</v>
      </c>
    </row>
    <row r="3604" spans="1:27" x14ac:dyDescent="0.3">
      <c r="A3604" s="79" t="s">
        <v>11477</v>
      </c>
      <c r="C3604" s="115">
        <v>44096</v>
      </c>
      <c r="D3604" s="312">
        <v>44117</v>
      </c>
      <c r="E3604" s="81">
        <v>44111</v>
      </c>
      <c r="F3604" s="86" t="s">
        <v>11563</v>
      </c>
      <c r="G3604" s="86" t="s">
        <v>9119</v>
      </c>
      <c r="H3604" s="79" t="s">
        <v>268</v>
      </c>
      <c r="I3604" s="97" t="s">
        <v>649</v>
      </c>
      <c r="J3604" s="73">
        <f t="shared" si="414"/>
        <v>1</v>
      </c>
      <c r="K3604" s="74" t="s">
        <v>204</v>
      </c>
      <c r="L3604" s="97" t="s">
        <v>7089</v>
      </c>
      <c r="N3604" s="76" t="s">
        <v>17</v>
      </c>
      <c r="Q3604" s="76" t="s">
        <v>11580</v>
      </c>
      <c r="R3604" s="73">
        <f t="shared" si="415"/>
        <v>1</v>
      </c>
      <c r="S3604" s="260" t="s">
        <v>1976</v>
      </c>
      <c r="T3604" s="260" t="s">
        <v>925</v>
      </c>
      <c r="U3604" s="76" t="s">
        <v>5283</v>
      </c>
      <c r="V3604" s="301" t="s">
        <v>6725</v>
      </c>
      <c r="Y3604" s="566">
        <v>0.60969907407407409</v>
      </c>
      <c r="Z3604" s="566">
        <v>0.62715277777777778</v>
      </c>
      <c r="AA3604" s="566">
        <f t="shared" si="413"/>
        <v>1.7453703703703694E-2</v>
      </c>
    </row>
    <row r="3605" spans="1:27" x14ac:dyDescent="0.3">
      <c r="A3605" s="79" t="s">
        <v>11478</v>
      </c>
      <c r="C3605" s="115">
        <v>44097</v>
      </c>
      <c r="D3605" s="312">
        <v>44118</v>
      </c>
      <c r="E3605" s="81">
        <v>44113</v>
      </c>
      <c r="F3605" s="86" t="s">
        <v>11564</v>
      </c>
      <c r="G3605" s="97" t="s">
        <v>11608</v>
      </c>
      <c r="H3605" s="96" t="s">
        <v>213</v>
      </c>
      <c r="I3605" s="97" t="s">
        <v>649</v>
      </c>
      <c r="J3605" s="73">
        <f t="shared" si="414"/>
        <v>1</v>
      </c>
      <c r="K3605" s="74" t="s">
        <v>204</v>
      </c>
      <c r="L3605" s="97" t="s">
        <v>11632</v>
      </c>
      <c r="N3605" s="76" t="s">
        <v>17</v>
      </c>
      <c r="Q3605" s="76" t="s">
        <v>2142</v>
      </c>
      <c r="R3605" s="73">
        <f t="shared" si="415"/>
        <v>1</v>
      </c>
      <c r="S3605" s="260" t="s">
        <v>1976</v>
      </c>
      <c r="T3605" s="260" t="s">
        <v>923</v>
      </c>
      <c r="Y3605" s="566">
        <v>0.64921296296296294</v>
      </c>
      <c r="Z3605" s="566">
        <v>0.68290509259259258</v>
      </c>
      <c r="AA3605" s="566">
        <f t="shared" si="413"/>
        <v>3.3692129629629641E-2</v>
      </c>
    </row>
    <row r="3606" spans="1:27" x14ac:dyDescent="0.3">
      <c r="A3606" s="79" t="s">
        <v>11479</v>
      </c>
      <c r="C3606" s="115">
        <v>44097</v>
      </c>
      <c r="D3606" s="312">
        <v>44118</v>
      </c>
      <c r="E3606" s="81">
        <v>44112</v>
      </c>
      <c r="F3606" s="86" t="s">
        <v>11565</v>
      </c>
      <c r="G3606" s="86" t="s">
        <v>156</v>
      </c>
      <c r="H3606" s="96" t="s">
        <v>213</v>
      </c>
      <c r="I3606" s="97" t="s">
        <v>649</v>
      </c>
      <c r="J3606" s="73">
        <f t="shared" si="414"/>
        <v>1</v>
      </c>
      <c r="K3606" s="74" t="s">
        <v>204</v>
      </c>
      <c r="L3606" s="97" t="s">
        <v>10616</v>
      </c>
      <c r="N3606" s="76" t="s">
        <v>18</v>
      </c>
      <c r="Q3606" s="76" t="s">
        <v>2076</v>
      </c>
      <c r="R3606" s="73">
        <f t="shared" si="415"/>
        <v>1</v>
      </c>
      <c r="S3606" s="260" t="s">
        <v>1976</v>
      </c>
      <c r="T3606" s="260" t="s">
        <v>925</v>
      </c>
      <c r="Y3606" s="566">
        <v>0.46276620370370369</v>
      </c>
      <c r="Z3606" s="566">
        <v>0.47488425925925926</v>
      </c>
      <c r="AA3606" s="566">
        <f t="shared" si="413"/>
        <v>1.2118055555555562E-2</v>
      </c>
    </row>
    <row r="3607" spans="1:27" x14ac:dyDescent="0.3">
      <c r="A3607" s="79" t="s">
        <v>11480</v>
      </c>
      <c r="C3607" s="115">
        <v>44097</v>
      </c>
      <c r="D3607" s="312">
        <v>44118</v>
      </c>
      <c r="E3607" s="81">
        <v>44112</v>
      </c>
      <c r="F3607" s="86" t="s">
        <v>11566</v>
      </c>
      <c r="G3607" s="86" t="s">
        <v>189</v>
      </c>
      <c r="H3607" s="96" t="s">
        <v>213</v>
      </c>
      <c r="I3607" s="97" t="s">
        <v>649</v>
      </c>
      <c r="J3607" s="73">
        <f t="shared" si="414"/>
        <v>1</v>
      </c>
      <c r="K3607" s="74" t="s">
        <v>204</v>
      </c>
      <c r="L3607" s="97" t="s">
        <v>7060</v>
      </c>
      <c r="N3607" s="76" t="s">
        <v>17</v>
      </c>
      <c r="Q3607" s="76" t="s">
        <v>11580</v>
      </c>
      <c r="R3607" s="73">
        <f t="shared" si="415"/>
        <v>1</v>
      </c>
      <c r="S3607" s="260" t="s">
        <v>1976</v>
      </c>
      <c r="T3607" s="260" t="s">
        <v>923</v>
      </c>
      <c r="Y3607" s="566">
        <v>0.50461805555555561</v>
      </c>
      <c r="Z3607" s="566">
        <v>0.51299768518518518</v>
      </c>
      <c r="AA3607" s="566">
        <f t="shared" si="413"/>
        <v>8.3796296296295703E-3</v>
      </c>
    </row>
    <row r="3608" spans="1:27" x14ac:dyDescent="0.3">
      <c r="A3608" s="79" t="s">
        <v>11481</v>
      </c>
      <c r="C3608" s="115">
        <v>44097</v>
      </c>
      <c r="D3608" s="312">
        <v>44118</v>
      </c>
      <c r="E3608" s="81">
        <v>44111</v>
      </c>
      <c r="F3608" s="86" t="s">
        <v>11567</v>
      </c>
      <c r="G3608" s="86" t="s">
        <v>166</v>
      </c>
      <c r="H3608" s="96" t="s">
        <v>213</v>
      </c>
      <c r="I3608" s="97" t="s">
        <v>649</v>
      </c>
      <c r="J3608" s="73">
        <f t="shared" si="414"/>
        <v>1</v>
      </c>
      <c r="K3608" s="74" t="s">
        <v>204</v>
      </c>
      <c r="L3608" s="97" t="s">
        <v>7089</v>
      </c>
      <c r="N3608" s="76" t="s">
        <v>17</v>
      </c>
      <c r="Q3608" s="76" t="s">
        <v>2037</v>
      </c>
      <c r="R3608" s="73">
        <f t="shared" si="415"/>
        <v>1</v>
      </c>
      <c r="S3608" s="260" t="s">
        <v>1976</v>
      </c>
      <c r="T3608" s="260" t="s">
        <v>925</v>
      </c>
      <c r="Y3608" s="566">
        <v>0.68766203703703699</v>
      </c>
      <c r="Z3608" s="566">
        <v>0.69579861111111108</v>
      </c>
      <c r="AA3608" s="566">
        <f t="shared" ref="AA3608:AA3621" si="416">Z3608-Y3608</f>
        <v>8.1365740740740877E-3</v>
      </c>
    </row>
    <row r="3609" spans="1:27" x14ac:dyDescent="0.3">
      <c r="A3609" s="79" t="s">
        <v>11482</v>
      </c>
      <c r="C3609" s="115">
        <v>44097</v>
      </c>
      <c r="D3609" s="312">
        <v>44118</v>
      </c>
      <c r="E3609" s="81">
        <v>44112</v>
      </c>
      <c r="F3609" s="86" t="s">
        <v>11568</v>
      </c>
      <c r="G3609" s="86" t="s">
        <v>9119</v>
      </c>
      <c r="H3609" s="96" t="s">
        <v>213</v>
      </c>
      <c r="I3609" s="97" t="s">
        <v>3475</v>
      </c>
      <c r="J3609" s="73">
        <f t="shared" ref="J3609:J3621" si="417">IF(OR(K3609="Документы готовы",K3609="Запрос в ФО",K3609="ЭЗ",K3609="РЕШ",K3609="РЕШ шаблон"),0.1,IF(OR(K3609="ЭЗ согласование",K3609="РЕШ согласование"),0.3,IF(OR(K3609="ЭЗ согласовано",K3609="РЕШ согласовано",K3609="РЕШ подписано"),0.6,IF(OR(K3609="ЭЗ ПР согласование",K3609="РЕШ УВ согласование"),0.9,IF(OR(K3609="ЭЗ ПР DONE",K3609="РЕШ УВ DONE"),1,0)))))</f>
        <v>1</v>
      </c>
      <c r="K3609" s="74" t="s">
        <v>204</v>
      </c>
      <c r="L3609" s="97" t="s">
        <v>11351</v>
      </c>
      <c r="N3609" s="76" t="s">
        <v>19</v>
      </c>
      <c r="Q3609" s="76" t="s">
        <v>11580</v>
      </c>
      <c r="R3609" s="73">
        <f t="shared" ref="R3609:R3621" si="418">IF(S3609="В работе",0.3,IF(S3609="Отписано",0.6,IF(S3609="На доработку",0.9,IF(S3609="Согласовано",1,0))))</f>
        <v>1</v>
      </c>
      <c r="S3609" s="260" t="s">
        <v>1976</v>
      </c>
      <c r="T3609" s="260" t="s">
        <v>925</v>
      </c>
      <c r="Y3609" s="566">
        <v>0.59159722222222222</v>
      </c>
      <c r="Z3609" s="566">
        <v>0.59538194444444448</v>
      </c>
      <c r="AA3609" s="566">
        <f t="shared" si="416"/>
        <v>3.7847222222222587E-3</v>
      </c>
    </row>
    <row r="3610" spans="1:27" x14ac:dyDescent="0.3">
      <c r="A3610" s="79" t="s">
        <v>11483</v>
      </c>
      <c r="C3610" s="115">
        <v>44097</v>
      </c>
      <c r="D3610" s="312">
        <v>44118</v>
      </c>
      <c r="E3610" s="81">
        <v>44112</v>
      </c>
      <c r="F3610" s="86" t="s">
        <v>11569</v>
      </c>
      <c r="G3610" s="86" t="s">
        <v>150</v>
      </c>
      <c r="H3610" s="96" t="s">
        <v>213</v>
      </c>
      <c r="I3610" s="97" t="s">
        <v>722</v>
      </c>
      <c r="J3610" s="73">
        <f t="shared" si="417"/>
        <v>1</v>
      </c>
      <c r="K3610" s="74" t="s">
        <v>204</v>
      </c>
      <c r="L3610" s="97" t="s">
        <v>7322</v>
      </c>
      <c r="N3610" s="76" t="s">
        <v>18</v>
      </c>
      <c r="Q3610" s="76" t="s">
        <v>2076</v>
      </c>
      <c r="R3610" s="73">
        <f t="shared" si="418"/>
        <v>1</v>
      </c>
      <c r="S3610" s="260" t="s">
        <v>1976</v>
      </c>
      <c r="T3610" s="260" t="s">
        <v>923</v>
      </c>
      <c r="Y3610" s="566">
        <v>0.47552083333333334</v>
      </c>
      <c r="Z3610" s="566">
        <v>0.49291666666666667</v>
      </c>
      <c r="AA3610" s="566">
        <f t="shared" si="416"/>
        <v>1.7395833333333333E-2</v>
      </c>
    </row>
    <row r="3611" spans="1:27" x14ac:dyDescent="0.3">
      <c r="A3611" s="79" t="s">
        <v>11484</v>
      </c>
      <c r="C3611" s="115">
        <v>44097</v>
      </c>
      <c r="D3611" s="312">
        <v>44118</v>
      </c>
      <c r="E3611" s="81">
        <v>44111</v>
      </c>
      <c r="F3611" s="86" t="s">
        <v>11570</v>
      </c>
      <c r="G3611" s="86" t="s">
        <v>168</v>
      </c>
      <c r="H3611" s="96" t="s">
        <v>213</v>
      </c>
      <c r="I3611" s="97" t="s">
        <v>649</v>
      </c>
      <c r="J3611" s="73">
        <f t="shared" si="417"/>
        <v>1</v>
      </c>
      <c r="K3611" s="74" t="s">
        <v>204</v>
      </c>
      <c r="L3611" s="97" t="s">
        <v>7060</v>
      </c>
      <c r="N3611" s="76" t="s">
        <v>17</v>
      </c>
      <c r="Q3611" s="76" t="s">
        <v>5193</v>
      </c>
      <c r="R3611" s="73">
        <f t="shared" si="418"/>
        <v>1</v>
      </c>
      <c r="S3611" s="260" t="s">
        <v>1976</v>
      </c>
      <c r="T3611" s="260" t="s">
        <v>924</v>
      </c>
      <c r="Y3611" s="566">
        <v>0.69678240740740749</v>
      </c>
      <c r="Z3611" s="566">
        <v>0.70637731481481481</v>
      </c>
      <c r="AA3611" s="566">
        <f t="shared" si="416"/>
        <v>9.594907407407316E-3</v>
      </c>
    </row>
    <row r="3612" spans="1:27" x14ac:dyDescent="0.3">
      <c r="A3612" s="79" t="s">
        <v>11485</v>
      </c>
      <c r="C3612" s="115">
        <v>44098</v>
      </c>
      <c r="D3612" s="312">
        <v>44119</v>
      </c>
      <c r="E3612" s="81">
        <v>44113</v>
      </c>
      <c r="F3612" s="86" t="s">
        <v>11571</v>
      </c>
      <c r="G3612" s="86" t="s">
        <v>147</v>
      </c>
      <c r="H3612" s="79" t="s">
        <v>268</v>
      </c>
      <c r="I3612" s="97" t="s">
        <v>11628</v>
      </c>
      <c r="J3612" s="73">
        <f t="shared" si="417"/>
        <v>1</v>
      </c>
      <c r="K3612" s="74" t="s">
        <v>204</v>
      </c>
      <c r="L3612" s="97" t="s">
        <v>11627</v>
      </c>
      <c r="N3612" s="76" t="s">
        <v>18</v>
      </c>
      <c r="Q3612" s="76" t="s">
        <v>2037</v>
      </c>
      <c r="R3612" s="73">
        <f t="shared" si="418"/>
        <v>1</v>
      </c>
      <c r="S3612" s="260" t="s">
        <v>1976</v>
      </c>
      <c r="T3612" s="260" t="s">
        <v>923</v>
      </c>
      <c r="Y3612" s="566">
        <v>0.39743055555555556</v>
      </c>
      <c r="Z3612" s="566">
        <v>0.41405092592592596</v>
      </c>
      <c r="AA3612" s="566">
        <f t="shared" si="416"/>
        <v>1.6620370370370396E-2</v>
      </c>
    </row>
    <row r="3613" spans="1:27" x14ac:dyDescent="0.3">
      <c r="A3613" s="79" t="s">
        <v>11486</v>
      </c>
      <c r="C3613" s="115">
        <v>44098</v>
      </c>
      <c r="D3613" s="312">
        <v>44119</v>
      </c>
      <c r="E3613" s="81">
        <v>44112</v>
      </c>
      <c r="F3613" s="86" t="s">
        <v>11572</v>
      </c>
      <c r="G3613" s="86" t="s">
        <v>150</v>
      </c>
      <c r="H3613" s="96" t="s">
        <v>213</v>
      </c>
      <c r="I3613" s="97" t="s">
        <v>1113</v>
      </c>
      <c r="J3613" s="73">
        <f t="shared" si="417"/>
        <v>1</v>
      </c>
      <c r="K3613" s="74" t="s">
        <v>204</v>
      </c>
      <c r="L3613" s="97" t="s">
        <v>11622</v>
      </c>
      <c r="N3613" s="76" t="s">
        <v>18</v>
      </c>
      <c r="Q3613" s="76" t="s">
        <v>2076</v>
      </c>
      <c r="R3613" s="73">
        <f t="shared" si="418"/>
        <v>1</v>
      </c>
      <c r="S3613" s="260" t="s">
        <v>1976</v>
      </c>
      <c r="T3613" s="260" t="s">
        <v>924</v>
      </c>
      <c r="Y3613" s="566">
        <v>0.69795138888888886</v>
      </c>
      <c r="Z3613" s="566">
        <v>0.70502314814814815</v>
      </c>
      <c r="AA3613" s="566">
        <f t="shared" si="416"/>
        <v>7.0717592592592915E-3</v>
      </c>
    </row>
    <row r="3614" spans="1:27" x14ac:dyDescent="0.3">
      <c r="A3614" s="79" t="s">
        <v>11487</v>
      </c>
      <c r="C3614" s="115">
        <v>44098</v>
      </c>
      <c r="D3614" s="312">
        <v>44119</v>
      </c>
      <c r="E3614" s="81">
        <v>44113</v>
      </c>
      <c r="F3614" s="86" t="s">
        <v>11573</v>
      </c>
      <c r="G3614" s="86" t="s">
        <v>150</v>
      </c>
      <c r="H3614" s="96" t="s">
        <v>213</v>
      </c>
      <c r="I3614" s="97" t="s">
        <v>649</v>
      </c>
      <c r="J3614" s="73">
        <f t="shared" si="417"/>
        <v>1</v>
      </c>
      <c r="K3614" s="74" t="s">
        <v>204</v>
      </c>
      <c r="L3614" s="97" t="s">
        <v>7065</v>
      </c>
      <c r="N3614" s="76" t="s">
        <v>17</v>
      </c>
      <c r="Q3614" s="76" t="s">
        <v>2076</v>
      </c>
      <c r="R3614" s="73">
        <f t="shared" si="418"/>
        <v>1</v>
      </c>
      <c r="S3614" s="260" t="s">
        <v>1976</v>
      </c>
      <c r="T3614" s="260" t="s">
        <v>923</v>
      </c>
      <c r="Y3614" s="566">
        <v>0.50090277777777781</v>
      </c>
      <c r="Z3614" s="566">
        <v>0.51650462962962962</v>
      </c>
      <c r="AA3614" s="566">
        <f t="shared" si="416"/>
        <v>1.5601851851851811E-2</v>
      </c>
    </row>
    <row r="3615" spans="1:27" x14ac:dyDescent="0.3">
      <c r="A3615" s="79" t="s">
        <v>11488</v>
      </c>
      <c r="C3615" s="115">
        <v>44099</v>
      </c>
      <c r="D3615" s="312">
        <v>44120</v>
      </c>
      <c r="E3615" s="81">
        <v>44116</v>
      </c>
      <c r="F3615" s="86" t="s">
        <v>11574</v>
      </c>
      <c r="G3615" s="86" t="s">
        <v>152</v>
      </c>
      <c r="H3615" s="96" t="s">
        <v>213</v>
      </c>
      <c r="I3615" s="97" t="s">
        <v>3475</v>
      </c>
      <c r="J3615" s="73">
        <f t="shared" si="417"/>
        <v>1</v>
      </c>
      <c r="K3615" s="74" t="s">
        <v>204</v>
      </c>
      <c r="L3615" s="97" t="s">
        <v>11634</v>
      </c>
      <c r="N3615" s="76" t="s">
        <v>19</v>
      </c>
      <c r="Q3615" s="76" t="s">
        <v>11580</v>
      </c>
      <c r="R3615" s="73">
        <f t="shared" si="418"/>
        <v>1</v>
      </c>
      <c r="S3615" s="260" t="s">
        <v>1976</v>
      </c>
      <c r="T3615" s="260" t="s">
        <v>925</v>
      </c>
      <c r="Y3615" s="566">
        <v>0.47046296296296292</v>
      </c>
      <c r="Z3615" s="566">
        <v>0.47531250000000003</v>
      </c>
      <c r="AA3615" s="566">
        <f t="shared" si="416"/>
        <v>4.8495370370371105E-3</v>
      </c>
    </row>
    <row r="3616" spans="1:27" x14ac:dyDescent="0.3">
      <c r="A3616" s="79" t="s">
        <v>11489</v>
      </c>
      <c r="C3616" s="115">
        <v>44099</v>
      </c>
      <c r="D3616" s="312">
        <v>44120</v>
      </c>
      <c r="E3616" s="81">
        <v>44113</v>
      </c>
      <c r="F3616" s="86" t="s">
        <v>11575</v>
      </c>
      <c r="G3616" s="86" t="s">
        <v>175</v>
      </c>
      <c r="H3616" s="96" t="s">
        <v>213</v>
      </c>
      <c r="I3616" s="97" t="s">
        <v>649</v>
      </c>
      <c r="J3616" s="73">
        <f t="shared" si="417"/>
        <v>1</v>
      </c>
      <c r="K3616" s="74" t="s">
        <v>204</v>
      </c>
      <c r="L3616" s="97" t="s">
        <v>10204</v>
      </c>
      <c r="N3616" s="76" t="s">
        <v>18</v>
      </c>
      <c r="Q3616" s="76" t="s">
        <v>2037</v>
      </c>
      <c r="R3616" s="73">
        <f t="shared" si="418"/>
        <v>1</v>
      </c>
      <c r="S3616" s="260" t="s">
        <v>1976</v>
      </c>
      <c r="T3616" s="260" t="s">
        <v>925</v>
      </c>
      <c r="Y3616" s="566">
        <v>0.37223379629629627</v>
      </c>
      <c r="Z3616" s="566">
        <v>0.37644675925925924</v>
      </c>
      <c r="AA3616" s="566">
        <f t="shared" si="416"/>
        <v>4.2129629629629739E-3</v>
      </c>
    </row>
    <row r="3617" spans="1:27" x14ac:dyDescent="0.3">
      <c r="A3617" s="79" t="s">
        <v>11490</v>
      </c>
      <c r="C3617" s="115">
        <v>44099</v>
      </c>
      <c r="D3617" s="312">
        <v>44120</v>
      </c>
      <c r="E3617" s="81">
        <v>44113</v>
      </c>
      <c r="F3617" s="86" t="s">
        <v>11576</v>
      </c>
      <c r="G3617" s="86" t="s">
        <v>9119</v>
      </c>
      <c r="H3617" s="96" t="s">
        <v>213</v>
      </c>
      <c r="I3617" s="97" t="s">
        <v>1113</v>
      </c>
      <c r="J3617" s="73">
        <f t="shared" si="417"/>
        <v>1</v>
      </c>
      <c r="K3617" s="74" t="s">
        <v>204</v>
      </c>
      <c r="L3617" s="97" t="s">
        <v>9188</v>
      </c>
      <c r="N3617" s="76" t="s">
        <v>18</v>
      </c>
      <c r="Q3617" s="76" t="s">
        <v>2142</v>
      </c>
      <c r="R3617" s="73">
        <f t="shared" si="418"/>
        <v>1</v>
      </c>
      <c r="S3617" s="260" t="s">
        <v>1976</v>
      </c>
      <c r="T3617" s="260" t="s">
        <v>924</v>
      </c>
      <c r="Y3617" s="566">
        <v>0.60520833333333335</v>
      </c>
      <c r="Z3617" s="566">
        <v>0.60802083333333334</v>
      </c>
      <c r="AA3617" s="566">
        <f t="shared" si="416"/>
        <v>2.8124999999999956E-3</v>
      </c>
    </row>
    <row r="3618" spans="1:27" x14ac:dyDescent="0.3">
      <c r="A3618" s="79" t="s">
        <v>11491</v>
      </c>
      <c r="C3618" s="115">
        <v>44099</v>
      </c>
      <c r="D3618" s="312">
        <v>44120</v>
      </c>
      <c r="E3618" s="81">
        <v>44113</v>
      </c>
      <c r="F3618" s="86" t="s">
        <v>10308</v>
      </c>
      <c r="G3618" s="86" t="s">
        <v>150</v>
      </c>
      <c r="H3618" s="96" t="s">
        <v>213</v>
      </c>
      <c r="I3618" s="97" t="s">
        <v>649</v>
      </c>
      <c r="J3618" s="73">
        <f t="shared" si="417"/>
        <v>1</v>
      </c>
      <c r="K3618" s="74" t="s">
        <v>204</v>
      </c>
      <c r="L3618" s="97" t="s">
        <v>7089</v>
      </c>
      <c r="N3618" s="76" t="s">
        <v>18</v>
      </c>
      <c r="Q3618" s="76" t="s">
        <v>2076</v>
      </c>
      <c r="R3618" s="73">
        <f t="shared" si="418"/>
        <v>1</v>
      </c>
      <c r="S3618" s="260" t="s">
        <v>1976</v>
      </c>
      <c r="T3618" s="260" t="s">
        <v>925</v>
      </c>
      <c r="Y3618" s="566">
        <v>0.43496527777777777</v>
      </c>
      <c r="Z3618" s="566">
        <v>0.47332175925925929</v>
      </c>
      <c r="AA3618" s="566">
        <f t="shared" si="416"/>
        <v>3.8356481481481519E-2</v>
      </c>
    </row>
    <row r="3619" spans="1:27" x14ac:dyDescent="0.3">
      <c r="A3619" s="79" t="s">
        <v>11492</v>
      </c>
      <c r="C3619" s="115">
        <v>44099</v>
      </c>
      <c r="D3619" s="312">
        <v>44120</v>
      </c>
      <c r="E3619" s="81">
        <v>44114</v>
      </c>
      <c r="F3619" s="86" t="s">
        <v>11577</v>
      </c>
      <c r="G3619" s="86" t="s">
        <v>154</v>
      </c>
      <c r="H3619" s="96" t="s">
        <v>213</v>
      </c>
      <c r="I3619" s="97" t="s">
        <v>649</v>
      </c>
      <c r="J3619" s="73">
        <f t="shared" si="417"/>
        <v>1</v>
      </c>
      <c r="K3619" s="74" t="s">
        <v>204</v>
      </c>
      <c r="L3619" s="97" t="s">
        <v>7089</v>
      </c>
      <c r="N3619" s="76" t="s">
        <v>18</v>
      </c>
      <c r="Q3619" s="76" t="s">
        <v>5193</v>
      </c>
      <c r="R3619" s="73">
        <f t="shared" si="418"/>
        <v>1</v>
      </c>
      <c r="S3619" s="260" t="s">
        <v>1976</v>
      </c>
      <c r="T3619" s="260" t="s">
        <v>924</v>
      </c>
      <c r="Y3619" s="566">
        <v>0.48053240740740738</v>
      </c>
      <c r="Z3619" s="566">
        <v>0.48568287037037039</v>
      </c>
      <c r="AA3619" s="566">
        <f t="shared" si="416"/>
        <v>5.1504629629630094E-3</v>
      </c>
    </row>
    <row r="3620" spans="1:27" x14ac:dyDescent="0.3">
      <c r="A3620" s="79" t="s">
        <v>11493</v>
      </c>
      <c r="C3620" s="115">
        <v>44099</v>
      </c>
      <c r="D3620" s="312">
        <v>44120</v>
      </c>
      <c r="E3620" s="81">
        <v>44113</v>
      </c>
      <c r="F3620" s="86" t="s">
        <v>11578</v>
      </c>
      <c r="G3620" s="86" t="s">
        <v>152</v>
      </c>
      <c r="H3620" s="96" t="s">
        <v>213</v>
      </c>
      <c r="I3620" s="97" t="s">
        <v>622</v>
      </c>
      <c r="J3620" s="73">
        <f t="shared" si="417"/>
        <v>1</v>
      </c>
      <c r="K3620" s="74" t="s">
        <v>204</v>
      </c>
      <c r="L3620" s="97" t="s">
        <v>11629</v>
      </c>
      <c r="N3620" s="76" t="s">
        <v>19</v>
      </c>
      <c r="Q3620" s="76" t="s">
        <v>2076</v>
      </c>
      <c r="R3620" s="73">
        <f t="shared" si="418"/>
        <v>1</v>
      </c>
      <c r="S3620" s="260" t="s">
        <v>1976</v>
      </c>
      <c r="T3620" s="260" t="s">
        <v>925</v>
      </c>
      <c r="Y3620" s="566">
        <v>0.47373842592592591</v>
      </c>
      <c r="Z3620" s="566">
        <v>0.48706018518518518</v>
      </c>
      <c r="AA3620" s="566">
        <f t="shared" si="416"/>
        <v>1.3321759259259269E-2</v>
      </c>
    </row>
    <row r="3621" spans="1:27" x14ac:dyDescent="0.3">
      <c r="A3621" s="79" t="s">
        <v>11494</v>
      </c>
      <c r="C3621" s="115">
        <v>44099</v>
      </c>
      <c r="D3621" s="312">
        <v>44120</v>
      </c>
      <c r="E3621" s="81">
        <v>44113</v>
      </c>
      <c r="F3621" s="86" t="s">
        <v>11579</v>
      </c>
      <c r="G3621" s="86" t="s">
        <v>410</v>
      </c>
      <c r="H3621" s="96" t="s">
        <v>213</v>
      </c>
      <c r="I3621" s="97" t="s">
        <v>649</v>
      </c>
      <c r="J3621" s="73">
        <f t="shared" si="417"/>
        <v>1</v>
      </c>
      <c r="K3621" s="74" t="s">
        <v>204</v>
      </c>
      <c r="L3621" s="97" t="s">
        <v>11630</v>
      </c>
      <c r="N3621" s="76" t="s">
        <v>17</v>
      </c>
      <c r="Q3621" s="76" t="s">
        <v>2076</v>
      </c>
      <c r="R3621" s="73">
        <f t="shared" si="418"/>
        <v>1</v>
      </c>
      <c r="S3621" s="260" t="s">
        <v>1976</v>
      </c>
      <c r="T3621" s="260" t="s">
        <v>924</v>
      </c>
      <c r="Y3621" s="566">
        <v>0.48741898148148149</v>
      </c>
      <c r="Z3621" s="566">
        <v>0.50042824074074077</v>
      </c>
      <c r="AA3621" s="566">
        <f t="shared" si="416"/>
        <v>1.3009259259259276E-2</v>
      </c>
    </row>
    <row r="3622" spans="1:27" x14ac:dyDescent="0.3">
      <c r="A3622" s="79" t="s">
        <v>11635</v>
      </c>
      <c r="C3622" s="115">
        <v>44090</v>
      </c>
      <c r="D3622" s="312">
        <v>44140</v>
      </c>
      <c r="E3622" s="81">
        <v>44132</v>
      </c>
      <c r="F3622" s="86" t="s">
        <v>11693</v>
      </c>
      <c r="G3622" s="97" t="s">
        <v>156</v>
      </c>
      <c r="H3622" s="79" t="s">
        <v>268</v>
      </c>
      <c r="I3622" s="97" t="s">
        <v>657</v>
      </c>
      <c r="J3622" s="73">
        <f t="shared" ref="J3622" si="419">IF(OR(K3622="Документы готовы",K3622="Запрос в ФО",K3622="ЭЗ",K3622="РЕШ",K3622="РЕШ шаблон"),0.1,IF(OR(K3622="ЭЗ согласование",K3622="РЕШ согласование"),0.3,IF(OR(K3622="ЭЗ согласовано",K3622="РЕШ согласовано",K3622="РЕШ подписано"),0.6,IF(OR(K3622="ЭЗ ПР согласование",K3622="РЕШ УВ согласование"),0.9,IF(OR(K3622="ЭЗ ПР DONE",K3622="РЕШ УВ DONE"),1,0)))))</f>
        <v>1</v>
      </c>
      <c r="K3622" s="74" t="s">
        <v>204</v>
      </c>
      <c r="L3622" s="97" t="s">
        <v>7374</v>
      </c>
      <c r="N3622" s="76" t="s">
        <v>17</v>
      </c>
      <c r="Q3622" s="301" t="s">
        <v>11751</v>
      </c>
      <c r="R3622" s="73">
        <f t="shared" ref="R3622" si="420">IF(S3622="В работе",0.3,IF(S3622="Отписано",0.6,IF(S3622="На доработку",0.9,IF(S3622="Согласовано",1,0))))</f>
        <v>1</v>
      </c>
      <c r="S3622" s="260" t="s">
        <v>1976</v>
      </c>
      <c r="T3622" s="260" t="s">
        <v>923</v>
      </c>
      <c r="Y3622" s="566">
        <v>0.92605324074074069</v>
      </c>
      <c r="Z3622" s="566">
        <v>0.94155092592592593</v>
      </c>
      <c r="AA3622" s="566">
        <f t="shared" ref="AA3622" si="421">Z3622-Y3622</f>
        <v>1.5497685185185239E-2</v>
      </c>
    </row>
    <row r="3623" spans="1:27" x14ac:dyDescent="0.3">
      <c r="A3623" s="79" t="s">
        <v>11636</v>
      </c>
      <c r="C3623" s="115">
        <v>44090</v>
      </c>
      <c r="D3623" s="312">
        <v>44140</v>
      </c>
      <c r="E3623" s="81">
        <v>44132</v>
      </c>
      <c r="F3623" s="86" t="s">
        <v>11694</v>
      </c>
      <c r="G3623" s="86" t="s">
        <v>152</v>
      </c>
      <c r="H3623" s="96" t="s">
        <v>213</v>
      </c>
      <c r="I3623" s="97" t="s">
        <v>1635</v>
      </c>
      <c r="J3623" s="73">
        <f t="shared" ref="J3623:J3667" si="422">IF(OR(K3623="Документы готовы",K3623="Запрос в ФО",K3623="ЭЗ",K3623="РЕШ",K3623="РЕШ шаблон"),0.1,IF(OR(K3623="ЭЗ согласование",K3623="РЕШ согласование"),0.3,IF(OR(K3623="ЭЗ согласовано",K3623="РЕШ согласовано",K3623="РЕШ подписано"),0.6,IF(OR(K3623="ЭЗ ПР согласование",K3623="РЕШ УВ согласование"),0.9,IF(OR(K3623="ЭЗ ПР DONE",K3623="РЕШ УВ DONE"),1,0)))))</f>
        <v>1</v>
      </c>
      <c r="K3623" s="74" t="s">
        <v>204</v>
      </c>
      <c r="L3623" s="97" t="s">
        <v>12112</v>
      </c>
      <c r="N3623" s="76" t="s">
        <v>17</v>
      </c>
      <c r="Q3623" s="76" t="s">
        <v>5193</v>
      </c>
      <c r="R3623" s="73">
        <f t="shared" ref="R3623:R3667" si="423">IF(S3623="В работе",0.3,IF(S3623="Отписано",0.6,IF(S3623="На доработку",0.9,IF(S3623="Согласовано",1,0))))</f>
        <v>1</v>
      </c>
      <c r="S3623" s="260" t="s">
        <v>1976</v>
      </c>
      <c r="T3623" s="260" t="s">
        <v>924</v>
      </c>
      <c r="Y3623" s="566">
        <v>0.78708333333333336</v>
      </c>
      <c r="Z3623" s="566">
        <v>0.80836805555555558</v>
      </c>
      <c r="AA3623" s="566">
        <f t="shared" ref="AA3623:AA3667" si="424">Z3623-Y3623</f>
        <v>2.1284722222222219E-2</v>
      </c>
    </row>
    <row r="3624" spans="1:27" x14ac:dyDescent="0.3">
      <c r="A3624" s="79" t="s">
        <v>11637</v>
      </c>
      <c r="C3624" s="115">
        <v>44095</v>
      </c>
      <c r="D3624" s="312">
        <v>44138</v>
      </c>
      <c r="E3624" s="81">
        <v>44134</v>
      </c>
      <c r="F3624" s="86" t="s">
        <v>11695</v>
      </c>
      <c r="G3624" s="86" t="s">
        <v>152</v>
      </c>
      <c r="H3624" s="96" t="s">
        <v>213</v>
      </c>
      <c r="I3624" s="97" t="s">
        <v>691</v>
      </c>
      <c r="J3624" s="73">
        <f t="shared" si="422"/>
        <v>1</v>
      </c>
      <c r="K3624" s="74" t="s">
        <v>204</v>
      </c>
      <c r="L3624" s="97" t="s">
        <v>12122</v>
      </c>
      <c r="N3624" s="76" t="s">
        <v>18</v>
      </c>
      <c r="Q3624" s="76" t="s">
        <v>2142</v>
      </c>
      <c r="R3624" s="73">
        <f t="shared" si="423"/>
        <v>1</v>
      </c>
      <c r="S3624" s="260" t="s">
        <v>1976</v>
      </c>
      <c r="T3624" s="260" t="s">
        <v>923</v>
      </c>
      <c r="U3624" s="76" t="s">
        <v>5283</v>
      </c>
      <c r="V3624" s="301" t="s">
        <v>12121</v>
      </c>
      <c r="Y3624" s="566">
        <v>0.39954861111111112</v>
      </c>
      <c r="Z3624" s="566">
        <v>0.42878472222222225</v>
      </c>
      <c r="AA3624" s="566">
        <f t="shared" si="424"/>
        <v>2.9236111111111129E-2</v>
      </c>
    </row>
    <row r="3625" spans="1:27" x14ac:dyDescent="0.3">
      <c r="A3625" s="79" t="s">
        <v>11638</v>
      </c>
      <c r="C3625" s="115">
        <v>44099</v>
      </c>
      <c r="D3625" s="312">
        <v>44137</v>
      </c>
      <c r="E3625" s="81">
        <v>44132</v>
      </c>
      <c r="F3625" s="86" t="s">
        <v>11696</v>
      </c>
      <c r="G3625" s="86" t="s">
        <v>147</v>
      </c>
      <c r="H3625" s="96" t="s">
        <v>213</v>
      </c>
      <c r="I3625" s="97" t="s">
        <v>642</v>
      </c>
      <c r="J3625" s="73">
        <f t="shared" si="422"/>
        <v>1</v>
      </c>
      <c r="K3625" s="74" t="s">
        <v>204</v>
      </c>
      <c r="L3625" s="97" t="s">
        <v>7097</v>
      </c>
      <c r="N3625" s="76" t="s">
        <v>18</v>
      </c>
      <c r="Q3625" s="76" t="s">
        <v>2142</v>
      </c>
      <c r="R3625" s="73">
        <f t="shared" si="423"/>
        <v>1</v>
      </c>
      <c r="S3625" s="260" t="s">
        <v>1976</v>
      </c>
      <c r="T3625" s="260" t="s">
        <v>923</v>
      </c>
      <c r="Y3625" s="566">
        <v>0.97357638888888898</v>
      </c>
      <c r="Z3625" s="566">
        <v>0.98056712962962955</v>
      </c>
      <c r="AA3625" s="566">
        <f t="shared" si="424"/>
        <v>6.9907407407405753E-3</v>
      </c>
    </row>
    <row r="3626" spans="1:27" x14ac:dyDescent="0.3">
      <c r="A3626" s="79" t="s">
        <v>11639</v>
      </c>
      <c r="C3626" s="115">
        <v>44102</v>
      </c>
      <c r="D3626" s="312">
        <v>44137</v>
      </c>
      <c r="E3626" s="81">
        <v>44131</v>
      </c>
      <c r="F3626" s="86" t="s">
        <v>11697</v>
      </c>
      <c r="G3626" s="86" t="s">
        <v>157</v>
      </c>
      <c r="H3626" s="96" t="s">
        <v>213</v>
      </c>
      <c r="I3626" s="97" t="s">
        <v>642</v>
      </c>
      <c r="J3626" s="73">
        <f t="shared" si="422"/>
        <v>1</v>
      </c>
      <c r="K3626" s="74" t="s">
        <v>204</v>
      </c>
      <c r="L3626" s="97" t="s">
        <v>11770</v>
      </c>
      <c r="N3626" s="76" t="s">
        <v>18</v>
      </c>
      <c r="Q3626" s="76" t="s">
        <v>5193</v>
      </c>
      <c r="R3626" s="73">
        <f t="shared" si="423"/>
        <v>1</v>
      </c>
      <c r="S3626" s="260" t="s">
        <v>1976</v>
      </c>
      <c r="T3626" s="260" t="s">
        <v>925</v>
      </c>
      <c r="Y3626" s="566">
        <v>0.67412037037037031</v>
      </c>
      <c r="Z3626" s="566">
        <v>0.70400462962962962</v>
      </c>
      <c r="AA3626" s="566">
        <f t="shared" si="424"/>
        <v>2.9884259259259305E-2</v>
      </c>
    </row>
    <row r="3627" spans="1:27" x14ac:dyDescent="0.3">
      <c r="A3627" s="79" t="s">
        <v>11640</v>
      </c>
      <c r="C3627" s="115">
        <v>44102</v>
      </c>
      <c r="D3627" s="312">
        <v>44137</v>
      </c>
      <c r="E3627" s="81">
        <v>44131</v>
      </c>
      <c r="F3627" s="86" t="s">
        <v>11698</v>
      </c>
      <c r="G3627" s="86" t="s">
        <v>156</v>
      </c>
      <c r="H3627" s="96" t="s">
        <v>213</v>
      </c>
      <c r="I3627" s="97" t="s">
        <v>714</v>
      </c>
      <c r="J3627" s="73">
        <f t="shared" si="422"/>
        <v>1</v>
      </c>
      <c r="K3627" s="74" t="s">
        <v>204</v>
      </c>
      <c r="L3627" s="97" t="s">
        <v>11767</v>
      </c>
      <c r="N3627" s="76" t="s">
        <v>17</v>
      </c>
      <c r="Q3627" s="76" t="s">
        <v>11751</v>
      </c>
      <c r="R3627" s="73">
        <f t="shared" si="423"/>
        <v>1</v>
      </c>
      <c r="S3627" s="260" t="s">
        <v>1976</v>
      </c>
      <c r="T3627" s="260" t="s">
        <v>924</v>
      </c>
      <c r="U3627" s="76" t="s">
        <v>5283</v>
      </c>
      <c r="V3627" s="301" t="s">
        <v>11768</v>
      </c>
      <c r="Y3627" s="566">
        <v>0.51575231481481476</v>
      </c>
      <c r="Z3627" s="566">
        <v>0.59989583333333341</v>
      </c>
      <c r="AA3627" s="566">
        <f t="shared" si="424"/>
        <v>8.4143518518518645E-2</v>
      </c>
    </row>
    <row r="3628" spans="1:27" x14ac:dyDescent="0.3">
      <c r="A3628" s="79" t="s">
        <v>11641</v>
      </c>
      <c r="C3628" s="115">
        <v>44102</v>
      </c>
      <c r="D3628" s="312">
        <v>44137</v>
      </c>
      <c r="E3628" s="81">
        <v>44132</v>
      </c>
      <c r="F3628" s="86" t="s">
        <v>11699</v>
      </c>
      <c r="G3628" s="86" t="s">
        <v>150</v>
      </c>
      <c r="H3628" s="96" t="s">
        <v>213</v>
      </c>
      <c r="I3628" s="97" t="s">
        <v>714</v>
      </c>
      <c r="J3628" s="73">
        <f t="shared" si="422"/>
        <v>1</v>
      </c>
      <c r="K3628" s="74" t="s">
        <v>204</v>
      </c>
      <c r="L3628" s="97" t="s">
        <v>7532</v>
      </c>
      <c r="N3628" s="76" t="s">
        <v>17</v>
      </c>
      <c r="Q3628" s="76" t="s">
        <v>2142</v>
      </c>
      <c r="R3628" s="73">
        <f t="shared" si="423"/>
        <v>1</v>
      </c>
      <c r="S3628" s="260" t="s">
        <v>1976</v>
      </c>
      <c r="T3628" s="260" t="s">
        <v>924</v>
      </c>
      <c r="Y3628" s="566">
        <v>0.47009259259259256</v>
      </c>
      <c r="Z3628" s="566">
        <v>0.52048611111111109</v>
      </c>
      <c r="AA3628" s="566">
        <f t="shared" si="424"/>
        <v>5.0393518518518532E-2</v>
      </c>
    </row>
    <row r="3629" spans="1:27" x14ac:dyDescent="0.3">
      <c r="A3629" s="79" t="s">
        <v>11642</v>
      </c>
      <c r="C3629" s="115">
        <v>44102</v>
      </c>
      <c r="D3629" s="312">
        <v>44137</v>
      </c>
      <c r="E3629" s="81">
        <v>44132</v>
      </c>
      <c r="F3629" s="86" t="s">
        <v>11700</v>
      </c>
      <c r="G3629" s="86" t="s">
        <v>9119</v>
      </c>
      <c r="H3629" s="96" t="s">
        <v>213</v>
      </c>
      <c r="I3629" s="97" t="s">
        <v>714</v>
      </c>
      <c r="J3629" s="73">
        <f t="shared" si="422"/>
        <v>1</v>
      </c>
      <c r="K3629" s="74" t="s">
        <v>204</v>
      </c>
      <c r="L3629" s="97" t="s">
        <v>7336</v>
      </c>
      <c r="N3629" s="76" t="s">
        <v>18</v>
      </c>
      <c r="Q3629" s="76" t="s">
        <v>2142</v>
      </c>
      <c r="R3629" s="73">
        <f t="shared" si="423"/>
        <v>1</v>
      </c>
      <c r="S3629" s="260" t="s">
        <v>1976</v>
      </c>
      <c r="T3629" s="260" t="s">
        <v>925</v>
      </c>
      <c r="Y3629" s="566">
        <v>0.52114583333333331</v>
      </c>
      <c r="Z3629" s="566">
        <v>0.52679398148148149</v>
      </c>
      <c r="AA3629" s="566">
        <f t="shared" si="424"/>
        <v>5.6481481481481799E-3</v>
      </c>
    </row>
    <row r="3630" spans="1:27" x14ac:dyDescent="0.3">
      <c r="A3630" s="79" t="s">
        <v>11643</v>
      </c>
      <c r="C3630" s="115">
        <v>44102</v>
      </c>
      <c r="D3630" s="312">
        <v>44137</v>
      </c>
      <c r="E3630" s="81">
        <v>44130</v>
      </c>
      <c r="F3630" s="86" t="s">
        <v>11701</v>
      </c>
      <c r="G3630" s="86" t="s">
        <v>9119</v>
      </c>
      <c r="H3630" s="96" t="s">
        <v>213</v>
      </c>
      <c r="I3630" s="97" t="s">
        <v>642</v>
      </c>
      <c r="J3630" s="73">
        <f t="shared" si="422"/>
        <v>1</v>
      </c>
      <c r="K3630" s="74" t="s">
        <v>204</v>
      </c>
      <c r="L3630" s="97" t="s">
        <v>7066</v>
      </c>
      <c r="N3630" s="76" t="s">
        <v>18</v>
      </c>
      <c r="Q3630" s="76" t="s">
        <v>11751</v>
      </c>
      <c r="R3630" s="73">
        <f t="shared" si="423"/>
        <v>1</v>
      </c>
      <c r="S3630" s="260" t="s">
        <v>1976</v>
      </c>
      <c r="T3630" s="260" t="s">
        <v>924</v>
      </c>
      <c r="U3630" s="301" t="s">
        <v>5283</v>
      </c>
      <c r="V3630" s="301" t="s">
        <v>11753</v>
      </c>
      <c r="Y3630" s="566">
        <v>0.62137731481481484</v>
      </c>
      <c r="Z3630" s="566">
        <v>0.62797453703703698</v>
      </c>
      <c r="AA3630" s="566">
        <f t="shared" si="424"/>
        <v>6.5972222222221433E-3</v>
      </c>
    </row>
    <row r="3631" spans="1:27" x14ac:dyDescent="0.3">
      <c r="A3631" s="79" t="s">
        <v>11644</v>
      </c>
      <c r="C3631" s="115">
        <v>44102</v>
      </c>
      <c r="D3631" s="312">
        <v>44137</v>
      </c>
      <c r="E3631" s="81">
        <v>44131</v>
      </c>
      <c r="F3631" s="86" t="s">
        <v>11702</v>
      </c>
      <c r="G3631" s="86" t="s">
        <v>147</v>
      </c>
      <c r="H3631" s="96" t="s">
        <v>213</v>
      </c>
      <c r="I3631" s="97" t="s">
        <v>1635</v>
      </c>
      <c r="J3631" s="73">
        <f t="shared" si="422"/>
        <v>1</v>
      </c>
      <c r="K3631" s="74" t="s">
        <v>204</v>
      </c>
      <c r="L3631" s="97" t="s">
        <v>11771</v>
      </c>
      <c r="N3631" s="76" t="s">
        <v>18</v>
      </c>
      <c r="Q3631" s="76" t="s">
        <v>5193</v>
      </c>
      <c r="R3631" s="73">
        <f t="shared" si="423"/>
        <v>1</v>
      </c>
      <c r="S3631" s="260" t="s">
        <v>1976</v>
      </c>
      <c r="T3631" s="260" t="s">
        <v>924</v>
      </c>
      <c r="Y3631" s="566">
        <v>0.70458333333333334</v>
      </c>
      <c r="Z3631" s="566">
        <v>0.71327546296296296</v>
      </c>
      <c r="AA3631" s="566">
        <f t="shared" si="424"/>
        <v>8.6921296296296191E-3</v>
      </c>
    </row>
    <row r="3632" spans="1:27" x14ac:dyDescent="0.3">
      <c r="A3632" s="79" t="s">
        <v>11645</v>
      </c>
      <c r="C3632" s="115">
        <v>44102</v>
      </c>
      <c r="D3632" s="312">
        <v>44137</v>
      </c>
      <c r="E3632" s="81">
        <v>44131</v>
      </c>
      <c r="F3632" s="86" t="s">
        <v>11703</v>
      </c>
      <c r="G3632" s="86" t="s">
        <v>150</v>
      </c>
      <c r="H3632" s="96" t="s">
        <v>213</v>
      </c>
      <c r="I3632" s="97" t="s">
        <v>7725</v>
      </c>
      <c r="J3632" s="73">
        <f t="shared" si="422"/>
        <v>1</v>
      </c>
      <c r="K3632" s="74" t="s">
        <v>204</v>
      </c>
      <c r="L3632" s="97" t="s">
        <v>11769</v>
      </c>
      <c r="N3632" s="76" t="s">
        <v>17</v>
      </c>
      <c r="Q3632" s="76" t="s">
        <v>11751</v>
      </c>
      <c r="R3632" s="73">
        <f t="shared" si="423"/>
        <v>1</v>
      </c>
      <c r="S3632" s="260" t="s">
        <v>1976</v>
      </c>
      <c r="T3632" s="260" t="s">
        <v>924</v>
      </c>
      <c r="Y3632" s="566">
        <v>0.60167824074074072</v>
      </c>
      <c r="Z3632" s="566">
        <v>0.67290509259259268</v>
      </c>
      <c r="AA3632" s="566">
        <f t="shared" si="424"/>
        <v>7.1226851851851958E-2</v>
      </c>
    </row>
    <row r="3633" spans="1:27" x14ac:dyDescent="0.3">
      <c r="A3633" s="79" t="s">
        <v>11646</v>
      </c>
      <c r="C3633" s="115">
        <v>44103</v>
      </c>
      <c r="D3633" s="312">
        <v>44138</v>
      </c>
      <c r="E3633" s="81">
        <v>44132</v>
      </c>
      <c r="F3633" s="86" t="s">
        <v>11704</v>
      </c>
      <c r="G3633" s="97" t="s">
        <v>8909</v>
      </c>
      <c r="H3633" s="96" t="s">
        <v>213</v>
      </c>
      <c r="I3633" s="97" t="s">
        <v>995</v>
      </c>
      <c r="J3633" s="73">
        <f t="shared" si="422"/>
        <v>1</v>
      </c>
      <c r="K3633" s="74" t="s">
        <v>204</v>
      </c>
      <c r="L3633" s="97" t="s">
        <v>7073</v>
      </c>
      <c r="N3633" s="76" t="s">
        <v>19</v>
      </c>
      <c r="Q3633" s="76" t="s">
        <v>5193</v>
      </c>
      <c r="R3633" s="73">
        <f t="shared" si="423"/>
        <v>1</v>
      </c>
      <c r="S3633" s="260" t="s">
        <v>1976</v>
      </c>
      <c r="T3633" s="260" t="s">
        <v>925</v>
      </c>
      <c r="Y3633" s="566">
        <v>0.70280092592592591</v>
      </c>
      <c r="Z3633" s="566">
        <v>0.70990740740740732</v>
      </c>
      <c r="AA3633" s="566">
        <f t="shared" si="424"/>
        <v>7.1064814814814081E-3</v>
      </c>
    </row>
    <row r="3634" spans="1:27" x14ac:dyDescent="0.3">
      <c r="A3634" s="79" t="s">
        <v>11647</v>
      </c>
      <c r="C3634" s="115">
        <v>44103</v>
      </c>
      <c r="D3634" s="312">
        <v>44138</v>
      </c>
      <c r="E3634" s="81">
        <v>44132</v>
      </c>
      <c r="F3634" s="86" t="s">
        <v>11705</v>
      </c>
      <c r="G3634" s="86" t="s">
        <v>935</v>
      </c>
      <c r="H3634" s="96" t="s">
        <v>213</v>
      </c>
      <c r="I3634" s="97" t="s">
        <v>722</v>
      </c>
      <c r="J3634" s="73">
        <f t="shared" si="422"/>
        <v>1</v>
      </c>
      <c r="K3634" s="74" t="s">
        <v>204</v>
      </c>
      <c r="L3634" s="97" t="s">
        <v>12110</v>
      </c>
      <c r="N3634" s="76" t="s">
        <v>17</v>
      </c>
      <c r="Q3634" s="76" t="s">
        <v>5193</v>
      </c>
      <c r="R3634" s="73">
        <f t="shared" si="423"/>
        <v>1</v>
      </c>
      <c r="S3634" s="260" t="s">
        <v>1976</v>
      </c>
      <c r="T3634" s="260" t="s">
        <v>923</v>
      </c>
      <c r="Y3634" s="566">
        <v>0.71037037037037043</v>
      </c>
      <c r="Z3634" s="566">
        <v>0.73078703703703696</v>
      </c>
      <c r="AA3634" s="566">
        <f t="shared" si="424"/>
        <v>2.0416666666666528E-2</v>
      </c>
    </row>
    <row r="3635" spans="1:27" x14ac:dyDescent="0.3">
      <c r="A3635" s="79" t="s">
        <v>11648</v>
      </c>
      <c r="C3635" s="115">
        <v>44103</v>
      </c>
      <c r="D3635" s="312">
        <v>44138</v>
      </c>
      <c r="E3635" s="81">
        <v>44132</v>
      </c>
      <c r="F3635" s="86" t="s">
        <v>11706</v>
      </c>
      <c r="G3635" s="86" t="s">
        <v>2652</v>
      </c>
      <c r="H3635" s="96" t="s">
        <v>213</v>
      </c>
      <c r="I3635" s="97" t="s">
        <v>642</v>
      </c>
      <c r="J3635" s="73">
        <f t="shared" si="422"/>
        <v>1</v>
      </c>
      <c r="K3635" s="74" t="s">
        <v>204</v>
      </c>
      <c r="L3635" s="97" t="s">
        <v>7108</v>
      </c>
      <c r="N3635" s="76" t="s">
        <v>19</v>
      </c>
      <c r="Q3635" s="76" t="s">
        <v>11751</v>
      </c>
      <c r="R3635" s="73">
        <f t="shared" si="423"/>
        <v>1</v>
      </c>
      <c r="S3635" s="260" t="s">
        <v>1976</v>
      </c>
      <c r="T3635" s="260" t="s">
        <v>924</v>
      </c>
      <c r="Y3635" s="566">
        <v>0.88604166666666673</v>
      </c>
      <c r="Z3635" s="566">
        <v>0.89416666666666667</v>
      </c>
      <c r="AA3635" s="566">
        <f t="shared" si="424"/>
        <v>8.1249999999999378E-3</v>
      </c>
    </row>
    <row r="3636" spans="1:27" x14ac:dyDescent="0.3">
      <c r="A3636" s="79" t="s">
        <v>11649</v>
      </c>
      <c r="C3636" s="115">
        <v>44103</v>
      </c>
      <c r="D3636" s="312">
        <v>44138</v>
      </c>
      <c r="E3636" s="81">
        <v>44133</v>
      </c>
      <c r="F3636" s="86" t="s">
        <v>11707</v>
      </c>
      <c r="G3636" s="86" t="s">
        <v>150</v>
      </c>
      <c r="H3636" s="96" t="s">
        <v>213</v>
      </c>
      <c r="I3636" s="97" t="s">
        <v>722</v>
      </c>
      <c r="J3636" s="73">
        <f t="shared" si="422"/>
        <v>1</v>
      </c>
      <c r="K3636" s="74" t="s">
        <v>204</v>
      </c>
      <c r="L3636" s="97" t="s">
        <v>7322</v>
      </c>
      <c r="N3636" s="76" t="s">
        <v>18</v>
      </c>
      <c r="Q3636" s="76" t="s">
        <v>2142</v>
      </c>
      <c r="R3636" s="73">
        <f t="shared" si="423"/>
        <v>1</v>
      </c>
      <c r="S3636" s="260" t="s">
        <v>1976</v>
      </c>
      <c r="T3636" s="260" t="s">
        <v>924</v>
      </c>
      <c r="Y3636" s="566">
        <v>0.4997800925925926</v>
      </c>
      <c r="Z3636" s="566">
        <v>0.50506944444444446</v>
      </c>
      <c r="AA3636" s="566">
        <f t="shared" si="424"/>
        <v>5.2893518518518645E-3</v>
      </c>
    </row>
    <row r="3637" spans="1:27" x14ac:dyDescent="0.3">
      <c r="A3637" s="79" t="s">
        <v>11650</v>
      </c>
      <c r="C3637" s="115">
        <v>44103</v>
      </c>
      <c r="D3637" s="312">
        <v>44138</v>
      </c>
      <c r="E3637" s="81">
        <v>44132</v>
      </c>
      <c r="F3637" s="86" t="s">
        <v>11708</v>
      </c>
      <c r="G3637" s="86" t="s">
        <v>150</v>
      </c>
      <c r="H3637" s="96" t="s">
        <v>213</v>
      </c>
      <c r="I3637" s="97" t="s">
        <v>714</v>
      </c>
      <c r="J3637" s="73">
        <f t="shared" si="422"/>
        <v>1</v>
      </c>
      <c r="K3637" s="74" t="s">
        <v>204</v>
      </c>
      <c r="L3637" s="97" t="s">
        <v>12111</v>
      </c>
      <c r="N3637" s="76" t="s">
        <v>18</v>
      </c>
      <c r="Q3637" s="76" t="s">
        <v>5193</v>
      </c>
      <c r="R3637" s="73">
        <f t="shared" si="423"/>
        <v>1</v>
      </c>
      <c r="S3637" s="260" t="s">
        <v>1976</v>
      </c>
      <c r="T3637" s="260" t="s">
        <v>924</v>
      </c>
      <c r="Y3637" s="566">
        <v>0.73151620370370374</v>
      </c>
      <c r="Z3637" s="566">
        <v>0.7863310185185185</v>
      </c>
      <c r="AA3637" s="566">
        <f t="shared" si="424"/>
        <v>5.4814814814814761E-2</v>
      </c>
    </row>
    <row r="3638" spans="1:27" x14ac:dyDescent="0.3">
      <c r="A3638" s="79" t="s">
        <v>11651</v>
      </c>
      <c r="C3638" s="115">
        <v>44104</v>
      </c>
      <c r="D3638" s="312">
        <v>44140</v>
      </c>
      <c r="E3638" s="81">
        <v>44133</v>
      </c>
      <c r="F3638" s="86" t="s">
        <v>11709</v>
      </c>
      <c r="G3638" s="86" t="s">
        <v>156</v>
      </c>
      <c r="H3638" s="96" t="s">
        <v>213</v>
      </c>
      <c r="I3638" s="97" t="s">
        <v>714</v>
      </c>
      <c r="J3638" s="73">
        <f t="shared" si="422"/>
        <v>1</v>
      </c>
      <c r="K3638" s="74" t="s">
        <v>204</v>
      </c>
      <c r="L3638" s="97" t="s">
        <v>7072</v>
      </c>
      <c r="N3638" s="76" t="s">
        <v>17</v>
      </c>
      <c r="Q3638" s="76" t="s">
        <v>2142</v>
      </c>
      <c r="R3638" s="73">
        <f t="shared" si="423"/>
        <v>1</v>
      </c>
      <c r="S3638" s="260" t="s">
        <v>1976</v>
      </c>
      <c r="T3638" s="260" t="s">
        <v>925</v>
      </c>
      <c r="Y3638" s="566">
        <v>0.50564814814814818</v>
      </c>
      <c r="Z3638" s="566">
        <v>0.51231481481481478</v>
      </c>
      <c r="AA3638" s="566">
        <f t="shared" si="424"/>
        <v>6.6666666666665986E-3</v>
      </c>
    </row>
    <row r="3639" spans="1:27" x14ac:dyDescent="0.3">
      <c r="A3639" s="79" t="s">
        <v>11652</v>
      </c>
      <c r="C3639" s="115">
        <v>44104</v>
      </c>
      <c r="D3639" s="312">
        <v>44140</v>
      </c>
      <c r="E3639" s="81">
        <v>44133</v>
      </c>
      <c r="F3639" s="86" t="s">
        <v>11710</v>
      </c>
      <c r="G3639" s="86" t="s">
        <v>173</v>
      </c>
      <c r="H3639" s="96" t="s">
        <v>213</v>
      </c>
      <c r="I3639" s="97" t="s">
        <v>714</v>
      </c>
      <c r="J3639" s="73">
        <f t="shared" si="422"/>
        <v>1</v>
      </c>
      <c r="K3639" s="74" t="s">
        <v>204</v>
      </c>
      <c r="L3639" s="97" t="s">
        <v>7071</v>
      </c>
      <c r="N3639" s="76" t="s">
        <v>17</v>
      </c>
      <c r="Q3639" s="76" t="s">
        <v>2142</v>
      </c>
      <c r="R3639" s="73">
        <f t="shared" si="423"/>
        <v>1</v>
      </c>
      <c r="S3639" s="260" t="s">
        <v>1976</v>
      </c>
      <c r="T3639" s="260" t="s">
        <v>923</v>
      </c>
      <c r="Y3639" s="566">
        <v>0.51269675925925928</v>
      </c>
      <c r="Z3639" s="566">
        <v>0.52012731481481478</v>
      </c>
      <c r="AA3639" s="566">
        <f t="shared" si="424"/>
        <v>7.4305555555554959E-3</v>
      </c>
    </row>
    <row r="3640" spans="1:27" x14ac:dyDescent="0.3">
      <c r="A3640" s="79" t="s">
        <v>11653</v>
      </c>
      <c r="C3640" s="115">
        <v>44104</v>
      </c>
      <c r="D3640" s="312">
        <v>44140</v>
      </c>
      <c r="E3640" s="81">
        <v>44134</v>
      </c>
      <c r="F3640" s="86" t="s">
        <v>11711</v>
      </c>
      <c r="G3640" s="86" t="s">
        <v>150</v>
      </c>
      <c r="H3640" s="96" t="s">
        <v>213</v>
      </c>
      <c r="I3640" s="97" t="s">
        <v>3642</v>
      </c>
      <c r="J3640" s="73">
        <f t="shared" si="422"/>
        <v>1</v>
      </c>
      <c r="K3640" s="74" t="s">
        <v>204</v>
      </c>
      <c r="L3640" s="97" t="s">
        <v>7565</v>
      </c>
      <c r="N3640" s="76" t="s">
        <v>19</v>
      </c>
      <c r="Q3640" s="76" t="s">
        <v>5193</v>
      </c>
      <c r="R3640" s="73">
        <f t="shared" si="423"/>
        <v>1</v>
      </c>
      <c r="S3640" s="260" t="s">
        <v>1976</v>
      </c>
      <c r="T3640" s="260" t="s">
        <v>923</v>
      </c>
      <c r="Y3640" s="566">
        <v>0.61260416666666673</v>
      </c>
      <c r="Z3640" s="566">
        <v>0.62358796296296293</v>
      </c>
      <c r="AA3640" s="566">
        <f t="shared" si="424"/>
        <v>1.09837962962962E-2</v>
      </c>
    </row>
    <row r="3641" spans="1:27" x14ac:dyDescent="0.3">
      <c r="A3641" s="79" t="s">
        <v>11654</v>
      </c>
      <c r="C3641" s="115">
        <v>44104</v>
      </c>
      <c r="D3641" s="312">
        <v>44140</v>
      </c>
      <c r="E3641" s="81">
        <v>44132</v>
      </c>
      <c r="F3641" s="86" t="s">
        <v>11712</v>
      </c>
      <c r="G3641" s="86" t="s">
        <v>147</v>
      </c>
      <c r="H3641" s="96" t="s">
        <v>213</v>
      </c>
      <c r="I3641" s="97" t="s">
        <v>642</v>
      </c>
      <c r="J3641" s="73">
        <f t="shared" si="422"/>
        <v>1</v>
      </c>
      <c r="K3641" s="74" t="s">
        <v>204</v>
      </c>
      <c r="L3641" s="97" t="s">
        <v>7110</v>
      </c>
      <c r="N3641" s="76" t="s">
        <v>17</v>
      </c>
      <c r="Q3641" s="76" t="s">
        <v>11751</v>
      </c>
      <c r="R3641" s="73">
        <f t="shared" si="423"/>
        <v>1</v>
      </c>
      <c r="S3641" s="260" t="s">
        <v>1976</v>
      </c>
      <c r="T3641" s="260" t="s">
        <v>924</v>
      </c>
      <c r="Y3641" s="566">
        <v>0.94317129629629637</v>
      </c>
      <c r="Z3641" s="566">
        <v>0.97200231481481481</v>
      </c>
      <c r="AA3641" s="566">
        <f t="shared" si="424"/>
        <v>2.8831018518518436E-2</v>
      </c>
    </row>
    <row r="3642" spans="1:27" x14ac:dyDescent="0.3">
      <c r="A3642" s="79" t="s">
        <v>11655</v>
      </c>
      <c r="C3642" s="115">
        <v>44104</v>
      </c>
      <c r="D3642" s="312">
        <v>44140</v>
      </c>
      <c r="E3642" s="81">
        <v>44132</v>
      </c>
      <c r="F3642" s="86" t="s">
        <v>11713</v>
      </c>
      <c r="G3642" s="86" t="s">
        <v>150</v>
      </c>
      <c r="H3642" s="96" t="s">
        <v>213</v>
      </c>
      <c r="I3642" s="97" t="s">
        <v>714</v>
      </c>
      <c r="J3642" s="73">
        <f t="shared" si="422"/>
        <v>1</v>
      </c>
      <c r="K3642" s="74" t="s">
        <v>204</v>
      </c>
      <c r="L3642" s="97" t="s">
        <v>7072</v>
      </c>
      <c r="N3642" s="76" t="s">
        <v>17</v>
      </c>
      <c r="Q3642" s="76" t="s">
        <v>5193</v>
      </c>
      <c r="R3642" s="73">
        <f t="shared" si="423"/>
        <v>1</v>
      </c>
      <c r="S3642" s="260" t="s">
        <v>1976</v>
      </c>
      <c r="T3642" s="260" t="s">
        <v>925</v>
      </c>
      <c r="Y3642" s="566">
        <v>0.81038194444444445</v>
      </c>
      <c r="Z3642" s="566">
        <v>0.87349537037037039</v>
      </c>
      <c r="AA3642" s="566">
        <f t="shared" si="424"/>
        <v>6.3113425925925948E-2</v>
      </c>
    </row>
    <row r="3643" spans="1:27" x14ac:dyDescent="0.3">
      <c r="A3643" s="79" t="s">
        <v>11656</v>
      </c>
      <c r="C3643" s="115">
        <v>44105</v>
      </c>
      <c r="D3643" s="312">
        <v>44141</v>
      </c>
      <c r="E3643" s="81">
        <v>44137</v>
      </c>
      <c r="F3643" s="86" t="s">
        <v>11714</v>
      </c>
      <c r="G3643" s="86" t="s">
        <v>172</v>
      </c>
      <c r="H3643" s="96" t="s">
        <v>213</v>
      </c>
      <c r="I3643" s="97" t="s">
        <v>642</v>
      </c>
      <c r="J3643" s="73">
        <f t="shared" si="422"/>
        <v>1</v>
      </c>
      <c r="K3643" s="74" t="s">
        <v>204</v>
      </c>
      <c r="L3643" s="97" t="s">
        <v>7066</v>
      </c>
      <c r="N3643" s="76" t="s">
        <v>18</v>
      </c>
      <c r="Q3643" s="76" t="s">
        <v>11751</v>
      </c>
      <c r="R3643" s="73">
        <f t="shared" si="423"/>
        <v>1</v>
      </c>
      <c r="S3643" s="260" t="s">
        <v>1976</v>
      </c>
      <c r="T3643" s="260" t="s">
        <v>925</v>
      </c>
      <c r="Y3643" s="566">
        <v>0.75760416666666675</v>
      </c>
      <c r="Z3643" s="566">
        <v>0.76438657407407407</v>
      </c>
      <c r="AA3643" s="566">
        <f t="shared" si="424"/>
        <v>6.7824074074073204E-3</v>
      </c>
    </row>
    <row r="3644" spans="1:27" x14ac:dyDescent="0.3">
      <c r="A3644" s="79" t="s">
        <v>11657</v>
      </c>
      <c r="C3644" s="115">
        <v>44105</v>
      </c>
      <c r="D3644" s="312">
        <v>44141</v>
      </c>
      <c r="E3644" s="81">
        <v>44137</v>
      </c>
      <c r="F3644" s="86" t="s">
        <v>11715</v>
      </c>
      <c r="G3644" s="86" t="s">
        <v>156</v>
      </c>
      <c r="H3644" s="96" t="s">
        <v>213</v>
      </c>
      <c r="I3644" s="97" t="s">
        <v>755</v>
      </c>
      <c r="J3644" s="73">
        <f t="shared" si="422"/>
        <v>1</v>
      </c>
      <c r="K3644" s="74" t="s">
        <v>204</v>
      </c>
      <c r="L3644" s="97" t="s">
        <v>10089</v>
      </c>
      <c r="N3644" s="76" t="s">
        <v>18</v>
      </c>
      <c r="Q3644" s="76" t="s">
        <v>2142</v>
      </c>
      <c r="R3644" s="73">
        <f t="shared" si="423"/>
        <v>1</v>
      </c>
      <c r="S3644" s="260" t="s">
        <v>1976</v>
      </c>
      <c r="T3644" s="260" t="s">
        <v>925</v>
      </c>
      <c r="Y3644" s="566">
        <v>0.5975462962962963</v>
      </c>
      <c r="Z3644" s="566">
        <v>0.61443287037037042</v>
      </c>
      <c r="AA3644" s="566">
        <f t="shared" si="424"/>
        <v>1.6886574074074123E-2</v>
      </c>
    </row>
    <row r="3645" spans="1:27" x14ac:dyDescent="0.3">
      <c r="A3645" s="79" t="s">
        <v>11658</v>
      </c>
      <c r="C3645" s="115">
        <v>44105</v>
      </c>
      <c r="D3645" s="312">
        <v>44141</v>
      </c>
      <c r="E3645" s="81">
        <v>44133</v>
      </c>
      <c r="F3645" s="86" t="s">
        <v>11716</v>
      </c>
      <c r="G3645" s="86" t="s">
        <v>147</v>
      </c>
      <c r="H3645" s="96" t="s">
        <v>213</v>
      </c>
      <c r="I3645" s="97" t="s">
        <v>714</v>
      </c>
      <c r="J3645" s="73">
        <f t="shared" si="422"/>
        <v>1</v>
      </c>
      <c r="K3645" s="74" t="s">
        <v>204</v>
      </c>
      <c r="L3645" s="97" t="s">
        <v>7336</v>
      </c>
      <c r="N3645" s="76" t="s">
        <v>18</v>
      </c>
      <c r="Q3645" s="76" t="s">
        <v>2142</v>
      </c>
      <c r="R3645" s="73">
        <f t="shared" si="423"/>
        <v>1</v>
      </c>
      <c r="S3645" s="260" t="s">
        <v>1976</v>
      </c>
      <c r="T3645" s="260" t="s">
        <v>923</v>
      </c>
      <c r="Y3645" s="566">
        <v>0.92934027777777783</v>
      </c>
      <c r="Z3645" s="566">
        <v>0.93828703703703698</v>
      </c>
      <c r="AA3645" s="566">
        <f t="shared" si="424"/>
        <v>8.9467592592591405E-3</v>
      </c>
    </row>
    <row r="3646" spans="1:27" x14ac:dyDescent="0.3">
      <c r="A3646" s="79" t="s">
        <v>11659</v>
      </c>
      <c r="C3646" s="115">
        <v>44105</v>
      </c>
      <c r="D3646" s="312">
        <v>44141</v>
      </c>
      <c r="E3646" s="81">
        <v>44133</v>
      </c>
      <c r="F3646" s="86" t="s">
        <v>11717</v>
      </c>
      <c r="G3646" s="86" t="s">
        <v>152</v>
      </c>
      <c r="H3646" s="96" t="s">
        <v>213</v>
      </c>
      <c r="I3646" s="97" t="s">
        <v>10990</v>
      </c>
      <c r="J3646" s="73">
        <f t="shared" si="422"/>
        <v>1</v>
      </c>
      <c r="K3646" s="74" t="s">
        <v>204</v>
      </c>
      <c r="L3646" s="97" t="s">
        <v>12117</v>
      </c>
      <c r="N3646" s="76" t="s">
        <v>18</v>
      </c>
      <c r="Q3646" s="76" t="s">
        <v>5193</v>
      </c>
      <c r="R3646" s="73">
        <f t="shared" si="423"/>
        <v>1</v>
      </c>
      <c r="S3646" s="260" t="s">
        <v>1976</v>
      </c>
      <c r="T3646" s="260" t="s">
        <v>923</v>
      </c>
      <c r="Y3646" s="566">
        <v>0.67344907407407406</v>
      </c>
      <c r="Z3646" s="566">
        <v>0.68945601851851857</v>
      </c>
      <c r="AA3646" s="566">
        <f t="shared" si="424"/>
        <v>1.6006944444444504E-2</v>
      </c>
    </row>
    <row r="3647" spans="1:27" x14ac:dyDescent="0.3">
      <c r="A3647" s="79" t="s">
        <v>11660</v>
      </c>
      <c r="C3647" s="115">
        <v>44105</v>
      </c>
      <c r="D3647" s="312">
        <v>44141</v>
      </c>
      <c r="E3647" s="81">
        <v>44133</v>
      </c>
      <c r="F3647" s="86" t="s">
        <v>11718</v>
      </c>
      <c r="G3647" s="86" t="s">
        <v>152</v>
      </c>
      <c r="H3647" s="96" t="s">
        <v>213</v>
      </c>
      <c r="I3647" s="97" t="s">
        <v>10990</v>
      </c>
      <c r="J3647" s="73">
        <f t="shared" si="422"/>
        <v>1</v>
      </c>
      <c r="K3647" s="74" t="s">
        <v>204</v>
      </c>
      <c r="L3647" s="97" t="s">
        <v>12117</v>
      </c>
      <c r="N3647" s="76" t="s">
        <v>18</v>
      </c>
      <c r="Q3647" s="76" t="s">
        <v>5193</v>
      </c>
      <c r="R3647" s="73">
        <f t="shared" si="423"/>
        <v>1</v>
      </c>
      <c r="S3647" s="260" t="s">
        <v>1976</v>
      </c>
      <c r="T3647" s="260" t="s">
        <v>923</v>
      </c>
      <c r="Y3647" s="566">
        <v>0.69012731481481471</v>
      </c>
      <c r="Z3647" s="566">
        <v>0.6966782407407407</v>
      </c>
      <c r="AA3647" s="566">
        <f t="shared" si="424"/>
        <v>6.5509259259259878E-3</v>
      </c>
    </row>
    <row r="3648" spans="1:27" x14ac:dyDescent="0.3">
      <c r="A3648" s="79" t="s">
        <v>11661</v>
      </c>
      <c r="C3648" s="115">
        <v>44105</v>
      </c>
      <c r="D3648" s="312">
        <v>44141</v>
      </c>
      <c r="E3648" s="81">
        <v>44133</v>
      </c>
      <c r="F3648" s="86" t="s">
        <v>11719</v>
      </c>
      <c r="G3648" s="86" t="s">
        <v>9119</v>
      </c>
      <c r="H3648" s="96" t="s">
        <v>213</v>
      </c>
      <c r="I3648" s="97" t="s">
        <v>645</v>
      </c>
      <c r="J3648" s="73">
        <f t="shared" si="422"/>
        <v>1</v>
      </c>
      <c r="K3648" s="74" t="s">
        <v>204</v>
      </c>
      <c r="L3648" s="97" t="s">
        <v>12116</v>
      </c>
      <c r="N3648" s="76" t="s">
        <v>17</v>
      </c>
      <c r="Q3648" s="76" t="s">
        <v>5193</v>
      </c>
      <c r="R3648" s="73">
        <f t="shared" si="423"/>
        <v>1</v>
      </c>
      <c r="S3648" s="260" t="s">
        <v>1976</v>
      </c>
      <c r="T3648" s="260" t="s">
        <v>925</v>
      </c>
      <c r="U3648" s="76" t="s">
        <v>5283</v>
      </c>
      <c r="V3648" s="301" t="s">
        <v>12115</v>
      </c>
      <c r="Y3648" s="566">
        <v>0.63679398148148147</v>
      </c>
      <c r="Z3648" s="566">
        <v>0.65121527777777777</v>
      </c>
      <c r="AA3648" s="566">
        <f t="shared" si="424"/>
        <v>1.4421296296296293E-2</v>
      </c>
    </row>
    <row r="3649" spans="1:27" x14ac:dyDescent="0.3">
      <c r="A3649" s="79" t="s">
        <v>11662</v>
      </c>
      <c r="C3649" s="115">
        <v>44105</v>
      </c>
      <c r="D3649" s="312">
        <v>44141</v>
      </c>
      <c r="E3649" s="81">
        <v>44137</v>
      </c>
      <c r="F3649" s="86" t="s">
        <v>11720</v>
      </c>
      <c r="G3649" s="86" t="s">
        <v>168</v>
      </c>
      <c r="H3649" s="96" t="s">
        <v>213</v>
      </c>
      <c r="I3649" s="97" t="s">
        <v>714</v>
      </c>
      <c r="J3649" s="73">
        <f t="shared" si="422"/>
        <v>1</v>
      </c>
      <c r="K3649" s="74" t="s">
        <v>204</v>
      </c>
      <c r="L3649" s="97" t="s">
        <v>7336</v>
      </c>
      <c r="N3649" s="76" t="s">
        <v>18</v>
      </c>
      <c r="Q3649" s="76" t="s">
        <v>11751</v>
      </c>
      <c r="R3649" s="73">
        <f t="shared" si="423"/>
        <v>1</v>
      </c>
      <c r="S3649" s="260" t="s">
        <v>1976</v>
      </c>
      <c r="T3649" s="260" t="s">
        <v>924</v>
      </c>
      <c r="U3649" s="301" t="s">
        <v>5283</v>
      </c>
      <c r="V3649" s="301" t="s">
        <v>12251</v>
      </c>
      <c r="Y3649" s="566">
        <v>0.76496527777777779</v>
      </c>
      <c r="Z3649" s="566">
        <v>0.78662037037037036</v>
      </c>
      <c r="AA3649" s="566">
        <f t="shared" si="424"/>
        <v>2.1655092592592573E-2</v>
      </c>
    </row>
    <row r="3650" spans="1:27" x14ac:dyDescent="0.3">
      <c r="A3650" s="96" t="s">
        <v>11663</v>
      </c>
      <c r="C3650" s="115">
        <v>44105</v>
      </c>
      <c r="D3650" s="312">
        <v>44141</v>
      </c>
      <c r="E3650" s="81">
        <v>44133</v>
      </c>
      <c r="F3650" s="86" t="s">
        <v>11721</v>
      </c>
      <c r="G3650" s="86" t="s">
        <v>152</v>
      </c>
      <c r="H3650" s="96" t="s">
        <v>213</v>
      </c>
      <c r="I3650" s="97" t="s">
        <v>722</v>
      </c>
      <c r="J3650" s="73">
        <f t="shared" si="422"/>
        <v>1</v>
      </c>
      <c r="K3650" s="74" t="s">
        <v>204</v>
      </c>
      <c r="L3650" s="97" t="s">
        <v>12113</v>
      </c>
      <c r="N3650" s="76" t="s">
        <v>17</v>
      </c>
      <c r="Q3650" s="76" t="s">
        <v>2076</v>
      </c>
      <c r="R3650" s="73">
        <f t="shared" si="423"/>
        <v>1</v>
      </c>
      <c r="S3650" s="260" t="s">
        <v>1976</v>
      </c>
      <c r="T3650" s="260" t="s">
        <v>925</v>
      </c>
      <c r="U3650" s="76" t="s">
        <v>5283</v>
      </c>
      <c r="V3650" s="301" t="s">
        <v>12114</v>
      </c>
      <c r="Y3650" s="566">
        <v>0.616724537037037</v>
      </c>
      <c r="Z3650" s="566">
        <v>0.63517361111111115</v>
      </c>
      <c r="AA3650" s="566">
        <f t="shared" si="424"/>
        <v>1.8449074074074145E-2</v>
      </c>
    </row>
    <row r="3651" spans="1:27" x14ac:dyDescent="0.3">
      <c r="A3651" s="79" t="s">
        <v>11664</v>
      </c>
      <c r="C3651" s="115">
        <v>44105</v>
      </c>
      <c r="D3651" s="312">
        <v>44141</v>
      </c>
      <c r="E3651" s="81">
        <v>44133</v>
      </c>
      <c r="F3651" s="86" t="s">
        <v>11722</v>
      </c>
      <c r="G3651" s="86" t="s">
        <v>9119</v>
      </c>
      <c r="H3651" s="96" t="s">
        <v>213</v>
      </c>
      <c r="I3651" s="97" t="s">
        <v>714</v>
      </c>
      <c r="J3651" s="73">
        <f t="shared" si="422"/>
        <v>1</v>
      </c>
      <c r="K3651" s="74" t="s">
        <v>204</v>
      </c>
      <c r="L3651" s="97" t="s">
        <v>7336</v>
      </c>
      <c r="N3651" s="76" t="s">
        <v>18</v>
      </c>
      <c r="Q3651" s="76" t="s">
        <v>5193</v>
      </c>
      <c r="R3651" s="73">
        <f t="shared" si="423"/>
        <v>1</v>
      </c>
      <c r="S3651" s="260" t="s">
        <v>1976</v>
      </c>
      <c r="T3651" s="260" t="s">
        <v>923</v>
      </c>
      <c r="Y3651" s="566">
        <v>0.69785879629629621</v>
      </c>
      <c r="Z3651" s="566">
        <v>0.72799768518518515</v>
      </c>
      <c r="AA3651" s="566">
        <f t="shared" si="424"/>
        <v>3.0138888888888937E-2</v>
      </c>
    </row>
    <row r="3652" spans="1:27" x14ac:dyDescent="0.3">
      <c r="A3652" s="79" t="s">
        <v>11665</v>
      </c>
      <c r="C3652" s="115">
        <v>44105</v>
      </c>
      <c r="D3652" s="312">
        <v>44141</v>
      </c>
      <c r="E3652" s="81">
        <v>44137</v>
      </c>
      <c r="F3652" s="86" t="s">
        <v>11723</v>
      </c>
      <c r="G3652" s="86" t="s">
        <v>9119</v>
      </c>
      <c r="H3652" s="96" t="s">
        <v>213</v>
      </c>
      <c r="I3652" s="97" t="s">
        <v>714</v>
      </c>
      <c r="J3652" s="73">
        <f t="shared" si="422"/>
        <v>1</v>
      </c>
      <c r="K3652" s="74" t="s">
        <v>204</v>
      </c>
      <c r="L3652" s="97" t="s">
        <v>7071</v>
      </c>
      <c r="N3652" s="76" t="s">
        <v>17</v>
      </c>
      <c r="Q3652" s="76" t="s">
        <v>11751</v>
      </c>
      <c r="R3652" s="73">
        <f t="shared" si="423"/>
        <v>1</v>
      </c>
      <c r="S3652" s="260" t="s">
        <v>1976</v>
      </c>
      <c r="T3652" s="260" t="s">
        <v>923</v>
      </c>
      <c r="U3652" s="76" t="s">
        <v>5283</v>
      </c>
      <c r="V3652" s="301" t="s">
        <v>12249</v>
      </c>
      <c r="Y3652" s="566">
        <v>0.71865740740740736</v>
      </c>
      <c r="Z3652" s="566">
        <v>0.72760416666666661</v>
      </c>
      <c r="AA3652" s="566">
        <f t="shared" si="424"/>
        <v>8.9467592592592515E-3</v>
      </c>
    </row>
    <row r="3653" spans="1:27" x14ac:dyDescent="0.3">
      <c r="A3653" s="79" t="s">
        <v>11666</v>
      </c>
      <c r="C3653" s="115">
        <v>44105</v>
      </c>
      <c r="D3653" s="312">
        <v>44141</v>
      </c>
      <c r="E3653" s="81">
        <v>44133</v>
      </c>
      <c r="F3653" s="86" t="s">
        <v>11724</v>
      </c>
      <c r="G3653" s="86" t="s">
        <v>150</v>
      </c>
      <c r="H3653" s="96" t="s">
        <v>213</v>
      </c>
      <c r="I3653" s="97" t="s">
        <v>642</v>
      </c>
      <c r="J3653" s="73">
        <f t="shared" si="422"/>
        <v>1</v>
      </c>
      <c r="K3653" s="74" t="s">
        <v>204</v>
      </c>
      <c r="L3653" s="97" t="s">
        <v>9820</v>
      </c>
      <c r="N3653" s="76" t="s">
        <v>18</v>
      </c>
      <c r="Q3653" s="76" t="s">
        <v>2076</v>
      </c>
      <c r="R3653" s="73">
        <f t="shared" si="423"/>
        <v>1</v>
      </c>
      <c r="S3653" s="260" t="s">
        <v>1976</v>
      </c>
      <c r="T3653" s="260" t="s">
        <v>923</v>
      </c>
      <c r="Y3653" s="566">
        <v>0.55409722222222224</v>
      </c>
      <c r="Z3653" s="566">
        <v>0.57650462962962956</v>
      </c>
      <c r="AA3653" s="566">
        <f t="shared" si="424"/>
        <v>2.240740740740732E-2</v>
      </c>
    </row>
    <row r="3654" spans="1:27" x14ac:dyDescent="0.3">
      <c r="A3654" s="79" t="s">
        <v>11667</v>
      </c>
      <c r="C3654" s="115">
        <v>44105</v>
      </c>
      <c r="D3654" s="312">
        <v>44141</v>
      </c>
      <c r="E3654" s="81">
        <v>44134</v>
      </c>
      <c r="F3654" s="86" t="s">
        <v>11725</v>
      </c>
      <c r="G3654" s="86" t="s">
        <v>166</v>
      </c>
      <c r="H3654" s="96" t="s">
        <v>213</v>
      </c>
      <c r="I3654" s="97" t="s">
        <v>642</v>
      </c>
      <c r="J3654" s="73">
        <f t="shared" si="422"/>
        <v>1</v>
      </c>
      <c r="K3654" s="74" t="s">
        <v>204</v>
      </c>
      <c r="L3654" s="97" t="s">
        <v>12120</v>
      </c>
      <c r="N3654" s="76" t="s">
        <v>18</v>
      </c>
      <c r="Q3654" s="76" t="s">
        <v>2142</v>
      </c>
      <c r="R3654" s="73">
        <f t="shared" si="423"/>
        <v>1</v>
      </c>
      <c r="S3654" s="260" t="s">
        <v>1976</v>
      </c>
      <c r="T3654" s="260" t="s">
        <v>924</v>
      </c>
      <c r="Y3654" s="566">
        <v>0.39339120370370373</v>
      </c>
      <c r="Z3654" s="566">
        <v>0.39783564814814815</v>
      </c>
      <c r="AA3654" s="566">
        <f t="shared" si="424"/>
        <v>4.4444444444444176E-3</v>
      </c>
    </row>
    <row r="3655" spans="1:27" x14ac:dyDescent="0.3">
      <c r="A3655" s="79" t="s">
        <v>11668</v>
      </c>
      <c r="C3655" s="115">
        <v>44113</v>
      </c>
      <c r="D3655" s="312">
        <v>44137</v>
      </c>
      <c r="E3655" s="81">
        <v>44132</v>
      </c>
      <c r="F3655" s="86" t="s">
        <v>11726</v>
      </c>
      <c r="G3655" s="97" t="s">
        <v>8909</v>
      </c>
      <c r="H3655" s="96" t="s">
        <v>213</v>
      </c>
      <c r="I3655" s="97" t="s">
        <v>649</v>
      </c>
      <c r="J3655" s="73">
        <f t="shared" si="422"/>
        <v>1</v>
      </c>
      <c r="K3655" s="74" t="s">
        <v>204</v>
      </c>
      <c r="L3655" s="97" t="s">
        <v>7060</v>
      </c>
      <c r="N3655" s="76" t="s">
        <v>17</v>
      </c>
      <c r="Q3655" s="76" t="s">
        <v>11751</v>
      </c>
      <c r="R3655" s="73">
        <f t="shared" si="423"/>
        <v>1</v>
      </c>
      <c r="S3655" s="260" t="s">
        <v>1976</v>
      </c>
      <c r="T3655" s="260" t="s">
        <v>924</v>
      </c>
      <c r="Y3655" s="566">
        <v>0.53471064814814817</v>
      </c>
      <c r="Z3655" s="566">
        <v>0.70177083333333334</v>
      </c>
      <c r="AA3655" s="566">
        <f t="shared" si="424"/>
        <v>0.16706018518518517</v>
      </c>
    </row>
    <row r="3656" spans="1:27" x14ac:dyDescent="0.3">
      <c r="A3656" s="79" t="s">
        <v>11669</v>
      </c>
      <c r="C3656" s="115">
        <v>44113</v>
      </c>
      <c r="D3656" s="312">
        <v>44137</v>
      </c>
      <c r="E3656" s="81">
        <v>44131</v>
      </c>
      <c r="F3656" s="86" t="s">
        <v>11727</v>
      </c>
      <c r="G3656" s="86" t="s">
        <v>147</v>
      </c>
      <c r="H3656" s="79" t="s">
        <v>268</v>
      </c>
      <c r="I3656" s="97" t="s">
        <v>649</v>
      </c>
      <c r="J3656" s="73">
        <f t="shared" si="422"/>
        <v>1</v>
      </c>
      <c r="K3656" s="74" t="s">
        <v>204</v>
      </c>
      <c r="L3656" s="97" t="s">
        <v>11766</v>
      </c>
      <c r="N3656" s="76" t="s">
        <v>18</v>
      </c>
      <c r="Q3656" s="76" t="s">
        <v>11751</v>
      </c>
      <c r="R3656" s="73">
        <f t="shared" si="423"/>
        <v>1</v>
      </c>
      <c r="S3656" s="260" t="s">
        <v>1976</v>
      </c>
      <c r="T3656" s="260" t="s">
        <v>924</v>
      </c>
      <c r="Y3656" s="566">
        <v>0.46684027777777781</v>
      </c>
      <c r="Z3656" s="566">
        <v>0.5142592592592593</v>
      </c>
      <c r="AA3656" s="566">
        <f t="shared" si="424"/>
        <v>4.7418981481481493E-2</v>
      </c>
    </row>
    <row r="3657" spans="1:27" x14ac:dyDescent="0.3">
      <c r="A3657" s="79" t="s">
        <v>11670</v>
      </c>
      <c r="C3657" s="115">
        <v>44116</v>
      </c>
      <c r="D3657" s="312">
        <v>44137</v>
      </c>
      <c r="E3657" s="81">
        <v>44132</v>
      </c>
      <c r="F3657" s="86" t="s">
        <v>11728</v>
      </c>
      <c r="G3657" s="86" t="s">
        <v>172</v>
      </c>
      <c r="H3657" s="96" t="s">
        <v>213</v>
      </c>
      <c r="I3657" s="97" t="s">
        <v>722</v>
      </c>
      <c r="J3657" s="73">
        <f t="shared" si="422"/>
        <v>1</v>
      </c>
      <c r="K3657" s="74" t="s">
        <v>204</v>
      </c>
      <c r="L3657" s="97" t="s">
        <v>11773</v>
      </c>
      <c r="N3657" s="76" t="s">
        <v>18</v>
      </c>
      <c r="Q3657" s="76" t="s">
        <v>2142</v>
      </c>
      <c r="R3657" s="73">
        <f t="shared" si="423"/>
        <v>1</v>
      </c>
      <c r="S3657" s="260" t="s">
        <v>1976</v>
      </c>
      <c r="T3657" s="260" t="s">
        <v>925</v>
      </c>
      <c r="Y3657" s="566">
        <v>0.52725694444444449</v>
      </c>
      <c r="Z3657" s="566">
        <v>0.53430555555555559</v>
      </c>
      <c r="AA3657" s="566">
        <f t="shared" si="424"/>
        <v>7.0486111111111027E-3</v>
      </c>
    </row>
    <row r="3658" spans="1:27" x14ac:dyDescent="0.3">
      <c r="A3658" s="79" t="s">
        <v>11671</v>
      </c>
      <c r="C3658" s="115">
        <v>44116</v>
      </c>
      <c r="D3658" s="312">
        <v>44137</v>
      </c>
      <c r="E3658" s="81">
        <v>44131</v>
      </c>
      <c r="F3658" s="86" t="s">
        <v>11729</v>
      </c>
      <c r="G3658" s="86" t="s">
        <v>156</v>
      </c>
      <c r="H3658" s="96" t="s">
        <v>213</v>
      </c>
      <c r="I3658" s="97" t="s">
        <v>1113</v>
      </c>
      <c r="J3658" s="73">
        <f t="shared" si="422"/>
        <v>1</v>
      </c>
      <c r="K3658" s="74" t="s">
        <v>204</v>
      </c>
      <c r="L3658" s="97" t="s">
        <v>7104</v>
      </c>
      <c r="N3658" s="76" t="s">
        <v>18</v>
      </c>
      <c r="Q3658" s="76" t="s">
        <v>5193</v>
      </c>
      <c r="R3658" s="73">
        <f t="shared" si="423"/>
        <v>1</v>
      </c>
      <c r="S3658" s="260" t="s">
        <v>1976</v>
      </c>
      <c r="T3658" s="260" t="s">
        <v>923</v>
      </c>
      <c r="Y3658" s="566">
        <v>0.42446759259259265</v>
      </c>
      <c r="Z3658" s="566">
        <v>0.43633101851851852</v>
      </c>
      <c r="AA3658" s="566">
        <f t="shared" si="424"/>
        <v>1.1863425925925875E-2</v>
      </c>
    </row>
    <row r="3659" spans="1:27" x14ac:dyDescent="0.3">
      <c r="A3659" s="79" t="s">
        <v>11672</v>
      </c>
      <c r="C3659" s="115">
        <v>44116</v>
      </c>
      <c r="D3659" s="312">
        <v>44137</v>
      </c>
      <c r="E3659" s="81">
        <v>44131</v>
      </c>
      <c r="F3659" s="86" t="s">
        <v>11730</v>
      </c>
      <c r="G3659" s="86" t="s">
        <v>152</v>
      </c>
      <c r="H3659" s="96" t="s">
        <v>213</v>
      </c>
      <c r="I3659" s="97" t="s">
        <v>649</v>
      </c>
      <c r="J3659" s="73">
        <f t="shared" si="422"/>
        <v>1</v>
      </c>
      <c r="K3659" s="74" t="s">
        <v>204</v>
      </c>
      <c r="L3659" s="97" t="s">
        <v>11765</v>
      </c>
      <c r="N3659" s="76" t="s">
        <v>18</v>
      </c>
      <c r="Q3659" s="76" t="s">
        <v>2142</v>
      </c>
      <c r="R3659" s="73">
        <f t="shared" si="423"/>
        <v>1</v>
      </c>
      <c r="S3659" s="260" t="s">
        <v>1976</v>
      </c>
      <c r="T3659" s="260" t="s">
        <v>923</v>
      </c>
      <c r="Y3659" s="566">
        <v>0.43711805555555555</v>
      </c>
      <c r="Z3659" s="566">
        <v>0.44747685185185188</v>
      </c>
      <c r="AA3659" s="566">
        <f t="shared" si="424"/>
        <v>1.0358796296296324E-2</v>
      </c>
    </row>
    <row r="3660" spans="1:27" x14ac:dyDescent="0.3">
      <c r="A3660" s="79" t="s">
        <v>11673</v>
      </c>
      <c r="C3660" s="115">
        <v>44116</v>
      </c>
      <c r="D3660" s="312">
        <v>44137</v>
      </c>
      <c r="E3660" s="81">
        <v>44131</v>
      </c>
      <c r="F3660" s="86" t="s">
        <v>11731</v>
      </c>
      <c r="G3660" s="86" t="s">
        <v>166</v>
      </c>
      <c r="H3660" s="96" t="s">
        <v>213</v>
      </c>
      <c r="I3660" s="97" t="s">
        <v>722</v>
      </c>
      <c r="J3660" s="73">
        <f t="shared" si="422"/>
        <v>1</v>
      </c>
      <c r="K3660" s="74" t="s">
        <v>204</v>
      </c>
      <c r="L3660" s="97" t="s">
        <v>7322</v>
      </c>
      <c r="N3660" s="76" t="s">
        <v>18</v>
      </c>
      <c r="Q3660" s="76" t="s">
        <v>5193</v>
      </c>
      <c r="R3660" s="73">
        <f t="shared" si="423"/>
        <v>1</v>
      </c>
      <c r="S3660" s="260" t="s">
        <v>1976</v>
      </c>
      <c r="T3660" s="260" t="s">
        <v>923</v>
      </c>
      <c r="Y3660" s="566">
        <v>0.41674768518518518</v>
      </c>
      <c r="Z3660" s="566">
        <v>0.42342592592592593</v>
      </c>
      <c r="AA3660" s="566">
        <f t="shared" si="424"/>
        <v>6.6782407407407485E-3</v>
      </c>
    </row>
    <row r="3661" spans="1:27" x14ac:dyDescent="0.3">
      <c r="A3661" s="79" t="s">
        <v>11674</v>
      </c>
      <c r="C3661" s="115">
        <v>44116</v>
      </c>
      <c r="D3661" s="312">
        <v>44137</v>
      </c>
      <c r="E3661" s="81">
        <v>44131</v>
      </c>
      <c r="F3661" s="86" t="s">
        <v>11732</v>
      </c>
      <c r="G3661" s="86" t="s">
        <v>156</v>
      </c>
      <c r="H3661" s="96" t="s">
        <v>213</v>
      </c>
      <c r="I3661" s="97" t="s">
        <v>2729</v>
      </c>
      <c r="J3661" s="73">
        <f t="shared" si="422"/>
        <v>1</v>
      </c>
      <c r="K3661" s="74" t="s">
        <v>204</v>
      </c>
      <c r="L3661" s="97" t="s">
        <v>11764</v>
      </c>
      <c r="N3661" s="76" t="s">
        <v>19</v>
      </c>
      <c r="Q3661" s="76" t="s">
        <v>2142</v>
      </c>
      <c r="R3661" s="73">
        <f t="shared" si="423"/>
        <v>1</v>
      </c>
      <c r="S3661" s="260" t="s">
        <v>1976</v>
      </c>
      <c r="T3661" s="260" t="s">
        <v>924</v>
      </c>
      <c r="Y3661" s="566">
        <v>0.40030092592592598</v>
      </c>
      <c r="Z3661" s="566">
        <v>0.41614583333333338</v>
      </c>
      <c r="AA3661" s="566">
        <f t="shared" si="424"/>
        <v>1.5844907407407405E-2</v>
      </c>
    </row>
    <row r="3662" spans="1:27" x14ac:dyDescent="0.3">
      <c r="A3662" s="79" t="s">
        <v>11675</v>
      </c>
      <c r="C3662" s="115">
        <v>44116</v>
      </c>
      <c r="D3662" s="312">
        <v>44137</v>
      </c>
      <c r="E3662" s="81">
        <v>44134</v>
      </c>
      <c r="F3662" s="86" t="s">
        <v>11733</v>
      </c>
      <c r="G3662" s="86" t="s">
        <v>9119</v>
      </c>
      <c r="H3662" s="96" t="s">
        <v>213</v>
      </c>
      <c r="I3662" s="97" t="s">
        <v>649</v>
      </c>
      <c r="J3662" s="73">
        <f t="shared" si="422"/>
        <v>1</v>
      </c>
      <c r="K3662" s="74" t="s">
        <v>204</v>
      </c>
      <c r="L3662" s="97" t="s">
        <v>7089</v>
      </c>
      <c r="N3662" s="76" t="s">
        <v>17</v>
      </c>
      <c r="Q3662" s="76" t="s">
        <v>11751</v>
      </c>
      <c r="R3662" s="73">
        <f t="shared" si="423"/>
        <v>1</v>
      </c>
      <c r="S3662" s="260" t="s">
        <v>1976</v>
      </c>
      <c r="T3662" s="260" t="s">
        <v>925</v>
      </c>
      <c r="Y3662" s="566">
        <v>0.38337962962962963</v>
      </c>
      <c r="Z3662" s="566">
        <v>0.39299768518518513</v>
      </c>
      <c r="AA3662" s="566">
        <f t="shared" si="424"/>
        <v>9.6180555555555047E-3</v>
      </c>
    </row>
    <row r="3663" spans="1:27" x14ac:dyDescent="0.3">
      <c r="A3663" s="79" t="s">
        <v>11676</v>
      </c>
      <c r="C3663" s="115">
        <v>44117</v>
      </c>
      <c r="D3663" s="312">
        <v>44138</v>
      </c>
      <c r="E3663" s="81">
        <v>44132</v>
      </c>
      <c r="F3663" s="86" t="s">
        <v>11734</v>
      </c>
      <c r="G3663" s="86" t="s">
        <v>156</v>
      </c>
      <c r="H3663" s="96" t="s">
        <v>213</v>
      </c>
      <c r="I3663" s="97" t="s">
        <v>1113</v>
      </c>
      <c r="J3663" s="73">
        <f t="shared" si="422"/>
        <v>1</v>
      </c>
      <c r="K3663" s="74" t="s">
        <v>204</v>
      </c>
      <c r="L3663" s="97" t="s">
        <v>10634</v>
      </c>
      <c r="N3663" s="76" t="s">
        <v>18</v>
      </c>
      <c r="Q3663" s="76" t="s">
        <v>2142</v>
      </c>
      <c r="R3663" s="73">
        <f t="shared" si="423"/>
        <v>1</v>
      </c>
      <c r="S3663" s="260" t="s">
        <v>1976</v>
      </c>
      <c r="T3663" s="260" t="s">
        <v>923</v>
      </c>
      <c r="Y3663" s="566">
        <v>0.41562499999999997</v>
      </c>
      <c r="Z3663" s="566">
        <v>0.46956018518518516</v>
      </c>
      <c r="AA3663" s="566">
        <f t="shared" si="424"/>
        <v>5.3935185185185197E-2</v>
      </c>
    </row>
    <row r="3664" spans="1:27" x14ac:dyDescent="0.3">
      <c r="A3664" s="79" t="s">
        <v>11678</v>
      </c>
      <c r="C3664" s="115">
        <v>44117</v>
      </c>
      <c r="D3664" s="312">
        <v>44138</v>
      </c>
      <c r="E3664" s="81">
        <v>44133</v>
      </c>
      <c r="F3664" s="86" t="s">
        <v>11736</v>
      </c>
      <c r="G3664" s="86" t="s">
        <v>150</v>
      </c>
      <c r="H3664" s="96" t="s">
        <v>213</v>
      </c>
      <c r="I3664" s="97" t="s">
        <v>3475</v>
      </c>
      <c r="J3664" s="73">
        <f t="shared" si="422"/>
        <v>1</v>
      </c>
      <c r="K3664" s="74" t="s">
        <v>204</v>
      </c>
      <c r="L3664" s="97" t="s">
        <v>11351</v>
      </c>
      <c r="N3664" s="76" t="s">
        <v>19</v>
      </c>
      <c r="Q3664" s="76" t="s">
        <v>2142</v>
      </c>
      <c r="R3664" s="73">
        <f t="shared" si="423"/>
        <v>1</v>
      </c>
      <c r="S3664" s="260" t="s">
        <v>1976</v>
      </c>
      <c r="T3664" s="260" t="s">
        <v>923</v>
      </c>
      <c r="Y3664" s="566">
        <v>0.49592592592592594</v>
      </c>
      <c r="Z3664" s="566">
        <v>0.49932870370370369</v>
      </c>
      <c r="AA3664" s="566">
        <f t="shared" si="424"/>
        <v>3.4027777777777546E-3</v>
      </c>
    </row>
    <row r="3665" spans="1:27" x14ac:dyDescent="0.3">
      <c r="A3665" s="79" t="s">
        <v>11679</v>
      </c>
      <c r="C3665" s="115">
        <v>44117</v>
      </c>
      <c r="D3665" s="312">
        <v>44138</v>
      </c>
      <c r="E3665" s="81">
        <v>44132</v>
      </c>
      <c r="F3665" s="86" t="s">
        <v>11737</v>
      </c>
      <c r="G3665" s="86" t="s">
        <v>181</v>
      </c>
      <c r="H3665" s="96" t="s">
        <v>213</v>
      </c>
      <c r="I3665" s="97" t="s">
        <v>649</v>
      </c>
      <c r="J3665" s="73">
        <f t="shared" si="422"/>
        <v>1</v>
      </c>
      <c r="K3665" s="74" t="s">
        <v>204</v>
      </c>
      <c r="L3665" s="97" t="s">
        <v>9846</v>
      </c>
      <c r="N3665" s="76" t="s">
        <v>18</v>
      </c>
      <c r="Q3665" s="76" t="s">
        <v>11751</v>
      </c>
      <c r="R3665" s="73">
        <f t="shared" si="423"/>
        <v>1</v>
      </c>
      <c r="S3665" s="260" t="s">
        <v>1976</v>
      </c>
      <c r="T3665" s="260" t="s">
        <v>925</v>
      </c>
      <c r="Y3665" s="566">
        <v>0.87438657407407405</v>
      </c>
      <c r="Z3665" s="566">
        <v>0.88568287037037041</v>
      </c>
      <c r="AA3665" s="566">
        <f t="shared" si="424"/>
        <v>1.129629629629636E-2</v>
      </c>
    </row>
    <row r="3666" spans="1:27" x14ac:dyDescent="0.3">
      <c r="A3666" s="79" t="s">
        <v>11681</v>
      </c>
      <c r="C3666" s="115">
        <v>44118</v>
      </c>
      <c r="D3666" s="312">
        <v>44140</v>
      </c>
      <c r="E3666" s="81">
        <v>44133</v>
      </c>
      <c r="F3666" s="86" t="s">
        <v>11739</v>
      </c>
      <c r="G3666" s="86" t="s">
        <v>410</v>
      </c>
      <c r="H3666" s="96" t="s">
        <v>213</v>
      </c>
      <c r="I3666" s="97" t="s">
        <v>1113</v>
      </c>
      <c r="J3666" s="73">
        <f t="shared" si="422"/>
        <v>1</v>
      </c>
      <c r="K3666" s="74" t="s">
        <v>204</v>
      </c>
      <c r="L3666" s="97" t="s">
        <v>9640</v>
      </c>
      <c r="N3666" s="76" t="s">
        <v>18</v>
      </c>
      <c r="Q3666" s="76" t="s">
        <v>11751</v>
      </c>
      <c r="R3666" s="73">
        <f t="shared" si="423"/>
        <v>1</v>
      </c>
      <c r="S3666" s="260" t="s">
        <v>1976</v>
      </c>
      <c r="T3666" s="260" t="s">
        <v>923</v>
      </c>
      <c r="Y3666" s="566">
        <v>0.52123842592592595</v>
      </c>
      <c r="Z3666" s="566">
        <v>0.52537037037037038</v>
      </c>
      <c r="AA3666" s="566">
        <f t="shared" si="424"/>
        <v>4.1319444444444242E-3</v>
      </c>
    </row>
    <row r="3667" spans="1:27" x14ac:dyDescent="0.3">
      <c r="A3667" s="79" t="s">
        <v>11682</v>
      </c>
      <c r="C3667" s="115">
        <v>44118</v>
      </c>
      <c r="D3667" s="312">
        <v>44140</v>
      </c>
      <c r="E3667" s="81">
        <v>44132</v>
      </c>
      <c r="F3667" s="86" t="s">
        <v>11740</v>
      </c>
      <c r="G3667" s="86" t="s">
        <v>150</v>
      </c>
      <c r="H3667" s="96" t="s">
        <v>213</v>
      </c>
      <c r="I3667" s="97" t="s">
        <v>622</v>
      </c>
      <c r="J3667" s="73">
        <f t="shared" si="422"/>
        <v>1</v>
      </c>
      <c r="K3667" s="74" t="s">
        <v>204</v>
      </c>
      <c r="L3667" s="97" t="s">
        <v>7073</v>
      </c>
      <c r="N3667" s="76" t="s">
        <v>19</v>
      </c>
      <c r="Q3667" s="76" t="s">
        <v>11751</v>
      </c>
      <c r="R3667" s="73">
        <f t="shared" si="423"/>
        <v>1</v>
      </c>
      <c r="S3667" s="260" t="s">
        <v>1976</v>
      </c>
      <c r="T3667" s="260" t="s">
        <v>925</v>
      </c>
      <c r="U3667" s="301"/>
      <c r="Y3667" s="566">
        <v>0.89469907407407412</v>
      </c>
      <c r="Z3667" s="566">
        <v>0.92486111111111102</v>
      </c>
      <c r="AA3667" s="566">
        <f t="shared" si="424"/>
        <v>3.0162037037036904E-2</v>
      </c>
    </row>
    <row r="3668" spans="1:27" x14ac:dyDescent="0.3">
      <c r="A3668" s="79" t="s">
        <v>11683</v>
      </c>
      <c r="C3668" s="115">
        <v>44118</v>
      </c>
      <c r="D3668" s="312">
        <v>44140</v>
      </c>
      <c r="E3668" s="81">
        <v>44133</v>
      </c>
      <c r="F3668" s="86" t="s">
        <v>11741</v>
      </c>
      <c r="G3668" s="86" t="s">
        <v>175</v>
      </c>
      <c r="H3668" s="96" t="s">
        <v>213</v>
      </c>
      <c r="I3668" s="97" t="s">
        <v>622</v>
      </c>
      <c r="J3668" s="73">
        <f t="shared" ref="J3668:J3677" si="425">IF(OR(K3668="Документы готовы",K3668="Запрос в ФО",K3668="ЭЗ",K3668="РЕШ",K3668="РЕШ шаблон"),0.1,IF(OR(K3668="ЭЗ согласование",K3668="РЕШ согласование"),0.3,IF(OR(K3668="ЭЗ согласовано",K3668="РЕШ согласовано",K3668="РЕШ подписано"),0.6,IF(OR(K3668="ЭЗ ПР согласование",K3668="РЕШ УВ согласование"),0.9,IF(OR(K3668="ЭЗ ПР DONE",K3668="РЕШ УВ DONE"),1,0)))))</f>
        <v>1</v>
      </c>
      <c r="K3668" s="74" t="s">
        <v>204</v>
      </c>
      <c r="L3668" s="97" t="s">
        <v>11629</v>
      </c>
      <c r="N3668" s="76" t="s">
        <v>19</v>
      </c>
      <c r="Q3668" s="76" t="s">
        <v>11751</v>
      </c>
      <c r="R3668" s="73">
        <f t="shared" ref="R3668:R3677" si="426">IF(S3668="В работе",0.3,IF(S3668="Отписано",0.6,IF(S3668="На доработку",0.9,IF(S3668="Согласовано",1,0))))</f>
        <v>1</v>
      </c>
      <c r="S3668" s="260" t="s">
        <v>1976</v>
      </c>
      <c r="T3668" s="260" t="s">
        <v>925</v>
      </c>
      <c r="Y3668" s="566">
        <v>0.52591435185185187</v>
      </c>
      <c r="Z3668" s="566">
        <v>0.55267361111111113</v>
      </c>
      <c r="AA3668" s="566">
        <f t="shared" ref="AA3668:AA3677" si="427">Z3668-Y3668</f>
        <v>2.675925925925926E-2</v>
      </c>
    </row>
    <row r="3669" spans="1:27" x14ac:dyDescent="0.3">
      <c r="A3669" s="79" t="s">
        <v>11684</v>
      </c>
      <c r="C3669" s="115">
        <v>44118</v>
      </c>
      <c r="D3669" s="312">
        <v>44140</v>
      </c>
      <c r="E3669" s="81">
        <v>44137</v>
      </c>
      <c r="F3669" s="86" t="s">
        <v>11742</v>
      </c>
      <c r="G3669" s="86" t="s">
        <v>189</v>
      </c>
      <c r="H3669" s="96" t="s">
        <v>213</v>
      </c>
      <c r="I3669" s="97" t="s">
        <v>649</v>
      </c>
      <c r="J3669" s="73">
        <f t="shared" si="425"/>
        <v>1</v>
      </c>
      <c r="K3669" s="74" t="s">
        <v>204</v>
      </c>
      <c r="L3669" s="97" t="s">
        <v>12150</v>
      </c>
      <c r="N3669" s="76" t="s">
        <v>18</v>
      </c>
      <c r="Q3669" s="76" t="s">
        <v>2142</v>
      </c>
      <c r="R3669" s="73">
        <f t="shared" si="426"/>
        <v>1</v>
      </c>
      <c r="S3669" s="260" t="s">
        <v>1976</v>
      </c>
      <c r="T3669" s="260" t="s">
        <v>923</v>
      </c>
      <c r="U3669" s="76" t="s">
        <v>5283</v>
      </c>
      <c r="V3669" s="301" t="s">
        <v>12151</v>
      </c>
      <c r="Y3669" s="566">
        <v>0.50997685185185182</v>
      </c>
      <c r="Z3669" s="566">
        <v>0.54392361111111109</v>
      </c>
      <c r="AA3669" s="566">
        <f t="shared" si="427"/>
        <v>3.3946759259259274E-2</v>
      </c>
    </row>
    <row r="3670" spans="1:27" x14ac:dyDescent="0.3">
      <c r="A3670" s="79" t="s">
        <v>11685</v>
      </c>
      <c r="C3670" s="115">
        <v>44118</v>
      </c>
      <c r="D3670" s="312">
        <v>44140</v>
      </c>
      <c r="E3670" s="81">
        <v>44133</v>
      </c>
      <c r="F3670" s="86" t="s">
        <v>11743</v>
      </c>
      <c r="G3670" s="86" t="s">
        <v>186</v>
      </c>
      <c r="H3670" s="96" t="s">
        <v>213</v>
      </c>
      <c r="I3670" s="97" t="s">
        <v>3187</v>
      </c>
      <c r="J3670" s="73">
        <f t="shared" si="425"/>
        <v>1</v>
      </c>
      <c r="K3670" s="74" t="s">
        <v>204</v>
      </c>
      <c r="L3670" s="97" t="s">
        <v>12119</v>
      </c>
      <c r="N3670" s="76" t="s">
        <v>19</v>
      </c>
      <c r="Q3670" s="76" t="s">
        <v>2142</v>
      </c>
      <c r="R3670" s="73">
        <f t="shared" si="426"/>
        <v>1</v>
      </c>
      <c r="S3670" s="260" t="s">
        <v>1976</v>
      </c>
      <c r="T3670" s="260" t="s">
        <v>924</v>
      </c>
      <c r="Y3670" s="566">
        <v>0.92479166666666668</v>
      </c>
      <c r="Z3670" s="566">
        <v>0.92885416666666665</v>
      </c>
      <c r="AA3670" s="566">
        <f t="shared" si="427"/>
        <v>4.0624999999999689E-3</v>
      </c>
    </row>
    <row r="3671" spans="1:27" x14ac:dyDescent="0.3">
      <c r="A3671" s="79" t="s">
        <v>11686</v>
      </c>
      <c r="C3671" s="115">
        <v>44118</v>
      </c>
      <c r="D3671" s="312">
        <v>44140</v>
      </c>
      <c r="E3671" s="81">
        <v>44134</v>
      </c>
      <c r="F3671" s="86" t="s">
        <v>11744</v>
      </c>
      <c r="G3671" s="86" t="s">
        <v>186</v>
      </c>
      <c r="H3671" s="96" t="s">
        <v>213</v>
      </c>
      <c r="I3671" s="97" t="s">
        <v>3187</v>
      </c>
      <c r="J3671" s="73">
        <f t="shared" si="425"/>
        <v>1</v>
      </c>
      <c r="K3671" s="74" t="s">
        <v>204</v>
      </c>
      <c r="L3671" s="97" t="s">
        <v>12119</v>
      </c>
      <c r="N3671" s="76" t="s">
        <v>19</v>
      </c>
      <c r="Q3671" s="301" t="s">
        <v>11751</v>
      </c>
      <c r="R3671" s="73">
        <f t="shared" si="426"/>
        <v>1</v>
      </c>
      <c r="S3671" s="260" t="s">
        <v>1976</v>
      </c>
      <c r="T3671" s="260" t="s">
        <v>924</v>
      </c>
      <c r="Y3671" s="566">
        <v>0.90873842592592602</v>
      </c>
      <c r="Z3671" s="566">
        <v>0.92607638888888888</v>
      </c>
      <c r="AA3671" s="566">
        <f t="shared" si="427"/>
        <v>1.7337962962962861E-2</v>
      </c>
    </row>
    <row r="3672" spans="1:27" x14ac:dyDescent="0.3">
      <c r="A3672" s="79" t="s">
        <v>11687</v>
      </c>
      <c r="C3672" s="115">
        <v>44119</v>
      </c>
      <c r="D3672" s="312">
        <v>44141</v>
      </c>
      <c r="E3672" s="81">
        <v>44134</v>
      </c>
      <c r="F3672" s="86" t="s">
        <v>11745</v>
      </c>
      <c r="G3672" s="86" t="s">
        <v>172</v>
      </c>
      <c r="H3672" s="96" t="s">
        <v>213</v>
      </c>
      <c r="I3672" s="97" t="s">
        <v>649</v>
      </c>
      <c r="J3672" s="73">
        <f t="shared" si="425"/>
        <v>1</v>
      </c>
      <c r="K3672" s="74" t="s">
        <v>204</v>
      </c>
      <c r="L3672" s="97" t="s">
        <v>7089</v>
      </c>
      <c r="N3672" s="76" t="s">
        <v>18</v>
      </c>
      <c r="Q3672" s="76" t="s">
        <v>2142</v>
      </c>
      <c r="R3672" s="73">
        <f t="shared" si="426"/>
        <v>1</v>
      </c>
      <c r="S3672" s="260" t="s">
        <v>1976</v>
      </c>
      <c r="T3672" s="260" t="s">
        <v>925</v>
      </c>
      <c r="Y3672" s="566">
        <v>0.68702546296296296</v>
      </c>
      <c r="Z3672" s="566">
        <v>0.7565277777777778</v>
      </c>
      <c r="AA3672" s="566">
        <f t="shared" si="427"/>
        <v>6.9502314814814836E-2</v>
      </c>
    </row>
    <row r="3673" spans="1:27" x14ac:dyDescent="0.3">
      <c r="A3673" s="79" t="s">
        <v>11688</v>
      </c>
      <c r="C3673" s="115">
        <v>44119</v>
      </c>
      <c r="D3673" s="312">
        <v>44141</v>
      </c>
      <c r="E3673" s="81">
        <v>44133</v>
      </c>
      <c r="F3673" s="86" t="s">
        <v>11746</v>
      </c>
      <c r="G3673" s="86" t="s">
        <v>9119</v>
      </c>
      <c r="H3673" s="96" t="s">
        <v>213</v>
      </c>
      <c r="I3673" s="97" t="s">
        <v>649</v>
      </c>
      <c r="J3673" s="73">
        <f t="shared" si="425"/>
        <v>1</v>
      </c>
      <c r="K3673" s="74" t="s">
        <v>204</v>
      </c>
      <c r="L3673" s="97" t="s">
        <v>7065</v>
      </c>
      <c r="N3673" s="76" t="s">
        <v>17</v>
      </c>
      <c r="Q3673" s="76" t="s">
        <v>5193</v>
      </c>
      <c r="R3673" s="73">
        <f t="shared" si="426"/>
        <v>1</v>
      </c>
      <c r="S3673" s="260" t="s">
        <v>1976</v>
      </c>
      <c r="T3673" s="260" t="s">
        <v>924</v>
      </c>
      <c r="Y3673" s="566">
        <v>0.72843750000000007</v>
      </c>
      <c r="Z3673" s="566">
        <v>0.73449074074074072</v>
      </c>
      <c r="AA3673" s="566">
        <f t="shared" si="427"/>
        <v>6.0532407407406508E-3</v>
      </c>
    </row>
    <row r="3674" spans="1:27" x14ac:dyDescent="0.3">
      <c r="A3674" s="79" t="s">
        <v>11689</v>
      </c>
      <c r="C3674" s="115">
        <v>44119</v>
      </c>
      <c r="D3674" s="312">
        <v>44141</v>
      </c>
      <c r="E3674" s="81">
        <v>44137</v>
      </c>
      <c r="F3674" s="86" t="s">
        <v>11747</v>
      </c>
      <c r="G3674" s="86" t="s">
        <v>152</v>
      </c>
      <c r="H3674" s="96" t="s">
        <v>213</v>
      </c>
      <c r="I3674" s="97" t="s">
        <v>649</v>
      </c>
      <c r="J3674" s="73">
        <f t="shared" si="425"/>
        <v>1</v>
      </c>
      <c r="K3674" s="74" t="s">
        <v>204</v>
      </c>
      <c r="L3674" s="97" t="s">
        <v>7060</v>
      </c>
      <c r="N3674" s="76" t="s">
        <v>17</v>
      </c>
      <c r="Q3674" s="76" t="s">
        <v>11751</v>
      </c>
      <c r="R3674" s="73">
        <f t="shared" si="426"/>
        <v>1</v>
      </c>
      <c r="S3674" s="260" t="s">
        <v>1976</v>
      </c>
      <c r="T3674" s="260" t="s">
        <v>925</v>
      </c>
      <c r="Y3674" s="566">
        <v>0.72842592592592592</v>
      </c>
      <c r="Z3674" s="566">
        <v>0.7439930555555555</v>
      </c>
      <c r="AA3674" s="566">
        <f t="shared" si="427"/>
        <v>1.5567129629629584E-2</v>
      </c>
    </row>
    <row r="3675" spans="1:27" x14ac:dyDescent="0.3">
      <c r="A3675" s="79" t="s">
        <v>11690</v>
      </c>
      <c r="C3675" s="115">
        <v>44119</v>
      </c>
      <c r="D3675" s="312">
        <v>44141</v>
      </c>
      <c r="E3675" s="81">
        <v>44133</v>
      </c>
      <c r="F3675" s="86" t="s">
        <v>11748</v>
      </c>
      <c r="G3675" s="86" t="s">
        <v>189</v>
      </c>
      <c r="H3675" s="96" t="s">
        <v>213</v>
      </c>
      <c r="I3675" s="97" t="s">
        <v>722</v>
      </c>
      <c r="J3675" s="73">
        <f t="shared" si="425"/>
        <v>1</v>
      </c>
      <c r="K3675" s="74" t="s">
        <v>204</v>
      </c>
      <c r="L3675" s="97" t="s">
        <v>12118</v>
      </c>
      <c r="N3675" s="76" t="s">
        <v>18</v>
      </c>
      <c r="Q3675" s="76" t="s">
        <v>5193</v>
      </c>
      <c r="R3675" s="73">
        <f t="shared" si="426"/>
        <v>1</v>
      </c>
      <c r="S3675" s="260" t="s">
        <v>1976</v>
      </c>
      <c r="T3675" s="260" t="s">
        <v>925</v>
      </c>
      <c r="Y3675" s="566">
        <v>0.73527777777777781</v>
      </c>
      <c r="Z3675" s="566">
        <v>0.74601851851851853</v>
      </c>
      <c r="AA3675" s="566">
        <f t="shared" si="427"/>
        <v>1.0740740740740717E-2</v>
      </c>
    </row>
    <row r="3676" spans="1:27" x14ac:dyDescent="0.3">
      <c r="A3676" s="79" t="s">
        <v>11691</v>
      </c>
      <c r="C3676" s="115">
        <v>44119</v>
      </c>
      <c r="D3676" s="312">
        <v>44141</v>
      </c>
      <c r="E3676" s="81">
        <v>44138</v>
      </c>
      <c r="F3676" s="86" t="s">
        <v>11749</v>
      </c>
      <c r="G3676" s="86" t="s">
        <v>9119</v>
      </c>
      <c r="H3676" s="96" t="s">
        <v>213</v>
      </c>
      <c r="I3676" s="97" t="s">
        <v>2479</v>
      </c>
      <c r="J3676" s="73">
        <f t="shared" si="425"/>
        <v>1</v>
      </c>
      <c r="K3676" s="74" t="s">
        <v>204</v>
      </c>
      <c r="L3676" s="97" t="s">
        <v>12255</v>
      </c>
      <c r="N3676" s="76" t="s">
        <v>18</v>
      </c>
      <c r="Q3676" s="76" t="s">
        <v>2142</v>
      </c>
      <c r="R3676" s="73">
        <f t="shared" si="426"/>
        <v>1</v>
      </c>
      <c r="S3676" s="260" t="s">
        <v>1976</v>
      </c>
      <c r="T3676" s="260" t="s">
        <v>924</v>
      </c>
      <c r="Y3676" s="566">
        <v>0.4259722222222222</v>
      </c>
      <c r="Z3676" s="566">
        <v>0.43641203703703701</v>
      </c>
      <c r="AA3676" s="566">
        <f t="shared" si="427"/>
        <v>1.0439814814814818E-2</v>
      </c>
    </row>
    <row r="3677" spans="1:27" x14ac:dyDescent="0.3">
      <c r="A3677" s="79" t="s">
        <v>11692</v>
      </c>
      <c r="C3677" s="115">
        <v>44119</v>
      </c>
      <c r="D3677" s="312">
        <v>44141</v>
      </c>
      <c r="E3677" s="81">
        <v>44137</v>
      </c>
      <c r="F3677" s="86" t="s">
        <v>11750</v>
      </c>
      <c r="G3677" s="86" t="s">
        <v>157</v>
      </c>
      <c r="H3677" s="96" t="s">
        <v>213</v>
      </c>
      <c r="I3677" s="97" t="s">
        <v>649</v>
      </c>
      <c r="J3677" s="73">
        <f t="shared" si="425"/>
        <v>1</v>
      </c>
      <c r="K3677" s="74" t="s">
        <v>204</v>
      </c>
      <c r="L3677" s="97" t="s">
        <v>7060</v>
      </c>
      <c r="N3677" s="76" t="s">
        <v>17</v>
      </c>
      <c r="Q3677" s="76" t="s">
        <v>11751</v>
      </c>
      <c r="R3677" s="73">
        <f t="shared" si="426"/>
        <v>1</v>
      </c>
      <c r="S3677" s="260" t="s">
        <v>1976</v>
      </c>
      <c r="T3677" s="260" t="s">
        <v>924</v>
      </c>
      <c r="U3677" s="76" t="s">
        <v>5283</v>
      </c>
      <c r="V3677" s="301" t="s">
        <v>12250</v>
      </c>
      <c r="Y3677" s="566">
        <v>0.74482638888888886</v>
      </c>
      <c r="Z3677" s="566">
        <v>0.75646990740740738</v>
      </c>
      <c r="AA3677" s="566">
        <f t="shared" si="427"/>
        <v>1.1643518518518525E-2</v>
      </c>
    </row>
    <row r="3678" spans="1:27" x14ac:dyDescent="0.3">
      <c r="A3678" s="96" t="s">
        <v>11754</v>
      </c>
      <c r="C3678" s="81">
        <v>44111</v>
      </c>
      <c r="D3678" s="109">
        <v>44132</v>
      </c>
      <c r="E3678" s="81">
        <v>44130</v>
      </c>
      <c r="F3678" s="97" t="s">
        <v>11755</v>
      </c>
      <c r="G3678" s="97" t="s">
        <v>9119</v>
      </c>
      <c r="H3678" s="96" t="s">
        <v>213</v>
      </c>
      <c r="I3678" s="97" t="s">
        <v>622</v>
      </c>
      <c r="J3678" s="73">
        <f t="shared" ref="J3678:J3682" si="428">IF(OR(K3678="Документы готовы",K3678="Запрос в ФО",K3678="ЭЗ",K3678="РЕШ",K3678="РЕШ шаблон"),0.1,IF(OR(K3678="ЭЗ согласование",K3678="РЕШ согласование"),0.3,IF(OR(K3678="ЭЗ согласовано",K3678="РЕШ согласовано",K3678="РЕШ подписано"),0.6,IF(OR(K3678="ЭЗ ПР согласование",K3678="РЕШ УВ согласование"),0.9,IF(OR(K3678="ЭЗ ПР DONE",K3678="РЕШ УВ DONE"),1,0)))))</f>
        <v>1</v>
      </c>
      <c r="K3678" s="74" t="s">
        <v>204</v>
      </c>
      <c r="L3678" s="97" t="s">
        <v>11756</v>
      </c>
      <c r="N3678" s="76" t="s">
        <v>19</v>
      </c>
      <c r="Q3678" s="76" t="s">
        <v>5193</v>
      </c>
      <c r="R3678" s="73">
        <f t="shared" ref="R3678:R3682" si="429">IF(S3678="В работе",0.3,IF(S3678="Отписано",0.6,IF(S3678="На доработку",0.9,IF(S3678="Согласовано",1,0))))</f>
        <v>1</v>
      </c>
      <c r="S3678" s="260" t="s">
        <v>1976</v>
      </c>
      <c r="T3678" s="260" t="s">
        <v>923</v>
      </c>
      <c r="Y3678" s="566">
        <v>0.63048611111111108</v>
      </c>
      <c r="Z3678" s="566">
        <v>0.64351851851851849</v>
      </c>
      <c r="AA3678" s="566">
        <f t="shared" ref="AA3678:AA3682" si="430">Z3678-Y3678</f>
        <v>1.3032407407407409E-2</v>
      </c>
    </row>
    <row r="3679" spans="1:27" x14ac:dyDescent="0.3">
      <c r="A3679" s="96" t="s">
        <v>11757</v>
      </c>
      <c r="C3679" s="81">
        <v>44098</v>
      </c>
      <c r="D3679" s="109">
        <v>44133</v>
      </c>
      <c r="E3679" s="81">
        <v>44130</v>
      </c>
      <c r="F3679" s="97" t="s">
        <v>11758</v>
      </c>
      <c r="G3679" s="97" t="s">
        <v>147</v>
      </c>
      <c r="H3679" s="96" t="s">
        <v>213</v>
      </c>
      <c r="I3679" s="97" t="s">
        <v>714</v>
      </c>
      <c r="J3679" s="73">
        <f t="shared" si="428"/>
        <v>1</v>
      </c>
      <c r="K3679" s="74" t="s">
        <v>204</v>
      </c>
      <c r="L3679" s="97" t="s">
        <v>11759</v>
      </c>
      <c r="N3679" s="76" t="s">
        <v>18</v>
      </c>
      <c r="Q3679" s="76" t="s">
        <v>5193</v>
      </c>
      <c r="R3679" s="73">
        <f t="shared" si="429"/>
        <v>1</v>
      </c>
      <c r="S3679" s="260" t="s">
        <v>1976</v>
      </c>
      <c r="T3679" s="260" t="s">
        <v>925</v>
      </c>
      <c r="Y3679" s="566">
        <v>0.64473379629629635</v>
      </c>
      <c r="Z3679" s="566">
        <v>0.6667939814814815</v>
      </c>
      <c r="AA3679" s="566">
        <f t="shared" si="430"/>
        <v>2.2060185185185155E-2</v>
      </c>
    </row>
    <row r="3680" spans="1:27" x14ac:dyDescent="0.3">
      <c r="A3680" s="96" t="s">
        <v>11760</v>
      </c>
      <c r="C3680" s="81">
        <v>44112</v>
      </c>
      <c r="D3680" s="109">
        <v>44134</v>
      </c>
      <c r="E3680" s="81">
        <v>44130</v>
      </c>
      <c r="F3680" s="97" t="s">
        <v>11761</v>
      </c>
      <c r="G3680" s="97" t="s">
        <v>152</v>
      </c>
      <c r="H3680" s="96" t="s">
        <v>213</v>
      </c>
      <c r="I3680" s="97" t="s">
        <v>722</v>
      </c>
      <c r="J3680" s="73">
        <f t="shared" si="428"/>
        <v>1</v>
      </c>
      <c r="K3680" s="74" t="s">
        <v>204</v>
      </c>
      <c r="L3680" s="97" t="s">
        <v>7322</v>
      </c>
      <c r="N3680" s="76" t="s">
        <v>18</v>
      </c>
      <c r="Q3680" s="76" t="s">
        <v>5193</v>
      </c>
      <c r="R3680" s="73">
        <f t="shared" si="429"/>
        <v>1</v>
      </c>
      <c r="S3680" s="260" t="s">
        <v>1976</v>
      </c>
      <c r="T3680" s="260" t="s">
        <v>925</v>
      </c>
      <c r="Y3680" s="566">
        <v>0.66766203703703697</v>
      </c>
      <c r="Z3680" s="566">
        <v>0.68629629629629629</v>
      </c>
      <c r="AA3680" s="566">
        <f t="shared" si="430"/>
        <v>1.8634259259259323E-2</v>
      </c>
    </row>
    <row r="3681" spans="1:27" x14ac:dyDescent="0.3">
      <c r="A3681" s="96" t="s">
        <v>11762</v>
      </c>
      <c r="C3681" s="81">
        <v>44099</v>
      </c>
      <c r="D3681" s="109">
        <v>44134</v>
      </c>
      <c r="E3681" s="81">
        <v>44130</v>
      </c>
      <c r="F3681" s="97" t="s">
        <v>11763</v>
      </c>
      <c r="G3681" s="97" t="s">
        <v>9119</v>
      </c>
      <c r="H3681" s="96" t="s">
        <v>213</v>
      </c>
      <c r="I3681" s="97" t="s">
        <v>722</v>
      </c>
      <c r="J3681" s="73">
        <f t="shared" si="428"/>
        <v>1</v>
      </c>
      <c r="K3681" s="74" t="s">
        <v>204</v>
      </c>
      <c r="L3681" s="97" t="s">
        <v>7524</v>
      </c>
      <c r="N3681" s="76" t="s">
        <v>17</v>
      </c>
      <c r="Q3681" s="76" t="s">
        <v>5193</v>
      </c>
      <c r="R3681" s="73">
        <f t="shared" si="429"/>
        <v>1</v>
      </c>
      <c r="S3681" s="260" t="s">
        <v>1976</v>
      </c>
      <c r="T3681" s="260" t="s">
        <v>925</v>
      </c>
      <c r="Y3681" s="566">
        <v>0.68732638888888886</v>
      </c>
      <c r="Z3681" s="566">
        <v>0.70571759259259259</v>
      </c>
      <c r="AA3681" s="566">
        <f t="shared" si="430"/>
        <v>1.8391203703703729E-2</v>
      </c>
    </row>
    <row r="3682" spans="1:27" x14ac:dyDescent="0.3">
      <c r="A3682" s="79" t="s">
        <v>12127</v>
      </c>
      <c r="C3682" s="115">
        <v>44085</v>
      </c>
      <c r="D3682" s="312">
        <v>44144</v>
      </c>
      <c r="E3682" s="81">
        <v>44137</v>
      </c>
      <c r="F3682" s="86" t="s">
        <v>12135</v>
      </c>
      <c r="G3682" s="86" t="s">
        <v>154</v>
      </c>
      <c r="H3682" s="96" t="s">
        <v>213</v>
      </c>
      <c r="I3682" s="97" t="s">
        <v>658</v>
      </c>
      <c r="J3682" s="73">
        <f t="shared" si="428"/>
        <v>1</v>
      </c>
      <c r="K3682" s="74" t="s">
        <v>204</v>
      </c>
      <c r="L3682" s="97" t="s">
        <v>12253</v>
      </c>
      <c r="N3682" s="76" t="s">
        <v>17</v>
      </c>
      <c r="Q3682" s="76" t="s">
        <v>11751</v>
      </c>
      <c r="R3682" s="73">
        <f t="shared" si="429"/>
        <v>1</v>
      </c>
      <c r="S3682" s="260" t="s">
        <v>1976</v>
      </c>
      <c r="T3682" s="260" t="s">
        <v>925</v>
      </c>
      <c r="Y3682" s="566">
        <v>0.843287037037037</v>
      </c>
      <c r="Z3682" s="566">
        <v>0.8656018518518519</v>
      </c>
      <c r="AA3682" s="566">
        <f t="shared" si="430"/>
        <v>2.2314814814814898E-2</v>
      </c>
    </row>
    <row r="3683" spans="1:27" x14ac:dyDescent="0.3">
      <c r="A3683" s="79" t="s">
        <v>12128</v>
      </c>
      <c r="C3683" s="115">
        <v>44092</v>
      </c>
      <c r="D3683" s="312">
        <v>44144</v>
      </c>
      <c r="E3683" s="81">
        <v>44138</v>
      </c>
      <c r="F3683" s="86" t="s">
        <v>12136</v>
      </c>
      <c r="G3683" s="86" t="s">
        <v>9119</v>
      </c>
      <c r="H3683" s="96" t="s">
        <v>213</v>
      </c>
      <c r="I3683" s="97" t="s">
        <v>714</v>
      </c>
      <c r="J3683" s="73">
        <f t="shared" ref="J3683:J3693" si="431">IF(OR(K3683="Документы готовы",K3683="Запрос в ФО",K3683="ЭЗ",K3683="РЕШ",K3683="РЕШ шаблон"),0.1,IF(OR(K3683="ЭЗ согласование",K3683="РЕШ согласование"),0.3,IF(OR(K3683="ЭЗ согласовано",K3683="РЕШ согласовано",K3683="РЕШ подписано"),0.6,IF(OR(K3683="ЭЗ ПР согласование",K3683="РЕШ УВ согласование"),0.9,IF(OR(K3683="ЭЗ ПР DONE",K3683="РЕШ УВ DONE"),1,0)))))</f>
        <v>1</v>
      </c>
      <c r="K3683" s="74" t="s">
        <v>204</v>
      </c>
      <c r="L3683" s="97" t="s">
        <v>7071</v>
      </c>
      <c r="N3683" s="76" t="s">
        <v>18</v>
      </c>
      <c r="Q3683" s="76" t="s">
        <v>2076</v>
      </c>
      <c r="R3683" s="73">
        <f t="shared" ref="R3683:R3693" si="432">IF(S3683="В работе",0.3,IF(S3683="Отписано",0.6,IF(S3683="На доработку",0.9,IF(S3683="Согласовано",1,0))))</f>
        <v>1</v>
      </c>
      <c r="S3683" s="260" t="s">
        <v>1976</v>
      </c>
      <c r="T3683" s="260" t="s">
        <v>923</v>
      </c>
      <c r="Y3683" s="566">
        <v>0.7131249999999999</v>
      </c>
      <c r="Z3683" s="566">
        <v>0.72077546296296291</v>
      </c>
      <c r="AA3683" s="566">
        <f t="shared" ref="AA3683:AA3693" si="433">Z3683-Y3683</f>
        <v>7.6504629629630116E-3</v>
      </c>
    </row>
    <row r="3684" spans="1:27" x14ac:dyDescent="0.3">
      <c r="A3684" s="79" t="s">
        <v>12129</v>
      </c>
      <c r="C3684" s="115">
        <v>44106</v>
      </c>
      <c r="D3684" s="312">
        <v>44144</v>
      </c>
      <c r="E3684" s="81">
        <v>44134</v>
      </c>
      <c r="F3684" s="86" t="s">
        <v>12137</v>
      </c>
      <c r="G3684" s="97" t="s">
        <v>150</v>
      </c>
      <c r="H3684" s="96" t="s">
        <v>213</v>
      </c>
      <c r="I3684" s="97" t="s">
        <v>722</v>
      </c>
      <c r="J3684" s="73">
        <f t="shared" si="431"/>
        <v>1</v>
      </c>
      <c r="K3684" s="74" t="s">
        <v>204</v>
      </c>
      <c r="L3684" s="97" t="s">
        <v>12149</v>
      </c>
      <c r="N3684" s="76" t="s">
        <v>18</v>
      </c>
      <c r="Q3684" s="76" t="s">
        <v>2142</v>
      </c>
      <c r="R3684" s="73">
        <f t="shared" si="432"/>
        <v>1</v>
      </c>
      <c r="S3684" s="260" t="s">
        <v>1976</v>
      </c>
      <c r="T3684" s="260" t="s">
        <v>923</v>
      </c>
      <c r="Y3684" s="566">
        <v>0.78136574074074072</v>
      </c>
      <c r="Z3684" s="566">
        <v>0.82259259259259254</v>
      </c>
      <c r="AA3684" s="566">
        <f t="shared" si="433"/>
        <v>4.122685185185182E-2</v>
      </c>
    </row>
    <row r="3685" spans="1:27" x14ac:dyDescent="0.3">
      <c r="A3685" s="79" t="s">
        <v>12130</v>
      </c>
      <c r="C3685" s="115">
        <v>44106</v>
      </c>
      <c r="D3685" s="312">
        <v>44144</v>
      </c>
      <c r="E3685" s="81">
        <v>44134</v>
      </c>
      <c r="F3685" s="86" t="s">
        <v>12138</v>
      </c>
      <c r="G3685" s="86" t="s">
        <v>150</v>
      </c>
      <c r="H3685" s="96" t="s">
        <v>213</v>
      </c>
      <c r="I3685" s="97" t="s">
        <v>642</v>
      </c>
      <c r="J3685" s="73">
        <f t="shared" si="431"/>
        <v>1</v>
      </c>
      <c r="K3685" s="74" t="s">
        <v>204</v>
      </c>
      <c r="L3685" s="97" t="s">
        <v>7108</v>
      </c>
      <c r="N3685" s="76" t="s">
        <v>18</v>
      </c>
      <c r="Q3685" s="76" t="s">
        <v>2142</v>
      </c>
      <c r="R3685" s="73">
        <f t="shared" si="432"/>
        <v>1</v>
      </c>
      <c r="S3685" s="260" t="s">
        <v>1976</v>
      </c>
      <c r="T3685" s="260" t="s">
        <v>924</v>
      </c>
      <c r="Y3685" s="566">
        <v>0.76048611111111108</v>
      </c>
      <c r="Z3685" s="566">
        <v>0.78082175925925934</v>
      </c>
      <c r="AA3685" s="566">
        <f t="shared" si="433"/>
        <v>2.0335648148148255E-2</v>
      </c>
    </row>
    <row r="3686" spans="1:27" x14ac:dyDescent="0.3">
      <c r="A3686" s="79" t="s">
        <v>12123</v>
      </c>
      <c r="C3686" s="115">
        <v>44106</v>
      </c>
      <c r="D3686" s="312">
        <v>44144</v>
      </c>
      <c r="E3686" s="81">
        <v>44134</v>
      </c>
      <c r="F3686" s="86" t="s">
        <v>12139</v>
      </c>
      <c r="G3686" s="86" t="s">
        <v>181</v>
      </c>
      <c r="H3686" s="96" t="s">
        <v>213</v>
      </c>
      <c r="I3686" s="97" t="s">
        <v>714</v>
      </c>
      <c r="J3686" s="73">
        <f t="shared" si="431"/>
        <v>1</v>
      </c>
      <c r="K3686" s="74" t="s">
        <v>204</v>
      </c>
      <c r="L3686" s="97" t="s">
        <v>7058</v>
      </c>
      <c r="N3686" s="76" t="s">
        <v>18</v>
      </c>
      <c r="Q3686" s="76" t="s">
        <v>5193</v>
      </c>
      <c r="R3686" s="73">
        <f t="shared" si="432"/>
        <v>1</v>
      </c>
      <c r="S3686" s="260" t="s">
        <v>1976</v>
      </c>
      <c r="T3686" s="260" t="s">
        <v>925</v>
      </c>
      <c r="Y3686" s="566">
        <v>0.62778935185185192</v>
      </c>
      <c r="Z3686" s="566">
        <v>0.64531250000000007</v>
      </c>
      <c r="AA3686" s="566">
        <f t="shared" si="433"/>
        <v>1.7523148148148149E-2</v>
      </c>
    </row>
    <row r="3687" spans="1:27" x14ac:dyDescent="0.3">
      <c r="A3687" s="79" t="s">
        <v>12131</v>
      </c>
      <c r="C3687" s="115">
        <v>44106</v>
      </c>
      <c r="D3687" s="312">
        <v>44144</v>
      </c>
      <c r="E3687" s="81">
        <v>44137</v>
      </c>
      <c r="F3687" s="86" t="s">
        <v>12140</v>
      </c>
      <c r="G3687" s="86" t="s">
        <v>166</v>
      </c>
      <c r="H3687" s="96" t="s">
        <v>213</v>
      </c>
      <c r="I3687" s="97" t="s">
        <v>714</v>
      </c>
      <c r="J3687" s="73">
        <f t="shared" si="431"/>
        <v>1</v>
      </c>
      <c r="K3687" s="74" t="s">
        <v>204</v>
      </c>
      <c r="L3687" s="97" t="s">
        <v>7072</v>
      </c>
      <c r="N3687" s="76" t="s">
        <v>18</v>
      </c>
      <c r="Q3687" s="76" t="s">
        <v>11751</v>
      </c>
      <c r="R3687" s="73">
        <f t="shared" si="432"/>
        <v>1</v>
      </c>
      <c r="S3687" s="260" t="s">
        <v>1976</v>
      </c>
      <c r="T3687" s="260" t="s">
        <v>924</v>
      </c>
      <c r="Y3687" s="566">
        <v>0.81756944444444446</v>
      </c>
      <c r="Z3687" s="566">
        <v>0.83200231481481479</v>
      </c>
      <c r="AA3687" s="566">
        <f t="shared" si="433"/>
        <v>1.4432870370370332E-2</v>
      </c>
    </row>
    <row r="3688" spans="1:27" x14ac:dyDescent="0.3">
      <c r="A3688" s="79" t="s">
        <v>12124</v>
      </c>
      <c r="C3688" s="115">
        <v>44106</v>
      </c>
      <c r="D3688" s="312">
        <v>44144</v>
      </c>
      <c r="E3688" s="81">
        <v>44134</v>
      </c>
      <c r="F3688" s="86" t="s">
        <v>12141</v>
      </c>
      <c r="G3688" s="86" t="s">
        <v>6493</v>
      </c>
      <c r="H3688" s="96" t="s">
        <v>213</v>
      </c>
      <c r="I3688" s="97" t="s">
        <v>642</v>
      </c>
      <c r="J3688" s="73">
        <f t="shared" si="431"/>
        <v>1</v>
      </c>
      <c r="K3688" s="74" t="s">
        <v>204</v>
      </c>
      <c r="L3688" s="97" t="s">
        <v>7097</v>
      </c>
      <c r="N3688" s="76" t="s">
        <v>18</v>
      </c>
      <c r="Q3688" s="76" t="s">
        <v>5193</v>
      </c>
      <c r="R3688" s="73">
        <f t="shared" si="432"/>
        <v>1</v>
      </c>
      <c r="S3688" s="260" t="s">
        <v>1976</v>
      </c>
      <c r="T3688" s="260" t="s">
        <v>925</v>
      </c>
      <c r="U3688" s="76" t="s">
        <v>5283</v>
      </c>
      <c r="V3688" s="301" t="s">
        <v>12147</v>
      </c>
      <c r="Y3688" s="566">
        <v>0.64690972222222221</v>
      </c>
      <c r="Z3688" s="566">
        <v>0.6524537037037037</v>
      </c>
      <c r="AA3688" s="566">
        <f t="shared" si="433"/>
        <v>5.5439814814814969E-3</v>
      </c>
    </row>
    <row r="3689" spans="1:27" x14ac:dyDescent="0.3">
      <c r="A3689" s="79" t="s">
        <v>12132</v>
      </c>
      <c r="C3689" s="115">
        <v>44106</v>
      </c>
      <c r="D3689" s="312">
        <v>44144</v>
      </c>
      <c r="E3689" s="81">
        <v>44138</v>
      </c>
      <c r="F3689" s="86" t="s">
        <v>12142</v>
      </c>
      <c r="G3689" s="97" t="s">
        <v>8909</v>
      </c>
      <c r="H3689" s="96" t="s">
        <v>213</v>
      </c>
      <c r="I3689" s="97" t="s">
        <v>714</v>
      </c>
      <c r="J3689" s="73">
        <f t="shared" si="431"/>
        <v>1</v>
      </c>
      <c r="K3689" s="74" t="s">
        <v>204</v>
      </c>
      <c r="L3689" s="97" t="s">
        <v>12263</v>
      </c>
      <c r="N3689" s="76" t="s">
        <v>17</v>
      </c>
      <c r="Q3689" s="76" t="s">
        <v>2076</v>
      </c>
      <c r="R3689" s="73">
        <f t="shared" si="432"/>
        <v>1</v>
      </c>
      <c r="S3689" s="260" t="s">
        <v>1976</v>
      </c>
      <c r="T3689" s="260" t="s">
        <v>925</v>
      </c>
      <c r="Y3689" s="566">
        <v>0.67138888888888892</v>
      </c>
      <c r="Z3689" s="566">
        <v>0.71262731481481489</v>
      </c>
      <c r="AA3689" s="566">
        <f t="shared" si="433"/>
        <v>4.123842592592597E-2</v>
      </c>
    </row>
    <row r="3690" spans="1:27" x14ac:dyDescent="0.3">
      <c r="A3690" s="79" t="s">
        <v>12125</v>
      </c>
      <c r="C3690" s="115">
        <v>44106</v>
      </c>
      <c r="D3690" s="312">
        <v>44144</v>
      </c>
      <c r="E3690" s="81">
        <v>44134</v>
      </c>
      <c r="F3690" s="86" t="s">
        <v>12143</v>
      </c>
      <c r="G3690" s="97" t="s">
        <v>164</v>
      </c>
      <c r="H3690" s="96" t="s">
        <v>213</v>
      </c>
      <c r="I3690" s="97" t="s">
        <v>642</v>
      </c>
      <c r="J3690" s="73">
        <f t="shared" si="431"/>
        <v>1</v>
      </c>
      <c r="K3690" s="74" t="s">
        <v>204</v>
      </c>
      <c r="L3690" s="97" t="s">
        <v>7108</v>
      </c>
      <c r="N3690" s="76" t="s">
        <v>17</v>
      </c>
      <c r="Q3690" s="76" t="s">
        <v>5193</v>
      </c>
      <c r="R3690" s="73">
        <f t="shared" si="432"/>
        <v>1</v>
      </c>
      <c r="S3690" s="260" t="s">
        <v>1976</v>
      </c>
      <c r="T3690" s="260" t="s">
        <v>924</v>
      </c>
      <c r="Y3690" s="566">
        <v>0.65391203703703704</v>
      </c>
      <c r="Z3690" s="566">
        <v>0.66240740740740744</v>
      </c>
      <c r="AA3690" s="566">
        <f t="shared" si="433"/>
        <v>8.4953703703704031E-3</v>
      </c>
    </row>
    <row r="3691" spans="1:27" x14ac:dyDescent="0.3">
      <c r="A3691" s="79" t="s">
        <v>12133</v>
      </c>
      <c r="C3691" s="115">
        <v>44120</v>
      </c>
      <c r="D3691" s="312">
        <v>44144</v>
      </c>
      <c r="E3691" s="81">
        <v>44138</v>
      </c>
      <c r="F3691" s="86" t="s">
        <v>12144</v>
      </c>
      <c r="G3691" s="86" t="s">
        <v>6493</v>
      </c>
      <c r="H3691" s="96" t="s">
        <v>213</v>
      </c>
      <c r="I3691" s="97" t="s">
        <v>622</v>
      </c>
      <c r="J3691" s="73">
        <f t="shared" si="431"/>
        <v>1</v>
      </c>
      <c r="K3691" s="74" t="s">
        <v>204</v>
      </c>
      <c r="L3691" s="97" t="s">
        <v>12261</v>
      </c>
      <c r="N3691" s="76" t="s">
        <v>18</v>
      </c>
      <c r="Q3691" s="76" t="s">
        <v>2142</v>
      </c>
      <c r="R3691" s="73">
        <f t="shared" si="432"/>
        <v>1</v>
      </c>
      <c r="S3691" s="260" t="s">
        <v>1976</v>
      </c>
      <c r="T3691" s="260" t="s">
        <v>923</v>
      </c>
      <c r="X3691" s="301" t="s">
        <v>12260</v>
      </c>
      <c r="Y3691" s="566">
        <v>0.43699074074074074</v>
      </c>
      <c r="Z3691" s="566">
        <v>0.49988425925925922</v>
      </c>
      <c r="AA3691" s="566">
        <f t="shared" si="433"/>
        <v>6.2893518518518488E-2</v>
      </c>
    </row>
    <row r="3692" spans="1:27" x14ac:dyDescent="0.3">
      <c r="A3692" s="79" t="s">
        <v>12134</v>
      </c>
      <c r="C3692" s="115">
        <v>44120</v>
      </c>
      <c r="D3692" s="312">
        <v>44144</v>
      </c>
      <c r="E3692" s="81">
        <v>44137</v>
      </c>
      <c r="F3692" s="86" t="s">
        <v>12145</v>
      </c>
      <c r="G3692" s="86" t="s">
        <v>147</v>
      </c>
      <c r="H3692" s="96" t="s">
        <v>213</v>
      </c>
      <c r="I3692" s="97" t="s">
        <v>649</v>
      </c>
      <c r="J3692" s="73">
        <f t="shared" si="431"/>
        <v>1</v>
      </c>
      <c r="K3692" s="74" t="s">
        <v>204</v>
      </c>
      <c r="L3692" s="97" t="s">
        <v>12259</v>
      </c>
      <c r="N3692" s="76" t="s">
        <v>17</v>
      </c>
      <c r="Q3692" s="76" t="s">
        <v>11751</v>
      </c>
      <c r="R3692" s="73">
        <f t="shared" si="432"/>
        <v>1</v>
      </c>
      <c r="S3692" s="260" t="s">
        <v>1976</v>
      </c>
      <c r="T3692" s="260" t="s">
        <v>924</v>
      </c>
      <c r="U3692" s="76" t="s">
        <v>5283</v>
      </c>
      <c r="V3692" s="301" t="s">
        <v>12252</v>
      </c>
      <c r="Y3692" s="566">
        <v>0.78782407407407407</v>
      </c>
      <c r="Z3692" s="566">
        <v>0.79828703703703707</v>
      </c>
      <c r="AA3692" s="566">
        <f t="shared" si="433"/>
        <v>1.0462962962963007E-2</v>
      </c>
    </row>
    <row r="3693" spans="1:27" x14ac:dyDescent="0.3">
      <c r="A3693" s="79" t="s">
        <v>12126</v>
      </c>
      <c r="C3693" s="115">
        <v>44120</v>
      </c>
      <c r="D3693" s="312">
        <v>44144</v>
      </c>
      <c r="E3693" s="81">
        <v>44134</v>
      </c>
      <c r="F3693" s="86" t="s">
        <v>12146</v>
      </c>
      <c r="G3693" s="86" t="s">
        <v>150</v>
      </c>
      <c r="H3693" s="96" t="s">
        <v>213</v>
      </c>
      <c r="I3693" s="97" t="s">
        <v>658</v>
      </c>
      <c r="J3693" s="73">
        <f t="shared" si="431"/>
        <v>1</v>
      </c>
      <c r="K3693" s="74" t="s">
        <v>204</v>
      </c>
      <c r="L3693" s="97" t="s">
        <v>12148</v>
      </c>
      <c r="N3693" s="76" t="s">
        <v>18</v>
      </c>
      <c r="Q3693" s="76" t="s">
        <v>5193</v>
      </c>
      <c r="R3693" s="73">
        <f t="shared" si="432"/>
        <v>1</v>
      </c>
      <c r="S3693" s="260" t="s">
        <v>1976</v>
      </c>
      <c r="T3693" s="260" t="s">
        <v>923</v>
      </c>
      <c r="Y3693" s="566">
        <v>0.66280092592592588</v>
      </c>
      <c r="Z3693" s="566">
        <v>0.68517361111111119</v>
      </c>
      <c r="AA3693" s="566">
        <f t="shared" si="433"/>
        <v>2.2372685185185315E-2</v>
      </c>
    </row>
    <row r="3694" spans="1:27" x14ac:dyDescent="0.3">
      <c r="A3694" s="79" t="s">
        <v>12152</v>
      </c>
      <c r="C3694" s="115">
        <v>44095</v>
      </c>
      <c r="D3694" s="312">
        <v>44145</v>
      </c>
      <c r="E3694" s="81">
        <v>44137</v>
      </c>
      <c r="F3694" s="86" t="s">
        <v>12201</v>
      </c>
      <c r="G3694" s="86" t="s">
        <v>150</v>
      </c>
      <c r="H3694" s="96" t="s">
        <v>213</v>
      </c>
      <c r="I3694" s="97" t="s">
        <v>714</v>
      </c>
      <c r="J3694" s="73">
        <f t="shared" ref="J3694:J3732" si="434">IF(OR(K3694="Документы готовы",K3694="Запрос в ФО",K3694="ЭЗ",K3694="РЕШ",K3694="РЕШ шаблон"),0.1,IF(OR(K3694="ЭЗ согласование",K3694="РЕШ согласование"),0.3,IF(OR(K3694="ЭЗ согласовано",K3694="РЕШ согласовано",K3694="РЕШ подписано"),0.6,IF(OR(K3694="ЭЗ ПР согласование",K3694="РЕШ УВ согласование"),0.9,IF(OR(K3694="ЭЗ ПР DONE",K3694="РЕШ УВ DONE"),1,0)))))</f>
        <v>1</v>
      </c>
      <c r="K3694" s="74" t="s">
        <v>204</v>
      </c>
      <c r="L3694" s="97" t="s">
        <v>7349</v>
      </c>
      <c r="N3694" s="76" t="s">
        <v>17</v>
      </c>
      <c r="Q3694" s="76" t="s">
        <v>2142</v>
      </c>
      <c r="R3694" s="73">
        <f t="shared" ref="R3694:R3732" si="435">IF(S3694="В работе",0.3,IF(S3694="Отписано",0.6,IF(S3694="На доработку",0.9,IF(S3694="Согласовано",1,0))))</f>
        <v>1</v>
      </c>
      <c r="S3694" s="260" t="s">
        <v>1976</v>
      </c>
      <c r="T3694" s="260" t="s">
        <v>923</v>
      </c>
      <c r="Y3694" s="566">
        <v>0.70516203703703706</v>
      </c>
      <c r="Z3694" s="566">
        <v>0.71343749999999995</v>
      </c>
      <c r="AA3694" s="566">
        <f t="shared" ref="AA3694:AA3732" si="436">Z3694-Y3694</f>
        <v>8.2754629629628873E-3</v>
      </c>
    </row>
    <row r="3695" spans="1:27" x14ac:dyDescent="0.3">
      <c r="A3695" s="79" t="s">
        <v>12153</v>
      </c>
      <c r="C3695" s="115">
        <v>44098</v>
      </c>
      <c r="D3695" s="312">
        <v>44148</v>
      </c>
      <c r="E3695" s="81">
        <v>44144</v>
      </c>
      <c r="F3695" s="86" t="s">
        <v>12202</v>
      </c>
      <c r="G3695" s="86" t="s">
        <v>3280</v>
      </c>
      <c r="H3695" s="96" t="s">
        <v>213</v>
      </c>
      <c r="I3695" s="97" t="s">
        <v>714</v>
      </c>
      <c r="J3695" s="73">
        <f t="shared" si="434"/>
        <v>1</v>
      </c>
      <c r="K3695" s="74" t="s">
        <v>204</v>
      </c>
      <c r="L3695" s="97" t="s">
        <v>7072</v>
      </c>
      <c r="N3695" s="76" t="s">
        <v>18</v>
      </c>
      <c r="Q3695" s="76" t="s">
        <v>2037</v>
      </c>
      <c r="R3695" s="73">
        <f t="shared" si="435"/>
        <v>1</v>
      </c>
      <c r="S3695" s="260" t="s">
        <v>1976</v>
      </c>
      <c r="T3695" s="260" t="s">
        <v>923</v>
      </c>
      <c r="Y3695" s="566">
        <v>0.40942129629629626</v>
      </c>
      <c r="Z3695" s="566">
        <v>0.42365740740740737</v>
      </c>
      <c r="AA3695" s="566">
        <f t="shared" si="436"/>
        <v>1.4236111111111116E-2</v>
      </c>
    </row>
    <row r="3696" spans="1:27" x14ac:dyDescent="0.3">
      <c r="A3696" s="79" t="s">
        <v>12154</v>
      </c>
      <c r="C3696" s="115">
        <v>44109</v>
      </c>
      <c r="D3696" s="312">
        <v>44145</v>
      </c>
      <c r="E3696" s="81">
        <v>44138</v>
      </c>
      <c r="F3696" s="86" t="s">
        <v>12203</v>
      </c>
      <c r="G3696" s="86" t="s">
        <v>147</v>
      </c>
      <c r="H3696" s="96" t="s">
        <v>213</v>
      </c>
      <c r="I3696" s="97" t="s">
        <v>649</v>
      </c>
      <c r="J3696" s="73">
        <f t="shared" si="434"/>
        <v>1</v>
      </c>
      <c r="K3696" s="74" t="s">
        <v>204</v>
      </c>
      <c r="L3696" s="97" t="s">
        <v>7089</v>
      </c>
      <c r="N3696" s="76" t="s">
        <v>17</v>
      </c>
      <c r="Q3696" s="76" t="s">
        <v>2076</v>
      </c>
      <c r="R3696" s="73">
        <f t="shared" si="435"/>
        <v>1</v>
      </c>
      <c r="S3696" s="260" t="s">
        <v>1976</v>
      </c>
      <c r="T3696" s="260" t="s">
        <v>925</v>
      </c>
      <c r="U3696" s="76" t="s">
        <v>5283</v>
      </c>
      <c r="V3696" s="301" t="s">
        <v>12264</v>
      </c>
      <c r="Y3696" s="566">
        <v>0.73059027777777785</v>
      </c>
      <c r="Z3696" s="566">
        <v>0.74561342592592583</v>
      </c>
      <c r="AA3696" s="566">
        <f t="shared" si="436"/>
        <v>1.502314814814798E-2</v>
      </c>
    </row>
    <row r="3697" spans="1:28" x14ac:dyDescent="0.3">
      <c r="A3697" s="79" t="s">
        <v>12155</v>
      </c>
      <c r="C3697" s="115">
        <v>44109</v>
      </c>
      <c r="D3697" s="312">
        <v>44145</v>
      </c>
      <c r="E3697" s="81">
        <v>44140</v>
      </c>
      <c r="F3697" s="86" t="s">
        <v>12204</v>
      </c>
      <c r="G3697" s="86" t="s">
        <v>164</v>
      </c>
      <c r="H3697" s="96" t="s">
        <v>213</v>
      </c>
      <c r="I3697" s="97" t="s">
        <v>642</v>
      </c>
      <c r="J3697" s="73">
        <f t="shared" si="434"/>
        <v>1</v>
      </c>
      <c r="K3697" s="74" t="s">
        <v>204</v>
      </c>
      <c r="L3697" s="97" t="s">
        <v>7108</v>
      </c>
      <c r="N3697" s="76" t="s">
        <v>18</v>
      </c>
      <c r="Q3697" s="76" t="s">
        <v>2037</v>
      </c>
      <c r="R3697" s="73">
        <f t="shared" si="435"/>
        <v>1</v>
      </c>
      <c r="S3697" s="260" t="s">
        <v>1976</v>
      </c>
      <c r="T3697" s="260" t="s">
        <v>923</v>
      </c>
      <c r="Y3697" s="566">
        <v>0.4850694444444445</v>
      </c>
      <c r="Z3697" s="566">
        <v>0.48802083333333335</v>
      </c>
      <c r="AA3697" s="566">
        <f t="shared" si="436"/>
        <v>2.9513888888888506E-3</v>
      </c>
    </row>
    <row r="3698" spans="1:28" x14ac:dyDescent="0.3">
      <c r="A3698" s="79" t="s">
        <v>12156</v>
      </c>
      <c r="C3698" s="115">
        <v>44109</v>
      </c>
      <c r="D3698" s="312">
        <v>44146</v>
      </c>
      <c r="E3698" s="81">
        <v>44137</v>
      </c>
      <c r="F3698" s="86" t="s">
        <v>12205</v>
      </c>
      <c r="G3698" s="86" t="s">
        <v>147</v>
      </c>
      <c r="H3698" s="96" t="s">
        <v>213</v>
      </c>
      <c r="I3698" s="97" t="s">
        <v>642</v>
      </c>
      <c r="J3698" s="73">
        <f t="shared" si="434"/>
        <v>1</v>
      </c>
      <c r="K3698" s="74" t="s">
        <v>204</v>
      </c>
      <c r="L3698" s="97" t="s">
        <v>7108</v>
      </c>
      <c r="N3698" s="76" t="s">
        <v>18</v>
      </c>
      <c r="Q3698" s="76" t="s">
        <v>2142</v>
      </c>
      <c r="R3698" s="73">
        <f t="shared" si="435"/>
        <v>1</v>
      </c>
      <c r="S3698" s="260" t="s">
        <v>1976</v>
      </c>
      <c r="T3698" s="260" t="s">
        <v>924</v>
      </c>
      <c r="Y3698" s="566">
        <v>0.94916666666666671</v>
      </c>
      <c r="Z3698" s="566">
        <v>0.96717592592592594</v>
      </c>
      <c r="AA3698" s="566">
        <f t="shared" si="436"/>
        <v>1.8009259259259225E-2</v>
      </c>
    </row>
    <row r="3699" spans="1:28" x14ac:dyDescent="0.3">
      <c r="A3699" s="79" t="s">
        <v>12157</v>
      </c>
      <c r="C3699" s="115">
        <v>44109</v>
      </c>
      <c r="D3699" s="312">
        <v>44146</v>
      </c>
      <c r="E3699" s="81">
        <v>44140</v>
      </c>
      <c r="F3699" s="86" t="s">
        <v>12206</v>
      </c>
      <c r="G3699" s="86" t="s">
        <v>181</v>
      </c>
      <c r="H3699" s="96" t="s">
        <v>213</v>
      </c>
      <c r="I3699" s="97" t="s">
        <v>995</v>
      </c>
      <c r="J3699" s="73">
        <f t="shared" si="434"/>
        <v>1</v>
      </c>
      <c r="K3699" s="74" t="s">
        <v>204</v>
      </c>
      <c r="L3699" s="97" t="s">
        <v>7073</v>
      </c>
      <c r="N3699" s="76" t="s">
        <v>19</v>
      </c>
      <c r="Q3699" s="76" t="s">
        <v>2076</v>
      </c>
      <c r="R3699" s="73">
        <f t="shared" si="435"/>
        <v>1</v>
      </c>
      <c r="S3699" s="260" t="s">
        <v>1976</v>
      </c>
      <c r="T3699" s="260" t="s">
        <v>925</v>
      </c>
      <c r="U3699" s="76" t="s">
        <v>5283</v>
      </c>
      <c r="V3699" s="301" t="s">
        <v>12271</v>
      </c>
      <c r="Y3699" s="566">
        <v>0.57276620370370368</v>
      </c>
      <c r="Z3699" s="566">
        <v>0.68260416666666668</v>
      </c>
      <c r="AA3699" s="566">
        <f t="shared" si="436"/>
        <v>0.109837962962963</v>
      </c>
    </row>
    <row r="3700" spans="1:28" x14ac:dyDescent="0.3">
      <c r="A3700" s="79" t="s">
        <v>12158</v>
      </c>
      <c r="C3700" s="115">
        <v>44109</v>
      </c>
      <c r="D3700" s="312">
        <v>44145</v>
      </c>
      <c r="E3700" s="81">
        <v>44140</v>
      </c>
      <c r="F3700" s="86" t="s">
        <v>12207</v>
      </c>
      <c r="G3700" s="86" t="s">
        <v>164</v>
      </c>
      <c r="H3700" s="96" t="s">
        <v>213</v>
      </c>
      <c r="I3700" s="97" t="s">
        <v>642</v>
      </c>
      <c r="J3700" s="73">
        <f t="shared" si="434"/>
        <v>1</v>
      </c>
      <c r="K3700" s="74" t="s">
        <v>204</v>
      </c>
      <c r="L3700" s="97" t="s">
        <v>7110</v>
      </c>
      <c r="N3700" s="76" t="s">
        <v>18</v>
      </c>
      <c r="Q3700" s="76" t="s">
        <v>2037</v>
      </c>
      <c r="R3700" s="73">
        <f t="shared" si="435"/>
        <v>1</v>
      </c>
      <c r="S3700" s="260" t="s">
        <v>1976</v>
      </c>
      <c r="T3700" s="260" t="s">
        <v>925</v>
      </c>
      <c r="Y3700" s="566">
        <v>0.40613425925925922</v>
      </c>
      <c r="Z3700" s="566">
        <v>0.48436342592592596</v>
      </c>
      <c r="AA3700" s="566">
        <f t="shared" si="436"/>
        <v>7.8229166666666738E-2</v>
      </c>
    </row>
    <row r="3701" spans="1:28" x14ac:dyDescent="0.3">
      <c r="A3701" s="79" t="s">
        <v>12159</v>
      </c>
      <c r="C3701" s="115">
        <v>44109</v>
      </c>
      <c r="D3701" s="312">
        <v>44145</v>
      </c>
      <c r="E3701" s="81">
        <v>44138</v>
      </c>
      <c r="F3701" s="86" t="s">
        <v>12208</v>
      </c>
      <c r="G3701" s="86" t="s">
        <v>181</v>
      </c>
      <c r="H3701" s="96" t="s">
        <v>213</v>
      </c>
      <c r="I3701" s="97" t="s">
        <v>645</v>
      </c>
      <c r="J3701" s="73">
        <f t="shared" si="434"/>
        <v>1</v>
      </c>
      <c r="K3701" s="74" t="s">
        <v>204</v>
      </c>
      <c r="L3701" s="97" t="s">
        <v>12256</v>
      </c>
      <c r="N3701" s="76" t="s">
        <v>17</v>
      </c>
      <c r="Q3701" s="76" t="s">
        <v>11751</v>
      </c>
      <c r="R3701" s="73">
        <f t="shared" si="435"/>
        <v>1</v>
      </c>
      <c r="S3701" s="260" t="s">
        <v>1976</v>
      </c>
      <c r="T3701" s="260" t="s">
        <v>925</v>
      </c>
      <c r="Y3701" s="566">
        <v>0.5191203703703704</v>
      </c>
      <c r="Z3701" s="566">
        <v>0.5484606481481481</v>
      </c>
      <c r="AA3701" s="566">
        <f t="shared" si="436"/>
        <v>2.9340277777777701E-2</v>
      </c>
    </row>
    <row r="3702" spans="1:28" x14ac:dyDescent="0.3">
      <c r="A3702" s="79" t="s">
        <v>12160</v>
      </c>
      <c r="C3702" s="115">
        <v>44109</v>
      </c>
      <c r="D3702" s="312">
        <v>44145</v>
      </c>
      <c r="E3702" s="81">
        <v>44140</v>
      </c>
      <c r="F3702" s="86" t="s">
        <v>12209</v>
      </c>
      <c r="G3702" s="86" t="s">
        <v>147</v>
      </c>
      <c r="H3702" s="96" t="s">
        <v>213</v>
      </c>
      <c r="I3702" s="97" t="s">
        <v>714</v>
      </c>
      <c r="J3702" s="73">
        <f t="shared" si="434"/>
        <v>1</v>
      </c>
      <c r="K3702" s="74" t="s">
        <v>204</v>
      </c>
      <c r="L3702" s="97" t="s">
        <v>12274</v>
      </c>
      <c r="N3702" s="76" t="s">
        <v>18</v>
      </c>
      <c r="Q3702" s="76" t="s">
        <v>2076</v>
      </c>
      <c r="R3702" s="73">
        <f t="shared" si="435"/>
        <v>1</v>
      </c>
      <c r="S3702" s="260" t="s">
        <v>1976</v>
      </c>
      <c r="T3702" s="260" t="s">
        <v>923</v>
      </c>
      <c r="U3702" s="76" t="s">
        <v>5283</v>
      </c>
      <c r="V3702" s="301" t="s">
        <v>12265</v>
      </c>
      <c r="Y3702" s="566">
        <v>0.48842592592592587</v>
      </c>
      <c r="Z3702" s="566">
        <v>0.53275462962962961</v>
      </c>
      <c r="AA3702" s="566">
        <f t="shared" si="436"/>
        <v>4.4328703703703731E-2</v>
      </c>
    </row>
    <row r="3703" spans="1:28" x14ac:dyDescent="0.3">
      <c r="A3703" s="79" t="s">
        <v>12161</v>
      </c>
      <c r="C3703" s="115">
        <v>44109</v>
      </c>
      <c r="D3703" s="312">
        <v>44145</v>
      </c>
      <c r="E3703" s="81">
        <v>44140</v>
      </c>
      <c r="F3703" s="86" t="s">
        <v>12210</v>
      </c>
      <c r="G3703" s="86" t="s">
        <v>156</v>
      </c>
      <c r="H3703" s="96" t="s">
        <v>213</v>
      </c>
      <c r="I3703" s="97" t="s">
        <v>714</v>
      </c>
      <c r="J3703" s="73">
        <f t="shared" si="434"/>
        <v>1</v>
      </c>
      <c r="K3703" s="74" t="s">
        <v>204</v>
      </c>
      <c r="L3703" s="97" t="s">
        <v>7072</v>
      </c>
      <c r="N3703" s="76" t="s">
        <v>17</v>
      </c>
      <c r="Q3703" s="76" t="s">
        <v>2037</v>
      </c>
      <c r="R3703" s="73">
        <f t="shared" si="435"/>
        <v>1</v>
      </c>
      <c r="S3703" s="260" t="s">
        <v>1976</v>
      </c>
      <c r="T3703" s="260" t="s">
        <v>923</v>
      </c>
      <c r="Y3703" s="566">
        <v>0.39328703703703699</v>
      </c>
      <c r="Z3703" s="566">
        <v>0.40565972222222224</v>
      </c>
      <c r="AA3703" s="566">
        <f t="shared" si="436"/>
        <v>1.237268518518525E-2</v>
      </c>
    </row>
    <row r="3704" spans="1:28" x14ac:dyDescent="0.3">
      <c r="A3704" s="79" t="s">
        <v>12162</v>
      </c>
      <c r="C3704" s="115">
        <v>44109</v>
      </c>
      <c r="D3704" s="312">
        <v>44146</v>
      </c>
      <c r="E3704" s="81">
        <v>44138</v>
      </c>
      <c r="F3704" s="86" t="s">
        <v>12211</v>
      </c>
      <c r="G3704" s="86" t="s">
        <v>173</v>
      </c>
      <c r="H3704" s="96" t="s">
        <v>213</v>
      </c>
      <c r="I3704" s="97" t="s">
        <v>714</v>
      </c>
      <c r="J3704" s="73">
        <f t="shared" si="434"/>
        <v>1</v>
      </c>
      <c r="K3704" s="74" t="s">
        <v>204</v>
      </c>
      <c r="L3704" s="97" t="s">
        <v>12258</v>
      </c>
      <c r="N3704" s="76" t="s">
        <v>18</v>
      </c>
      <c r="Q3704" s="76" t="s">
        <v>11751</v>
      </c>
      <c r="R3704" s="73">
        <f t="shared" si="435"/>
        <v>1</v>
      </c>
      <c r="S3704" s="260" t="s">
        <v>1976</v>
      </c>
      <c r="T3704" s="260" t="s">
        <v>925</v>
      </c>
      <c r="Y3704" s="566">
        <v>0.60627314814814814</v>
      </c>
      <c r="Z3704" s="566">
        <v>0.61997685185185192</v>
      </c>
      <c r="AA3704" s="566">
        <f t="shared" si="436"/>
        <v>1.3703703703703773E-2</v>
      </c>
    </row>
    <row r="3705" spans="1:28" x14ac:dyDescent="0.3">
      <c r="A3705" s="79" t="s">
        <v>12163</v>
      </c>
      <c r="C3705" s="115">
        <v>44109</v>
      </c>
      <c r="D3705" s="312">
        <v>44145</v>
      </c>
      <c r="E3705" s="81">
        <v>44137</v>
      </c>
      <c r="F3705" s="86" t="s">
        <v>12212</v>
      </c>
      <c r="G3705" s="86" t="s">
        <v>154</v>
      </c>
      <c r="H3705" s="96" t="s">
        <v>213</v>
      </c>
      <c r="I3705" s="97" t="s">
        <v>714</v>
      </c>
      <c r="J3705" s="73">
        <f t="shared" si="434"/>
        <v>1</v>
      </c>
      <c r="K3705" s="74" t="s">
        <v>204</v>
      </c>
      <c r="L3705" s="97" t="s">
        <v>7336</v>
      </c>
      <c r="N3705" s="76" t="s">
        <v>18</v>
      </c>
      <c r="Q3705" s="76" t="s">
        <v>2142</v>
      </c>
      <c r="R3705" s="73">
        <f t="shared" si="435"/>
        <v>1</v>
      </c>
      <c r="S3705" s="260" t="s">
        <v>1976</v>
      </c>
      <c r="T3705" s="260" t="s">
        <v>924</v>
      </c>
      <c r="Y3705" s="566">
        <v>0.71387731481481476</v>
      </c>
      <c r="Z3705" s="566">
        <v>0.71793981481481473</v>
      </c>
      <c r="AA3705" s="566">
        <f t="shared" si="436"/>
        <v>4.0624999999999689E-3</v>
      </c>
    </row>
    <row r="3706" spans="1:28" x14ac:dyDescent="0.3">
      <c r="A3706" s="79" t="s">
        <v>12164</v>
      </c>
      <c r="C3706" s="115">
        <v>44109</v>
      </c>
      <c r="D3706" s="312">
        <v>44145</v>
      </c>
      <c r="E3706" s="81">
        <v>44137</v>
      </c>
      <c r="F3706" s="86" t="s">
        <v>12213</v>
      </c>
      <c r="G3706" s="86" t="s">
        <v>150</v>
      </c>
      <c r="H3706" s="96" t="s">
        <v>213</v>
      </c>
      <c r="I3706" s="97" t="s">
        <v>714</v>
      </c>
      <c r="J3706" s="73">
        <f t="shared" si="434"/>
        <v>1</v>
      </c>
      <c r="K3706" s="74" t="s">
        <v>204</v>
      </c>
      <c r="L3706" s="97" t="s">
        <v>7058</v>
      </c>
      <c r="N3706" s="76" t="s">
        <v>18</v>
      </c>
      <c r="Q3706" s="76" t="s">
        <v>11751</v>
      </c>
      <c r="R3706" s="73">
        <f t="shared" si="435"/>
        <v>1</v>
      </c>
      <c r="S3706" s="260" t="s">
        <v>1976</v>
      </c>
      <c r="T3706" s="260" t="s">
        <v>924</v>
      </c>
      <c r="Y3706" s="566">
        <v>0.79979166666666668</v>
      </c>
      <c r="Z3706" s="566">
        <v>0.81668981481481484</v>
      </c>
      <c r="AA3706" s="566">
        <f t="shared" si="436"/>
        <v>1.6898148148148162E-2</v>
      </c>
    </row>
    <row r="3707" spans="1:28" x14ac:dyDescent="0.3">
      <c r="A3707" s="79" t="s">
        <v>12165</v>
      </c>
      <c r="C3707" s="115">
        <v>44110</v>
      </c>
      <c r="D3707" s="312">
        <v>44146</v>
      </c>
      <c r="E3707" s="81">
        <v>44140</v>
      </c>
      <c r="F3707" s="86" t="s">
        <v>12214</v>
      </c>
      <c r="G3707" s="86" t="s">
        <v>152</v>
      </c>
      <c r="H3707" s="96" t="s">
        <v>213</v>
      </c>
      <c r="I3707" s="97" t="s">
        <v>7557</v>
      </c>
      <c r="J3707" s="73">
        <f t="shared" si="434"/>
        <v>1</v>
      </c>
      <c r="K3707" s="74" t="s">
        <v>204</v>
      </c>
      <c r="L3707" s="97" t="s">
        <v>12267</v>
      </c>
      <c r="N3707" s="76" t="s">
        <v>17</v>
      </c>
      <c r="Q3707" s="76" t="s">
        <v>2037</v>
      </c>
      <c r="R3707" s="73">
        <f t="shared" si="435"/>
        <v>1</v>
      </c>
      <c r="S3707" s="260" t="s">
        <v>1976</v>
      </c>
      <c r="T3707" s="260" t="s">
        <v>925</v>
      </c>
      <c r="Y3707" s="566">
        <v>0.54128472222222224</v>
      </c>
      <c r="Z3707" s="566">
        <v>0.55052083333333335</v>
      </c>
      <c r="AA3707" s="566">
        <f t="shared" si="436"/>
        <v>9.2361111111111116E-3</v>
      </c>
    </row>
    <row r="3708" spans="1:28" x14ac:dyDescent="0.3">
      <c r="A3708" s="79" t="s">
        <v>12166</v>
      </c>
      <c r="C3708" s="115">
        <v>44110</v>
      </c>
      <c r="D3708" s="312">
        <v>44146</v>
      </c>
      <c r="E3708" s="81">
        <v>44137</v>
      </c>
      <c r="F3708" s="86" t="s">
        <v>12215</v>
      </c>
      <c r="G3708" s="86" t="s">
        <v>166</v>
      </c>
      <c r="H3708" s="96" t="s">
        <v>213</v>
      </c>
      <c r="I3708" s="97" t="s">
        <v>2479</v>
      </c>
      <c r="J3708" s="73">
        <f t="shared" si="434"/>
        <v>1</v>
      </c>
      <c r="K3708" s="74" t="s">
        <v>204</v>
      </c>
      <c r="L3708" s="97" t="s">
        <v>12254</v>
      </c>
      <c r="N3708" s="76" t="s">
        <v>18</v>
      </c>
      <c r="Q3708" s="76" t="s">
        <v>11751</v>
      </c>
      <c r="R3708" s="73">
        <f t="shared" si="435"/>
        <v>1</v>
      </c>
      <c r="S3708" s="260" t="s">
        <v>1976</v>
      </c>
      <c r="T3708" s="260" t="s">
        <v>924</v>
      </c>
      <c r="Y3708" s="566">
        <v>0.93216435185185187</v>
      </c>
      <c r="Z3708" s="566">
        <v>0.94868055555555564</v>
      </c>
      <c r="AA3708" s="566">
        <f t="shared" si="436"/>
        <v>1.6516203703703769E-2</v>
      </c>
    </row>
    <row r="3709" spans="1:28" x14ac:dyDescent="0.3">
      <c r="A3709" s="79" t="s">
        <v>12167</v>
      </c>
      <c r="C3709" s="115">
        <v>44110</v>
      </c>
      <c r="D3709" s="312">
        <v>44146</v>
      </c>
      <c r="E3709" s="81">
        <v>44138</v>
      </c>
      <c r="F3709" s="86" t="s">
        <v>12216</v>
      </c>
      <c r="G3709" s="86" t="s">
        <v>152</v>
      </c>
      <c r="H3709" s="96" t="s">
        <v>213</v>
      </c>
      <c r="I3709" s="97" t="s">
        <v>649</v>
      </c>
      <c r="J3709" s="73">
        <f t="shared" si="434"/>
        <v>1</v>
      </c>
      <c r="K3709" s="74" t="s">
        <v>204</v>
      </c>
      <c r="L3709" s="97" t="s">
        <v>12257</v>
      </c>
      <c r="N3709" s="76" t="s">
        <v>17</v>
      </c>
      <c r="Q3709" s="76" t="s">
        <v>11751</v>
      </c>
      <c r="R3709" s="73">
        <f t="shared" si="435"/>
        <v>1</v>
      </c>
      <c r="S3709" s="260" t="s">
        <v>1976</v>
      </c>
      <c r="T3709" s="260" t="s">
        <v>925</v>
      </c>
      <c r="Y3709" s="566">
        <v>0.58092592592592596</v>
      </c>
      <c r="Z3709" s="566">
        <v>0.60443287037037041</v>
      </c>
      <c r="AA3709" s="566">
        <f t="shared" si="436"/>
        <v>2.3506944444444455E-2</v>
      </c>
    </row>
    <row r="3710" spans="1:28" x14ac:dyDescent="0.3">
      <c r="A3710" s="79" t="s">
        <v>12168</v>
      </c>
      <c r="C3710" s="115">
        <v>44110</v>
      </c>
      <c r="D3710" s="312">
        <v>44146</v>
      </c>
      <c r="E3710" s="81">
        <v>44141</v>
      </c>
      <c r="F3710" s="86" t="s">
        <v>12217</v>
      </c>
      <c r="G3710" s="86" t="s">
        <v>152</v>
      </c>
      <c r="H3710" s="96" t="s">
        <v>213</v>
      </c>
      <c r="I3710" s="97" t="s">
        <v>714</v>
      </c>
      <c r="J3710" s="73">
        <f t="shared" si="434"/>
        <v>1</v>
      </c>
      <c r="K3710" s="74" t="s">
        <v>204</v>
      </c>
      <c r="L3710" s="97" t="s">
        <v>12277</v>
      </c>
      <c r="N3710" s="76" t="s">
        <v>8990</v>
      </c>
      <c r="Q3710" s="76" t="s">
        <v>2142</v>
      </c>
      <c r="R3710" s="73">
        <f t="shared" si="435"/>
        <v>1</v>
      </c>
      <c r="S3710" s="260" t="s">
        <v>1976</v>
      </c>
      <c r="T3710" s="260" t="s">
        <v>8990</v>
      </c>
      <c r="Y3710" s="566">
        <v>0.48570601851851852</v>
      </c>
      <c r="Z3710" s="566">
        <v>0.5322337962962963</v>
      </c>
      <c r="AA3710" s="566">
        <f t="shared" si="436"/>
        <v>4.6527777777777779E-2</v>
      </c>
    </row>
    <row r="3711" spans="1:28" x14ac:dyDescent="0.3">
      <c r="A3711" s="79" t="s">
        <v>12169</v>
      </c>
      <c r="C3711" s="115">
        <v>44110</v>
      </c>
      <c r="D3711" s="312">
        <v>44146</v>
      </c>
      <c r="E3711" s="81">
        <v>44140</v>
      </c>
      <c r="F3711" s="86" t="s">
        <v>12218</v>
      </c>
      <c r="G3711" s="86" t="s">
        <v>152</v>
      </c>
      <c r="H3711" s="79" t="s">
        <v>268</v>
      </c>
      <c r="I3711" s="97" t="s">
        <v>714</v>
      </c>
      <c r="J3711" s="73">
        <f t="shared" si="434"/>
        <v>1</v>
      </c>
      <c r="K3711" s="74" t="s">
        <v>204</v>
      </c>
      <c r="L3711" s="97" t="s">
        <v>12446</v>
      </c>
      <c r="N3711" s="76" t="s">
        <v>17</v>
      </c>
      <c r="Q3711" s="76" t="s">
        <v>2076</v>
      </c>
      <c r="R3711" s="73">
        <f t="shared" si="435"/>
        <v>1</v>
      </c>
      <c r="S3711" s="260" t="s">
        <v>1976</v>
      </c>
      <c r="T3711" s="260" t="s">
        <v>923</v>
      </c>
      <c r="U3711" s="76" t="s">
        <v>5283</v>
      </c>
      <c r="V3711" s="301" t="s">
        <v>12445</v>
      </c>
      <c r="Y3711" s="566">
        <v>0.57160879629629624</v>
      </c>
      <c r="Z3711" s="566">
        <v>0.60217592592592595</v>
      </c>
      <c r="AA3711" s="566">
        <f t="shared" si="436"/>
        <v>3.0567129629629708E-2</v>
      </c>
      <c r="AB3711" s="570" t="s">
        <v>12430</v>
      </c>
    </row>
    <row r="3712" spans="1:28" x14ac:dyDescent="0.3">
      <c r="A3712" s="79" t="s">
        <v>12170</v>
      </c>
      <c r="C3712" s="115">
        <v>44110</v>
      </c>
      <c r="D3712" s="312">
        <v>44146</v>
      </c>
      <c r="E3712" s="81">
        <v>44141</v>
      </c>
      <c r="F3712" s="86" t="s">
        <v>12219</v>
      </c>
      <c r="G3712" s="86" t="s">
        <v>11608</v>
      </c>
      <c r="H3712" s="96" t="s">
        <v>213</v>
      </c>
      <c r="I3712" s="97" t="s">
        <v>714</v>
      </c>
      <c r="J3712" s="73">
        <f t="shared" si="434"/>
        <v>1</v>
      </c>
      <c r="K3712" s="74" t="s">
        <v>204</v>
      </c>
      <c r="L3712" s="97" t="s">
        <v>8076</v>
      </c>
      <c r="N3712" s="76" t="s">
        <v>17</v>
      </c>
      <c r="Q3712" s="76" t="s">
        <v>2037</v>
      </c>
      <c r="R3712" s="73">
        <f t="shared" si="435"/>
        <v>1</v>
      </c>
      <c r="S3712" s="260" t="s">
        <v>1976</v>
      </c>
      <c r="T3712" s="260" t="s">
        <v>925</v>
      </c>
      <c r="Y3712" s="566">
        <v>0.43434027777777778</v>
      </c>
      <c r="Z3712" s="566">
        <v>0.46097222222222217</v>
      </c>
      <c r="AA3712" s="566">
        <f t="shared" si="436"/>
        <v>2.6631944444444389E-2</v>
      </c>
    </row>
    <row r="3713" spans="1:27" x14ac:dyDescent="0.3">
      <c r="A3713" s="79" t="s">
        <v>12171</v>
      </c>
      <c r="C3713" s="115">
        <v>44110</v>
      </c>
      <c r="D3713" s="312">
        <v>44146</v>
      </c>
      <c r="E3713" s="81">
        <v>44138</v>
      </c>
      <c r="F3713" s="86" t="s">
        <v>12220</v>
      </c>
      <c r="G3713" s="86" t="s">
        <v>168</v>
      </c>
      <c r="H3713" s="96" t="s">
        <v>213</v>
      </c>
      <c r="I3713" s="97" t="s">
        <v>755</v>
      </c>
      <c r="J3713" s="73">
        <f t="shared" si="434"/>
        <v>1</v>
      </c>
      <c r="K3713" s="74" t="s">
        <v>204</v>
      </c>
      <c r="L3713" s="97" t="s">
        <v>12275</v>
      </c>
      <c r="N3713" s="76" t="s">
        <v>18</v>
      </c>
      <c r="Q3713" s="76" t="s">
        <v>2142</v>
      </c>
      <c r="R3713" s="73">
        <f t="shared" si="435"/>
        <v>1</v>
      </c>
      <c r="S3713" s="260" t="s">
        <v>1976</v>
      </c>
      <c r="T3713" s="260" t="s">
        <v>923</v>
      </c>
      <c r="U3713" s="76" t="s">
        <v>5283</v>
      </c>
      <c r="V3713" s="301" t="s">
        <v>12262</v>
      </c>
      <c r="X3713" s="301" t="s">
        <v>12432</v>
      </c>
      <c r="Y3713" s="566">
        <v>0.63464120370370369</v>
      </c>
      <c r="Z3713" s="566">
        <v>0.67027777777777775</v>
      </c>
      <c r="AA3713" s="566">
        <f t="shared" si="436"/>
        <v>3.5636574074074057E-2</v>
      </c>
    </row>
    <row r="3714" spans="1:27" x14ac:dyDescent="0.3">
      <c r="A3714" s="79" t="s">
        <v>12172</v>
      </c>
      <c r="C3714" s="115">
        <v>44110</v>
      </c>
      <c r="D3714" s="312">
        <v>44146</v>
      </c>
      <c r="E3714" s="81">
        <v>44140</v>
      </c>
      <c r="F3714" s="86" t="s">
        <v>12221</v>
      </c>
      <c r="G3714" s="86" t="s">
        <v>150</v>
      </c>
      <c r="H3714" s="96" t="s">
        <v>213</v>
      </c>
      <c r="I3714" s="97" t="s">
        <v>722</v>
      </c>
      <c r="J3714" s="73">
        <f t="shared" si="434"/>
        <v>1</v>
      </c>
      <c r="K3714" s="74" t="s">
        <v>204</v>
      </c>
      <c r="L3714" s="97" t="s">
        <v>7742</v>
      </c>
      <c r="N3714" s="76" t="s">
        <v>18</v>
      </c>
      <c r="Q3714" s="76" t="s">
        <v>2076</v>
      </c>
      <c r="R3714" s="73">
        <f t="shared" si="435"/>
        <v>1</v>
      </c>
      <c r="S3714" s="260" t="s">
        <v>1976</v>
      </c>
      <c r="T3714" s="260" t="s">
        <v>923</v>
      </c>
      <c r="U3714" s="76" t="s">
        <v>5283</v>
      </c>
      <c r="V3714" s="301" t="s">
        <v>12266</v>
      </c>
      <c r="Y3714" s="566">
        <v>0.53466435185185179</v>
      </c>
      <c r="Z3714" s="566">
        <v>0.54011574074074076</v>
      </c>
      <c r="AA3714" s="566">
        <f t="shared" si="436"/>
        <v>5.4513888888889639E-3</v>
      </c>
    </row>
    <row r="3715" spans="1:27" x14ac:dyDescent="0.3">
      <c r="A3715" s="79" t="s">
        <v>12173</v>
      </c>
      <c r="C3715" s="115">
        <v>44110</v>
      </c>
      <c r="D3715" s="312">
        <v>44147</v>
      </c>
      <c r="E3715" s="81">
        <v>44141</v>
      </c>
      <c r="F3715" s="86" t="s">
        <v>12222</v>
      </c>
      <c r="G3715" s="86" t="s">
        <v>156</v>
      </c>
      <c r="H3715" s="96" t="s">
        <v>213</v>
      </c>
      <c r="I3715" s="97" t="s">
        <v>714</v>
      </c>
      <c r="J3715" s="73">
        <f t="shared" si="434"/>
        <v>1</v>
      </c>
      <c r="K3715" s="74" t="s">
        <v>204</v>
      </c>
      <c r="L3715" s="97" t="s">
        <v>12279</v>
      </c>
      <c r="N3715" s="76" t="s">
        <v>18</v>
      </c>
      <c r="Q3715" s="76" t="s">
        <v>2076</v>
      </c>
      <c r="R3715" s="73">
        <f t="shared" si="435"/>
        <v>1</v>
      </c>
      <c r="S3715" s="260" t="s">
        <v>1976</v>
      </c>
      <c r="T3715" s="260" t="s">
        <v>925</v>
      </c>
      <c r="Y3715" s="566">
        <v>0.55928240740740742</v>
      </c>
      <c r="Z3715" s="566">
        <v>0.5667592592592593</v>
      </c>
      <c r="AA3715" s="566">
        <f t="shared" si="436"/>
        <v>7.4768518518518734E-3</v>
      </c>
    </row>
    <row r="3716" spans="1:27" x14ac:dyDescent="0.3">
      <c r="A3716" s="79" t="s">
        <v>12174</v>
      </c>
      <c r="C3716" s="115">
        <v>44111</v>
      </c>
      <c r="D3716" s="312">
        <v>44147</v>
      </c>
      <c r="E3716" s="81">
        <v>44140</v>
      </c>
      <c r="F3716" s="86" t="s">
        <v>12223</v>
      </c>
      <c r="G3716" s="86" t="s">
        <v>150</v>
      </c>
      <c r="H3716" s="96" t="s">
        <v>213</v>
      </c>
      <c r="I3716" s="97" t="s">
        <v>714</v>
      </c>
      <c r="J3716" s="73">
        <f t="shared" si="434"/>
        <v>1</v>
      </c>
      <c r="K3716" s="74" t="s">
        <v>204</v>
      </c>
      <c r="L3716" s="97" t="s">
        <v>7072</v>
      </c>
      <c r="N3716" s="76" t="s">
        <v>18</v>
      </c>
      <c r="Q3716" s="76" t="s">
        <v>2037</v>
      </c>
      <c r="R3716" s="73">
        <f t="shared" si="435"/>
        <v>1</v>
      </c>
      <c r="S3716" s="260" t="s">
        <v>1976</v>
      </c>
      <c r="T3716" s="260" t="s">
        <v>923</v>
      </c>
      <c r="Y3716" s="566">
        <v>0.69050925925925932</v>
      </c>
      <c r="Z3716" s="566">
        <v>0.71552083333333327</v>
      </c>
      <c r="AA3716" s="566">
        <f t="shared" si="436"/>
        <v>2.501157407407395E-2</v>
      </c>
    </row>
    <row r="3717" spans="1:27" x14ac:dyDescent="0.3">
      <c r="A3717" s="79" t="s">
        <v>12175</v>
      </c>
      <c r="C3717" s="115">
        <v>44111</v>
      </c>
      <c r="D3717" s="312">
        <v>44147</v>
      </c>
      <c r="E3717" s="81">
        <v>44141</v>
      </c>
      <c r="F3717" s="86" t="s">
        <v>12224</v>
      </c>
      <c r="G3717" s="86" t="s">
        <v>150</v>
      </c>
      <c r="H3717" s="96" t="s">
        <v>213</v>
      </c>
      <c r="I3717" s="97" t="s">
        <v>642</v>
      </c>
      <c r="J3717" s="73">
        <f t="shared" si="434"/>
        <v>1</v>
      </c>
      <c r="K3717" s="74" t="s">
        <v>204</v>
      </c>
      <c r="L3717" s="97" t="s">
        <v>12280</v>
      </c>
      <c r="N3717" s="76" t="s">
        <v>18</v>
      </c>
      <c r="Q3717" s="76" t="s">
        <v>2037</v>
      </c>
      <c r="R3717" s="73">
        <f t="shared" si="435"/>
        <v>1</v>
      </c>
      <c r="S3717" s="260" t="s">
        <v>1976</v>
      </c>
      <c r="T3717" s="260" t="s">
        <v>925</v>
      </c>
      <c r="Y3717" s="566">
        <v>0.56719907407407411</v>
      </c>
      <c r="Z3717" s="566">
        <v>0.57336805555555559</v>
      </c>
      <c r="AA3717" s="566">
        <f t="shared" si="436"/>
        <v>6.1689814814814836E-3</v>
      </c>
    </row>
    <row r="3718" spans="1:27" x14ac:dyDescent="0.3">
      <c r="A3718" s="79" t="s">
        <v>12176</v>
      </c>
      <c r="C3718" s="115">
        <v>44111</v>
      </c>
      <c r="D3718" s="312">
        <v>44147</v>
      </c>
      <c r="E3718" s="81">
        <v>44140</v>
      </c>
      <c r="F3718" s="86" t="s">
        <v>12225</v>
      </c>
      <c r="G3718" s="86" t="s">
        <v>156</v>
      </c>
      <c r="H3718" s="96" t="s">
        <v>213</v>
      </c>
      <c r="I3718" s="97" t="s">
        <v>714</v>
      </c>
      <c r="J3718" s="73">
        <f t="shared" si="434"/>
        <v>1</v>
      </c>
      <c r="K3718" s="74" t="s">
        <v>204</v>
      </c>
      <c r="L3718" s="97" t="s">
        <v>9430</v>
      </c>
      <c r="N3718" s="76" t="s">
        <v>17</v>
      </c>
      <c r="Q3718" s="76" t="s">
        <v>2037</v>
      </c>
      <c r="R3718" s="73">
        <f t="shared" si="435"/>
        <v>1</v>
      </c>
      <c r="S3718" s="260" t="s">
        <v>1976</v>
      </c>
      <c r="T3718" s="260" t="s">
        <v>925</v>
      </c>
      <c r="Y3718" s="566">
        <v>0.71597222222222223</v>
      </c>
      <c r="Z3718" s="566">
        <v>0.72436342592592595</v>
      </c>
      <c r="AA3718" s="566">
        <f t="shared" si="436"/>
        <v>8.3912037037037202E-3</v>
      </c>
    </row>
    <row r="3719" spans="1:27" x14ac:dyDescent="0.3">
      <c r="A3719" s="79" t="s">
        <v>12177</v>
      </c>
      <c r="C3719" s="115">
        <v>44111</v>
      </c>
      <c r="D3719" s="312">
        <v>44147</v>
      </c>
      <c r="E3719" s="81">
        <v>44141</v>
      </c>
      <c r="F3719" s="86" t="s">
        <v>12226</v>
      </c>
      <c r="G3719" s="86" t="s">
        <v>147</v>
      </c>
      <c r="H3719" s="96" t="s">
        <v>213</v>
      </c>
      <c r="I3719" s="97" t="s">
        <v>642</v>
      </c>
      <c r="J3719" s="73">
        <f t="shared" si="434"/>
        <v>1</v>
      </c>
      <c r="K3719" s="74" t="s">
        <v>204</v>
      </c>
      <c r="L3719" s="97" t="s">
        <v>7069</v>
      </c>
      <c r="N3719" s="76" t="s">
        <v>18</v>
      </c>
      <c r="Q3719" s="76" t="s">
        <v>2076</v>
      </c>
      <c r="R3719" s="73">
        <f t="shared" si="435"/>
        <v>1</v>
      </c>
      <c r="S3719" s="260" t="s">
        <v>1976</v>
      </c>
      <c r="T3719" s="260" t="s">
        <v>923</v>
      </c>
      <c r="Y3719" s="566">
        <v>0.54177083333333331</v>
      </c>
      <c r="Z3719" s="566">
        <v>0.55885416666666665</v>
      </c>
      <c r="AA3719" s="566">
        <f t="shared" si="436"/>
        <v>1.7083333333333339E-2</v>
      </c>
    </row>
    <row r="3720" spans="1:27" x14ac:dyDescent="0.3">
      <c r="A3720" s="79" t="s">
        <v>12178</v>
      </c>
      <c r="C3720" s="115">
        <v>44111</v>
      </c>
      <c r="D3720" s="312">
        <v>44148</v>
      </c>
      <c r="E3720" s="81">
        <v>44144</v>
      </c>
      <c r="F3720" s="86" t="s">
        <v>12227</v>
      </c>
      <c r="G3720" s="86" t="s">
        <v>154</v>
      </c>
      <c r="H3720" s="96" t="s">
        <v>213</v>
      </c>
      <c r="I3720" s="97" t="s">
        <v>722</v>
      </c>
      <c r="J3720" s="73">
        <f t="shared" si="434"/>
        <v>1</v>
      </c>
      <c r="K3720" s="74" t="s">
        <v>204</v>
      </c>
      <c r="L3720" s="97" t="s">
        <v>12428</v>
      </c>
      <c r="N3720" s="76" t="s">
        <v>17</v>
      </c>
      <c r="Q3720" s="76" t="s">
        <v>2076</v>
      </c>
      <c r="R3720" s="73">
        <f t="shared" si="435"/>
        <v>1</v>
      </c>
      <c r="S3720" s="260" t="s">
        <v>1976</v>
      </c>
      <c r="T3720" s="260" t="s">
        <v>925</v>
      </c>
      <c r="U3720" s="76" t="s">
        <v>5283</v>
      </c>
      <c r="V3720" s="301" t="s">
        <v>12429</v>
      </c>
      <c r="X3720" s="301" t="s">
        <v>12443</v>
      </c>
      <c r="Y3720" s="566">
        <v>0.51511574074074074</v>
      </c>
      <c r="Z3720" s="566">
        <v>0.53827546296296302</v>
      </c>
      <c r="AA3720" s="566">
        <f t="shared" si="436"/>
        <v>2.315972222222229E-2</v>
      </c>
    </row>
    <row r="3721" spans="1:27" x14ac:dyDescent="0.3">
      <c r="A3721" s="79" t="s">
        <v>12179</v>
      </c>
      <c r="C3721" s="115">
        <v>44112</v>
      </c>
      <c r="D3721" s="312">
        <v>44148</v>
      </c>
      <c r="E3721" s="81">
        <v>44144</v>
      </c>
      <c r="F3721" s="86" t="s">
        <v>12228</v>
      </c>
      <c r="G3721" s="86" t="s">
        <v>150</v>
      </c>
      <c r="H3721" s="96" t="s">
        <v>213</v>
      </c>
      <c r="I3721" s="97" t="s">
        <v>755</v>
      </c>
      <c r="J3721" s="73">
        <f t="shared" si="434"/>
        <v>1</v>
      </c>
      <c r="K3721" s="74" t="s">
        <v>204</v>
      </c>
      <c r="L3721" s="97" t="s">
        <v>12427</v>
      </c>
      <c r="N3721" s="76" t="s">
        <v>18</v>
      </c>
      <c r="Q3721" s="76" t="s">
        <v>2076</v>
      </c>
      <c r="R3721" s="73">
        <f t="shared" si="435"/>
        <v>1</v>
      </c>
      <c r="S3721" s="260" t="s">
        <v>1976</v>
      </c>
      <c r="T3721" s="260" t="s">
        <v>923</v>
      </c>
      <c r="Y3721" s="566">
        <v>0.49630787037037033</v>
      </c>
      <c r="Z3721" s="566">
        <v>0.51459490740740743</v>
      </c>
      <c r="AA3721" s="566">
        <f t="shared" si="436"/>
        <v>1.8287037037037102E-2</v>
      </c>
    </row>
    <row r="3722" spans="1:27" x14ac:dyDescent="0.3">
      <c r="A3722" s="79" t="s">
        <v>12180</v>
      </c>
      <c r="C3722" s="115">
        <v>44112</v>
      </c>
      <c r="D3722" s="312">
        <v>44148</v>
      </c>
      <c r="E3722" s="81">
        <v>44144</v>
      </c>
      <c r="F3722" s="86" t="s">
        <v>12229</v>
      </c>
      <c r="G3722" s="86" t="s">
        <v>152</v>
      </c>
      <c r="H3722" s="96" t="s">
        <v>213</v>
      </c>
      <c r="I3722" s="97" t="s">
        <v>714</v>
      </c>
      <c r="J3722" s="73">
        <f t="shared" si="434"/>
        <v>1</v>
      </c>
      <c r="K3722" s="74" t="s">
        <v>204</v>
      </c>
      <c r="L3722" s="97" t="s">
        <v>7072</v>
      </c>
      <c r="N3722" s="76" t="s">
        <v>17</v>
      </c>
      <c r="Q3722" s="76" t="s">
        <v>2037</v>
      </c>
      <c r="R3722" s="73">
        <f t="shared" si="435"/>
        <v>1</v>
      </c>
      <c r="S3722" s="260" t="s">
        <v>1976</v>
      </c>
      <c r="T3722" s="260" t="s">
        <v>925</v>
      </c>
      <c r="Y3722" s="566">
        <v>0.40380787037037041</v>
      </c>
      <c r="Z3722" s="566">
        <v>0.40902777777777777</v>
      </c>
      <c r="AA3722" s="566">
        <f t="shared" si="436"/>
        <v>5.2199074074073537E-3</v>
      </c>
    </row>
    <row r="3723" spans="1:27" x14ac:dyDescent="0.3">
      <c r="A3723" s="79" t="s">
        <v>12181</v>
      </c>
      <c r="C3723" s="115">
        <v>44112</v>
      </c>
      <c r="D3723" s="312">
        <v>44148</v>
      </c>
      <c r="E3723" s="81">
        <v>44144</v>
      </c>
      <c r="F3723" s="86" t="s">
        <v>12230</v>
      </c>
      <c r="G3723" s="97" t="s">
        <v>8909</v>
      </c>
      <c r="H3723" s="96" t="s">
        <v>213</v>
      </c>
      <c r="I3723" s="97" t="s">
        <v>714</v>
      </c>
      <c r="J3723" s="73">
        <f t="shared" si="434"/>
        <v>1</v>
      </c>
      <c r="K3723" s="74" t="s">
        <v>204</v>
      </c>
      <c r="L3723" s="97" t="s">
        <v>7072</v>
      </c>
      <c r="N3723" s="76" t="s">
        <v>18</v>
      </c>
      <c r="Q3723" s="76" t="s">
        <v>2076</v>
      </c>
      <c r="R3723" s="73">
        <f t="shared" si="435"/>
        <v>1</v>
      </c>
      <c r="S3723" s="260" t="s">
        <v>1976</v>
      </c>
      <c r="T3723" s="260" t="s">
        <v>923</v>
      </c>
      <c r="U3723" s="76" t="s">
        <v>5283</v>
      </c>
      <c r="V3723" s="301" t="s">
        <v>12426</v>
      </c>
      <c r="Y3723" s="566">
        <v>0.44913194444444443</v>
      </c>
      <c r="Z3723" s="566">
        <v>0.48881944444444447</v>
      </c>
      <c r="AA3723" s="566">
        <f t="shared" si="436"/>
        <v>3.9687500000000042E-2</v>
      </c>
    </row>
    <row r="3724" spans="1:27" x14ac:dyDescent="0.3">
      <c r="A3724" s="79" t="s">
        <v>12182</v>
      </c>
      <c r="C3724" s="115">
        <v>44123</v>
      </c>
      <c r="D3724" s="312">
        <v>44146</v>
      </c>
      <c r="E3724" s="81">
        <v>44140</v>
      </c>
      <c r="F3724" s="86" t="s">
        <v>12231</v>
      </c>
      <c r="G3724" s="86" t="s">
        <v>147</v>
      </c>
      <c r="H3724" s="96" t="s">
        <v>213</v>
      </c>
      <c r="I3724" s="97" t="s">
        <v>3187</v>
      </c>
      <c r="J3724" s="73">
        <f t="shared" si="434"/>
        <v>1</v>
      </c>
      <c r="K3724" s="74" t="s">
        <v>204</v>
      </c>
      <c r="L3724" s="97" t="s">
        <v>12272</v>
      </c>
      <c r="N3724" s="76" t="s">
        <v>19</v>
      </c>
      <c r="Q3724" s="76" t="s">
        <v>2142</v>
      </c>
      <c r="R3724" s="73">
        <f t="shared" si="435"/>
        <v>1</v>
      </c>
      <c r="S3724" s="260" t="s">
        <v>1976</v>
      </c>
      <c r="T3724" s="260" t="s">
        <v>923</v>
      </c>
      <c r="Y3724" s="566">
        <v>0.6840046296296296</v>
      </c>
      <c r="Z3724" s="566">
        <v>0.68981481481481488</v>
      </c>
      <c r="AA3724" s="566">
        <f t="shared" si="436"/>
        <v>5.8101851851852793E-3</v>
      </c>
    </row>
    <row r="3725" spans="1:27" x14ac:dyDescent="0.3">
      <c r="A3725" s="79" t="s">
        <v>12183</v>
      </c>
      <c r="C3725" s="115">
        <v>44123</v>
      </c>
      <c r="D3725" s="312">
        <v>44145</v>
      </c>
      <c r="E3725" s="81">
        <v>44138</v>
      </c>
      <c r="F3725" s="86" t="s">
        <v>12232</v>
      </c>
      <c r="G3725" s="86" t="s">
        <v>157</v>
      </c>
      <c r="H3725" s="96" t="s">
        <v>213</v>
      </c>
      <c r="I3725" s="97" t="s">
        <v>3475</v>
      </c>
      <c r="J3725" s="73">
        <f t="shared" si="434"/>
        <v>1</v>
      </c>
      <c r="K3725" s="74" t="s">
        <v>204</v>
      </c>
      <c r="L3725" s="97" t="s">
        <v>11351</v>
      </c>
      <c r="N3725" s="76" t="s">
        <v>19</v>
      </c>
      <c r="Q3725" s="76" t="s">
        <v>11751</v>
      </c>
      <c r="R3725" s="73">
        <f t="shared" si="435"/>
        <v>1</v>
      </c>
      <c r="S3725" s="260" t="s">
        <v>1976</v>
      </c>
      <c r="T3725" s="260" t="s">
        <v>925</v>
      </c>
      <c r="Y3725" s="566">
        <v>0.54993055555555559</v>
      </c>
      <c r="Z3725" s="566">
        <v>0.58046296296296296</v>
      </c>
      <c r="AA3725" s="566">
        <f t="shared" si="436"/>
        <v>3.0532407407407369E-2</v>
      </c>
    </row>
    <row r="3726" spans="1:27" x14ac:dyDescent="0.3">
      <c r="A3726" s="79" t="s">
        <v>12184</v>
      </c>
      <c r="C3726" s="115">
        <v>44123</v>
      </c>
      <c r="D3726" s="312">
        <v>44145</v>
      </c>
      <c r="E3726" s="81">
        <v>44138</v>
      </c>
      <c r="F3726" s="86" t="s">
        <v>12233</v>
      </c>
      <c r="G3726" s="86" t="s">
        <v>181</v>
      </c>
      <c r="H3726" s="96" t="s">
        <v>213</v>
      </c>
      <c r="I3726" s="97" t="s">
        <v>649</v>
      </c>
      <c r="J3726" s="73">
        <f t="shared" si="434"/>
        <v>1</v>
      </c>
      <c r="K3726" s="74" t="s">
        <v>204</v>
      </c>
      <c r="L3726" s="97" t="s">
        <v>7089</v>
      </c>
      <c r="N3726" s="76" t="s">
        <v>18</v>
      </c>
      <c r="Q3726" s="76" t="s">
        <v>11751</v>
      </c>
      <c r="R3726" s="73">
        <f t="shared" si="435"/>
        <v>1</v>
      </c>
      <c r="S3726" s="260" t="s">
        <v>1976</v>
      </c>
      <c r="T3726" s="260" t="s">
        <v>925</v>
      </c>
      <c r="Y3726" s="566">
        <v>0.5081134259259259</v>
      </c>
      <c r="Z3726" s="566">
        <v>0.51866898148148144</v>
      </c>
      <c r="AA3726" s="566">
        <f t="shared" si="436"/>
        <v>1.055555555555554E-2</v>
      </c>
    </row>
    <row r="3727" spans="1:27" x14ac:dyDescent="0.3">
      <c r="A3727" s="79" t="s">
        <v>12185</v>
      </c>
      <c r="C3727" s="115">
        <v>44123</v>
      </c>
      <c r="D3727" s="312">
        <v>44145</v>
      </c>
      <c r="E3727" s="81">
        <v>44138</v>
      </c>
      <c r="F3727" s="86" t="s">
        <v>12234</v>
      </c>
      <c r="G3727" s="86" t="s">
        <v>152</v>
      </c>
      <c r="H3727" s="96" t="s">
        <v>213</v>
      </c>
      <c r="I3727" s="97" t="s">
        <v>722</v>
      </c>
      <c r="J3727" s="73">
        <f t="shared" si="434"/>
        <v>1</v>
      </c>
      <c r="K3727" s="74" t="s">
        <v>204</v>
      </c>
      <c r="L3727" s="97" t="s">
        <v>7358</v>
      </c>
      <c r="N3727" s="76" t="s">
        <v>18</v>
      </c>
      <c r="Q3727" s="76" t="s">
        <v>2142</v>
      </c>
      <c r="R3727" s="73">
        <f t="shared" si="435"/>
        <v>1</v>
      </c>
      <c r="S3727" s="260" t="s">
        <v>1976</v>
      </c>
      <c r="T3727" s="260" t="s">
        <v>925</v>
      </c>
      <c r="Y3727" s="566">
        <v>0.50043981481481481</v>
      </c>
      <c r="Z3727" s="566">
        <v>0.5074305555555555</v>
      </c>
      <c r="AA3727" s="566">
        <f t="shared" si="436"/>
        <v>6.9907407407406863E-3</v>
      </c>
    </row>
    <row r="3728" spans="1:27" x14ac:dyDescent="0.3">
      <c r="A3728" s="79" t="s">
        <v>12186</v>
      </c>
      <c r="C3728" s="115">
        <v>44123</v>
      </c>
      <c r="D3728" s="312">
        <v>44145</v>
      </c>
      <c r="E3728" s="81">
        <v>44138</v>
      </c>
      <c r="F3728" s="86" t="s">
        <v>12235</v>
      </c>
      <c r="G3728" s="86" t="s">
        <v>150</v>
      </c>
      <c r="H3728" s="96" t="s">
        <v>213</v>
      </c>
      <c r="I3728" s="97" t="s">
        <v>622</v>
      </c>
      <c r="J3728" s="73">
        <f t="shared" si="434"/>
        <v>1</v>
      </c>
      <c r="K3728" s="74" t="s">
        <v>204</v>
      </c>
      <c r="L3728" s="97" t="s">
        <v>11629</v>
      </c>
      <c r="N3728" s="76" t="s">
        <v>19</v>
      </c>
      <c r="Q3728" s="76" t="s">
        <v>2076</v>
      </c>
      <c r="R3728" s="73">
        <f t="shared" si="435"/>
        <v>1</v>
      </c>
      <c r="S3728" s="260" t="s">
        <v>1976</v>
      </c>
      <c r="T3728" s="260" t="s">
        <v>925</v>
      </c>
      <c r="Y3728" s="566">
        <v>0.72116898148148145</v>
      </c>
      <c r="Z3728" s="566">
        <v>0.72995370370370372</v>
      </c>
      <c r="AA3728" s="566">
        <f t="shared" si="436"/>
        <v>8.7847222222222632E-3</v>
      </c>
    </row>
    <row r="3729" spans="1:27" x14ac:dyDescent="0.3">
      <c r="A3729" s="79" t="s">
        <v>12187</v>
      </c>
      <c r="C3729" s="115">
        <v>44123</v>
      </c>
      <c r="D3729" s="312">
        <v>44146</v>
      </c>
      <c r="E3729" s="81">
        <v>44140</v>
      </c>
      <c r="F3729" s="86" t="s">
        <v>12236</v>
      </c>
      <c r="G3729" s="86" t="s">
        <v>181</v>
      </c>
      <c r="H3729" s="96" t="s">
        <v>213</v>
      </c>
      <c r="I3729" s="97" t="s">
        <v>649</v>
      </c>
      <c r="J3729" s="73">
        <f t="shared" si="434"/>
        <v>1</v>
      </c>
      <c r="K3729" s="74" t="s">
        <v>204</v>
      </c>
      <c r="L3729" s="97" t="s">
        <v>12273</v>
      </c>
      <c r="N3729" s="76" t="s">
        <v>17</v>
      </c>
      <c r="Q3729" s="76" t="s">
        <v>2037</v>
      </c>
      <c r="R3729" s="73">
        <f t="shared" si="435"/>
        <v>1</v>
      </c>
      <c r="S3729" s="260" t="s">
        <v>1976</v>
      </c>
      <c r="T3729" s="260" t="s">
        <v>923</v>
      </c>
      <c r="Y3729" s="566">
        <v>0.72512731481481485</v>
      </c>
      <c r="Z3729" s="566">
        <v>0.73319444444444448</v>
      </c>
      <c r="AA3729" s="566">
        <f t="shared" si="436"/>
        <v>8.0671296296296324E-3</v>
      </c>
    </row>
    <row r="3730" spans="1:27" x14ac:dyDescent="0.3">
      <c r="A3730" s="79" t="s">
        <v>12188</v>
      </c>
      <c r="C3730" s="115">
        <v>44123</v>
      </c>
      <c r="D3730" s="312">
        <v>44145</v>
      </c>
      <c r="E3730" s="81">
        <v>44137</v>
      </c>
      <c r="F3730" s="86" t="s">
        <v>12237</v>
      </c>
      <c r="G3730" s="86" t="s">
        <v>152</v>
      </c>
      <c r="H3730" s="96" t="s">
        <v>213</v>
      </c>
      <c r="I3730" s="97" t="s">
        <v>649</v>
      </c>
      <c r="J3730" s="73">
        <f t="shared" si="434"/>
        <v>1</v>
      </c>
      <c r="K3730" s="74" t="s">
        <v>204</v>
      </c>
      <c r="L3730" s="97" t="s">
        <v>9846</v>
      </c>
      <c r="N3730" s="76" t="s">
        <v>18</v>
      </c>
      <c r="Q3730" s="76" t="s">
        <v>2142</v>
      </c>
      <c r="R3730" s="73">
        <f t="shared" si="435"/>
        <v>1</v>
      </c>
      <c r="S3730" s="260" t="s">
        <v>1976</v>
      </c>
      <c r="T3730" s="260" t="s">
        <v>924</v>
      </c>
      <c r="Y3730" s="566">
        <v>0.91052083333333333</v>
      </c>
      <c r="Z3730" s="566">
        <v>0.93168981481481483</v>
      </c>
      <c r="AA3730" s="566">
        <f t="shared" si="436"/>
        <v>2.1168981481481497E-2</v>
      </c>
    </row>
    <row r="3731" spans="1:27" x14ac:dyDescent="0.3">
      <c r="A3731" s="79" t="s">
        <v>12189</v>
      </c>
      <c r="C3731" s="115">
        <v>44124</v>
      </c>
      <c r="D3731" s="312">
        <v>44146</v>
      </c>
      <c r="E3731" s="81">
        <v>44140</v>
      </c>
      <c r="F3731" s="86" t="s">
        <v>12238</v>
      </c>
      <c r="G3731" s="86" t="s">
        <v>164</v>
      </c>
      <c r="H3731" s="96" t="s">
        <v>213</v>
      </c>
      <c r="I3731" s="97" t="s">
        <v>2479</v>
      </c>
      <c r="J3731" s="73">
        <f t="shared" si="434"/>
        <v>1</v>
      </c>
      <c r="K3731" s="74" t="s">
        <v>204</v>
      </c>
      <c r="L3731" s="97" t="s">
        <v>11354</v>
      </c>
      <c r="N3731" s="76" t="s">
        <v>18</v>
      </c>
      <c r="Q3731" s="76" t="s">
        <v>2037</v>
      </c>
      <c r="R3731" s="73">
        <f t="shared" si="435"/>
        <v>1</v>
      </c>
      <c r="S3731" s="260" t="s">
        <v>1976</v>
      </c>
      <c r="T3731" s="260" t="s">
        <v>923</v>
      </c>
      <c r="Y3731" s="566">
        <v>0.7336921296296296</v>
      </c>
      <c r="Z3731" s="566">
        <v>0.89263888888888887</v>
      </c>
      <c r="AA3731" s="566">
        <f t="shared" si="436"/>
        <v>0.15894675925925927</v>
      </c>
    </row>
    <row r="3732" spans="1:27" x14ac:dyDescent="0.3">
      <c r="A3732" s="79" t="s">
        <v>12190</v>
      </c>
      <c r="C3732" s="115">
        <v>44124</v>
      </c>
      <c r="D3732" s="312">
        <v>44146</v>
      </c>
      <c r="E3732" s="81">
        <v>44141</v>
      </c>
      <c r="F3732" s="86" t="s">
        <v>12239</v>
      </c>
      <c r="G3732" s="86" t="s">
        <v>152</v>
      </c>
      <c r="H3732" s="96" t="s">
        <v>213</v>
      </c>
      <c r="I3732" s="97" t="s">
        <v>1284</v>
      </c>
      <c r="J3732" s="73">
        <f t="shared" si="434"/>
        <v>1</v>
      </c>
      <c r="K3732" s="74" t="s">
        <v>204</v>
      </c>
      <c r="L3732" s="97" t="s">
        <v>10653</v>
      </c>
      <c r="N3732" s="76" t="s">
        <v>19</v>
      </c>
      <c r="Q3732" s="76" t="s">
        <v>2037</v>
      </c>
      <c r="R3732" s="73">
        <f t="shared" si="435"/>
        <v>1</v>
      </c>
      <c r="S3732" s="260" t="s">
        <v>1976</v>
      </c>
      <c r="T3732" s="260" t="s">
        <v>925</v>
      </c>
      <c r="Y3732" s="566">
        <v>0.46159722222222221</v>
      </c>
      <c r="Z3732" s="566">
        <v>0.48533564814814811</v>
      </c>
      <c r="AA3732" s="566">
        <f t="shared" si="436"/>
        <v>2.3738425925925899E-2</v>
      </c>
    </row>
    <row r="3733" spans="1:27" x14ac:dyDescent="0.3">
      <c r="A3733" s="79" t="s">
        <v>12191</v>
      </c>
      <c r="C3733" s="115">
        <v>44124</v>
      </c>
      <c r="D3733" s="312">
        <v>44146</v>
      </c>
      <c r="E3733" s="81">
        <v>44140</v>
      </c>
      <c r="F3733" s="86" t="s">
        <v>12240</v>
      </c>
      <c r="G3733" s="86" t="s">
        <v>2652</v>
      </c>
      <c r="H3733" s="96" t="s">
        <v>213</v>
      </c>
      <c r="I3733" s="97" t="s">
        <v>649</v>
      </c>
      <c r="J3733" s="73">
        <f t="shared" ref="J3733:J3742" si="437">IF(OR(K3733="Документы готовы",K3733="Запрос в ФО",K3733="ЭЗ",K3733="РЕШ",K3733="РЕШ шаблон"),0.1,IF(OR(K3733="ЭЗ согласование",K3733="РЕШ согласование"),0.3,IF(OR(K3733="ЭЗ согласовано",K3733="РЕШ согласовано",K3733="РЕШ подписано"),0.6,IF(OR(K3733="ЭЗ ПР согласование",K3733="РЕШ УВ согласование"),0.9,IF(OR(K3733="ЭЗ ПР DONE",K3733="РЕШ УВ DONE"),1,0)))))</f>
        <v>1</v>
      </c>
      <c r="K3733" s="74" t="s">
        <v>204</v>
      </c>
      <c r="L3733" s="97" t="s">
        <v>12269</v>
      </c>
      <c r="N3733" s="76" t="s">
        <v>18</v>
      </c>
      <c r="Q3733" s="76" t="s">
        <v>2076</v>
      </c>
      <c r="R3733" s="73">
        <f t="shared" ref="R3733:R3742" si="438">IF(S3733="В работе",0.3,IF(S3733="Отписано",0.6,IF(S3733="На доработку",0.9,IF(S3733="Согласовано",1,0))))</f>
        <v>1</v>
      </c>
      <c r="S3733" s="260" t="s">
        <v>1976</v>
      </c>
      <c r="T3733" s="260" t="s">
        <v>925</v>
      </c>
      <c r="U3733" s="76" t="s">
        <v>5283</v>
      </c>
      <c r="V3733" s="301" t="s">
        <v>12270</v>
      </c>
      <c r="Y3733" s="566">
        <v>0.55098379629629635</v>
      </c>
      <c r="Z3733" s="566">
        <v>0.57026620370370373</v>
      </c>
      <c r="AA3733" s="566">
        <f t="shared" ref="AA3733:AA3742" si="439">Z3733-Y3733</f>
        <v>1.9282407407407387E-2</v>
      </c>
    </row>
    <row r="3734" spans="1:27" x14ac:dyDescent="0.3">
      <c r="A3734" s="79" t="s">
        <v>12192</v>
      </c>
      <c r="C3734" s="115">
        <v>44124</v>
      </c>
      <c r="D3734" s="312">
        <v>44146</v>
      </c>
      <c r="E3734" s="81">
        <v>44141</v>
      </c>
      <c r="F3734" s="86" t="s">
        <v>12241</v>
      </c>
      <c r="G3734" s="86" t="s">
        <v>410</v>
      </c>
      <c r="H3734" s="96" t="s">
        <v>213</v>
      </c>
      <c r="I3734" s="97" t="s">
        <v>1371</v>
      </c>
      <c r="J3734" s="73">
        <f t="shared" si="437"/>
        <v>1</v>
      </c>
      <c r="K3734" s="74" t="s">
        <v>204</v>
      </c>
      <c r="L3734" s="97" t="s">
        <v>12276</v>
      </c>
      <c r="N3734" s="76" t="s">
        <v>19</v>
      </c>
      <c r="Q3734" s="76" t="s">
        <v>2037</v>
      </c>
      <c r="R3734" s="73">
        <f t="shared" si="438"/>
        <v>1</v>
      </c>
      <c r="S3734" s="260" t="s">
        <v>1976</v>
      </c>
      <c r="T3734" s="260" t="s">
        <v>925</v>
      </c>
      <c r="Y3734" s="566">
        <v>0.42917824074074074</v>
      </c>
      <c r="Z3734" s="566">
        <v>0.43388888888888894</v>
      </c>
      <c r="AA3734" s="566">
        <f t="shared" si="439"/>
        <v>4.7106481481481999E-3</v>
      </c>
    </row>
    <row r="3735" spans="1:27" x14ac:dyDescent="0.3">
      <c r="A3735" s="79" t="s">
        <v>12193</v>
      </c>
      <c r="C3735" s="115">
        <v>44125</v>
      </c>
      <c r="D3735" s="312">
        <v>44147</v>
      </c>
      <c r="E3735" s="81">
        <v>44141</v>
      </c>
      <c r="F3735" s="86" t="s">
        <v>12242</v>
      </c>
      <c r="G3735" s="86" t="s">
        <v>147</v>
      </c>
      <c r="H3735" s="96" t="s">
        <v>213</v>
      </c>
      <c r="I3735" s="97" t="s">
        <v>649</v>
      </c>
      <c r="J3735" s="73">
        <f t="shared" si="437"/>
        <v>1</v>
      </c>
      <c r="K3735" s="74" t="s">
        <v>204</v>
      </c>
      <c r="L3735" s="97" t="s">
        <v>12278</v>
      </c>
      <c r="N3735" s="76" t="s">
        <v>17</v>
      </c>
      <c r="Q3735" s="76" t="s">
        <v>2037</v>
      </c>
      <c r="R3735" s="73">
        <f t="shared" si="438"/>
        <v>1</v>
      </c>
      <c r="S3735" s="260" t="s">
        <v>1976</v>
      </c>
      <c r="T3735" s="260" t="s">
        <v>923</v>
      </c>
      <c r="Y3735" s="566">
        <v>0.53469907407407413</v>
      </c>
      <c r="Z3735" s="566">
        <v>0.54084490740740743</v>
      </c>
      <c r="AA3735" s="566">
        <f t="shared" si="439"/>
        <v>6.1458333333332948E-3</v>
      </c>
    </row>
    <row r="3736" spans="1:27" x14ac:dyDescent="0.3">
      <c r="A3736" s="79" t="s">
        <v>12194</v>
      </c>
      <c r="C3736" s="115">
        <v>44125</v>
      </c>
      <c r="D3736" s="312">
        <v>44147</v>
      </c>
      <c r="E3736" s="81">
        <v>44144</v>
      </c>
      <c r="F3736" s="86" t="s">
        <v>12243</v>
      </c>
      <c r="G3736" s="86" t="s">
        <v>152</v>
      </c>
      <c r="H3736" s="96" t="s">
        <v>213</v>
      </c>
      <c r="I3736" s="97" t="s">
        <v>1113</v>
      </c>
      <c r="J3736" s="73">
        <f t="shared" si="437"/>
        <v>1</v>
      </c>
      <c r="K3736" s="74" t="s">
        <v>204</v>
      </c>
      <c r="L3736" s="97" t="s">
        <v>11355</v>
      </c>
      <c r="N3736" s="76" t="s">
        <v>18</v>
      </c>
      <c r="Q3736" s="76" t="s">
        <v>2037</v>
      </c>
      <c r="R3736" s="73">
        <f t="shared" si="438"/>
        <v>1</v>
      </c>
      <c r="S3736" s="260" t="s">
        <v>1976</v>
      </c>
      <c r="T3736" s="260" t="s">
        <v>925</v>
      </c>
      <c r="Y3736" s="566">
        <v>0.4241550925925926</v>
      </c>
      <c r="Z3736" s="566">
        <v>0.44785879629629632</v>
      </c>
      <c r="AA3736" s="566">
        <f t="shared" si="439"/>
        <v>2.3703703703703727E-2</v>
      </c>
    </row>
    <row r="3737" spans="1:27" x14ac:dyDescent="0.3">
      <c r="A3737" s="79" t="s">
        <v>12195</v>
      </c>
      <c r="C3737" s="115">
        <v>44126</v>
      </c>
      <c r="D3737" s="312">
        <v>44148</v>
      </c>
      <c r="E3737" s="81">
        <v>44144</v>
      </c>
      <c r="F3737" s="86" t="s">
        <v>12244</v>
      </c>
      <c r="G3737" s="86" t="s">
        <v>150</v>
      </c>
      <c r="H3737" s="96" t="s">
        <v>213</v>
      </c>
      <c r="I3737" s="97" t="s">
        <v>649</v>
      </c>
      <c r="J3737" s="73">
        <f t="shared" si="437"/>
        <v>1</v>
      </c>
      <c r="K3737" s="74" t="s">
        <v>204</v>
      </c>
      <c r="L3737" s="97" t="s">
        <v>7060</v>
      </c>
      <c r="N3737" s="76" t="s">
        <v>17</v>
      </c>
      <c r="Q3737" s="76" t="s">
        <v>2037</v>
      </c>
      <c r="R3737" s="73">
        <f t="shared" si="438"/>
        <v>1</v>
      </c>
      <c r="S3737" s="260" t="s">
        <v>1976</v>
      </c>
      <c r="T3737" s="260" t="s">
        <v>925</v>
      </c>
      <c r="Y3737" s="566">
        <v>0.38490740740740742</v>
      </c>
      <c r="Z3737" s="566">
        <v>0.40321759259259254</v>
      </c>
      <c r="AA3737" s="566">
        <f t="shared" si="439"/>
        <v>1.8310185185185124E-2</v>
      </c>
    </row>
    <row r="3738" spans="1:27" x14ac:dyDescent="0.3">
      <c r="A3738" s="79" t="s">
        <v>12196</v>
      </c>
      <c r="C3738" s="115">
        <v>44126</v>
      </c>
      <c r="D3738" s="312">
        <v>44148</v>
      </c>
      <c r="E3738" s="81">
        <v>44141</v>
      </c>
      <c r="F3738" s="86" t="s">
        <v>12245</v>
      </c>
      <c r="G3738" s="86" t="s">
        <v>156</v>
      </c>
      <c r="H3738" s="96" t="s">
        <v>213</v>
      </c>
      <c r="I3738" s="97" t="s">
        <v>649</v>
      </c>
      <c r="J3738" s="73">
        <f t="shared" si="437"/>
        <v>1</v>
      </c>
      <c r="K3738" s="74" t="s">
        <v>204</v>
      </c>
      <c r="L3738" s="97" t="s">
        <v>12444</v>
      </c>
      <c r="N3738" s="76" t="s">
        <v>17</v>
      </c>
      <c r="Q3738" s="76" t="s">
        <v>2076</v>
      </c>
      <c r="R3738" s="73">
        <f t="shared" si="438"/>
        <v>1</v>
      </c>
      <c r="S3738" s="260" t="s">
        <v>1976</v>
      </c>
      <c r="T3738" s="260" t="s">
        <v>925</v>
      </c>
      <c r="U3738" s="76" t="s">
        <v>5283</v>
      </c>
      <c r="V3738" s="301" t="s">
        <v>12434</v>
      </c>
      <c r="Y3738" s="566">
        <v>0.63471064814814815</v>
      </c>
      <c r="Z3738" s="566">
        <v>0.64112268518518511</v>
      </c>
      <c r="AA3738" s="566">
        <f t="shared" si="439"/>
        <v>6.4120370370369661E-3</v>
      </c>
    </row>
    <row r="3739" spans="1:27" x14ac:dyDescent="0.3">
      <c r="A3739" s="79" t="s">
        <v>12197</v>
      </c>
      <c r="C3739" s="115">
        <v>44126</v>
      </c>
      <c r="D3739" s="312">
        <v>44148</v>
      </c>
      <c r="E3739" s="81">
        <v>44141</v>
      </c>
      <c r="F3739" s="86" t="s">
        <v>12246</v>
      </c>
      <c r="G3739" s="86" t="s">
        <v>150</v>
      </c>
      <c r="H3739" s="96" t="s">
        <v>213</v>
      </c>
      <c r="I3739" s="97" t="s">
        <v>972</v>
      </c>
      <c r="J3739" s="73">
        <f t="shared" si="437"/>
        <v>1</v>
      </c>
      <c r="K3739" s="74" t="s">
        <v>204</v>
      </c>
      <c r="L3739" s="97" t="s">
        <v>7580</v>
      </c>
      <c r="N3739" s="76" t="s">
        <v>17</v>
      </c>
      <c r="Q3739" s="76" t="s">
        <v>2076</v>
      </c>
      <c r="R3739" s="73">
        <f t="shared" si="438"/>
        <v>1</v>
      </c>
      <c r="S3739" s="260" t="s">
        <v>1976</v>
      </c>
      <c r="T3739" s="260" t="s">
        <v>923</v>
      </c>
      <c r="Y3739" s="566">
        <v>0.64246527777777784</v>
      </c>
      <c r="Z3739" s="566">
        <v>0.65865740740740741</v>
      </c>
      <c r="AA3739" s="566">
        <f t="shared" si="439"/>
        <v>1.619212962962957E-2</v>
      </c>
    </row>
    <row r="3740" spans="1:27" x14ac:dyDescent="0.3">
      <c r="A3740" s="79" t="s">
        <v>12198</v>
      </c>
      <c r="C3740" s="115">
        <v>44126</v>
      </c>
      <c r="D3740" s="312">
        <v>44148</v>
      </c>
      <c r="E3740" s="81">
        <v>44144</v>
      </c>
      <c r="F3740" s="86" t="s">
        <v>12247</v>
      </c>
      <c r="G3740" s="86" t="s">
        <v>152</v>
      </c>
      <c r="H3740" s="96" t="s">
        <v>213</v>
      </c>
      <c r="I3740" s="97" t="s">
        <v>649</v>
      </c>
      <c r="J3740" s="73">
        <f t="shared" si="437"/>
        <v>1</v>
      </c>
      <c r="K3740" s="74" t="s">
        <v>204</v>
      </c>
      <c r="L3740" s="97" t="s">
        <v>7065</v>
      </c>
      <c r="N3740" s="76" t="s">
        <v>17</v>
      </c>
      <c r="Q3740" s="76" t="s">
        <v>2037</v>
      </c>
      <c r="R3740" s="73">
        <f t="shared" si="438"/>
        <v>1</v>
      </c>
      <c r="S3740" s="260" t="s">
        <v>1976</v>
      </c>
      <c r="T3740" s="260" t="s">
        <v>923</v>
      </c>
      <c r="Y3740" s="566">
        <v>0.37375000000000003</v>
      </c>
      <c r="Z3740" s="566">
        <v>0.38424768518518521</v>
      </c>
      <c r="AA3740" s="566">
        <f t="shared" si="439"/>
        <v>1.0497685185185179E-2</v>
      </c>
    </row>
    <row r="3741" spans="1:27" x14ac:dyDescent="0.3">
      <c r="A3741" s="79" t="s">
        <v>12199</v>
      </c>
      <c r="C3741" s="115">
        <v>44126</v>
      </c>
      <c r="D3741" s="312">
        <v>44148</v>
      </c>
      <c r="E3741" s="81">
        <v>44145</v>
      </c>
      <c r="F3741" s="86" t="s">
        <v>10307</v>
      </c>
      <c r="G3741" s="86" t="s">
        <v>150</v>
      </c>
      <c r="H3741" s="79" t="s">
        <v>268</v>
      </c>
      <c r="I3741" s="97" t="s">
        <v>649</v>
      </c>
      <c r="J3741" s="73">
        <f t="shared" si="437"/>
        <v>1</v>
      </c>
      <c r="K3741" s="74" t="s">
        <v>204</v>
      </c>
      <c r="L3741" s="97" t="s">
        <v>12435</v>
      </c>
      <c r="N3741" s="76" t="s">
        <v>18</v>
      </c>
      <c r="Q3741" s="76" t="s">
        <v>2037</v>
      </c>
      <c r="R3741" s="73">
        <f t="shared" si="438"/>
        <v>1</v>
      </c>
      <c r="S3741" s="260" t="s">
        <v>1976</v>
      </c>
      <c r="T3741" s="260" t="s">
        <v>925</v>
      </c>
      <c r="Y3741" s="566">
        <v>0.43797453703703698</v>
      </c>
      <c r="Z3741" s="566">
        <v>0.45163194444444449</v>
      </c>
      <c r="AA3741" s="566">
        <f t="shared" si="439"/>
        <v>1.3657407407407507E-2</v>
      </c>
    </row>
    <row r="3742" spans="1:27" x14ac:dyDescent="0.3">
      <c r="A3742" s="79" t="s">
        <v>12200</v>
      </c>
      <c r="C3742" s="115">
        <v>44126</v>
      </c>
      <c r="D3742" s="312">
        <v>44148</v>
      </c>
      <c r="E3742" s="81">
        <v>44144</v>
      </c>
      <c r="F3742" s="86" t="s">
        <v>12248</v>
      </c>
      <c r="G3742" s="86" t="s">
        <v>187</v>
      </c>
      <c r="H3742" s="96" t="s">
        <v>213</v>
      </c>
      <c r="I3742" s="97" t="s">
        <v>649</v>
      </c>
      <c r="J3742" s="73">
        <f t="shared" si="437"/>
        <v>1</v>
      </c>
      <c r="K3742" s="74" t="s">
        <v>204</v>
      </c>
      <c r="L3742" s="97" t="s">
        <v>12425</v>
      </c>
      <c r="N3742" s="76" t="s">
        <v>17</v>
      </c>
      <c r="Q3742" s="76" t="s">
        <v>2037</v>
      </c>
      <c r="R3742" s="73">
        <f t="shared" si="438"/>
        <v>1</v>
      </c>
      <c r="S3742" s="260" t="s">
        <v>1976</v>
      </c>
      <c r="T3742" s="260" t="s">
        <v>925</v>
      </c>
      <c r="Y3742" s="566">
        <v>0.36446759259259259</v>
      </c>
      <c r="Z3742" s="566">
        <v>0.37313657407407402</v>
      </c>
      <c r="AA3742" s="566">
        <f t="shared" si="439"/>
        <v>8.6689814814814303E-3</v>
      </c>
    </row>
    <row r="3743" spans="1:27" x14ac:dyDescent="0.3">
      <c r="A3743" s="79" t="s">
        <v>12281</v>
      </c>
      <c r="C3743" s="115">
        <v>44096</v>
      </c>
      <c r="D3743" s="312">
        <v>44154</v>
      </c>
      <c r="E3743" s="81">
        <v>44147</v>
      </c>
      <c r="F3743" s="86" t="s">
        <v>11695</v>
      </c>
      <c r="G3743" s="97" t="s">
        <v>147</v>
      </c>
      <c r="H3743" s="96" t="s">
        <v>213</v>
      </c>
      <c r="J3743" s="73">
        <f t="shared" ref="J3743:J3793" si="440">IF(OR(K3743="Документы готовы",K3743="Запрос в ФО",K3743="ЭЗ",K3743="РЕШ",K3743="РЕШ шаблон"),0.1,IF(OR(K3743="ЭЗ согласование",K3743="РЕШ согласование"),0.3,IF(OR(K3743="ЭЗ согласовано",K3743="РЕШ согласовано",K3743="РЕШ подписано"),0.6,IF(OR(K3743="ЭЗ ПР согласование",K3743="РЕШ УВ согласование"),0.9,IF(OR(K3743="ЭЗ ПР DONE",K3743="РЕШ УВ DONE"),1,0)))))</f>
        <v>1</v>
      </c>
      <c r="K3743" s="74" t="s">
        <v>204</v>
      </c>
      <c r="L3743" s="97" t="s">
        <v>12478</v>
      </c>
      <c r="N3743" s="76" t="s">
        <v>17</v>
      </c>
      <c r="Q3743" s="76" t="s">
        <v>2142</v>
      </c>
      <c r="R3743" s="73">
        <f t="shared" ref="R3743:R3793" si="441">IF(S3743="В работе",0.3,IF(S3743="Отписано",0.6,IF(S3743="На доработку",0.9,IF(S3743="Согласовано",1,0))))</f>
        <v>1</v>
      </c>
      <c r="S3743" s="260" t="s">
        <v>1976</v>
      </c>
      <c r="T3743" s="260" t="s">
        <v>925</v>
      </c>
      <c r="Y3743" s="566">
        <v>0.68957175925925929</v>
      </c>
      <c r="Z3743" s="566">
        <v>0.69709490740740743</v>
      </c>
      <c r="AA3743" s="566">
        <f t="shared" ref="AA3743:AA3793" si="442">Z3743-Y3743</f>
        <v>7.5231481481481399E-3</v>
      </c>
    </row>
    <row r="3744" spans="1:27" x14ac:dyDescent="0.3">
      <c r="A3744" s="79" t="s">
        <v>12282</v>
      </c>
      <c r="C3744" s="115">
        <v>44109</v>
      </c>
      <c r="D3744" s="312">
        <v>44153</v>
      </c>
      <c r="E3744" s="81">
        <v>44151</v>
      </c>
      <c r="F3744" s="86" t="s">
        <v>11268</v>
      </c>
      <c r="G3744" s="86" t="s">
        <v>9119</v>
      </c>
      <c r="H3744" s="96" t="s">
        <v>213</v>
      </c>
      <c r="I3744" s="97" t="s">
        <v>3150</v>
      </c>
      <c r="J3744" s="73">
        <f t="shared" si="440"/>
        <v>1</v>
      </c>
      <c r="K3744" s="74" t="s">
        <v>204</v>
      </c>
      <c r="L3744" s="97" t="s">
        <v>12498</v>
      </c>
      <c r="N3744" s="76" t="s">
        <v>17</v>
      </c>
      <c r="Q3744" s="76" t="s">
        <v>2076</v>
      </c>
      <c r="R3744" s="73">
        <f t="shared" si="441"/>
        <v>1</v>
      </c>
      <c r="S3744" s="260" t="s">
        <v>1976</v>
      </c>
      <c r="T3744" s="260" t="s">
        <v>925</v>
      </c>
      <c r="U3744" s="76" t="s">
        <v>5283</v>
      </c>
      <c r="V3744" s="301" t="s">
        <v>12497</v>
      </c>
      <c r="Y3744" s="566">
        <v>0.38125000000000003</v>
      </c>
      <c r="Z3744" s="566">
        <v>0.3934259259259259</v>
      </c>
      <c r="AA3744" s="566">
        <f t="shared" si="442"/>
        <v>1.2175925925925868E-2</v>
      </c>
    </row>
    <row r="3745" spans="1:27" x14ac:dyDescent="0.3">
      <c r="A3745" s="79" t="s">
        <v>12283</v>
      </c>
      <c r="C3745" s="115">
        <v>44110</v>
      </c>
      <c r="D3745" s="312">
        <v>44153</v>
      </c>
      <c r="E3745" s="81">
        <v>44148</v>
      </c>
      <c r="F3745" s="86" t="s">
        <v>11268</v>
      </c>
      <c r="G3745" s="86" t="s">
        <v>154</v>
      </c>
      <c r="H3745" s="96" t="s">
        <v>213</v>
      </c>
      <c r="I3745" s="97" t="s">
        <v>3150</v>
      </c>
      <c r="J3745" s="73">
        <f t="shared" si="440"/>
        <v>1</v>
      </c>
      <c r="K3745" s="74" t="s">
        <v>204</v>
      </c>
      <c r="L3745" s="97" t="s">
        <v>12490</v>
      </c>
      <c r="N3745" s="76" t="s">
        <v>17</v>
      </c>
      <c r="Q3745" s="76" t="s">
        <v>2142</v>
      </c>
      <c r="R3745" s="73">
        <f t="shared" si="441"/>
        <v>1</v>
      </c>
      <c r="S3745" s="260" t="s">
        <v>1976</v>
      </c>
      <c r="T3745" s="260" t="s">
        <v>923</v>
      </c>
      <c r="Y3745" s="566">
        <v>0.69468750000000001</v>
      </c>
      <c r="Z3745" s="566">
        <v>0.72164351851851849</v>
      </c>
      <c r="AA3745" s="566">
        <f t="shared" si="442"/>
        <v>2.6956018518518476E-2</v>
      </c>
    </row>
    <row r="3746" spans="1:27" x14ac:dyDescent="0.3">
      <c r="A3746" s="79" t="s">
        <v>12284</v>
      </c>
      <c r="C3746" s="115">
        <v>44110</v>
      </c>
      <c r="D3746" s="312">
        <v>44153</v>
      </c>
      <c r="E3746" s="81">
        <v>44146</v>
      </c>
      <c r="F3746" s="86" t="s">
        <v>12354</v>
      </c>
      <c r="G3746" s="86" t="s">
        <v>9119</v>
      </c>
      <c r="H3746" s="96" t="s">
        <v>213</v>
      </c>
      <c r="I3746" s="97" t="s">
        <v>649</v>
      </c>
      <c r="J3746" s="73">
        <f t="shared" si="440"/>
        <v>1</v>
      </c>
      <c r="K3746" s="74" t="s">
        <v>204</v>
      </c>
      <c r="L3746" s="97" t="s">
        <v>12456</v>
      </c>
      <c r="N3746" s="76" t="s">
        <v>17</v>
      </c>
      <c r="Q3746" s="76" t="s">
        <v>12424</v>
      </c>
      <c r="R3746" s="73">
        <f t="shared" si="441"/>
        <v>1</v>
      </c>
      <c r="S3746" s="260" t="s">
        <v>1976</v>
      </c>
      <c r="T3746" s="260" t="s">
        <v>925</v>
      </c>
      <c r="Y3746" s="566">
        <v>0.42375000000000002</v>
      </c>
      <c r="Z3746" s="566">
        <v>0.45769675925925929</v>
      </c>
      <c r="AA3746" s="566">
        <f t="shared" si="442"/>
        <v>3.3946759259259274E-2</v>
      </c>
    </row>
    <row r="3747" spans="1:27" x14ac:dyDescent="0.3">
      <c r="A3747" s="79" t="s">
        <v>12285</v>
      </c>
      <c r="C3747" s="115">
        <v>44113</v>
      </c>
      <c r="D3747" s="312">
        <v>44151</v>
      </c>
      <c r="E3747" s="81">
        <v>44145</v>
      </c>
      <c r="F3747" s="86" t="s">
        <v>12355</v>
      </c>
      <c r="G3747" s="86" t="s">
        <v>150</v>
      </c>
      <c r="H3747" s="96" t="s">
        <v>213</v>
      </c>
      <c r="I3747" s="97" t="s">
        <v>722</v>
      </c>
      <c r="J3747" s="73">
        <f t="shared" si="440"/>
        <v>1</v>
      </c>
      <c r="K3747" s="74" t="s">
        <v>204</v>
      </c>
      <c r="L3747" s="97" t="s">
        <v>7322</v>
      </c>
      <c r="N3747" s="76" t="s">
        <v>18</v>
      </c>
      <c r="Q3747" s="76" t="s">
        <v>12424</v>
      </c>
      <c r="R3747" s="73">
        <f t="shared" si="441"/>
        <v>1</v>
      </c>
      <c r="S3747" s="260" t="s">
        <v>1976</v>
      </c>
      <c r="T3747" s="260" t="s">
        <v>925</v>
      </c>
      <c r="Y3747" s="566">
        <v>0.45321759259259259</v>
      </c>
      <c r="Z3747" s="566">
        <v>0.46105324074074078</v>
      </c>
      <c r="AA3747" s="566">
        <f t="shared" si="442"/>
        <v>7.8356481481481888E-3</v>
      </c>
    </row>
    <row r="3748" spans="1:27" x14ac:dyDescent="0.3">
      <c r="A3748" s="79" t="s">
        <v>12286</v>
      </c>
      <c r="C3748" s="115">
        <v>44113</v>
      </c>
      <c r="D3748" s="312">
        <v>44151</v>
      </c>
      <c r="E3748" s="81">
        <v>44144</v>
      </c>
      <c r="F3748" s="86" t="s">
        <v>12356</v>
      </c>
      <c r="G3748" s="86" t="s">
        <v>181</v>
      </c>
      <c r="H3748" s="96" t="s">
        <v>213</v>
      </c>
      <c r="I3748" s="97" t="s">
        <v>722</v>
      </c>
      <c r="J3748" s="73">
        <f t="shared" si="440"/>
        <v>1</v>
      </c>
      <c r="K3748" s="74" t="s">
        <v>204</v>
      </c>
      <c r="L3748" s="97" t="s">
        <v>7524</v>
      </c>
      <c r="N3748" s="76" t="s">
        <v>17</v>
      </c>
      <c r="Q3748" s="76" t="s">
        <v>2076</v>
      </c>
      <c r="R3748" s="73">
        <f t="shared" si="441"/>
        <v>1</v>
      </c>
      <c r="S3748" s="260" t="s">
        <v>1976</v>
      </c>
      <c r="T3748" s="260" t="s">
        <v>923</v>
      </c>
      <c r="Y3748" s="566">
        <v>0.6576157407407407</v>
      </c>
      <c r="Z3748" s="566">
        <v>0.67273148148148154</v>
      </c>
      <c r="AA3748" s="566">
        <f t="shared" si="442"/>
        <v>1.5115740740740846E-2</v>
      </c>
    </row>
    <row r="3749" spans="1:27" x14ac:dyDescent="0.3">
      <c r="A3749" s="79" t="s">
        <v>12287</v>
      </c>
      <c r="C3749" s="115">
        <v>44113</v>
      </c>
      <c r="D3749" s="312">
        <v>44151</v>
      </c>
      <c r="E3749" s="81">
        <v>44144</v>
      </c>
      <c r="F3749" s="86" t="s">
        <v>12357</v>
      </c>
      <c r="G3749" s="86" t="s">
        <v>150</v>
      </c>
      <c r="H3749" s="96" t="s">
        <v>213</v>
      </c>
      <c r="I3749" s="97" t="s">
        <v>722</v>
      </c>
      <c r="J3749" s="73">
        <f t="shared" si="440"/>
        <v>1</v>
      </c>
      <c r="K3749" s="74" t="s">
        <v>204</v>
      </c>
      <c r="L3749" s="97" t="s">
        <v>7322</v>
      </c>
      <c r="N3749" s="76" t="s">
        <v>17</v>
      </c>
      <c r="Q3749" s="76" t="s">
        <v>2037</v>
      </c>
      <c r="R3749" s="73">
        <f t="shared" si="441"/>
        <v>1</v>
      </c>
      <c r="S3749" s="260" t="s">
        <v>1976</v>
      </c>
      <c r="T3749" s="260" t="s">
        <v>925</v>
      </c>
      <c r="Y3749" s="566">
        <v>0.7292939814814815</v>
      </c>
      <c r="Z3749" s="566">
        <v>0.73896990740740742</v>
      </c>
      <c r="AA3749" s="566">
        <f t="shared" si="442"/>
        <v>9.6759259259259212E-3</v>
      </c>
    </row>
    <row r="3750" spans="1:27" x14ac:dyDescent="0.3">
      <c r="A3750" s="79" t="s">
        <v>12288</v>
      </c>
      <c r="C3750" s="115">
        <v>44113</v>
      </c>
      <c r="D3750" s="312">
        <v>44151</v>
      </c>
      <c r="E3750" s="81">
        <v>44144</v>
      </c>
      <c r="F3750" s="86" t="s">
        <v>12358</v>
      </c>
      <c r="G3750" s="86" t="s">
        <v>168</v>
      </c>
      <c r="H3750" s="96" t="s">
        <v>213</v>
      </c>
      <c r="I3750" s="97" t="s">
        <v>642</v>
      </c>
      <c r="J3750" s="73">
        <f t="shared" si="440"/>
        <v>1</v>
      </c>
      <c r="K3750" s="74" t="s">
        <v>204</v>
      </c>
      <c r="L3750" s="97" t="s">
        <v>7108</v>
      </c>
      <c r="N3750" s="76" t="s">
        <v>18</v>
      </c>
      <c r="Q3750" s="76" t="s">
        <v>2142</v>
      </c>
      <c r="R3750" s="73">
        <f t="shared" si="441"/>
        <v>1</v>
      </c>
      <c r="S3750" s="260" t="s">
        <v>1976</v>
      </c>
      <c r="T3750" s="260" t="s">
        <v>923</v>
      </c>
      <c r="Y3750" s="566">
        <v>0.68633101851851841</v>
      </c>
      <c r="Z3750" s="566">
        <v>0.69210648148148157</v>
      </c>
      <c r="AA3750" s="566">
        <f t="shared" si="442"/>
        <v>5.7754629629631626E-3</v>
      </c>
    </row>
    <row r="3751" spans="1:27" x14ac:dyDescent="0.3">
      <c r="A3751" s="79" t="s">
        <v>12289</v>
      </c>
      <c r="C3751" s="115">
        <v>44113</v>
      </c>
      <c r="D3751" s="312">
        <v>44151</v>
      </c>
      <c r="E3751" s="81">
        <v>44145</v>
      </c>
      <c r="F3751" s="86" t="s">
        <v>12359</v>
      </c>
      <c r="G3751" s="86" t="s">
        <v>147</v>
      </c>
      <c r="H3751" s="96" t="s">
        <v>213</v>
      </c>
      <c r="I3751" s="97" t="s">
        <v>714</v>
      </c>
      <c r="J3751" s="73">
        <f t="shared" si="440"/>
        <v>1</v>
      </c>
      <c r="K3751" s="74" t="s">
        <v>204</v>
      </c>
      <c r="L3751" s="97" t="s">
        <v>12439</v>
      </c>
      <c r="N3751" s="76" t="s">
        <v>18</v>
      </c>
      <c r="Q3751" s="76" t="s">
        <v>2037</v>
      </c>
      <c r="R3751" s="73">
        <f t="shared" si="441"/>
        <v>1</v>
      </c>
      <c r="S3751" s="260" t="s">
        <v>1976</v>
      </c>
      <c r="T3751" s="260" t="s">
        <v>923</v>
      </c>
      <c r="Y3751" s="566">
        <v>0.48276620370370371</v>
      </c>
      <c r="Z3751" s="566">
        <v>0.50510416666666669</v>
      </c>
      <c r="AA3751" s="566">
        <f t="shared" si="442"/>
        <v>2.2337962962962976E-2</v>
      </c>
    </row>
    <row r="3752" spans="1:27" x14ac:dyDescent="0.3">
      <c r="A3752" s="79" t="s">
        <v>12290</v>
      </c>
      <c r="C3752" s="115">
        <v>44113</v>
      </c>
      <c r="D3752" s="312">
        <v>44151</v>
      </c>
      <c r="E3752" s="81">
        <v>44144</v>
      </c>
      <c r="F3752" s="86" t="s">
        <v>12360</v>
      </c>
      <c r="G3752" s="86" t="s">
        <v>9119</v>
      </c>
      <c r="H3752" s="96" t="s">
        <v>213</v>
      </c>
      <c r="I3752" s="97" t="s">
        <v>642</v>
      </c>
      <c r="J3752" s="73">
        <f t="shared" si="440"/>
        <v>1</v>
      </c>
      <c r="K3752" s="74" t="s">
        <v>204</v>
      </c>
      <c r="L3752" s="97" t="s">
        <v>7110</v>
      </c>
      <c r="N3752" s="76" t="s">
        <v>18</v>
      </c>
      <c r="Q3752" s="76" t="s">
        <v>2142</v>
      </c>
      <c r="R3752" s="73">
        <f t="shared" si="441"/>
        <v>1</v>
      </c>
      <c r="S3752" s="260" t="s">
        <v>1976</v>
      </c>
      <c r="T3752" s="260" t="s">
        <v>925</v>
      </c>
      <c r="Y3752" s="566">
        <v>0.616724537037037</v>
      </c>
      <c r="Z3752" s="566">
        <v>0.62133101851851846</v>
      </c>
      <c r="AA3752" s="566">
        <f t="shared" si="442"/>
        <v>4.6064814814814614E-3</v>
      </c>
    </row>
    <row r="3753" spans="1:27" x14ac:dyDescent="0.3">
      <c r="A3753" s="79" t="s">
        <v>12291</v>
      </c>
      <c r="C3753" s="115">
        <v>44113</v>
      </c>
      <c r="D3753" s="312">
        <v>44151</v>
      </c>
      <c r="E3753" s="81">
        <v>44144</v>
      </c>
      <c r="F3753" s="86" t="s">
        <v>12361</v>
      </c>
      <c r="G3753" s="86" t="s">
        <v>150</v>
      </c>
      <c r="H3753" s="96" t="s">
        <v>213</v>
      </c>
      <c r="I3753" s="97" t="s">
        <v>854</v>
      </c>
      <c r="J3753" s="73">
        <f t="shared" si="440"/>
        <v>1</v>
      </c>
      <c r="K3753" s="74" t="s">
        <v>204</v>
      </c>
      <c r="L3753" s="97" t="s">
        <v>12431</v>
      </c>
      <c r="N3753" s="76" t="s">
        <v>17</v>
      </c>
      <c r="Q3753" s="76" t="s">
        <v>12424</v>
      </c>
      <c r="R3753" s="73">
        <f t="shared" si="441"/>
        <v>1</v>
      </c>
      <c r="S3753" s="260" t="s">
        <v>1976</v>
      </c>
      <c r="T3753" s="260" t="s">
        <v>923</v>
      </c>
      <c r="Y3753" s="566">
        <v>0.60372685185185182</v>
      </c>
      <c r="Z3753" s="566">
        <v>0.61621527777777774</v>
      </c>
      <c r="AA3753" s="566">
        <f t="shared" si="442"/>
        <v>1.2488425925925917E-2</v>
      </c>
    </row>
    <row r="3754" spans="1:27" x14ac:dyDescent="0.3">
      <c r="A3754" s="79" t="s">
        <v>12292</v>
      </c>
      <c r="C3754" s="115">
        <v>44113</v>
      </c>
      <c r="D3754" s="312">
        <v>44151</v>
      </c>
      <c r="E3754" s="81">
        <v>44147</v>
      </c>
      <c r="F3754" s="86" t="s">
        <v>12362</v>
      </c>
      <c r="G3754" s="86" t="s">
        <v>157</v>
      </c>
      <c r="H3754" s="96" t="s">
        <v>213</v>
      </c>
      <c r="I3754" s="97" t="s">
        <v>6088</v>
      </c>
      <c r="J3754" s="73">
        <f t="shared" si="440"/>
        <v>1</v>
      </c>
      <c r="K3754" s="74" t="s">
        <v>204</v>
      </c>
      <c r="L3754" s="97" t="s">
        <v>12472</v>
      </c>
      <c r="N3754" s="76" t="s">
        <v>17</v>
      </c>
      <c r="Q3754" s="76" t="s">
        <v>2037</v>
      </c>
      <c r="R3754" s="73">
        <f t="shared" si="441"/>
        <v>1</v>
      </c>
      <c r="S3754" s="260" t="s">
        <v>1976</v>
      </c>
      <c r="T3754" s="260" t="s">
        <v>923</v>
      </c>
      <c r="Y3754" s="566">
        <v>0.538599537037037</v>
      </c>
      <c r="Z3754" s="566">
        <v>0.54538194444444443</v>
      </c>
      <c r="AA3754" s="566">
        <f t="shared" si="442"/>
        <v>6.7824074074074314E-3</v>
      </c>
    </row>
    <row r="3755" spans="1:27" x14ac:dyDescent="0.3">
      <c r="A3755" s="79" t="s">
        <v>12293</v>
      </c>
      <c r="C3755" s="115">
        <v>44113</v>
      </c>
      <c r="D3755" s="312">
        <v>44151</v>
      </c>
      <c r="E3755" s="81">
        <v>44145</v>
      </c>
      <c r="F3755" s="86" t="s">
        <v>12363</v>
      </c>
      <c r="G3755" s="86" t="s">
        <v>175</v>
      </c>
      <c r="H3755" s="96" t="s">
        <v>213</v>
      </c>
      <c r="I3755" s="97" t="s">
        <v>714</v>
      </c>
      <c r="J3755" s="73">
        <f t="shared" si="440"/>
        <v>1</v>
      </c>
      <c r="K3755" s="74" t="s">
        <v>204</v>
      </c>
      <c r="L3755" s="97" t="s">
        <v>7072</v>
      </c>
      <c r="N3755" s="76" t="s">
        <v>18</v>
      </c>
      <c r="Q3755" s="76" t="s">
        <v>2076</v>
      </c>
      <c r="R3755" s="73">
        <f t="shared" si="441"/>
        <v>1</v>
      </c>
      <c r="S3755" s="260" t="s">
        <v>1976</v>
      </c>
      <c r="T3755" s="260" t="s">
        <v>925</v>
      </c>
      <c r="Y3755" s="566">
        <v>0.47311342592592592</v>
      </c>
      <c r="Z3755" s="566">
        <v>0.48221064814814812</v>
      </c>
      <c r="AA3755" s="566">
        <f t="shared" si="442"/>
        <v>9.097222222222201E-3</v>
      </c>
    </row>
    <row r="3756" spans="1:27" x14ac:dyDescent="0.3">
      <c r="A3756" s="79" t="s">
        <v>12294</v>
      </c>
      <c r="C3756" s="115">
        <v>44116</v>
      </c>
      <c r="D3756" s="312">
        <v>44152</v>
      </c>
      <c r="E3756" s="81">
        <v>44146</v>
      </c>
      <c r="F3756" s="86" t="s">
        <v>12364</v>
      </c>
      <c r="G3756" s="86" t="s">
        <v>154</v>
      </c>
      <c r="H3756" s="96" t="s">
        <v>213</v>
      </c>
      <c r="I3756" s="97" t="s">
        <v>722</v>
      </c>
      <c r="J3756" s="73">
        <f t="shared" si="440"/>
        <v>1</v>
      </c>
      <c r="K3756" s="74" t="s">
        <v>204</v>
      </c>
      <c r="L3756" s="97" t="s">
        <v>12460</v>
      </c>
      <c r="N3756" s="76" t="s">
        <v>17</v>
      </c>
      <c r="Q3756" s="76" t="s">
        <v>12424</v>
      </c>
      <c r="R3756" s="73">
        <f t="shared" si="441"/>
        <v>1</v>
      </c>
      <c r="S3756" s="260" t="s">
        <v>1976</v>
      </c>
      <c r="T3756" s="260" t="s">
        <v>923</v>
      </c>
      <c r="Y3756" s="566">
        <v>0.67260416666666656</v>
      </c>
      <c r="Z3756" s="566">
        <v>0.68899305555555557</v>
      </c>
      <c r="AA3756" s="566">
        <f t="shared" si="442"/>
        <v>1.6388888888889008E-2</v>
      </c>
    </row>
    <row r="3757" spans="1:27" x14ac:dyDescent="0.3">
      <c r="A3757" s="79" t="s">
        <v>12295</v>
      </c>
      <c r="C3757" s="115">
        <v>44116</v>
      </c>
      <c r="D3757" s="312">
        <v>44152</v>
      </c>
      <c r="E3757" s="81">
        <v>44146</v>
      </c>
      <c r="F3757" s="86" t="s">
        <v>12365</v>
      </c>
      <c r="G3757" s="86" t="s">
        <v>157</v>
      </c>
      <c r="H3757" s="96" t="s">
        <v>213</v>
      </c>
      <c r="I3757" s="97" t="s">
        <v>649</v>
      </c>
      <c r="J3757" s="73">
        <f t="shared" si="440"/>
        <v>1</v>
      </c>
      <c r="K3757" s="74" t="s">
        <v>204</v>
      </c>
      <c r="L3757" s="97" t="s">
        <v>7058</v>
      </c>
      <c r="N3757" s="76" t="s">
        <v>17</v>
      </c>
      <c r="Q3757" s="76" t="s">
        <v>2076</v>
      </c>
      <c r="R3757" s="73">
        <f t="shared" si="441"/>
        <v>1</v>
      </c>
      <c r="S3757" s="260" t="s">
        <v>1976</v>
      </c>
      <c r="T3757" s="260" t="s">
        <v>923</v>
      </c>
      <c r="U3757" s="301" t="s">
        <v>5283</v>
      </c>
      <c r="V3757" s="301" t="s">
        <v>12488</v>
      </c>
      <c r="Y3757" s="566">
        <v>0.56134259259259256</v>
      </c>
      <c r="Z3757" s="566">
        <v>0.57498842592592592</v>
      </c>
      <c r="AA3757" s="566">
        <f t="shared" si="442"/>
        <v>1.3645833333333357E-2</v>
      </c>
    </row>
    <row r="3758" spans="1:27" x14ac:dyDescent="0.3">
      <c r="A3758" s="79" t="s">
        <v>12296</v>
      </c>
      <c r="C3758" s="115">
        <v>44116</v>
      </c>
      <c r="D3758" s="312">
        <v>44152</v>
      </c>
      <c r="E3758" s="81">
        <v>44146</v>
      </c>
      <c r="F3758" s="86" t="s">
        <v>12366</v>
      </c>
      <c r="G3758" s="86" t="s">
        <v>157</v>
      </c>
      <c r="H3758" s="96" t="s">
        <v>213</v>
      </c>
      <c r="I3758" s="97" t="s">
        <v>714</v>
      </c>
      <c r="J3758" s="73">
        <f t="shared" si="440"/>
        <v>1</v>
      </c>
      <c r="K3758" s="74" t="s">
        <v>204</v>
      </c>
      <c r="L3758" s="97" t="s">
        <v>7072</v>
      </c>
      <c r="N3758" s="76" t="s">
        <v>18</v>
      </c>
      <c r="Q3758" s="76" t="s">
        <v>2076</v>
      </c>
      <c r="R3758" s="73">
        <f t="shared" si="441"/>
        <v>1</v>
      </c>
      <c r="S3758" s="260" t="s">
        <v>1976</v>
      </c>
      <c r="T3758" s="260" t="s">
        <v>925</v>
      </c>
      <c r="Y3758" s="566">
        <v>0.59096064814814808</v>
      </c>
      <c r="Z3758" s="566">
        <v>0.59527777777777779</v>
      </c>
      <c r="AA3758" s="566">
        <f t="shared" si="442"/>
        <v>4.3171296296297124E-3</v>
      </c>
    </row>
    <row r="3759" spans="1:27" x14ac:dyDescent="0.3">
      <c r="A3759" s="79" t="s">
        <v>12297</v>
      </c>
      <c r="C3759" s="115">
        <v>44116</v>
      </c>
      <c r="D3759" s="312">
        <v>44152</v>
      </c>
      <c r="E3759" s="81">
        <v>44145</v>
      </c>
      <c r="F3759" s="86" t="s">
        <v>12367</v>
      </c>
      <c r="G3759" s="86" t="s">
        <v>156</v>
      </c>
      <c r="H3759" s="96" t="s">
        <v>213</v>
      </c>
      <c r="I3759" s="97" t="s">
        <v>714</v>
      </c>
      <c r="J3759" s="73">
        <f t="shared" si="440"/>
        <v>1</v>
      </c>
      <c r="K3759" s="74" t="s">
        <v>204</v>
      </c>
      <c r="L3759" s="97" t="s">
        <v>12438</v>
      </c>
      <c r="N3759" s="76" t="s">
        <v>18</v>
      </c>
      <c r="Q3759" s="76" t="s">
        <v>2142</v>
      </c>
      <c r="R3759" s="73">
        <f t="shared" si="441"/>
        <v>1</v>
      </c>
      <c r="S3759" s="260" t="s">
        <v>1976</v>
      </c>
      <c r="T3759" s="260" t="s">
        <v>925</v>
      </c>
      <c r="Y3759" s="566">
        <v>0.50659722222222225</v>
      </c>
      <c r="Z3759" s="566">
        <v>0.53297453703703701</v>
      </c>
      <c r="AA3759" s="566">
        <f t="shared" si="442"/>
        <v>2.6377314814814756E-2</v>
      </c>
    </row>
    <row r="3760" spans="1:27" x14ac:dyDescent="0.3">
      <c r="A3760" s="79" t="s">
        <v>12298</v>
      </c>
      <c r="C3760" s="115">
        <v>44116</v>
      </c>
      <c r="D3760" s="312">
        <v>44152</v>
      </c>
      <c r="E3760" s="81">
        <v>44145</v>
      </c>
      <c r="F3760" s="86" t="s">
        <v>12368</v>
      </c>
      <c r="G3760" s="86" t="s">
        <v>162</v>
      </c>
      <c r="H3760" s="96" t="s">
        <v>213</v>
      </c>
      <c r="I3760" s="97" t="s">
        <v>642</v>
      </c>
      <c r="J3760" s="73">
        <f t="shared" si="440"/>
        <v>1</v>
      </c>
      <c r="K3760" s="74" t="s">
        <v>204</v>
      </c>
      <c r="L3760" s="97" t="s">
        <v>8389</v>
      </c>
      <c r="N3760" s="76" t="s">
        <v>18</v>
      </c>
      <c r="Q3760" s="76" t="s">
        <v>2037</v>
      </c>
      <c r="R3760" s="73">
        <f t="shared" si="441"/>
        <v>1</v>
      </c>
      <c r="S3760" s="260" t="s">
        <v>1976</v>
      </c>
      <c r="T3760" s="260" t="s">
        <v>925</v>
      </c>
      <c r="Y3760" s="566">
        <v>0.76729166666666659</v>
      </c>
      <c r="Z3760" s="566">
        <v>0.77575231481481488</v>
      </c>
      <c r="AA3760" s="566">
        <f t="shared" si="442"/>
        <v>8.4606481481482865E-3</v>
      </c>
    </row>
    <row r="3761" spans="1:27" x14ac:dyDescent="0.3">
      <c r="A3761" s="79" t="s">
        <v>12299</v>
      </c>
      <c r="C3761" s="115">
        <v>44116</v>
      </c>
      <c r="D3761" s="312">
        <v>44152</v>
      </c>
      <c r="E3761" s="81">
        <v>44146</v>
      </c>
      <c r="F3761" s="86" t="s">
        <v>12369</v>
      </c>
      <c r="G3761" s="86" t="s">
        <v>172</v>
      </c>
      <c r="H3761" s="96" t="s">
        <v>213</v>
      </c>
      <c r="I3761" s="97" t="s">
        <v>642</v>
      </c>
      <c r="J3761" s="73">
        <f t="shared" si="440"/>
        <v>1</v>
      </c>
      <c r="K3761" s="74" t="s">
        <v>204</v>
      </c>
      <c r="L3761" s="97" t="s">
        <v>7108</v>
      </c>
      <c r="N3761" s="76" t="s">
        <v>18</v>
      </c>
      <c r="Q3761" s="76" t="s">
        <v>2076</v>
      </c>
      <c r="R3761" s="73">
        <f t="shared" si="441"/>
        <v>1</v>
      </c>
      <c r="S3761" s="260" t="s">
        <v>1976</v>
      </c>
      <c r="T3761" s="260" t="s">
        <v>923</v>
      </c>
      <c r="Y3761" s="566">
        <v>0.59896990740740741</v>
      </c>
      <c r="Z3761" s="566">
        <v>0.6095370370370371</v>
      </c>
      <c r="AA3761" s="566">
        <f t="shared" si="442"/>
        <v>1.056712962962969E-2</v>
      </c>
    </row>
    <row r="3762" spans="1:27" x14ac:dyDescent="0.3">
      <c r="A3762" s="79" t="s">
        <v>12300</v>
      </c>
      <c r="C3762" s="115">
        <v>44116</v>
      </c>
      <c r="D3762" s="312">
        <v>44152</v>
      </c>
      <c r="E3762" s="81">
        <v>44145</v>
      </c>
      <c r="F3762" s="86" t="s">
        <v>12370</v>
      </c>
      <c r="G3762" s="86" t="s">
        <v>9119</v>
      </c>
      <c r="H3762" s="96" t="s">
        <v>213</v>
      </c>
      <c r="I3762" s="97" t="s">
        <v>714</v>
      </c>
      <c r="J3762" s="73">
        <f t="shared" si="440"/>
        <v>1</v>
      </c>
      <c r="K3762" s="74" t="s">
        <v>204</v>
      </c>
      <c r="L3762" s="97" t="s">
        <v>12440</v>
      </c>
      <c r="N3762" s="76" t="s">
        <v>17</v>
      </c>
      <c r="Q3762" s="76" t="s">
        <v>2142</v>
      </c>
      <c r="R3762" s="73">
        <f t="shared" si="441"/>
        <v>1</v>
      </c>
      <c r="S3762" s="260" t="s">
        <v>1976</v>
      </c>
      <c r="T3762" s="260" t="s">
        <v>923</v>
      </c>
      <c r="Y3762" s="566">
        <v>0.53579861111111116</v>
      </c>
      <c r="Z3762" s="566">
        <v>0.54232638888888884</v>
      </c>
      <c r="AA3762" s="566">
        <f t="shared" si="442"/>
        <v>6.527777777777688E-3</v>
      </c>
    </row>
    <row r="3763" spans="1:27" x14ac:dyDescent="0.3">
      <c r="A3763" s="79" t="s">
        <v>12301</v>
      </c>
      <c r="C3763" s="115">
        <v>44116</v>
      </c>
      <c r="D3763" s="312">
        <v>44152</v>
      </c>
      <c r="E3763" s="81">
        <v>44146</v>
      </c>
      <c r="F3763" s="86" t="s">
        <v>12371</v>
      </c>
      <c r="G3763" s="86" t="s">
        <v>150</v>
      </c>
      <c r="H3763" s="96" t="s">
        <v>213</v>
      </c>
      <c r="I3763" s="97" t="s">
        <v>645</v>
      </c>
      <c r="J3763" s="73">
        <f t="shared" si="440"/>
        <v>1</v>
      </c>
      <c r="K3763" s="74" t="s">
        <v>204</v>
      </c>
      <c r="L3763" s="97" t="s">
        <v>10896</v>
      </c>
      <c r="N3763" s="76" t="s">
        <v>17</v>
      </c>
      <c r="Q3763" s="76" t="s">
        <v>12424</v>
      </c>
      <c r="R3763" s="73">
        <f t="shared" si="441"/>
        <v>1</v>
      </c>
      <c r="S3763" s="260" t="s">
        <v>1976</v>
      </c>
      <c r="T3763" s="260" t="s">
        <v>923</v>
      </c>
      <c r="Y3763" s="566">
        <v>0.68973379629629628</v>
      </c>
      <c r="Z3763" s="566">
        <v>0.70173611111111101</v>
      </c>
      <c r="AA3763" s="566">
        <f t="shared" si="442"/>
        <v>1.200231481481473E-2</v>
      </c>
    </row>
    <row r="3764" spans="1:27" x14ac:dyDescent="0.3">
      <c r="A3764" s="79" t="s">
        <v>12302</v>
      </c>
      <c r="C3764" s="115">
        <v>44116</v>
      </c>
      <c r="D3764" s="312">
        <v>44152</v>
      </c>
      <c r="E3764" s="81">
        <v>44146</v>
      </c>
      <c r="F3764" s="86" t="s">
        <v>12372</v>
      </c>
      <c r="G3764" s="86" t="s">
        <v>157</v>
      </c>
      <c r="H3764" s="96" t="s">
        <v>213</v>
      </c>
      <c r="I3764" s="97" t="s">
        <v>722</v>
      </c>
      <c r="J3764" s="73">
        <f t="shared" si="440"/>
        <v>1</v>
      </c>
      <c r="K3764" s="74" t="s">
        <v>204</v>
      </c>
      <c r="L3764" s="97" t="s">
        <v>12457</v>
      </c>
      <c r="N3764" s="76" t="s">
        <v>17</v>
      </c>
      <c r="Q3764" s="76" t="s">
        <v>2076</v>
      </c>
      <c r="R3764" s="73">
        <f t="shared" si="441"/>
        <v>1</v>
      </c>
      <c r="S3764" s="260" t="s">
        <v>1976</v>
      </c>
      <c r="T3764" s="260" t="s">
        <v>925</v>
      </c>
      <c r="Y3764" s="566">
        <v>0.60991898148148149</v>
      </c>
      <c r="Z3764" s="566">
        <v>0.61449074074074073</v>
      </c>
      <c r="AA3764" s="566">
        <f t="shared" si="442"/>
        <v>4.5717592592592338E-3</v>
      </c>
    </row>
    <row r="3765" spans="1:27" x14ac:dyDescent="0.3">
      <c r="A3765" s="79" t="s">
        <v>12303</v>
      </c>
      <c r="C3765" s="115">
        <v>44116</v>
      </c>
      <c r="D3765" s="312">
        <v>44152</v>
      </c>
      <c r="E3765" s="81">
        <v>44145</v>
      </c>
      <c r="F3765" s="86" t="s">
        <v>12373</v>
      </c>
      <c r="G3765" s="86" t="s">
        <v>3280</v>
      </c>
      <c r="H3765" s="96" t="s">
        <v>213</v>
      </c>
      <c r="I3765" s="97" t="s">
        <v>642</v>
      </c>
      <c r="J3765" s="73">
        <f t="shared" si="440"/>
        <v>1</v>
      </c>
      <c r="K3765" s="74" t="s">
        <v>204</v>
      </c>
      <c r="L3765" s="97" t="s">
        <v>7108</v>
      </c>
      <c r="N3765" s="76" t="s">
        <v>18</v>
      </c>
      <c r="Q3765" s="76" t="s">
        <v>2037</v>
      </c>
      <c r="R3765" s="73">
        <f t="shared" si="441"/>
        <v>1</v>
      </c>
      <c r="S3765" s="260" t="s">
        <v>1976</v>
      </c>
      <c r="T3765" s="260" t="s">
        <v>923</v>
      </c>
      <c r="Y3765" s="566">
        <v>0.77679398148148149</v>
      </c>
      <c r="Z3765" s="566">
        <v>0.78209490740740739</v>
      </c>
      <c r="AA3765" s="566">
        <f t="shared" si="442"/>
        <v>5.3009259259259034E-3</v>
      </c>
    </row>
    <row r="3766" spans="1:27" x14ac:dyDescent="0.3">
      <c r="A3766" s="79" t="s">
        <v>12304</v>
      </c>
      <c r="C3766" s="115">
        <v>44116</v>
      </c>
      <c r="D3766" s="312">
        <v>44152</v>
      </c>
      <c r="E3766" s="81">
        <v>44145</v>
      </c>
      <c r="F3766" s="86" t="s">
        <v>12374</v>
      </c>
      <c r="G3766" s="86" t="s">
        <v>150</v>
      </c>
      <c r="H3766" s="96" t="s">
        <v>213</v>
      </c>
      <c r="I3766" s="97" t="s">
        <v>995</v>
      </c>
      <c r="J3766" s="73">
        <f t="shared" si="440"/>
        <v>1</v>
      </c>
      <c r="K3766" s="74" t="s">
        <v>204</v>
      </c>
      <c r="L3766" s="97" t="s">
        <v>12447</v>
      </c>
      <c r="N3766" s="76" t="s">
        <v>19</v>
      </c>
      <c r="Q3766" s="76" t="s">
        <v>2142</v>
      </c>
      <c r="R3766" s="73">
        <f t="shared" si="441"/>
        <v>1</v>
      </c>
      <c r="S3766" s="260" t="s">
        <v>1976</v>
      </c>
      <c r="T3766" s="260" t="s">
        <v>923</v>
      </c>
      <c r="Y3766" s="566">
        <v>0.73340277777777774</v>
      </c>
      <c r="Z3766" s="566">
        <v>0.75893518518518521</v>
      </c>
      <c r="AA3766" s="566">
        <f t="shared" si="442"/>
        <v>2.5532407407407476E-2</v>
      </c>
    </row>
    <row r="3767" spans="1:27" x14ac:dyDescent="0.3">
      <c r="A3767" s="79" t="s">
        <v>12305</v>
      </c>
      <c r="C3767" s="115">
        <v>44117</v>
      </c>
      <c r="D3767" s="312">
        <v>44153</v>
      </c>
      <c r="E3767" s="81">
        <v>44146</v>
      </c>
      <c r="F3767" s="86" t="s">
        <v>12375</v>
      </c>
      <c r="G3767" s="86" t="s">
        <v>3280</v>
      </c>
      <c r="H3767" s="96" t="s">
        <v>213</v>
      </c>
      <c r="I3767" s="97" t="s">
        <v>714</v>
      </c>
      <c r="J3767" s="73">
        <f t="shared" si="440"/>
        <v>1</v>
      </c>
      <c r="K3767" s="74" t="s">
        <v>204</v>
      </c>
      <c r="L3767" s="97" t="s">
        <v>7336</v>
      </c>
      <c r="N3767" s="76" t="s">
        <v>18</v>
      </c>
      <c r="Q3767" s="76" t="s">
        <v>2037</v>
      </c>
      <c r="R3767" s="73">
        <f t="shared" si="441"/>
        <v>1</v>
      </c>
      <c r="S3767" s="260" t="s">
        <v>1976</v>
      </c>
      <c r="T3767" s="260" t="s">
        <v>925</v>
      </c>
      <c r="Y3767" s="566">
        <v>0.78902777777777777</v>
      </c>
      <c r="Z3767" s="566">
        <v>0.79347222222222225</v>
      </c>
      <c r="AA3767" s="566">
        <f t="shared" si="442"/>
        <v>4.4444444444444731E-3</v>
      </c>
    </row>
    <row r="3768" spans="1:27" x14ac:dyDescent="0.3">
      <c r="A3768" s="79" t="s">
        <v>12306</v>
      </c>
      <c r="C3768" s="115">
        <v>44116</v>
      </c>
      <c r="D3768" s="312">
        <v>44152</v>
      </c>
      <c r="E3768" s="81">
        <v>44146</v>
      </c>
      <c r="F3768" s="86" t="s">
        <v>12376</v>
      </c>
      <c r="G3768" s="86" t="s">
        <v>9119</v>
      </c>
      <c r="H3768" s="96" t="s">
        <v>213</v>
      </c>
      <c r="I3768" s="97" t="s">
        <v>714</v>
      </c>
      <c r="J3768" s="73">
        <f t="shared" si="440"/>
        <v>1</v>
      </c>
      <c r="K3768" s="74" t="s">
        <v>204</v>
      </c>
      <c r="L3768" s="97" t="s">
        <v>7072</v>
      </c>
      <c r="N3768" s="76" t="s">
        <v>18</v>
      </c>
      <c r="Q3768" s="76" t="s">
        <v>2142</v>
      </c>
      <c r="R3768" s="73">
        <f t="shared" si="441"/>
        <v>1</v>
      </c>
      <c r="S3768" s="260" t="s">
        <v>1976</v>
      </c>
      <c r="T3768" s="260" t="s">
        <v>925</v>
      </c>
      <c r="Y3768" s="566">
        <v>0.70224537037037038</v>
      </c>
      <c r="Z3768" s="566">
        <v>0.72112268518518519</v>
      </c>
      <c r="AA3768" s="566">
        <f t="shared" si="442"/>
        <v>1.8877314814814805E-2</v>
      </c>
    </row>
    <row r="3769" spans="1:27" x14ac:dyDescent="0.3">
      <c r="A3769" s="79" t="s">
        <v>12307</v>
      </c>
      <c r="C3769" s="115">
        <v>44117</v>
      </c>
      <c r="D3769" s="312">
        <v>44153</v>
      </c>
      <c r="E3769" s="81">
        <v>44146</v>
      </c>
      <c r="F3769" s="86" t="s">
        <v>12377</v>
      </c>
      <c r="G3769" s="86" t="s">
        <v>150</v>
      </c>
      <c r="H3769" s="96" t="s">
        <v>213</v>
      </c>
      <c r="I3769" s="97" t="s">
        <v>642</v>
      </c>
      <c r="J3769" s="73">
        <f t="shared" si="440"/>
        <v>1</v>
      </c>
      <c r="K3769" s="74" t="s">
        <v>204</v>
      </c>
      <c r="L3769" s="97" t="s">
        <v>12465</v>
      </c>
      <c r="N3769" s="76" t="s">
        <v>17</v>
      </c>
      <c r="Q3769" s="76" t="s">
        <v>2037</v>
      </c>
      <c r="R3769" s="73">
        <f t="shared" si="441"/>
        <v>1</v>
      </c>
      <c r="S3769" s="260" t="s">
        <v>1976</v>
      </c>
      <c r="T3769" s="260" t="s">
        <v>923</v>
      </c>
      <c r="Y3769" s="566">
        <v>0.80630787037037033</v>
      </c>
      <c r="Z3769" s="566">
        <v>0.81945601851851846</v>
      </c>
      <c r="AA3769" s="566">
        <f t="shared" si="442"/>
        <v>1.3148148148148131E-2</v>
      </c>
    </row>
    <row r="3770" spans="1:27" x14ac:dyDescent="0.3">
      <c r="A3770" s="79" t="s">
        <v>12308</v>
      </c>
      <c r="C3770" s="115">
        <v>44117</v>
      </c>
      <c r="D3770" s="312">
        <v>44153</v>
      </c>
      <c r="E3770" s="81">
        <v>44150</v>
      </c>
      <c r="F3770" s="86" t="s">
        <v>12378</v>
      </c>
      <c r="G3770" s="86" t="s">
        <v>154</v>
      </c>
      <c r="H3770" s="96" t="s">
        <v>213</v>
      </c>
      <c r="I3770" s="97" t="s">
        <v>657</v>
      </c>
      <c r="J3770" s="73">
        <f t="shared" si="440"/>
        <v>1</v>
      </c>
      <c r="K3770" s="74" t="s">
        <v>204</v>
      </c>
      <c r="L3770" s="97" t="s">
        <v>12494</v>
      </c>
      <c r="N3770" s="76" t="s">
        <v>17</v>
      </c>
      <c r="Q3770" s="76" t="s">
        <v>2076</v>
      </c>
      <c r="R3770" s="73">
        <f t="shared" si="441"/>
        <v>1</v>
      </c>
      <c r="S3770" s="260" t="s">
        <v>1976</v>
      </c>
      <c r="T3770" s="260" t="s">
        <v>923</v>
      </c>
      <c r="U3770" s="76" t="s">
        <v>5283</v>
      </c>
      <c r="V3770" s="301" t="s">
        <v>12495</v>
      </c>
      <c r="Y3770" s="566">
        <v>0.74281249999999999</v>
      </c>
      <c r="Z3770" s="566">
        <v>0.75151620370370376</v>
      </c>
      <c r="AA3770" s="566">
        <f t="shared" si="442"/>
        <v>8.703703703703769E-3</v>
      </c>
    </row>
    <row r="3771" spans="1:27" x14ac:dyDescent="0.3">
      <c r="A3771" s="79" t="s">
        <v>11677</v>
      </c>
      <c r="C3771" s="115">
        <v>44117</v>
      </c>
      <c r="D3771" s="312">
        <v>44153</v>
      </c>
      <c r="E3771" s="81">
        <v>44146</v>
      </c>
      <c r="F3771" s="86" t="s">
        <v>11735</v>
      </c>
      <c r="G3771" s="86" t="s">
        <v>154</v>
      </c>
      <c r="H3771" s="96" t="s">
        <v>213</v>
      </c>
      <c r="I3771" s="97" t="s">
        <v>714</v>
      </c>
      <c r="J3771" s="73">
        <f t="shared" si="440"/>
        <v>1</v>
      </c>
      <c r="K3771" s="74" t="s">
        <v>204</v>
      </c>
      <c r="L3771" s="97" t="s">
        <v>12464</v>
      </c>
      <c r="N3771" s="76" t="s">
        <v>17</v>
      </c>
      <c r="Q3771" s="76" t="s">
        <v>2142</v>
      </c>
      <c r="R3771" s="73">
        <f t="shared" si="441"/>
        <v>1</v>
      </c>
      <c r="S3771" s="260" t="s">
        <v>1976</v>
      </c>
      <c r="T3771" s="260" t="s">
        <v>925</v>
      </c>
      <c r="Y3771" s="566">
        <v>0.79386574074074068</v>
      </c>
      <c r="Z3771" s="566">
        <v>0.80541666666666656</v>
      </c>
      <c r="AA3771" s="566">
        <f t="shared" si="442"/>
        <v>1.1550925925925881E-2</v>
      </c>
    </row>
    <row r="3772" spans="1:27" x14ac:dyDescent="0.3">
      <c r="A3772" s="79" t="s">
        <v>12309</v>
      </c>
      <c r="C3772" s="115">
        <v>44117</v>
      </c>
      <c r="D3772" s="312">
        <v>44153</v>
      </c>
      <c r="E3772" s="81">
        <v>44145</v>
      </c>
      <c r="F3772" s="86" t="s">
        <v>12379</v>
      </c>
      <c r="G3772" s="86" t="s">
        <v>156</v>
      </c>
      <c r="H3772" s="96" t="s">
        <v>213</v>
      </c>
      <c r="I3772" s="97" t="s">
        <v>642</v>
      </c>
      <c r="J3772" s="73">
        <f t="shared" si="440"/>
        <v>1</v>
      </c>
      <c r="K3772" s="74" t="s">
        <v>204</v>
      </c>
      <c r="L3772" s="97" t="s">
        <v>7110</v>
      </c>
      <c r="N3772" s="76" t="s">
        <v>18</v>
      </c>
      <c r="Q3772" s="76" t="s">
        <v>12424</v>
      </c>
      <c r="R3772" s="73">
        <f t="shared" si="441"/>
        <v>1</v>
      </c>
      <c r="S3772" s="260" t="s">
        <v>1976</v>
      </c>
      <c r="T3772" s="260" t="s">
        <v>923</v>
      </c>
      <c r="U3772" s="76" t="s">
        <v>5283</v>
      </c>
      <c r="V3772" s="301" t="s">
        <v>12441</v>
      </c>
      <c r="Y3772" s="566">
        <v>0.54293981481481479</v>
      </c>
      <c r="Z3772" s="566">
        <v>0.55182870370370374</v>
      </c>
      <c r="AA3772" s="566">
        <f t="shared" si="442"/>
        <v>8.8888888888889461E-3</v>
      </c>
    </row>
    <row r="3773" spans="1:27" x14ac:dyDescent="0.3">
      <c r="A3773" s="79" t="s">
        <v>12310</v>
      </c>
      <c r="C3773" s="115">
        <v>44117</v>
      </c>
      <c r="D3773" s="312">
        <v>44153</v>
      </c>
      <c r="E3773" s="81">
        <v>44145</v>
      </c>
      <c r="F3773" s="86" t="s">
        <v>12380</v>
      </c>
      <c r="G3773" s="86" t="s">
        <v>11608</v>
      </c>
      <c r="H3773" s="96" t="s">
        <v>213</v>
      </c>
      <c r="I3773" s="97" t="s">
        <v>714</v>
      </c>
      <c r="J3773" s="73">
        <f t="shared" si="440"/>
        <v>1</v>
      </c>
      <c r="K3773" s="74" t="s">
        <v>204</v>
      </c>
      <c r="L3773" s="97" t="s">
        <v>7071</v>
      </c>
      <c r="N3773" s="76" t="s">
        <v>17</v>
      </c>
      <c r="Q3773" s="76" t="s">
        <v>12424</v>
      </c>
      <c r="R3773" s="73">
        <f t="shared" si="441"/>
        <v>1</v>
      </c>
      <c r="S3773" s="260" t="s">
        <v>1976</v>
      </c>
      <c r="T3773" s="260" t="s">
        <v>923</v>
      </c>
      <c r="U3773" s="76" t="s">
        <v>5283</v>
      </c>
      <c r="V3773" s="301" t="s">
        <v>12442</v>
      </c>
      <c r="Y3773" s="566">
        <v>0.55373842592592593</v>
      </c>
      <c r="Z3773" s="566">
        <v>0.56137731481481479</v>
      </c>
      <c r="AA3773" s="566">
        <f t="shared" si="442"/>
        <v>7.6388888888888618E-3</v>
      </c>
    </row>
    <row r="3774" spans="1:27" x14ac:dyDescent="0.3">
      <c r="A3774" s="79" t="s">
        <v>12311</v>
      </c>
      <c r="C3774" s="115">
        <v>44117</v>
      </c>
      <c r="D3774" s="312">
        <v>44153</v>
      </c>
      <c r="E3774" s="81">
        <v>44147</v>
      </c>
      <c r="F3774" s="86" t="s">
        <v>12381</v>
      </c>
      <c r="G3774" s="86" t="s">
        <v>152</v>
      </c>
      <c r="H3774" s="96" t="s">
        <v>213</v>
      </c>
      <c r="I3774" s="97" t="s">
        <v>7557</v>
      </c>
      <c r="J3774" s="73">
        <f t="shared" si="440"/>
        <v>1</v>
      </c>
      <c r="K3774" s="74" t="s">
        <v>204</v>
      </c>
      <c r="L3774" s="97" t="s">
        <v>12474</v>
      </c>
      <c r="N3774" s="76" t="s">
        <v>17</v>
      </c>
      <c r="Q3774" s="76" t="s">
        <v>2076</v>
      </c>
      <c r="R3774" s="73">
        <f t="shared" si="441"/>
        <v>1</v>
      </c>
      <c r="S3774" s="260" t="s">
        <v>1976</v>
      </c>
      <c r="T3774" s="260" t="s">
        <v>925</v>
      </c>
      <c r="U3774" s="301" t="s">
        <v>5283</v>
      </c>
      <c r="V3774" s="301" t="s">
        <v>12489</v>
      </c>
      <c r="Y3774" s="566">
        <v>0.59887731481481488</v>
      </c>
      <c r="Z3774" s="566">
        <v>0.6252199074074074</v>
      </c>
      <c r="AA3774" s="566">
        <f t="shared" si="442"/>
        <v>2.6342592592592529E-2</v>
      </c>
    </row>
    <row r="3775" spans="1:27" x14ac:dyDescent="0.3">
      <c r="A3775" s="79" t="s">
        <v>11680</v>
      </c>
      <c r="C3775" s="115">
        <v>44117</v>
      </c>
      <c r="D3775" s="312">
        <v>44153</v>
      </c>
      <c r="E3775" s="81">
        <v>44147</v>
      </c>
      <c r="F3775" s="86" t="s">
        <v>11738</v>
      </c>
      <c r="G3775" s="86" t="s">
        <v>6493</v>
      </c>
      <c r="H3775" s="96" t="s">
        <v>213</v>
      </c>
      <c r="I3775" s="97" t="s">
        <v>722</v>
      </c>
      <c r="J3775" s="73">
        <f t="shared" si="440"/>
        <v>1</v>
      </c>
      <c r="K3775" s="74" t="s">
        <v>204</v>
      </c>
      <c r="L3775" s="97" t="s">
        <v>12466</v>
      </c>
      <c r="N3775" s="76" t="s">
        <v>18</v>
      </c>
      <c r="Q3775" s="76" t="s">
        <v>2142</v>
      </c>
      <c r="R3775" s="73">
        <f t="shared" si="441"/>
        <v>1</v>
      </c>
      <c r="S3775" s="260" t="s">
        <v>1976</v>
      </c>
      <c r="T3775" s="260" t="s">
        <v>925</v>
      </c>
      <c r="Y3775" s="566">
        <v>0.40563657407407411</v>
      </c>
      <c r="Z3775" s="566">
        <v>0.40968749999999998</v>
      </c>
      <c r="AA3775" s="566">
        <f t="shared" si="442"/>
        <v>4.0509259259258745E-3</v>
      </c>
    </row>
    <row r="3776" spans="1:27" x14ac:dyDescent="0.3">
      <c r="A3776" s="79" t="s">
        <v>12312</v>
      </c>
      <c r="C3776" s="115">
        <v>44117</v>
      </c>
      <c r="D3776" s="312">
        <v>44153</v>
      </c>
      <c r="E3776" s="81">
        <v>44147</v>
      </c>
      <c r="F3776" s="86" t="s">
        <v>12382</v>
      </c>
      <c r="G3776" s="86" t="s">
        <v>1682</v>
      </c>
      <c r="H3776" s="96" t="s">
        <v>213</v>
      </c>
      <c r="I3776" s="97" t="s">
        <v>645</v>
      </c>
      <c r="J3776" s="73">
        <f t="shared" si="440"/>
        <v>1</v>
      </c>
      <c r="K3776" s="74" t="s">
        <v>204</v>
      </c>
      <c r="L3776" s="97" t="s">
        <v>7117</v>
      </c>
      <c r="N3776" s="76" t="s">
        <v>18</v>
      </c>
      <c r="Q3776" s="76" t="s">
        <v>2142</v>
      </c>
      <c r="R3776" s="73">
        <f t="shared" si="441"/>
        <v>1</v>
      </c>
      <c r="S3776" s="260" t="s">
        <v>1976</v>
      </c>
      <c r="T3776" s="260" t="s">
        <v>923</v>
      </c>
      <c r="Y3776" s="566">
        <v>0.43843750000000004</v>
      </c>
      <c r="Z3776" s="566">
        <v>0.4410648148148148</v>
      </c>
      <c r="AA3776" s="566">
        <f t="shared" si="442"/>
        <v>2.6273148148147629E-3</v>
      </c>
    </row>
    <row r="3777" spans="1:27" x14ac:dyDescent="0.3">
      <c r="A3777" s="79" t="s">
        <v>12313</v>
      </c>
      <c r="C3777" s="115">
        <v>44118</v>
      </c>
      <c r="D3777" s="312">
        <v>44154</v>
      </c>
      <c r="E3777" s="81">
        <v>44147</v>
      </c>
      <c r="F3777" s="86" t="s">
        <v>12383</v>
      </c>
      <c r="G3777" s="86" t="s">
        <v>3014</v>
      </c>
      <c r="H3777" s="96" t="s">
        <v>213</v>
      </c>
      <c r="I3777" s="97" t="s">
        <v>642</v>
      </c>
      <c r="J3777" s="73">
        <f t="shared" si="440"/>
        <v>1</v>
      </c>
      <c r="K3777" s="74" t="s">
        <v>204</v>
      </c>
      <c r="L3777" s="97" t="s">
        <v>12470</v>
      </c>
      <c r="N3777" s="76" t="s">
        <v>18</v>
      </c>
      <c r="Q3777" s="76" t="s">
        <v>2037</v>
      </c>
      <c r="R3777" s="73">
        <f t="shared" si="441"/>
        <v>1</v>
      </c>
      <c r="S3777" s="260" t="s">
        <v>1976</v>
      </c>
      <c r="T3777" s="260" t="s">
        <v>925</v>
      </c>
      <c r="Y3777" s="566">
        <v>0.45332175925925927</v>
      </c>
      <c r="Z3777" s="566">
        <v>0.45564814814814819</v>
      </c>
      <c r="AA3777" s="566">
        <f t="shared" si="442"/>
        <v>2.3263888888889195E-3</v>
      </c>
    </row>
    <row r="3778" spans="1:27" x14ac:dyDescent="0.3">
      <c r="A3778" s="79" t="s">
        <v>12314</v>
      </c>
      <c r="C3778" s="115">
        <v>44118</v>
      </c>
      <c r="D3778" s="312">
        <v>44154</v>
      </c>
      <c r="E3778" s="81">
        <v>44145</v>
      </c>
      <c r="F3778" s="86" t="s">
        <v>12384</v>
      </c>
      <c r="G3778" s="86" t="s">
        <v>150</v>
      </c>
      <c r="H3778" s="96" t="s">
        <v>213</v>
      </c>
      <c r="I3778" s="97" t="s">
        <v>714</v>
      </c>
      <c r="J3778" s="73">
        <f t="shared" si="440"/>
        <v>1</v>
      </c>
      <c r="K3778" s="74" t="s">
        <v>204</v>
      </c>
      <c r="L3778" s="97" t="s">
        <v>7072</v>
      </c>
      <c r="N3778" s="76" t="s">
        <v>17</v>
      </c>
      <c r="Q3778" s="76" t="s">
        <v>12424</v>
      </c>
      <c r="R3778" s="73">
        <f t="shared" si="441"/>
        <v>1</v>
      </c>
      <c r="S3778" s="260" t="s">
        <v>1976</v>
      </c>
      <c r="T3778" s="260" t="s">
        <v>925</v>
      </c>
      <c r="Y3778" s="566">
        <v>0.56556712962962963</v>
      </c>
      <c r="Z3778" s="566">
        <v>0.57356481481481481</v>
      </c>
      <c r="AA3778" s="566">
        <f t="shared" si="442"/>
        <v>7.9976851851851771E-3</v>
      </c>
    </row>
    <row r="3779" spans="1:27" x14ac:dyDescent="0.3">
      <c r="A3779" s="79" t="s">
        <v>12315</v>
      </c>
      <c r="C3779" s="115">
        <v>44118</v>
      </c>
      <c r="D3779" s="312">
        <v>44154</v>
      </c>
      <c r="E3779" s="81">
        <v>44147</v>
      </c>
      <c r="F3779" s="86" t="s">
        <v>12385</v>
      </c>
      <c r="G3779" s="86" t="s">
        <v>9119</v>
      </c>
      <c r="H3779" s="96" t="s">
        <v>213</v>
      </c>
      <c r="I3779" s="97" t="s">
        <v>714</v>
      </c>
      <c r="J3779" s="73">
        <f t="shared" si="440"/>
        <v>1</v>
      </c>
      <c r="K3779" s="74" t="s">
        <v>204</v>
      </c>
      <c r="L3779" s="97" t="s">
        <v>12468</v>
      </c>
      <c r="N3779" s="76" t="s">
        <v>17</v>
      </c>
      <c r="Q3779" s="76" t="s">
        <v>2142</v>
      </c>
      <c r="R3779" s="73">
        <f t="shared" si="441"/>
        <v>1</v>
      </c>
      <c r="S3779" s="260" t="s">
        <v>1976</v>
      </c>
      <c r="T3779" s="260" t="s">
        <v>923</v>
      </c>
      <c r="Y3779" s="566">
        <v>0.44796296296296295</v>
      </c>
      <c r="Z3779" s="566">
        <v>0.45068287037037041</v>
      </c>
      <c r="AA3779" s="566">
        <f t="shared" si="442"/>
        <v>2.7199074074074625E-3</v>
      </c>
    </row>
    <row r="3780" spans="1:27" x14ac:dyDescent="0.3">
      <c r="A3780" s="79" t="s">
        <v>12316</v>
      </c>
      <c r="C3780" s="115">
        <v>44118</v>
      </c>
      <c r="D3780" s="312">
        <v>44154</v>
      </c>
      <c r="E3780" s="81">
        <v>44145</v>
      </c>
      <c r="F3780" s="86" t="s">
        <v>12386</v>
      </c>
      <c r="G3780" s="86" t="s">
        <v>173</v>
      </c>
      <c r="H3780" s="96" t="s">
        <v>213</v>
      </c>
      <c r="I3780" s="97" t="s">
        <v>642</v>
      </c>
      <c r="J3780" s="73">
        <f t="shared" si="440"/>
        <v>1</v>
      </c>
      <c r="K3780" s="74" t="s">
        <v>204</v>
      </c>
      <c r="L3780" s="97" t="s">
        <v>7108</v>
      </c>
      <c r="N3780" s="76" t="s">
        <v>18</v>
      </c>
      <c r="Q3780" s="76" t="s">
        <v>12424</v>
      </c>
      <c r="R3780" s="73">
        <f t="shared" si="441"/>
        <v>1</v>
      </c>
      <c r="S3780" s="260" t="s">
        <v>1976</v>
      </c>
      <c r="T3780" s="260" t="s">
        <v>925</v>
      </c>
      <c r="Y3780" s="566">
        <v>0.5740277777777778</v>
      </c>
      <c r="Z3780" s="566">
        <v>0.58561342592592591</v>
      </c>
      <c r="AA3780" s="566">
        <f t="shared" si="442"/>
        <v>1.1585648148148109E-2</v>
      </c>
    </row>
    <row r="3781" spans="1:27" x14ac:dyDescent="0.3">
      <c r="A3781" s="79" t="s">
        <v>12317</v>
      </c>
      <c r="C3781" s="115">
        <v>44118</v>
      </c>
      <c r="D3781" s="312">
        <v>44154</v>
      </c>
      <c r="E3781" s="81">
        <v>44152</v>
      </c>
      <c r="F3781" s="86" t="s">
        <v>12387</v>
      </c>
      <c r="G3781" s="86" t="s">
        <v>166</v>
      </c>
      <c r="H3781" s="79" t="s">
        <v>268</v>
      </c>
      <c r="I3781" s="97" t="s">
        <v>714</v>
      </c>
      <c r="J3781" s="73">
        <f t="shared" si="440"/>
        <v>1</v>
      </c>
      <c r="K3781" s="74" t="s">
        <v>204</v>
      </c>
      <c r="L3781" s="97" t="s">
        <v>7072</v>
      </c>
      <c r="N3781" s="76" t="s">
        <v>18</v>
      </c>
      <c r="Q3781" s="76" t="s">
        <v>2142</v>
      </c>
      <c r="R3781" s="73">
        <f t="shared" si="441"/>
        <v>1</v>
      </c>
      <c r="S3781" s="260" t="s">
        <v>1976</v>
      </c>
      <c r="T3781" s="260" t="s">
        <v>923</v>
      </c>
      <c r="Y3781" s="566">
        <v>0.46675925925925926</v>
      </c>
      <c r="Z3781" s="566">
        <v>0.5472569444444445</v>
      </c>
      <c r="AA3781" s="566">
        <f t="shared" si="442"/>
        <v>8.0497685185185242E-2</v>
      </c>
    </row>
    <row r="3782" spans="1:27" x14ac:dyDescent="0.3">
      <c r="A3782" s="79" t="s">
        <v>12318</v>
      </c>
      <c r="C3782" s="115">
        <v>44118</v>
      </c>
      <c r="D3782" s="312">
        <v>44154</v>
      </c>
      <c r="E3782" s="81">
        <v>44144</v>
      </c>
      <c r="F3782" s="86" t="s">
        <v>12388</v>
      </c>
      <c r="G3782" s="86" t="s">
        <v>152</v>
      </c>
      <c r="H3782" s="96" t="s">
        <v>213</v>
      </c>
      <c r="I3782" s="97" t="s">
        <v>642</v>
      </c>
      <c r="J3782" s="73">
        <f t="shared" si="440"/>
        <v>1</v>
      </c>
      <c r="K3782" s="74" t="s">
        <v>204</v>
      </c>
      <c r="L3782" s="97" t="s">
        <v>7110</v>
      </c>
      <c r="N3782" s="76" t="s">
        <v>18</v>
      </c>
      <c r="Q3782" s="76" t="s">
        <v>12424</v>
      </c>
      <c r="R3782" s="73">
        <f t="shared" si="441"/>
        <v>1</v>
      </c>
      <c r="S3782" s="260" t="s">
        <v>1976</v>
      </c>
      <c r="T3782" s="260" t="s">
        <v>925</v>
      </c>
      <c r="Y3782" s="566">
        <v>0.62174768518518519</v>
      </c>
      <c r="Z3782" s="566">
        <v>0.65649305555555559</v>
      </c>
      <c r="AA3782" s="566">
        <f t="shared" si="442"/>
        <v>3.4745370370370399E-2</v>
      </c>
    </row>
    <row r="3783" spans="1:27" x14ac:dyDescent="0.3">
      <c r="A3783" s="79" t="s">
        <v>12319</v>
      </c>
      <c r="C3783" s="115">
        <v>44118</v>
      </c>
      <c r="D3783" s="312">
        <v>44154</v>
      </c>
      <c r="E3783" s="81">
        <v>44147</v>
      </c>
      <c r="F3783" s="86" t="s">
        <v>12389</v>
      </c>
      <c r="G3783" s="86" t="s">
        <v>156</v>
      </c>
      <c r="H3783" s="96" t="s">
        <v>213</v>
      </c>
      <c r="I3783" s="97" t="s">
        <v>642</v>
      </c>
      <c r="J3783" s="73">
        <f t="shared" si="440"/>
        <v>1</v>
      </c>
      <c r="K3783" s="74" t="s">
        <v>204</v>
      </c>
      <c r="L3783" s="97" t="s">
        <v>12469</v>
      </c>
      <c r="N3783" s="76" t="s">
        <v>18</v>
      </c>
      <c r="Q3783" s="76" t="s">
        <v>2037</v>
      </c>
      <c r="R3783" s="73">
        <f t="shared" si="441"/>
        <v>1</v>
      </c>
      <c r="S3783" s="260" t="s">
        <v>1976</v>
      </c>
      <c r="T3783" s="260" t="s">
        <v>923</v>
      </c>
      <c r="Y3783" s="566">
        <v>0.45109953703703703</v>
      </c>
      <c r="Z3783" s="566">
        <v>0.4529050925925926</v>
      </c>
      <c r="AA3783" s="566">
        <f t="shared" si="442"/>
        <v>1.8055555555555602E-3</v>
      </c>
    </row>
    <row r="3784" spans="1:27" x14ac:dyDescent="0.3">
      <c r="A3784" s="79" t="s">
        <v>12320</v>
      </c>
      <c r="C3784" s="115">
        <v>44118</v>
      </c>
      <c r="D3784" s="312">
        <v>44154</v>
      </c>
      <c r="E3784" s="81">
        <v>44147</v>
      </c>
      <c r="F3784" s="86" t="s">
        <v>12390</v>
      </c>
      <c r="G3784" s="86" t="s">
        <v>154</v>
      </c>
      <c r="H3784" s="96" t="s">
        <v>213</v>
      </c>
      <c r="I3784" s="97" t="s">
        <v>2479</v>
      </c>
      <c r="J3784" s="73">
        <f t="shared" si="440"/>
        <v>1</v>
      </c>
      <c r="K3784" s="74" t="s">
        <v>204</v>
      </c>
      <c r="L3784" s="97" t="s">
        <v>12476</v>
      </c>
      <c r="N3784" s="76" t="s">
        <v>17</v>
      </c>
      <c r="Q3784" s="76" t="s">
        <v>2076</v>
      </c>
      <c r="R3784" s="73">
        <f t="shared" si="441"/>
        <v>1</v>
      </c>
      <c r="S3784" s="260" t="s">
        <v>1976</v>
      </c>
      <c r="T3784" s="260" t="s">
        <v>923</v>
      </c>
      <c r="U3784" s="76" t="s">
        <v>5283</v>
      </c>
      <c r="V3784" s="301" t="s">
        <v>12475</v>
      </c>
      <c r="Y3784" s="566">
        <v>0.6263657407407407</v>
      </c>
      <c r="Z3784" s="566">
        <v>0.66399305555555554</v>
      </c>
      <c r="AA3784" s="566">
        <f t="shared" si="442"/>
        <v>3.762731481481485E-2</v>
      </c>
    </row>
    <row r="3785" spans="1:27" x14ac:dyDescent="0.3">
      <c r="A3785" s="79" t="s">
        <v>12321</v>
      </c>
      <c r="C3785" s="115">
        <v>44118</v>
      </c>
      <c r="D3785" s="312">
        <v>44154</v>
      </c>
      <c r="E3785" s="81">
        <v>44152</v>
      </c>
      <c r="F3785" s="86" t="s">
        <v>12391</v>
      </c>
      <c r="G3785" s="86" t="s">
        <v>150</v>
      </c>
      <c r="H3785" s="96" t="s">
        <v>213</v>
      </c>
      <c r="I3785" s="97" t="s">
        <v>642</v>
      </c>
      <c r="J3785" s="73">
        <f t="shared" si="440"/>
        <v>1</v>
      </c>
      <c r="K3785" s="74" t="s">
        <v>204</v>
      </c>
      <c r="L3785" s="97" t="s">
        <v>12499</v>
      </c>
      <c r="N3785" s="76" t="s">
        <v>18</v>
      </c>
      <c r="Q3785" s="76" t="s">
        <v>2076</v>
      </c>
      <c r="R3785" s="73">
        <f t="shared" si="441"/>
        <v>1</v>
      </c>
      <c r="S3785" s="260" t="s">
        <v>1976</v>
      </c>
      <c r="T3785" s="260" t="s">
        <v>925</v>
      </c>
      <c r="Y3785" s="566">
        <v>0.43085648148148148</v>
      </c>
      <c r="Z3785" s="566">
        <v>0.43790509259259264</v>
      </c>
      <c r="AA3785" s="566">
        <f t="shared" si="442"/>
        <v>7.0486111111111582E-3</v>
      </c>
    </row>
    <row r="3786" spans="1:27" x14ac:dyDescent="0.3">
      <c r="A3786" s="79" t="s">
        <v>12322</v>
      </c>
      <c r="C3786" s="115">
        <v>44119</v>
      </c>
      <c r="D3786" s="312">
        <v>44155</v>
      </c>
      <c r="E3786" s="81">
        <v>44148</v>
      </c>
      <c r="F3786" s="86" t="s">
        <v>12392</v>
      </c>
      <c r="G3786" s="86" t="s">
        <v>150</v>
      </c>
      <c r="H3786" s="96" t="s">
        <v>213</v>
      </c>
      <c r="I3786" s="97" t="s">
        <v>714</v>
      </c>
      <c r="J3786" s="73">
        <f t="shared" si="440"/>
        <v>1</v>
      </c>
      <c r="K3786" s="74" t="s">
        <v>204</v>
      </c>
      <c r="L3786" s="97" t="s">
        <v>12491</v>
      </c>
      <c r="N3786" s="76" t="s">
        <v>18</v>
      </c>
      <c r="Q3786" s="76" t="s">
        <v>2142</v>
      </c>
      <c r="R3786" s="73">
        <f t="shared" si="441"/>
        <v>1</v>
      </c>
      <c r="S3786" s="260" t="s">
        <v>1976</v>
      </c>
      <c r="T3786" s="260" t="s">
        <v>925</v>
      </c>
      <c r="Y3786" s="566">
        <v>0.7240509259259259</v>
      </c>
      <c r="Z3786" s="566">
        <v>0.75413194444444442</v>
      </c>
      <c r="AA3786" s="566">
        <f t="shared" si="442"/>
        <v>3.0081018518518521E-2</v>
      </c>
    </row>
    <row r="3787" spans="1:27" x14ac:dyDescent="0.3">
      <c r="A3787" s="79" t="s">
        <v>12323</v>
      </c>
      <c r="C3787" s="115">
        <v>44118</v>
      </c>
      <c r="D3787" s="312">
        <v>44154</v>
      </c>
      <c r="E3787" s="81">
        <v>44152</v>
      </c>
      <c r="F3787" s="86" t="s">
        <v>12393</v>
      </c>
      <c r="G3787" s="86" t="s">
        <v>152</v>
      </c>
      <c r="H3787" s="96" t="s">
        <v>213</v>
      </c>
      <c r="I3787" s="97" t="s">
        <v>8403</v>
      </c>
      <c r="J3787" s="73">
        <f t="shared" si="440"/>
        <v>1</v>
      </c>
      <c r="K3787" s="74" t="s">
        <v>204</v>
      </c>
      <c r="L3787" s="97" t="s">
        <v>12502</v>
      </c>
      <c r="N3787" s="76" t="s">
        <v>19</v>
      </c>
      <c r="Q3787" s="76" t="s">
        <v>2076</v>
      </c>
      <c r="R3787" s="73">
        <f t="shared" si="441"/>
        <v>1</v>
      </c>
      <c r="S3787" s="260" t="s">
        <v>1976</v>
      </c>
      <c r="T3787" s="260" t="s">
        <v>923</v>
      </c>
      <c r="U3787" s="76" t="s">
        <v>5283</v>
      </c>
      <c r="V3787" s="301" t="s">
        <v>12503</v>
      </c>
      <c r="Y3787" s="566">
        <v>0.45</v>
      </c>
      <c r="Z3787" s="566">
        <v>0.46592592592592591</v>
      </c>
      <c r="AA3787" s="566">
        <f t="shared" si="442"/>
        <v>1.5925925925925899E-2</v>
      </c>
    </row>
    <row r="3788" spans="1:27" x14ac:dyDescent="0.3">
      <c r="A3788" s="79" t="s">
        <v>12324</v>
      </c>
      <c r="C3788" s="115">
        <v>44119</v>
      </c>
      <c r="D3788" s="312">
        <v>44155</v>
      </c>
      <c r="E3788" s="81">
        <v>44152</v>
      </c>
      <c r="F3788" s="86" t="s">
        <v>12394</v>
      </c>
      <c r="G3788" s="86" t="s">
        <v>152</v>
      </c>
      <c r="H3788" s="96" t="s">
        <v>213</v>
      </c>
      <c r="I3788" s="97" t="s">
        <v>714</v>
      </c>
      <c r="J3788" s="73">
        <f t="shared" si="440"/>
        <v>1</v>
      </c>
      <c r="K3788" s="74" t="s">
        <v>204</v>
      </c>
      <c r="L3788" s="97" t="s">
        <v>12500</v>
      </c>
      <c r="N3788" s="76" t="s">
        <v>17</v>
      </c>
      <c r="Q3788" s="76" t="s">
        <v>2076</v>
      </c>
      <c r="R3788" s="73">
        <f t="shared" si="441"/>
        <v>1</v>
      </c>
      <c r="S3788" s="260" t="s">
        <v>1976</v>
      </c>
      <c r="T3788" s="260" t="s">
        <v>923</v>
      </c>
      <c r="U3788" s="76" t="s">
        <v>5283</v>
      </c>
      <c r="V3788" s="301" t="s">
        <v>12501</v>
      </c>
      <c r="Y3788" s="566">
        <v>0.43939814814814815</v>
      </c>
      <c r="Z3788" s="566">
        <v>0.44952546296296297</v>
      </c>
      <c r="AA3788" s="566">
        <f t="shared" si="442"/>
        <v>1.0127314814814825E-2</v>
      </c>
    </row>
    <row r="3789" spans="1:27" x14ac:dyDescent="0.3">
      <c r="A3789" s="79" t="s">
        <v>12325</v>
      </c>
      <c r="C3789" s="115">
        <v>44119</v>
      </c>
      <c r="D3789" s="312">
        <v>44155</v>
      </c>
      <c r="E3789" s="81">
        <v>44147</v>
      </c>
      <c r="F3789" s="86" t="s">
        <v>12395</v>
      </c>
      <c r="G3789" s="86" t="s">
        <v>9119</v>
      </c>
      <c r="H3789" s="96" t="s">
        <v>213</v>
      </c>
      <c r="I3789" s="97" t="s">
        <v>714</v>
      </c>
      <c r="J3789" s="73">
        <f t="shared" si="440"/>
        <v>1</v>
      </c>
      <c r="K3789" s="74" t="s">
        <v>204</v>
      </c>
      <c r="L3789" s="97" t="s">
        <v>7072</v>
      </c>
      <c r="N3789" s="76" t="s">
        <v>18</v>
      </c>
      <c r="Q3789" s="76" t="s">
        <v>2142</v>
      </c>
      <c r="R3789" s="73">
        <f t="shared" si="441"/>
        <v>1</v>
      </c>
      <c r="S3789" s="260" t="s">
        <v>1976</v>
      </c>
      <c r="T3789" s="260" t="s">
        <v>925</v>
      </c>
      <c r="Y3789" s="566">
        <v>0.68655092592592604</v>
      </c>
      <c r="Z3789" s="566">
        <v>0.68899305555555557</v>
      </c>
      <c r="AA3789" s="566">
        <f t="shared" si="442"/>
        <v>2.4421296296295303E-3</v>
      </c>
    </row>
    <row r="3790" spans="1:27" x14ac:dyDescent="0.3">
      <c r="A3790" s="79" t="s">
        <v>12326</v>
      </c>
      <c r="C3790" s="115">
        <v>44119</v>
      </c>
      <c r="D3790" s="312">
        <v>44155</v>
      </c>
      <c r="E3790" s="81">
        <v>44147</v>
      </c>
      <c r="F3790" s="86" t="s">
        <v>12396</v>
      </c>
      <c r="G3790" s="86" t="s">
        <v>9119</v>
      </c>
      <c r="H3790" s="96" t="s">
        <v>213</v>
      </c>
      <c r="I3790" s="97" t="s">
        <v>722</v>
      </c>
      <c r="J3790" s="73">
        <f t="shared" si="440"/>
        <v>1</v>
      </c>
      <c r="K3790" s="74" t="s">
        <v>204</v>
      </c>
      <c r="L3790" s="97" t="s">
        <v>12479</v>
      </c>
      <c r="N3790" s="76" t="s">
        <v>17</v>
      </c>
      <c r="Q3790" s="76" t="s">
        <v>2037</v>
      </c>
      <c r="R3790" s="73">
        <f t="shared" si="441"/>
        <v>1</v>
      </c>
      <c r="S3790" s="260" t="s">
        <v>1976</v>
      </c>
      <c r="T3790" s="260" t="s">
        <v>925</v>
      </c>
      <c r="Y3790" s="566">
        <v>0.69777777777777772</v>
      </c>
      <c r="Z3790" s="566">
        <v>0.70344907407407409</v>
      </c>
      <c r="AA3790" s="566">
        <f t="shared" si="442"/>
        <v>5.6712962962963687E-3</v>
      </c>
    </row>
    <row r="3791" spans="1:27" x14ac:dyDescent="0.3">
      <c r="A3791" s="79" t="s">
        <v>12327</v>
      </c>
      <c r="C3791" s="115">
        <v>44119</v>
      </c>
      <c r="D3791" s="312">
        <v>44155</v>
      </c>
      <c r="E3791" s="81">
        <v>44153</v>
      </c>
      <c r="F3791" s="86" t="s">
        <v>12397</v>
      </c>
      <c r="G3791" s="86" t="s">
        <v>152</v>
      </c>
      <c r="H3791" s="96" t="s">
        <v>213</v>
      </c>
      <c r="I3791" s="97" t="s">
        <v>714</v>
      </c>
      <c r="J3791" s="73">
        <f t="shared" si="440"/>
        <v>1</v>
      </c>
      <c r="K3791" s="74" t="s">
        <v>204</v>
      </c>
      <c r="L3791" s="97" t="s">
        <v>12505</v>
      </c>
      <c r="N3791" s="76" t="s">
        <v>17</v>
      </c>
      <c r="Q3791" s="76" t="s">
        <v>2142</v>
      </c>
      <c r="R3791" s="73">
        <f t="shared" si="441"/>
        <v>1</v>
      </c>
      <c r="S3791" s="260" t="s">
        <v>1976</v>
      </c>
      <c r="T3791" s="260" t="s">
        <v>923</v>
      </c>
      <c r="Y3791" s="566">
        <v>0.4264236111111111</v>
      </c>
      <c r="Z3791" s="566">
        <v>0.43331018518518521</v>
      </c>
      <c r="AA3791" s="566">
        <f t="shared" si="442"/>
        <v>6.8865740740741144E-3</v>
      </c>
    </row>
    <row r="3792" spans="1:27" x14ac:dyDescent="0.3">
      <c r="A3792" s="79" t="s">
        <v>12328</v>
      </c>
      <c r="C3792" s="115">
        <v>44119</v>
      </c>
      <c r="D3792" s="312">
        <v>44155</v>
      </c>
      <c r="E3792" s="81">
        <v>44146</v>
      </c>
      <c r="F3792" s="86" t="s">
        <v>12398</v>
      </c>
      <c r="G3792" s="86" t="s">
        <v>152</v>
      </c>
      <c r="H3792" s="96" t="s">
        <v>213</v>
      </c>
      <c r="I3792" s="97" t="s">
        <v>722</v>
      </c>
      <c r="J3792" s="73">
        <f t="shared" si="440"/>
        <v>1</v>
      </c>
      <c r="K3792" s="74" t="s">
        <v>204</v>
      </c>
      <c r="L3792" s="97" t="s">
        <v>12461</v>
      </c>
      <c r="N3792" s="76" t="s">
        <v>17</v>
      </c>
      <c r="Q3792" s="76" t="s">
        <v>12424</v>
      </c>
      <c r="R3792" s="73">
        <f t="shared" si="441"/>
        <v>1</v>
      </c>
      <c r="S3792" s="260" t="s">
        <v>1976</v>
      </c>
      <c r="T3792" s="260" t="s">
        <v>925</v>
      </c>
      <c r="Y3792" s="566">
        <v>0.7260416666666667</v>
      </c>
      <c r="Z3792" s="566">
        <v>0.75142361111111111</v>
      </c>
      <c r="AA3792" s="566">
        <f t="shared" si="442"/>
        <v>2.5381944444444415E-2</v>
      </c>
    </row>
    <row r="3793" spans="1:27" x14ac:dyDescent="0.3">
      <c r="A3793" s="79" t="s">
        <v>12329</v>
      </c>
      <c r="C3793" s="115">
        <v>44127</v>
      </c>
      <c r="D3793" s="312">
        <v>44151</v>
      </c>
      <c r="E3793" s="81">
        <v>44144</v>
      </c>
      <c r="F3793" s="86" t="s">
        <v>12399</v>
      </c>
      <c r="G3793" s="86" t="s">
        <v>157</v>
      </c>
      <c r="H3793" s="96" t="s">
        <v>213</v>
      </c>
      <c r="I3793" s="97" t="s">
        <v>622</v>
      </c>
      <c r="J3793" s="73">
        <f t="shared" si="440"/>
        <v>1</v>
      </c>
      <c r="K3793" s="74" t="s">
        <v>204</v>
      </c>
      <c r="L3793" s="97" t="s">
        <v>12433</v>
      </c>
      <c r="N3793" s="76" t="s">
        <v>19</v>
      </c>
      <c r="Q3793" s="76" t="s">
        <v>2142</v>
      </c>
      <c r="R3793" s="73">
        <f t="shared" si="441"/>
        <v>1</v>
      </c>
      <c r="S3793" s="260" t="s">
        <v>1976</v>
      </c>
      <c r="T3793" s="260" t="s">
        <v>923</v>
      </c>
      <c r="Y3793" s="566">
        <v>0.74152777777777779</v>
      </c>
      <c r="Z3793" s="566">
        <v>0.7480902777777777</v>
      </c>
      <c r="AA3793" s="566">
        <f t="shared" si="442"/>
        <v>6.5624999999999156E-3</v>
      </c>
    </row>
    <row r="3794" spans="1:27" x14ac:dyDescent="0.3">
      <c r="A3794" s="79" t="s">
        <v>12330</v>
      </c>
      <c r="C3794" s="115">
        <v>44127</v>
      </c>
      <c r="D3794" s="312">
        <v>44151</v>
      </c>
      <c r="E3794" s="81">
        <v>44148</v>
      </c>
      <c r="F3794" s="86" t="s">
        <v>12400</v>
      </c>
      <c r="G3794" s="86" t="s">
        <v>186</v>
      </c>
      <c r="H3794" s="96" t="s">
        <v>213</v>
      </c>
      <c r="I3794" s="97" t="s">
        <v>649</v>
      </c>
      <c r="J3794" s="73">
        <f t="shared" ref="J3794:J3817" si="443">IF(OR(K3794="Документы готовы",K3794="Запрос в ФО",K3794="ЭЗ",K3794="РЕШ",K3794="РЕШ шаблон"),0.1,IF(OR(K3794="ЭЗ согласование",K3794="РЕШ согласование"),0.3,IF(OR(K3794="ЭЗ согласовано",K3794="РЕШ согласовано",K3794="РЕШ подписано"),0.6,IF(OR(K3794="ЭЗ ПР согласование",K3794="РЕШ УВ согласование"),0.9,IF(OR(K3794="ЭЗ ПР DONE",K3794="РЕШ УВ DONE"),1,0)))))</f>
        <v>1</v>
      </c>
      <c r="K3794" s="74" t="s">
        <v>204</v>
      </c>
      <c r="L3794" s="97" t="s">
        <v>12480</v>
      </c>
      <c r="N3794" s="76" t="s">
        <v>17</v>
      </c>
      <c r="Q3794" s="76" t="s">
        <v>12424</v>
      </c>
      <c r="R3794" s="73">
        <f t="shared" ref="R3794:R3817" si="444">IF(S3794="В работе",0.3,IF(S3794="Отписано",0.6,IF(S3794="На доработку",0.9,IF(S3794="Согласовано",1,0))))</f>
        <v>1</v>
      </c>
      <c r="S3794" s="260" t="s">
        <v>1976</v>
      </c>
      <c r="T3794" s="260" t="s">
        <v>923</v>
      </c>
      <c r="Y3794" s="566">
        <v>0.41921296296296301</v>
      </c>
      <c r="Z3794" s="566">
        <v>0.42659722222222224</v>
      </c>
      <c r="AA3794" s="566">
        <f t="shared" ref="AA3794:AA3817" si="445">Z3794-Y3794</f>
        <v>7.3842592592592293E-3</v>
      </c>
    </row>
    <row r="3795" spans="1:27" x14ac:dyDescent="0.3">
      <c r="A3795" s="79" t="s">
        <v>12331</v>
      </c>
      <c r="C3795" s="115">
        <v>44127</v>
      </c>
      <c r="D3795" s="312">
        <v>44151</v>
      </c>
      <c r="E3795" s="81">
        <v>44147</v>
      </c>
      <c r="F3795" s="86" t="s">
        <v>12401</v>
      </c>
      <c r="G3795" s="86" t="s">
        <v>152</v>
      </c>
      <c r="H3795" s="79" t="s">
        <v>268</v>
      </c>
      <c r="I3795" s="97" t="s">
        <v>714</v>
      </c>
      <c r="J3795" s="73">
        <f t="shared" si="443"/>
        <v>1</v>
      </c>
      <c r="K3795" s="74" t="s">
        <v>204</v>
      </c>
      <c r="L3795" s="97" t="s">
        <v>12486</v>
      </c>
      <c r="N3795" s="76" t="s">
        <v>17</v>
      </c>
      <c r="Q3795" s="76" t="s">
        <v>2037</v>
      </c>
      <c r="R3795" s="73">
        <f t="shared" si="444"/>
        <v>1</v>
      </c>
      <c r="S3795" s="260" t="s">
        <v>1976</v>
      </c>
      <c r="T3795" s="260" t="s">
        <v>923</v>
      </c>
      <c r="U3795" s="76" t="s">
        <v>5283</v>
      </c>
      <c r="V3795" s="301" t="s">
        <v>12473</v>
      </c>
      <c r="Y3795" s="566">
        <v>0.55015046296296299</v>
      </c>
      <c r="Z3795" s="566">
        <v>0.58275462962962965</v>
      </c>
      <c r="AA3795" s="566">
        <f t="shared" si="445"/>
        <v>3.2604166666666656E-2</v>
      </c>
    </row>
    <row r="3796" spans="1:27" x14ac:dyDescent="0.3">
      <c r="A3796" s="79" t="s">
        <v>12332</v>
      </c>
      <c r="C3796" s="115">
        <v>44127</v>
      </c>
      <c r="D3796" s="312">
        <v>44151</v>
      </c>
      <c r="E3796" s="81">
        <v>44145</v>
      </c>
      <c r="F3796" s="86" t="s">
        <v>12402</v>
      </c>
      <c r="G3796" s="86" t="s">
        <v>156</v>
      </c>
      <c r="H3796" s="96" t="s">
        <v>213</v>
      </c>
      <c r="I3796" s="97" t="s">
        <v>3475</v>
      </c>
      <c r="J3796" s="73">
        <f t="shared" si="443"/>
        <v>1</v>
      </c>
      <c r="K3796" s="74" t="s">
        <v>204</v>
      </c>
      <c r="L3796" s="97" t="s">
        <v>12448</v>
      </c>
      <c r="N3796" s="76" t="s">
        <v>19</v>
      </c>
      <c r="Q3796" s="76" t="s">
        <v>2037</v>
      </c>
      <c r="R3796" s="73">
        <f t="shared" si="444"/>
        <v>1</v>
      </c>
      <c r="S3796" s="260" t="s">
        <v>1976</v>
      </c>
      <c r="T3796" s="260" t="s">
        <v>925</v>
      </c>
      <c r="Y3796" s="566">
        <v>0.75962962962962965</v>
      </c>
      <c r="Z3796" s="566">
        <v>0.76578703703703699</v>
      </c>
      <c r="AA3796" s="566">
        <f t="shared" si="445"/>
        <v>6.1574074074073337E-3</v>
      </c>
    </row>
    <row r="3797" spans="1:27" x14ac:dyDescent="0.3">
      <c r="A3797" s="79" t="s">
        <v>12333</v>
      </c>
      <c r="C3797" s="115">
        <v>44127</v>
      </c>
      <c r="D3797" s="312">
        <v>44151</v>
      </c>
      <c r="E3797" s="81">
        <v>44145</v>
      </c>
      <c r="F3797" s="86" t="s">
        <v>12403</v>
      </c>
      <c r="G3797" s="86" t="s">
        <v>152</v>
      </c>
      <c r="H3797" s="96" t="s">
        <v>213</v>
      </c>
      <c r="I3797" s="97" t="s">
        <v>649</v>
      </c>
      <c r="J3797" s="73">
        <f t="shared" si="443"/>
        <v>1</v>
      </c>
      <c r="K3797" s="74" t="s">
        <v>204</v>
      </c>
      <c r="L3797" s="97" t="s">
        <v>12437</v>
      </c>
      <c r="N3797" s="76" t="s">
        <v>18</v>
      </c>
      <c r="Q3797" s="76" t="s">
        <v>2076</v>
      </c>
      <c r="R3797" s="73">
        <f t="shared" si="444"/>
        <v>1</v>
      </c>
      <c r="S3797" s="260" t="s">
        <v>1976</v>
      </c>
      <c r="T3797" s="260" t="s">
        <v>925</v>
      </c>
      <c r="U3797" s="76" t="s">
        <v>5283</v>
      </c>
      <c r="V3797" s="301" t="s">
        <v>12436</v>
      </c>
      <c r="Y3797" s="566">
        <v>0.46158564814814818</v>
      </c>
      <c r="Z3797" s="566">
        <v>0.47222222222222227</v>
      </c>
      <c r="AA3797" s="566">
        <f t="shared" si="445"/>
        <v>1.063657407407409E-2</v>
      </c>
    </row>
    <row r="3798" spans="1:27" x14ac:dyDescent="0.3">
      <c r="A3798" s="79" t="s">
        <v>12334</v>
      </c>
      <c r="C3798" s="115">
        <v>44130</v>
      </c>
      <c r="D3798" s="312">
        <v>44152</v>
      </c>
      <c r="E3798" s="81">
        <v>44148</v>
      </c>
      <c r="F3798" s="86" t="s">
        <v>12404</v>
      </c>
      <c r="G3798" s="86" t="s">
        <v>150</v>
      </c>
      <c r="H3798" s="79" t="s">
        <v>268</v>
      </c>
      <c r="I3798" s="97" t="s">
        <v>649</v>
      </c>
      <c r="J3798" s="73">
        <f t="shared" si="443"/>
        <v>1</v>
      </c>
      <c r="K3798" s="74" t="s">
        <v>204</v>
      </c>
      <c r="L3798" s="97" t="s">
        <v>7065</v>
      </c>
      <c r="N3798" s="76" t="s">
        <v>17</v>
      </c>
      <c r="Q3798" s="76" t="s">
        <v>2037</v>
      </c>
      <c r="R3798" s="73">
        <f t="shared" si="444"/>
        <v>1</v>
      </c>
      <c r="S3798" s="260" t="s">
        <v>1976</v>
      </c>
      <c r="T3798" s="260" t="s">
        <v>923</v>
      </c>
      <c r="U3798" s="76" t="s">
        <v>5283</v>
      </c>
      <c r="V3798" s="301" t="s">
        <v>12487</v>
      </c>
      <c r="Y3798" s="566">
        <v>0.57535879629629627</v>
      </c>
      <c r="Z3798" s="566">
        <v>0.67699074074074073</v>
      </c>
      <c r="AA3798" s="566">
        <f t="shared" si="445"/>
        <v>0.10163194444444446</v>
      </c>
    </row>
    <row r="3799" spans="1:27" x14ac:dyDescent="0.3">
      <c r="A3799" s="79" t="s">
        <v>12335</v>
      </c>
      <c r="C3799" s="115">
        <v>44130</v>
      </c>
      <c r="D3799" s="312">
        <v>44152</v>
      </c>
      <c r="E3799" s="81">
        <v>44148</v>
      </c>
      <c r="F3799" s="86" t="s">
        <v>12405</v>
      </c>
      <c r="G3799" s="86" t="s">
        <v>154</v>
      </c>
      <c r="H3799" s="96" t="s">
        <v>213</v>
      </c>
      <c r="I3799" s="97" t="s">
        <v>649</v>
      </c>
      <c r="J3799" s="73">
        <f t="shared" si="443"/>
        <v>1</v>
      </c>
      <c r="K3799" s="74" t="s">
        <v>204</v>
      </c>
      <c r="L3799" s="97" t="s">
        <v>12481</v>
      </c>
      <c r="N3799" s="76" t="s">
        <v>17</v>
      </c>
      <c r="Q3799" s="76" t="s">
        <v>12424</v>
      </c>
      <c r="R3799" s="73">
        <f t="shared" si="444"/>
        <v>1</v>
      </c>
      <c r="S3799" s="260" t="s">
        <v>1976</v>
      </c>
      <c r="T3799" s="260" t="s">
        <v>925</v>
      </c>
      <c r="Y3799" s="566">
        <v>0.4274074074074074</v>
      </c>
      <c r="Z3799" s="566">
        <v>0.43700231481481483</v>
      </c>
      <c r="AA3799" s="566">
        <f t="shared" si="445"/>
        <v>9.594907407407427E-3</v>
      </c>
    </row>
    <row r="3800" spans="1:27" x14ac:dyDescent="0.3">
      <c r="A3800" s="79" t="s">
        <v>12336</v>
      </c>
      <c r="C3800" s="115">
        <v>44130</v>
      </c>
      <c r="D3800" s="312">
        <v>44152</v>
      </c>
      <c r="E3800" s="81">
        <v>44145</v>
      </c>
      <c r="F3800" s="86" t="s">
        <v>12406</v>
      </c>
      <c r="G3800" s="86" t="s">
        <v>3280</v>
      </c>
      <c r="H3800" s="96" t="s">
        <v>213</v>
      </c>
      <c r="I3800" s="97" t="s">
        <v>649</v>
      </c>
      <c r="J3800" s="73">
        <f t="shared" si="443"/>
        <v>1</v>
      </c>
      <c r="K3800" s="74" t="s">
        <v>204</v>
      </c>
      <c r="L3800" s="97" t="s">
        <v>7060</v>
      </c>
      <c r="N3800" s="76" t="s">
        <v>17</v>
      </c>
      <c r="Q3800" s="76" t="s">
        <v>2037</v>
      </c>
      <c r="R3800" s="73">
        <f t="shared" si="444"/>
        <v>1</v>
      </c>
      <c r="S3800" s="260" t="s">
        <v>1976</v>
      </c>
      <c r="T3800" s="260" t="s">
        <v>925</v>
      </c>
      <c r="Y3800" s="566">
        <v>0.78506944444444438</v>
      </c>
      <c r="Z3800" s="566">
        <v>0.80210648148148145</v>
      </c>
      <c r="AA3800" s="566">
        <f t="shared" si="445"/>
        <v>1.7037037037037073E-2</v>
      </c>
    </row>
    <row r="3801" spans="1:27" x14ac:dyDescent="0.3">
      <c r="A3801" s="79" t="s">
        <v>12337</v>
      </c>
      <c r="C3801" s="115">
        <v>44130</v>
      </c>
      <c r="D3801" s="312">
        <v>44153</v>
      </c>
      <c r="E3801" s="81">
        <v>44147</v>
      </c>
      <c r="F3801" s="86" t="s">
        <v>12407</v>
      </c>
      <c r="G3801" s="86" t="s">
        <v>11608</v>
      </c>
      <c r="H3801" s="96" t="s">
        <v>213</v>
      </c>
      <c r="I3801" s="97" t="s">
        <v>995</v>
      </c>
      <c r="J3801" s="73">
        <f t="shared" si="443"/>
        <v>1</v>
      </c>
      <c r="K3801" s="74" t="s">
        <v>204</v>
      </c>
      <c r="L3801" s="97" t="s">
        <v>12467</v>
      </c>
      <c r="N3801" s="76" t="s">
        <v>19</v>
      </c>
      <c r="Q3801" s="76" t="s">
        <v>2142</v>
      </c>
      <c r="R3801" s="73">
        <f t="shared" si="444"/>
        <v>1</v>
      </c>
      <c r="S3801" s="260" t="s">
        <v>1976</v>
      </c>
      <c r="T3801" s="260" t="s">
        <v>923</v>
      </c>
      <c r="Y3801" s="566">
        <v>0.4415162037037037</v>
      </c>
      <c r="Z3801" s="566">
        <v>0.4475925925925926</v>
      </c>
      <c r="AA3801" s="566">
        <f t="shared" si="445"/>
        <v>6.0763888888888951E-3</v>
      </c>
    </row>
    <row r="3802" spans="1:27" x14ac:dyDescent="0.3">
      <c r="A3802" s="79" t="s">
        <v>12338</v>
      </c>
      <c r="C3802" s="115">
        <v>44130</v>
      </c>
      <c r="D3802" s="312">
        <v>44152</v>
      </c>
      <c r="E3802" s="81">
        <v>44147</v>
      </c>
      <c r="F3802" s="86" t="s">
        <v>12408</v>
      </c>
      <c r="G3802" s="86" t="s">
        <v>154</v>
      </c>
      <c r="H3802" s="96" t="s">
        <v>213</v>
      </c>
      <c r="I3802" s="97" t="s">
        <v>3475</v>
      </c>
      <c r="J3802" s="73">
        <f t="shared" si="443"/>
        <v>1</v>
      </c>
      <c r="K3802" s="74" t="s">
        <v>204</v>
      </c>
      <c r="L3802" s="97" t="s">
        <v>11764</v>
      </c>
      <c r="N3802" s="76" t="s">
        <v>8990</v>
      </c>
      <c r="Q3802" s="76" t="s">
        <v>12424</v>
      </c>
      <c r="R3802" s="73">
        <f t="shared" si="444"/>
        <v>1</v>
      </c>
      <c r="S3802" s="260" t="s">
        <v>1976</v>
      </c>
      <c r="T3802" s="260" t="s">
        <v>925</v>
      </c>
      <c r="Y3802" s="566">
        <v>0.45635416666666667</v>
      </c>
      <c r="Z3802" s="566">
        <v>0.46026620370370369</v>
      </c>
      <c r="AA3802" s="566">
        <f t="shared" si="445"/>
        <v>3.9120370370370194E-3</v>
      </c>
    </row>
    <row r="3803" spans="1:27" x14ac:dyDescent="0.3">
      <c r="A3803" s="79" t="s">
        <v>12339</v>
      </c>
      <c r="C3803" s="115">
        <v>44130</v>
      </c>
      <c r="D3803" s="312">
        <v>44152</v>
      </c>
      <c r="E3803" s="81">
        <v>44146</v>
      </c>
      <c r="F3803" s="86" t="s">
        <v>12409</v>
      </c>
      <c r="G3803" s="86" t="s">
        <v>1384</v>
      </c>
      <c r="H3803" s="96" t="s">
        <v>213</v>
      </c>
      <c r="I3803" s="97" t="s">
        <v>995</v>
      </c>
      <c r="J3803" s="73">
        <f t="shared" si="443"/>
        <v>1</v>
      </c>
      <c r="K3803" s="74" t="s">
        <v>204</v>
      </c>
      <c r="L3803" s="97" t="s">
        <v>12462</v>
      </c>
      <c r="Q3803" s="76" t="s">
        <v>2076</v>
      </c>
      <c r="R3803" s="73">
        <f t="shared" si="444"/>
        <v>1</v>
      </c>
      <c r="S3803" s="260" t="s">
        <v>1976</v>
      </c>
      <c r="T3803" s="260" t="s">
        <v>925</v>
      </c>
      <c r="U3803" s="76" t="s">
        <v>5283</v>
      </c>
      <c r="V3803" s="301" t="s">
        <v>12458</v>
      </c>
      <c r="Y3803" s="566">
        <v>0.61493055555555554</v>
      </c>
      <c r="Z3803" s="566">
        <v>0.64043981481481482</v>
      </c>
      <c r="AA3803" s="566">
        <f t="shared" si="445"/>
        <v>2.5509259259259287E-2</v>
      </c>
    </row>
    <row r="3804" spans="1:27" x14ac:dyDescent="0.3">
      <c r="A3804" s="79" t="s">
        <v>12340</v>
      </c>
      <c r="C3804" s="115">
        <v>44130</v>
      </c>
      <c r="D3804" s="312">
        <v>44152</v>
      </c>
      <c r="E3804" s="81">
        <v>44146</v>
      </c>
      <c r="F3804" s="86" t="s">
        <v>12410</v>
      </c>
      <c r="G3804" s="86" t="s">
        <v>157</v>
      </c>
      <c r="H3804" s="96" t="s">
        <v>213</v>
      </c>
      <c r="I3804" s="97" t="s">
        <v>649</v>
      </c>
      <c r="J3804" s="73">
        <f t="shared" si="443"/>
        <v>1</v>
      </c>
      <c r="K3804" s="74" t="s">
        <v>204</v>
      </c>
      <c r="L3804" s="97" t="s">
        <v>12459</v>
      </c>
      <c r="N3804" s="76" t="s">
        <v>18</v>
      </c>
      <c r="Q3804" s="76" t="s">
        <v>2076</v>
      </c>
      <c r="R3804" s="73">
        <f t="shared" si="444"/>
        <v>1</v>
      </c>
      <c r="S3804" s="260" t="s">
        <v>1976</v>
      </c>
      <c r="T3804" s="260" t="s">
        <v>923</v>
      </c>
      <c r="Y3804" s="566">
        <v>0.64106481481481481</v>
      </c>
      <c r="Z3804" s="566">
        <v>0.67184027777777777</v>
      </c>
      <c r="AA3804" s="566">
        <f t="shared" si="445"/>
        <v>3.0775462962962963E-2</v>
      </c>
    </row>
    <row r="3805" spans="1:27" x14ac:dyDescent="0.3">
      <c r="A3805" s="96" t="s">
        <v>12341</v>
      </c>
      <c r="C3805" s="115">
        <v>44131</v>
      </c>
      <c r="D3805" s="312">
        <v>44153</v>
      </c>
      <c r="E3805" s="81">
        <v>44151</v>
      </c>
      <c r="F3805" s="86" t="s">
        <v>12411</v>
      </c>
      <c r="G3805" s="86" t="s">
        <v>410</v>
      </c>
      <c r="H3805" s="96" t="s">
        <v>3612</v>
      </c>
      <c r="I3805" s="97" t="s">
        <v>714</v>
      </c>
      <c r="J3805" s="73">
        <f t="shared" si="443"/>
        <v>1</v>
      </c>
      <c r="K3805" s="74" t="s">
        <v>204</v>
      </c>
      <c r="L3805" s="97" t="s">
        <v>12496</v>
      </c>
      <c r="N3805" s="76" t="s">
        <v>18</v>
      </c>
      <c r="Q3805" s="76" t="s">
        <v>2037</v>
      </c>
      <c r="R3805" s="73">
        <f t="shared" si="444"/>
        <v>1</v>
      </c>
      <c r="S3805" s="260" t="s">
        <v>1976</v>
      </c>
      <c r="T3805" s="260" t="s">
        <v>925</v>
      </c>
      <c r="Y3805" s="566">
        <v>0.34239583333333329</v>
      </c>
      <c r="Z3805" s="566">
        <v>0.37877314814814816</v>
      </c>
      <c r="AA3805" s="566">
        <f t="shared" si="445"/>
        <v>3.6377314814814876E-2</v>
      </c>
    </row>
    <row r="3806" spans="1:27" x14ac:dyDescent="0.3">
      <c r="A3806" s="79" t="s">
        <v>12342</v>
      </c>
      <c r="C3806" s="115">
        <v>44131</v>
      </c>
      <c r="D3806" s="312">
        <v>44153</v>
      </c>
      <c r="E3806" s="81">
        <v>44150</v>
      </c>
      <c r="F3806" s="86" t="s">
        <v>12412</v>
      </c>
      <c r="G3806" s="97" t="s">
        <v>8909</v>
      </c>
      <c r="H3806" s="96" t="s">
        <v>213</v>
      </c>
      <c r="I3806" s="97" t="s">
        <v>3187</v>
      </c>
      <c r="J3806" s="73">
        <f t="shared" si="443"/>
        <v>1</v>
      </c>
      <c r="K3806" s="74" t="s">
        <v>204</v>
      </c>
      <c r="L3806" s="97" t="s">
        <v>12492</v>
      </c>
      <c r="N3806" s="76" t="s">
        <v>19</v>
      </c>
      <c r="Q3806" s="76" t="s">
        <v>2076</v>
      </c>
      <c r="R3806" s="73">
        <f t="shared" si="444"/>
        <v>1</v>
      </c>
      <c r="S3806" s="260" t="s">
        <v>1976</v>
      </c>
      <c r="T3806" s="260" t="s">
        <v>925</v>
      </c>
      <c r="U3806" s="76" t="s">
        <v>5283</v>
      </c>
      <c r="V3806" s="301" t="s">
        <v>12493</v>
      </c>
      <c r="Y3806" s="566">
        <v>0.73469907407407409</v>
      </c>
      <c r="Z3806" s="566">
        <v>0.74187499999999995</v>
      </c>
      <c r="AA3806" s="566">
        <f t="shared" si="445"/>
        <v>7.1759259259258634E-3</v>
      </c>
    </row>
    <row r="3807" spans="1:27" x14ac:dyDescent="0.3">
      <c r="A3807" s="79" t="s">
        <v>12343</v>
      </c>
      <c r="C3807" s="115">
        <v>44131</v>
      </c>
      <c r="D3807" s="312">
        <v>44153</v>
      </c>
      <c r="E3807" s="81">
        <v>44148</v>
      </c>
      <c r="F3807" s="86" t="s">
        <v>12413</v>
      </c>
      <c r="G3807" s="86" t="s">
        <v>152</v>
      </c>
      <c r="H3807" s="96" t="s">
        <v>213</v>
      </c>
      <c r="I3807" s="97" t="s">
        <v>622</v>
      </c>
      <c r="J3807" s="73">
        <f t="shared" si="443"/>
        <v>1</v>
      </c>
      <c r="K3807" s="74" t="s">
        <v>204</v>
      </c>
      <c r="L3807" s="97" t="s">
        <v>8278</v>
      </c>
      <c r="N3807" s="76" t="s">
        <v>19</v>
      </c>
      <c r="Q3807" s="76" t="s">
        <v>12424</v>
      </c>
      <c r="R3807" s="73">
        <f t="shared" si="444"/>
        <v>1</v>
      </c>
      <c r="S3807" s="260" t="s">
        <v>1976</v>
      </c>
      <c r="T3807" s="260" t="s">
        <v>923</v>
      </c>
      <c r="Y3807" s="566">
        <v>0.44350694444444444</v>
      </c>
      <c r="Z3807" s="566">
        <v>0.44870370370370366</v>
      </c>
      <c r="AA3807" s="566">
        <f t="shared" si="445"/>
        <v>5.1967592592592204E-3</v>
      </c>
    </row>
    <row r="3808" spans="1:27" x14ac:dyDescent="0.3">
      <c r="A3808" s="79" t="s">
        <v>12344</v>
      </c>
      <c r="C3808" s="115">
        <v>44132</v>
      </c>
      <c r="D3808" s="312">
        <v>44154</v>
      </c>
      <c r="E3808" s="81">
        <v>44148</v>
      </c>
      <c r="F3808" s="86" t="s">
        <v>12414</v>
      </c>
      <c r="G3808" s="86" t="s">
        <v>156</v>
      </c>
      <c r="H3808" s="96" t="s">
        <v>213</v>
      </c>
      <c r="I3808" s="97" t="s">
        <v>3187</v>
      </c>
      <c r="J3808" s="73">
        <f t="shared" si="443"/>
        <v>1</v>
      </c>
      <c r="K3808" s="74" t="s">
        <v>204</v>
      </c>
      <c r="L3808" s="97" t="s">
        <v>7545</v>
      </c>
      <c r="N3808" s="76" t="s">
        <v>19</v>
      </c>
      <c r="Q3808" s="76" t="s">
        <v>12424</v>
      </c>
      <c r="R3808" s="73">
        <f t="shared" si="444"/>
        <v>1</v>
      </c>
      <c r="S3808" s="260" t="s">
        <v>1976</v>
      </c>
      <c r="T3808" s="260" t="s">
        <v>925</v>
      </c>
      <c r="Y3808" s="566">
        <v>0.51288194444444446</v>
      </c>
      <c r="Z3808" s="566">
        <v>0.52238425925925924</v>
      </c>
      <c r="AA3808" s="566">
        <f t="shared" si="445"/>
        <v>9.5023148148147829E-3</v>
      </c>
    </row>
    <row r="3809" spans="1:27" x14ac:dyDescent="0.3">
      <c r="A3809" s="79" t="s">
        <v>12345</v>
      </c>
      <c r="C3809" s="115">
        <v>44132</v>
      </c>
      <c r="D3809" s="312">
        <v>44154</v>
      </c>
      <c r="E3809" s="81">
        <v>44148</v>
      </c>
      <c r="F3809" s="86" t="s">
        <v>12415</v>
      </c>
      <c r="G3809" s="86" t="s">
        <v>154</v>
      </c>
      <c r="H3809" s="96" t="s">
        <v>213</v>
      </c>
      <c r="I3809" s="97" t="s">
        <v>755</v>
      </c>
      <c r="J3809" s="73">
        <f t="shared" si="443"/>
        <v>1</v>
      </c>
      <c r="K3809" s="74" t="s">
        <v>204</v>
      </c>
      <c r="L3809" s="97" t="s">
        <v>10227</v>
      </c>
      <c r="N3809" s="76" t="s">
        <v>18</v>
      </c>
      <c r="Q3809" s="76" t="s">
        <v>12424</v>
      </c>
      <c r="R3809" s="73">
        <f t="shared" si="444"/>
        <v>1</v>
      </c>
      <c r="S3809" s="260" t="s">
        <v>1976</v>
      </c>
      <c r="T3809" s="260" t="s">
        <v>923</v>
      </c>
      <c r="U3809" s="76" t="s">
        <v>5283</v>
      </c>
      <c r="V3809" s="301" t="s">
        <v>12482</v>
      </c>
      <c r="Y3809" s="566">
        <v>0.44914351851851847</v>
      </c>
      <c r="Z3809" s="566">
        <v>0.51150462962962961</v>
      </c>
      <c r="AA3809" s="566">
        <f t="shared" si="445"/>
        <v>6.2361111111111145E-2</v>
      </c>
    </row>
    <row r="3810" spans="1:27" x14ac:dyDescent="0.3">
      <c r="A3810" s="79" t="s">
        <v>12346</v>
      </c>
      <c r="C3810" s="115">
        <v>44132</v>
      </c>
      <c r="D3810" s="312">
        <v>44154</v>
      </c>
      <c r="E3810" s="81">
        <v>44147</v>
      </c>
      <c r="F3810" s="86" t="s">
        <v>12416</v>
      </c>
      <c r="G3810" s="86" t="s">
        <v>154</v>
      </c>
      <c r="H3810" s="96" t="s">
        <v>213</v>
      </c>
      <c r="I3810" s="97" t="s">
        <v>995</v>
      </c>
      <c r="J3810" s="73">
        <f t="shared" si="443"/>
        <v>1</v>
      </c>
      <c r="K3810" s="74" t="s">
        <v>204</v>
      </c>
      <c r="L3810" s="97" t="s">
        <v>12477</v>
      </c>
      <c r="N3810" s="76" t="s">
        <v>19</v>
      </c>
      <c r="Q3810" s="76" t="s">
        <v>2142</v>
      </c>
      <c r="R3810" s="73">
        <f t="shared" si="444"/>
        <v>1</v>
      </c>
      <c r="S3810" s="260" t="s">
        <v>1976</v>
      </c>
      <c r="T3810" s="260" t="s">
        <v>923</v>
      </c>
      <c r="Y3810" s="566">
        <v>0.66521990740740744</v>
      </c>
      <c r="Z3810" s="566">
        <v>0.68600694444444443</v>
      </c>
      <c r="AA3810" s="566">
        <f t="shared" si="445"/>
        <v>2.0787037037036993E-2</v>
      </c>
    </row>
    <row r="3811" spans="1:27" x14ac:dyDescent="0.3">
      <c r="A3811" s="79" t="s">
        <v>12347</v>
      </c>
      <c r="C3811" s="115">
        <v>44132</v>
      </c>
      <c r="D3811" s="312">
        <v>44154</v>
      </c>
      <c r="E3811" s="81">
        <v>44151</v>
      </c>
      <c r="F3811" s="86" t="s">
        <v>12417</v>
      </c>
      <c r="G3811" s="86" t="s">
        <v>9119</v>
      </c>
      <c r="H3811" s="96" t="s">
        <v>213</v>
      </c>
      <c r="I3811" s="97" t="s">
        <v>3475</v>
      </c>
      <c r="J3811" s="73">
        <f t="shared" si="443"/>
        <v>1</v>
      </c>
      <c r="K3811" s="74" t="s">
        <v>204</v>
      </c>
      <c r="L3811" s="97" t="s">
        <v>7561</v>
      </c>
      <c r="N3811" s="76" t="s">
        <v>19</v>
      </c>
      <c r="Q3811" s="76" t="s">
        <v>2142</v>
      </c>
      <c r="R3811" s="73">
        <f t="shared" si="444"/>
        <v>1</v>
      </c>
      <c r="S3811" s="260" t="s">
        <v>1976</v>
      </c>
      <c r="T3811" s="260" t="s">
        <v>925</v>
      </c>
      <c r="Y3811" s="566">
        <v>0.39737268518518515</v>
      </c>
      <c r="Z3811" s="566">
        <v>0.40001157407407412</v>
      </c>
      <c r="AA3811" s="566">
        <f t="shared" si="445"/>
        <v>2.6388888888889683E-3</v>
      </c>
    </row>
    <row r="3812" spans="1:27" x14ac:dyDescent="0.3">
      <c r="A3812" s="79" t="s">
        <v>12348</v>
      </c>
      <c r="C3812" s="115">
        <v>44132</v>
      </c>
      <c r="D3812" s="312">
        <v>44154</v>
      </c>
      <c r="E3812" s="81">
        <v>44147</v>
      </c>
      <c r="F3812" s="86" t="s">
        <v>12418</v>
      </c>
      <c r="G3812" s="86" t="s">
        <v>150</v>
      </c>
      <c r="H3812" s="96" t="s">
        <v>213</v>
      </c>
      <c r="I3812" s="97" t="s">
        <v>649</v>
      </c>
      <c r="J3812" s="73">
        <f t="shared" si="443"/>
        <v>1</v>
      </c>
      <c r="K3812" s="74" t="s">
        <v>204</v>
      </c>
      <c r="L3812" s="97" t="s">
        <v>12471</v>
      </c>
      <c r="N3812" s="76" t="s">
        <v>19</v>
      </c>
      <c r="Q3812" s="76" t="s">
        <v>2037</v>
      </c>
      <c r="R3812" s="73">
        <f t="shared" si="444"/>
        <v>1</v>
      </c>
      <c r="S3812" s="260" t="s">
        <v>1976</v>
      </c>
      <c r="T3812" s="260" t="s">
        <v>923</v>
      </c>
      <c r="Y3812" s="566">
        <v>0.46068287037037042</v>
      </c>
      <c r="Z3812" s="566">
        <v>0.4689699074074074</v>
      </c>
      <c r="AA3812" s="566">
        <f t="shared" si="445"/>
        <v>8.2870370370369817E-3</v>
      </c>
    </row>
    <row r="3813" spans="1:27" x14ac:dyDescent="0.3">
      <c r="A3813" s="79" t="s">
        <v>12349</v>
      </c>
      <c r="C3813" s="115">
        <v>44132</v>
      </c>
      <c r="D3813" s="312">
        <v>44154</v>
      </c>
      <c r="E3813" s="81">
        <v>44146</v>
      </c>
      <c r="F3813" s="86" t="s">
        <v>12419</v>
      </c>
      <c r="G3813" s="86" t="s">
        <v>11608</v>
      </c>
      <c r="H3813" s="96" t="s">
        <v>213</v>
      </c>
      <c r="I3813" s="97" t="s">
        <v>649</v>
      </c>
      <c r="J3813" s="73">
        <f t="shared" si="443"/>
        <v>1</v>
      </c>
      <c r="K3813" s="74" t="s">
        <v>204</v>
      </c>
      <c r="L3813" s="97" t="s">
        <v>12463</v>
      </c>
      <c r="N3813" s="76" t="s">
        <v>18</v>
      </c>
      <c r="Q3813" s="76" t="s">
        <v>12424</v>
      </c>
      <c r="R3813" s="73">
        <f t="shared" si="444"/>
        <v>1</v>
      </c>
      <c r="S3813" s="260" t="s">
        <v>1976</v>
      </c>
      <c r="T3813" s="260" t="s">
        <v>923</v>
      </c>
      <c r="U3813" s="76" t="s">
        <v>5283</v>
      </c>
      <c r="Y3813" s="566">
        <v>0.45938657407407407</v>
      </c>
      <c r="Z3813" s="566">
        <v>0.4937037037037037</v>
      </c>
      <c r="AA3813" s="566">
        <f t="shared" si="445"/>
        <v>3.4317129629629628E-2</v>
      </c>
    </row>
    <row r="3814" spans="1:27" x14ac:dyDescent="0.3">
      <c r="A3814" s="79" t="s">
        <v>12350</v>
      </c>
      <c r="C3814" s="115">
        <v>44133</v>
      </c>
      <c r="D3814" s="312">
        <v>44155</v>
      </c>
      <c r="E3814" s="81">
        <v>44148</v>
      </c>
      <c r="F3814" s="86" t="s">
        <v>12420</v>
      </c>
      <c r="G3814" s="86" t="s">
        <v>150</v>
      </c>
      <c r="H3814" s="96" t="s">
        <v>213</v>
      </c>
      <c r="I3814" s="97" t="s">
        <v>1635</v>
      </c>
      <c r="J3814" s="73">
        <f t="shared" si="443"/>
        <v>1</v>
      </c>
      <c r="K3814" s="74" t="s">
        <v>204</v>
      </c>
      <c r="L3814" s="97" t="s">
        <v>12485</v>
      </c>
      <c r="N3814" s="76" t="s">
        <v>18</v>
      </c>
      <c r="Q3814" s="76" t="s">
        <v>12424</v>
      </c>
      <c r="R3814" s="73">
        <f t="shared" si="444"/>
        <v>1</v>
      </c>
      <c r="S3814" s="260" t="s">
        <v>1976</v>
      </c>
      <c r="T3814" s="260" t="s">
        <v>923</v>
      </c>
      <c r="Y3814" s="566">
        <v>0.55376157407407411</v>
      </c>
      <c r="Z3814" s="566">
        <v>0.5660532407407407</v>
      </c>
      <c r="AA3814" s="566">
        <f t="shared" si="445"/>
        <v>1.229166666666659E-2</v>
      </c>
    </row>
    <row r="3815" spans="1:27" x14ac:dyDescent="0.3">
      <c r="A3815" s="79" t="s">
        <v>12351</v>
      </c>
      <c r="C3815" s="115">
        <v>44133</v>
      </c>
      <c r="D3815" s="312">
        <v>44155</v>
      </c>
      <c r="E3815" s="81">
        <v>44153</v>
      </c>
      <c r="F3815" s="86" t="s">
        <v>12421</v>
      </c>
      <c r="G3815" s="86" t="s">
        <v>152</v>
      </c>
      <c r="H3815" s="96" t="s">
        <v>213</v>
      </c>
      <c r="I3815" s="97" t="s">
        <v>1113</v>
      </c>
      <c r="J3815" s="73">
        <f t="shared" si="443"/>
        <v>1</v>
      </c>
      <c r="K3815" s="74" t="s">
        <v>204</v>
      </c>
      <c r="L3815" s="97" t="s">
        <v>12506</v>
      </c>
      <c r="N3815" s="76" t="s">
        <v>18</v>
      </c>
      <c r="Q3815" s="76" t="s">
        <v>2142</v>
      </c>
      <c r="R3815" s="73">
        <f t="shared" si="444"/>
        <v>1</v>
      </c>
      <c r="S3815" s="260" t="s">
        <v>1976</v>
      </c>
      <c r="T3815" s="260" t="s">
        <v>923</v>
      </c>
      <c r="Y3815" s="566">
        <v>0.43372685185185184</v>
      </c>
      <c r="Z3815" s="566">
        <v>0.43721064814814814</v>
      </c>
      <c r="AA3815" s="566">
        <f t="shared" si="445"/>
        <v>3.4837962962963043E-3</v>
      </c>
    </row>
    <row r="3816" spans="1:27" x14ac:dyDescent="0.3">
      <c r="A3816" s="79" t="s">
        <v>12352</v>
      </c>
      <c r="C3816" s="115">
        <v>44133</v>
      </c>
      <c r="D3816" s="312">
        <v>44155</v>
      </c>
      <c r="E3816" s="81">
        <v>44146</v>
      </c>
      <c r="F3816" s="86" t="s">
        <v>12422</v>
      </c>
      <c r="G3816" s="86" t="s">
        <v>147</v>
      </c>
      <c r="H3816" s="96" t="s">
        <v>213</v>
      </c>
      <c r="I3816" s="97" t="s">
        <v>1113</v>
      </c>
      <c r="J3816" s="73">
        <f t="shared" si="443"/>
        <v>1</v>
      </c>
      <c r="K3816" s="74" t="s">
        <v>204</v>
      </c>
      <c r="L3816" s="97" t="s">
        <v>9640</v>
      </c>
      <c r="N3816" s="76" t="s">
        <v>8990</v>
      </c>
      <c r="Q3816" s="76" t="s">
        <v>12424</v>
      </c>
      <c r="R3816" s="73">
        <f t="shared" si="444"/>
        <v>1</v>
      </c>
      <c r="S3816" s="260" t="s">
        <v>1976</v>
      </c>
      <c r="T3816" s="260" t="s">
        <v>923</v>
      </c>
      <c r="Y3816" s="566">
        <v>0.72170138888888891</v>
      </c>
      <c r="Z3816" s="566">
        <v>0.72542824074074075</v>
      </c>
      <c r="AA3816" s="566">
        <f t="shared" si="445"/>
        <v>3.7268518518518423E-3</v>
      </c>
    </row>
    <row r="3817" spans="1:27" x14ac:dyDescent="0.3">
      <c r="A3817" s="79" t="s">
        <v>12353</v>
      </c>
      <c r="C3817" s="115">
        <v>44133</v>
      </c>
      <c r="D3817" s="312">
        <v>44155</v>
      </c>
      <c r="E3817" s="81">
        <v>44148</v>
      </c>
      <c r="F3817" s="86" t="s">
        <v>12423</v>
      </c>
      <c r="G3817" s="86" t="s">
        <v>181</v>
      </c>
      <c r="H3817" s="96" t="s">
        <v>213</v>
      </c>
      <c r="I3817" s="97" t="s">
        <v>649</v>
      </c>
      <c r="J3817" s="73">
        <f t="shared" si="443"/>
        <v>1</v>
      </c>
      <c r="K3817" s="74" t="s">
        <v>204</v>
      </c>
      <c r="L3817" s="97" t="s">
        <v>12484</v>
      </c>
      <c r="N3817" s="76" t="s">
        <v>17</v>
      </c>
      <c r="Q3817" s="76" t="s">
        <v>12424</v>
      </c>
      <c r="R3817" s="73">
        <f t="shared" si="444"/>
        <v>1</v>
      </c>
      <c r="S3817" s="260" t="s">
        <v>1976</v>
      </c>
      <c r="T3817" s="260" t="s">
        <v>925</v>
      </c>
      <c r="U3817" s="76" t="s">
        <v>5283</v>
      </c>
      <c r="V3817" s="301" t="s">
        <v>12483</v>
      </c>
      <c r="Y3817" s="566">
        <v>0.52350694444444446</v>
      </c>
      <c r="Z3817" s="566">
        <v>0.55252314814814818</v>
      </c>
      <c r="AA3817" s="566">
        <f t="shared" si="445"/>
        <v>2.9016203703703725E-2</v>
      </c>
    </row>
    <row r="3818" spans="1:27" x14ac:dyDescent="0.3">
      <c r="A3818" s="79" t="s">
        <v>12507</v>
      </c>
      <c r="C3818" s="115">
        <v>44140</v>
      </c>
      <c r="D3818" s="312">
        <v>44175</v>
      </c>
      <c r="E3818" s="81">
        <v>44173</v>
      </c>
      <c r="F3818" s="86" t="s">
        <v>12514</v>
      </c>
      <c r="G3818" s="86" t="s">
        <v>147</v>
      </c>
      <c r="H3818" s="96" t="s">
        <v>213</v>
      </c>
      <c r="I3818" s="97" t="s">
        <v>714</v>
      </c>
      <c r="J3818" s="73">
        <f t="shared" ref="J3818:J3824" si="446">IF(OR(K3818="Документы готовы",K3818="Запрос в ФО",K3818="ЭЗ",K3818="РЕШ",K3818="РЕШ шаблон"),0.1,IF(OR(K3818="ЭЗ согласование",K3818="РЕШ согласование"),0.3,IF(OR(K3818="ЭЗ согласовано",K3818="РЕШ согласовано",K3818="РЕШ подписано"),0.6,IF(OR(K3818="ЭЗ ПР согласование",K3818="РЕШ УВ согласование"),0.9,IF(OR(K3818="ЭЗ ПР DONE",K3818="РЕШ УВ DONE"),1,0)))))</f>
        <v>1</v>
      </c>
      <c r="K3818" s="74" t="s">
        <v>204</v>
      </c>
      <c r="L3818" s="97" t="s">
        <v>7071</v>
      </c>
      <c r="N3818" s="76" t="s">
        <v>18</v>
      </c>
      <c r="Q3818" s="76" t="s">
        <v>2142</v>
      </c>
      <c r="R3818" s="73">
        <f t="shared" ref="R3818:R3824" si="447">IF(S3818="В работе",0.3,IF(S3818="Отписано",0.6,IF(S3818="На доработку",0.9,IF(S3818="Согласовано",1,0))))</f>
        <v>1</v>
      </c>
      <c r="S3818" s="260" t="s">
        <v>1976</v>
      </c>
      <c r="T3818" s="260" t="s">
        <v>925</v>
      </c>
      <c r="Y3818" s="566">
        <v>0.56060185185185185</v>
      </c>
      <c r="Z3818" s="566">
        <v>0.57783564814814814</v>
      </c>
      <c r="AA3818" s="566">
        <f t="shared" ref="AA3818:AA3824" si="448">Z3818-Y3818</f>
        <v>1.7233796296296289E-2</v>
      </c>
    </row>
    <row r="3819" spans="1:27" x14ac:dyDescent="0.3">
      <c r="A3819" s="79" t="s">
        <v>12508</v>
      </c>
      <c r="C3819" s="115">
        <v>44140</v>
      </c>
      <c r="D3819" s="312">
        <v>44175</v>
      </c>
      <c r="E3819" s="81">
        <v>44169</v>
      </c>
      <c r="F3819" s="86" t="s">
        <v>12515</v>
      </c>
      <c r="G3819" s="86" t="s">
        <v>172</v>
      </c>
      <c r="H3819" s="96" t="s">
        <v>213</v>
      </c>
      <c r="I3819" s="97" t="s">
        <v>714</v>
      </c>
      <c r="J3819" s="73">
        <f t="shared" si="446"/>
        <v>1</v>
      </c>
      <c r="K3819" s="74" t="s">
        <v>204</v>
      </c>
      <c r="L3819" s="97" t="s">
        <v>12613</v>
      </c>
      <c r="N3819" s="76" t="s">
        <v>19</v>
      </c>
      <c r="Q3819" s="76" t="s">
        <v>2142</v>
      </c>
      <c r="R3819" s="73">
        <f t="shared" si="447"/>
        <v>1</v>
      </c>
      <c r="S3819" s="260" t="s">
        <v>1976</v>
      </c>
      <c r="T3819" s="260" t="s">
        <v>923</v>
      </c>
      <c r="U3819" s="76" t="s">
        <v>5283</v>
      </c>
      <c r="V3819" s="301" t="s">
        <v>12612</v>
      </c>
      <c r="Y3819" s="566">
        <v>0.41072916666666665</v>
      </c>
      <c r="Z3819" s="566">
        <v>0.41848379629629634</v>
      </c>
      <c r="AA3819" s="566">
        <f t="shared" si="448"/>
        <v>7.7546296296296946E-3</v>
      </c>
    </row>
    <row r="3820" spans="1:27" x14ac:dyDescent="0.3">
      <c r="A3820" s="79" t="s">
        <v>12509</v>
      </c>
      <c r="C3820" s="115">
        <v>44140</v>
      </c>
      <c r="D3820" s="312">
        <v>44175</v>
      </c>
      <c r="E3820" s="81">
        <v>44172</v>
      </c>
      <c r="F3820" s="86" t="s">
        <v>12516</v>
      </c>
      <c r="G3820" s="97" t="s">
        <v>150</v>
      </c>
      <c r="H3820" s="96" t="s">
        <v>213</v>
      </c>
      <c r="I3820" s="97" t="s">
        <v>854</v>
      </c>
      <c r="J3820" s="73">
        <f t="shared" si="446"/>
        <v>1</v>
      </c>
      <c r="K3820" s="74" t="s">
        <v>204</v>
      </c>
      <c r="L3820" s="97" t="s">
        <v>12631</v>
      </c>
      <c r="N3820" s="76" t="s">
        <v>17</v>
      </c>
      <c r="Q3820" s="76" t="s">
        <v>5193</v>
      </c>
      <c r="R3820" s="73">
        <f t="shared" si="447"/>
        <v>1</v>
      </c>
      <c r="S3820" s="260" t="s">
        <v>1976</v>
      </c>
      <c r="T3820" s="260" t="s">
        <v>924</v>
      </c>
      <c r="Y3820" s="566">
        <v>0.40358796296296301</v>
      </c>
      <c r="Z3820" s="566">
        <v>0.42093749999999996</v>
      </c>
      <c r="AA3820" s="566">
        <f t="shared" si="448"/>
        <v>1.7349537037036955E-2</v>
      </c>
    </row>
    <row r="3821" spans="1:27" x14ac:dyDescent="0.3">
      <c r="A3821" s="79" t="s">
        <v>12510</v>
      </c>
      <c r="C3821" s="115">
        <v>44140</v>
      </c>
      <c r="D3821" s="312">
        <v>44175</v>
      </c>
      <c r="E3821" s="81">
        <v>44169</v>
      </c>
      <c r="F3821" s="86" t="s">
        <v>12517</v>
      </c>
      <c r="G3821" s="86" t="s">
        <v>147</v>
      </c>
      <c r="H3821" s="96" t="s">
        <v>213</v>
      </c>
      <c r="I3821" s="97" t="s">
        <v>714</v>
      </c>
      <c r="J3821" s="73">
        <f t="shared" si="446"/>
        <v>1</v>
      </c>
      <c r="K3821" s="74" t="s">
        <v>204</v>
      </c>
      <c r="L3821" s="97" t="s">
        <v>7332</v>
      </c>
      <c r="N3821" s="76" t="s">
        <v>17</v>
      </c>
      <c r="Q3821" s="76" t="s">
        <v>2142</v>
      </c>
      <c r="R3821" s="73">
        <f t="shared" si="447"/>
        <v>1</v>
      </c>
      <c r="S3821" s="260" t="s">
        <v>1976</v>
      </c>
      <c r="T3821" s="260" t="s">
        <v>924</v>
      </c>
      <c r="Y3821" s="566">
        <v>0.60124999999999995</v>
      </c>
      <c r="Z3821" s="566">
        <v>0.62145833333333333</v>
      </c>
      <c r="AA3821" s="566">
        <f t="shared" si="448"/>
        <v>2.0208333333333384E-2</v>
      </c>
    </row>
    <row r="3822" spans="1:27" x14ac:dyDescent="0.3">
      <c r="A3822" s="79" t="s">
        <v>12511</v>
      </c>
      <c r="C3822" s="115">
        <v>44153</v>
      </c>
      <c r="D3822" s="312">
        <v>44174</v>
      </c>
      <c r="E3822" s="81">
        <v>44169</v>
      </c>
      <c r="F3822" s="86" t="s">
        <v>12518</v>
      </c>
      <c r="G3822" s="97" t="s">
        <v>152</v>
      </c>
      <c r="H3822" s="79" t="s">
        <v>268</v>
      </c>
      <c r="I3822" s="97" t="s">
        <v>649</v>
      </c>
      <c r="J3822" s="73">
        <f t="shared" si="446"/>
        <v>1</v>
      </c>
      <c r="K3822" s="74" t="s">
        <v>204</v>
      </c>
      <c r="L3822" s="97" t="s">
        <v>7065</v>
      </c>
      <c r="N3822" s="76" t="s">
        <v>17</v>
      </c>
      <c r="Q3822" s="76" t="s">
        <v>2142</v>
      </c>
      <c r="R3822" s="73">
        <f t="shared" si="447"/>
        <v>1</v>
      </c>
      <c r="S3822" s="260" t="s">
        <v>1976</v>
      </c>
      <c r="T3822" s="260" t="s">
        <v>924</v>
      </c>
      <c r="Y3822" s="566">
        <v>0.42006944444444444</v>
      </c>
      <c r="Z3822" s="566">
        <v>0.44373842592592588</v>
      </c>
      <c r="AA3822" s="566">
        <f t="shared" si="448"/>
        <v>2.3668981481481444E-2</v>
      </c>
    </row>
    <row r="3823" spans="1:27" x14ac:dyDescent="0.3">
      <c r="A3823" s="79" t="s">
        <v>12512</v>
      </c>
      <c r="C3823" s="115">
        <v>44154</v>
      </c>
      <c r="D3823" s="312">
        <v>44175</v>
      </c>
      <c r="E3823" s="81">
        <v>44169</v>
      </c>
      <c r="F3823" s="86" t="s">
        <v>12519</v>
      </c>
      <c r="G3823" s="86" t="s">
        <v>6493</v>
      </c>
      <c r="H3823" s="96" t="s">
        <v>213</v>
      </c>
      <c r="I3823" s="97" t="s">
        <v>995</v>
      </c>
      <c r="J3823" s="73">
        <f t="shared" si="446"/>
        <v>1</v>
      </c>
      <c r="K3823" s="74" t="s">
        <v>204</v>
      </c>
      <c r="L3823" s="97" t="s">
        <v>7073</v>
      </c>
      <c r="N3823" s="76" t="s">
        <v>19</v>
      </c>
      <c r="Q3823" s="76" t="s">
        <v>2142</v>
      </c>
      <c r="R3823" s="73">
        <f t="shared" si="447"/>
        <v>1</v>
      </c>
      <c r="S3823" s="260" t="s">
        <v>1976</v>
      </c>
      <c r="T3823" s="260" t="s">
        <v>925</v>
      </c>
      <c r="V3823" s="301"/>
      <c r="Y3823" s="566">
        <v>0.57532407407407404</v>
      </c>
      <c r="Z3823" s="566">
        <v>0.69329861111111113</v>
      </c>
      <c r="AA3823" s="566">
        <f t="shared" si="448"/>
        <v>0.11797453703703709</v>
      </c>
    </row>
    <row r="3824" spans="1:27" x14ac:dyDescent="0.3">
      <c r="A3824" s="79" t="s">
        <v>12513</v>
      </c>
      <c r="C3824" s="115">
        <v>44154</v>
      </c>
      <c r="D3824" s="312">
        <v>44175</v>
      </c>
      <c r="E3824" s="81">
        <v>44171</v>
      </c>
      <c r="F3824" s="86" t="s">
        <v>12520</v>
      </c>
      <c r="G3824" s="86" t="s">
        <v>154</v>
      </c>
      <c r="H3824" s="96" t="s">
        <v>213</v>
      </c>
      <c r="I3824" s="97" t="s">
        <v>1204</v>
      </c>
      <c r="J3824" s="73">
        <f t="shared" si="446"/>
        <v>1</v>
      </c>
      <c r="K3824" s="74" t="s">
        <v>204</v>
      </c>
      <c r="L3824" s="97" t="s">
        <v>12630</v>
      </c>
      <c r="N3824" s="76" t="s">
        <v>18</v>
      </c>
      <c r="Q3824" s="76" t="s">
        <v>2142</v>
      </c>
      <c r="R3824" s="73">
        <f t="shared" si="447"/>
        <v>1</v>
      </c>
      <c r="S3824" s="260" t="s">
        <v>1976</v>
      </c>
      <c r="T3824" s="260" t="s">
        <v>923</v>
      </c>
      <c r="Y3824" s="566">
        <v>0.74390046296296297</v>
      </c>
      <c r="Z3824" s="566">
        <v>0.75901620370370371</v>
      </c>
      <c r="AA3824" s="566">
        <f t="shared" si="448"/>
        <v>1.5115740740740735E-2</v>
      </c>
    </row>
    <row r="3825" spans="1:27" x14ac:dyDescent="0.3">
      <c r="A3825" s="79" t="s">
        <v>12521</v>
      </c>
      <c r="C3825" s="115">
        <v>44133</v>
      </c>
      <c r="D3825" s="312">
        <v>44176</v>
      </c>
      <c r="E3825" s="81">
        <v>44169</v>
      </c>
      <c r="F3825" s="86" t="s">
        <v>11268</v>
      </c>
      <c r="G3825" s="86" t="s">
        <v>152</v>
      </c>
      <c r="H3825" s="96" t="s">
        <v>213</v>
      </c>
      <c r="I3825" s="97" t="s">
        <v>3475</v>
      </c>
      <c r="J3825" s="73">
        <f t="shared" ref="J3825:J3835" si="449">IF(OR(K3825="Документы готовы",K3825="Запрос в ФО",K3825="ЭЗ",K3825="РЕШ",K3825="РЕШ шаблон"),0.1,IF(OR(K3825="ЭЗ согласование",K3825="РЕШ согласование"),0.3,IF(OR(K3825="ЭЗ согласовано",K3825="РЕШ согласовано",K3825="РЕШ подписано"),0.6,IF(OR(K3825="ЭЗ ПР согласование",K3825="РЕШ УВ согласование"),0.9,IF(OR(K3825="ЭЗ ПР DONE",K3825="РЕШ УВ DONE"),1,0)))))</f>
        <v>1</v>
      </c>
      <c r="K3825" s="74" t="s">
        <v>204</v>
      </c>
      <c r="L3825" s="97" t="s">
        <v>10909</v>
      </c>
      <c r="N3825" s="76" t="s">
        <v>19</v>
      </c>
      <c r="Q3825" s="76" t="s">
        <v>5193</v>
      </c>
      <c r="R3825" s="73">
        <f t="shared" ref="R3825:R3835" si="450">IF(S3825="В работе",0.3,IF(S3825="Отписано",0.6,IF(S3825="На доработку",0.9,IF(S3825="Согласовано",1,0))))</f>
        <v>1</v>
      </c>
      <c r="S3825" s="260" t="s">
        <v>1976</v>
      </c>
      <c r="T3825" s="260" t="s">
        <v>923</v>
      </c>
      <c r="Y3825" s="566">
        <v>0.55769675925925932</v>
      </c>
      <c r="Z3825" s="566">
        <v>0.57476851851851851</v>
      </c>
      <c r="AA3825" s="566">
        <f t="shared" ref="AA3825:AA3835" si="451">Z3825-Y3825</f>
        <v>1.7071759259259189E-2</v>
      </c>
    </row>
    <row r="3826" spans="1:27" x14ac:dyDescent="0.3">
      <c r="A3826" s="79" t="s">
        <v>12522</v>
      </c>
      <c r="C3826" s="115">
        <v>44140</v>
      </c>
      <c r="D3826" s="312">
        <v>44176</v>
      </c>
      <c r="E3826" s="81">
        <v>44172</v>
      </c>
      <c r="F3826" s="86" t="s">
        <v>12532</v>
      </c>
      <c r="G3826" s="86" t="s">
        <v>152</v>
      </c>
      <c r="H3826" s="96" t="s">
        <v>213</v>
      </c>
      <c r="I3826" s="97" t="s">
        <v>684</v>
      </c>
      <c r="J3826" s="73">
        <f t="shared" si="449"/>
        <v>1</v>
      </c>
      <c r="K3826" s="74" t="s">
        <v>204</v>
      </c>
      <c r="L3826" s="97" t="s">
        <v>12644</v>
      </c>
      <c r="N3826" s="76" t="s">
        <v>18</v>
      </c>
      <c r="Q3826" s="76" t="s">
        <v>2142</v>
      </c>
      <c r="R3826" s="73">
        <f t="shared" si="450"/>
        <v>1</v>
      </c>
      <c r="S3826" s="260" t="s">
        <v>1976</v>
      </c>
      <c r="T3826" s="260" t="s">
        <v>923</v>
      </c>
      <c r="U3826" s="76" t="s">
        <v>5283</v>
      </c>
      <c r="V3826" s="301" t="s">
        <v>12645</v>
      </c>
      <c r="Y3826" s="566">
        <v>0.6234143518518519</v>
      </c>
      <c r="Z3826" s="566">
        <v>0.63626157407407413</v>
      </c>
      <c r="AA3826" s="566">
        <f t="shared" si="451"/>
        <v>1.2847222222222232E-2</v>
      </c>
    </row>
    <row r="3827" spans="1:27" x14ac:dyDescent="0.3">
      <c r="A3827" s="79" t="s">
        <v>12523</v>
      </c>
      <c r="C3827" s="115">
        <v>44141</v>
      </c>
      <c r="D3827" s="312">
        <v>44176</v>
      </c>
      <c r="E3827" s="81">
        <v>44173</v>
      </c>
      <c r="F3827" s="86" t="s">
        <v>12533</v>
      </c>
      <c r="G3827" s="86" t="s">
        <v>156</v>
      </c>
      <c r="H3827" s="96" t="s">
        <v>213</v>
      </c>
      <c r="I3827" s="97" t="s">
        <v>714</v>
      </c>
      <c r="J3827" s="73">
        <f t="shared" si="449"/>
        <v>1</v>
      </c>
      <c r="K3827" s="74" t="s">
        <v>204</v>
      </c>
      <c r="L3827" s="97" t="s">
        <v>12650</v>
      </c>
      <c r="N3827" s="76" t="s">
        <v>18</v>
      </c>
      <c r="Q3827" s="76" t="s">
        <v>2142</v>
      </c>
      <c r="R3827" s="73">
        <f t="shared" si="450"/>
        <v>1</v>
      </c>
      <c r="S3827" s="260" t="s">
        <v>1976</v>
      </c>
      <c r="T3827" s="260" t="s">
        <v>924</v>
      </c>
      <c r="Y3827" s="566">
        <v>0.62581018518518516</v>
      </c>
      <c r="Z3827" s="566">
        <v>0.64196759259259262</v>
      </c>
      <c r="AA3827" s="566">
        <f t="shared" si="451"/>
        <v>1.6157407407407454E-2</v>
      </c>
    </row>
    <row r="3828" spans="1:27" x14ac:dyDescent="0.3">
      <c r="A3828" s="79" t="s">
        <v>12524</v>
      </c>
      <c r="C3828" s="115">
        <v>44141</v>
      </c>
      <c r="D3828" s="312">
        <v>44176</v>
      </c>
      <c r="E3828" s="81">
        <v>44169</v>
      </c>
      <c r="F3828" s="86" t="s">
        <v>12534</v>
      </c>
      <c r="G3828" s="86" t="s">
        <v>164</v>
      </c>
      <c r="H3828" s="96" t="s">
        <v>213</v>
      </c>
      <c r="I3828" s="97" t="s">
        <v>714</v>
      </c>
      <c r="J3828" s="73">
        <f t="shared" si="449"/>
        <v>1</v>
      </c>
      <c r="K3828" s="74" t="s">
        <v>204</v>
      </c>
      <c r="L3828" s="97" t="s">
        <v>8076</v>
      </c>
      <c r="N3828" s="76" t="s">
        <v>17</v>
      </c>
      <c r="Q3828" s="76" t="s">
        <v>5193</v>
      </c>
      <c r="R3828" s="73">
        <f t="shared" si="450"/>
        <v>1</v>
      </c>
      <c r="S3828" s="260" t="s">
        <v>1976</v>
      </c>
      <c r="T3828" s="260" t="s">
        <v>923</v>
      </c>
      <c r="Y3828" s="566">
        <v>0.62486111111111109</v>
      </c>
      <c r="Z3828" s="566">
        <v>0.6358449074074074</v>
      </c>
      <c r="AA3828" s="566">
        <f t="shared" si="451"/>
        <v>1.0983796296296311E-2</v>
      </c>
    </row>
    <row r="3829" spans="1:27" x14ac:dyDescent="0.3">
      <c r="A3829" s="79" t="s">
        <v>12525</v>
      </c>
      <c r="C3829" s="115">
        <v>44141</v>
      </c>
      <c r="D3829" s="312">
        <v>44176</v>
      </c>
      <c r="E3829" s="81">
        <v>44174</v>
      </c>
      <c r="F3829" s="86" t="s">
        <v>12535</v>
      </c>
      <c r="G3829" s="86" t="s">
        <v>9119</v>
      </c>
      <c r="H3829" s="96" t="s">
        <v>213</v>
      </c>
      <c r="I3829" s="97" t="s">
        <v>714</v>
      </c>
      <c r="J3829" s="73">
        <f t="shared" si="449"/>
        <v>1</v>
      </c>
      <c r="K3829" s="74" t="s">
        <v>204</v>
      </c>
      <c r="L3829" s="97" t="s">
        <v>12651</v>
      </c>
      <c r="N3829" s="76" t="s">
        <v>17</v>
      </c>
      <c r="Q3829" s="76" t="s">
        <v>5193</v>
      </c>
      <c r="R3829" s="73">
        <f t="shared" si="450"/>
        <v>1</v>
      </c>
      <c r="S3829" s="260" t="s">
        <v>1976</v>
      </c>
      <c r="T3829" s="260" t="s">
        <v>924</v>
      </c>
      <c r="Y3829" s="566">
        <v>0.56707175925925923</v>
      </c>
      <c r="Z3829" s="566">
        <v>0.57668981481481485</v>
      </c>
      <c r="AA3829" s="566">
        <f t="shared" si="451"/>
        <v>9.6180555555556158E-3</v>
      </c>
    </row>
    <row r="3830" spans="1:27" x14ac:dyDescent="0.3">
      <c r="A3830" s="79" t="s">
        <v>12526</v>
      </c>
      <c r="C3830" s="115">
        <v>44141</v>
      </c>
      <c r="D3830" s="312">
        <v>44176</v>
      </c>
      <c r="E3830" s="81">
        <v>44174</v>
      </c>
      <c r="F3830" s="86" t="s">
        <v>12536</v>
      </c>
      <c r="G3830" s="86" t="s">
        <v>11608</v>
      </c>
      <c r="H3830" s="96" t="s">
        <v>213</v>
      </c>
      <c r="I3830" s="97" t="s">
        <v>7725</v>
      </c>
      <c r="J3830" s="73">
        <f t="shared" si="449"/>
        <v>1</v>
      </c>
      <c r="K3830" s="74" t="s">
        <v>204</v>
      </c>
      <c r="L3830" s="97" t="s">
        <v>12652</v>
      </c>
      <c r="Q3830" s="76" t="s">
        <v>2142</v>
      </c>
      <c r="R3830" s="73">
        <f t="shared" si="450"/>
        <v>1</v>
      </c>
      <c r="S3830" s="260" t="s">
        <v>1976</v>
      </c>
      <c r="T3830" s="260" t="s">
        <v>923</v>
      </c>
      <c r="Y3830" s="566">
        <v>0.5771412037037037</v>
      </c>
      <c r="Z3830" s="566">
        <v>0.6033101851851852</v>
      </c>
      <c r="AA3830" s="566">
        <f t="shared" si="451"/>
        <v>2.6168981481481501E-2</v>
      </c>
    </row>
    <row r="3831" spans="1:27" x14ac:dyDescent="0.3">
      <c r="A3831" s="79" t="s">
        <v>12527</v>
      </c>
      <c r="C3831" s="115">
        <v>44141</v>
      </c>
      <c r="D3831" s="312">
        <v>44176</v>
      </c>
      <c r="E3831" s="81">
        <v>44169</v>
      </c>
      <c r="F3831" s="86" t="s">
        <v>12537</v>
      </c>
      <c r="G3831" s="86" t="s">
        <v>172</v>
      </c>
      <c r="H3831" s="96" t="s">
        <v>213</v>
      </c>
      <c r="I3831" s="97" t="s">
        <v>12614</v>
      </c>
      <c r="J3831" s="73">
        <f t="shared" si="449"/>
        <v>1</v>
      </c>
      <c r="K3831" s="74" t="s">
        <v>204</v>
      </c>
      <c r="L3831" s="97" t="s">
        <v>12613</v>
      </c>
      <c r="N3831" s="76" t="s">
        <v>19</v>
      </c>
      <c r="Q3831" s="76" t="s">
        <v>5193</v>
      </c>
      <c r="R3831" s="73">
        <f t="shared" si="450"/>
        <v>1</v>
      </c>
      <c r="S3831" s="260" t="s">
        <v>1976</v>
      </c>
      <c r="T3831" s="260" t="s">
        <v>924</v>
      </c>
      <c r="Y3831" s="566">
        <v>0.44689814814814816</v>
      </c>
      <c r="Z3831" s="566">
        <v>0.47119212962962959</v>
      </c>
      <c r="AA3831" s="566">
        <f t="shared" si="451"/>
        <v>2.429398148148143E-2</v>
      </c>
    </row>
    <row r="3832" spans="1:27" x14ac:dyDescent="0.3">
      <c r="A3832" s="79" t="s">
        <v>12528</v>
      </c>
      <c r="C3832" s="115">
        <v>44154</v>
      </c>
      <c r="D3832" s="312">
        <v>44176</v>
      </c>
      <c r="E3832" s="81">
        <v>44174</v>
      </c>
      <c r="F3832" s="86" t="s">
        <v>12416</v>
      </c>
      <c r="G3832" s="86" t="s">
        <v>154</v>
      </c>
      <c r="H3832" s="96" t="s">
        <v>213</v>
      </c>
      <c r="I3832" s="97" t="s">
        <v>649</v>
      </c>
      <c r="J3832" s="73">
        <f t="shared" si="449"/>
        <v>1</v>
      </c>
      <c r="K3832" s="74" t="s">
        <v>204</v>
      </c>
      <c r="L3832" s="97" t="s">
        <v>12653</v>
      </c>
      <c r="N3832" s="76" t="s">
        <v>17</v>
      </c>
      <c r="Q3832" s="76" t="s">
        <v>2142</v>
      </c>
      <c r="R3832" s="73">
        <f t="shared" si="450"/>
        <v>1</v>
      </c>
      <c r="S3832" s="260" t="s">
        <v>1976</v>
      </c>
      <c r="T3832" s="260" t="s">
        <v>923</v>
      </c>
      <c r="U3832" s="76" t="s">
        <v>5283</v>
      </c>
      <c r="V3832" s="301" t="s">
        <v>12647</v>
      </c>
      <c r="Y3832" s="566">
        <v>0.60945601851851849</v>
      </c>
      <c r="Z3832" s="566">
        <v>0.6179513888888889</v>
      </c>
      <c r="AA3832" s="566">
        <f t="shared" si="451"/>
        <v>8.4953703703704031E-3</v>
      </c>
    </row>
    <row r="3833" spans="1:27" x14ac:dyDescent="0.3">
      <c r="A3833" s="79" t="s">
        <v>12529</v>
      </c>
      <c r="C3833" s="115">
        <v>44155</v>
      </c>
      <c r="D3833" s="312">
        <v>44176</v>
      </c>
      <c r="E3833" s="81">
        <v>44169</v>
      </c>
      <c r="F3833" s="86" t="s">
        <v>12538</v>
      </c>
      <c r="G3833" s="86" t="s">
        <v>152</v>
      </c>
      <c r="H3833" s="96" t="s">
        <v>213</v>
      </c>
      <c r="I3833" s="97" t="s">
        <v>714</v>
      </c>
      <c r="J3833" s="73">
        <f t="shared" si="449"/>
        <v>1</v>
      </c>
      <c r="K3833" s="74" t="s">
        <v>204</v>
      </c>
      <c r="L3833" s="97" t="s">
        <v>12617</v>
      </c>
      <c r="N3833" s="76" t="s">
        <v>18</v>
      </c>
      <c r="Q3833" s="76" t="s">
        <v>5193</v>
      </c>
      <c r="R3833" s="73">
        <f t="shared" si="450"/>
        <v>1</v>
      </c>
      <c r="S3833" s="260" t="s">
        <v>1976</v>
      </c>
      <c r="T3833" s="260" t="s">
        <v>923</v>
      </c>
      <c r="U3833" s="76" t="s">
        <v>5283</v>
      </c>
      <c r="V3833" s="301" t="s">
        <v>12618</v>
      </c>
      <c r="Y3833" s="566">
        <v>0.57915509259259257</v>
      </c>
      <c r="Z3833" s="566">
        <v>0.59947916666666667</v>
      </c>
      <c r="AA3833" s="566">
        <f t="shared" si="451"/>
        <v>2.0324074074074105E-2</v>
      </c>
    </row>
    <row r="3834" spans="1:27" x14ac:dyDescent="0.3">
      <c r="A3834" s="79" t="s">
        <v>12530</v>
      </c>
      <c r="C3834" s="115">
        <v>44155</v>
      </c>
      <c r="D3834" s="312">
        <v>44176</v>
      </c>
      <c r="E3834" s="81">
        <v>44173</v>
      </c>
      <c r="F3834" s="86" t="s">
        <v>12539</v>
      </c>
      <c r="G3834" s="86" t="s">
        <v>410</v>
      </c>
      <c r="H3834" s="96" t="s">
        <v>213</v>
      </c>
      <c r="I3834" s="97" t="s">
        <v>649</v>
      </c>
      <c r="J3834" s="73">
        <f t="shared" si="449"/>
        <v>1</v>
      </c>
      <c r="K3834" s="74" t="s">
        <v>204</v>
      </c>
      <c r="L3834" s="97" t="s">
        <v>12648</v>
      </c>
      <c r="N3834" s="76" t="s">
        <v>17</v>
      </c>
      <c r="Q3834" s="76" t="s">
        <v>2142</v>
      </c>
      <c r="R3834" s="73">
        <f t="shared" si="450"/>
        <v>1</v>
      </c>
      <c r="S3834" s="260" t="s">
        <v>1976</v>
      </c>
      <c r="T3834" s="260" t="s">
        <v>924</v>
      </c>
      <c r="U3834" s="76" t="s">
        <v>5283</v>
      </c>
      <c r="V3834" s="301" t="s">
        <v>12647</v>
      </c>
      <c r="Y3834" s="566">
        <v>0.53623842592592597</v>
      </c>
      <c r="Z3834" s="566">
        <v>0.54690972222222223</v>
      </c>
      <c r="AA3834" s="566">
        <f t="shared" si="451"/>
        <v>1.0671296296296262E-2</v>
      </c>
    </row>
    <row r="3835" spans="1:27" x14ac:dyDescent="0.3">
      <c r="A3835" s="79" t="s">
        <v>12531</v>
      </c>
      <c r="C3835" s="115">
        <v>44155</v>
      </c>
      <c r="D3835" s="312">
        <v>44176</v>
      </c>
      <c r="E3835" s="81">
        <v>44174</v>
      </c>
      <c r="F3835" s="86" t="s">
        <v>12540</v>
      </c>
      <c r="G3835" s="86" t="s">
        <v>150</v>
      </c>
      <c r="H3835" s="96" t="s">
        <v>213</v>
      </c>
      <c r="I3835" s="97" t="s">
        <v>3475</v>
      </c>
      <c r="J3835" s="73">
        <f t="shared" si="449"/>
        <v>1</v>
      </c>
      <c r="K3835" s="74" t="s">
        <v>204</v>
      </c>
      <c r="L3835" s="97" t="s">
        <v>7561</v>
      </c>
      <c r="N3835" s="76" t="s">
        <v>19</v>
      </c>
      <c r="Q3835" s="76" t="s">
        <v>2142</v>
      </c>
      <c r="R3835" s="73">
        <f t="shared" si="450"/>
        <v>1</v>
      </c>
      <c r="S3835" s="260" t="s">
        <v>1976</v>
      </c>
      <c r="T3835" s="260" t="s">
        <v>925</v>
      </c>
      <c r="Y3835" s="566">
        <v>0.6040740740740741</v>
      </c>
      <c r="Z3835" s="566">
        <v>0.60894675925925923</v>
      </c>
      <c r="AA3835" s="566">
        <f t="shared" si="451"/>
        <v>4.8726851851851327E-3</v>
      </c>
    </row>
    <row r="3836" spans="1:27" x14ac:dyDescent="0.3">
      <c r="A3836" s="79" t="s">
        <v>12541</v>
      </c>
      <c r="C3836" s="115">
        <v>44134</v>
      </c>
      <c r="D3836" s="312">
        <v>44179</v>
      </c>
      <c r="E3836" s="81">
        <v>44174</v>
      </c>
      <c r="F3836" s="86" t="s">
        <v>5896</v>
      </c>
      <c r="G3836" s="86" t="s">
        <v>152</v>
      </c>
      <c r="H3836" s="96" t="s">
        <v>213</v>
      </c>
      <c r="I3836" s="97" t="s">
        <v>649</v>
      </c>
      <c r="J3836" s="73">
        <f t="shared" ref="J3836:J3871" si="452">IF(OR(K3836="Документы готовы",K3836="Запрос в ФО",K3836="ЭЗ",K3836="РЕШ",K3836="РЕШ шаблон"),0.1,IF(OR(K3836="ЭЗ согласование",K3836="РЕШ согласование"),0.3,IF(OR(K3836="ЭЗ согласовано",K3836="РЕШ согласовано",K3836="РЕШ подписано"),0.6,IF(OR(K3836="ЭЗ ПР согласование",K3836="РЕШ УВ согласование"),0.9,IF(OR(K3836="ЭЗ ПР DONE",K3836="РЕШ УВ DONE"),1,0)))))</f>
        <v>1</v>
      </c>
      <c r="K3836" s="74" t="s">
        <v>204</v>
      </c>
      <c r="L3836" s="97" t="s">
        <v>12654</v>
      </c>
      <c r="N3836" s="76" t="s">
        <v>17</v>
      </c>
      <c r="Q3836" s="76" t="s">
        <v>5193</v>
      </c>
      <c r="R3836" s="73">
        <f t="shared" ref="R3836:R3871" si="453">IF(S3836="В работе",0.3,IF(S3836="Отписано",0.6,IF(S3836="На доработку",0.9,IF(S3836="Согласовано",1,0))))</f>
        <v>1</v>
      </c>
      <c r="S3836" s="260" t="s">
        <v>1976</v>
      </c>
      <c r="T3836" s="260" t="s">
        <v>925</v>
      </c>
      <c r="U3836" s="301" t="s">
        <v>5283</v>
      </c>
      <c r="V3836" s="301" t="s">
        <v>12655</v>
      </c>
      <c r="Y3836" s="566">
        <v>0.62741898148148145</v>
      </c>
      <c r="Z3836" s="566">
        <v>0.65414351851851849</v>
      </c>
      <c r="AA3836" s="566">
        <f t="shared" ref="AA3836:AA3872" si="454">Z3836-Y3836</f>
        <v>2.6724537037037033E-2</v>
      </c>
    </row>
    <row r="3837" spans="1:27" x14ac:dyDescent="0.3">
      <c r="A3837" s="79" t="s">
        <v>12542</v>
      </c>
      <c r="C3837" s="115">
        <v>44141</v>
      </c>
      <c r="D3837" s="312">
        <v>44179</v>
      </c>
      <c r="E3837" s="81">
        <v>44173</v>
      </c>
      <c r="F3837" s="86" t="s">
        <v>12577</v>
      </c>
      <c r="G3837" s="86" t="s">
        <v>154</v>
      </c>
      <c r="H3837" s="96" t="s">
        <v>213</v>
      </c>
      <c r="I3837" s="97" t="s">
        <v>714</v>
      </c>
      <c r="J3837" s="73">
        <f t="shared" si="452"/>
        <v>1</v>
      </c>
      <c r="K3837" s="74" t="s">
        <v>204</v>
      </c>
      <c r="L3837" s="97" t="s">
        <v>7336</v>
      </c>
      <c r="N3837" s="76" t="s">
        <v>17</v>
      </c>
      <c r="Q3837" s="76" t="s">
        <v>5193</v>
      </c>
      <c r="R3837" s="73">
        <f t="shared" si="453"/>
        <v>1</v>
      </c>
      <c r="S3837" s="260" t="s">
        <v>1976</v>
      </c>
      <c r="T3837" s="260" t="s">
        <v>923</v>
      </c>
      <c r="Y3837" s="566">
        <v>0.6115046296296297</v>
      </c>
      <c r="Z3837" s="566">
        <v>0.62440972222222224</v>
      </c>
      <c r="AA3837" s="566">
        <f t="shared" si="454"/>
        <v>1.2905092592592537E-2</v>
      </c>
    </row>
    <row r="3838" spans="1:27" x14ac:dyDescent="0.3">
      <c r="A3838" s="79" t="s">
        <v>12543</v>
      </c>
      <c r="C3838" s="115">
        <v>44144</v>
      </c>
      <c r="D3838" s="312">
        <v>44179</v>
      </c>
      <c r="E3838" s="81">
        <v>44173</v>
      </c>
      <c r="F3838" s="86" t="s">
        <v>12578</v>
      </c>
      <c r="G3838" s="86" t="s">
        <v>9119</v>
      </c>
      <c r="H3838" s="96" t="s">
        <v>213</v>
      </c>
      <c r="I3838" s="97" t="s">
        <v>714</v>
      </c>
      <c r="J3838" s="73">
        <f t="shared" si="452"/>
        <v>1</v>
      </c>
      <c r="K3838" s="74" t="s">
        <v>204</v>
      </c>
      <c r="L3838" s="97" t="s">
        <v>12649</v>
      </c>
      <c r="N3838" s="76" t="s">
        <v>18</v>
      </c>
      <c r="Q3838" s="76" t="s">
        <v>5193</v>
      </c>
      <c r="R3838" s="73">
        <f t="shared" si="453"/>
        <v>1</v>
      </c>
      <c r="S3838" s="260" t="s">
        <v>1976</v>
      </c>
      <c r="T3838" s="260" t="s">
        <v>923</v>
      </c>
      <c r="Y3838" s="566">
        <v>0.60560185185185189</v>
      </c>
      <c r="Z3838" s="566">
        <v>0.60976851851851854</v>
      </c>
      <c r="AA3838" s="566">
        <f t="shared" si="454"/>
        <v>4.1666666666666519E-3</v>
      </c>
    </row>
    <row r="3839" spans="1:27" x14ac:dyDescent="0.3">
      <c r="A3839" s="79" t="s">
        <v>12544</v>
      </c>
      <c r="C3839" s="115">
        <v>44144</v>
      </c>
      <c r="D3839" s="312">
        <v>44179</v>
      </c>
      <c r="E3839" s="81">
        <v>44173</v>
      </c>
      <c r="F3839" s="86" t="s">
        <v>12579</v>
      </c>
      <c r="G3839" s="86" t="s">
        <v>3771</v>
      </c>
      <c r="H3839" s="96" t="s">
        <v>213</v>
      </c>
      <c r="I3839" s="97" t="s">
        <v>714</v>
      </c>
      <c r="J3839" s="73">
        <f t="shared" si="452"/>
        <v>1</v>
      </c>
      <c r="K3839" s="74" t="s">
        <v>204</v>
      </c>
      <c r="L3839" s="97" t="s">
        <v>7336</v>
      </c>
      <c r="N3839" s="76" t="s">
        <v>17</v>
      </c>
      <c r="Q3839" s="76" t="s">
        <v>2142</v>
      </c>
      <c r="R3839" s="73">
        <f t="shared" si="453"/>
        <v>1</v>
      </c>
      <c r="S3839" s="260" t="s">
        <v>1976</v>
      </c>
      <c r="T3839" s="260" t="s">
        <v>923</v>
      </c>
      <c r="Y3839" s="566">
        <v>0.57848379629629632</v>
      </c>
      <c r="Z3839" s="566">
        <v>0.59543981481481478</v>
      </c>
      <c r="AA3839" s="566">
        <f t="shared" si="454"/>
        <v>1.6956018518518468E-2</v>
      </c>
    </row>
    <row r="3840" spans="1:27" x14ac:dyDescent="0.3">
      <c r="A3840" s="79" t="s">
        <v>12545</v>
      </c>
      <c r="C3840" s="115">
        <v>44144</v>
      </c>
      <c r="D3840" s="312">
        <v>44179</v>
      </c>
      <c r="E3840" s="81">
        <v>44174</v>
      </c>
      <c r="F3840" s="86" t="s">
        <v>12580</v>
      </c>
      <c r="G3840" s="86" t="s">
        <v>152</v>
      </c>
      <c r="H3840" s="96" t="s">
        <v>213</v>
      </c>
      <c r="I3840" s="97" t="s">
        <v>722</v>
      </c>
      <c r="J3840" s="73">
        <f t="shared" si="452"/>
        <v>1</v>
      </c>
      <c r="K3840" s="74" t="s">
        <v>204</v>
      </c>
      <c r="L3840" s="97" t="s">
        <v>12656</v>
      </c>
      <c r="N3840" s="76" t="s">
        <v>17</v>
      </c>
      <c r="Q3840" s="76" t="s">
        <v>2142</v>
      </c>
      <c r="R3840" s="73">
        <f t="shared" si="453"/>
        <v>1</v>
      </c>
      <c r="S3840" s="260" t="s">
        <v>1976</v>
      </c>
      <c r="T3840" s="260" t="s">
        <v>924</v>
      </c>
      <c r="Y3840" s="566">
        <v>0.67126157407407405</v>
      </c>
      <c r="Z3840" s="566">
        <v>0.68362268518518521</v>
      </c>
      <c r="AA3840" s="566">
        <f t="shared" si="454"/>
        <v>1.2361111111111156E-2</v>
      </c>
    </row>
    <row r="3841" spans="1:27" x14ac:dyDescent="0.3">
      <c r="A3841" s="79" t="s">
        <v>12546</v>
      </c>
      <c r="C3841" s="115">
        <v>44144</v>
      </c>
      <c r="D3841" s="312">
        <v>44179</v>
      </c>
      <c r="E3841" s="81">
        <v>44173</v>
      </c>
      <c r="F3841" s="86" t="s">
        <v>12581</v>
      </c>
      <c r="G3841" s="86" t="s">
        <v>147</v>
      </c>
      <c r="H3841" s="96" t="s">
        <v>213</v>
      </c>
      <c r="I3841" s="97" t="s">
        <v>854</v>
      </c>
      <c r="J3841" s="73">
        <f t="shared" si="452"/>
        <v>1</v>
      </c>
      <c r="K3841" s="74" t="s">
        <v>204</v>
      </c>
      <c r="L3841" s="97" t="s">
        <v>10613</v>
      </c>
      <c r="N3841" s="76" t="s">
        <v>17</v>
      </c>
      <c r="Q3841" s="76" t="s">
        <v>5193</v>
      </c>
      <c r="R3841" s="73">
        <f t="shared" si="453"/>
        <v>1</v>
      </c>
      <c r="S3841" s="260" t="s">
        <v>1976</v>
      </c>
      <c r="T3841" s="260" t="s">
        <v>924</v>
      </c>
      <c r="Y3841" s="566">
        <v>0.59629629629629632</v>
      </c>
      <c r="Z3841" s="566">
        <v>0.60509259259259263</v>
      </c>
      <c r="AA3841" s="566">
        <f t="shared" si="454"/>
        <v>8.7962962962963021E-3</v>
      </c>
    </row>
    <row r="3842" spans="1:27" x14ac:dyDescent="0.3">
      <c r="A3842" s="79" t="s">
        <v>12547</v>
      </c>
      <c r="C3842" s="115">
        <v>44145</v>
      </c>
      <c r="D3842" s="312">
        <v>44180</v>
      </c>
      <c r="E3842" s="81">
        <v>44176</v>
      </c>
      <c r="F3842" s="86" t="s">
        <v>12582</v>
      </c>
      <c r="G3842" s="86" t="s">
        <v>166</v>
      </c>
      <c r="H3842" s="96" t="s">
        <v>213</v>
      </c>
      <c r="I3842" s="97" t="s">
        <v>722</v>
      </c>
      <c r="J3842" s="73">
        <f t="shared" si="452"/>
        <v>1</v>
      </c>
      <c r="K3842" s="74" t="s">
        <v>204</v>
      </c>
      <c r="L3842" s="97" t="s">
        <v>12667</v>
      </c>
      <c r="N3842" s="76" t="s">
        <v>17</v>
      </c>
      <c r="Q3842" s="76" t="s">
        <v>5193</v>
      </c>
      <c r="R3842" s="73">
        <f t="shared" si="453"/>
        <v>1</v>
      </c>
      <c r="S3842" s="260" t="s">
        <v>1976</v>
      </c>
      <c r="T3842" s="260" t="s">
        <v>8990</v>
      </c>
      <c r="U3842" s="76" t="s">
        <v>5283</v>
      </c>
      <c r="V3842" s="301" t="s">
        <v>12668</v>
      </c>
      <c r="Y3842" s="566">
        <v>0.43217592592592591</v>
      </c>
      <c r="Z3842" s="566">
        <v>0.45751157407407406</v>
      </c>
      <c r="AA3842" s="566">
        <f t="shared" si="454"/>
        <v>2.5335648148148149E-2</v>
      </c>
    </row>
    <row r="3843" spans="1:27" x14ac:dyDescent="0.3">
      <c r="A3843" s="79" t="s">
        <v>12548</v>
      </c>
      <c r="C3843" s="115">
        <v>44145</v>
      </c>
      <c r="D3843" s="312">
        <v>44180</v>
      </c>
      <c r="E3843" s="81">
        <v>44175</v>
      </c>
      <c r="F3843" s="86" t="s">
        <v>12583</v>
      </c>
      <c r="G3843" s="86" t="s">
        <v>152</v>
      </c>
      <c r="H3843" s="96" t="s">
        <v>213</v>
      </c>
      <c r="I3843" s="97" t="s">
        <v>714</v>
      </c>
      <c r="J3843" s="73">
        <f t="shared" si="452"/>
        <v>1</v>
      </c>
      <c r="K3843" s="74" t="s">
        <v>204</v>
      </c>
      <c r="L3843" s="97" t="s">
        <v>7071</v>
      </c>
      <c r="N3843" s="76" t="s">
        <v>18</v>
      </c>
      <c r="Q3843" s="76" t="s">
        <v>5193</v>
      </c>
      <c r="R3843" s="73">
        <f t="shared" si="453"/>
        <v>1</v>
      </c>
      <c r="S3843" s="260" t="s">
        <v>1976</v>
      </c>
      <c r="T3843" s="260" t="s">
        <v>923</v>
      </c>
      <c r="Y3843" s="566">
        <v>0.43160879629629628</v>
      </c>
      <c r="Z3843" s="566">
        <v>0.47836805555555556</v>
      </c>
      <c r="AA3843" s="566">
        <f t="shared" si="454"/>
        <v>4.6759259259259278E-2</v>
      </c>
    </row>
    <row r="3844" spans="1:27" x14ac:dyDescent="0.3">
      <c r="A3844" s="79" t="s">
        <v>12549</v>
      </c>
      <c r="C3844" s="115">
        <v>44145</v>
      </c>
      <c r="D3844" s="312">
        <v>44180</v>
      </c>
      <c r="E3844" s="81">
        <v>44175</v>
      </c>
      <c r="F3844" s="86" t="s">
        <v>12584</v>
      </c>
      <c r="G3844" s="86" t="s">
        <v>164</v>
      </c>
      <c r="H3844" s="96" t="s">
        <v>213</v>
      </c>
      <c r="I3844" s="97" t="s">
        <v>642</v>
      </c>
      <c r="J3844" s="73">
        <f t="shared" si="452"/>
        <v>1</v>
      </c>
      <c r="K3844" s="74" t="s">
        <v>204</v>
      </c>
      <c r="L3844" s="97" t="s">
        <v>7110</v>
      </c>
      <c r="N3844" s="76" t="s">
        <v>18</v>
      </c>
      <c r="Q3844" s="76" t="s">
        <v>2142</v>
      </c>
      <c r="R3844" s="73">
        <f t="shared" si="453"/>
        <v>1</v>
      </c>
      <c r="S3844" s="260" t="s">
        <v>1976</v>
      </c>
      <c r="T3844" s="260" t="s">
        <v>923</v>
      </c>
      <c r="Y3844" s="566">
        <v>0.50353009259259263</v>
      </c>
      <c r="Z3844" s="566">
        <v>0.50565972222222222</v>
      </c>
      <c r="AA3844" s="566">
        <f t="shared" si="454"/>
        <v>2.1296296296295925E-3</v>
      </c>
    </row>
    <row r="3845" spans="1:27" x14ac:dyDescent="0.3">
      <c r="A3845" s="79" t="s">
        <v>12550</v>
      </c>
      <c r="C3845" s="115">
        <v>44145</v>
      </c>
      <c r="D3845" s="312">
        <v>44180</v>
      </c>
      <c r="E3845" s="81">
        <v>44175</v>
      </c>
      <c r="F3845" s="86" t="s">
        <v>12585</v>
      </c>
      <c r="G3845" s="86" t="s">
        <v>152</v>
      </c>
      <c r="H3845" s="96" t="s">
        <v>213</v>
      </c>
      <c r="I3845" s="97" t="s">
        <v>645</v>
      </c>
      <c r="J3845" s="73">
        <f t="shared" si="452"/>
        <v>1</v>
      </c>
      <c r="K3845" s="74" t="s">
        <v>204</v>
      </c>
      <c r="L3845" s="97" t="s">
        <v>7117</v>
      </c>
      <c r="N3845" s="76" t="s">
        <v>17</v>
      </c>
      <c r="Q3845" s="76" t="s">
        <v>2142</v>
      </c>
      <c r="R3845" s="73">
        <f t="shared" si="453"/>
        <v>1</v>
      </c>
      <c r="S3845" s="260" t="s">
        <v>1976</v>
      </c>
      <c r="T3845" s="260" t="s">
        <v>924</v>
      </c>
      <c r="Y3845" s="566">
        <v>0.49751157407407409</v>
      </c>
      <c r="Z3845" s="566">
        <v>0.50292824074074072</v>
      </c>
      <c r="AA3845" s="566">
        <f t="shared" si="454"/>
        <v>5.4166666666666252E-3</v>
      </c>
    </row>
    <row r="3846" spans="1:27" x14ac:dyDescent="0.3">
      <c r="A3846" s="79" t="s">
        <v>12551</v>
      </c>
      <c r="C3846" s="115">
        <v>44146</v>
      </c>
      <c r="D3846" s="115">
        <v>44181</v>
      </c>
      <c r="F3846" s="86" t="s">
        <v>12586</v>
      </c>
      <c r="G3846" s="86" t="s">
        <v>152</v>
      </c>
      <c r="H3846" s="96" t="s">
        <v>213</v>
      </c>
      <c r="J3846" s="73">
        <f t="shared" si="452"/>
        <v>0.1</v>
      </c>
      <c r="K3846" s="74" t="s">
        <v>556</v>
      </c>
      <c r="Q3846" s="76" t="s">
        <v>5193</v>
      </c>
      <c r="R3846" s="73">
        <f t="shared" si="453"/>
        <v>0</v>
      </c>
      <c r="S3846" s="260"/>
      <c r="T3846" s="260"/>
      <c r="AA3846" s="566">
        <f t="shared" si="454"/>
        <v>0</v>
      </c>
    </row>
    <row r="3847" spans="1:27" x14ac:dyDescent="0.3">
      <c r="A3847" s="79" t="s">
        <v>12552</v>
      </c>
      <c r="C3847" s="115">
        <v>44146</v>
      </c>
      <c r="D3847" s="312">
        <v>44181</v>
      </c>
      <c r="E3847" s="81">
        <v>44175</v>
      </c>
      <c r="F3847" s="86" t="s">
        <v>12587</v>
      </c>
      <c r="G3847" s="86" t="s">
        <v>152</v>
      </c>
      <c r="H3847" s="96" t="s">
        <v>213</v>
      </c>
      <c r="I3847" s="97" t="s">
        <v>642</v>
      </c>
      <c r="J3847" s="73">
        <f t="shared" si="452"/>
        <v>1</v>
      </c>
      <c r="K3847" s="74" t="s">
        <v>204</v>
      </c>
      <c r="L3847" s="97" t="s">
        <v>7066</v>
      </c>
      <c r="N3847" s="76" t="s">
        <v>18</v>
      </c>
      <c r="Q3847" s="76" t="s">
        <v>2142</v>
      </c>
      <c r="R3847" s="73">
        <f t="shared" si="453"/>
        <v>1</v>
      </c>
      <c r="S3847" s="260" t="s">
        <v>1976</v>
      </c>
      <c r="T3847" s="260" t="s">
        <v>923</v>
      </c>
      <c r="Y3847" s="566">
        <v>0.69395833333333334</v>
      </c>
      <c r="Z3847" s="566">
        <v>0.6990277777777778</v>
      </c>
      <c r="AA3847" s="566">
        <f t="shared" si="454"/>
        <v>5.0694444444444597E-3</v>
      </c>
    </row>
    <row r="3848" spans="1:27" x14ac:dyDescent="0.3">
      <c r="A3848" s="79" t="s">
        <v>12553</v>
      </c>
      <c r="C3848" s="115">
        <v>44146</v>
      </c>
      <c r="D3848" s="312">
        <v>44181</v>
      </c>
      <c r="E3848" s="81">
        <v>44175</v>
      </c>
      <c r="F3848" s="86" t="s">
        <v>12588</v>
      </c>
      <c r="G3848" s="86" t="s">
        <v>157</v>
      </c>
      <c r="H3848" s="96" t="s">
        <v>213</v>
      </c>
      <c r="I3848" s="97" t="s">
        <v>642</v>
      </c>
      <c r="J3848" s="73">
        <f t="shared" si="452"/>
        <v>1</v>
      </c>
      <c r="K3848" s="74" t="s">
        <v>204</v>
      </c>
      <c r="L3848" s="97" t="s">
        <v>7110</v>
      </c>
      <c r="N3848" s="76" t="s">
        <v>18</v>
      </c>
      <c r="Q3848" s="76" t="s">
        <v>5193</v>
      </c>
      <c r="R3848" s="73">
        <f t="shared" si="453"/>
        <v>1</v>
      </c>
      <c r="S3848" s="260" t="s">
        <v>1976</v>
      </c>
      <c r="T3848" s="260" t="s">
        <v>924</v>
      </c>
      <c r="Y3848" s="566">
        <v>0.68473379629629638</v>
      </c>
      <c r="Z3848" s="566">
        <v>0.68850694444444438</v>
      </c>
      <c r="AA3848" s="566">
        <f t="shared" si="454"/>
        <v>3.7731481481479978E-3</v>
      </c>
    </row>
    <row r="3849" spans="1:27" x14ac:dyDescent="0.3">
      <c r="A3849" s="79" t="s">
        <v>12554</v>
      </c>
      <c r="C3849" s="115">
        <v>44147</v>
      </c>
      <c r="D3849" s="312">
        <v>44182</v>
      </c>
      <c r="E3849" s="81">
        <v>44175</v>
      </c>
      <c r="F3849" s="86" t="s">
        <v>12589</v>
      </c>
      <c r="G3849" s="86" t="s">
        <v>166</v>
      </c>
      <c r="H3849" s="96" t="s">
        <v>213</v>
      </c>
      <c r="I3849" s="97" t="s">
        <v>642</v>
      </c>
      <c r="J3849" s="73">
        <f t="shared" si="452"/>
        <v>1</v>
      </c>
      <c r="K3849" s="74" t="s">
        <v>204</v>
      </c>
      <c r="L3849" s="97" t="s">
        <v>7069</v>
      </c>
      <c r="N3849" s="76" t="s">
        <v>18</v>
      </c>
      <c r="Q3849" s="76" t="s">
        <v>5193</v>
      </c>
      <c r="R3849" s="73">
        <f t="shared" si="453"/>
        <v>1</v>
      </c>
      <c r="S3849" s="260" t="s">
        <v>1976</v>
      </c>
      <c r="T3849" s="260" t="s">
        <v>924</v>
      </c>
      <c r="Y3849" s="566">
        <v>0.69978009259259266</v>
      </c>
      <c r="Z3849" s="566">
        <v>0.70497685185185188</v>
      </c>
      <c r="AA3849" s="566">
        <f t="shared" si="454"/>
        <v>5.1967592592592204E-3</v>
      </c>
    </row>
    <row r="3850" spans="1:27" x14ac:dyDescent="0.3">
      <c r="A3850" s="79" t="s">
        <v>12555</v>
      </c>
      <c r="C3850" s="115">
        <v>44147</v>
      </c>
      <c r="D3850" s="312">
        <v>44182</v>
      </c>
      <c r="E3850" s="81">
        <v>44176</v>
      </c>
      <c r="F3850" s="86" t="s">
        <v>12590</v>
      </c>
      <c r="G3850" s="86" t="s">
        <v>9119</v>
      </c>
      <c r="H3850" s="96" t="s">
        <v>213</v>
      </c>
      <c r="I3850" s="97" t="s">
        <v>642</v>
      </c>
      <c r="J3850" s="73">
        <f t="shared" si="452"/>
        <v>1</v>
      </c>
      <c r="K3850" s="74" t="s">
        <v>204</v>
      </c>
      <c r="L3850" s="97" t="s">
        <v>7066</v>
      </c>
      <c r="N3850" s="76" t="s">
        <v>18</v>
      </c>
      <c r="Q3850" s="76" t="s">
        <v>2142</v>
      </c>
      <c r="R3850" s="73">
        <f t="shared" si="453"/>
        <v>1</v>
      </c>
      <c r="S3850" s="260" t="s">
        <v>1976</v>
      </c>
      <c r="T3850" s="260" t="s">
        <v>925</v>
      </c>
      <c r="Y3850" s="566">
        <v>0.66237268518518522</v>
      </c>
      <c r="Z3850" s="566">
        <v>0.66596064814814815</v>
      </c>
      <c r="AA3850" s="566">
        <f t="shared" si="454"/>
        <v>3.5879629629629317E-3</v>
      </c>
    </row>
    <row r="3851" spans="1:27" x14ac:dyDescent="0.3">
      <c r="A3851" s="79" t="s">
        <v>12556</v>
      </c>
      <c r="C3851" s="115">
        <v>44148</v>
      </c>
      <c r="D3851" s="312">
        <v>44183</v>
      </c>
      <c r="E3851" s="81">
        <v>44176</v>
      </c>
      <c r="F3851" s="86" t="s">
        <v>12591</v>
      </c>
      <c r="G3851" s="86" t="s">
        <v>9119</v>
      </c>
      <c r="H3851" s="96" t="s">
        <v>213</v>
      </c>
      <c r="I3851" s="97" t="s">
        <v>714</v>
      </c>
      <c r="J3851" s="73">
        <f t="shared" si="452"/>
        <v>1</v>
      </c>
      <c r="K3851" s="74" t="s">
        <v>204</v>
      </c>
      <c r="L3851" s="97" t="s">
        <v>7071</v>
      </c>
      <c r="N3851" s="76" t="s">
        <v>8990</v>
      </c>
      <c r="Q3851" s="76" t="s">
        <v>5193</v>
      </c>
      <c r="R3851" s="73">
        <f t="shared" si="453"/>
        <v>1</v>
      </c>
      <c r="S3851" s="260" t="s">
        <v>1976</v>
      </c>
      <c r="T3851" s="260" t="s">
        <v>924</v>
      </c>
      <c r="Y3851" s="566">
        <v>0.67353009259259267</v>
      </c>
      <c r="Z3851" s="566">
        <v>0.68167824074074079</v>
      </c>
      <c r="AA3851" s="566">
        <f t="shared" si="454"/>
        <v>8.1481481481481266E-3</v>
      </c>
    </row>
    <row r="3852" spans="1:27" x14ac:dyDescent="0.3">
      <c r="A3852" s="79" t="s">
        <v>12557</v>
      </c>
      <c r="C3852" s="115">
        <v>44148</v>
      </c>
      <c r="D3852" s="312">
        <v>44183</v>
      </c>
      <c r="E3852" s="81">
        <v>44176</v>
      </c>
      <c r="F3852" s="86" t="s">
        <v>12592</v>
      </c>
      <c r="G3852" s="86" t="s">
        <v>147</v>
      </c>
      <c r="H3852" s="96" t="s">
        <v>213</v>
      </c>
      <c r="I3852" s="97" t="s">
        <v>642</v>
      </c>
      <c r="J3852" s="73">
        <f t="shared" si="452"/>
        <v>1</v>
      </c>
      <c r="K3852" s="74" t="s">
        <v>204</v>
      </c>
      <c r="L3852" s="97" t="s">
        <v>7110</v>
      </c>
      <c r="N3852" s="76" t="s">
        <v>18</v>
      </c>
      <c r="Q3852" s="76" t="s">
        <v>5193</v>
      </c>
      <c r="R3852" s="73">
        <f t="shared" si="453"/>
        <v>1</v>
      </c>
      <c r="S3852" s="260" t="s">
        <v>1976</v>
      </c>
      <c r="T3852" s="260" t="s">
        <v>924</v>
      </c>
      <c r="Y3852" s="566">
        <v>0.7055324074074073</v>
      </c>
      <c r="Z3852" s="566">
        <v>0.70898148148148143</v>
      </c>
      <c r="AA3852" s="566">
        <f t="shared" si="454"/>
        <v>3.4490740740741321E-3</v>
      </c>
    </row>
    <row r="3853" spans="1:27" x14ac:dyDescent="0.3">
      <c r="A3853" s="79" t="s">
        <v>12558</v>
      </c>
      <c r="C3853" s="115">
        <v>44158</v>
      </c>
      <c r="D3853" s="312">
        <v>44179</v>
      </c>
      <c r="E3853" s="81">
        <v>44174</v>
      </c>
      <c r="F3853" s="86" t="s">
        <v>12593</v>
      </c>
      <c r="G3853" s="97" t="s">
        <v>172</v>
      </c>
      <c r="H3853" s="96" t="s">
        <v>213</v>
      </c>
      <c r="I3853" s="97" t="s">
        <v>12614</v>
      </c>
      <c r="J3853" s="73">
        <f t="shared" si="452"/>
        <v>1</v>
      </c>
      <c r="K3853" s="74" t="s">
        <v>204</v>
      </c>
      <c r="L3853" s="97" t="s">
        <v>12613</v>
      </c>
      <c r="N3853" s="76" t="s">
        <v>19</v>
      </c>
      <c r="Q3853" s="76" t="s">
        <v>2142</v>
      </c>
      <c r="R3853" s="73">
        <f t="shared" si="453"/>
        <v>1</v>
      </c>
      <c r="S3853" s="260" t="s">
        <v>1976</v>
      </c>
      <c r="T3853" s="260" t="s">
        <v>924</v>
      </c>
      <c r="Y3853" s="566">
        <v>0.68427083333333327</v>
      </c>
      <c r="Z3853" s="566">
        <v>0.68581018518518511</v>
      </c>
      <c r="AA3853" s="566">
        <f t="shared" si="454"/>
        <v>1.5393518518518334E-3</v>
      </c>
    </row>
    <row r="3854" spans="1:27" x14ac:dyDescent="0.3">
      <c r="A3854" s="79" t="s">
        <v>12559</v>
      </c>
      <c r="C3854" s="115">
        <v>44158</v>
      </c>
      <c r="D3854" s="312">
        <v>44179</v>
      </c>
      <c r="E3854" s="81">
        <v>44176</v>
      </c>
      <c r="F3854" s="86" t="s">
        <v>12594</v>
      </c>
      <c r="G3854" s="86" t="s">
        <v>152</v>
      </c>
      <c r="H3854" s="96" t="s">
        <v>213</v>
      </c>
      <c r="I3854" s="97" t="s">
        <v>3475</v>
      </c>
      <c r="J3854" s="73">
        <f t="shared" si="452"/>
        <v>1</v>
      </c>
      <c r="K3854" s="74" t="s">
        <v>204</v>
      </c>
      <c r="L3854" s="97" t="s">
        <v>7561</v>
      </c>
      <c r="N3854" s="76" t="s">
        <v>19</v>
      </c>
      <c r="Q3854" s="76" t="s">
        <v>5193</v>
      </c>
      <c r="R3854" s="73">
        <f t="shared" si="453"/>
        <v>1</v>
      </c>
      <c r="S3854" s="260" t="s">
        <v>1976</v>
      </c>
      <c r="T3854" s="260" t="s">
        <v>925</v>
      </c>
      <c r="Y3854" s="566">
        <v>0.45913194444444444</v>
      </c>
      <c r="Z3854" s="566">
        <v>0.49098379629629635</v>
      </c>
      <c r="AA3854" s="566">
        <f t="shared" si="454"/>
        <v>3.1851851851851909E-2</v>
      </c>
    </row>
    <row r="3855" spans="1:27" x14ac:dyDescent="0.3">
      <c r="A3855" s="79" t="s">
        <v>12560</v>
      </c>
      <c r="C3855" s="115">
        <v>44158</v>
      </c>
      <c r="D3855" s="312">
        <v>44179</v>
      </c>
      <c r="E3855" s="81">
        <v>44174</v>
      </c>
      <c r="F3855" s="86" t="s">
        <v>12595</v>
      </c>
      <c r="G3855" s="86" t="s">
        <v>152</v>
      </c>
      <c r="H3855" s="96" t="s">
        <v>213</v>
      </c>
      <c r="I3855" s="97" t="s">
        <v>649</v>
      </c>
      <c r="J3855" s="73">
        <f t="shared" si="452"/>
        <v>1</v>
      </c>
      <c r="K3855" s="74" t="s">
        <v>204</v>
      </c>
      <c r="L3855" s="97" t="s">
        <v>7065</v>
      </c>
      <c r="N3855" s="76" t="s">
        <v>17</v>
      </c>
      <c r="Q3855" s="76" t="s">
        <v>2142</v>
      </c>
      <c r="R3855" s="73">
        <f t="shared" si="453"/>
        <v>1</v>
      </c>
      <c r="S3855" s="260" t="s">
        <v>1976</v>
      </c>
      <c r="T3855" s="260" t="s">
        <v>925</v>
      </c>
      <c r="Y3855" s="566">
        <v>0.65607638888888886</v>
      </c>
      <c r="Z3855" s="566">
        <v>0.67069444444444448</v>
      </c>
      <c r="AA3855" s="566">
        <f t="shared" si="454"/>
        <v>1.461805555555562E-2</v>
      </c>
    </row>
    <row r="3856" spans="1:27" x14ac:dyDescent="0.3">
      <c r="A3856" s="79" t="s">
        <v>12561</v>
      </c>
      <c r="C3856" s="115">
        <v>44159</v>
      </c>
      <c r="D3856" s="312">
        <v>44180</v>
      </c>
      <c r="E3856" s="81">
        <v>44175</v>
      </c>
      <c r="F3856" s="86" t="s">
        <v>12596</v>
      </c>
      <c r="G3856" s="86" t="s">
        <v>157</v>
      </c>
      <c r="H3856" s="96" t="s">
        <v>213</v>
      </c>
      <c r="I3856" s="97" t="s">
        <v>649</v>
      </c>
      <c r="J3856" s="73">
        <f t="shared" si="452"/>
        <v>1</v>
      </c>
      <c r="K3856" s="74" t="s">
        <v>204</v>
      </c>
      <c r="L3856" s="97" t="s">
        <v>7915</v>
      </c>
      <c r="N3856" s="76" t="s">
        <v>17</v>
      </c>
      <c r="Q3856" s="76" t="s">
        <v>5193</v>
      </c>
      <c r="R3856" s="73">
        <f t="shared" si="453"/>
        <v>1</v>
      </c>
      <c r="S3856" s="260" t="s">
        <v>1976</v>
      </c>
      <c r="T3856" s="260" t="s">
        <v>925</v>
      </c>
      <c r="Y3856" s="566">
        <v>0.47890046296296296</v>
      </c>
      <c r="Z3856" s="566">
        <v>0.48716435185185186</v>
      </c>
      <c r="AA3856" s="566">
        <f t="shared" si="454"/>
        <v>8.2638888888889039E-3</v>
      </c>
    </row>
    <row r="3857" spans="1:27" x14ac:dyDescent="0.3">
      <c r="A3857" s="79" t="s">
        <v>12562</v>
      </c>
      <c r="C3857" s="115">
        <v>44159</v>
      </c>
      <c r="D3857" s="312">
        <v>44180</v>
      </c>
      <c r="E3857" s="81">
        <v>44175</v>
      </c>
      <c r="F3857" s="86" t="s">
        <v>12597</v>
      </c>
      <c r="G3857" s="86" t="s">
        <v>152</v>
      </c>
      <c r="H3857" s="96" t="s">
        <v>213</v>
      </c>
      <c r="I3857" s="97" t="s">
        <v>649</v>
      </c>
      <c r="J3857" s="73">
        <f t="shared" si="452"/>
        <v>1</v>
      </c>
      <c r="K3857" s="74" t="s">
        <v>204</v>
      </c>
      <c r="L3857" s="97" t="s">
        <v>7915</v>
      </c>
      <c r="N3857" s="76" t="s">
        <v>17</v>
      </c>
      <c r="Q3857" s="76" t="s">
        <v>2142</v>
      </c>
      <c r="R3857" s="73">
        <f t="shared" si="453"/>
        <v>1</v>
      </c>
      <c r="S3857" s="260" t="s">
        <v>1976</v>
      </c>
      <c r="T3857" s="260" t="s">
        <v>925</v>
      </c>
      <c r="Y3857" s="566">
        <v>0.48784722222222227</v>
      </c>
      <c r="Z3857" s="566">
        <v>0.49687500000000001</v>
      </c>
      <c r="AA3857" s="566">
        <f t="shared" si="454"/>
        <v>9.0277777777777457E-3</v>
      </c>
    </row>
    <row r="3858" spans="1:27" x14ac:dyDescent="0.3">
      <c r="A3858" s="79" t="s">
        <v>12563</v>
      </c>
      <c r="C3858" s="115">
        <v>44160</v>
      </c>
      <c r="D3858" s="312">
        <v>44181</v>
      </c>
      <c r="E3858" s="81">
        <v>44176</v>
      </c>
      <c r="F3858" s="86" t="s">
        <v>12598</v>
      </c>
      <c r="G3858" s="86" t="s">
        <v>152</v>
      </c>
      <c r="H3858" s="79" t="s">
        <v>268</v>
      </c>
      <c r="I3858" s="97" t="s">
        <v>649</v>
      </c>
      <c r="J3858" s="73">
        <f t="shared" si="452"/>
        <v>1</v>
      </c>
      <c r="K3858" s="74" t="s">
        <v>204</v>
      </c>
      <c r="L3858" s="97" t="s">
        <v>12670</v>
      </c>
      <c r="N3858" s="76" t="s">
        <v>8990</v>
      </c>
      <c r="Q3858" s="76" t="s">
        <v>2142</v>
      </c>
      <c r="R3858" s="73">
        <f t="shared" si="453"/>
        <v>1</v>
      </c>
      <c r="S3858" s="260" t="s">
        <v>1976</v>
      </c>
      <c r="T3858" s="260" t="s">
        <v>924</v>
      </c>
      <c r="Y3858" s="566">
        <v>0.50991898148148151</v>
      </c>
      <c r="Z3858" s="566">
        <v>0.55128472222222225</v>
      </c>
      <c r="AA3858" s="566">
        <f t="shared" si="454"/>
        <v>4.1365740740740731E-2</v>
      </c>
    </row>
    <row r="3859" spans="1:27" x14ac:dyDescent="0.3">
      <c r="A3859" s="79" t="s">
        <v>12564</v>
      </c>
      <c r="C3859" s="115">
        <v>44160</v>
      </c>
      <c r="D3859" s="312">
        <v>44181</v>
      </c>
      <c r="E3859" s="81">
        <v>44175</v>
      </c>
      <c r="F3859" s="86" t="s">
        <v>12599</v>
      </c>
      <c r="G3859" s="86" t="s">
        <v>9119</v>
      </c>
      <c r="H3859" s="96" t="s">
        <v>213</v>
      </c>
      <c r="I3859" s="97" t="s">
        <v>649</v>
      </c>
      <c r="J3859" s="73">
        <f t="shared" si="452"/>
        <v>1</v>
      </c>
      <c r="K3859" s="74" t="s">
        <v>204</v>
      </c>
      <c r="L3859" s="97" t="s">
        <v>12657</v>
      </c>
      <c r="N3859" s="76" t="s">
        <v>17</v>
      </c>
      <c r="Q3859" s="76" t="s">
        <v>2142</v>
      </c>
      <c r="R3859" s="73">
        <f t="shared" si="453"/>
        <v>1</v>
      </c>
      <c r="S3859" s="260" t="s">
        <v>1976</v>
      </c>
      <c r="T3859" s="260" t="s">
        <v>923</v>
      </c>
      <c r="Y3859" s="566">
        <v>0.51774305555555555</v>
      </c>
      <c r="Z3859" s="566">
        <v>0.68325231481481474</v>
      </c>
      <c r="AA3859" s="566">
        <f t="shared" si="454"/>
        <v>0.16550925925925919</v>
      </c>
    </row>
    <row r="3860" spans="1:27" x14ac:dyDescent="0.3">
      <c r="A3860" s="79" t="s">
        <v>12565</v>
      </c>
      <c r="C3860" s="115">
        <v>44160</v>
      </c>
      <c r="D3860" s="312">
        <v>44182</v>
      </c>
      <c r="E3860" s="81">
        <v>44176</v>
      </c>
      <c r="F3860" s="86" t="s">
        <v>12600</v>
      </c>
      <c r="G3860" s="86" t="s">
        <v>168</v>
      </c>
      <c r="H3860" s="96" t="s">
        <v>213</v>
      </c>
      <c r="I3860" s="97" t="s">
        <v>3475</v>
      </c>
      <c r="J3860" s="73">
        <f t="shared" si="452"/>
        <v>1</v>
      </c>
      <c r="K3860" s="74" t="s">
        <v>204</v>
      </c>
      <c r="L3860" s="97" t="s">
        <v>7561</v>
      </c>
      <c r="N3860" s="76" t="s">
        <v>19</v>
      </c>
      <c r="Q3860" s="76" t="s">
        <v>5193</v>
      </c>
      <c r="R3860" s="73">
        <f t="shared" si="453"/>
        <v>1</v>
      </c>
      <c r="S3860" s="260" t="s">
        <v>1976</v>
      </c>
      <c r="T3860" s="260" t="s">
        <v>923</v>
      </c>
      <c r="Y3860" s="566">
        <v>0.5995949074074074</v>
      </c>
      <c r="Z3860" s="566">
        <v>0.60443287037037041</v>
      </c>
      <c r="AA3860" s="566">
        <f t="shared" si="454"/>
        <v>4.8379629629630161E-3</v>
      </c>
    </row>
    <row r="3861" spans="1:27" x14ac:dyDescent="0.3">
      <c r="A3861" s="79" t="s">
        <v>12566</v>
      </c>
      <c r="C3861" s="115">
        <v>44160</v>
      </c>
      <c r="D3861" s="312">
        <v>44182</v>
      </c>
      <c r="E3861" s="81">
        <v>44176</v>
      </c>
      <c r="F3861" s="86" t="s">
        <v>12601</v>
      </c>
      <c r="G3861" s="86" t="s">
        <v>156</v>
      </c>
      <c r="H3861" s="96" t="s">
        <v>213</v>
      </c>
      <c r="I3861" s="97" t="s">
        <v>3475</v>
      </c>
      <c r="J3861" s="73">
        <f t="shared" si="452"/>
        <v>1</v>
      </c>
      <c r="K3861" s="74" t="s">
        <v>204</v>
      </c>
      <c r="L3861" s="97" t="s">
        <v>7561</v>
      </c>
      <c r="N3861" s="76" t="s">
        <v>19</v>
      </c>
      <c r="Q3861" s="76" t="s">
        <v>5193</v>
      </c>
      <c r="R3861" s="73">
        <f t="shared" si="453"/>
        <v>1</v>
      </c>
      <c r="S3861" s="260" t="s">
        <v>1976</v>
      </c>
      <c r="T3861" s="260" t="s">
        <v>923</v>
      </c>
      <c r="Y3861" s="566">
        <v>0.60515046296296293</v>
      </c>
      <c r="Z3861" s="566">
        <v>0.60893518518518519</v>
      </c>
      <c r="AA3861" s="566">
        <f t="shared" si="454"/>
        <v>3.7847222222222587E-3</v>
      </c>
    </row>
    <row r="3862" spans="1:27" x14ac:dyDescent="0.3">
      <c r="A3862" s="79" t="s">
        <v>12567</v>
      </c>
      <c r="C3862" s="115">
        <v>44160</v>
      </c>
      <c r="D3862" s="312">
        <v>44182</v>
      </c>
      <c r="E3862" s="81">
        <v>44176</v>
      </c>
      <c r="F3862" s="86" t="s">
        <v>12602</v>
      </c>
      <c r="G3862" s="86" t="s">
        <v>410</v>
      </c>
      <c r="H3862" s="96" t="s">
        <v>213</v>
      </c>
      <c r="I3862" s="97" t="s">
        <v>622</v>
      </c>
      <c r="J3862" s="73">
        <f t="shared" si="452"/>
        <v>1</v>
      </c>
      <c r="K3862" s="74" t="s">
        <v>204</v>
      </c>
      <c r="L3862" s="97" t="s">
        <v>12669</v>
      </c>
      <c r="N3862" s="76" t="s">
        <v>19</v>
      </c>
      <c r="Q3862" s="76" t="s">
        <v>5193</v>
      </c>
      <c r="R3862" s="73">
        <f t="shared" si="453"/>
        <v>1</v>
      </c>
      <c r="S3862" s="260" t="s">
        <v>1976</v>
      </c>
      <c r="T3862" s="260" t="s">
        <v>923</v>
      </c>
      <c r="U3862" s="76" t="s">
        <v>5283</v>
      </c>
      <c r="V3862" s="301" t="s">
        <v>12672</v>
      </c>
      <c r="Y3862" s="566">
        <v>0.49253472222222222</v>
      </c>
      <c r="Z3862" s="566">
        <v>0.50694444444444442</v>
      </c>
      <c r="AA3862" s="566">
        <f t="shared" si="454"/>
        <v>1.4409722222222199E-2</v>
      </c>
    </row>
    <row r="3863" spans="1:27" x14ac:dyDescent="0.3">
      <c r="A3863" s="79" t="s">
        <v>12568</v>
      </c>
      <c r="C3863" s="115">
        <v>44161</v>
      </c>
      <c r="D3863" s="312">
        <v>44182</v>
      </c>
      <c r="E3863" s="81">
        <v>44176</v>
      </c>
      <c r="F3863" s="86" t="s">
        <v>12603</v>
      </c>
      <c r="G3863" s="86" t="s">
        <v>173</v>
      </c>
      <c r="H3863" s="96" t="s">
        <v>213</v>
      </c>
      <c r="I3863" s="97" t="s">
        <v>649</v>
      </c>
      <c r="J3863" s="73">
        <f t="shared" si="452"/>
        <v>1</v>
      </c>
      <c r="K3863" s="74" t="s">
        <v>204</v>
      </c>
      <c r="L3863" s="97" t="s">
        <v>12671</v>
      </c>
      <c r="N3863" s="76" t="s">
        <v>17</v>
      </c>
      <c r="Q3863" s="76" t="s">
        <v>5193</v>
      </c>
      <c r="R3863" s="73">
        <f t="shared" si="453"/>
        <v>1</v>
      </c>
      <c r="S3863" s="260" t="s">
        <v>1976</v>
      </c>
      <c r="T3863" s="260" t="s">
        <v>925</v>
      </c>
      <c r="Y3863" s="566">
        <v>0.5522569444444444</v>
      </c>
      <c r="Z3863" s="566">
        <v>0.57010416666666663</v>
      </c>
      <c r="AA3863" s="566">
        <f t="shared" si="454"/>
        <v>1.7847222222222237E-2</v>
      </c>
    </row>
    <row r="3864" spans="1:27" x14ac:dyDescent="0.3">
      <c r="A3864" s="96" t="s">
        <v>12569</v>
      </c>
      <c r="C3864" s="115">
        <v>44161</v>
      </c>
      <c r="D3864" s="312">
        <v>44182</v>
      </c>
      <c r="E3864" s="81">
        <v>44176</v>
      </c>
      <c r="F3864" s="86" t="s">
        <v>12604</v>
      </c>
      <c r="G3864" s="86" t="s">
        <v>156</v>
      </c>
      <c r="H3864" s="96" t="s">
        <v>213</v>
      </c>
      <c r="I3864" s="97" t="s">
        <v>649</v>
      </c>
      <c r="J3864" s="73">
        <f t="shared" si="452"/>
        <v>1</v>
      </c>
      <c r="K3864" s="74" t="s">
        <v>204</v>
      </c>
      <c r="L3864" s="97" t="s">
        <v>7089</v>
      </c>
      <c r="N3864" s="76" t="s">
        <v>17</v>
      </c>
      <c r="Q3864" s="76" t="s">
        <v>5193</v>
      </c>
      <c r="R3864" s="73">
        <f t="shared" si="453"/>
        <v>1</v>
      </c>
      <c r="S3864" s="260" t="s">
        <v>1976</v>
      </c>
      <c r="T3864" s="260" t="s">
        <v>924</v>
      </c>
      <c r="Y3864" s="566">
        <v>0.57076388888888896</v>
      </c>
      <c r="Z3864" s="566">
        <v>0.5988310185185185</v>
      </c>
      <c r="AA3864" s="566">
        <f t="shared" si="454"/>
        <v>2.8067129629629539E-2</v>
      </c>
    </row>
    <row r="3865" spans="1:27" x14ac:dyDescent="0.3">
      <c r="A3865" s="79" t="s">
        <v>12570</v>
      </c>
      <c r="C3865" s="115">
        <v>44161</v>
      </c>
      <c r="D3865" s="312">
        <v>44182</v>
      </c>
      <c r="E3865" s="81">
        <v>44176</v>
      </c>
      <c r="F3865" s="86" t="s">
        <v>12605</v>
      </c>
      <c r="G3865" s="86" t="s">
        <v>154</v>
      </c>
      <c r="H3865" s="96" t="s">
        <v>213</v>
      </c>
      <c r="I3865" s="97" t="s">
        <v>658</v>
      </c>
      <c r="J3865" s="73">
        <f t="shared" si="452"/>
        <v>1</v>
      </c>
      <c r="K3865" s="74" t="s">
        <v>204</v>
      </c>
      <c r="L3865" s="97" t="s">
        <v>12673</v>
      </c>
      <c r="N3865" s="76" t="s">
        <v>18</v>
      </c>
      <c r="Q3865" s="76" t="s">
        <v>2142</v>
      </c>
      <c r="R3865" s="73">
        <f t="shared" si="453"/>
        <v>1</v>
      </c>
      <c r="S3865" s="260" t="s">
        <v>1976</v>
      </c>
      <c r="T3865" s="260" t="s">
        <v>923</v>
      </c>
      <c r="Y3865" s="566">
        <v>0.66650462962962964</v>
      </c>
      <c r="Z3865" s="566">
        <v>0.67114583333333344</v>
      </c>
      <c r="AA3865" s="566">
        <f t="shared" si="454"/>
        <v>4.6412037037038001E-3</v>
      </c>
    </row>
    <row r="3866" spans="1:27" x14ac:dyDescent="0.3">
      <c r="A3866" s="79" t="s">
        <v>12571</v>
      </c>
      <c r="C3866" s="115">
        <v>44161</v>
      </c>
      <c r="D3866" s="312">
        <v>44182</v>
      </c>
      <c r="E3866" s="81">
        <v>44178</v>
      </c>
      <c r="F3866" s="86" t="s">
        <v>12606</v>
      </c>
      <c r="G3866" s="86" t="s">
        <v>187</v>
      </c>
      <c r="H3866" s="96" t="s">
        <v>213</v>
      </c>
      <c r="I3866" s="97" t="s">
        <v>649</v>
      </c>
      <c r="J3866" s="73">
        <f t="shared" si="452"/>
        <v>1</v>
      </c>
      <c r="K3866" s="74" t="s">
        <v>204</v>
      </c>
      <c r="L3866" s="97" t="s">
        <v>12683</v>
      </c>
      <c r="N3866" s="76" t="s">
        <v>8990</v>
      </c>
      <c r="Q3866" s="76" t="s">
        <v>2142</v>
      </c>
      <c r="R3866" s="73">
        <f t="shared" si="453"/>
        <v>1</v>
      </c>
      <c r="S3866" s="260" t="s">
        <v>1976</v>
      </c>
      <c r="T3866" s="260" t="s">
        <v>925</v>
      </c>
      <c r="Y3866" s="566">
        <v>0.61460648148148145</v>
      </c>
      <c r="Z3866" s="566">
        <v>0.62844907407407413</v>
      </c>
      <c r="AA3866" s="566">
        <f t="shared" si="454"/>
        <v>1.3842592592592684E-2</v>
      </c>
    </row>
    <row r="3867" spans="1:27" x14ac:dyDescent="0.3">
      <c r="A3867" s="79" t="s">
        <v>12572</v>
      </c>
      <c r="C3867" s="115">
        <v>44161</v>
      </c>
      <c r="D3867" s="312">
        <v>44182</v>
      </c>
      <c r="E3867" s="81">
        <v>44176</v>
      </c>
      <c r="F3867" s="86" t="s">
        <v>12607</v>
      </c>
      <c r="G3867" s="86" t="s">
        <v>172</v>
      </c>
      <c r="H3867" s="96" t="s">
        <v>213</v>
      </c>
      <c r="I3867" s="97" t="s">
        <v>12614</v>
      </c>
      <c r="J3867" s="73">
        <f t="shared" si="452"/>
        <v>1</v>
      </c>
      <c r="K3867" s="74" t="s">
        <v>204</v>
      </c>
      <c r="L3867" s="97" t="s">
        <v>12674</v>
      </c>
      <c r="N3867" s="76" t="s">
        <v>19</v>
      </c>
      <c r="Q3867" s="76" t="s">
        <v>2142</v>
      </c>
      <c r="R3867" s="73">
        <f t="shared" si="453"/>
        <v>1</v>
      </c>
      <c r="S3867" s="260" t="s">
        <v>1976</v>
      </c>
      <c r="T3867" s="260" t="s">
        <v>924</v>
      </c>
      <c r="Y3867" s="566">
        <v>0.6715740740740741</v>
      </c>
      <c r="Z3867" s="566">
        <v>0.67284722222222226</v>
      </c>
      <c r="AA3867" s="566">
        <f t="shared" si="454"/>
        <v>1.2731481481481621E-3</v>
      </c>
    </row>
    <row r="3868" spans="1:27" x14ac:dyDescent="0.3">
      <c r="A3868" s="79" t="s">
        <v>12573</v>
      </c>
      <c r="C3868" s="115">
        <v>44162</v>
      </c>
      <c r="D3868" s="312">
        <v>44183</v>
      </c>
      <c r="E3868" s="81">
        <v>44178</v>
      </c>
      <c r="F3868" s="86" t="s">
        <v>12608</v>
      </c>
      <c r="G3868" s="86" t="s">
        <v>152</v>
      </c>
      <c r="H3868" s="96" t="s">
        <v>213</v>
      </c>
      <c r="I3868" s="97" t="s">
        <v>3475</v>
      </c>
      <c r="J3868" s="73">
        <f t="shared" si="452"/>
        <v>1</v>
      </c>
      <c r="K3868" s="74" t="s">
        <v>204</v>
      </c>
      <c r="L3868" s="97" t="s">
        <v>7561</v>
      </c>
      <c r="N3868" s="76" t="s">
        <v>19</v>
      </c>
      <c r="Q3868" s="76" t="s">
        <v>5193</v>
      </c>
      <c r="R3868" s="73">
        <f t="shared" si="453"/>
        <v>1</v>
      </c>
      <c r="S3868" s="260" t="s">
        <v>1976</v>
      </c>
      <c r="T3868" s="260" t="s">
        <v>923</v>
      </c>
      <c r="Y3868" s="566">
        <v>0.58436342592592594</v>
      </c>
      <c r="Z3868" s="566">
        <v>0.58672453703703698</v>
      </c>
      <c r="AA3868" s="566">
        <f t="shared" si="454"/>
        <v>2.3611111111110361E-3</v>
      </c>
    </row>
    <row r="3869" spans="1:27" x14ac:dyDescent="0.3">
      <c r="A3869" s="79" t="s">
        <v>12574</v>
      </c>
      <c r="C3869" s="115">
        <v>44162</v>
      </c>
      <c r="D3869" s="115">
        <v>44183</v>
      </c>
      <c r="F3869" s="86" t="s">
        <v>12609</v>
      </c>
      <c r="G3869" s="86" t="s">
        <v>9119</v>
      </c>
      <c r="H3869" s="96" t="s">
        <v>213</v>
      </c>
      <c r="J3869" s="73">
        <f t="shared" si="452"/>
        <v>0.1</v>
      </c>
      <c r="K3869" s="74" t="s">
        <v>556</v>
      </c>
      <c r="Q3869" s="76" t="s">
        <v>2142</v>
      </c>
      <c r="R3869" s="73">
        <f t="shared" si="453"/>
        <v>0</v>
      </c>
      <c r="S3869" s="260"/>
      <c r="T3869" s="260"/>
      <c r="AA3869" s="566">
        <f t="shared" si="454"/>
        <v>0</v>
      </c>
    </row>
    <row r="3870" spans="1:27" x14ac:dyDescent="0.3">
      <c r="A3870" s="79" t="s">
        <v>12575</v>
      </c>
      <c r="C3870" s="115">
        <v>44162</v>
      </c>
      <c r="D3870" s="115">
        <v>44183</v>
      </c>
      <c r="F3870" s="86" t="s">
        <v>12610</v>
      </c>
      <c r="G3870" s="86" t="s">
        <v>181</v>
      </c>
      <c r="H3870" s="96" t="s">
        <v>213</v>
      </c>
      <c r="J3870" s="73">
        <f t="shared" si="452"/>
        <v>0</v>
      </c>
      <c r="K3870" s="74"/>
      <c r="Q3870" s="76" t="s">
        <v>2142</v>
      </c>
      <c r="R3870" s="73">
        <f t="shared" si="453"/>
        <v>0</v>
      </c>
      <c r="S3870" s="260"/>
      <c r="T3870" s="260"/>
      <c r="AA3870" s="566">
        <f t="shared" si="454"/>
        <v>0</v>
      </c>
    </row>
    <row r="3871" spans="1:27" x14ac:dyDescent="0.3">
      <c r="A3871" s="79" t="s">
        <v>12576</v>
      </c>
      <c r="C3871" s="115">
        <v>44162</v>
      </c>
      <c r="D3871" s="115">
        <v>44183</v>
      </c>
      <c r="F3871" s="86" t="s">
        <v>12611</v>
      </c>
      <c r="G3871" s="86" t="s">
        <v>157</v>
      </c>
      <c r="H3871" s="96" t="s">
        <v>213</v>
      </c>
      <c r="J3871" s="73">
        <f t="shared" si="452"/>
        <v>0</v>
      </c>
      <c r="K3871" s="74"/>
      <c r="Q3871" s="76" t="s">
        <v>2142</v>
      </c>
      <c r="R3871" s="73">
        <f t="shared" si="453"/>
        <v>0</v>
      </c>
      <c r="S3871" s="260"/>
      <c r="T3871" s="260"/>
      <c r="AA3871" s="566">
        <f t="shared" si="454"/>
        <v>0</v>
      </c>
    </row>
    <row r="3872" spans="1:27" x14ac:dyDescent="0.3">
      <c r="A3872" s="96" t="s">
        <v>12615</v>
      </c>
      <c r="C3872" s="81">
        <v>44137</v>
      </c>
      <c r="D3872" s="109">
        <v>44173</v>
      </c>
      <c r="E3872" s="81">
        <v>44169</v>
      </c>
      <c r="F3872" s="97" t="s">
        <v>12616</v>
      </c>
      <c r="G3872" s="86" t="s">
        <v>172</v>
      </c>
      <c r="H3872" s="96" t="s">
        <v>213</v>
      </c>
      <c r="I3872" s="97" t="s">
        <v>12614</v>
      </c>
      <c r="J3872" s="73">
        <f t="shared" ref="J3872:J3882" si="455">IF(OR(K3872="Документы готовы",K3872="Запрос в ФО",K3872="ЭЗ",K3872="РЕШ",K3872="РЕШ шаблон"),0.1,IF(OR(K3872="ЭЗ согласование",K3872="РЕШ согласование"),0.3,IF(OR(K3872="ЭЗ согласовано",K3872="РЕШ согласовано",K3872="РЕШ подписано"),0.6,IF(OR(K3872="ЭЗ ПР согласование",K3872="РЕШ УВ согласование"),0.9,IF(OR(K3872="ЭЗ ПР DONE",K3872="РЕШ УВ DONE"),1,0)))))</f>
        <v>1</v>
      </c>
      <c r="K3872" s="74" t="s">
        <v>204</v>
      </c>
      <c r="L3872" s="97" t="s">
        <v>12613</v>
      </c>
      <c r="N3872" s="76" t="s">
        <v>19</v>
      </c>
      <c r="Q3872" s="76" t="s">
        <v>5193</v>
      </c>
      <c r="R3872" s="73">
        <f t="shared" ref="R3872:R3882" si="456">IF(S3872="В работе",0.3,IF(S3872="Отписано",0.6,IF(S3872="На доработку",0.9,IF(S3872="Согласовано",1,0))))</f>
        <v>1</v>
      </c>
      <c r="S3872" s="260" t="s">
        <v>1976</v>
      </c>
      <c r="T3872" s="260" t="s">
        <v>924</v>
      </c>
      <c r="Y3872" s="566">
        <v>0.47494212962962962</v>
      </c>
      <c r="Z3872" s="566">
        <v>0.4763310185185185</v>
      </c>
      <c r="AA3872" s="566">
        <f t="shared" si="454"/>
        <v>1.388888888888884E-3</v>
      </c>
    </row>
    <row r="3873" spans="1:27" x14ac:dyDescent="0.3">
      <c r="A3873" s="96" t="s">
        <v>12619</v>
      </c>
      <c r="C3873" s="81">
        <v>44152</v>
      </c>
      <c r="D3873" s="109">
        <v>44173</v>
      </c>
      <c r="E3873" s="81">
        <v>44171</v>
      </c>
      <c r="F3873" s="97" t="s">
        <v>12620</v>
      </c>
      <c r="G3873" s="97" t="s">
        <v>150</v>
      </c>
      <c r="H3873" s="96" t="s">
        <v>213</v>
      </c>
      <c r="J3873" s="73">
        <f t="shared" si="455"/>
        <v>1</v>
      </c>
      <c r="K3873" s="74" t="s">
        <v>204</v>
      </c>
      <c r="L3873" s="97" t="s">
        <v>12621</v>
      </c>
      <c r="N3873" s="76" t="s">
        <v>18</v>
      </c>
      <c r="Q3873" s="76" t="s">
        <v>2142</v>
      </c>
      <c r="R3873" s="73">
        <f t="shared" si="456"/>
        <v>1</v>
      </c>
      <c r="S3873" s="260" t="s">
        <v>1976</v>
      </c>
      <c r="T3873" s="260" t="s">
        <v>924</v>
      </c>
      <c r="X3873" s="301" t="s">
        <v>12636</v>
      </c>
      <c r="Y3873" s="566">
        <v>0.66518518518518521</v>
      </c>
      <c r="Z3873" s="566">
        <v>0.67188657407407415</v>
      </c>
      <c r="AA3873" s="566">
        <f t="shared" ref="AA3873:AA3882" si="457">Z3873-Y3873</f>
        <v>6.7013888888889372E-3</v>
      </c>
    </row>
    <row r="3874" spans="1:27" x14ac:dyDescent="0.3">
      <c r="A3874" s="96" t="s">
        <v>12622</v>
      </c>
      <c r="C3874" s="81">
        <v>44152</v>
      </c>
      <c r="D3874" s="109">
        <v>44173</v>
      </c>
      <c r="E3874" s="81">
        <v>44171</v>
      </c>
      <c r="F3874" s="97" t="s">
        <v>12623</v>
      </c>
      <c r="G3874" s="97" t="s">
        <v>189</v>
      </c>
      <c r="H3874" s="96" t="s">
        <v>213</v>
      </c>
      <c r="I3874" s="97" t="s">
        <v>7856</v>
      </c>
      <c r="J3874" s="73">
        <f t="shared" si="455"/>
        <v>1</v>
      </c>
      <c r="K3874" s="74" t="s">
        <v>204</v>
      </c>
      <c r="L3874" s="97" t="s">
        <v>12624</v>
      </c>
      <c r="N3874" s="76" t="s">
        <v>19</v>
      </c>
      <c r="Q3874" s="76" t="s">
        <v>2142</v>
      </c>
      <c r="R3874" s="73">
        <f t="shared" si="456"/>
        <v>1</v>
      </c>
      <c r="S3874" s="260" t="s">
        <v>1976</v>
      </c>
      <c r="T3874" s="260" t="s">
        <v>923</v>
      </c>
      <c r="Y3874" s="566">
        <v>0.67353009259259267</v>
      </c>
      <c r="Z3874" s="566">
        <v>0.68809027777777787</v>
      </c>
      <c r="AA3874" s="566">
        <f t="shared" si="457"/>
        <v>1.4560185185185204E-2</v>
      </c>
    </row>
    <row r="3875" spans="1:27" x14ac:dyDescent="0.3">
      <c r="A3875" s="96" t="s">
        <v>12625</v>
      </c>
      <c r="C3875" s="81">
        <v>44137</v>
      </c>
      <c r="D3875" s="109">
        <v>44173</v>
      </c>
      <c r="E3875" s="81">
        <v>44171</v>
      </c>
      <c r="F3875" s="97" t="s">
        <v>12626</v>
      </c>
      <c r="G3875" s="97" t="s">
        <v>152</v>
      </c>
      <c r="H3875" s="96" t="s">
        <v>213</v>
      </c>
      <c r="I3875" s="97" t="s">
        <v>722</v>
      </c>
      <c r="J3875" s="73">
        <f t="shared" si="455"/>
        <v>1</v>
      </c>
      <c r="K3875" s="74" t="s">
        <v>204</v>
      </c>
      <c r="L3875" s="97" t="s">
        <v>12627</v>
      </c>
      <c r="N3875" s="76" t="s">
        <v>17</v>
      </c>
      <c r="Q3875" s="76" t="s">
        <v>2142</v>
      </c>
      <c r="R3875" s="73">
        <f t="shared" si="456"/>
        <v>1</v>
      </c>
      <c r="S3875" s="260" t="s">
        <v>1976</v>
      </c>
      <c r="T3875" s="260" t="s">
        <v>924</v>
      </c>
      <c r="Y3875" s="566">
        <v>0.68905092592592598</v>
      </c>
      <c r="Z3875" s="566">
        <v>0.69673611111111111</v>
      </c>
      <c r="AA3875" s="566">
        <f t="shared" si="457"/>
        <v>7.6851851851851283E-3</v>
      </c>
    </row>
    <row r="3876" spans="1:27" x14ac:dyDescent="0.3">
      <c r="A3876" s="96" t="s">
        <v>12628</v>
      </c>
      <c r="C3876" s="81">
        <v>44137</v>
      </c>
      <c r="D3876" s="109">
        <v>44173</v>
      </c>
      <c r="E3876" s="81">
        <v>44171</v>
      </c>
      <c r="F3876" s="97" t="s">
        <v>12629</v>
      </c>
      <c r="G3876" s="97" t="s">
        <v>9119</v>
      </c>
      <c r="H3876" s="96" t="s">
        <v>213</v>
      </c>
      <c r="I3876" s="97" t="s">
        <v>714</v>
      </c>
      <c r="J3876" s="73">
        <f t="shared" si="455"/>
        <v>1</v>
      </c>
      <c r="K3876" s="74" t="s">
        <v>204</v>
      </c>
      <c r="L3876" s="97" t="s">
        <v>7528</v>
      </c>
      <c r="N3876" s="76" t="s">
        <v>17</v>
      </c>
      <c r="Q3876" s="76" t="s">
        <v>2142</v>
      </c>
      <c r="R3876" s="73">
        <f t="shared" si="456"/>
        <v>1</v>
      </c>
      <c r="S3876" s="260" t="s">
        <v>1976</v>
      </c>
      <c r="T3876" s="260" t="s">
        <v>925</v>
      </c>
      <c r="Y3876" s="566">
        <v>0.73383101851851851</v>
      </c>
      <c r="Z3876" s="566">
        <v>0.74321759259259268</v>
      </c>
      <c r="AA3876" s="566">
        <f t="shared" si="457"/>
        <v>9.3865740740741721E-3</v>
      </c>
    </row>
    <row r="3877" spans="1:27" x14ac:dyDescent="0.3">
      <c r="A3877" s="96" t="s">
        <v>12632</v>
      </c>
      <c r="C3877" s="81">
        <v>44137</v>
      </c>
      <c r="D3877" s="109">
        <v>44173</v>
      </c>
      <c r="E3877" s="81">
        <v>44172</v>
      </c>
      <c r="F3877" s="97" t="s">
        <v>12633</v>
      </c>
      <c r="G3877" s="97" t="s">
        <v>154</v>
      </c>
      <c r="H3877" s="96" t="s">
        <v>213</v>
      </c>
      <c r="I3877" s="97" t="s">
        <v>642</v>
      </c>
      <c r="J3877" s="73">
        <f t="shared" si="455"/>
        <v>1</v>
      </c>
      <c r="K3877" s="74" t="s">
        <v>204</v>
      </c>
      <c r="L3877" s="97" t="s">
        <v>7069</v>
      </c>
      <c r="N3877" s="76" t="s">
        <v>18</v>
      </c>
      <c r="Q3877" s="76" t="s">
        <v>2142</v>
      </c>
      <c r="R3877" s="73">
        <f t="shared" si="456"/>
        <v>1</v>
      </c>
      <c r="S3877" s="260" t="s">
        <v>1976</v>
      </c>
      <c r="T3877" s="260" t="s">
        <v>923</v>
      </c>
      <c r="Y3877" s="566">
        <v>0.42230324074074077</v>
      </c>
      <c r="Z3877" s="566">
        <v>0.43232638888888886</v>
      </c>
      <c r="AA3877" s="566">
        <f t="shared" si="457"/>
        <v>1.0023148148148087E-2</v>
      </c>
    </row>
    <row r="3878" spans="1:27" x14ac:dyDescent="0.3">
      <c r="A3878" s="96" t="s">
        <v>12634</v>
      </c>
      <c r="C3878" s="81">
        <v>44130</v>
      </c>
      <c r="D3878" s="109">
        <v>44173</v>
      </c>
      <c r="E3878" s="81">
        <v>44172</v>
      </c>
      <c r="F3878" s="97" t="s">
        <v>12635</v>
      </c>
      <c r="G3878" s="97" t="s">
        <v>156</v>
      </c>
      <c r="H3878" s="96" t="s">
        <v>213</v>
      </c>
      <c r="I3878" s="97" t="s">
        <v>649</v>
      </c>
      <c r="J3878" s="73">
        <f t="shared" si="455"/>
        <v>1</v>
      </c>
      <c r="K3878" s="74" t="s">
        <v>204</v>
      </c>
      <c r="L3878" s="97" t="s">
        <v>7089</v>
      </c>
      <c r="N3878" s="76" t="s">
        <v>18</v>
      </c>
      <c r="Q3878" s="76" t="s">
        <v>2142</v>
      </c>
      <c r="R3878" s="73">
        <f t="shared" si="456"/>
        <v>1</v>
      </c>
      <c r="S3878" s="260" t="s">
        <v>1976</v>
      </c>
      <c r="T3878" s="260" t="s">
        <v>925</v>
      </c>
      <c r="Y3878" s="566">
        <v>0.43362268518518521</v>
      </c>
      <c r="Z3878" s="566">
        <v>0.44973379629629634</v>
      </c>
      <c r="AA3878" s="566">
        <f t="shared" si="457"/>
        <v>1.6111111111111132E-2</v>
      </c>
    </row>
    <row r="3879" spans="1:27" x14ac:dyDescent="0.3">
      <c r="A3879" s="96" t="s">
        <v>12637</v>
      </c>
      <c r="C3879" s="81">
        <v>44138</v>
      </c>
      <c r="D3879" s="109">
        <v>44174</v>
      </c>
      <c r="E3879" s="81">
        <v>44172</v>
      </c>
      <c r="F3879" s="97" t="s">
        <v>12638</v>
      </c>
      <c r="G3879" s="97" t="s">
        <v>152</v>
      </c>
      <c r="H3879" s="96" t="s">
        <v>213</v>
      </c>
      <c r="I3879" s="97" t="s">
        <v>12640</v>
      </c>
      <c r="J3879" s="73">
        <f t="shared" si="455"/>
        <v>1</v>
      </c>
      <c r="K3879" s="74" t="s">
        <v>204</v>
      </c>
      <c r="L3879" s="97" t="s">
        <v>12639</v>
      </c>
      <c r="N3879" s="76" t="s">
        <v>17</v>
      </c>
      <c r="Q3879" s="76" t="s">
        <v>2142</v>
      </c>
      <c r="R3879" s="73">
        <f t="shared" si="456"/>
        <v>1</v>
      </c>
      <c r="S3879" s="260" t="s">
        <v>1976</v>
      </c>
      <c r="T3879" s="260" t="s">
        <v>923</v>
      </c>
      <c r="Y3879" s="566">
        <v>0.48443287037037036</v>
      </c>
      <c r="Z3879" s="566">
        <v>0.53578703703703701</v>
      </c>
      <c r="AA3879" s="566">
        <f t="shared" si="457"/>
        <v>5.1354166666666645E-2</v>
      </c>
    </row>
    <row r="3880" spans="1:27" x14ac:dyDescent="0.3">
      <c r="A3880" s="96" t="s">
        <v>12641</v>
      </c>
      <c r="C3880" s="81">
        <v>44138</v>
      </c>
      <c r="D3880" s="109">
        <v>44174</v>
      </c>
      <c r="E3880" s="81">
        <v>44172</v>
      </c>
      <c r="F3880" s="97" t="s">
        <v>12642</v>
      </c>
      <c r="G3880" s="97" t="s">
        <v>154</v>
      </c>
      <c r="H3880" s="96" t="s">
        <v>213</v>
      </c>
      <c r="I3880" s="97" t="s">
        <v>9553</v>
      </c>
      <c r="J3880" s="73">
        <f t="shared" si="455"/>
        <v>1</v>
      </c>
      <c r="K3880" s="74" t="s">
        <v>204</v>
      </c>
      <c r="L3880" s="97" t="s">
        <v>12646</v>
      </c>
      <c r="N3880" s="76" t="s">
        <v>17</v>
      </c>
      <c r="Q3880" s="76" t="s">
        <v>2142</v>
      </c>
      <c r="R3880" s="73">
        <f t="shared" si="456"/>
        <v>1</v>
      </c>
      <c r="S3880" s="260" t="s">
        <v>1976</v>
      </c>
      <c r="T3880" s="260" t="s">
        <v>925</v>
      </c>
      <c r="U3880" s="301" t="s">
        <v>5283</v>
      </c>
      <c r="V3880" s="301" t="s">
        <v>12643</v>
      </c>
      <c r="Y3880" s="566">
        <v>0.59072916666666664</v>
      </c>
      <c r="Z3880" s="566">
        <v>0.59783564814814816</v>
      </c>
      <c r="AA3880" s="566">
        <f t="shared" si="457"/>
        <v>7.1064814814815191E-3</v>
      </c>
    </row>
    <row r="3881" spans="1:27" x14ac:dyDescent="0.3">
      <c r="A3881" s="96" t="s">
        <v>12677</v>
      </c>
      <c r="C3881" s="81">
        <v>44148</v>
      </c>
      <c r="D3881" s="109">
        <v>44183</v>
      </c>
      <c r="E3881" s="81">
        <v>44178</v>
      </c>
      <c r="F3881" s="97" t="s">
        <v>12678</v>
      </c>
      <c r="G3881" s="97" t="s">
        <v>166</v>
      </c>
      <c r="H3881" s="96" t="s">
        <v>213</v>
      </c>
      <c r="I3881" s="97" t="s">
        <v>714</v>
      </c>
      <c r="J3881" s="73">
        <f t="shared" si="455"/>
        <v>1</v>
      </c>
      <c r="K3881" s="74" t="s">
        <v>204</v>
      </c>
      <c r="L3881" s="97" t="s">
        <v>7336</v>
      </c>
      <c r="N3881" s="76" t="s">
        <v>17</v>
      </c>
      <c r="Q3881" s="76" t="s">
        <v>5193</v>
      </c>
      <c r="R3881" s="73">
        <f t="shared" si="456"/>
        <v>1</v>
      </c>
      <c r="S3881" s="260" t="s">
        <v>1976</v>
      </c>
      <c r="T3881" s="260" t="s">
        <v>924</v>
      </c>
      <c r="Y3881" s="566">
        <v>0.57486111111111116</v>
      </c>
      <c r="Z3881" s="566">
        <v>0.58021990740740736</v>
      </c>
      <c r="AA3881" s="566">
        <f t="shared" si="457"/>
        <v>5.3587962962962088E-3</v>
      </c>
    </row>
    <row r="3882" spans="1:27" x14ac:dyDescent="0.3">
      <c r="A3882" s="96" t="s">
        <v>12679</v>
      </c>
      <c r="C3882" s="81">
        <v>44148</v>
      </c>
      <c r="D3882" s="109">
        <v>44183</v>
      </c>
      <c r="E3882" s="81">
        <v>44178</v>
      </c>
      <c r="F3882" s="97" t="s">
        <v>12680</v>
      </c>
      <c r="G3882" s="97" t="s">
        <v>152</v>
      </c>
      <c r="H3882" s="96" t="s">
        <v>213</v>
      </c>
      <c r="I3882" s="97" t="s">
        <v>714</v>
      </c>
      <c r="J3882" s="73">
        <f t="shared" si="455"/>
        <v>1</v>
      </c>
      <c r="K3882" s="74" t="s">
        <v>204</v>
      </c>
      <c r="L3882" s="97" t="s">
        <v>7115</v>
      </c>
      <c r="N3882" s="76" t="s">
        <v>18</v>
      </c>
      <c r="Q3882" s="76" t="s">
        <v>2142</v>
      </c>
      <c r="R3882" s="73">
        <f t="shared" si="456"/>
        <v>1</v>
      </c>
      <c r="S3882" s="260" t="s">
        <v>1976</v>
      </c>
      <c r="T3882" s="260" t="s">
        <v>924</v>
      </c>
      <c r="Y3882" s="566">
        <v>0.60726851851851849</v>
      </c>
      <c r="Z3882" s="566">
        <v>0.61421296296296302</v>
      </c>
      <c r="AA3882" s="566">
        <f t="shared" si="457"/>
        <v>6.9444444444445308E-3</v>
      </c>
    </row>
    <row r="3883" spans="1:27" x14ac:dyDescent="0.3">
      <c r="A3883" s="96" t="s">
        <v>12689</v>
      </c>
      <c r="D3883" s="81">
        <v>44014</v>
      </c>
      <c r="F3883" s="97" t="s">
        <v>12690</v>
      </c>
      <c r="G3883" s="97" t="s">
        <v>157</v>
      </c>
      <c r="H3883" s="96" t="s">
        <v>213</v>
      </c>
      <c r="I3883" s="97" t="s">
        <v>972</v>
      </c>
      <c r="J3883" s="73">
        <f t="shared" ref="J3883" si="458">IF(OR(K3883="Документы готовы",K3883="Запрос в ФО",K3883="ЭЗ",K3883="РЕШ",K3883="РЕШ шаблон"),0.1,IF(OR(K3883="ЭЗ согласование",K3883="РЕШ согласование"),0.3,IF(OR(K3883="ЭЗ согласовано",K3883="РЕШ согласовано",K3883="РЕШ подписано"),0.6,IF(OR(K3883="ЭЗ ПР согласование",K3883="РЕШ УВ согласование"),0.9,IF(OR(K3883="ЭЗ ПР DONE",K3883="РЕШ УВ DONE"),1,0)))))</f>
        <v>1</v>
      </c>
      <c r="K3883" s="74" t="s">
        <v>204</v>
      </c>
      <c r="L3883" s="97" t="s">
        <v>12691</v>
      </c>
      <c r="Q3883" s="301" t="s">
        <v>12692</v>
      </c>
      <c r="T3883" s="260" t="s">
        <v>923</v>
      </c>
    </row>
  </sheetData>
  <autoFilter ref="A2:AM3883"/>
  <mergeCells count="24">
    <mergeCell ref="P1:P2"/>
    <mergeCell ref="Q1:Q2"/>
    <mergeCell ref="S1:S2"/>
    <mergeCell ref="AB1:AB2"/>
    <mergeCell ref="Y1:AA1"/>
    <mergeCell ref="U1:U2"/>
    <mergeCell ref="W1:W2"/>
    <mergeCell ref="X1:X2"/>
    <mergeCell ref="T1:T2"/>
    <mergeCell ref="V1:V2"/>
    <mergeCell ref="N1:N2"/>
    <mergeCell ref="O1:O2"/>
    <mergeCell ref="M1:M2"/>
    <mergeCell ref="A1:A2"/>
    <mergeCell ref="B1:B2"/>
    <mergeCell ref="C1:C2"/>
    <mergeCell ref="D1:D2"/>
    <mergeCell ref="E1:E2"/>
    <mergeCell ref="F1:F2"/>
    <mergeCell ref="G1:G2"/>
    <mergeCell ref="H1:H2"/>
    <mergeCell ref="I1:I2"/>
    <mergeCell ref="K1:K2"/>
    <mergeCell ref="L1:L2"/>
  </mergeCells>
  <conditionalFormatting sqref="K1 T1951:T1956 K1958:K1961 K1963:K2018 S1509:T1949 K3:K1949 T1958:T2898 S1951:S2898 S2899:T2966 K2022:K2967 S2969:T3146 S3150:T3247 K2969:K3026 S3249:T3360 K3150:K3247 K3249:K3360 S3364:T3444 S3446:T3526 K3364:K3444 K3446:K3526 K3529:K3665 S3529:T3677 K3884:K1048576 S3682:T3871 K3743:K3871 S3:Z1508">
    <cfRule type="containsText" dxfId="507" priority="229" operator="containsText" text="РЕШ Шаблон">
      <formula>NOT(ISERROR(SEARCH("РЕШ Шаблон",K1)))</formula>
    </cfRule>
  </conditionalFormatting>
  <conditionalFormatting sqref="A34:I34 A106:C113 E106:I113 A149:I159 A129:A148 C129:I133 A172:A173 C173:I173 A174:I174 C135:I135 C134:H134 C137:I144 C136:H136 C146:I148 C145:H145 A161:I165 A160:H160 A167:I170 A166:H166 A171:H171 C172:H172 A176:I179 A175:H175 A181:I198 A180:H180 A200:I203 A199:H199 A205:I209 A204:H204 A212:I213 A210:H211 A219:I227 A214:H218 A228:H229 A269:I273 A268:H268 A275:I275 A274:H274 A277:I308 A276:H276 A309:H309 A329:H329 A370:H370 E482:E1915 A371:I481 A330:I369 A310:I328 A230:I267">
    <cfRule type="expression" dxfId="506" priority="225">
      <formula>$K34="РЕШ Шаблон"</formula>
    </cfRule>
  </conditionalFormatting>
  <conditionalFormatting sqref="A104:I105 A114:I121 A126:I128 A122:G123 A124:F124 A125:G125 I122:I125">
    <cfRule type="expression" dxfId="505" priority="224">
      <formula>$K104="РЕШ Шаблон"</formula>
    </cfRule>
  </conditionalFormatting>
  <conditionalFormatting sqref="I40">
    <cfRule type="expression" dxfId="504" priority="223">
      <formula>$K40="РЕШ Шаблон"</formula>
    </cfRule>
  </conditionalFormatting>
  <conditionalFormatting sqref="A48:I48">
    <cfRule type="expression" dxfId="503" priority="222">
      <formula>$K48="РЕШ Шаблон"</formula>
    </cfRule>
  </conditionalFormatting>
  <conditionalFormatting sqref="D236">
    <cfRule type="duplicateValues" dxfId="502" priority="206"/>
  </conditionalFormatting>
  <conditionalFormatting sqref="A1 A3:A1048576">
    <cfRule type="duplicateValues" dxfId="501" priority="1833"/>
  </conditionalFormatting>
  <conditionalFormatting sqref="S1950">
    <cfRule type="containsText" dxfId="500" priority="187" operator="containsText" text="РЕШ Шаблон">
      <formula>NOT(ISERROR(SEARCH("РЕШ Шаблон",S1950)))</formula>
    </cfRule>
  </conditionalFormatting>
  <conditionalFormatting sqref="T1950">
    <cfRule type="containsText" dxfId="499" priority="184" operator="containsText" text="РЕШ Шаблон">
      <formula>NOT(ISERROR(SEARCH("РЕШ Шаблон",T1950)))</formula>
    </cfRule>
  </conditionalFormatting>
  <conditionalFormatting sqref="K1955:K1956 K1950:K1953">
    <cfRule type="containsText" dxfId="498" priority="182" operator="containsText" text="РЕШ Шаблон">
      <formula>NOT(ISERROR(SEARCH("РЕШ Шаблон",K1950)))</formula>
    </cfRule>
  </conditionalFormatting>
  <conditionalFormatting sqref="T1957">
    <cfRule type="containsText" dxfId="497" priority="181" operator="containsText" text="РЕШ Шаблон">
      <formula>NOT(ISERROR(SEARCH("РЕШ Шаблон",T1957)))</formula>
    </cfRule>
  </conditionalFormatting>
  <conditionalFormatting sqref="K2019:K2021 K1962 K1957">
    <cfRule type="containsText" dxfId="496" priority="180" operator="containsText" text="РЕШ Шаблон">
      <formula>NOT(ISERROR(SEARCH("РЕШ Шаблон",K1957)))</formula>
    </cfRule>
  </conditionalFormatting>
  <conditionalFormatting sqref="K1954">
    <cfRule type="containsText" dxfId="495" priority="179" operator="containsText" text="РЕШ Шаблон">
      <formula>NOT(ISERROR(SEARCH("РЕШ Шаблон",K1954)))</formula>
    </cfRule>
  </conditionalFormatting>
  <conditionalFormatting sqref="S2967:T2967">
    <cfRule type="containsText" dxfId="494" priority="170" operator="containsText" text="РЕШ Шаблон">
      <formula>NOT(ISERROR(SEARCH("РЕШ Шаблон",S2967)))</formula>
    </cfRule>
  </conditionalFormatting>
  <conditionalFormatting sqref="K2968">
    <cfRule type="containsText" dxfId="493" priority="168" operator="containsText" text="РЕШ Шаблон">
      <formula>NOT(ISERROR(SEARCH("РЕШ Шаблон",K2968)))</formula>
    </cfRule>
  </conditionalFormatting>
  <conditionalFormatting sqref="S2968">
    <cfRule type="containsText" dxfId="492" priority="166" operator="containsText" text="РЕШ Шаблон">
      <formula>NOT(ISERROR(SEARCH("РЕШ Шаблон",S2968)))</formula>
    </cfRule>
  </conditionalFormatting>
  <conditionalFormatting sqref="T2968">
    <cfRule type="containsText" dxfId="491" priority="165" operator="containsText" text="РЕШ Шаблон">
      <formula>NOT(ISERROR(SEARCH("РЕШ Шаблон",T2968)))</formula>
    </cfRule>
  </conditionalFormatting>
  <conditionalFormatting sqref="S3147:T3147">
    <cfRule type="containsText" dxfId="490" priority="156" operator="containsText" text="РЕШ Шаблон">
      <formula>NOT(ISERROR(SEARCH("РЕШ Шаблон",S3147)))</formula>
    </cfRule>
  </conditionalFormatting>
  <conditionalFormatting sqref="K3148">
    <cfRule type="containsText" dxfId="489" priority="154" operator="containsText" text="РЕШ Шаблон">
      <formula>NOT(ISERROR(SEARCH("РЕШ Шаблон",K3148)))</formula>
    </cfRule>
  </conditionalFormatting>
  <conditionalFormatting sqref="K3149">
    <cfRule type="containsText" dxfId="488" priority="152" operator="containsText" text="РЕШ Шаблон">
      <formula>NOT(ISERROR(SEARCH("РЕШ Шаблон",K3149)))</formula>
    </cfRule>
  </conditionalFormatting>
  <conditionalFormatting sqref="S3148:T3148">
    <cfRule type="containsText" dxfId="487" priority="148" operator="containsText" text="РЕШ Шаблон">
      <formula>NOT(ISERROR(SEARCH("РЕШ Шаблон",S3148)))</formula>
    </cfRule>
  </conditionalFormatting>
  <conditionalFormatting sqref="S3149:T3149">
    <cfRule type="containsText" dxfId="486" priority="146" operator="containsText" text="РЕШ Шаблон">
      <formula>NOT(ISERROR(SEARCH("РЕШ Шаблон",S3149)))</formula>
    </cfRule>
  </conditionalFormatting>
  <conditionalFormatting sqref="S3248:T3248">
    <cfRule type="containsText" dxfId="485" priority="139" operator="containsText" text="РЕШ Шаблон">
      <formula>NOT(ISERROR(SEARCH("РЕШ Шаблон",S3248)))</formula>
    </cfRule>
  </conditionalFormatting>
  <conditionalFormatting sqref="K3248">
    <cfRule type="containsText" dxfId="484" priority="135" operator="containsText" text="РЕШ Шаблон">
      <formula>NOT(ISERROR(SEARCH("РЕШ Шаблон",K3248)))</formula>
    </cfRule>
  </conditionalFormatting>
  <conditionalFormatting sqref="S3361:T3361">
    <cfRule type="containsText" dxfId="483" priority="130" operator="containsText" text="РЕШ Шаблон">
      <formula>NOT(ISERROR(SEARCH("РЕШ Шаблон",S3361)))</formula>
    </cfRule>
  </conditionalFormatting>
  <conditionalFormatting sqref="S3362:T3362">
    <cfRule type="containsText" dxfId="482" priority="118" operator="containsText" text="РЕШ Шаблон">
      <formula>NOT(ISERROR(SEARCH("РЕШ Шаблон",S3362)))</formula>
    </cfRule>
  </conditionalFormatting>
  <conditionalFormatting sqref="K3027:K3147">
    <cfRule type="containsText" dxfId="481" priority="117" operator="containsText" text="РЕШ Шаблон">
      <formula>NOT(ISERROR(SEARCH("РЕШ Шаблон",K3027)))</formula>
    </cfRule>
  </conditionalFormatting>
  <conditionalFormatting sqref="S3363:T3363">
    <cfRule type="containsText" dxfId="480" priority="113" operator="containsText" text="РЕШ Шаблон">
      <formula>NOT(ISERROR(SEARCH("РЕШ Шаблон",S3363)))</formula>
    </cfRule>
  </conditionalFormatting>
  <conditionalFormatting sqref="S3445:T3445">
    <cfRule type="containsText" dxfId="479" priority="104" operator="containsText" text="РЕШ Шаблон">
      <formula>NOT(ISERROR(SEARCH("РЕШ Шаблон",S3445)))</formula>
    </cfRule>
  </conditionalFormatting>
  <conditionalFormatting sqref="K3445 K3363">
    <cfRule type="containsText" dxfId="478" priority="98" operator="containsText" text="РЕШ Шаблон">
      <formula>NOT(ISERROR(SEARCH("РЕШ Шаблон",K3363)))</formula>
    </cfRule>
  </conditionalFormatting>
  <conditionalFormatting sqref="K3361:K3362">
    <cfRule type="containsText" dxfId="477" priority="97" operator="containsText" text="РЕШ Шаблон">
      <formula>NOT(ISERROR(SEARCH("РЕШ Шаблон",K3361)))</formula>
    </cfRule>
  </conditionalFormatting>
  <conditionalFormatting sqref="S3527:T3527">
    <cfRule type="containsText" dxfId="476" priority="92" operator="containsText" text="РЕШ Шаблон">
      <formula>NOT(ISERROR(SEARCH("РЕШ Шаблон",S3527)))</formula>
    </cfRule>
  </conditionalFormatting>
  <conditionalFormatting sqref="S3528:T3528">
    <cfRule type="containsText" dxfId="475" priority="87" operator="containsText" text="РЕШ Шаблон">
      <formula>NOT(ISERROR(SEARCH("РЕШ Шаблон",S3528)))</formula>
    </cfRule>
  </conditionalFormatting>
  <conditionalFormatting sqref="K3527:K3528">
    <cfRule type="containsText" dxfId="474" priority="86" operator="containsText" text="РЕШ Шаблон">
      <formula>NOT(ISERROR(SEARCH("РЕШ Шаблон",K3527)))</formula>
    </cfRule>
  </conditionalFormatting>
  <conditionalFormatting sqref="S3678:T3678">
    <cfRule type="containsText" dxfId="473" priority="71" operator="containsText" text="РЕШ Шаблон">
      <formula>NOT(ISERROR(SEARCH("РЕШ Шаблон",S3678)))</formula>
    </cfRule>
  </conditionalFormatting>
  <conditionalFormatting sqref="S3679:T3679">
    <cfRule type="containsText" dxfId="472" priority="66" operator="containsText" text="РЕШ Шаблон">
      <formula>NOT(ISERROR(SEARCH("РЕШ Шаблон",S3679)))</formula>
    </cfRule>
  </conditionalFormatting>
  <conditionalFormatting sqref="S3680:T3680">
    <cfRule type="containsText" dxfId="471" priority="61" operator="containsText" text="РЕШ Шаблон">
      <formula>NOT(ISERROR(SEARCH("РЕШ Шаблон",S3680)))</formula>
    </cfRule>
  </conditionalFormatting>
  <conditionalFormatting sqref="S3681:T3681">
    <cfRule type="containsText" dxfId="470" priority="56" operator="containsText" text="РЕШ Шаблон">
      <formula>NOT(ISERROR(SEARCH("РЕШ Шаблон",S3681)))</formula>
    </cfRule>
  </conditionalFormatting>
  <conditionalFormatting sqref="K3666:K3742">
    <cfRule type="containsText" dxfId="469" priority="50" operator="containsText" text="РЕШ Шаблон">
      <formula>NOT(ISERROR(SEARCH("РЕШ Шаблон",K3666)))</formula>
    </cfRule>
  </conditionalFormatting>
  <conditionalFormatting sqref="S3872">
    <cfRule type="containsText" dxfId="468" priority="46" operator="containsText" text="РЕШ Шаблон">
      <formula>NOT(ISERROR(SEARCH("РЕШ Шаблон",S3872)))</formula>
    </cfRule>
  </conditionalFormatting>
  <conditionalFormatting sqref="T3872">
    <cfRule type="containsText" dxfId="467" priority="45" operator="containsText" text="РЕШ Шаблон">
      <formula>NOT(ISERROR(SEARCH("РЕШ Шаблон",T3872)))</formula>
    </cfRule>
  </conditionalFormatting>
  <conditionalFormatting sqref="S3873:T3873">
    <cfRule type="containsText" dxfId="466" priority="41" operator="containsText" text="РЕШ Шаблон">
      <formula>NOT(ISERROR(SEARCH("РЕШ Шаблон",S3873)))</formula>
    </cfRule>
  </conditionalFormatting>
  <conditionalFormatting sqref="S3874:T3874">
    <cfRule type="containsText" dxfId="465" priority="37" operator="containsText" text="РЕШ Шаблон">
      <formula>NOT(ISERROR(SEARCH("РЕШ Шаблон",S3874)))</formula>
    </cfRule>
  </conditionalFormatting>
  <conditionalFormatting sqref="S3875:T3875">
    <cfRule type="containsText" dxfId="464" priority="33" operator="containsText" text="РЕШ Шаблон">
      <formula>NOT(ISERROR(SEARCH("РЕШ Шаблон",S3875)))</formula>
    </cfRule>
  </conditionalFormatting>
  <conditionalFormatting sqref="S3876:T3876">
    <cfRule type="containsText" dxfId="463" priority="29" operator="containsText" text="РЕШ Шаблон">
      <formula>NOT(ISERROR(SEARCH("РЕШ Шаблон",S3876)))</formula>
    </cfRule>
  </conditionalFormatting>
  <conditionalFormatting sqref="S3877:T3877">
    <cfRule type="containsText" dxfId="462" priority="25" operator="containsText" text="РЕШ Шаблон">
      <formula>NOT(ISERROR(SEARCH("РЕШ Шаблон",S3877)))</formula>
    </cfRule>
  </conditionalFormatting>
  <conditionalFormatting sqref="S3878:T3878">
    <cfRule type="containsText" dxfId="461" priority="21" operator="containsText" text="РЕШ Шаблон">
      <formula>NOT(ISERROR(SEARCH("РЕШ Шаблон",S3878)))</formula>
    </cfRule>
  </conditionalFormatting>
  <conditionalFormatting sqref="S3879:T3879">
    <cfRule type="containsText" dxfId="460" priority="17" operator="containsText" text="РЕШ Шаблон">
      <formula>NOT(ISERROR(SEARCH("РЕШ Шаблон",S3879)))</formula>
    </cfRule>
  </conditionalFormatting>
  <conditionalFormatting sqref="S3880:T3880">
    <cfRule type="containsText" dxfId="459" priority="13" operator="containsText" text="РЕШ Шаблон">
      <formula>NOT(ISERROR(SEARCH("РЕШ Шаблон",S3880)))</formula>
    </cfRule>
  </conditionalFormatting>
  <conditionalFormatting sqref="S3881:T3881">
    <cfRule type="containsText" dxfId="458" priority="9" operator="containsText" text="РЕШ Шаблон">
      <formula>NOT(ISERROR(SEARCH("РЕШ Шаблон",S3881)))</formula>
    </cfRule>
  </conditionalFormatting>
  <conditionalFormatting sqref="S3882:T3882">
    <cfRule type="containsText" dxfId="457" priority="5" operator="containsText" text="РЕШ Шаблон">
      <formula>NOT(ISERROR(SEARCH("РЕШ Шаблон",S3882)))</formula>
    </cfRule>
  </conditionalFormatting>
  <conditionalFormatting sqref="K3872:K3882">
    <cfRule type="containsText" dxfId="456" priority="4" operator="containsText" text="РЕШ Шаблон">
      <formula>NOT(ISERROR(SEARCH("РЕШ Шаблон",K3872)))</formula>
    </cfRule>
  </conditionalFormatting>
  <conditionalFormatting sqref="K3883">
    <cfRule type="containsText" dxfId="455" priority="2" operator="containsText" text="РЕШ Шаблон">
      <formula>NOT(ISERROR(SEARCH("РЕШ Шаблон",K3883)))</formula>
    </cfRule>
  </conditionalFormatting>
  <conditionalFormatting sqref="T3883">
    <cfRule type="containsText" dxfId="454" priority="1" operator="containsText" text="РЕШ Шаблон">
      <formula>NOT(ISERROR(SEARCH("РЕШ Шаблон",T3883)))</formula>
    </cfRule>
  </conditionalFormatting>
  <hyperlinks>
    <hyperlink ref="B10" r:id="rId1" location="uuid:serviceCall$20689969"/>
    <hyperlink ref="B11" r:id="rId2" location="uuid:serviceCall$21161126"/>
    <hyperlink ref="B12" r:id="rId3" location="uuid:serviceCall$26967600"/>
    <hyperlink ref="B13" r:id="rId4" location="uuid:serviceCall$34117905"/>
    <hyperlink ref="B14" r:id="rId5" location="uuid:serviceCall$34005767"/>
    <hyperlink ref="B15" r:id="rId6" location="uuid:serviceCall$34005784"/>
    <hyperlink ref="B16" r:id="rId7" location="uuid:serviceCall$34117939"/>
    <hyperlink ref="B17" r:id="rId8" location="uuid:serviceCall$34117944"/>
    <hyperlink ref="A10" location="'18264'!A1" display=" У-19-18264"/>
    <hyperlink ref="A12" location="'25476'!A1" display=" У-19-25476"/>
    <hyperlink ref="A16" location="'32603'!A1" display="У-19-32603"/>
    <hyperlink ref="A17" location="'32608'!A1" display="У-19-32608"/>
    <hyperlink ref="A11" location="'18885'!A1" display=" У-19-18885"/>
    <hyperlink ref="A13" location="'32569'!A1" display="У-19-32569"/>
    <hyperlink ref="A14" location="'32531'!A1" display=" У-19-32531"/>
    <hyperlink ref="A15" location="'32548'!A1" display="У-19-32548"/>
    <hyperlink ref="A4" location="'30612'!A1" display="У-19-30612"/>
    <hyperlink ref="A7" location="'31810'!A1" display="У-19-31810"/>
    <hyperlink ref="A8" location="'31812'!A1" display="У-19-31812"/>
    <hyperlink ref="A9" location="'17636'!A1" display="У-19-17636"/>
    <hyperlink ref="A3" location="'17626'!A1" display="У-19-17626"/>
    <hyperlink ref="B3" r:id="rId9" location="uuid:serviceCall$20339677"/>
    <hyperlink ref="B4" r:id="rId10" location="uuid:serviceCall$32452731" display="https://smp.sfurf.office/sd/operator/index.jsp;jsessionid=4B56FDB405CD332F2E4AE6AEC0BFEE05 - uuid:serviceCall$32452731"/>
    <hyperlink ref="B5" r:id="rId11" location="uuid:serviceCall$33150128" display="https://smp.sfurf.office/sd/operator/index.jsp;jsessionid=4B56FDB405CD332F2E4AE6AEC0BFEE05 - uuid:serviceCall$33150128"/>
    <hyperlink ref="B6" r:id="rId12" location="uuid:serviceCall$33150130" display="https://smp.sfurf.office/sd/operator/index.jsp;jsessionid=4B56FDB405CD332F2E4AE6AEC0BFEE05 - uuid:serviceCall$33150130"/>
    <hyperlink ref="B7" r:id="rId13" location="uuid:serviceCall$33150133" display="https://smp.sfurf.office/sd/operator/index.jsp;jsessionid=4B56FDB405CD332F2E4AE6AEC0BFEE05 - uuid:serviceCall$33150133"/>
    <hyperlink ref="B8" r:id="rId14" location="uuid:serviceCall$33150135" display="https://smp.sfurf.office/sd/operator/index.jsp;jsessionid=4B56FDB405CD332F2E4AE6AEC0BFEE05 - uuid:serviceCall$33150135"/>
    <hyperlink ref="B9" r:id="rId15" location="uuid:serviceCall$20339687"/>
    <hyperlink ref="B18" r:id="rId16" location="uuid:serviceCall$27057596"/>
    <hyperlink ref="B19" r:id="rId17" location="uuid:serviceCall$27057563"/>
    <hyperlink ref="B20" r:id="rId18" location="uuid:serviceCall$33790871"/>
    <hyperlink ref="B21" r:id="rId19" location="uuid:serviceCall$33790876"/>
    <hyperlink ref="B22" r:id="rId20" location="uuid:serviceCall$33790879"/>
    <hyperlink ref="A18" location="'25579'!A1" display=" У-19-25579"/>
    <hyperlink ref="A19" location="'25556'!A1" display=" У-19-25556"/>
    <hyperlink ref="A20" location="'32435'!A1" display=" У-19-32435"/>
    <hyperlink ref="A21" location="'32440'!A1" display="У-19-32440"/>
    <hyperlink ref="A22" location="'32443'!A1" display="У-19-32443"/>
    <hyperlink ref="B23" r:id="rId21" location="uuid:serviceCall$27542363"/>
    <hyperlink ref="B24" r:id="rId22" location="uuid:serviceCall$27542356"/>
    <hyperlink ref="B25" r:id="rId23" location="uuid:serviceCall$27542352"/>
    <hyperlink ref="B26" r:id="rId24" location="uuid:serviceCall$34548373"/>
    <hyperlink ref="B27" r:id="rId25" location="uuid:serviceCall$34548382"/>
    <hyperlink ref="B28" r:id="rId26" location="uuid:serviceCall$34548384"/>
    <hyperlink ref="B29" r:id="rId27" location="uuid:serviceCall$34548387"/>
    <hyperlink ref="B30" r:id="rId28" location="uuid:serviceCall$34548399"/>
    <hyperlink ref="A23" location="'26025'!A1" display="У-19-26025"/>
    <hyperlink ref="A24" location="'26018'!A1" display=" У-19-26018"/>
    <hyperlink ref="A25" location="'26014'!A1" display=" У-19-26014"/>
    <hyperlink ref="A26" location="'33023'!A1" display="У-19-33023"/>
    <hyperlink ref="A27" location="'33028'!A1" display=" У-19-33028"/>
    <hyperlink ref="A28" location="'33031'!A1" display=" У-19-33031"/>
    <hyperlink ref="A29" location="'33034'!A1" display=" У-19-33034"/>
    <hyperlink ref="A30" location="'33046'!A1" display=" У-19-33046"/>
    <hyperlink ref="B33" r:id="rId29" location="uuid:serviceCall$36267116"/>
    <hyperlink ref="B32" r:id="rId30" location="uuid:serviceCall$22314254"/>
    <hyperlink ref="B31" r:id="rId31" location="uuid:serviceCall$28107739"/>
    <hyperlink ref="B34" r:id="rId32" location="uuid:serviceCall$36267120"/>
    <hyperlink ref="B35" r:id="rId33" location="uuid:serviceCall$36267127"/>
    <hyperlink ref="B36" r:id="rId34" location="uuid:serviceCall$36267129"/>
    <hyperlink ref="B37" r:id="rId35" location="uuid:serviceCall$36267131"/>
    <hyperlink ref="A31" location="'26514'!A1" display="У-19-26514"/>
    <hyperlink ref="A32" location="'20208'!A1" display="У-19-20208"/>
    <hyperlink ref="A33" location="'34354'!A1" display=" У-19-34354"/>
    <hyperlink ref="A34" location="'34358'!A1" display=" У-19-34358"/>
    <hyperlink ref="A35" location="'34365'!A1" display=" У-19-34365"/>
    <hyperlink ref="A36" location="'34367'!A1" display="У-19-34367"/>
    <hyperlink ref="A37" location="'34369'!A1" display="У-19-34369"/>
    <hyperlink ref="B38" r:id="rId36" location="uuid:serviceCall$36645664"/>
    <hyperlink ref="B39" r:id="rId37" location="uuid:serviceCall$36645660"/>
    <hyperlink ref="B40" r:id="rId38" location="uuid:serviceCall$36645653"/>
    <hyperlink ref="B41" r:id="rId39" location="uuid:serviceCall$29533359"/>
    <hyperlink ref="B42" r:id="rId40" location="uuid:serviceCall$29533365"/>
    <hyperlink ref="B43" r:id="rId41" location="uuid:serviceCall$29533309"/>
    <hyperlink ref="A38" location="'34694'!A1" display="У-19-34694"/>
    <hyperlink ref="A39" location="'34690'!A1" display="У-19-34690"/>
    <hyperlink ref="A40" location="'34683'!A1" display=" У-19-34683"/>
    <hyperlink ref="A41" location="'27962'!A1" display=" У-19-27962"/>
    <hyperlink ref="A42" location="'27968'!A1" display=" У-19-27968"/>
    <hyperlink ref="A43" location="'27913'!A1" display="У-19-27913"/>
    <hyperlink ref="B44" r:id="rId42" location="uuid:serviceCall$37298212"/>
    <hyperlink ref="B45" r:id="rId43" location="uuid:serviceCall$37298201"/>
    <hyperlink ref="B46" r:id="rId44" location="uuid:serviceCall$37216890"/>
    <hyperlink ref="B47" r:id="rId45" location="uuid:serviceCall$37216874"/>
    <hyperlink ref="B48" r:id="rId46" location="uuid:serviceCall$37216870"/>
    <hyperlink ref="B49" r:id="rId47" location="uuid:serviceCall$37216866"/>
    <hyperlink ref="A44" location="'35436'!A1" display=" У-19-35436"/>
    <hyperlink ref="A45" location="'35425'!A1" display=" У-19-35425"/>
    <hyperlink ref="A46" location="'35414'!A1" display=" У-19-35414"/>
    <hyperlink ref="A47" location="'35398'!A1" display="У-19-35398"/>
    <hyperlink ref="A48" location="'35394'!A1" display=" У-19-35394"/>
    <hyperlink ref="A49" location="'35390'!A1" display=" У-19-35390"/>
    <hyperlink ref="B52" r:id="rId48" location="uuid:serviceCall$38024332"/>
    <hyperlink ref="B53" r:id="rId49" location="uuid:serviceCall$38024328"/>
    <hyperlink ref="B54" r:id="rId50" location="uuid:serviceCall$38024327"/>
    <hyperlink ref="B55" r:id="rId51" location="uuid:serviceCall$38024310"/>
    <hyperlink ref="A52" location="'36144'!A1" display=" У-19-36144"/>
    <hyperlink ref="A53" location="'36140'!A1" display="У-19-36140"/>
    <hyperlink ref="A54" location="'36139'!A1" display="У-19-36139"/>
    <hyperlink ref="A55" location="'36122'!A1" display=" У-19-36122"/>
    <hyperlink ref="B60" r:id="rId52" location="uuid:serviceCall$39392767"/>
    <hyperlink ref="B61" r:id="rId53" location="uuid:serviceCall$39392754"/>
    <hyperlink ref="B62" r:id="rId54" location="uuid:serviceCall$39392752"/>
    <hyperlink ref="B63" r:id="rId55" location="uuid:serviceCall$39392743"/>
    <hyperlink ref="B64" r:id="rId56" location="uuid:serviceCall$39392722"/>
    <hyperlink ref="B65" r:id="rId57" location="uuid:serviceCall$31030783"/>
    <hyperlink ref="A60" location="'37199'!A1" display="У-19-37199"/>
    <hyperlink ref="A61" location="'37196'!A1" display="У-19-37196"/>
    <hyperlink ref="A62" location="'37280'!A1" display="У-19-37280"/>
    <hyperlink ref="A63" location="'37194'!A1" display="У-19-37194"/>
    <hyperlink ref="A64" location="'37189'!A1" display="У-19-37189"/>
    <hyperlink ref="A65" location="'29362'!A1" display=" У-19-29362"/>
    <hyperlink ref="B68" r:id="rId58" location="uuid:serviceCall$39999157"/>
    <hyperlink ref="B69" r:id="rId59" location="uuid:serviceCall$32112614"/>
    <hyperlink ref="B70" r:id="rId60" location="uuid:serviceCall$32345428"/>
    <hyperlink ref="B71" r:id="rId61" location="uuid:serviceCall$39999164"/>
    <hyperlink ref="B72" r:id="rId62" location="uuid:serviceCall$39999163"/>
    <hyperlink ref="B73" r:id="rId63" location="uuid:serviceCall$39999161"/>
    <hyperlink ref="B74" r:id="rId64" location="uuid:serviceCall$39999150"/>
    <hyperlink ref="A68" location="'37850'!A1" display=" У-19-37850"/>
    <hyperlink ref="A69" location="'30332'!A1" display="У-19-30332"/>
    <hyperlink ref="A70" location="'30509'!A1" display="У-19-30509"/>
    <hyperlink ref="A71" location="'37857'!A1" display=" У-19-37857"/>
    <hyperlink ref="A72" location="'37856'!A1" display="У-19-37856"/>
    <hyperlink ref="A73" location="'37854'!A1" display="У-19-37854"/>
    <hyperlink ref="A74" location="'37843'!A1" display="У-19-37843"/>
    <hyperlink ref="B50" r:id="rId65" location="uuid:serviceCall$37390616"/>
    <hyperlink ref="B51" r:id="rId66" location="uuid:serviceCall$23157725"/>
    <hyperlink ref="B56" r:id="rId67" location="uuid:serviceCall$38514511"/>
    <hyperlink ref="B57" r:id="rId68" location="uuid:serviceCall$30529558"/>
    <hyperlink ref="B66" r:id="rId69" location="uuid:serviceCall$31668991"/>
    <hyperlink ref="B78" r:id="rId70" location="uuid:serviceCall$41121275"/>
    <hyperlink ref="B79" r:id="rId71" location="uuid:serviceCall$41288412"/>
    <hyperlink ref="B80" r:id="rId72" location="uuid:serviceCall$41288419"/>
    <hyperlink ref="B81" r:id="rId73" location="uuid:serviceCall$41288420"/>
    <hyperlink ref="B82" r:id="rId74" location="uuid:serviceCall$41913989"/>
    <hyperlink ref="B83" r:id="rId75" location="uuid:serviceCall$42047608"/>
    <hyperlink ref="B84" r:id="rId76" location="uuid:serviceCall$42047624" display="https://smp.sfurf.office/sd/operator/index.jsp;jsessionid=4B56FDB405CD332F2E4AE6AEC0BFEE05 - uuid:serviceCall$42047624"/>
    <hyperlink ref="B85" r:id="rId77" location="uuid:serviceCall$42047626"/>
    <hyperlink ref="B86" r:id="rId78" location="uuid:serviceCall$42047647"/>
    <hyperlink ref="D52" r:id="rId79" display="2019_10\16.10.2019\36144"/>
    <hyperlink ref="D53" r:id="rId80" display="2019_10\16.10.2019\36140"/>
    <hyperlink ref="D54" r:id="rId81" display="2019_10\16.10.2019\36139"/>
    <hyperlink ref="D55" r:id="rId82" display="2019_10\16.10.2019\36122"/>
    <hyperlink ref="D56" r:id="rId83" display="2019_10\16.10.2019\36544"/>
    <hyperlink ref="D57" r:id="rId84" display="2019_10\30.10.2019\28979"/>
    <hyperlink ref="B58" r:id="rId85" location="uuid:serviceCall$24453886"/>
    <hyperlink ref="B59" r:id="rId86" location="uuid:serviceCall$24453862"/>
    <hyperlink ref="D58" r:id="rId87" display="2019_10\16.10.2019\22662"/>
    <hyperlink ref="D59" r:id="rId88" display="2019_10\16.10.2019\22638"/>
    <hyperlink ref="B67" r:id="rId89" location="uuid:serviceCall$24940861"/>
    <hyperlink ref="D60" r:id="rId90" display="2019_10\31.10.2019\37199"/>
    <hyperlink ref="D61" r:id="rId91" display="2019_10\31.10.2019\37196"/>
    <hyperlink ref="D62" r:id="rId92" display="2019_11\15.11.2019\37280"/>
    <hyperlink ref="D63" r:id="rId93" display="2019_10\17.10.2019\37194"/>
    <hyperlink ref="D64" r:id="rId94" display="2019_10\17.10.2019\37189"/>
    <hyperlink ref="D65" r:id="rId95" display="2019_10\17.10.2019\29362"/>
    <hyperlink ref="D66" r:id="rId96" display="2019_10\31.10.2019\29976"/>
    <hyperlink ref="D67" r:id="rId97" display="2019_10\17.10.2019\23137"/>
    <hyperlink ref="D51" r:id="rId98" display="2019_10\15.10.2019\21070"/>
    <hyperlink ref="A58" location="'22662'!A1" display="У-19-22662"/>
    <hyperlink ref="D68" r:id="rId99" display="2019_11\01.11.2019\37850"/>
    <hyperlink ref="D69" r:id="rId100" display="2019_11\01.11.2019\30332"/>
    <hyperlink ref="D70" r:id="rId101" display="2019_10\18.10.2019\30509"/>
    <hyperlink ref="D71" r:id="rId102" display="2019_10\18.10.2019\37857"/>
    <hyperlink ref="D72" r:id="rId103" display="2019_10\18.10.2019\37856"/>
    <hyperlink ref="D73" r:id="rId104" display="2019_11\01.11.2019\37854"/>
    <hyperlink ref="D74" r:id="rId105" display="2019_11\01.11.2019\37843"/>
    <hyperlink ref="D75" r:id="rId106" display="2019_10\18.10.2019\37747"/>
    <hyperlink ref="B75" r:id="rId107" location="uuid:serviceCall$39916354" display="https://smp.sfurf.office/sd/operator/ - uuid:serviceCall$39916354"/>
    <hyperlink ref="B76" r:id="rId108" location="uuid:serviceCall$32452794"/>
    <hyperlink ref="D76" r:id="rId109" display="2019_10\18.10.2019\30675"/>
    <hyperlink ref="B77" r:id="rId110" location="uuid:serviceCall$39916345"/>
    <hyperlink ref="B87" r:id="rId111" location="uuid:serviceCall$42559486"/>
    <hyperlink ref="B88" r:id="rId112" location="uuid:serviceCall$42559479"/>
    <hyperlink ref="B89" r:id="rId113" location="uuid:serviceCall$42559471"/>
    <hyperlink ref="B91" r:id="rId114" location="uuid:serviceCall$42559469"/>
    <hyperlink ref="B92" r:id="rId115" location="uuid:serviceCall$42559467"/>
    <hyperlink ref="B93" r:id="rId116" location="uuid:serviceCall$43416200"/>
    <hyperlink ref="B94" r:id="rId117" location="uuid:serviceCall$43416199"/>
    <hyperlink ref="B95" r:id="rId118" location="uuid:serviceCall$43416197"/>
    <hyperlink ref="B96" r:id="rId119" location="uuid:serviceCall$43416194"/>
    <hyperlink ref="B97" r:id="rId120" location="uuid:serviceCall$43416191"/>
    <hyperlink ref="B98" r:id="rId121" location="uuid:serviceCall$44346295"/>
    <hyperlink ref="B99" r:id="rId122" location="uuid:serviceCall$44346294"/>
    <hyperlink ref="B100" r:id="rId123" location="uuid:serviceCall$44346292"/>
    <hyperlink ref="B101" r:id="rId124" location="uuid:serviceCall$44346291"/>
    <hyperlink ref="B102" r:id="rId125" location="uuid:serviceCall$44346287"/>
    <hyperlink ref="B103" r:id="rId126" location="uuid:serviceCall$44346285"/>
    <hyperlink ref="D79" r:id="rId127" display="2019_11\05.11.2019\38759"/>
    <hyperlink ref="D78" r:id="rId128" display="2019_10\21.10.2019\38722"/>
    <hyperlink ref="D80" r:id="rId129" display="2019_11\05.11.2019\38766"/>
    <hyperlink ref="D81" r:id="rId130" display="2019_10\21.10.2019\38767"/>
    <hyperlink ref="D6" r:id="rId131" display="2019_10\21.10.2019\31807"/>
    <hyperlink ref="D5" r:id="rId132" display="2019_10\21.10.2019\31805"/>
    <hyperlink ref="A5" location="'31805'!A1" display="У-19-31805"/>
    <hyperlink ref="A81" location="'38767'!A1" display="У-19-38767"/>
    <hyperlink ref="A6" location="'31807'!A1" display="У-19-31807"/>
    <hyperlink ref="D11" r:id="rId133" display="2019_10\22.10.2019\18885"/>
    <hyperlink ref="D13" r:id="rId134" display="2019_11\06.11.2019\32569"/>
    <hyperlink ref="D14" r:id="rId135" display="2019_11\20.11.2019\32531"/>
    <hyperlink ref="D15" r:id="rId136" display="2019_10\22.10.2019\32548"/>
    <hyperlink ref="D82" r:id="rId137" display="2019_11\06.11.2019\39542"/>
    <hyperlink ref="D83" r:id="rId138" display="2019_10\22.10.2019\39556"/>
    <hyperlink ref="D84" r:id="rId139" display="2019_10\22.10.2019\39566"/>
    <hyperlink ref="D85" r:id="rId140" display="2019_10\22.10.2019\39567"/>
    <hyperlink ref="D86" r:id="rId141" display="2019_10\22.10.2019\39586"/>
    <hyperlink ref="A78" location="'38722'!A1" display="У-19-38722"/>
    <hyperlink ref="A85" location="'39567'!A1" display="У-19-39567"/>
    <hyperlink ref="A84" location="'39566'!A1" display="У-19-39566"/>
    <hyperlink ref="A86" location="'39586'!A1" display="У-19-39586"/>
    <hyperlink ref="A83" location="'39556'!A1" display="У-19-39556"/>
    <hyperlink ref="D20" r:id="rId142" display="2019_10\23.10.2019\32435"/>
    <hyperlink ref="D21" r:id="rId143" display="2019_10\23.10.2019\32440"/>
    <hyperlink ref="D87" r:id="rId144" display="2019_10\23.10.2019\40009"/>
    <hyperlink ref="D88" r:id="rId145" display="2019_10\23.10.2019\40003"/>
    <hyperlink ref="D89" r:id="rId146" display="2019_11\07.11.2019\39995"/>
    <hyperlink ref="D91" r:id="rId147" display="2019_11\07.11.2019\39993"/>
    <hyperlink ref="D92" r:id="rId148" display="2019_11\07.11.2019\39991"/>
    <hyperlink ref="D24" r:id="rId149" display="2019_10\24.10.2019\26018"/>
    <hyperlink ref="D27" r:id="rId150" display="2019_11\08.11.2019\33028"/>
    <hyperlink ref="D28" r:id="rId151" display="2019_10\24.10.2019\33031"/>
    <hyperlink ref="D29" r:id="rId152" display="2019_11\08.11.2019\33034"/>
    <hyperlink ref="D93" r:id="rId153" display="2019_10\24.10.2019\40776"/>
    <hyperlink ref="D94" r:id="rId154" display="2019_10\24.10.2019\40775"/>
    <hyperlink ref="D95" r:id="rId155" display="2019_11\08.11.2019\40773"/>
    <hyperlink ref="D96" r:id="rId156" display="2019_10\24.10.2019\40770"/>
    <hyperlink ref="D97" r:id="rId157" display="2019_10\24.10.2019\40767"/>
    <hyperlink ref="D33" r:id="rId158" display="2019_11\11.11.2019\34354"/>
    <hyperlink ref="D34" r:id="rId159" display="2019_10\25.10.2019\34358"/>
    <hyperlink ref="D37" r:id="rId160" display="2019_11\11.11.2019\34369"/>
    <hyperlink ref="D98" r:id="rId161" display="2019_10\25.10.2019\41542"/>
    <hyperlink ref="D99" r:id="rId162" display="2019_10\25.10.2019\41541"/>
    <hyperlink ref="D100" r:id="rId163" display="2019_11\11.11.2019\41539"/>
    <hyperlink ref="D101" r:id="rId164" display="2019_11\11.11.2019\41538"/>
    <hyperlink ref="D102" r:id="rId165" display="2019_10\25.10.2019\41534"/>
    <hyperlink ref="D103" r:id="rId166" display="2019_11\11.11.2019\41532"/>
    <hyperlink ref="D4" r:id="rId167" display="2019_10\07.10.2019\30612"/>
    <hyperlink ref="D17" r:id="rId168" display="2019_10\08.10.2019\32608"/>
    <hyperlink ref="D104" r:id="rId169" display="2019_10\25.10.2019\42282"/>
    <hyperlink ref="D45" r:id="rId170" display="2019_10\15.10.2019\35425"/>
    <hyperlink ref="B105" r:id="rId171" location="uuid:serviceCall$36551310"/>
    <hyperlink ref="D105" r:id="rId172" display="2019_10\25.10.2019\34548"/>
    <hyperlink ref="B104" r:id="rId173" location="uuid:serviceCall$45322451"/>
    <hyperlink ref="B106" r:id="rId174" location="uuid:serviceCall$45118387"/>
    <hyperlink ref="B107" r:id="rId175" location="uuid:serviceCall$45118388"/>
    <hyperlink ref="B108" r:id="rId176" location="uuid:serviceCall$45220011"/>
    <hyperlink ref="D38" r:id="rId177" display="2019_10\28.10.2019\34694"/>
    <hyperlink ref="D40" r:id="rId178" display="2019_10\28.10.2019\34683"/>
    <hyperlink ref="D106" r:id="rId179" display="2019_11\12.11.2019\42131"/>
    <hyperlink ref="D107" r:id="rId180" display="2019_11\12.11.2019\42132"/>
    <hyperlink ref="D108" r:id="rId181" display="2019_11\12.11.2019\42151"/>
    <hyperlink ref="B109" r:id="rId182" location="uuid:serviceCall$45897527"/>
    <hyperlink ref="B110" r:id="rId183" location="uuid:serviceCall$45897537"/>
    <hyperlink ref="B111" r:id="rId184" location="uuid:serviceCall$45897547"/>
    <hyperlink ref="B112" r:id="rId185" location="uuid:serviceCall$45897559"/>
    <hyperlink ref="B113" r:id="rId186" location="uuid:serviceCall$45897570"/>
    <hyperlink ref="D46" r:id="rId187" display="2019_11\13.11.2019\35414"/>
    <hyperlink ref="D48" r:id="rId188" display="2019_10\29.10.2019\35394"/>
    <hyperlink ref="D49" r:id="rId189" display="2019_10\29.10.2019\35390"/>
    <hyperlink ref="D50" r:id="rId190" display="2019_10\29.10.2019\35540"/>
    <hyperlink ref="D109" r:id="rId191" display="2019_11\27.11.2019\42961"/>
    <hyperlink ref="D110" r:id="rId192" display="2019_11\27.11.2019\42971"/>
    <hyperlink ref="D111" r:id="rId193" display="2019_11\13.11.2019\42981"/>
    <hyperlink ref="D112" r:id="rId194" display="2019_11\13.11.2019\42993"/>
    <hyperlink ref="D113" r:id="rId195" display="2019_11\13.11.2019\43004"/>
    <hyperlink ref="B114" r:id="rId196" location="uuid:serviceCall$37588862"/>
    <hyperlink ref="B115" r:id="rId197" location="uuid:serviceCall$46838373"/>
    <hyperlink ref="D114" r:id="rId198" display="2019_10\29.10.2019\35778"/>
    <hyperlink ref="D115" r:id="rId199" display="2019_11\13.11.2019\43791"/>
    <hyperlink ref="D42" r:id="rId200" display="2019_10\14.10.2019\27968"/>
    <hyperlink ref="D47" r:id="rId201" display="2019_10\15.10.2019\35398"/>
    <hyperlink ref="D23" r:id="rId202" display="2019_10\10.10.2019\26025"/>
    <hyperlink ref="D18" r:id="rId203" display="2019_10\09.10.2019\25579"/>
    <hyperlink ref="B116" r:id="rId204" location="uuid:serviceCall$46227164"/>
    <hyperlink ref="B117" r:id="rId205" location="uuid:serviceCall$46944908"/>
    <hyperlink ref="B118" r:id="rId206" location="uuid:serviceCall$46944927"/>
    <hyperlink ref="B119" r:id="rId207" location="uuid:serviceCall$46944928"/>
    <hyperlink ref="B120" r:id="rId208" location="uuid:serviceCall$46944935"/>
    <hyperlink ref="B121" r:id="rId209" location="uuid:serviceCall$46944943"/>
    <hyperlink ref="D116" r:id="rId210" display="2019_10\30.10.2019\43304"/>
    <hyperlink ref="D117" r:id="rId211" display="2019_10\30.10.2019\43825"/>
    <hyperlink ref="D118" r:id="rId212" display="2019_11\14.11.2019\43844"/>
    <hyperlink ref="D119" r:id="rId213" display="..\..\2019_11\28.11.2019\43845"/>
    <hyperlink ref="D120" r:id="rId214" display="2019_10\30.10.2019\43852"/>
    <hyperlink ref="D121" r:id="rId215" display="2019_11\14.11.2019\43857"/>
    <hyperlink ref="A118" location="'43844'!A1" display="У-19-43844"/>
    <hyperlink ref="A117" location="'43825'!A1" display="У-19-43825"/>
    <hyperlink ref="A116" location="'43304'!A1" display="У-19-43304"/>
    <hyperlink ref="A119" location="'43845'!A1" display="У-19-43845"/>
    <hyperlink ref="A121" location="'43857'!A1" display="У-19-43857"/>
    <hyperlink ref="A120" location="'43852'!A1" display="У-19-43852"/>
    <hyperlink ref="B122" r:id="rId216" location="uuid:serviceCall$47872702"/>
    <hyperlink ref="D122" r:id="rId217" display="2019_11\15.11.2019\44588"/>
    <hyperlink ref="D123" r:id="rId218" display="2019_11\15.11.2019\44813"/>
    <hyperlink ref="D124" r:id="rId219" display="2019_11\15.11.2019\44845"/>
    <hyperlink ref="D125" r:id="rId220" display="2019_11\15.11.2019\44853"/>
    <hyperlink ref="B123" r:id="rId221" location="uuid:serviceCall$48067363"/>
    <hyperlink ref="B124" r:id="rId222" location="uuid:serviceCall$48158218"/>
    <hyperlink ref="B125" r:id="rId223" location="uuid:serviceCall$48158229"/>
    <hyperlink ref="D3" r:id="rId224" display="2019_10\07.10.2019\17626"/>
    <hyperlink ref="D10" r:id="rId225" display="2019_10\08.10.2019\18264"/>
    <hyperlink ref="B90" r:id="rId226" location="uuid:serviceCall$34005752"/>
    <hyperlink ref="A50" location="'35540'!A1" display="У-19-35540"/>
    <hyperlink ref="A114" location="'35778'!A1" display="У-19-35778"/>
    <hyperlink ref="A105" location="'34548'!A1" display="У-19-34548"/>
    <hyperlink ref="A57" location="'28979'!A1" display="У-19-28979"/>
    <hyperlink ref="B126" r:id="rId227" location="uuid:serviceCall$48158270"/>
    <hyperlink ref="B127" r:id="rId228" location="uuid:serviceCall$48158274"/>
    <hyperlink ref="B128" r:id="rId229" location="uuid:serviceCall$48158278"/>
    <hyperlink ref="B129" r:id="rId230" location="uuid:serviceCall$48158285" display="https://smp.sfurf.office/sd/operator/ - uuid:serviceCall$48158285"/>
    <hyperlink ref="B130" r:id="rId231" location="uuid:serviceCall$48634810" display="https://smp.sfurf.office/sd/operator/ - uuid:serviceCall$48634810"/>
    <hyperlink ref="B131" r:id="rId232" location="uuid:serviceCall$50793155" display="https://smp.sfurf.office/sd/operator/ - uuid:serviceCall$50793155"/>
    <hyperlink ref="B132" r:id="rId233" location="uuid:serviceCall$50793172" display="https://smp.sfurf.office/sd/operator/ - uuid:serviceCall$50793172"/>
    <hyperlink ref="B133" r:id="rId234" location="uuid:serviceCall$50929009" display="https://smp.sfurf.office/sd/operator/ - uuid:serviceCall$50929009"/>
    <hyperlink ref="B134" r:id="rId235" location="uuid:serviceCall$51086616" display="https://smp.sfurf.office/sd/operator/ - uuid:serviceCall$51086616"/>
    <hyperlink ref="B135" r:id="rId236" location="uuid:serviceCall$51086621" display="https://smp.sfurf.office/sd/operator/ - uuid:serviceCall$51086621"/>
    <hyperlink ref="B136" r:id="rId237" location="uuid:serviceCall$49960798" display="https://smp.sfurf.office/sd/operator/ - uuid:serviceCall$49960798"/>
    <hyperlink ref="B137" r:id="rId238" location="uuid:serviceCall$49960800" display="https://smp.sfurf.office/sd/operator/ - uuid:serviceCall$49960800"/>
    <hyperlink ref="B138" r:id="rId239" location="uuid:serviceCall$50160803" display="https://smp.sfurf.office/sd/operator/ - uuid:serviceCall$50160803"/>
    <hyperlink ref="B139" r:id="rId240" location="uuid:serviceCall$50160806" display="https://smp.sfurf.office/sd/operator/ - uuid:serviceCall$50160806"/>
    <hyperlink ref="B140" r:id="rId241" location="uuid:serviceCall$50160812" display="https://smp.sfurf.office/sd/operator/ - uuid:serviceCall$50160812"/>
    <hyperlink ref="B141" r:id="rId242" location="uuid:serviceCall$51384556" display="https://smp.sfurf.office/sd/operator/ - uuid:serviceCall$51384556"/>
    <hyperlink ref="B142" r:id="rId243" location="uuid:serviceCall$51384567" display="https://smp.sfurf.office/sd/operator/ - uuid:serviceCall$51384567"/>
    <hyperlink ref="B143" r:id="rId244" location="uuid:serviceCall$51384572" display="https://smp.sfurf.office/sd/operator/ - uuid:serviceCall$51384572"/>
    <hyperlink ref="B144" r:id="rId245" location="uuid:serviceCall$51384575" display="https://smp.sfurf.office/sd/operator/ - uuid:serviceCall$51384575"/>
    <hyperlink ref="B145" r:id="rId246" location="uuid:serviceCall$51384585" display="https://smp.sfurf.office/sd/operator/ - uuid:serviceCall$51384585"/>
    <hyperlink ref="B146" r:id="rId247" location="uuid:serviceCall$53561856" display="https://smp.sfurf.office/sd/operator/ - uuid:serviceCall$53561856"/>
    <hyperlink ref="B147" r:id="rId248" location="uuid:serviceCall$53561865" display="https://smp.sfurf.office/sd/operator/ - uuid:serviceCall$53561865"/>
    <hyperlink ref="B148" r:id="rId249" location="uuid:serviceCall$53713690" display="https://smp.sfurf.office/sd/operator/ - uuid:serviceCall$53713690"/>
    <hyperlink ref="D126" r:id="rId250" display="2019_11\18.11.2019\44887"/>
    <hyperlink ref="D127" r:id="rId251" display="2019_11\01.11.2019\44891"/>
    <hyperlink ref="D128" r:id="rId252" display="2019_11\18.11.2019\44895"/>
    <hyperlink ref="D129" r:id="rId253" display="2019_11\18.11.2019\44902"/>
    <hyperlink ref="D130" r:id="rId254" display="2019_11\18.11.2019\45273"/>
    <hyperlink ref="A128" location="'44895'!A1" display="У-19-44895"/>
    <hyperlink ref="A127" location="'44891'!A1" display="У-19-44891"/>
    <hyperlink ref="A126" location="'44887'!A1" display="У-19-44887"/>
    <hyperlink ref="D131" r:id="rId255" display="2019_11\05.11.2019\47112"/>
    <hyperlink ref="D132" r:id="rId256" display="2019_11\05.11.2019\47129"/>
    <hyperlink ref="D133" r:id="rId257" display="2019_11\05.11.2019\47166"/>
    <hyperlink ref="D134" r:id="rId258" display="2019_11\05.11.2019\47206"/>
    <hyperlink ref="D135" r:id="rId259" display="2019_11\19.11.2019\47209"/>
    <hyperlink ref="D136" r:id="rId260" display="2019_11\06.11.2019\46325"/>
    <hyperlink ref="D138" r:id="rId261" display="2019_11\20.11.2019\46330"/>
    <hyperlink ref="D139" r:id="rId262" display="2019_11\20.11.2019\46333"/>
    <hyperlink ref="D140" r:id="rId263" display="2019_11\20.11.2019\46339"/>
    <hyperlink ref="D141" r:id="rId264" display="2019_11\07.11.2019\47502"/>
    <hyperlink ref="D142" r:id="rId265" display="2019_11\07.11.2019\47513"/>
    <hyperlink ref="D143" r:id="rId266" display="2019_11\21.11.2019\47518"/>
    <hyperlink ref="D144" r:id="rId267" display="2019_11\21.11.2019\47521"/>
    <hyperlink ref="D145" r:id="rId268" display="2019_11\07.11.2019\47531"/>
    <hyperlink ref="D146" r:id="rId269" display="2019_11\22.11.2019\48948"/>
    <hyperlink ref="A79" location="'38759'!A1" display="У-19-38759"/>
    <hyperlink ref="A80" location="'38766'!A1" display="У-19-38766"/>
    <hyperlink ref="A131" location="'47112'!A1" display="У-19-47112"/>
    <hyperlink ref="A133" location="'47166'!A1" display="У-19-47166"/>
    <hyperlink ref="A134" location="'47206'!A1" display="У-19-47206"/>
    <hyperlink ref="A132" location="'47129'!A1" display="У-19-47129"/>
    <hyperlink ref="A82" location="'39542'!A1" display="У-19-39542"/>
    <hyperlink ref="A137" location="'46327'!A1" display="У-19-46327"/>
    <hyperlink ref="A95" location="'40773'!A1" display="У-19-40773"/>
    <hyperlink ref="B150" r:id="rId270" location="uuid:serviceCall$53414671"/>
    <hyperlink ref="B151" r:id="rId271" location="uuid:serviceCall$53414641"/>
    <hyperlink ref="B152" r:id="rId272" location="uuid:serviceCall$53414682"/>
    <hyperlink ref="B149" r:id="rId273" location="uuid:serviceCall$53204923"/>
    <hyperlink ref="D149" r:id="rId274" display="2019_11\08.11.2019\48715"/>
    <hyperlink ref="D151" r:id="rId275" display="2019_11\08.11.2019\48833"/>
    <hyperlink ref="A149" location="'48715'!A1" display="У-19-48715"/>
    <hyperlink ref="B153" r:id="rId276" location="uuid:serviceCall$54586017"/>
    <hyperlink ref="B154" r:id="rId277" location="uuid:serviceCall$54586024"/>
    <hyperlink ref="B155" r:id="rId278" location="uuid:serviceCall$54586025"/>
    <hyperlink ref="B156" r:id="rId279" location="uuid:serviceCall$54586031"/>
    <hyperlink ref="B157" r:id="rId280" location="uuid:serviceCall$54586035"/>
    <hyperlink ref="B158" r:id="rId281" location="uuid:serviceCall$55070031"/>
    <hyperlink ref="B159" r:id="rId282" location="uuid:serviceCall$55070064"/>
    <hyperlink ref="B160" r:id="rId283" location="uuid:serviceCall$55070065"/>
    <hyperlink ref="B162" r:id="rId284" location="uuid:serviceCall$55967739"/>
    <hyperlink ref="B161" r:id="rId285" location="uuid:serviceCall$55842591"/>
    <hyperlink ref="D153" r:id="rId286" display="2019_11\11.11.2019\49679"/>
    <hyperlink ref="D154" r:id="rId287" display="2019_11\25.11.2019\49686"/>
    <hyperlink ref="D155" r:id="rId288" display="2019_11\11.11.2019\49687"/>
    <hyperlink ref="A101" location="'41538'!A1" display="У-19-41538"/>
    <hyperlink ref="A103" location="'41532'!A1" display="У-19-41532"/>
    <hyperlink ref="A100" location="'41539'!A1" display="У-19-41539"/>
    <hyperlink ref="A107" location="'42132'!A1" display="У-19-42132"/>
    <hyperlink ref="A155" location="'49687'!A1" display="У-19-49687"/>
    <hyperlink ref="A106" location="'42131'!A1" display="У-19-42131"/>
    <hyperlink ref="D158" r:id="rId289" display="2019_11\26.11.2019\50089"/>
    <hyperlink ref="D159" r:id="rId290" display="2019_11\26.11.2019\50122"/>
    <hyperlink ref="D160" r:id="rId291" display="2019_11\12.11.2019\50123"/>
    <hyperlink ref="D161" r:id="rId292" display="2019_11\13.11.2019\50842"/>
    <hyperlink ref="D162" r:id="rId293" display="2019_11\13.11.2019\50889"/>
    <hyperlink ref="D36" r:id="rId294" display="2019_10\11.10.2019\34367"/>
    <hyperlink ref="A109" location="'42961'!A1" display="У-19-42961"/>
    <hyperlink ref="A110" location="'42971'!A1" display="У-19-42971"/>
    <hyperlink ref="A111" location="'42981'!A1" display="У-19-42981"/>
    <hyperlink ref="D163" r:id="rId295" display="2019_11\14.11.2019\36363"/>
    <hyperlink ref="D164" r:id="rId296" display="2019_11\14.11.2019\43499"/>
    <hyperlink ref="D166" r:id="rId297" display="2019_11\14.11.2019\51370"/>
    <hyperlink ref="D167" r:id="rId298" display="2019_11\28.11.2019\51437"/>
    <hyperlink ref="D168" r:id="rId299" display="2019_11/28.11.2019/51569"/>
    <hyperlink ref="B163" r:id="rId300" location="uuid:serviceCall$38305853"/>
    <hyperlink ref="B164" r:id="rId301" location="uuid:serviceCall$46451381"/>
    <hyperlink ref="B166" r:id="rId302" location="uuid:serviceCall$56712020"/>
    <hyperlink ref="B167" r:id="rId303" location="uuid:serviceCall$56712087"/>
    <hyperlink ref="B168" r:id="rId304" location="uuid:serviceCall$56936821"/>
    <hyperlink ref="A112" location="'42993'!A1" display="У-19-42993"/>
    <hyperlink ref="A115" location="'43791'!A1" display="У-19-43791"/>
    <hyperlink ref="A113" location="'43004'!A1" display="У-19-43004"/>
    <hyperlink ref="A161" location="'50842'!A1" display="У-19-50842"/>
    <hyperlink ref="A162" location="'50889'!A1" display="У-19-50889"/>
    <hyperlink ref="A163" location="'36363'!A1" display="У-19-36363"/>
    <hyperlink ref="A164" location="'43499'!A1" display="У-19-43499"/>
    <hyperlink ref="A166" location="'51370'!A1" display="У-19-51370"/>
    <hyperlink ref="B169" r:id="rId305" location="uuid:serviceCall$58113766"/>
    <hyperlink ref="D169" r:id="rId306" display="2019_11\15.11.2019\52556"/>
    <hyperlink ref="D170" r:id="rId307" display="2019_11\29.11.2019\52571"/>
    <hyperlink ref="B170" r:id="rId308" location="uuid:serviceCall$58245713"/>
    <hyperlink ref="A123" location="'44813'!A1" display="У-19-44813"/>
    <hyperlink ref="A124" location="'44845'!A1" display="У-19-44845"/>
    <hyperlink ref="A125" location="'44853'!A1" display="У-19-44853"/>
    <hyperlink ref="A169" location="'52556'!A1" display="У-19-52556"/>
    <hyperlink ref="A122" location="'44588'!A1" display="У-19-44588"/>
    <hyperlink ref="B171" r:id="rId309" location="uuid:serviceCall$58537119"/>
    <hyperlink ref="B172" r:id="rId310" location="uuid:serviceCall$58537120" display="https://smp.sfurf.office/sd/operator/index.jsp;jsessionid=4B56FDB405CD332F2E4AE6AEC0BFEE05 - uuid:serviceCall$58537120"/>
    <hyperlink ref="B173" r:id="rId311" location="uuid:serviceCall$58747473" display="https://smp.sfurf.office/sd/operator/index.jsp;jsessionid=4B56FDB405CD332F2E4AE6AEC0BFEE05 - uuid:serviceCall$58747473"/>
    <hyperlink ref="D183" r:id="rId312" display="2019_11\15.11.2019\55592"/>
    <hyperlink ref="B183" r:id="rId313" location="uuid:serviceCall$61785456"/>
    <hyperlink ref="A183" location="'55592'!A1" display="У-19-55592"/>
    <hyperlink ref="D171" r:id="rId314" display="2019_11\18.11.2019\52840"/>
    <hyperlink ref="D172" r:id="rId315" display="2019_11\18.11.2019\52841"/>
    <hyperlink ref="D173" r:id="rId316" display="2019_11\18.11.2019\53093"/>
    <hyperlink ref="D165" r:id="rId317" display="2019_11/19.11.2019/46264"/>
    <hyperlink ref="D174" r:id="rId318" display="2019_12\03.12.2019\54137"/>
    <hyperlink ref="D175" r:id="rId319" display="2019_11\19.11.2019\54139"/>
    <hyperlink ref="D176" r:id="rId320" display="2019_12\03.12.2019\54150"/>
    <hyperlink ref="D177" r:id="rId321" display="2019_12\03.12.2019\54161"/>
    <hyperlink ref="D178" r:id="rId322" display="2019_12\03.12.2019\54180"/>
    <hyperlink ref="D179" r:id="rId323" display="2019_11/19.11.2019/54236"/>
    <hyperlink ref="D180" r:id="rId324" display="2019_11/19.11.2019/54318"/>
    <hyperlink ref="D181" r:id="rId325" display="2019_11/19.11.2019/54338"/>
    <hyperlink ref="D182" r:id="rId326" display="2019_11/20.11.2019/55576"/>
    <hyperlink ref="D184" r:id="rId327" display="2019_11/20.11.2019/55596"/>
    <hyperlink ref="D185" r:id="rId328" display="2019_11/20.11.2019/55617"/>
    <hyperlink ref="D186" r:id="rId329" display="2019_12\04.12.2019\55619"/>
    <hyperlink ref="D187" r:id="rId330" display="2019_11/21.11.2019/56208"/>
    <hyperlink ref="D188" r:id="rId331" display="2019_12\05.12.2019\56220"/>
    <hyperlink ref="D189" r:id="rId332" display="2019_12\05.12.2019\56271"/>
    <hyperlink ref="D191" r:id="rId333" display="2019_12\05.12.2019\56286"/>
    <hyperlink ref="D190" r:id="rId334" display="2019_11/22.11.2019/56281"/>
    <hyperlink ref="D192" r:id="rId335" display="2019_11/22.11.2019/56289"/>
    <hyperlink ref="D193" r:id="rId336" display="2019_12\06.12.2019\56295"/>
    <hyperlink ref="D194" r:id="rId337" display="2019_11/22.11.2019/56299"/>
    <hyperlink ref="A129" location="'44902'!A1" display="У-19-44902"/>
    <hyperlink ref="A130" location="'45273'!A1" display="У-19-45273"/>
    <hyperlink ref="A171" location="'52840'!A1" display="У-19-52840"/>
    <hyperlink ref="A173" location="'53093'!A1" display="У-19-53093"/>
    <hyperlink ref="A172" location="'52841'!A1" display="У-19-52841"/>
    <hyperlink ref="B165" r:id="rId338" location="uuid:serviceCall$49960737"/>
    <hyperlink ref="B174" r:id="rId339" location="uuid:serviceCall$59947475"/>
    <hyperlink ref="B175" r:id="rId340" location="uuid:serviceCall$59947478"/>
    <hyperlink ref="B176" r:id="rId341" location="uuid:serviceCall$59947493"/>
    <hyperlink ref="B177" r:id="rId342" location="uuid:serviceCall$60034109"/>
    <hyperlink ref="B178" r:id="rId343" location="uuid:serviceCall$60034138"/>
    <hyperlink ref="B179" r:id="rId344" location="uuid:serviceCall$60034161"/>
    <hyperlink ref="B180" r:id="rId345" location="uuid:serviceCall$60247413"/>
    <hyperlink ref="B181" r:id="rId346" location="uuid:serviceCall$60247436"/>
    <hyperlink ref="A165" location="'46264'!A1" display="У-19-46264"/>
    <hyperlink ref="A175" location="'54139'!A1" display="У-19-54139"/>
    <hyperlink ref="A179" location="'54236'!A1" display="У-19-54236"/>
    <hyperlink ref="A180" location="'54318'!A1" display="У-19-54318"/>
    <hyperlink ref="A135" location="'47209'!A1" display="У-19-47209"/>
    <hyperlink ref="B182" r:id="rId347" location="uuid:serviceCall$61785439"/>
    <hyperlink ref="B184" r:id="rId348" location="uuid:serviceCall$61785459"/>
    <hyperlink ref="B185" r:id="rId349" location="uuid:serviceCall$61785480"/>
    <hyperlink ref="B186" r:id="rId350" location="uuid:serviceCall$61785482"/>
    <hyperlink ref="A181" location="'54338'!A1" display="У-19-54338"/>
    <hyperlink ref="A139" location="'46333'!A1" display="У-19-46333"/>
    <hyperlink ref="A138" location="'46330'!A1" display="У-19-46330"/>
    <hyperlink ref="A140" location="'46339'!A1" display="У-19-46339"/>
    <hyperlink ref="A182" location="'55576'!A1" display="У-19-55576"/>
    <hyperlink ref="A185" location="'55617'!A1" display="У-19-55617"/>
    <hyperlink ref="B187" r:id="rId351" location="uuid:serviceCall$62466995"/>
    <hyperlink ref="B188" r:id="rId352" location="uuid:serviceCall$62649507"/>
    <hyperlink ref="A184" location="'55596'!A1" display="У-19-55596"/>
    <hyperlink ref="B189" r:id="rId353" location="uuid:serviceCall$62649558"/>
    <hyperlink ref="B191" r:id="rId354" location="uuid:serviceCall$62649573"/>
    <hyperlink ref="A144" location="'47521'!A1" display="У-19-47521"/>
    <hyperlink ref="A143" location="'47518'!A1" display="У-19-47518"/>
    <hyperlink ref="B195" r:id="rId355" location="uuid:serviceCall$42559460"/>
    <hyperlink ref="D195" r:id="rId356" display="2019_11/21.11.2019/39984"/>
    <hyperlink ref="D196" r:id="rId357" display="2019_11\21.11.2019\55899"/>
    <hyperlink ref="B196" r:id="rId358" location="uuid:serviceCall$62093576"/>
    <hyperlink ref="A187" location="'56208'!A1" display="У-19-56208"/>
    <hyperlink ref="A195" location="'39984'!A1" display="У-19-39984"/>
    <hyperlink ref="A196" location="'55899'!A1" display="У-19-55899"/>
    <hyperlink ref="D147" r:id="rId359" display="2019_11\22.11.2019\48957"/>
    <hyperlink ref="D148" r:id="rId360" display="2019_11\22.11.2019\49082"/>
    <hyperlink ref="D150" r:id="rId361" display="2019_11\22.11.2019\48863"/>
    <hyperlink ref="D152" r:id="rId362" display="2019_11\22.11.2019\48874"/>
    <hyperlink ref="B190" r:id="rId363" location="uuid:serviceCall$62649568"/>
    <hyperlink ref="B192" r:id="rId364" location="uuid:serviceCall$62649576"/>
    <hyperlink ref="B193" r:id="rId365" location="uuid:serviceCall$62649582"/>
    <hyperlink ref="B194" r:id="rId366" location="uuid:serviceCall$62649586"/>
    <hyperlink ref="A194" location="'56299'!A1" display="У-19-56299"/>
    <hyperlink ref="A192" location="'56289'!A1" display="У-19-56289"/>
    <hyperlink ref="A190" location="'56281'!A1" display="У-19-56281"/>
    <hyperlink ref="A147" location="'48957'!A1" display="У-19-48957"/>
    <hyperlink ref="A148" location="'49082'!A1" display="У-19-49082"/>
    <hyperlink ref="A150" location="'48863'!A1" display="У-19-48863"/>
    <hyperlink ref="A152" location="'48874'!A1" display="У-19-48874"/>
    <hyperlink ref="A146" location="'48948'!A1" display="У-19-48948"/>
    <hyperlink ref="D137" r:id="rId367" display="2019_12\04.12.2019\46327"/>
    <hyperlink ref="D199" r:id="rId368" display="2019_11/25.11.2019/58302"/>
    <hyperlink ref="D200" r:id="rId369" display="2019_11/25.11.2019/58323"/>
    <hyperlink ref="D201" r:id="rId370" display="2019_11/25.11.2019/58341"/>
    <hyperlink ref="D202" r:id="rId371" display="2019_11/25.11.2019/58419"/>
    <hyperlink ref="D156" r:id="rId372" display="2019_11\25.11.2019\49692"/>
    <hyperlink ref="D157" r:id="rId373" display="2019_11\25.11.2019\49697"/>
    <hyperlink ref="B199" r:id="rId374" location="uuid:serviceCall$65226138"/>
    <hyperlink ref="B200" r:id="rId375" location="uuid:serviceCall$65226160"/>
    <hyperlink ref="B201" r:id="rId376" location="uuid:serviceCall$65226178"/>
    <hyperlink ref="B202" r:id="rId377" location="uuid:serviceCall$65367084"/>
    <hyperlink ref="D197" r:id="rId378" display="2019_11/26.11.2019/57809"/>
    <hyperlink ref="D198" r:id="rId379" display="2019_11/26.11.2019/57831"/>
    <hyperlink ref="B197" r:id="rId380" location="uuid:serviceCall$64639740"/>
    <hyperlink ref="B198" r:id="rId381" location="uuid:serviceCall$64639762"/>
    <hyperlink ref="D203" r:id="rId382" display="2019_11/27.11.2019/59774"/>
    <hyperlink ref="D204" r:id="rId383" display="2019_11/27.11.2019/59810"/>
    <hyperlink ref="D205" r:id="rId384" display="2019_11/27.11.2019/59824"/>
    <hyperlink ref="D207" r:id="rId385" display="2019_11/27.11.2019/60319"/>
    <hyperlink ref="B203" r:id="rId386" location="uuid:serviceCall$67044910"/>
    <hyperlink ref="B204" r:id="rId387" location="uuid:serviceCall$67044946"/>
    <hyperlink ref="B205" r:id="rId388" location="uuid:serviceCall$67044960"/>
    <hyperlink ref="B207" r:id="rId389" location="uuid:serviceCall$67670077"/>
    <hyperlink ref="A154" location="'49686'!A1" display="У-19-49686"/>
    <hyperlink ref="A156" location="'49692'!A1" display="У-19-49692"/>
    <hyperlink ref="A157" location="'49697'!A1" display="У-19-49697"/>
    <hyperlink ref="A199" location="'58302'!A1" display="У-19-58302"/>
    <hyperlink ref="A201" location="'58341'!A1" display="У-19-58341"/>
    <hyperlink ref="A200" location="'58323'!A1" display="У-19-58323"/>
    <hyperlink ref="A202" location="'58419'!A1" display="У-19-58419"/>
    <hyperlink ref="A158" location="'50089'!A1" display="У-19-50089"/>
    <hyperlink ref="A197" location="'57809'!A1" display="У-19-57809"/>
    <hyperlink ref="A159" location="'50122'!A1" display="У-19-50122"/>
    <hyperlink ref="A198" location="'57831'!A1" display="У-19-57831"/>
    <hyperlink ref="D206" r:id="rId390" display="2019_11\28.11.2019\60237"/>
    <hyperlink ref="D208" r:id="rId391" display="2019_11\28.11.2019\60330"/>
    <hyperlink ref="D209" r:id="rId392" display="2019_11\28.11.2019\60331"/>
    <hyperlink ref="D210" r:id="rId393" display="2019_11\28.11.2019\60339"/>
    <hyperlink ref="B212" r:id="rId394" location="uuid:serviceCall$67670072"/>
    <hyperlink ref="D212" r:id="rId395" display="2019_11\28.11.2019\60314"/>
    <hyperlink ref="B206" r:id="rId396" location="uuid:serviceCall$67547793"/>
    <hyperlink ref="B208" r:id="rId397" location="uuid:serviceCall$67670088"/>
    <hyperlink ref="B209" r:id="rId398" location="uuid:serviceCall$67670089"/>
    <hyperlink ref="B210" r:id="rId399" location="uuid:serviceCall$67670097"/>
    <hyperlink ref="D211" r:id="rId400" display="2019_11\29.11.2019\61003"/>
    <hyperlink ref="B211" r:id="rId401" location="uuid:serviceCall$68503484"/>
    <hyperlink ref="A212" location="'60314'!A1" display="У-19-60314"/>
    <hyperlink ref="D213" r:id="rId402" display="2019_11\27.11.2019\50215"/>
    <hyperlink ref="D214" r:id="rId403" display="2019_11\27.11.2019\58929"/>
    <hyperlink ref="B213" r:id="rId404" location="uuid:serviceCall$55334657"/>
    <hyperlink ref="B214" r:id="rId405" location="uuid:serviceCall$66006440"/>
    <hyperlink ref="B215" r:id="rId406" location="uuid:serviceCall$67670083"/>
    <hyperlink ref="B216" r:id="rId407" location="uuid:serviceCall$67670087"/>
    <hyperlink ref="D216" r:id="rId408" display="2019_11/28.11.2019/60329"/>
    <hyperlink ref="D215" r:id="rId409" display="2019_11\28.11.2019\60326"/>
    <hyperlink ref="B217" r:id="rId410" location="uuid:serviceCall$67811826"/>
    <hyperlink ref="D217" r:id="rId411" display="2019_11/28.11.2019/60365"/>
    <hyperlink ref="B218" r:id="rId412" location="uuid:serviceCall$68784466"/>
    <hyperlink ref="D218" r:id="rId413" display="2019_11/29.11.2019/61262"/>
    <hyperlink ref="B219" r:id="rId414" location="uuid:serviceCall$69003116"/>
    <hyperlink ref="B220" r:id="rId415" location="uuid:serviceCall$69123905"/>
    <hyperlink ref="D219" r:id="rId416" display="2019_12/02.12.2019/61417"/>
    <hyperlink ref="D220" r:id="rId417" display="2019_12/02.12.2019/61506"/>
    <hyperlink ref="D221" r:id="rId418" display="2019_12/03.12.2019/62980"/>
    <hyperlink ref="D222" r:id="rId419" display="2019_12/03.12.2019/62996"/>
    <hyperlink ref="D223" r:id="rId420" display="2019_12/03.12.2019/63068"/>
    <hyperlink ref="D224" r:id="rId421" display="2019_12/04.12.2019/64001"/>
    <hyperlink ref="D225" r:id="rId422" display="2019_12/04.12.2019/64002"/>
    <hyperlink ref="D226" r:id="rId423" display="2019_12/04.12.2019/64007"/>
    <hyperlink ref="D227" r:id="rId424" display="2019_12/04.12.2019/64022"/>
    <hyperlink ref="D228" r:id="rId425" display="2019_12/05.12.2019/64813"/>
    <hyperlink ref="D229" r:id="rId426" display="2019_12/06.12.2019/65730"/>
    <hyperlink ref="D230" r:id="rId427" display="2019_12/06.12.2019/65746"/>
    <hyperlink ref="D231" r:id="rId428" display="2019_12/06.12.2019/65747"/>
    <hyperlink ref="B221" r:id="rId429" location="uuid:serviceCall$70993572"/>
    <hyperlink ref="B222" r:id="rId430" location="uuid:serviceCall$70993588"/>
    <hyperlink ref="B223" r:id="rId431" location="uuid:serviceCall$71072671"/>
    <hyperlink ref="B224" r:id="rId432" location="uuid:serviceCall$72341776"/>
    <hyperlink ref="B225" r:id="rId433" location="uuid:serviceCall$72341777"/>
    <hyperlink ref="B226" r:id="rId434" location="uuid:serviceCall$72341784"/>
    <hyperlink ref="B227" r:id="rId435" location="uuid:serviceCall$72482415"/>
    <hyperlink ref="B228" r:id="rId436" location="uuid:serviceCall$73612039"/>
    <hyperlink ref="B229" r:id="rId437" location="uuid:serviceCall$74707681"/>
    <hyperlink ref="B230" r:id="rId438" location="uuid:serviceCall$74707697"/>
    <hyperlink ref="B231" r:id="rId439" location="uuid:serviceCall$74707698"/>
    <hyperlink ref="A168" location="'51569'!A1" display="У-19-51569"/>
    <hyperlink ref="B232" r:id="rId440" location="uuid:serviceCall$75837045"/>
    <hyperlink ref="B233" r:id="rId441" location="uuid:serviceCall$75898213"/>
    <hyperlink ref="D232" r:id="rId442" display="2019_12\10.12.2019\66592"/>
    <hyperlink ref="D233" r:id="rId443" display="2019_12\10.12.2019\66660"/>
    <hyperlink ref="B280" r:id="rId444" location="uuid:serviceCall$65226117"/>
    <hyperlink ref="B248" r:id="rId445" location="uuid:serviceCall$65226156"/>
    <hyperlink ref="B246" r:id="rId446" location="uuid:serviceCall$64488775"/>
    <hyperlink ref="B247" r:id="rId447" location="uuid:serviceCall$64639713"/>
    <hyperlink ref="B283" r:id="rId448" location="uuid:serviceCall$66902597"/>
    <hyperlink ref="B260" r:id="rId449" location="uuid:serviceCall$67044911"/>
    <hyperlink ref="B261" r:id="rId450" location="uuid:serviceCall$67044973"/>
    <hyperlink ref="B249" r:id="rId451" location="uuid:serviceCall$67183713"/>
    <hyperlink ref="B253" r:id="rId452" location="uuid:serviceCall$67811847"/>
    <hyperlink ref="B264" r:id="rId453" location="uuid:serviceCall$68503479"/>
    <hyperlink ref="B265" r:id="rId454" location="uuid:serviceCall$68598804"/>
    <hyperlink ref="D234" r:id="rId455" display="2019_12\09.12.2019\49635"/>
    <hyperlink ref="D235" r:id="rId456" display="2019_12\09.12.2019\52919"/>
    <hyperlink ref="D237" r:id="rId457" display="2019_12\09.12.2019\57718"/>
    <hyperlink ref="D245" r:id="rId458" display="2019_12\09.12.2019\53078"/>
    <hyperlink ref="D248" r:id="rId459" display="2019_12\09.12.2019\58319"/>
    <hyperlink ref="D255" r:id="rId460" display="2019_12\09.12.2019\66336"/>
    <hyperlink ref="D256" r:id="rId461" display="2019_12\09.12.2019\66345"/>
    <hyperlink ref="D267" r:id="rId462" display="2019_12\09.12.2019\67302"/>
    <hyperlink ref="D268" r:id="rId463" display="2019_12\09.12.2019\67458"/>
    <hyperlink ref="D269" r:id="rId464" display="2019_12\09.12.2019\67460"/>
    <hyperlink ref="D274" r:id="rId465" display="2019_12\09.12.2019\53072"/>
    <hyperlink ref="D275" r:id="rId466" display="2019_12\09.12.2019\53076"/>
    <hyperlink ref="D279" r:id="rId467" display="2019_12\09.12.2019\58110"/>
    <hyperlink ref="D280" r:id="rId468" display="2019_12\09.12.2019\58281"/>
    <hyperlink ref="D266" r:id="rId469" display="2019_12\10.12.2019\67283"/>
    <hyperlink ref="D236" r:id="rId470" display="2019_12\09.12.2019\53049"/>
    <hyperlink ref="D238" r:id="rId471" display="2019_12/10.12.2019/58469"/>
    <hyperlink ref="D241" r:id="rId472" display="2019_12/10.12.2019/67143"/>
    <hyperlink ref="D246" r:id="rId473" display="2019_12\10.12.2019\57744"/>
    <hyperlink ref="D247" r:id="rId474" display="2019_12/10.12.2019/57782"/>
    <hyperlink ref="D260" r:id="rId475" display="2019_12/11.12.2019/59775"/>
    <hyperlink ref="D276" r:id="rId476" display="2019_12\10.12.2019\54117"/>
    <hyperlink ref="D277" r:id="rId477" display="2019_12/10.12.2019/54166"/>
    <hyperlink ref="D278" r:id="rId478" display="2019_12\10.12.2019\57880"/>
    <hyperlink ref="D287" r:id="rId479" display="2019_12/10.12.2019/68276"/>
    <hyperlink ref="D261" r:id="rId480" display="2019_12/11.12.2019/59837"/>
    <hyperlink ref="D270" r:id="rId481" display="2019_12/11.12.2019/68473"/>
    <hyperlink ref="D271" r:id="rId482" display="2019_12/11.12.2019/68548"/>
    <hyperlink ref="D239" r:id="rId483" display="2019_12/11.12.2019/58519"/>
    <hyperlink ref="D242" r:id="rId484" display="2019_12\11.12.2019\67958"/>
    <hyperlink ref="D282" r:id="rId485" display="2019_12/11.12.2019/58906"/>
    <hyperlink ref="D283" r:id="rId486" display="2019_12\11.12.2019\59761"/>
    <hyperlink ref="D249" r:id="rId487" display="2019_12/11.12.2019/59875"/>
    <hyperlink ref="D240" r:id="rId488" display="2019_12/12.12.2019/60483"/>
    <hyperlink ref="D243" r:id="rId489" display="2019_12/12.12.2019/69444"/>
    <hyperlink ref="D284" r:id="rId490" display="2019_12/12.12.2019/60138"/>
    <hyperlink ref="D285" r:id="rId491" display="2019_12\12.12.2019\60341"/>
    <hyperlink ref="D288" r:id="rId492" display="2019_12\12.12.2019\69403"/>
    <hyperlink ref="D289" r:id="rId493" display="2019_12\12.12.2019\69727"/>
    <hyperlink ref="D290" r:id="rId494" display="2019_12\12.12.2019\69728"/>
    <hyperlink ref="D250" r:id="rId495" display="2019_12\12.12.2019\60328"/>
    <hyperlink ref="D251" r:id="rId496" display="2019_12\12.12.2019\60346"/>
    <hyperlink ref="D252" r:id="rId497" display="2019_12\12.12.2019\60362"/>
    <hyperlink ref="D253" r:id="rId498" display="2019_12\12.12.2019\60381"/>
    <hyperlink ref="D259" r:id="rId499" display="2019_12/12.12.2019/55244"/>
    <hyperlink ref="D262" r:id="rId500" display="2019_12\12.12.2019\59980"/>
    <hyperlink ref="D263" r:id="rId501" display="2019_12\12.12.2019\60129"/>
    <hyperlink ref="D291" r:id="rId502" display="2019_12/13.12.2019/69999"/>
    <hyperlink ref="D257" r:id="rId503" display="2019_12/13.12.2019/69430"/>
    <hyperlink ref="D258" r:id="rId504" display="2019_12\13.12.2019\69922"/>
    <hyperlink ref="D254" r:id="rId505" display="2019_12\13.12.2019\61027"/>
    <hyperlink ref="D273" r:id="rId506" display="2019_12\13.12.2019\52402"/>
    <hyperlink ref="D286" r:id="rId507" display="2019_12\13.12.2019\60598"/>
    <hyperlink ref="D264" r:id="rId508" display="2019_12/13.12.2019/60998"/>
    <hyperlink ref="D265" r:id="rId509" display="2019_12\13.12.2019\61023"/>
    <hyperlink ref="D272" r:id="rId510" display="2019_12\13.12.2019\70802"/>
    <hyperlink ref="D292" r:id="rId511" display="2019_12/16.12.2019/56847"/>
    <hyperlink ref="D293" r:id="rId512" display="2019_12/16.12.2019/70373"/>
    <hyperlink ref="D350" r:id="rId513" display="2019_12/16.12.2019/57025"/>
    <hyperlink ref="D351" r:id="rId514" display="2019_12/16.12.2019/61737"/>
    <hyperlink ref="D297" r:id="rId515" display="2019_12\16.12.2019\62063"/>
    <hyperlink ref="D308" r:id="rId516" display="2019_12/16.12.2019/71715"/>
    <hyperlink ref="D331" r:id="rId517" display="2019_12/16.12.2019/53663"/>
    <hyperlink ref="D332" r:id="rId518" display="2019_12\16.12.2019\61675"/>
    <hyperlink ref="D296" r:id="rId519" display="2019_12/16.12.2019/61930"/>
    <hyperlink ref="D309" r:id="rId520" display="2019_12\16.12.2019\71719"/>
    <hyperlink ref="D340" r:id="rId521" display="2019_12\16.12.2019\71260"/>
    <hyperlink ref="D362" r:id="rId522" display="2019_12\16.12.2019\61717"/>
    <hyperlink ref="D294" r:id="rId523" display="2019_12/16.12.2019/49620"/>
    <hyperlink ref="D315" r:id="rId524" display="2019_12/16.12.2019/61612"/>
    <hyperlink ref="D341" r:id="rId525" display="2019_12/16.12.2019/71272"/>
    <hyperlink ref="D363" r:id="rId526" display="2019_12\16.12.2019\70198"/>
    <hyperlink ref="D314" r:id="rId527" display="2019_12\16.12.2019\61387"/>
    <hyperlink ref="D324" r:id="rId528" display="2019_12\16.12.2019\70080"/>
    <hyperlink ref="D325" r:id="rId529" display="2019_12\16.12.2019\70169"/>
    <hyperlink ref="D361" r:id="rId530" display="2019_12/17.12.2019/70844"/>
    <hyperlink ref="D364" r:id="rId531" display="2019_12/17.12.2019/62750"/>
    <hyperlink ref="D365" r:id="rId532" display="2019_12/17.12.2019/62786"/>
    <hyperlink ref="D333" r:id="rId533" display="2019_12\17.12.2019\62461"/>
    <hyperlink ref="D334" r:id="rId534" display="2019_12\17.12.2019\63081"/>
    <hyperlink ref="D335" r:id="rId535" display="2019_12\17.12.2019\63146"/>
    <hyperlink ref="D352" r:id="rId536" display="2019_12\17.12.2019\62803"/>
    <hyperlink ref="D353" r:id="rId537" display="2019_12/17.12.2019/62804"/>
    <hyperlink ref="D357" r:id="rId538" display="2019_12/17.12.2019/71201"/>
    <hyperlink ref="D326" r:id="rId539" display="2019_12\17.12.2019\71892"/>
    <hyperlink ref="D295" r:id="rId540" display="2019_12/17.12.2019/54196"/>
    <hyperlink ref="D300" r:id="rId541" display="2019_12\17.12.2019\63880"/>
    <hyperlink ref="D301" r:id="rId542" display="2019_12\17.12.2019\63885"/>
    <hyperlink ref="D306" r:id="rId543" display="2019_12\17.12.2019\71147"/>
    <hyperlink ref="D307" r:id="rId544" display="2019_12\17.12.2019\71208"/>
    <hyperlink ref="D343" r:id="rId545" display="2019_12/17.12.2019/71393"/>
    <hyperlink ref="D318" r:id="rId546" display="2019_12\17.12.2019\62661"/>
    <hyperlink ref="D317" r:id="rId547" display="2019_12/17.12.2019/62659"/>
    <hyperlink ref="D366" r:id="rId548" display="2019_12\18.12.2019\71974"/>
    <hyperlink ref="D367" r:id="rId549" display="2019_12\18.12.2019\72036"/>
    <hyperlink ref="D368" r:id="rId550" display="2019_12\18.12.2019\71930"/>
    <hyperlink ref="D316" r:id="rId551" display="2019_12/17.12.2019/62654"/>
    <hyperlink ref="D342" r:id="rId552" display="2019_12/17.12.2019/71353"/>
    <hyperlink ref="D336" r:id="rId553" display="2019_12\18.12.2019\63463"/>
    <hyperlink ref="D298" r:id="rId554" display="2019_12/18.12.2019/63593"/>
    <hyperlink ref="D299" r:id="rId555" display="2019_12\18.12.2019\63600"/>
    <hyperlink ref="D354" r:id="rId556" display="2019_12/18.12.2019/63946"/>
    <hyperlink ref="D358" r:id="rId557" display="2019_12/18.12.2019/72368"/>
    <hyperlink ref="D337" r:id="rId558" display="2019_12/18.12.2019/63734"/>
    <hyperlink ref="D369" r:id="rId559" display="2019_12/18.12.2019/64041"/>
    <hyperlink ref="D302" r:id="rId560" display="2019_12\18.12.2019\64038"/>
    <hyperlink ref="D320" r:id="rId561" display="2019_12\18.12.2019\64278"/>
    <hyperlink ref="D348" r:id="rId562" display="2019_12/18.12.2019/73375"/>
    <hyperlink ref="D376" r:id="rId563" display="2019_12\19.12.2019\72890"/>
    <hyperlink ref="D355" r:id="rId564" display="2019_12/19.12.2019/64753"/>
    <hyperlink ref="D319" r:id="rId565" display="2019_12/18.12.2019/63919"/>
    <hyperlink ref="D311" r:id="rId566" display="2019_12/18.12.2019/73215"/>
    <hyperlink ref="D370" r:id="rId567" display="2019_12/18.12.2019/71922"/>
    <hyperlink ref="D328" r:id="rId568" display="2019_12/18.12.2019/72900"/>
    <hyperlink ref="D339" r:id="rId569" display="2019_12\19.12.2019\64815"/>
    <hyperlink ref="D371" r:id="rId570" display="2019_12/19.12.2019/65185"/>
    <hyperlink ref="D372" r:id="rId571" display="2019_12/19.12.2019/65196"/>
    <hyperlink ref="D327" r:id="rId572" display="2019_12\18.12.2019\71897"/>
    <hyperlink ref="D303" r:id="rId573" display="2019_12/19.12.2019/65371"/>
    <hyperlink ref="D375" r:id="rId574" display="2019_12/19.12.2019/72868"/>
    <hyperlink ref="D310" r:id="rId575" display="2019_12/19.12.2019/73199"/>
    <hyperlink ref="D312" r:id="rId576" display="2019_12/19.12.2019/73379"/>
    <hyperlink ref="D321" r:id="rId577" display="2019_12/19.12.2019/64836"/>
    <hyperlink ref="D322" r:id="rId578" display="2019_12/19.12.2019/65449"/>
    <hyperlink ref="D329" r:id="rId579" display="2019_12/19.12.2019/73186"/>
    <hyperlink ref="D338" r:id="rId580" display="2019_12/19.12.2019/64814"/>
    <hyperlink ref="D344" r:id="rId581" display="2019_12/19.12.2019/73081"/>
    <hyperlink ref="D345" r:id="rId582" display="2019_12/19.12.2019/73301"/>
    <hyperlink ref="D346" r:id="rId583" display="2019_12/19.12.2019/73318"/>
    <hyperlink ref="D347" r:id="rId584" display="2019_12/19.12.2019/73360"/>
    <hyperlink ref="D349" r:id="rId585" display="2019_12/19.12.2019/55198"/>
    <hyperlink ref="D359" r:id="rId586" display="2019_12/19.12.2019/73133"/>
    <hyperlink ref="D377" r:id="rId587" display="2019_12/19.12.2019/72908"/>
    <hyperlink ref="D304" r:id="rId588" display="2019_12/20.12.2019/65903"/>
    <hyperlink ref="D305" r:id="rId589" display="2019_12/20.12.2019/65914"/>
    <hyperlink ref="D313" r:id="rId590" display="2019_12/20.12.2019/74332"/>
    <hyperlink ref="D323" r:id="rId591" display="2019_12/20.12.2019/65884"/>
    <hyperlink ref="D330" r:id="rId592" display="2019_12/20.12.2019/74795"/>
    <hyperlink ref="D356" r:id="rId593" display="2019_12/20.12.2019/65688"/>
    <hyperlink ref="D360" r:id="rId594" display="2019_12/20.12.2019/73942"/>
    <hyperlink ref="D373" r:id="rId595" display="2019_12/20.12.2019/65782"/>
    <hyperlink ref="D374" r:id="rId596" display="2019_12/20.12.2019/65795"/>
    <hyperlink ref="D378" r:id="rId597" display="2019_12/20.12.2019/73578"/>
    <hyperlink ref="D379" r:id="rId598" display="2019_12/20.12.2019/73579"/>
    <hyperlink ref="D413" r:id="rId599" display="2019_12/23.12.2019/66351"/>
    <hyperlink ref="D427" r:id="rId600" display="2019_12/23.12.2019/74592"/>
    <hyperlink ref="D381" r:id="rId601" display="2019_12/23.12.2019/66158"/>
    <hyperlink ref="D382" r:id="rId602" display="2019_12/23.12.2019/66160"/>
    <hyperlink ref="D394" r:id="rId603" display="2019_12/23.12.2019/74824"/>
    <hyperlink ref="D454" r:id="rId604" display="2019_12/23.12.2019/74372"/>
    <hyperlink ref="D470" r:id="rId605" display="2019_12/23.12.2019/66340"/>
    <hyperlink ref="D474" r:id="rId606" display="2019_12/23.12.2019/67308"/>
    <hyperlink ref="D484" r:id="rId607" display="2019_12/23.12.2019/74396"/>
    <hyperlink ref="D445" r:id="rId608" display="2019_12/23.12.2019/66986"/>
    <hyperlink ref="D497" r:id="rId609" display="2019_12/23.12.2019/57811"/>
    <hyperlink ref="D499" r:id="rId610" display="2019_12/24.12.2019/67344"/>
    <hyperlink ref="D500" r:id="rId611" display="2019_12/24.12.2019/67356"/>
    <hyperlink ref="D471" r:id="rId612" display="2019_12/24.12.2019/67166"/>
    <hyperlink ref="D472" r:id="rId613" display="2019_12/24.12.2019/67241"/>
    <hyperlink ref="D473" r:id="rId614" display="2019_12/24.12.2019/67243"/>
    <hyperlink ref="D412" r:id="rId615" display="2019_12/23.12.2019/66274"/>
    <hyperlink ref="D410" r:id="rId616" display="2019_12/24.12.2019/59170"/>
    <hyperlink ref="D444" r:id="rId617" display="2019_12/23.12.2019/66500"/>
    <hyperlink ref="D498" r:id="rId618" display="2019_12/24.12.2019/75945"/>
    <hyperlink ref="D383" r:id="rId619" display="2019_12/24.12.2019/66407"/>
    <hyperlink ref="D396" r:id="rId620" display="2019_12/24.12.2019/75139"/>
    <hyperlink ref="D527" r:id="rId621" display="2019_12\24.12.2019\67016"/>
    <hyperlink ref="D415" r:id="rId622" display="2019_12\24.12.2019\68356"/>
    <hyperlink ref="D414" r:id="rId623" display="2019_12/24.12.2019/68354"/>
    <hyperlink ref="D428" r:id="rId624" display="2019_12\24.12.2019\75443"/>
    <hyperlink ref="D486" r:id="rId625" display="2019_12/24.12.2019/75566"/>
    <hyperlink ref="D384" r:id="rId626" display="2019_12\24.12.2019\66570"/>
    <hyperlink ref="D387" r:id="rId627" display="2019_12/24.12.2019/68112"/>
    <hyperlink ref="D397" r:id="rId628" display="2019_12/24.12.2019/75140"/>
    <hyperlink ref="D398" r:id="rId629" display="2019_12/24.12.2019/75141"/>
    <hyperlink ref="D487" r:id="rId630" display="2019_12\24.12.2019\75623"/>
    <hyperlink ref="D455" r:id="rId631" display="2019_12/24.12.2019/75361"/>
    <hyperlink ref="D456" r:id="rId632" display="2019_12/24.12.2019/75413"/>
    <hyperlink ref="D446" r:id="rId633" display="2019_12/24.12.2019/67690"/>
    <hyperlink ref="D485" r:id="rId634" display="2019_12\24.12.2019\75555"/>
    <hyperlink ref="D501" r:id="rId635" display="2019_12/24.12.2019/66937"/>
    <hyperlink ref="D502" r:id="rId636" display="2019_12/24.12.2019/67151"/>
    <hyperlink ref="D395" r:id="rId637" display="2019_12/24.12.2019/75138"/>
    <hyperlink ref="D518" r:id="rId638" display="2019_12/24.12.2019/76213"/>
    <hyperlink ref="D488" r:id="rId639" display="2019_12/24.12.2019/75634"/>
    <hyperlink ref="D519" r:id="rId640" display="2019_12\24.12.2019\76214"/>
    <hyperlink ref="D528" r:id="rId641" display="2019_12/25.12.2019/68633"/>
    <hyperlink ref="D503" r:id="rId642" display="2019_12/24.12.2019/67950"/>
    <hyperlink ref="D529" r:id="rId643" display="2019_12/25.12.2019/76597"/>
    <hyperlink ref="D530" r:id="rId644" display="2019_12/25.12.2019/76887"/>
    <hyperlink ref="D409" r:id="rId645" display="2019_12/25.12.2019/58552"/>
    <hyperlink ref="D416" r:id="rId646" display="2019_12/25.12.2019/68567"/>
    <hyperlink ref="D417" r:id="rId647" display="2019_12/25.12.2019/68575"/>
    <hyperlink ref="D429" r:id="rId648" display="2019_12/25.12.2019/76369"/>
    <hyperlink ref="D447" r:id="rId649" display="2019_12/25.12.2019/68372"/>
    <hyperlink ref="D504" r:id="rId650" display="2019_12\25.12.2019\68075"/>
    <hyperlink ref="D489" r:id="rId651" display="2019_12/25.12.2019/76459"/>
    <hyperlink ref="D385" r:id="rId652" display="2019_12/25.12.2019/68042"/>
    <hyperlink ref="D386" r:id="rId653" display="2019_12/25.12.2019/68043"/>
    <hyperlink ref="D388" r:id="rId654" display="2019_12/25.12.2019/68463"/>
    <hyperlink ref="D399" r:id="rId655" display="2019_12/25.12.2019/76197"/>
    <hyperlink ref="D506" r:id="rId656" display="2019_12\25.12.2019\69187"/>
    <hyperlink ref="D505" r:id="rId657" display="2019_12/25.12.2019/68967"/>
    <hyperlink ref="D521" r:id="rId658" display="2019_12/25.12.2019/77403"/>
    <hyperlink ref="D457" r:id="rId659" display="2019_12/25.12.2019/76326"/>
    <hyperlink ref="D469" r:id="rId660" display="2019_12\25.12.2019\59201"/>
    <hyperlink ref="D458" r:id="rId661" display="2019_12/25.12.2019/76332"/>
    <hyperlink ref="D475" r:id="rId662" display="2019_12/25.12.2019/68452"/>
    <hyperlink ref="D443" r:id="rId663" display="2019_12/25.12.2019/58619"/>
    <hyperlink ref="D531" r:id="rId664" display="2019_12/26.12.2019/77649"/>
    <hyperlink ref="D532" r:id="rId665" display="2019_12/26.12.2019/69250"/>
    <hyperlink ref="D533" r:id="rId666" display="2019_12/26.12.2019/55760"/>
    <hyperlink ref="D476" r:id="rId667" display="2019_12/26.12.2019/68983"/>
    <hyperlink ref="D478" r:id="rId668" display="2019_12/26.12.2019/69945"/>
    <hyperlink ref="D408" r:id="rId669" display="2019_12/26.12.2019/55919"/>
    <hyperlink ref="D418" r:id="rId670" display="2019_12/26.12.2019/69707"/>
    <hyperlink ref="D419" r:id="rId671" display="2019_12/26.12.2019/69816"/>
    <hyperlink ref="D430" r:id="rId672" display="2019_12/26.12.2019/77094"/>
    <hyperlink ref="D432" r:id="rId673" display="2019_12/26.12.2019/77108"/>
    <hyperlink ref="D390" r:id="rId674" display="2019_12/26.12.2019/69710"/>
    <hyperlink ref="D400" r:id="rId675" display="2019_12\26.12.2019\76835"/>
    <hyperlink ref="D389" r:id="rId676" display="2019_12/26.12.2019/69441"/>
    <hyperlink ref="D477" r:id="rId677" display="2019_12/26.12.2019/69550"/>
    <hyperlink ref="D460" r:id="rId678" display="2019_12/26.12.2019/77058"/>
    <hyperlink ref="D431" r:id="rId679" display="2019_12/26.12.2019/77100"/>
    <hyperlink ref="D534" r:id="rId680" display="2019_12/26.12.2019/77623"/>
    <hyperlink ref="D524" r:id="rId681" display="2019_12/26.12.2019/78242"/>
    <hyperlink ref="D380" r:id="rId682" display="2019_12/27.12.2019/61067"/>
    <hyperlink ref="D508" r:id="rId683" display="2019_12\26.12.2019\69530"/>
    <hyperlink ref="D448" r:id="rId684" display="2019_12/26.12.2019/69367"/>
    <hyperlink ref="D535" r:id="rId685" display="2019_12/27.12.2019/70779"/>
    <hyperlink ref="D461" r:id="rId686" display="2019_12/26.12.2019/77071"/>
    <hyperlink ref="D507" r:id="rId687" display="2019_12/26.12.2019/69449"/>
    <hyperlink ref="D490" r:id="rId688" display="2019_12/26.12.2019/77359"/>
    <hyperlink ref="D491" r:id="rId689" display="2019_12/26.12.2019/77368"/>
    <hyperlink ref="D459" r:id="rId690" display="2019_12/26.12.2019/77035"/>
    <hyperlink ref="D509" r:id="rId691" display="2019_12/26.12.2019/69700"/>
    <hyperlink ref="D391" r:id="rId692" display="2019_12/27.12.2019/69852"/>
    <hyperlink ref="D402" r:id="rId693" display="2019_12/27.12.2019/77901"/>
    <hyperlink ref="D522" r:id="rId694" display="2019_12/27.12.2019/77545"/>
    <hyperlink ref="D511" r:id="rId695" display="2019_12/27.12.2019/70085"/>
    <hyperlink ref="D492" r:id="rId696" display="2019_12/27.12.2019/78319"/>
    <hyperlink ref="D450" r:id="rId697" display="2019_12/27.12.2019/70687"/>
    <hyperlink ref="D510" r:id="rId698" display="2019_12\27.12.2019\70039"/>
    <hyperlink ref="D536" r:id="rId699" display="2019_12\27.12.2019\78382"/>
    <hyperlink ref="D462" r:id="rId700" display="2019_12/27.12.2019/78031"/>
    <hyperlink ref="D433" r:id="rId701" display="2019_12/27.12.2019/78175"/>
    <hyperlink ref="D401" r:id="rId702" display="2019_12/27.12.2019/77898"/>
    <hyperlink ref="D512" r:id="rId703" display="2019_12\30.12.2019\70444"/>
    <hyperlink ref="D463" r:id="rId704" display="2019_12/27.12.2019/78076"/>
    <hyperlink ref="D434" r:id="rId705" display="2019_12/27.12.2019/78181"/>
    <hyperlink ref="D493" r:id="rId706" display="2019_12/30.12.2019/79057"/>
    <hyperlink ref="D464" r:id="rId707" display="2019_12/27.12.2019/78077"/>
    <hyperlink ref="D537" r:id="rId708" display="2019_12/30.12.2019/70186"/>
    <hyperlink ref="D421" r:id="rId709" display="2019_12/30.12.2019/70683"/>
    <hyperlink ref="D422" r:id="rId710" display="2019_12/30.12.2019/71263"/>
    <hyperlink ref="D479" r:id="rId711" display="2019_12/30.12.2019/70619"/>
    <hyperlink ref="D515" r:id="rId712" display="2019_12/30.12.2019/71679"/>
    <hyperlink ref="D423" r:id="rId713" display="2019_12/30.12.2019/71275"/>
    <hyperlink ref="D435" r:id="rId714" display="2019_12/30.12.2019/78933"/>
    <hyperlink ref="D436" r:id="rId715" display="2019_12/30.12.2019/78934"/>
    <hyperlink ref="D437" r:id="rId716" display="2019_12/30.12.2019/78936"/>
    <hyperlink ref="D538" r:id="rId717" display="2019_12/31.12.2019/80041"/>
    <hyperlink ref="D539" r:id="rId718" display="2019_12/31.12.2019/80031"/>
    <hyperlink ref="D403" r:id="rId719" display="2019_12/30.12.2019/78668"/>
    <hyperlink ref="D404" r:id="rId720" display="2019_12/30.12.2019/78673"/>
    <hyperlink ref="D405" r:id="rId721" display="2019_12/30.12.2019/78674"/>
    <hyperlink ref="D513" r:id="rId722" display="2019_12/30.12.2019/70638"/>
    <hyperlink ref="D525" r:id="rId723" display="2019_12/30.12.2019/79851"/>
    <hyperlink ref="D526" r:id="rId724" display="2019_12/30.12.2019/79853"/>
    <hyperlink ref="D449" r:id="rId725" display="2019_12/30.12.2019/70436"/>
    <hyperlink ref="D451" r:id="rId726" display="2019_12/30.12.2019/71068"/>
    <hyperlink ref="D480" r:id="rId727" display="2019_12/31.12.2019/71599"/>
    <hyperlink ref="D481" r:id="rId728" display="2019_12/31.12.2019/71746"/>
    <hyperlink ref="D482" r:id="rId729" display="2019_12/31.12.2019/72068"/>
    <hyperlink ref="D494" r:id="rId730" display="2019_12/31.12.2019/79902"/>
    <hyperlink ref="D496" r:id="rId731" display="2019_12/31.12.2019/79909"/>
    <hyperlink ref="D452" r:id="rId732" display="2019_12/31.12.2019/72185"/>
    <hyperlink ref="D465" r:id="rId733" display="2019_12/31.12.2019/79596"/>
    <hyperlink ref="D393" r:id="rId734" display="2019_12/30.12.2019/71714"/>
    <hyperlink ref="D540" r:id="rId735" display="2019_12\30.12.2019\70184"/>
    <hyperlink ref="D466" r:id="rId736" display="2019_12/31.12.2019/79597"/>
    <hyperlink ref="D468" r:id="rId737" display="2019_12/31.12.2019/79602"/>
    <hyperlink ref="D541" r:id="rId738" display="2019_12/31.12.2019/80032"/>
    <hyperlink ref="D392" r:id="rId739" display="2019_12/31.12.2019/71132"/>
    <hyperlink ref="D514" r:id="rId740" display="2019_12/31.12.2019/70896"/>
    <hyperlink ref="D467" r:id="rId741" display="2019_12/31.12.2019/79598"/>
    <hyperlink ref="D407" r:id="rId742" display="2019_12/31.12.2019/79307"/>
    <hyperlink ref="D517" r:id="rId743" display="2019_12/31.12.2019/72208"/>
    <hyperlink ref="D406" r:id="rId744" display="2019_12/31.12.2019/79306"/>
    <hyperlink ref="D424" r:id="rId745" display="2019_12/31.12.2019/71356"/>
    <hyperlink ref="D425" r:id="rId746" display="2019_12/31.12.2019/71378"/>
    <hyperlink ref="D438" r:id="rId747" display="2019_12/31.12.2019/79778"/>
    <hyperlink ref="D439" r:id="rId748" display="2019_12/31.12.2019/79787"/>
    <hyperlink ref="D516" r:id="rId749" display="2019_12/31.12.2019/72131"/>
    <hyperlink ref="D542" r:id="rId750" display="2019_12/31.12.2019/80323"/>
    <hyperlink ref="D543" r:id="rId751" display="2020_01/09.01.2020/80605"/>
    <hyperlink ref="D440" r:id="rId752" display="2019_12\31.12.2019\79789"/>
    <hyperlink ref="D441" r:id="rId753" display="2019_12\31.12.2019\79792"/>
    <hyperlink ref="D442" r:id="rId754" display="2019_12/31.12.2019/79793"/>
    <hyperlink ref="D545" r:id="rId755" display="2019_12/31.12.2019/80331"/>
    <hyperlink ref="D546" r:id="rId756" display="2019_12/31.12.2019/80333"/>
    <hyperlink ref="D547" r:id="rId757" display="2019_12/31.12.2019/80324"/>
    <hyperlink ref="D495" r:id="rId758" display="2019_12/31.12.2019/79907"/>
    <hyperlink ref="D573" r:id="rId759" display="2019_12\31.12.2019\71156"/>
    <hyperlink ref="D544" r:id="rId760" display="2020_01/09.01.2020/80247"/>
    <hyperlink ref="D627" r:id="rId761" display="2020_01/09.01.2020/80427"/>
    <hyperlink ref="D628" r:id="rId762" display="2020_01/09.01.2020/80426"/>
    <hyperlink ref="D629" r:id="rId763" display="2020_01/09.01.2020/80425"/>
    <hyperlink ref="D630" r:id="rId764" display="2020_01/10.01.2020/81093"/>
    <hyperlink ref="D605" r:id="rId765" display="2020_01/09.01.2020/72938"/>
    <hyperlink ref="D606" r:id="rId766" display="2020_01\09.01.2020\72940"/>
    <hyperlink ref="D616" r:id="rId767" display="2020_01/09.01.2020/81219"/>
    <hyperlink ref="D617" r:id="rId768" display="2020_01\09.01.2020\81222"/>
    <hyperlink ref="D574" r:id="rId769" display="2020_01/09.01.2020/72337"/>
    <hyperlink ref="D575" r:id="rId770" display="2020_01/09.01.2020/73198"/>
    <hyperlink ref="D590" r:id="rId771" display="2020_01/09.01.2020/80103"/>
    <hyperlink ref="D591" r:id="rId772" display="2020_01/09.01.2020/80106"/>
    <hyperlink ref="D592" r:id="rId773" display="2020_01/09.01.2020/81467"/>
    <hyperlink ref="D549" r:id="rId774" display="2020_01/09.01.2020/73041"/>
    <hyperlink ref="D550" r:id="rId775" display="2020_01/09.01.2020/73194"/>
    <hyperlink ref="D562" r:id="rId776" display="2020_01/09.01.2020/80453"/>
    <hyperlink ref="D601" r:id="rId777" display="2020_01/10.01.2020/64467"/>
    <hyperlink ref="D483" r:id="rId778" display="2020_01/10.01.2020/73365"/>
    <hyperlink ref="D615" r:id="rId779" display="2020_01/09.01.2020/81213"/>
    <hyperlink ref="D552" r:id="rId780" display="2020_01/09.01.2020/73376"/>
    <hyperlink ref="D561" r:id="rId781" display="2020_01/09.01.2020/80444"/>
    <hyperlink ref="D563" r:id="rId782" display="2020_01\09.01.2020\80454"/>
    <hyperlink ref="D647" r:id="rId783" display="2020_01\09.01.2020\80675"/>
    <hyperlink ref="D551" r:id="rId784" display="2020_01/10.01.2020/73338"/>
    <hyperlink ref="D577" r:id="rId785" display="2020_01\10.01.2020\73387"/>
    <hyperlink ref="D576" r:id="rId786" display="2020_01/10.01.2020/73385"/>
    <hyperlink ref="D578" r:id="rId787" display="2020_01/10.01.2020/73388"/>
    <hyperlink ref="D607" r:id="rId788" display="2020_01/10.01.2020/73748"/>
    <hyperlink ref="D632" r:id="rId789" display="2020_01/10.01.2020/73367"/>
    <hyperlink ref="D633" r:id="rId790" display="2020_01/10.01.2020/73368"/>
    <hyperlink ref="D660" r:id="rId791" display="2020_01/10.01.2020/81084"/>
    <hyperlink ref="D618" r:id="rId792" display="2020_01\10.01.2020\81926"/>
    <hyperlink ref="D658" r:id="rId793" display="2020_01\10.01.2020\73089"/>
    <hyperlink ref="D634" r:id="rId794" display="2020_01/10.01.2020/73371"/>
    <hyperlink ref="D648" r:id="rId795" display="2020_01\10.01.2020\81542"/>
    <hyperlink ref="D659" r:id="rId796" display="2020_01/10.01.2020/81347"/>
    <hyperlink ref="D649" r:id="rId797" display="2020_01/10.01.2020/81556"/>
    <hyperlink ref="D548" r:id="rId798" display="2020_01/13.01.2020/65867"/>
    <hyperlink ref="D553" r:id="rId799" display="2020_01/13.01.2020/74132"/>
    <hyperlink ref="D564" r:id="rId800" display="2020_01/13.01.2020/82286"/>
    <hyperlink ref="D565" r:id="rId801" display="2020_01/13.01.2020/82293"/>
    <hyperlink ref="D579" r:id="rId802" display="2020_01/13.01.2020/74319"/>
    <hyperlink ref="D593" r:id="rId803" display="2020_01/13.01.2020/81860"/>
    <hyperlink ref="D594" r:id="rId804" display="2020_01/13.01.2020/81866"/>
    <hyperlink ref="D602" r:id="rId805" display="2020_01\13.01.2020\66025"/>
    <hyperlink ref="D668" r:id="rId806" display="2020_01/13.01.2020/74317"/>
    <hyperlink ref="D619" r:id="rId807" display="2020_01\13.01.2020\82960"/>
    <hyperlink ref="D600" r:id="rId808" display="2020_01\14.01.2020\61953"/>
    <hyperlink ref="D603" r:id="rId809" display="2020_01/14.01.2020/67152"/>
    <hyperlink ref="D620" r:id="rId810" display="2020_01/14.01.2020/83847"/>
    <hyperlink ref="D651" r:id="rId811" display="2020_01\13.01.2020\82856"/>
    <hyperlink ref="D635" r:id="rId812" display="2020_01/13.01.2020/73977"/>
    <hyperlink ref="D638" r:id="rId813" display="2020_01\13.01.2020\74799"/>
    <hyperlink ref="D650" r:id="rId814" display="2020_01\13.01.2020\82752"/>
    <hyperlink ref="D554" r:id="rId815" display="2020_01\14.01.2020\74580"/>
    <hyperlink ref="D566" r:id="rId816" display="2020_01/14.01.2020/82895"/>
    <hyperlink ref="D669" r:id="rId817" display="2020_01/14.01.2020/74420"/>
    <hyperlink ref="D670" r:id="rId818" display="2020_01/14.01.2020/83185"/>
    <hyperlink ref="D580" r:id="rId819" display="2020_01/14.01.2020/74822"/>
    <hyperlink ref="D581" r:id="rId820" display="2020_01/14.01.2020/74826"/>
    <hyperlink ref="D595" r:id="rId821" display="2020_01\14.01.2020\82484"/>
    <hyperlink ref="D636" r:id="rId822" display="2020_01\14.01.2020\74506"/>
    <hyperlink ref="D637" r:id="rId823" display="2020_01\14.01.2020\74642"/>
    <hyperlink ref="D652" r:id="rId824" display="2020_01\14.01.2020\82980"/>
    <hyperlink ref="D671" r:id="rId825" display="2019_01/14.01.2019/75457"/>
    <hyperlink ref="D555" r:id="rId826" display="2020_01/15.01.2020/75447"/>
    <hyperlink ref="D556" r:id="rId827" display="2020_01/15.01.2020/75449"/>
    <hyperlink ref="D557" r:id="rId828" display="2020_01/15.01.2020/75453"/>
    <hyperlink ref="D567" r:id="rId829" display="2020_01/15.01.2020/83634"/>
    <hyperlink ref="D568" r:id="rId830" display="2020_01/15.01.2020/83637"/>
    <hyperlink ref="D569" r:id="rId831" display="2020_01\15.01.2020\83660"/>
    <hyperlink ref="D608" r:id="rId832" display="2020_01/15.01.2020/76221"/>
    <hyperlink ref="D609" r:id="rId833" display="2020_01\15.01.2020\76232"/>
    <hyperlink ref="D610" r:id="rId834" display="2020_01/15.01.2020/76234"/>
    <hyperlink ref="D621" r:id="rId835" display="2020_01/15.01.2020/84467"/>
    <hyperlink ref="D622" r:id="rId836" display="2020_01/15.01.2020/84475"/>
    <hyperlink ref="D623" r:id="rId837" display="2020_01/15.01.2020/84501"/>
    <hyperlink ref="D582" r:id="rId838" display="2020_01\15.01.2020\75054"/>
    <hyperlink ref="D583" r:id="rId839" display="2020_01/15.01.2020/75071"/>
    <hyperlink ref="D584" r:id="rId840" display="2020_01/15.01.2020/75143"/>
    <hyperlink ref="D596" r:id="rId841" display="2020_01\15.01.2020\83390"/>
    <hyperlink ref="D597" r:id="rId842" display="2020_01\15.01.2020\83401"/>
    <hyperlink ref="D570" r:id="rId843" display="2020_01/15.01.2020/83757"/>
    <hyperlink ref="D571" r:id="rId844" display="2020_01/15.01.2020/83760"/>
    <hyperlink ref="D672" r:id="rId845" display="2020_01/15.01.2020/83278"/>
    <hyperlink ref="D673" r:id="rId846" display="2020_01/15.01.2020/75500"/>
    <hyperlink ref="D674" r:id="rId847" display="2020_01/15.01.2020/76175"/>
    <hyperlink ref="D675" r:id="rId848" display="2020_01/15.01.2020/66379"/>
    <hyperlink ref="D639" r:id="rId849" display="2020_01/15.01.2020/75547"/>
    <hyperlink ref="D640" r:id="rId850" display="2020_01\15.01.2020\75649"/>
    <hyperlink ref="D653" r:id="rId851" display="2020_01\15.01.2020\83906"/>
    <hyperlink ref="D641" r:id="rId852" display="2020_01/16.01.2020/76456"/>
    <hyperlink ref="D613" r:id="rId853" display="2020_01/16.01.2020/77345"/>
    <hyperlink ref="D614" r:id="rId854" display="2020_01/16.01.2020/77409"/>
    <hyperlink ref="D624" r:id="rId855" display="2020_01/16.01.2020/85422"/>
    <hyperlink ref="D625" r:id="rId856" display="2020_01/16.01.2020/85426"/>
    <hyperlink ref="D626" r:id="rId857" display="2020_01/16.01.2020/85428"/>
    <hyperlink ref="D558" r:id="rId858" display="2020_01/16.01.2020/76375"/>
    <hyperlink ref="D559" r:id="rId859" display="2020_01/16.01.2020/76377"/>
    <hyperlink ref="D572" r:id="rId860" display="2020_01/16.01.2020/84785"/>
    <hyperlink ref="D585" r:id="rId861" display="2020_01/16.01.2020/76195"/>
    <hyperlink ref="D520" r:id="rId862" display="2020_01/16.01.2020/77343"/>
    <hyperlink ref="D676" r:id="rId863" display="2020_01\16.01.2020\85029"/>
    <hyperlink ref="D677" r:id="rId864" display="2020_01/16.01.2020/76634"/>
    <hyperlink ref="D642" r:id="rId865" display="2020_01\16.01.2020\76460"/>
    <hyperlink ref="D643" r:id="rId866" display="2020_01\16.01.2020\76463"/>
    <hyperlink ref="D654" r:id="rId867" display="2020_01\16.01.2020\84904"/>
    <hyperlink ref="D655" r:id="rId868" display="2020_01\16.01.2020\84914"/>
    <hyperlink ref="D656" r:id="rId869" display="2020_01/16.01.2020/84917"/>
    <hyperlink ref="D657" r:id="rId870" display="2020_01\16.01.2020\84922"/>
    <hyperlink ref="D586" r:id="rId871" display="2020_01\16.01.2020\76196"/>
    <hyperlink ref="D598" r:id="rId872" display="2020_01/16.01.2020/84486"/>
    <hyperlink ref="D599" r:id="rId873" display="2020_01\16.01.2020\84488"/>
    <hyperlink ref="D604" r:id="rId874" display="2020_01/17.01.2020/69356"/>
    <hyperlink ref="D611" r:id="rId875" display="2020_01\17.01.2020\77075"/>
    <hyperlink ref="D612" r:id="rId876" display="2020_01/17.01.2020/77082"/>
    <hyperlink ref="D664" r:id="rId877" display="2020_01/17.01.2020/85190"/>
    <hyperlink ref="D560" r:id="rId878" display="2020_01/17.01.2020/77099"/>
    <hyperlink ref="D665" r:id="rId879" display="2020_01/17.01.2020/78121"/>
    <hyperlink ref="D666" r:id="rId880" display="2020_01/17.01.2020/85417"/>
    <hyperlink ref="D667" r:id="rId881" display="2020_01/17.01.2020/85423"/>
    <hyperlink ref="D523" r:id="rId882" display="2020_01/17.01.2020/78240"/>
    <hyperlink ref="D754" r:id="rId883" display="2020_01/17.01.2020/78246"/>
    <hyperlink ref="D755" r:id="rId884" display="2020_01/17.01.2020/77632"/>
    <hyperlink ref="D756" r:id="rId885" display="2020_01/17.01.2020/85789"/>
    <hyperlink ref="D587" r:id="rId886" display="2020_01/17.01.2020/76827"/>
    <hyperlink ref="D661" r:id="rId887" display="2020_01/17.01.2020/64290"/>
    <hyperlink ref="D662" r:id="rId888" display="2020_01/17.01.2020/85296"/>
    <hyperlink ref="D663" r:id="rId889" display="2020_01/17.01.2020/85298"/>
    <hyperlink ref="D588" r:id="rId890" display="2020_01/17.01.2020/76831"/>
    <hyperlink ref="D644" r:id="rId891" display="2020_01/17.01.2020/77344"/>
    <hyperlink ref="D645" r:id="rId892" display="2020_01/17.01.2020/77355"/>
    <hyperlink ref="D646" r:id="rId893" display="2020_01/17.01.2020/78245"/>
    <hyperlink ref="D690" r:id="rId894" display="2020_01/20.01.2020/85898"/>
    <hyperlink ref="D694" r:id="rId895" display="2020_01/20.01.2020/73712"/>
    <hyperlink ref="D695" r:id="rId896" display="2020_01/20.01.2020/77551"/>
    <hyperlink ref="D679" r:id="rId897" display="2020_01/20.01.2020/77881"/>
    <hyperlink ref="D680" r:id="rId898" display="2020_01\20.01.2020\77899"/>
    <hyperlink ref="D689" r:id="rId899" display="2020_01\20.01.2020\85897"/>
    <hyperlink ref="D726" r:id="rId900" display="2020_01/20.01.2020/86130"/>
    <hyperlink ref="D718" r:id="rId901" display="2020_01/20.01.2020/78346"/>
    <hyperlink ref="D739" r:id="rId902" display="2020_01/20.01.2020/77543"/>
    <hyperlink ref="D740" r:id="rId903" display="2020_01/20.01.2020/78162"/>
    <hyperlink ref="D741" r:id="rId904" display="2020_01/20.01.2020/78179"/>
    <hyperlink ref="D742" r:id="rId905" display="2020_01/21.01.2020/79044"/>
    <hyperlink ref="D758" r:id="rId906" display="2020_01/20.01.2020/78378"/>
    <hyperlink ref="D759" r:id="rId907" display="2020_01\20.01.2020\78380"/>
    <hyperlink ref="D770" r:id="rId908" display="2020_01\20.01.2020\86074"/>
    <hyperlink ref="D719" r:id="rId909" display="2020_01/20.01.2020/78309"/>
    <hyperlink ref="D727" r:id="rId910" display="2020_01/20.01.2020/86131"/>
    <hyperlink ref="D720" r:id="rId911" display="2020_01/21.01.2020/79053"/>
    <hyperlink ref="D721" r:id="rId912" display="2020_01\21.01.2020\79087"/>
    <hyperlink ref="D698" r:id="rId913" display="2020_01/21.01.2020/79859"/>
    <hyperlink ref="D699" r:id="rId914" display="2020_01\21.01.2020\79861"/>
    <hyperlink ref="D708" r:id="rId915" display="2020_01\21.01.2020\87965"/>
    <hyperlink ref="D709" r:id="rId916" display="2020_01\21.01.2020\87979"/>
    <hyperlink ref="D678" r:id="rId917" display="2020_01/21.01.2020/71720"/>
    <hyperlink ref="D691" r:id="rId918" display="2020_01/21.01.2020/86479"/>
    <hyperlink ref="D771" r:id="rId919" display="2020_01/21.01.2020/86730"/>
    <hyperlink ref="D730" r:id="rId920" display="2020_01/21.01.2020/87172"/>
    <hyperlink ref="D728" r:id="rId921" display="2020_01\21.01.2020\87146"/>
    <hyperlink ref="D729" r:id="rId922" display="2020_01/21.01.2020/87161"/>
    <hyperlink ref="D696" r:id="rId923" display="2020_01/22.01.2020/79420"/>
    <hyperlink ref="D713" r:id="rId924" display="2020_01\22.01.2020\88647"/>
    <hyperlink ref="D681" r:id="rId925" display="2020_01/22.01.2020/79203"/>
    <hyperlink ref="D682" r:id="rId926" display="2020_01/22.01.2020/79294"/>
    <hyperlink ref="D683" r:id="rId927" display="2020_01/22.01.2020/79309"/>
    <hyperlink ref="D773" r:id="rId928" display="2020_01\21.01.2020\87496"/>
    <hyperlink ref="D743" r:id="rId929" display="2020_01/21.01.2020/79110"/>
    <hyperlink ref="D712" r:id="rId930" display="2020_01/22.01.2020/88641"/>
    <hyperlink ref="D697" r:id="rId931" display="2020_01/22.01.2020/79461"/>
    <hyperlink ref="D772" r:id="rId932" display="2020_01/21.01.2020/86974"/>
    <hyperlink ref="D692" r:id="rId933" display="2020_01\22.01.2020\87436"/>
    <hyperlink ref="D723" r:id="rId934" display="2020_01\22.01.2020\80189"/>
    <hyperlink ref="D710" r:id="rId935" display="2020_01/22.01.2020/88639"/>
    <hyperlink ref="D761" r:id="rId936" display="2020_01/21.01.2020/79905"/>
    <hyperlink ref="D749" r:id="rId937" display="2020_01/21.01.2020/86917"/>
    <hyperlink ref="D744" r:id="rId938" display="2020_01/22.01.2020/79805"/>
    <hyperlink ref="D750" r:id="rId939" display="2020_01/22.01.2020/87759"/>
    <hyperlink ref="D722" r:id="rId940" display="2020_01/22.01.2020/79903"/>
    <hyperlink ref="D732" r:id="rId941" display="2020_01/22.01.2020/87796"/>
    <hyperlink ref="D734" r:id="rId942" display="2020_01/22.01.2020/87825"/>
    <hyperlink ref="D707" r:id="rId943" display="2020_01/21.01.2020/87964"/>
    <hyperlink ref="D751" r:id="rId944" display="2020_01/22.01.2020/87763"/>
    <hyperlink ref="D760" r:id="rId945" display="2020_01/22.01.2020/79856"/>
    <hyperlink ref="D738" r:id="rId946" display="2020_01\22.01.2020\62799"/>
    <hyperlink ref="D752" r:id="rId947" display="2020_01/22.01.2020/87766"/>
    <hyperlink ref="D731" r:id="rId948" display="2020_01\22.01.2020\87793"/>
    <hyperlink ref="D733" r:id="rId949" display="2020_01/22.01.2020/87809"/>
    <hyperlink ref="D700" r:id="rId950" display="2020_01/23.01.2020/81229"/>
    <hyperlink ref="D701" r:id="rId951" display="2020_01/23.01.2020/81252"/>
    <hyperlink ref="D715" r:id="rId952" display="2020_01\23.01.2020\89372"/>
    <hyperlink ref="D774" r:id="rId953" display="2020_01/22.01.2020/88638"/>
    <hyperlink ref="D724" r:id="rId954" display="2020_01/23.01.2020/80679"/>
    <hyperlink ref="D735" r:id="rId955" display="2020_01/23.01.2020/88992"/>
    <hyperlink ref="D745" r:id="rId956" display="2020_01/23.01.2020/80445"/>
    <hyperlink ref="D684" r:id="rId957" display="2020_01/23.01.2020/80101"/>
    <hyperlink ref="D763" r:id="rId958" display="2020_01\23.01.2020\80931"/>
    <hyperlink ref="D775" r:id="rId959" display="2020_01\23.01.2020\88905"/>
    <hyperlink ref="D746" r:id="rId960" display="2020_01/23.01.2020/80815"/>
    <hyperlink ref="D711" r:id="rId961" display="2020_01/22.01.2020/88640"/>
    <hyperlink ref="D693" r:id="rId962" display="2020_01/23.01.2020/88410"/>
    <hyperlink ref="D725" r:id="rId963" display="2020_01/24.01.2020/81541"/>
    <hyperlink ref="D685" r:id="rId964" display="2020_01/24.01.2020/80960"/>
    <hyperlink ref="D737" r:id="rId965" display="2020_01/24.01.2020/89494"/>
    <hyperlink ref="D762" r:id="rId966" display="2020_01/23.01.2020/80927"/>
    <hyperlink ref="D702" r:id="rId967" display="2020_01/24.01.2020/81937"/>
    <hyperlink ref="D703" r:id="rId968" display="2020_01\24.01.2020\81962"/>
    <hyperlink ref="D717" r:id="rId969" display="2020_01/24.01.2020/89633"/>
    <hyperlink ref="D757" r:id="rId970" display="2020_01/23.01.2020/76094"/>
    <hyperlink ref="D736" r:id="rId971" display="2020_01\23.01.2020\88969"/>
    <hyperlink ref="D747" r:id="rId972" display="2020_01\24.01.2020\81417"/>
    <hyperlink ref="D748" r:id="rId973" display="2020_01/24.01.2020/81423"/>
    <hyperlink ref="D764" r:id="rId974" display="2020_01\24.01.2020\81035"/>
    <hyperlink ref="D765" r:id="rId975" display="2020_01/24.01.2020/81079"/>
    <hyperlink ref="D714" r:id="rId976" display="2020_01/23.01.2020/89368"/>
    <hyperlink ref="D704" r:id="rId977" display="2020_01\27.01.2020\82946"/>
    <hyperlink ref="D705" r:id="rId978" display="2020_01\27.01.2020\82964"/>
    <hyperlink ref="D706" r:id="rId979" display="2020_01\27.01.2020\82977"/>
    <hyperlink ref="D776" r:id="rId980" display="2020_01/24.01.2020/89186"/>
    <hyperlink ref="D753" r:id="rId981" display="2020_01/24.01.2020/89334"/>
    <hyperlink ref="D716" r:id="rId982" display="2020_01/24.01.2020/89630"/>
    <hyperlink ref="D686" r:id="rId983" display="2020_01/27.01.2020/81820"/>
    <hyperlink ref="D687" r:id="rId984" display="2020_01\27.01.2020\81822"/>
    <hyperlink ref="D688" r:id="rId985" display="2020_01\27.01.2020\81864"/>
    <hyperlink ref="D786" r:id="rId986" display="2020_01\27.01.2020\89679"/>
    <hyperlink ref="D825" r:id="rId987" display="2020_01/27.01.2020/82317"/>
    <hyperlink ref="D826" r:id="rId988" display="2020_01\27.01.2020\82326"/>
    <hyperlink ref="D827" r:id="rId989" display="2020_01\27.01.2020\82354"/>
    <hyperlink ref="D837" r:id="rId990" display="2020_01/27.01.2020/89974"/>
    <hyperlink ref="D811" r:id="rId991" display="2020_01\27.01.2020\82854"/>
    <hyperlink ref="D767" r:id="rId992" display="2020_01/27.01.2020/83178"/>
    <hyperlink ref="D766" r:id="rId993" display="2020_01/27.01.2020/82196"/>
    <hyperlink ref="D795" r:id="rId994" display="2020_01/28.01.2020/78556"/>
    <hyperlink ref="D798" r:id="rId995" display="2020_01\28.01.2020\83854"/>
    <hyperlink ref="D803" r:id="rId996" display="2020_01\28.01.2020\90484"/>
    <hyperlink ref="D804" r:id="rId997" display="2020_01/28.01.2020/90486"/>
    <hyperlink ref="D836" r:id="rId998" display="2020_01/27.01.2020/89969"/>
    <hyperlink ref="D768" r:id="rId999" display="2020_01/27.01.2020/83190"/>
    <hyperlink ref="D810" r:id="rId1000" display="2020_01\27.01.2020\82851"/>
    <hyperlink ref="D850" r:id="rId1001" display="2020_01/27.01.2020/90337"/>
    <hyperlink ref="D828" r:id="rId1002" display="2020_01\28.01.2020\82913"/>
    <hyperlink ref="D829" r:id="rId1003" display="2020_01\28.01.2020\82925"/>
    <hyperlink ref="D780" r:id="rId1004" display="2020_01\28.01.2020\82558"/>
    <hyperlink ref="D781" r:id="rId1005" display="2020_01\28.01.2020\82560"/>
    <hyperlink ref="D787" r:id="rId1006" display="2020_01\28.01.2020\90491"/>
    <hyperlink ref="D788" r:id="rId1007" display="2020_01\28.01.2020\90494"/>
    <hyperlink ref="D789" r:id="rId1008" display="2020_01\28.01.2020\90708"/>
    <hyperlink ref="D838" r:id="rId1009" display="2020_01/28.01.2020/90717"/>
    <hyperlink ref="D839" r:id="rId1010" display="2020_01\28.01.2020\90728"/>
    <hyperlink ref="D841" r:id="rId1011" display="2020_01\28.01.2020\83183"/>
    <hyperlink ref="D844" r:id="rId1012" display="2020_01\28.01.2020\83721"/>
    <hyperlink ref="D851" r:id="rId1013" display="2020_01\28.01.2020\90732"/>
    <hyperlink ref="D852" r:id="rId1014" display="2020_01\28.01.2020\90815"/>
    <hyperlink ref="D812" r:id="rId1015" display="2020_01/28.01.2020/82974"/>
    <hyperlink ref="D813" r:id="rId1016" display="2020_01\28.01.2020\82978"/>
    <hyperlink ref="D820" r:id="rId1017" display="2020_01\28.01.2020\90981"/>
    <hyperlink ref="D821" r:id="rId1018" display="2020_01/28.01.2020/91032"/>
    <hyperlink ref="D830" r:id="rId1019" display="2020_01/29.01.2020/83264"/>
    <hyperlink ref="D853" r:id="rId1020" display="2020_01\29.01.2020\91853"/>
    <hyperlink ref="D796" r:id="rId1021" display="2020_01\29.01.2020\83302"/>
    <hyperlink ref="D797" r:id="rId1022" display="2020_01\29.01.2020\83308"/>
    <hyperlink ref="D799" r:id="rId1023" display="2020_01\29.01.2020\84493"/>
    <hyperlink ref="D782" r:id="rId1024" display="2020_01\29.01.2020\83393"/>
    <hyperlink ref="D783" r:id="rId1025" display="2020_01\29.01.2020\83400"/>
    <hyperlink ref="D790" r:id="rId1026" display="2020_01\29.01.2020\91533"/>
    <hyperlink ref="D824" r:id="rId1027" display="2020_01\29.01.2020\75840"/>
    <hyperlink ref="D845" r:id="rId1028" display="2020_01/29.01.2020/84596"/>
    <hyperlink ref="D814" r:id="rId1029" display="2020_01\29.01.2020\83935"/>
    <hyperlink ref="D815" r:id="rId1030" display="2020_01\29.01.2020\83972"/>
    <hyperlink ref="D816" r:id="rId1031" display="2020_01\29.01.2020\83973"/>
    <hyperlink ref="D791" r:id="rId1032" display="2020_01\29.01.2020\91537"/>
    <hyperlink ref="D842" r:id="rId1033" display="2020_01\29.01.2020\83266"/>
    <hyperlink ref="D843" r:id="rId1034" display="2020_01\29.01.2020\83273"/>
    <hyperlink ref="D805" r:id="rId1035" display="2020_01\29.01.2020\91765"/>
    <hyperlink ref="D801" r:id="rId1036" display="2020_01/30.01.2020/85424"/>
    <hyperlink ref="D802" r:id="rId1037" display="2020_01\30.01.2020\85429"/>
    <hyperlink ref="D807" r:id="rId1038" display="2020_01/30.01.2020/0-915"/>
    <hyperlink ref="D831" r:id="rId1039" display="2020_01\30.01.2020\84787"/>
    <hyperlink ref="D832" r:id="rId1040" display="2020_01\30.01.2020\84788"/>
    <hyperlink ref="D833" r:id="rId1041" display="2020_01\30.01.2020\84790"/>
    <hyperlink ref="D769" r:id="rId1042" display="2020_01\30.01.2020\84764"/>
    <hyperlink ref="D846" r:id="rId1043" display="2020_01\30.01.2020\85032"/>
    <hyperlink ref="D847" r:id="rId1044" display="2020_01\30.01.2020\85034"/>
    <hyperlink ref="D817" r:id="rId1045" display="2020_01/30.01.2020/84268"/>
    <hyperlink ref="D822" r:id="rId1046" display="2020_01\30.01.2020\20-54"/>
    <hyperlink ref="D784" r:id="rId1047" display="2020_01\30.01.2020\84409"/>
    <hyperlink ref="D785" r:id="rId1048" display="2020_01\30.01.2020\84558"/>
    <hyperlink ref="D848" r:id="rId1049" display="2020_01\31.01.2020\85802"/>
    <hyperlink ref="D854" r:id="rId1050" display="2020_01/31.01.2020/0-957"/>
    <hyperlink ref="D800" r:id="rId1051" display="2020_01\31.01.2020\85184"/>
    <hyperlink ref="D806" r:id="rId1052" display="2020_01\31.01.2020\20-92"/>
    <hyperlink ref="D809" r:id="rId1053" display="2020_01/31.01.2020/0-926"/>
    <hyperlink ref="D834" r:id="rId1054" display="2020_01/31.01.2020/85292"/>
    <hyperlink ref="D835" r:id="rId1055" display="2020_01/31.01.2020/85385"/>
    <hyperlink ref="D840" r:id="rId1056" display="2020_01/31.01.2020/0-598"/>
    <hyperlink ref="D818" r:id="rId1057" display="2020_01\31.01.2020\85558"/>
    <hyperlink ref="D819" r:id="rId1058" display="2020_01\31.01.2020\85562"/>
    <hyperlink ref="D823" r:id="rId1059" display="2020_01\31.01.2020\0-719"/>
    <hyperlink ref="D778" r:id="rId1060" display="2020_01\31.01.2020\68505"/>
    <hyperlink ref="D849" r:id="rId1061" display="2020_01/31.01.2020/86045"/>
    <hyperlink ref="D779" r:id="rId1062" display="2020_01\31.01.2020\77890"/>
    <hyperlink ref="D792" r:id="rId1063" display="2020_01\31.01.2020\0-202"/>
    <hyperlink ref="D793" r:id="rId1064" display="2020_01\31.01.2020\0-207"/>
    <hyperlink ref="D794" r:id="rId1065" display="2020_01\30.01.2020\0-497"/>
    <hyperlink ref="D895" r:id="rId1066" display="2020_02\03.02.2020\81991"/>
    <hyperlink ref="D896" r:id="rId1067" display="2020_02\03.02.2020\86818"/>
    <hyperlink ref="D903" r:id="rId1068" display="2020_02\03.02.2020\-1183"/>
    <hyperlink ref="D856" r:id="rId1069" display="2020_02\03.02.2020\86154"/>
    <hyperlink ref="D857" r:id="rId1070" display="2020_02\03.02.2020\86281"/>
    <hyperlink ref="D866" r:id="rId1071" display="2020_02\03.02.2020\-1852"/>
    <hyperlink ref="D869" r:id="rId1072" display="2020_02\03.02.2020\-1836"/>
    <hyperlink ref="D808" r:id="rId1073" display="2020_01/31.01.2020/0-919"/>
    <hyperlink ref="D868" r:id="rId1074" display="2020_02\03.02.2020\-1833"/>
    <hyperlink ref="D908" r:id="rId1075" display="2020_02/03.02.2020/86774"/>
    <hyperlink ref="D916" r:id="rId1076" display="2020_02/03.02.2020/-2083"/>
    <hyperlink ref="D875" r:id="rId1077" display="2020_02\03.02.2020\86052"/>
    <hyperlink ref="D876" r:id="rId1078" display="2020_02\03.02.2020\86059"/>
    <hyperlink ref="D885" r:id="rId1079" display="2020_02\03.02.2020\-1665"/>
    <hyperlink ref="D886" r:id="rId1080" display="2020_02\03.02.2020\-1667"/>
    <hyperlink ref="D887" r:id="rId1081" display="2020_02\03.02.2020\-1692"/>
    <hyperlink ref="D888" r:id="rId1082" display="2020_02\03.02.2020\-1702"/>
    <hyperlink ref="D867" r:id="rId1083" display="2020_02\03.02.2020\-1831"/>
    <hyperlink ref="D864" r:id="rId1084" display="2020_01/31.01.2020/20-70"/>
    <hyperlink ref="D921" r:id="rId1085" display="2020_02\03.02.2020\85896"/>
    <hyperlink ref="D924" r:id="rId1086" display="2020_02\03.02.2020\87086"/>
    <hyperlink ref="D932" r:id="rId1087" display="2020_02\03.02.2020\-1136"/>
    <hyperlink ref="D865" r:id="rId1088" display="2020_01/31.01.2020/0-724"/>
    <hyperlink ref="D897" r:id="rId1089" display="2020_02\04.02.2020\87971"/>
    <hyperlink ref="D898" r:id="rId1090" display="2020_02/04.02.2020/87984"/>
    <hyperlink ref="D905" r:id="rId1091" display="2020_02/04.02.2020/-3112"/>
    <hyperlink ref="D894" r:id="rId1092" display="2020_02\05.02.2020\80050"/>
    <hyperlink ref="D899" r:id="rId1093" display="2020_02\05.02.2020\88207"/>
    <hyperlink ref="D904" r:id="rId1094" display="2020_02\05.02.2020\-3092"/>
    <hyperlink ref="D877" r:id="rId1095" display="2020_02\04.02.2020\86933"/>
    <hyperlink ref="D878" r:id="rId1096" display="2020_02\04.02.2020\86993"/>
    <hyperlink ref="D858" r:id="rId1097" display="2020_02\04.02.2020\87152"/>
    <hyperlink ref="D859" r:id="rId1098" display="2020_02\04.02.2020\87622"/>
    <hyperlink ref="D870" r:id="rId1099" display="2020_02\04.02.2020\-2650"/>
    <hyperlink ref="D922" r:id="rId1100" display="2020_02\04.02.2020\86580"/>
    <hyperlink ref="D923" r:id="rId1101" display="2020_02\04.02.2020\86581"/>
    <hyperlink ref="D935" r:id="rId1102" display="2020_02\04.02.2020\-2119"/>
    <hyperlink ref="D933" r:id="rId1103" display="2020_02/03.02.2020/-1137"/>
    <hyperlink ref="D879" r:id="rId1104" display="2020_02/04.02.2020/86995"/>
    <hyperlink ref="D915" r:id="rId1105" display="2020_02\03.02.2020\-2067"/>
    <hyperlink ref="D907" r:id="rId1106" display="2020_02/03.02.2020/86347"/>
    <hyperlink ref="D906" r:id="rId1107" display="2020_02\04.02.2020\79890"/>
    <hyperlink ref="D909" r:id="rId1108" display="2020_02\04.02.2020\87480"/>
    <hyperlink ref="D934" r:id="rId1109" display="2020_02/04.02.2020/-2082"/>
    <hyperlink ref="D889" r:id="rId1110" display="2020_02/04.02.2020/-2457"/>
    <hyperlink ref="D925" r:id="rId1111" display="2020_02\05.02.2020\87427"/>
    <hyperlink ref="D926" r:id="rId1112" display="2020_02\05.02.2020\87433"/>
    <hyperlink ref="D927" r:id="rId1113" display="2020_02\05.02.2020\87439"/>
    <hyperlink ref="D860" r:id="rId1114" display="2020_02/05.02.2020/87668"/>
    <hyperlink ref="D861" r:id="rId1115" display="2020_02/05.02.2020/87810"/>
    <hyperlink ref="D880" r:id="rId1116" display="2020_02\05.02.2020\87758"/>
    <hyperlink ref="D881" r:id="rId1117" display="2020_02\05.02.2020\87764"/>
    <hyperlink ref="D912" r:id="rId1118" display="2020_02\05.02.2020\88742"/>
    <hyperlink ref="D918" r:id="rId1119" display="2020_02\05.02.2020\-3654"/>
    <hyperlink ref="D919" r:id="rId1120" display="2020_02\05.02.2020\-3658"/>
    <hyperlink ref="D910" r:id="rId1121" display="2020_02\05.02.2020\88560"/>
    <hyperlink ref="D917" r:id="rId1122" display="2020_02/05.02.2020/-3652"/>
    <hyperlink ref="D891" r:id="rId1123" display="2020_02\05.02.2020\-3743"/>
    <hyperlink ref="D890" r:id="rId1124" display="2020_02\05.02.2020\-3736"/>
    <hyperlink ref="D936" r:id="rId1125" display="2020_02/05.02.2020/-3503"/>
    <hyperlink ref="D937" r:id="rId1126" display="2020_02\05.02.2020\-3518"/>
    <hyperlink ref="D938" r:id="rId1127" display="2020_02/05.02.2020/-3524"/>
    <hyperlink ref="D892" r:id="rId1128" display="2020_02\05.02.2020\-3753"/>
    <hyperlink ref="D939" r:id="rId1129" display="2020_02\05.02.2020\-3527"/>
    <hyperlink ref="D940" r:id="rId1130" display="2020_02/05.02.2020/-3529"/>
    <hyperlink ref="D901" r:id="rId1131" display="2020_02/06.02.2020/89371"/>
    <hyperlink ref="D855" r:id="rId1132" display="2020_02/06.02.2020/80715"/>
    <hyperlink ref="D871" r:id="rId1133" display="2020_02\06.02.2020\-4348"/>
    <hyperlink ref="D873" r:id="rId1134" display="2020_02\06.02.2020\-4407"/>
    <hyperlink ref="D862" r:id="rId1135" display="2020_02\06.02.2020\88942"/>
    <hyperlink ref="D911" r:id="rId1136" display="2020_02\06.02.2020\88579"/>
    <hyperlink ref="D913" r:id="rId1137" display="2020_02\06.02.2020\88904"/>
    <hyperlink ref="D920" r:id="rId1138" display="2020_02\06.02.2020\-4485"/>
    <hyperlink ref="D882" r:id="rId1139" display="2020_02\06.02.2020\88811"/>
    <hyperlink ref="D883" r:id="rId1140" display="2020_02\06.02.2020\88812"/>
    <hyperlink ref="D928" r:id="rId1141" display="2020_02/06.02.2020/88411"/>
    <hyperlink ref="D929" r:id="rId1142" display="2020_02/06.02.2020/88771"/>
    <hyperlink ref="D902" r:id="rId1143" display="2020_02\07.02.2020\89626"/>
    <hyperlink ref="D884" r:id="rId1144" display="2020_02/07.02.2020/89355"/>
    <hyperlink ref="D863" r:id="rId1145" display="2020_02/07.02.2020/89489"/>
    <hyperlink ref="D914" r:id="rId1146" display="2020_02/07.02.2020/89636"/>
    <hyperlink ref="D941" r:id="rId1147" display="2020_02/06.02.2020/-4114"/>
    <hyperlink ref="D930" r:id="rId1148" display="2020_02\07.02.2020\89023"/>
    <hyperlink ref="D931" r:id="rId1149" display="2020_02\07.02.2020\89041"/>
    <hyperlink ref="D942" r:id="rId1150" display="2020_02\07.02.2020\-4874"/>
    <hyperlink ref="D872" r:id="rId1151" display="2020_02\06.02.2020\-4382"/>
    <hyperlink ref="D893" r:id="rId1152" display="2020_02\07.02.2020\-4996"/>
    <hyperlink ref="D900" r:id="rId1153" display="2020_02\06.02.2020\89370"/>
    <hyperlink ref="D960" r:id="rId1154" display="2020_02/12.02.2020/91775"/>
    <hyperlink ref="D963" r:id="rId1155" display="2020_02/12.02.2020/-8165"/>
    <hyperlink ref="D958" r:id="rId1156" display="2020_02\10.02.2020\90553"/>
    <hyperlink ref="D959" r:id="rId1157" display="2020_02\10.02.2020\90567"/>
    <hyperlink ref="D961" r:id="rId1158" display="2020_02\10.02.2020\-6122"/>
    <hyperlink ref="D983" r:id="rId1159" display="2020_02\10.02.2020\89955"/>
    <hyperlink ref="D984" r:id="rId1160" display="2020_02/10.02.2020/90149"/>
    <hyperlink ref="D965" r:id="rId1161" display="2020_02\07.02.2020\89491"/>
    <hyperlink ref="D874" r:id="rId1162" display="2020_02\07.02.2020\-5154"/>
    <hyperlink ref="D985" r:id="rId1163" display="2020_02\11.02.2020\90695"/>
    <hyperlink ref="D986" r:id="rId1164" display="2020_02\11.02.2020\90696"/>
    <hyperlink ref="D987" r:id="rId1165" display="2020_02\11.02.2020\90745"/>
    <hyperlink ref="D954" r:id="rId1166" display="2020_02\11.02.2020\83850"/>
    <hyperlink ref="D955" r:id="rId1167" display="2020_02\11.02.2020\87798"/>
    <hyperlink ref="D956" r:id="rId1168" display="2020_02\11.02.2020\90485"/>
    <hyperlink ref="D957" r:id="rId1169" display="2020_02\11.02.2020\90488"/>
    <hyperlink ref="D962" r:id="rId1170" display="2020_02\11.02.2020\-7125"/>
    <hyperlink ref="D973" r:id="rId1171" display="2020_02\07.02.2020\-5163"/>
    <hyperlink ref="D994" r:id="rId1172" display="2020_02\10.02.2020\90388"/>
    <hyperlink ref="D995" r:id="rId1173" display="2020_02\10.02.2020\90493"/>
    <hyperlink ref="D1001" r:id="rId1174" display="2020_02\10.02.2020\-7122"/>
    <hyperlink ref="D1002" r:id="rId1175" display="2020_02\10.02.2020\-7150"/>
    <hyperlink ref="D974" r:id="rId1176" display="2020_02/10.02.2020/-6804"/>
    <hyperlink ref="D975" r:id="rId1177" display="2020_02/10.02.2020/-6833"/>
    <hyperlink ref="D967" r:id="rId1178" display="2020_02/10.02.2020/90157"/>
    <hyperlink ref="D943" r:id="rId1179" display="2020_02\10.02.2020\89678"/>
    <hyperlink ref="D944" r:id="rId1180" display="2020_02\10.02.2020\89680"/>
    <hyperlink ref="D949" r:id="rId1181" display="2020_02\10.02.2020\-6175"/>
    <hyperlink ref="D1005" r:id="rId1182" display="2020_02/11.02.2020/-8067"/>
    <hyperlink ref="D1006" r:id="rId1183" display="2020_02/11.02.2020/-8106"/>
    <hyperlink ref="D1004" r:id="rId1184" display="2020_02/11.02.2020/-8032"/>
    <hyperlink ref="D996" r:id="rId1185" display="2020_02/11.02.2020/90630"/>
    <hyperlink ref="D997" r:id="rId1186" display="2020_02/11.02.2020/90703"/>
    <hyperlink ref="D998" r:id="rId1187" display="2020_02/11.02.2020/90733"/>
    <hyperlink ref="D1003" r:id="rId1188" display="2020_02/11.02.2020/-8031"/>
    <hyperlink ref="D945" r:id="rId1189" display="2020_02/11.02.2020/90336"/>
    <hyperlink ref="D946" r:id="rId1190" display="2020_02/11.02.2020/90716"/>
    <hyperlink ref="D947" r:id="rId1191" display="2020_02/11.02.2020/91417"/>
    <hyperlink ref="D991" r:id="rId1192" display="2020_02\11.02.2020\-7498"/>
    <hyperlink ref="D950" r:id="rId1193" display="2020_02\11.02.2020\-7252"/>
    <hyperlink ref="D951" r:id="rId1194" display="2020_02\11.02.2020\-7253"/>
    <hyperlink ref="D968" r:id="rId1195" display="2020_02\11.02.2020\90949"/>
    <hyperlink ref="D977" r:id="rId1196" display="2020_02/11.02.2020/-7596"/>
    <hyperlink ref="D1008" r:id="rId1197" display="2020_02/10.02.2020/-6171"/>
    <hyperlink ref="D966" r:id="rId1198" display="2020_02\10.02.2020\90151"/>
    <hyperlink ref="D1013" r:id="rId1199" display="2020_02\11.02.2020\-6912"/>
    <hyperlink ref="D1012" r:id="rId1200" display="2020_02\11.02.2020\-6871"/>
    <hyperlink ref="D976" r:id="rId1201" display="2020_02/10.02.2020/-6835"/>
    <hyperlink ref="D1009" r:id="rId1202" display="2020_02/11.02.2020/90554"/>
    <hyperlink ref="D1010" r:id="rId1203" display="2020_02/11.02.2020/91056"/>
    <hyperlink ref="D970" r:id="rId1204" display="2020_02/11.02.2020/90972"/>
    <hyperlink ref="D978" r:id="rId1205" display="2020_02/11.02.2020/-7623"/>
    <hyperlink ref="D988" r:id="rId1206" display="2020_02\12.02.2020\91825"/>
    <hyperlink ref="D989" r:id="rId1207" display="2020_02\12.02.2020\91832"/>
    <hyperlink ref="D992" r:id="rId1208" display="2020_02/12.02.2020/-8550"/>
    <hyperlink ref="D993" r:id="rId1209" display="2020_02\12.02.2020\-8552"/>
    <hyperlink ref="D1000" r:id="rId1210" display="2020_02\12.02.2020\91739"/>
    <hyperlink ref="D1007" r:id="rId1211" display="2020_02\12.02.2020\-8117"/>
    <hyperlink ref="D999" r:id="rId1212" display="2020_02/12.02.2020/91012"/>
    <hyperlink ref="D964" r:id="rId1213" display="2020_02\12.02.2020\-8166"/>
    <hyperlink ref="D1011" r:id="rId1214" display="2020_02/11.02.2020/-6453"/>
    <hyperlink ref="D990" r:id="rId1215" display="2020_02\11.02.2020\-7482"/>
    <hyperlink ref="D948" r:id="rId1216" display="2020_02\12.02.2020\91451"/>
    <hyperlink ref="D953" r:id="rId1217" display="2020_02/12.02.2020/-8358"/>
    <hyperlink ref="D1014" r:id="rId1218" display="2020_02/12.02.2020/91133"/>
    <hyperlink ref="D971" r:id="rId1219" display="2020_02\12.02.2020\91849"/>
    <hyperlink ref="D1015" r:id="rId1220" display="2020_02/12.02.2020/91185"/>
    <hyperlink ref="D972" r:id="rId1221" display="2020_02/12.02.2020/91852"/>
    <hyperlink ref="D979" r:id="rId1222" display="2020_02/12.02.2020/-8682"/>
    <hyperlink ref="D969" r:id="rId1223" display="2020_02/11.02.2020/90958"/>
    <hyperlink ref="D982" r:id="rId1224" display="2020_02/12.02.2020/-8763"/>
    <hyperlink ref="D1016" r:id="rId1225" display="2020_02\12.02.2020\-8294"/>
    <hyperlink ref="D1017" r:id="rId1226" display="2020_02/12.02.2020/-8296"/>
    <hyperlink ref="D980" r:id="rId1227" display="2020_02/12.02.2020/-8689"/>
    <hyperlink ref="D952" r:id="rId1228" display="2020_02/12.02.2020/-8339"/>
    <hyperlink ref="D981" r:id="rId1229" display="2020_02/12.02.2020/-8756"/>
    <hyperlink ref="D1021" r:id="rId1230" display="2020_02/18.02.2020/-3110"/>
    <hyperlink ref="D1022" r:id="rId1231" display="2020_02/18.02.2020/-3120"/>
    <hyperlink ref="D1028" r:id="rId1232" display="2020_02/18.02.2020/11365"/>
    <hyperlink ref="D1029" r:id="rId1233" display="2020_02/18.02.2020/11402"/>
    <hyperlink ref="D1031" r:id="rId1234" display="2020_02/18.02.2020/11637"/>
    <hyperlink ref="D1049" r:id="rId1235" display="2020_02\18.02.2020\-2373"/>
    <hyperlink ref="D1080" r:id="rId1236" display="2020_02\18.02.2020\-2086"/>
    <hyperlink ref="D1081" r:id="rId1237" display="2020_02/18.02.2020/-2153"/>
    <hyperlink ref="D1092" r:id="rId1238" display="2020_02/18.02.2020/11241"/>
    <hyperlink ref="D1093" r:id="rId1239" display="2020_02\18.02.2020\11586"/>
    <hyperlink ref="D1036" r:id="rId1240" display="2020_02\18.02.2020\90349"/>
    <hyperlink ref="D1046" r:id="rId1241" display="2020_02\18.02.2020\11347"/>
    <hyperlink ref="D1038" r:id="rId1242" display="2020_02/18.02.2020/-2638"/>
    <hyperlink ref="D1039" r:id="rId1243" display="2020_02/18.02.2020/-2642"/>
    <hyperlink ref="D1018" r:id="rId1244" display="2020_02/19.02.2020/-3078"/>
    <hyperlink ref="D1068" r:id="rId1245" display="2020_02/19.02.2020/-3651"/>
    <hyperlink ref="D1069" r:id="rId1246" display="2020_02\19.02.2020\-3657"/>
    <hyperlink ref="D1051" r:id="rId1247" display="2020_02/19.02.2020/-3742"/>
    <hyperlink ref="D1052" r:id="rId1248" display="2020_02/19.02.2020/-3749"/>
    <hyperlink ref="D1056" r:id="rId1249" display="2020_02/19.02.2020/-4263"/>
    <hyperlink ref="D1037" r:id="rId1250" display="2020_02/19.02.2020/91660"/>
    <hyperlink ref="D1040" r:id="rId1251" display="2020_02/19.02.2020/-3835"/>
    <hyperlink ref="D1041" r:id="rId1252" display="2020_02/19.02.2020/-3896"/>
    <hyperlink ref="D1082" r:id="rId1253" display="2020_02/19.02.2020/-3857"/>
    <hyperlink ref="D1083" r:id="rId1254" display="2020_02/19.02.2020/-3901"/>
    <hyperlink ref="D1084" r:id="rId1255" display="2020_02/19.02.2020/-4045"/>
    <hyperlink ref="D1019" r:id="rId1256" display="2020_02/19.02.2020/-3084"/>
    <hyperlink ref="D1020" r:id="rId1257" display="2020_02\19.02.2020\-3086"/>
    <hyperlink ref="D1030" r:id="rId1258" display="2020_02\19.02.2020\11703"/>
    <hyperlink ref="D1032" r:id="rId1259" display="2020_02\19.02.2020\12152"/>
    <hyperlink ref="D1047" r:id="rId1260" display="2020_02/19.02.2020/12060"/>
    <hyperlink ref="D1053" r:id="rId1261" display="2020_02/20.02.2020/-4210"/>
    <hyperlink ref="D1054" r:id="rId1262" display="2020_02/20.02.2020/-4212"/>
    <hyperlink ref="D1055" r:id="rId1263" display="2020_02/20.02.2020/-4213"/>
    <hyperlink ref="D1061" r:id="rId1264" display="2020_02/20.02.2020/12601"/>
    <hyperlink ref="D1071" r:id="rId1265" display="2020_02/20.02.2020/-4451"/>
    <hyperlink ref="D1072" r:id="rId1266" display="2020_02/20.02.2020/-4452"/>
    <hyperlink ref="D1042" r:id="rId1267" display="2020_02/20.02.2020/-4386"/>
    <hyperlink ref="D1043" r:id="rId1268" display="2020_02/20.02.2020/-4448"/>
    <hyperlink ref="D1048" r:id="rId1269" display="2020_02\20.02.2020\13374"/>
    <hyperlink ref="D1062" r:id="rId1270" display="2020_02/20.02.2020/13062"/>
    <hyperlink ref="D1023" r:id="rId1271" display="2020_02/20.02.2020/-3964"/>
    <hyperlink ref="D1024" r:id="rId1272" display="2020_02\20.02.2020\-3966"/>
    <hyperlink ref="D1033" r:id="rId1273" display="2020_02\20.02.2020\12775"/>
    <hyperlink ref="D1085" r:id="rId1274" display="2020_02\20.02.2020\-4119"/>
    <hyperlink ref="D1086" r:id="rId1275" display="2020_02\20.02.2020\-4129"/>
    <hyperlink ref="D1094" r:id="rId1276" display="2020_02/20.02.2020/12694"/>
    <hyperlink ref="D1078" r:id="rId1277" display="2020_02/20.02.2020/13081"/>
    <hyperlink ref="D1057" r:id="rId1278" display="2020_02/21.02.2020/-4976"/>
    <hyperlink ref="D1058" r:id="rId1279" display="2020_02/21.02.2020/-4977"/>
    <hyperlink ref="D1059" r:id="rId1280" display="2020_02/21.02.2020/-4993"/>
    <hyperlink ref="D1044" r:id="rId1281" display="2020_02\21.02.2020\-5100"/>
    <hyperlink ref="D1045" r:id="rId1282" display="2020_02\21.02.2020\-5147"/>
    <hyperlink ref="D1065" r:id="rId1283" display="2020_02/21.02.2020/14514"/>
    <hyperlink ref="D1064" r:id="rId1284" display="2020_02/21.02.2020/14049"/>
    <hyperlink ref="D1025" r:id="rId1285" display="2020_02/21.02.2020/-5755"/>
    <hyperlink ref="D1034" r:id="rId1286" display="2020_02\21.02.2020\13872"/>
    <hyperlink ref="D1035" r:id="rId1287" display="2020_02/21.02.2020/14541"/>
    <hyperlink ref="D1066" r:id="rId1288" display="2020_02\21.02.2020\89586"/>
    <hyperlink ref="D1073" r:id="rId1289" display="2020_02/21.02.2020/-5211"/>
    <hyperlink ref="D1079" r:id="rId1290" display="2020_02\21.02.2020\13844"/>
    <hyperlink ref="D1063" r:id="rId1291" display="2020_02/21.02.2020/13985"/>
    <hyperlink ref="D1087" r:id="rId1292" display="2020_02/21.02.2020/-4869"/>
    <hyperlink ref="D1088" r:id="rId1293" display="2020_02\21.02.2020\-4871"/>
    <hyperlink ref="D1095" r:id="rId1294" display="2020_02\21.02.2020\13901"/>
    <hyperlink ref="D1111" r:id="rId1295" display="2020_02/25.02.2020/-6431"/>
    <hyperlink ref="D1112" r:id="rId1296" display="2020_02/25.02.2020/-6613"/>
    <hyperlink ref="D1113" r:id="rId1297" display="2020_02/25.02.2020/-6625"/>
    <hyperlink ref="D1121" r:id="rId1298" display="2020_02/25.02.2020/14417"/>
    <hyperlink ref="D1122" r:id="rId1299" display="2020_02/25.02.2020/14427"/>
    <hyperlink ref="D1097" r:id="rId1300" display="2020_02/25.02.2020/-6318"/>
    <hyperlink ref="D1098" r:id="rId1301" display="2020_02/25.02.2020/-6891"/>
    <hyperlink ref="D1026" r:id="rId1302" display="2020_02/25.02.2020/-6121"/>
    <hyperlink ref="D1129" r:id="rId1303" display="2020_02/25.02.2020/14441"/>
    <hyperlink ref="D1130" r:id="rId1304" display="2020_02/25.02.2020/15094"/>
    <hyperlink ref="D1074" r:id="rId1305" display="2020_02/25.02.2020/-7175"/>
    <hyperlink ref="D1075" r:id="rId1306" display="2020_02/25.02.2020/-7182"/>
    <hyperlink ref="D1089" r:id="rId1307" display="2020_02/25.02.2020/-6262"/>
    <hyperlink ref="D1090" r:id="rId1308" display="2020_02/25.02.2020/-6176"/>
    <hyperlink ref="D1091" r:id="rId1309" display="2020_02/25.02.2020/-6178"/>
    <hyperlink ref="D1131" r:id="rId1310" display="2020_02/25.02.2020/15584"/>
    <hyperlink ref="D1132" r:id="rId1311" display="2020_02/25.02.2020/14539"/>
    <hyperlink ref="D1133" r:id="rId1312" display="2020_02/26.02.2020/-7989"/>
    <hyperlink ref="D1134" r:id="rId1313" display="2020_02/26.02.2020/-8053"/>
    <hyperlink ref="D1135" r:id="rId1314" display="2020_02/26.02.2020/-8136"/>
    <hyperlink ref="D1099" r:id="rId1315" display="2020_02/26.02.2020/-7584"/>
    <hyperlink ref="D1100" r:id="rId1316" display="2020_02/26.02.2020/-7611"/>
    <hyperlink ref="D1147" r:id="rId1317" display="2020_02/26.02.2020/-7120"/>
    <hyperlink ref="D1148" r:id="rId1318" display="2020_02\26.02.2020\-7123"/>
    <hyperlink ref="D1149" r:id="rId1319" display="2020_02/26.02.2020/-7126"/>
    <hyperlink ref="D1155" r:id="rId1320" display="2020_02/26.02.2020/16179"/>
    <hyperlink ref="D1114" r:id="rId1321" display="2020_02/26.02.2020/-7484"/>
    <hyperlink ref="D1106" r:id="rId1322" display="2020_02/25.02.2020/14407"/>
    <hyperlink ref="D1168" r:id="rId1323" display="2020_02/25.02.2020/14531"/>
    <hyperlink ref="D1115" r:id="rId1324" display="2020_02\26.02.2020\-7516"/>
    <hyperlink ref="D1141" r:id="rId1325" display="2020_02/26.02.2020/16115"/>
    <hyperlink ref="D1096" r:id="rId1326" display="2020_02/26.02.2020/-2329"/>
    <hyperlink ref="D1124" r:id="rId1327" display="2020_02/26.02.2020/16350"/>
    <hyperlink ref="D1107" r:id="rId1328" display="2020_02/26.02.2020/15425"/>
    <hyperlink ref="D1108" r:id="rId1329" display="2020_02/26.02.2020/15507"/>
    <hyperlink ref="D1109" r:id="rId1330" display="2020_02/26.02.2020/15823"/>
    <hyperlink ref="D1160" r:id="rId1331" display="2020_02\26.02.2020\-7249"/>
    <hyperlink ref="D1161" r:id="rId1332" display="2020_02\26.02.2020\-7254"/>
    <hyperlink ref="D1162" r:id="rId1333" display="2020_02/26.02.2020/-7351"/>
    <hyperlink ref="D1170" r:id="rId1334" display="2020_02\26.02.2020\15949"/>
    <hyperlink ref="D1123" r:id="rId1335" display="2020_02\26.02.2020\15311"/>
    <hyperlink ref="D1150" r:id="rId1336" display="2020_02/27.02.2020/-8271"/>
    <hyperlink ref="D1151" r:id="rId1337" display="2020_02/27.02.2020/-8272"/>
    <hyperlink ref="D1152" r:id="rId1338" display="2020_02/27.02.2020/-8273"/>
    <hyperlink ref="D1156" r:id="rId1339" display="2020_02/27.02.2020/16278"/>
    <hyperlink ref="D1101" r:id="rId1340" display="2020_02/26.02.2020/-7626"/>
    <hyperlink ref="D1136" r:id="rId1341" display="2020_02/27.02.2020/-8983"/>
    <hyperlink ref="D1138" r:id="rId1342" display="2020_02/27.02.2020/-8999"/>
    <hyperlink ref="D1142" r:id="rId1343" display="2020_02/27.02.2020/16240"/>
    <hyperlink ref="D1143" r:id="rId1344" display="2020_02/27.02.2020/16606"/>
    <hyperlink ref="D1116" r:id="rId1345" display="2020_02/27.02.2020/-8530"/>
    <hyperlink ref="D1117" r:id="rId1346" display="2020_02/27.02.2020/-8540"/>
    <hyperlink ref="D1125" r:id="rId1347" display="2020_02/27.02.2020/16402"/>
    <hyperlink ref="D1126" r:id="rId1348" display="2020_02/27.02.2020/16823"/>
    <hyperlink ref="D1171" r:id="rId1349" display="2020_02/27.02.2020/16590"/>
    <hyperlink ref="D1172" r:id="rId1350" display="2020_02/27.02.2020/16668"/>
    <hyperlink ref="D1163" r:id="rId1351" display="2020_02\27.02.2020\-8337"/>
    <hyperlink ref="D1164" r:id="rId1352" display="2020_02\27.02.2020\-8338"/>
    <hyperlink ref="D1165" r:id="rId1353" display="2020_02\27.02.2020\-8343"/>
    <hyperlink ref="D1102" r:id="rId1354" display="2020_02\27.02.2020\-8685"/>
    <hyperlink ref="D1103" r:id="rId1355" display="2020_02\27.02.2020\-8978"/>
    <hyperlink ref="D1110" r:id="rId1356" display="2020_02\27.02.2020\16797"/>
    <hyperlink ref="D1137" r:id="rId1357" display="2020_02/27.02.2020/-8996"/>
    <hyperlink ref="D1127" r:id="rId1358" display="2020_02/27.02.2020/16934"/>
    <hyperlink ref="D1157" r:id="rId1359" display="2020_02/27.02.2020/17274"/>
    <hyperlink ref="D1139" r:id="rId1360" display="2020_02/28.02.2020/-9834"/>
    <hyperlink ref="D1166" r:id="rId1361" display="2020_02\28.02.2020\-9689"/>
    <hyperlink ref="D1167" r:id="rId1362" display="2020_02\28.02.2020\-9696"/>
    <hyperlink ref="D1118" r:id="rId1363" display="2020_02/28.02.2020/-9644"/>
    <hyperlink ref="D1119" r:id="rId1364" display="2020_02/28.02.2020/-9676"/>
    <hyperlink ref="D1128" r:id="rId1365" display="2020_02/28.02.2020/17577"/>
    <hyperlink ref="D1153" r:id="rId1366" display="2020_02/28.02.2020/-9170"/>
    <hyperlink ref="D1154" r:id="rId1367" display="2020_02/28.02.2020/-9181"/>
    <hyperlink ref="D1158" r:id="rId1368" display="2020_02/28.02.2020/17456"/>
    <hyperlink ref="D1159" r:id="rId1369" display="2020_02/28.02.2020/17791"/>
    <hyperlink ref="D1140" r:id="rId1370" display="2020_02/28.02.2020/-9839"/>
    <hyperlink ref="D1144" r:id="rId1371" display="2020_02/28.02.2020/17586"/>
    <hyperlink ref="D1145" r:id="rId1372" display="2020_02/28.02.2020/17763"/>
    <hyperlink ref="D1146" r:id="rId1373" display="2020_02/28.02.2020/18010"/>
    <hyperlink ref="D1104" r:id="rId1374" display="2020_02\28.02.2020\-9746"/>
    <hyperlink ref="D1105" r:id="rId1375" display="2020_02\28.02.2020\-9747"/>
    <hyperlink ref="D1173" r:id="rId1376" display="2020_03/02.03.2020/20-88"/>
    <hyperlink ref="D1190" r:id="rId1377" display="2020_03/02.03.2020/10541"/>
    <hyperlink ref="D1191" r:id="rId1378" display="2020_03/02.03.2020/10574"/>
    <hyperlink ref="D1235" r:id="rId1379" display="2020_03/02.03.2020/18550"/>
    <hyperlink ref="D1181" r:id="rId1380" display="2020_03/02.03.2020/10088"/>
    <hyperlink ref="D1183" r:id="rId1381" display="2020_03\02.03.2020\10090"/>
    <hyperlink ref="D1233" r:id="rId1382" display="2020_03\02.03.2020\18177"/>
    <hyperlink ref="D1176" r:id="rId1383" display="2020_03\02.03.2020\-9820"/>
    <hyperlink ref="D1177" r:id="rId1384" display="2020_03\02.03.2020\-9825"/>
    <hyperlink ref="D1230" r:id="rId1385" display="2020_03/02.03.2020/18043"/>
    <hyperlink ref="D1234" r:id="rId1386" display="2020_03/02.03.2020/18367"/>
    <hyperlink ref="D1238" r:id="rId1387" display="2020_03/02.03.2020/19059"/>
    <hyperlink ref="D1184" r:id="rId1388" display="2020_03\02.03.2020\10174"/>
    <hyperlink ref="D1185" r:id="rId1389" display="2020_03\02.03.2020\10239"/>
    <hyperlink ref="D1231" r:id="rId1390" display="2020_03\02.03.2020\18053"/>
    <hyperlink ref="D1186" r:id="rId1391" display="2020_03/03.03.2020/10312"/>
    <hyperlink ref="D1189" r:id="rId1392" display="2020_03\03.03.2020\10441"/>
    <hyperlink ref="D1242" r:id="rId1393" display="2020_03\03.03.2020\19346"/>
    <hyperlink ref="D1182" r:id="rId1394" display="2020_03/03.03.2020/10089"/>
    <hyperlink ref="D1194" r:id="rId1395" display="2020_03\03.03.2020\10778"/>
    <hyperlink ref="D1198" r:id="rId1396" display="2020_03\03.03.2020\10979"/>
    <hyperlink ref="D1174" r:id="rId1397" display="2020_03\03.03.2020\-2466"/>
    <hyperlink ref="D1178" r:id="rId1398" display="2020_03\03.03.2020\-9924"/>
    <hyperlink ref="D1179" r:id="rId1399" display="2020_03/02.03.2020/10029"/>
    <hyperlink ref="D1180" r:id="rId1400" display="2020_03\02.03.2020\10031"/>
    <hyperlink ref="D1232" r:id="rId1401" display="2020_03/02.03.2020/18075"/>
    <hyperlink ref="D1236" r:id="rId1402" display="2020_03/02.03.2020/18760"/>
    <hyperlink ref="D1175" r:id="rId1403" display="2020_03/03.03.2020/-5785"/>
    <hyperlink ref="D1240" r:id="rId1404" display="2020_03/03.03.2020/19104"/>
    <hyperlink ref="D1197" r:id="rId1405" display="2020_03/03.03.2020/10977"/>
    <hyperlink ref="D1237" r:id="rId1406" display="2020_03\03.03.2020\18846"/>
    <hyperlink ref="D1239" r:id="rId1407" display="2020_03/03.03.2020/19078"/>
    <hyperlink ref="D1199" r:id="rId1408" display="2020_03/03.03.2020/11061"/>
    <hyperlink ref="D1187" r:id="rId1409" display="2020_03/03.03.2020/10345"/>
    <hyperlink ref="D1188" r:id="rId1410" display="2020_03/03.03.2020/10420"/>
    <hyperlink ref="D1195" r:id="rId1411" display="2020_03/03.03.2020/10820"/>
    <hyperlink ref="D1241" r:id="rId1412" display="2020_03\03.03.2020\19212"/>
    <hyperlink ref="D1245" r:id="rId1413" display="2020_03/04.03.2020/20136"/>
    <hyperlink ref="D1196" r:id="rId1414" display="2020_03/04.03.2020/10878"/>
    <hyperlink ref="D1202" r:id="rId1415" display="2020_03/04.03.2020/11303"/>
    <hyperlink ref="D1203" r:id="rId1416" display="2020_03/04.03.2020/11386"/>
    <hyperlink ref="D1243" r:id="rId1417" display="2020_03/04.03.2020/19888"/>
    <hyperlink ref="D1193" r:id="rId1418" display="2020_03/04.03.2020/10692"/>
    <hyperlink ref="D1201" r:id="rId1419" display="2020_03/04.03.2020/11136"/>
    <hyperlink ref="D1206" r:id="rId1420" display="2020_03/04.03.2020/11546"/>
    <hyperlink ref="D1244" r:id="rId1421" display="2020_03/04.03.2020/20042"/>
    <hyperlink ref="D1246" r:id="rId1422" display="2020_03/04.03.2020/20319"/>
    <hyperlink ref="D1200" r:id="rId1423" display="2020_03\04.03.2020\11095"/>
    <hyperlink ref="D1204" r:id="rId1424" display="2020_03/04.03.2020/11415"/>
    <hyperlink ref="D1210" r:id="rId1425" display="2020_03\04.03.2020\12026"/>
    <hyperlink ref="D1247" r:id="rId1426" display="2020_03\04.03.2020\20380"/>
    <hyperlink ref="D1192" r:id="rId1427" display="2020_03\04.03.2020\10658"/>
    <hyperlink ref="D1207" r:id="rId1428" display="2020_03/04.03.2020/11642"/>
    <hyperlink ref="D1252" r:id="rId1429" display="2020_03\04.03.2020\21364"/>
    <hyperlink ref="D1205" r:id="rId1430" display="2020_03/04.03.2020/11441"/>
    <hyperlink ref="D1213" r:id="rId1431" display="2020_03\05.03.2020\12427"/>
    <hyperlink ref="D1215" r:id="rId1432" display="2020_03\05.03.2020\12493"/>
    <hyperlink ref="D1216" r:id="rId1433" display="2020_03\05.03.2020\12602"/>
    <hyperlink ref="D1253" r:id="rId1434" display="2020_03\05.03.2020\21444"/>
    <hyperlink ref="D1217" r:id="rId1435" display="2020_03/05.03.2020/12646"/>
    <hyperlink ref="D1250" r:id="rId1436" display="2020_03/05.03.2020/20749"/>
    <hyperlink ref="D1208" r:id="rId1437" display="2020_03/05.03.2020/11801"/>
    <hyperlink ref="D1212" r:id="rId1438" display="2020_03\05.03.2020\12316"/>
    <hyperlink ref="D1218" r:id="rId1439" display="2020_03\05.03.2020\12654"/>
    <hyperlink ref="D1248" r:id="rId1440" display="2020_03\05.03.2020\20709"/>
    <hyperlink ref="D1249" r:id="rId1441" display="2020_03\05.03.2020\20711"/>
    <hyperlink ref="D1209" r:id="rId1442" display="2020_03\05.03.2020\11996"/>
    <hyperlink ref="D1214" r:id="rId1443" display="2020_03/05.03.2020/12478"/>
    <hyperlink ref="D1257" r:id="rId1444" display="2020_03\05.03.2020\21863"/>
    <hyperlink ref="D1256" r:id="rId1445" display="2020_03\05.03.2020\21608"/>
    <hyperlink ref="D1251" r:id="rId1446" display="2020_03\05.03.2020\21335"/>
    <hyperlink ref="D1254" r:id="rId1447" display="2020_03\05.03.2020\21504"/>
    <hyperlink ref="D1211" r:id="rId1448" display="2020_03/05.03.2020/12287"/>
    <hyperlink ref="D1220" r:id="rId1449" display="2020_03/06.03.2020/12979"/>
    <hyperlink ref="D1224" r:id="rId1450" display="2020_03/06.03.2020/13220"/>
    <hyperlink ref="D1255" r:id="rId1451" display="2020_03/06.03.2020/21703"/>
    <hyperlink ref="D1260" r:id="rId1452" display="2020_03/06.03.2020/22446"/>
    <hyperlink ref="D1261" r:id="rId1453" display="2020_03/06.03.2020/22453"/>
    <hyperlink ref="D1226" r:id="rId1454" display="2020_03/06.03.2020/13408"/>
    <hyperlink ref="D1221" r:id="rId1455" display="2020_03/06.03.2020/13129"/>
    <hyperlink ref="D1228" r:id="rId1456" display="2020_03/06.03.2020/13617"/>
    <hyperlink ref="D1259" r:id="rId1457" display="2020_03/06.03.2020/22441"/>
    <hyperlink ref="D1223" r:id="rId1458" display="2020_03\06.03.2020\13163"/>
    <hyperlink ref="D1225" r:id="rId1459" display="2020_03\06.03.2020\13332"/>
    <hyperlink ref="D1227" r:id="rId1460" display="2020_03\06.03.2020\13546"/>
    <hyperlink ref="D1258" r:id="rId1461" display="2020_03\06.03.2020\22129"/>
    <hyperlink ref="D1262" r:id="rId1462" display="2020_03\06.03.2020\22578"/>
    <hyperlink ref="D1264" r:id="rId1463" display="2020_03\06.03.2020\23162"/>
    <hyperlink ref="D1219" r:id="rId1464" display="2020_03\06.03.2020\12953"/>
    <hyperlink ref="D1222" r:id="rId1465" display="2020_03\06.03.2020\13153"/>
    <hyperlink ref="D1229" r:id="rId1466" display="2020_03\06.03.2020\14148"/>
    <hyperlink ref="D1263" r:id="rId1467" display="2020_03\06.03.2020\22965"/>
    <hyperlink ref="D1270" r:id="rId1468" display="2020_03/10.03.2020/13611"/>
    <hyperlink ref="D1275" r:id="rId1469" display="2020_03\10.03.2020\14120"/>
    <hyperlink ref="D1304" r:id="rId1470" display="2020_03\10.03.2020\23012"/>
    <hyperlink ref="D1269" r:id="rId1471" display="2020_03/10.03.2020/-9818"/>
    <hyperlink ref="D1279" r:id="rId1472" display="2020_03\10.03.2020\14560"/>
    <hyperlink ref="D1271" r:id="rId1473" display="2020_03\10.03.2020\13639"/>
    <hyperlink ref="D1308" r:id="rId1474" display="2020_03/10.03.2020/23255"/>
    <hyperlink ref="D1272" r:id="rId1475" display="2020_03/10.03.2020/13717"/>
    <hyperlink ref="D1273" r:id="rId1476" display="2020_03/10.03.2020/13856"/>
    <hyperlink ref="D1277" r:id="rId1477" display="2020_03/11.03.2020/14332"/>
    <hyperlink ref="D1284" r:id="rId1478" display="2020_03\11.03.2020\14941"/>
    <hyperlink ref="D1309" r:id="rId1479" display="2020_03\11.03.2020\23773"/>
    <hyperlink ref="D1313" r:id="rId1480" display="2020_03\11.03.2020\24090"/>
    <hyperlink ref="D1315" r:id="rId1481" display="2020_03\11.03.2020\24282"/>
    <hyperlink ref="D1288" r:id="rId1482" display="2020_03\12.03.2020\15491"/>
    <hyperlink ref="D1292" r:id="rId1483" display="2020_03/12.03.2020/15743"/>
    <hyperlink ref="D1296" r:id="rId1484" display="2020_03/12.03.2020/16439"/>
    <hyperlink ref="D1319" r:id="rId1485" display="2020_03/12.03.2020/24911"/>
    <hyperlink ref="D1274" r:id="rId1486" display="2020_03/10.03.2020/13865"/>
    <hyperlink ref="D1306" r:id="rId1487" display="2020_03\10.03.2020\23224"/>
    <hyperlink ref="D1276" r:id="rId1488" display="2020_03/11.03.2020/14307"/>
    <hyperlink ref="D1266" r:id="rId1489" display="2020_03/10.03.2020/-5754"/>
    <hyperlink ref="D1283" r:id="rId1490" display="2020_03/11.03.2020/14909"/>
    <hyperlink ref="D1286" r:id="rId1491" display="2020_03\11.03.2020\14971"/>
    <hyperlink ref="D1281" r:id="rId1492" display="2020_03/11.03.2020/14887"/>
    <hyperlink ref="D1305" r:id="rId1493" display="2020_03/10.03.2020/23088"/>
    <hyperlink ref="D1282" r:id="rId1494" display="2020_03\11.03.2020\14902"/>
    <hyperlink ref="D1285" r:id="rId1495" display="2020_03\11.03.2020\14955"/>
    <hyperlink ref="D1307" r:id="rId1496" display="2020_03/11.03.2020/23308"/>
    <hyperlink ref="D1311" r:id="rId1497" display="2020_03\11.03.2020\24021"/>
    <hyperlink ref="D1312" r:id="rId1498" display="2020_03\11.03.2020\24069"/>
    <hyperlink ref="D1310" r:id="rId1499" display="2020_03/11.03.2020/23928"/>
    <hyperlink ref="D1278" r:id="rId1500" display="2020_03/11.03.2020/14540"/>
    <hyperlink ref="D1280" r:id="rId1501" display="2020_03/11.03.2020/14693"/>
    <hyperlink ref="D1268" r:id="rId1502" display="2020_03/12.03.2020/-7500"/>
    <hyperlink ref="D1318" r:id="rId1503" display="2020_03/12.03.2020/24563"/>
    <hyperlink ref="D1314" r:id="rId1504" display="2020_03/12.03.2020/24235"/>
    <hyperlink ref="D1294" r:id="rId1505" display="2020_03\12.03.2020\16077"/>
    <hyperlink ref="D1265" r:id="rId1506" display="2020_03\12.03.2020\-2409"/>
    <hyperlink ref="D1290" r:id="rId1507" display="2020_03\12.03.2020\15605"/>
    <hyperlink ref="D1317" r:id="rId1508" display="2020_03/11.03.2020/24526"/>
    <hyperlink ref="D1287" r:id="rId1509" display="2020_03\12.03.2020\15224"/>
    <hyperlink ref="D1291" r:id="rId1510" display="2020_03\12.03.2020\15620"/>
    <hyperlink ref="D1289" r:id="rId1511" display="2020_03/12.03.2020/15515"/>
    <hyperlink ref="D1295" r:id="rId1512" display="2020_03/12.03.2020/16129"/>
    <hyperlink ref="D1316" r:id="rId1513" display="2020_03/12.03.2020/24465"/>
    <hyperlink ref="D1297" r:id="rId1514" display="2020_03/13.03.2020/16526"/>
    <hyperlink ref="D1303" r:id="rId1515" display="2020_03/13.03.2020/17364"/>
    <hyperlink ref="D1322" r:id="rId1516" display="2020_03\13.03.2020\25483"/>
    <hyperlink ref="D1298" r:id="rId1517" display="2020_03/13.03.2020/16542"/>
    <hyperlink ref="D1302" r:id="rId1518" display="2020_03/13.03.2020/17355"/>
    <hyperlink ref="D1301" r:id="rId1519" display="2020_03/13.03.2020/17305"/>
    <hyperlink ref="D1321" r:id="rId1520" display="2020_03/13.03.2020/25408"/>
    <hyperlink ref="D1326" r:id="rId1521" display="2020_03\13.03.2020\25984"/>
    <hyperlink ref="D1299" r:id="rId1522" display="2020_03/13.03.2020/16640"/>
    <hyperlink ref="D1323" r:id="rId1523" display="2020_03/13.03.2020/25493"/>
    <hyperlink ref="D1324" r:id="rId1524" display="2020_03/13.03.2020/25497"/>
    <hyperlink ref="D1328" r:id="rId1525" display="2020_03/13.03.2020/25747"/>
    <hyperlink ref="D1293" r:id="rId1526" display="2020_03/12.03.2020/15862"/>
    <hyperlink ref="D1300" r:id="rId1527" display="2020_03\13.03.2020\16833"/>
    <hyperlink ref="D1327" r:id="rId1528" display="2020_03\13.03.2020\26196"/>
    <hyperlink ref="D1320" r:id="rId1529" display="2020_03\13.03.2020\25312"/>
    <hyperlink ref="D1325" r:id="rId1530" display="2020_03\13.03.2020\25577"/>
    <hyperlink ref="D1333" r:id="rId1531" display="2020_03/16.03.2020/17371"/>
    <hyperlink ref="D1338" r:id="rId1532" display="2020_03/16.03.2020/17887"/>
    <hyperlink ref="D1377" r:id="rId1533" display="2020_03/16.03.2020/26133"/>
    <hyperlink ref="D1381" r:id="rId1534" display="2020_03/16.03.2020/26932"/>
    <hyperlink ref="D1334" r:id="rId1535" display="2020_03\16.03.2020\17574"/>
    <hyperlink ref="D1336" r:id="rId1536" display="2020_03\16.03.2020\17668"/>
    <hyperlink ref="D1339" r:id="rId1537" display="2020_03\16.03.2020\17935"/>
    <hyperlink ref="D1379" r:id="rId1538" display="2020_03\16.03.2020\26736"/>
    <hyperlink ref="D1331" r:id="rId1539" display="2020_03\16.03.2020\17196"/>
    <hyperlink ref="D1335" r:id="rId1540" display="2020_03\16.03.2020\17646"/>
    <hyperlink ref="D1332" r:id="rId1541" display="2020_03/16.03.2020/17357"/>
    <hyperlink ref="D1337" r:id="rId1542" display="2020_03\16.03.2020\17712"/>
    <hyperlink ref="D1380" r:id="rId1543" display="2020_03\16.03.2020\26756"/>
    <hyperlink ref="D1378" r:id="rId1544" display="2020_03/16.03.2020/26141"/>
    <hyperlink ref="D1267" r:id="rId1545" display="2020_03/13.03.2020/-7358"/>
    <hyperlink ref="D1342" r:id="rId1546" display="2020_03/17.03.2020/18163"/>
    <hyperlink ref="D1344" r:id="rId1547" display="2020_03/17.03.2020/18226"/>
    <hyperlink ref="D1346" r:id="rId1548" display="2020_03/17.03.2020/18769"/>
    <hyperlink ref="D1341" r:id="rId1549" display="2020_03/17.03.2020/18131"/>
    <hyperlink ref="D1350" r:id="rId1550" display="2020_03/17.03.2020/19160"/>
    <hyperlink ref="D1382" r:id="rId1551" display="2020_03\17.03.2020\27072"/>
    <hyperlink ref="D1385" r:id="rId1552" display="2020_03\17.03.2020\27300"/>
    <hyperlink ref="D1386" r:id="rId1553" display="2020_03/17.03.2020/27323"/>
    <hyperlink ref="D1330" r:id="rId1554" display="2020_03\17.03.2020\10034"/>
    <hyperlink ref="D1340" r:id="rId1555" display="2020_03\17.03.2020\18062"/>
    <hyperlink ref="D1343" r:id="rId1556" display="2020_03\17.03.2020\18209"/>
    <hyperlink ref="D1404" r:id="rId1557" display="2020_03\17.03.2020\27009"/>
    <hyperlink ref="D1405" r:id="rId1558" display="2020_03/16.03.2020/26545"/>
    <hyperlink ref="D1383" r:id="rId1559" display="2020_03/17.03.2020/27207"/>
    <hyperlink ref="D1384" r:id="rId1560" display="2020_03\17.03.2020\27276"/>
    <hyperlink ref="D1345" r:id="rId1561" display="2020_03/17.03.2020/18363"/>
    <hyperlink ref="D1406" r:id="rId1562" display="2020_03/17.03.2020/27724"/>
    <hyperlink ref="D1347" r:id="rId1563" display="2020_03\18.03.2020\18829"/>
    <hyperlink ref="D1355" r:id="rId1564" display="2020_03/18.03.2020/19551"/>
    <hyperlink ref="D1389" r:id="rId1565" display="2020_03\18.03.2020\28165"/>
    <hyperlink ref="D1390" r:id="rId1566" display="2020_03/18.03.2020/28365"/>
    <hyperlink ref="D1397" r:id="rId1567" display="2020_03/18.03.2020/28846"/>
    <hyperlink ref="D1351" r:id="rId1568" display="2020_03\18.03.2020\19166"/>
    <hyperlink ref="D1358" r:id="rId1569" display="2020_03\18.03.2020\19684"/>
    <hyperlink ref="D1387" r:id="rId1570" display="2020_03/18.03.2020/27948"/>
    <hyperlink ref="D1329" r:id="rId1571" display="2020_03\18.03.2020\-5660"/>
    <hyperlink ref="D1352" r:id="rId1572" display="2020_03\18.03.2020\19318"/>
    <hyperlink ref="D1353" r:id="rId1573" display="2020_03\18.03.2020\19363"/>
    <hyperlink ref="D1388" r:id="rId1574" display="2020_03\18.03.2020\28075"/>
    <hyperlink ref="D1392" r:id="rId1575" display="2020_03\18.03.2020\28401"/>
    <hyperlink ref="D1349" r:id="rId1576" display="2020_03/18.03.2020/19035"/>
    <hyperlink ref="D1354" r:id="rId1577" display="2020_03\18.03.2020\19464"/>
    <hyperlink ref="D1366" r:id="rId1578" display="2020_03\18.03.2020\20448"/>
    <hyperlink ref="D1391" r:id="rId1579" display="2020_03/18.03.2020/28399"/>
    <hyperlink ref="D1348" r:id="rId1580" display="2020_03/18.03.2020/18991"/>
    <hyperlink ref="D1370" r:id="rId1581" display="2020_03\19.03.2020\21060"/>
    <hyperlink ref="D1356" r:id="rId1582" display="2020_03\19.03.2020\19633"/>
    <hyperlink ref="D1361" r:id="rId1583" display="2020_03/19.03.2020/19970"/>
    <hyperlink ref="D1394" r:id="rId1584" display="2020_03/19.03.2020/28587"/>
    <hyperlink ref="D1401" r:id="rId1585" display="2020_03/19.03.2020/29315"/>
    <hyperlink ref="D1360" r:id="rId1586" display="2020_03\19.03.2020\19960"/>
    <hyperlink ref="D1374" r:id="rId1587" display="2020_03\19.03.2020\21388"/>
    <hyperlink ref="D1395" r:id="rId1588" display="2020_03\19.03.2020\28662"/>
    <hyperlink ref="D1398" r:id="rId1589" display="2020_03\19.03.2020\28874"/>
    <hyperlink ref="D1399" r:id="rId1590" display="2020_03\19.03.2020\29017"/>
    <hyperlink ref="D1359" r:id="rId1591" display="2020_03\19.03.2020\19748"/>
    <hyperlink ref="D1364" r:id="rId1592" display="2020_03/19.03.2020/20363"/>
    <hyperlink ref="D1365" r:id="rId1593" display="2020_03/19.03.2020/20372"/>
    <hyperlink ref="D1400" r:id="rId1594" display="2020_03/19.03.2020/29019"/>
    <hyperlink ref="D1357" r:id="rId1595" display="2020_03/19.03.2020/19657"/>
    <hyperlink ref="D1363" r:id="rId1596" display="2020_03/19.03.2020/20049"/>
    <hyperlink ref="D1393" r:id="rId1597" display="2020_03/19.03.2020/28529"/>
    <hyperlink ref="D1396" r:id="rId1598" display="2020_03\19.03.2020\28703"/>
    <hyperlink ref="D1362" r:id="rId1599" display="2020_03/19.03.2020/19981"/>
    <hyperlink ref="D1369" r:id="rId1600" display="2020_03/20.03.2020/20954"/>
    <hyperlink ref="D1372" r:id="rId1601" display="2020_03\20.03.2020\21190"/>
    <hyperlink ref="D1376" r:id="rId1602" display="2020_03\20.03.2020\21808"/>
    <hyperlink ref="D1403" r:id="rId1603" display="2020_03\20.03.2020\30217"/>
    <hyperlink ref="D1373" r:id="rId1604" display="2020_03\20.03.2020\21267"/>
    <hyperlink ref="D1402" r:id="rId1605" display="2020_03\20.03.2020\30049"/>
    <hyperlink ref="D1367" r:id="rId1606" display="2020_03\20.03.2020\20649"/>
    <hyperlink ref="D1368" r:id="rId1607" display="2020_03\20.03.2020\20694"/>
    <hyperlink ref="D1371" r:id="rId1608" display="2020_03/20.03.2020/21127"/>
    <hyperlink ref="D1375" r:id="rId1609" display="2020_03/20.03.2020/21498"/>
    <hyperlink ref="D1415" r:id="rId1610" display="2020_03/23.03.2020/21817"/>
    <hyperlink ref="D1427" r:id="rId1611" display="2020_03\23.03.2020\22878"/>
    <hyperlink ref="D1428" r:id="rId1612" display="2020_03\23.03.2020\22894"/>
    <hyperlink ref="D1416" r:id="rId1613" display="2020_03\23.03.2020\21828"/>
    <hyperlink ref="D1425" r:id="rId1614" display="2020_03/23.03.2020/22729"/>
    <hyperlink ref="D1474" r:id="rId1615" display="2020_03/23.03.2020/31140"/>
    <hyperlink ref="D1418" r:id="rId1616" display="2020_03/23.03.2020/22110"/>
    <hyperlink ref="D1419" r:id="rId1617" display="2020_03/23.03.2020/22168"/>
    <hyperlink ref="D1429" r:id="rId1618" display="2020_03/23.03.2020/22982"/>
    <hyperlink ref="D1478" r:id="rId1619" display="2020_03\23.03.2020\31455"/>
    <hyperlink ref="D1412" r:id="rId1620" display="2020_03/23.03.2020/21680"/>
    <hyperlink ref="D1417" r:id="rId1621" display="2020_03/23.03.2020/21923"/>
    <hyperlink ref="D1420" r:id="rId1622" display="2020_03\23.03.2020\22321"/>
    <hyperlink ref="D1467" r:id="rId1623" display="2020_03\23.03.2020\30647"/>
    <hyperlink ref="D1468" r:id="rId1624" display="2020_03\23.03.2020\30659"/>
    <hyperlink ref="D1471" r:id="rId1625" display="2020_03\23.03.2020\30825"/>
    <hyperlink ref="D1472" r:id="rId1626" display="2020_03\23.03.2020\30951"/>
    <hyperlink ref="D1422" r:id="rId1627" display="2020_03/23.03.2020/22554"/>
    <hyperlink ref="D1473" r:id="rId1628" display="2020_03\23.03.2020\30984"/>
    <hyperlink ref="D1414" r:id="rId1629" display="2020_03/23.03.2020/21746"/>
    <hyperlink ref="D1413" r:id="rId1630" display="2020_03\23.03.2020\21691"/>
    <hyperlink ref="D1421" r:id="rId1631" display="2020_03\23.03.2020\22476"/>
    <hyperlink ref="D1424" r:id="rId1632" display="2020_03\23.03.2020\22697"/>
    <hyperlink ref="D1469" r:id="rId1633" display="2020_03\23.03.2020\30767"/>
    <hyperlink ref="D1470" r:id="rId1634" display="2020_03\23.03.2020\30815"/>
    <hyperlink ref="D1476" r:id="rId1635" display="2020_03\23.03.2020\31252"/>
    <hyperlink ref="D1437" r:id="rId1636" display="2020_03/25.03.2020/23560"/>
    <hyperlink ref="D1439" r:id="rId1637" display="2020_03/25.03.2020/23780"/>
    <hyperlink ref="D1448" r:id="rId1638" display="2020_03/25.03.2020/24410"/>
    <hyperlink ref="D1494" r:id="rId1639" display="2020_03/25.03.2020/33242"/>
    <hyperlink ref="D1430" r:id="rId1640" display="2020_03\24.03.2020\23172"/>
    <hyperlink ref="D1481" r:id="rId1641" display="2020_03\24.03.2020\32016"/>
    <hyperlink ref="D1493" r:id="rId1642" display="2020_03\24.03.2020\33217"/>
    <hyperlink ref="D1407" r:id="rId1643" display="2020_03\24.03.2020\13421"/>
    <hyperlink ref="D1480" r:id="rId1644" display="2020_03\24.03.2020\32000"/>
    <hyperlink ref="D1482" r:id="rId1645" display="2020_03\24.03.2020\32068"/>
    <hyperlink ref="D1408" r:id="rId1646" display="2020_03\24.03.2020\14146"/>
    <hyperlink ref="D1479" r:id="rId1647" display="2020_03\24.03.2020\31856"/>
    <hyperlink ref="D1483" r:id="rId1648" display="2020_03\24.03.2020\32338"/>
    <hyperlink ref="D1426" r:id="rId1649" display="2020_03\24.03.2020\22838"/>
    <hyperlink ref="D1436" r:id="rId1650" display="2020_03\24.03.2020\23533"/>
    <hyperlink ref="D1423" r:id="rId1651" display="2020_03\24.03.2020\22684"/>
    <hyperlink ref="D1431" r:id="rId1652" display="2020_03\24.03.2020\23442"/>
    <hyperlink ref="D1477" r:id="rId1653" display="2020_03\24.03.2020\31445"/>
    <hyperlink ref="D1485" r:id="rId1654" display="2020_03\24.03.2020\32474"/>
    <hyperlink ref="D1434" r:id="rId1655" display="2020_03/25.03.2020/23490"/>
    <hyperlink ref="D1433" r:id="rId1656" display="2020_03/25.03.2020/23458"/>
    <hyperlink ref="D1435" r:id="rId1657" display="2020_03/25.03.2020/23511"/>
    <hyperlink ref="D1409" r:id="rId1658" display="2020_03/25.03.2020/15346"/>
    <hyperlink ref="D1440" r:id="rId1659" display="2020_03/25.03.2020/23946"/>
    <hyperlink ref="D1442" r:id="rId1660" display="2020_03/25.03.2020/24006"/>
    <hyperlink ref="D1487" r:id="rId1661" display="2020_03/25.03.2020/32591"/>
    <hyperlink ref="D1491" r:id="rId1662" display="2020_03/25.03.2020/33148"/>
    <hyperlink ref="D1488" r:id="rId1663" display="2020_03/25.03.2020/32667"/>
    <hyperlink ref="D1497" r:id="rId1664" display="2020_03\25.03.2020\33592"/>
    <hyperlink ref="D1432" r:id="rId1665" display="2020_03/25.03.2020/23444"/>
    <hyperlink ref="D1438" r:id="rId1666" display="2020_03/25.03.2020/23643"/>
    <hyperlink ref="D1486" r:id="rId1667" display="2020_03/25.03.2020/32583"/>
    <hyperlink ref="D1489" r:id="rId1668" display="2020_03/25.03.2020/32917"/>
    <hyperlink ref="D1495" r:id="rId1669" display="2020_03/25.03.2020/33392"/>
    <hyperlink ref="D1496" r:id="rId1670" display="2020_03\25.03.2020\33449"/>
    <hyperlink ref="D1441" r:id="rId1671" display="2020_03/25.03.2020/23965"/>
    <hyperlink ref="D1443" r:id="rId1672" display="2020_03/26.03.2020/24120"/>
    <hyperlink ref="D1446" r:id="rId1673" display="2020_03\26.03.2020\24259"/>
    <hyperlink ref="D1454" r:id="rId1674" display="2020_03/26.03.2020/24850"/>
    <hyperlink ref="D1500" r:id="rId1675" display="2020_03\26.03.2020\34351"/>
    <hyperlink ref="D1447" r:id="rId1676" display="2020_03\26.03.2020\24350"/>
    <hyperlink ref="D1450" r:id="rId1677" display="2020_03\26.03.2020\24635"/>
    <hyperlink ref="D1452" r:id="rId1678" display="2020_03\26.03.2020\24746"/>
    <hyperlink ref="D1453" r:id="rId1679" display="2020_03/26.03.2020/24849"/>
    <hyperlink ref="D1455" r:id="rId1680" display="2020_03\26.03.2020\24867"/>
    <hyperlink ref="D1456" r:id="rId1681" display="2020_03\26.03.2020\24869"/>
    <hyperlink ref="D1490" r:id="rId1682" display="2020_03/25.03.2020/33097"/>
    <hyperlink ref="D1484" r:id="rId1683" display="2020_03/25.03.2020/32456"/>
    <hyperlink ref="D1449" r:id="rId1684" display="2020_03/26.03.2020/24628"/>
    <hyperlink ref="D1451" r:id="rId1685" display="2020_03/26.03.2020/24709"/>
    <hyperlink ref="D1463" r:id="rId1686" display="2020_03\26.03.2020\25684"/>
    <hyperlink ref="D1501" r:id="rId1687" display="2020_03/26.03.2020/34416"/>
    <hyperlink ref="D1444" r:id="rId1688" display="2020_03/26.03.2020/24216"/>
    <hyperlink ref="D1445" r:id="rId1689" display="2020_03/26.03.2020/24258"/>
    <hyperlink ref="D1499" r:id="rId1690" display="2020_03/26.03.2020/34161"/>
    <hyperlink ref="D1507" r:id="rId1691" display="2020_03/26.03.2020/35080"/>
    <hyperlink ref="D1460" r:id="rId1692" display="2020_03/27.03.2020/25404"/>
    <hyperlink ref="D1466" r:id="rId1693" display="2020_03\27.03.2020\25846"/>
    <hyperlink ref="D1457" r:id="rId1694" display="2020_03\27.03.2020\25162"/>
    <hyperlink ref="D1465" r:id="rId1695" display="2020_03\27.03.2020\25720"/>
    <hyperlink ref="D1410" r:id="rId1696" display="2020_03/27.03.2020/16914"/>
    <hyperlink ref="D1411" r:id="rId1697" display="2020_03\27.03.2020\16971"/>
    <hyperlink ref="D1458" r:id="rId1698" display="2020_03\27.03.2020\25176"/>
    <hyperlink ref="D1461" r:id="rId1699" display="2020_03\27.03.2020\25467"/>
    <hyperlink ref="D1462" r:id="rId1700" display="2020_03\27.03.2020\25621"/>
    <hyperlink ref="D1506" r:id="rId1701" display="2020_03/27.03.2020/35013"/>
    <hyperlink ref="D1508" r:id="rId1702" display="2020_03\27.03.2020\35256"/>
    <hyperlink ref="D1459" r:id="rId1703" display="2020_03/27.03.2020/25400"/>
    <hyperlink ref="D1464" r:id="rId1704" display="2020_03/27.03.2020/25686"/>
    <hyperlink ref="D1502" r:id="rId1705" display="2020_03/27.03.2020/34639"/>
    <hyperlink ref="D1504" r:id="rId1706" display="2020_03\27.03.2020\34891"/>
    <hyperlink ref="D1505" r:id="rId1707" display="2020_03/27.03.2020/34996"/>
    <hyperlink ref="D1516" r:id="rId1708" display="2020_04\06.04.2020\26265"/>
    <hyperlink ref="D1525" r:id="rId1709" display="2020_04\06.04.2020\26926"/>
    <hyperlink ref="D1532" r:id="rId1710" display="2020_04\06.04.2020\27701"/>
    <hyperlink ref="D1555" r:id="rId1711" display="2020_04\06.04.2020\35388"/>
    <hyperlink ref="D1561" r:id="rId1712" display="2020_04\06.04.2020\35995"/>
    <hyperlink ref="D1568" r:id="rId1713" display="2020_04\06.04.2020\36629"/>
    <hyperlink ref="D1569" r:id="rId1714" display="2020_04\06.04.2020\36773"/>
    <hyperlink ref="D1513" r:id="rId1715" display="2020_04/06.04.2020/26185"/>
    <hyperlink ref="D1520" r:id="rId1716" display="2020_04\06.04.2020\26518"/>
    <hyperlink ref="D1521" r:id="rId1717" display="2020_04/06.04.2020/26735"/>
    <hyperlink ref="D1560" r:id="rId1718" display="2020_05/06.05.2020/35934"/>
    <hyperlink ref="D1519" r:id="rId1719" display="2020_04/06.04.2020/26440"/>
    <hyperlink ref="D1527" r:id="rId1720" display="2020_04\06.04.2020\26970"/>
    <hyperlink ref="D1553" r:id="rId1721" display="2020_04/06.04.2020/35309"/>
    <hyperlink ref="D1523" r:id="rId1722" display="2020_04\06.04.2020\26767"/>
    <hyperlink ref="D1557" r:id="rId1723" display="2020_04\06.04.2020\35734"/>
    <hyperlink ref="D1559" r:id="rId1724" display="2020_04\06.04.2020\35883"/>
    <hyperlink ref="D1514" r:id="rId1725" display="2020_04\06.04.2020\26217"/>
    <hyperlink ref="D1518" r:id="rId1726" display="2020_04/06.04.2020/26357"/>
    <hyperlink ref="D1522" r:id="rId1727" display="2020_04/06.04.2020/26757"/>
    <hyperlink ref="D1567" r:id="rId1728" display="2020_04/06.04.2020/36589"/>
    <hyperlink ref="D1517" r:id="rId1729" display="2020_04/06.04.2020/26304"/>
    <hyperlink ref="D1524" r:id="rId1730" display="2020_04\06.04.2020\26821"/>
    <hyperlink ref="D1558" r:id="rId1731" display="2020_04/06.04.2020/35869"/>
    <hyperlink ref="D1515" r:id="rId1732" display="2020_04/06.04.2020/26233"/>
    <hyperlink ref="D1554" r:id="rId1733" display="2020_04\06.04.2020\35383"/>
    <hyperlink ref="D1510" r:id="rId1734" display="2020_04\07.04.2020\18736"/>
    <hyperlink ref="D1536" r:id="rId1735" display="2020_04\07.04.2020\27877"/>
    <hyperlink ref="D1526" r:id="rId1736" display="2020_04/07.04.2020/27007"/>
    <hyperlink ref="D1534" r:id="rId1737" display="2020_04\07.04.2020\27712"/>
    <hyperlink ref="D1563" r:id="rId1738" display="2020_04\07.04.2020\36216"/>
    <hyperlink ref="D1565" r:id="rId1739" display="2020_04/07.04.2020/36277"/>
    <hyperlink ref="D1530" r:id="rId1740" display="2020_04\07.04.2020\27673"/>
    <hyperlink ref="D1535" r:id="rId1741" display="2020_04\07.04.2020\27772"/>
    <hyperlink ref="D1531" r:id="rId1742" display="2020_04\07.04.2020\27691"/>
    <hyperlink ref="D1564" r:id="rId1743" display="2020_04/07.04.2020/36270"/>
    <hyperlink ref="D1577" r:id="rId1744" display="2020_04/07.04.2020/37393"/>
    <hyperlink ref="D1509" r:id="rId1745" display="2020_04/07.04.2020/18717"/>
    <hyperlink ref="D1528" r:id="rId1746" display="2020_04/07.04.2020/27310"/>
    <hyperlink ref="D1566" r:id="rId1747" display="2020_04\07.04.2020\36339"/>
    <hyperlink ref="D1583" r:id="rId1748" display="2020_04\07.04.2020\37884"/>
    <hyperlink ref="D1574" r:id="rId1749" display="2020_04/07.04.2020/37022"/>
    <hyperlink ref="D1533" r:id="rId1750" display="2020_04/07.04.2020/27707"/>
    <hyperlink ref="D1542" r:id="rId1751" display="2020_04/07.04.2020/28262"/>
    <hyperlink ref="D1570" r:id="rId1752" display="2020_04/07.04.2020/36818"/>
    <hyperlink ref="D1572" r:id="rId1753" display="2020_04/07.04.2020/36975"/>
    <hyperlink ref="D1573" r:id="rId1754" display="2020_04/07.04.2020/36938"/>
    <hyperlink ref="D1539" r:id="rId1755" display="2020_04/08.04.2020/28072"/>
    <hyperlink ref="D1543" r:id="rId1756" display="2020_04/08.04.2020/28306"/>
    <hyperlink ref="D1580" r:id="rId1757" display="2020_04\08.04.2020\37550"/>
    <hyperlink ref="D1512" r:id="rId1758" display="2020_04\08.04.2020\19283"/>
    <hyperlink ref="D1541" r:id="rId1759" display="2020_04\08.04.2020\28182"/>
    <hyperlink ref="D1576" r:id="rId1760" display="2020_04\08.04.2020\37150"/>
    <hyperlink ref="D1581" r:id="rId1761" display="2020_04\08.04.2020\37625"/>
    <hyperlink ref="D1585" r:id="rId1762" display="2020_04\08.04.2020\38407"/>
    <hyperlink ref="D1582" r:id="rId1763" display="2020_04/08.04.2020/37879"/>
    <hyperlink ref="D1544" r:id="rId1764" display="2020_04/08.04.2020/28382"/>
    <hyperlink ref="D1545" r:id="rId1765" display="2020_04/08.04.2020/28389"/>
    <hyperlink ref="D1589" r:id="rId1766" display="2020_04/07.04.2020/27668"/>
    <hyperlink ref="D1590" r:id="rId1767" display="2020_04/06.04.2020/26380"/>
    <hyperlink ref="D1537" r:id="rId1768" display="2020_04/08.04.2020/27970"/>
    <hyperlink ref="D1579" r:id="rId1769" display="2020_04/08.04.2020/37546"/>
    <hyperlink ref="D1511" r:id="rId1770" display="2020_04\08.04.2020\19208"/>
    <hyperlink ref="D1538" r:id="rId1771" display="2020_04\08.04.2020\27991"/>
    <hyperlink ref="D1556" r:id="rId1772" display="2020_04/06.04.2020/35732"/>
    <hyperlink ref="D1591" r:id="rId1773" display="2020_04/06.04.2020/26398"/>
    <hyperlink ref="D1540" r:id="rId1774" display="2020_04/08.04.2020/28076"/>
    <hyperlink ref="D1575" r:id="rId1775" display="2020_04/08.04.2020/37089"/>
    <hyperlink ref="D1547" r:id="rId1776" display="2020_04/09.04.2020/28742"/>
    <hyperlink ref="D1551" r:id="rId1777" display="2020_04\09.04.2020\29390"/>
    <hyperlink ref="D1552" r:id="rId1778" display="2020_04\09.04.2020\29487"/>
    <hyperlink ref="D1586" r:id="rId1779" display="2020_04/09.04.2020/38442"/>
    <hyperlink ref="D1588" r:id="rId1780" display="2020_04/09.04.2020/39326"/>
    <hyperlink ref="D1546" r:id="rId1781" display="2020_04/09.04.2020/28690"/>
    <hyperlink ref="D1548" r:id="rId1782" display="2020_04/09.04.2020/28799"/>
    <hyperlink ref="D1550" r:id="rId1783" display="2020_04/09.04.2020/28814"/>
    <hyperlink ref="D1587" r:id="rId1784" display="2020_04/09.04.2020/38492"/>
    <hyperlink ref="D1578" r:id="rId1785" display="2020_04/08.04.2020/37447"/>
    <hyperlink ref="D1571" r:id="rId1786" display="2020_04/07.04.2020/36920"/>
    <hyperlink ref="D1529" r:id="rId1787" display="2020_04/07.04.2020/27434"/>
    <hyperlink ref="D1584" r:id="rId1788" display="2020_04/08.04.2020/38309"/>
    <hyperlink ref="D1592" r:id="rId1789" display="2020_04/08.04.2020/28210"/>
    <hyperlink ref="D1549" r:id="rId1790" display="2020_04/09.04.2020/28808"/>
    <hyperlink ref="D1671" r:id="rId1791" display="2020_05/07.05.2020/27275"/>
    <hyperlink ref="D1673" r:id="rId1792" display="2020_05\08.05.2020\28503"/>
    <hyperlink ref="D1677" r:id="rId1793" display="2020_05/08.05.2020/37251"/>
    <hyperlink ref="D1678" r:id="rId1794" display="2020_05/08.05.2020/37284"/>
    <hyperlink ref="D1679" r:id="rId1795" display="2020_05\08.05.2020\37454"/>
    <hyperlink ref="D1636" r:id="rId1796" display="2020_05/12.05.2020/38597"/>
    <hyperlink ref="D1604" r:id="rId1797" display="2020_05/12.05.2020/29542"/>
    <hyperlink ref="D1599" r:id="rId1798" display="2020_05\12.05.2020\29121"/>
    <hyperlink ref="D1602" r:id="rId1799" display="2020_05/12.05.2020/29317"/>
    <hyperlink ref="D1639" r:id="rId1800" display="2020_05/12.05.2020/39160"/>
    <hyperlink ref="D1562" r:id="rId1801" display="2020_05\06.05.2020\36005"/>
    <hyperlink ref="D1612" r:id="rId1802" display="2020_05/13.05.2020/30387"/>
    <hyperlink ref="D1676" r:id="rId1803" display="2020_05/07.05.2020/36237"/>
    <hyperlink ref="D1640" r:id="rId1804" display="2020_05/13.05.2020/39174"/>
    <hyperlink ref="D1617" r:id="rId1805" display="2020_05/13.05.2020/30955"/>
    <hyperlink ref="D1607" r:id="rId1806" display="2020_05/13.05.2020/29727"/>
    <hyperlink ref="D1633" r:id="rId1807" display="2020_05\12.05.2020\38119"/>
    <hyperlink ref="D1652" r:id="rId1808" display="2020_05/13.05.2020/40204"/>
    <hyperlink ref="D1606" r:id="rId1809" display="2020_05/13.05.2020/29721"/>
    <hyperlink ref="D1603" r:id="rId1810" display="2020_05/13.05.2020/29586"/>
    <hyperlink ref="D1596" r:id="rId1811" display="2020_05/12.05.2020/28646"/>
    <hyperlink ref="D1595" r:id="rId1812" display="2020_05/13.05.2020/25388"/>
    <hyperlink ref="D1613" r:id="rId1813" display="2020_05\13.05.2020\30413"/>
    <hyperlink ref="D1601" r:id="rId1814" display="2020_05/12.05.2020/29222"/>
    <hyperlink ref="D1649" r:id="rId1815" display="2020_05\13.05.2020\39980"/>
    <hyperlink ref="D1647" r:id="rId1816" display="2020_05/13.05.2020/39809"/>
    <hyperlink ref="D1650" r:id="rId1817" display="2020_05/13.05.2020/40148"/>
    <hyperlink ref="D1651" r:id="rId1818" display="2020_05/13.05.2020/40163"/>
    <hyperlink ref="D1608" r:id="rId1819" display="2020_05/13.05.2020/29951"/>
    <hyperlink ref="D1644" r:id="rId1820" display="2020_05/13.05.2020/39518"/>
    <hyperlink ref="D1637" r:id="rId1821" display="2020_05\12.05.2020\38692"/>
    <hyperlink ref="D1597" r:id="rId1822" display="2020_05/12.05.2020/28781"/>
    <hyperlink ref="D1610" r:id="rId1823" display="2020_05/13.05.2020/30289"/>
    <hyperlink ref="D1645" r:id="rId1824" display="2020_05/13.05.2020/39537"/>
    <hyperlink ref="D1643" r:id="rId1825" display="2020_05/13.05.2020/39410"/>
    <hyperlink ref="D1675" r:id="rId1826" display="2020_05/06.05.2020/36208"/>
    <hyperlink ref="D1598" r:id="rId1827" display="2020_05/12.05.2020/29073"/>
    <hyperlink ref="D1674" r:id="rId1828" display="2020_05/06.05.2020/35702"/>
    <hyperlink ref="D1600" r:id="rId1829" display="2020_05\12.05.2020\29149"/>
    <hyperlink ref="D1657" r:id="rId1830" display="2020_05/14.05.2020/41358"/>
    <hyperlink ref="D1656" r:id="rId1831" display="2020_05/14.05.2020/40923"/>
    <hyperlink ref="D1620" r:id="rId1832" display="2020_05/14.05.2020/30994"/>
    <hyperlink ref="D1619" r:id="rId1833" display="2020_05/14.05.2020/30991"/>
    <hyperlink ref="D1615" r:id="rId1834" display="2020_05/14.05.2020/30736"/>
    <hyperlink ref="D1655" r:id="rId1835" display="2020_05/14.05.2020/40961"/>
    <hyperlink ref="D1622" r:id="rId1836" display="2020_05\14.05.2020\31379"/>
    <hyperlink ref="D1492" r:id="rId1837" display="2020_03/25.03.2020/33156"/>
    <hyperlink ref="D1661" r:id="rId1838" display="2020_05/15.05.2020/41611"/>
    <hyperlink ref="D1630" r:id="rId1839" display="2020_05/15.05.2020/32147"/>
    <hyperlink ref="D1631" r:id="rId1840" display="2020_05/15.05.2020/32330"/>
    <hyperlink ref="D1593" r:id="rId1841" display="2020_05/15.05.2020/18660"/>
    <hyperlink ref="D1664" r:id="rId1842" display="2020_05\14.05.2020\41741"/>
    <hyperlink ref="D1609" r:id="rId1843" display="2020_05/13.05.2020/29981"/>
    <hyperlink ref="D1654" r:id="rId1844" display="2020_05/13.05.2020/40768"/>
    <hyperlink ref="D1605" r:id="rId1845" display="2020_05/13.05.2020/29607"/>
    <hyperlink ref="D1686" r:id="rId1846" display="2020_05/19.05.2020/43942"/>
    <hyperlink ref="D1685" r:id="rId1847" display="2020_05/19.05.2020/43300"/>
    <hyperlink ref="D1684" r:id="rId1848" display="2020_05/19.05.2020/43231"/>
    <hyperlink ref="D1670" r:id="rId1849" display="2020_05/15.05.2020/42399"/>
    <hyperlink ref="D1648" r:id="rId1850" display="2020_05/13.05.2020/39870"/>
    <hyperlink ref="D1663" r:id="rId1851" display="2020_05/15.05.2020/41705"/>
    <hyperlink ref="D1594" r:id="rId1852" display="2020_05/13.05.2020/21482"/>
    <hyperlink ref="D1621" r:id="rId1853" display="2020_05/14.05.2020/31016"/>
    <hyperlink ref="D1611" r:id="rId1854" display="2020_05/13.05.2020/30313"/>
    <hyperlink ref="D1475" r:id="rId1855" display="2020_05/14.05.2020/31215"/>
    <hyperlink ref="D1638" r:id="rId1856" display="2020_05\12.05.2020\38770"/>
    <hyperlink ref="D1625" r:id="rId1857" display="2020_05/15.05.2020/31571"/>
    <hyperlink ref="D1669" r:id="rId1858" display="2020_05/14.05.2020/42114"/>
    <hyperlink ref="D1672" r:id="rId1859" display="2020_05/08.05.2020/28226"/>
    <hyperlink ref="D1629" r:id="rId1860" display="2020_05/14.05.2020/32110"/>
    <hyperlink ref="D1632" r:id="rId1861" display="2020_05/15.05.2020/33208"/>
    <hyperlink ref="D1682" r:id="rId1862" display="2020_05/18.05.2020/42292"/>
    <hyperlink ref="D1681" r:id="rId1863" display="2020_05/18.05.2020/32828"/>
    <hyperlink ref="D1616" r:id="rId1864" display="2020_05/14.05.2020/30928"/>
    <hyperlink ref="D1642" r:id="rId1865" display="2020_05\12.05.2020\39325"/>
    <hyperlink ref="D1683" r:id="rId1866" display="2020_05/18.05.2020/42345"/>
    <hyperlink ref="D1627" r:id="rId1867" display="2020_05/15.05.2020/32092"/>
    <hyperlink ref="D1618" r:id="rId1868" display="2020_05\14.05.2020\30979"/>
    <hyperlink ref="D1614" r:id="rId1869" display="2020_05/14.05.2020/30598"/>
    <hyperlink ref="D1653" r:id="rId1870" display="2020_05/14.05.2020/40730"/>
    <hyperlink ref="D1668" r:id="rId1871" display="2020_05/14.05.2020/42042"/>
    <hyperlink ref="D1634" r:id="rId1872" display="2020_05\12.05.2020\38142"/>
    <hyperlink ref="D1665" r:id="rId1873" display="2020_05/15.05.2020/41793"/>
    <hyperlink ref="D1628" r:id="rId1874" display="2020_05/15.05.2020/32097"/>
    <hyperlink ref="D1660" r:id="rId1875" display="2020_05\15.05.2020\41502"/>
    <hyperlink ref="D1680" r:id="rId1876" display="2020_05/18.05.2020/32669"/>
    <hyperlink ref="D1658" r:id="rId1877" display="2020_05/15.05.2020/41392"/>
    <hyperlink ref="D1666" r:id="rId1878" display="2020_05/15.05.2020/41820"/>
    <hyperlink ref="D1624" r:id="rId1879" display="2020_05\15.05.2020\31544"/>
    <hyperlink ref="D1623" r:id="rId1880" display="2020_05/15.05.2020/31510"/>
    <hyperlink ref="D1703" r:id="rId1881" display="2020_05\18.05.2020\33385"/>
    <hyperlink ref="D1699" r:id="rId1882" display="2020_05/18.05.2020/33030"/>
    <hyperlink ref="D1697" r:id="rId1883" display="2020_05/18.05.2020/32915"/>
    <hyperlink ref="D1689" r:id="rId1884" display="2020_05/18.05.2020/27789"/>
    <hyperlink ref="D1708" r:id="rId1885" display="2020_05/19.05.2020/33770"/>
    <hyperlink ref="D1755" r:id="rId1886" display="2020_05\18.05.2020\42553"/>
    <hyperlink ref="D1705" r:id="rId1887" display="2020_05/18.05.2020/33541"/>
    <hyperlink ref="D1721" r:id="rId1888" display="2020_05/20.05.2020/34600"/>
    <hyperlink ref="D1701" r:id="rId1889" display="2020_05/18.05.2020/33288"/>
    <hyperlink ref="D1728" r:id="rId1890" display="2020_05/20.05.2020/35426"/>
    <hyperlink ref="D1754" r:id="rId1891" display="2020_05/18.05.2020/42460"/>
    <hyperlink ref="D1724" r:id="rId1892" display="2020_05/20.05.2020/34809"/>
    <hyperlink ref="D1768" r:id="rId1893" display="2020_05/20.05.2020/44244"/>
    <hyperlink ref="D1690" r:id="rId1894" display="2020_05/18.05.2020/28255"/>
    <hyperlink ref="D1693" r:id="rId1895" display="2020_05/18.05.2020/32496"/>
    <hyperlink ref="D1702" r:id="rId1896" display="2020_05/18.05.2020/33374"/>
    <hyperlink ref="D1698" r:id="rId1897" display="2020_05/18.05.2020/32922"/>
    <hyperlink ref="D1692" r:id="rId1898" display="2020_05/18.05.2020/32433"/>
    <hyperlink ref="D1696" r:id="rId1899" display="2020_05/18.05.2020/32838"/>
    <hyperlink ref="D1700" r:id="rId1900" display="2020_05/18.05.2020/33039"/>
    <hyperlink ref="D1695" r:id="rId1901" display="2020_05/18.05.2020/32819"/>
    <hyperlink ref="D1694" r:id="rId1902" display="2020_05/18.05.2020/32725"/>
    <hyperlink ref="D1691" r:id="rId1903" display="2020_05/20.05.2020/29724"/>
    <hyperlink ref="D1758" r:id="rId1904" display="2020_05/19.05.2020/43447"/>
    <hyperlink ref="D1735" r:id="rId1905" display="2020_05/21.05.2020/35958"/>
    <hyperlink ref="D1759" r:id="rId1906" display="2020_05/19.05.2020/43461"/>
    <hyperlink ref="D1710" r:id="rId1907" display="2020_05/19.05.2020/33846"/>
    <hyperlink ref="D1715" r:id="rId1908" display="2020_05/19.05.2020/34169"/>
    <hyperlink ref="D1711" r:id="rId1909" display="2020_05/19.05.2020/33856"/>
    <hyperlink ref="D1780" r:id="rId1910" display="2020_05/21.05.2020/45853"/>
    <hyperlink ref="D1777" r:id="rId1911" display="2020_05/21.05.2020/45184"/>
    <hyperlink ref="D1737" r:id="rId1912" display="2020_05/21.05.2020/36302"/>
    <hyperlink ref="D1775" r:id="rId1913" display="2020_05/21.05.2020/45086"/>
    <hyperlink ref="D1752" r:id="rId1914" display="2020_05/22.05.2020/37955"/>
    <hyperlink ref="D1736" r:id="rId1915" display="2020_05/22.05.2020/36238"/>
    <hyperlink ref="D1718" r:id="rId1916" display="2020_05/19.05.2020/34346"/>
    <hyperlink ref="D1713" r:id="rId1917" display="2020_05/19.05.2020/34075"/>
    <hyperlink ref="D1712" r:id="rId1918" display="2020_05/19.05.2020/33910"/>
    <hyperlink ref="D1717" r:id="rId1919" display="2020_05/19.05.2020/34319"/>
    <hyperlink ref="D1716" r:id="rId1920" display="2020_05/19.05.2020/34291"/>
    <hyperlink ref="D1709" r:id="rId1921" display="2020_05/19.05.2020/33800"/>
    <hyperlink ref="D1761" r:id="rId1922" display="2020_05/19.05.2020/43624"/>
    <hyperlink ref="D1707" r:id="rId1923" display="2020_05/19.05.2020/33637"/>
    <hyperlink ref="D1766" r:id="rId1924" display="2020_05/19.05.2020/44004"/>
    <hyperlink ref="D1763" r:id="rId1925" display="2020_05/19.05.2020/43951"/>
    <hyperlink ref="D1706" r:id="rId1926" display="2020_05/19.05.2020/33626"/>
    <hyperlink ref="D1762" r:id="rId1927" display="2020_05/19.05.2020/43694"/>
    <hyperlink ref="D1720" r:id="rId1928" display="2020_05/20.05.2020/34547"/>
    <hyperlink ref="D1714" r:id="rId1929" display="2020_05/19.05.2020/34147"/>
    <hyperlink ref="D1772" r:id="rId1930" display="2020_05/20.05.2020/44642"/>
    <hyperlink ref="D1765" r:id="rId1931" display="2020_05/20.05.2020/44054"/>
    <hyperlink ref="D1769" r:id="rId1932" display="2020_05/20.05.2020/44247"/>
    <hyperlink ref="D1764" r:id="rId1933" display="2020_05/20.05.2020/44033"/>
    <hyperlink ref="D1722" r:id="rId1934" display="2020_05/20.05.2020/34702"/>
    <hyperlink ref="D1776" r:id="rId1935" display="2020_05/20.05.2020/45166"/>
    <hyperlink ref="D1771" r:id="rId1936" display="2020_05/20.05.2020/44467"/>
    <hyperlink ref="D1734" r:id="rId1937" display="2020_05/20.05.2020/35950"/>
    <hyperlink ref="D1723" r:id="rId1938" display="2020_05/20.05.2020/34761"/>
    <hyperlink ref="D1729" r:id="rId1939" display="2020_05/20.05.2020/35589"/>
    <hyperlink ref="D1719" r:id="rId1940" display="2020_05/20.05.2020/34438"/>
    <hyperlink ref="D1730" r:id="rId1941" display="2020_05\20.05.2020\35805"/>
    <hyperlink ref="D1767" r:id="rId1942" display="2020_05/20.05.2020/44238"/>
    <hyperlink ref="D1770" r:id="rId1943" display="2020_05\20.05.2020\44289"/>
    <hyperlink ref="D1726" r:id="rId1944" display="2020_05/21.05.2020/35390"/>
    <hyperlink ref="D1688" r:id="rId1945" display="2020_05/21.05.2020/26104"/>
    <hyperlink ref="D1744" r:id="rId1946" display="2020_05/22.05.2020/36575"/>
    <hyperlink ref="D1727" r:id="rId1947" display="2020_05/21.05.2020/35405"/>
    <hyperlink ref="D1731" r:id="rId1948" display="2020_05/21.05.2020/35865"/>
    <hyperlink ref="D1687" r:id="rId1949" display="2020_05/19.05.2020/20182"/>
    <hyperlink ref="D1739" r:id="rId1950" display="2020_05/21.05.2020/36409"/>
    <hyperlink ref="D1732" r:id="rId1951" display="2020_05/21.05.2020/35886"/>
    <hyperlink ref="D1786" r:id="rId1952" display="2020_05/21.05.2020/46442"/>
    <hyperlink ref="D1789" r:id="rId1953" display="2020_05/22.05.2020/46724"/>
    <hyperlink ref="D1753" r:id="rId1954" display="2020_05/18.05.2020/42372"/>
    <hyperlink ref="D1725" r:id="rId1955" display="2020_05/20.05.2020/35197"/>
    <hyperlink ref="D1704" r:id="rId1956" display="2020_05/18.05.2020/33479"/>
    <hyperlink ref="D1740" r:id="rId1957" display="2020_05/21.05.2020/36423"/>
    <hyperlink ref="D1824" r:id="rId1958" display="2020_05/25.05.2020/47067"/>
    <hyperlink ref="D1749" r:id="rId1959" display="2020_05/22.05.2020/37410"/>
    <hyperlink ref="D1733" r:id="rId1960" display="2020_05/21.05.2020/35897"/>
    <hyperlink ref="D1844" r:id="rId1961" display="2020_05/27.05.2020/49489"/>
    <hyperlink ref="D1741" r:id="rId1962" display="2020_05/21.05.2020/36508"/>
    <hyperlink ref="D1750" r:id="rId1963" display="2020_05/22.05.2020/37561"/>
    <hyperlink ref="D1743" r:id="rId1964" display="2020_05\22.05.2020\36549"/>
    <hyperlink ref="D1751" r:id="rId1965" display="2020_05/22.05.2020/37764"/>
    <hyperlink ref="D1782" r:id="rId1966" display="2020_05/22.05.2020/46216"/>
    <hyperlink ref="D1784" r:id="rId1967" display="2020_05\22.05.2020\46372"/>
    <hyperlink ref="D1790" r:id="rId1968" display="2020_05/22.05.2020/46758"/>
    <hyperlink ref="D1774" r:id="rId1969" display="2020_05\21.05.2020\44987"/>
    <hyperlink ref="D1778" r:id="rId1970" display="2020_05/21.05.2020/45575"/>
    <hyperlink ref="D1792" r:id="rId1971" display="2020_05/21.05.2020/46837"/>
    <hyperlink ref="D1791" r:id="rId1972" display="2020_05/21.05.2020/46762"/>
    <hyperlink ref="D1793" r:id="rId1973" display="2020_05/22.05.2020/46992"/>
    <hyperlink ref="D1757" r:id="rId1974" display="2020_05/19.05.2020/43321"/>
    <hyperlink ref="D1756" r:id="rId1975" display="2020_05/18.05.2020/42957"/>
    <hyperlink ref="D1742" r:id="rId1976" display="2020_05/21.05.2020/36529"/>
    <hyperlink ref="D1746" r:id="rId1977" display="2020_05/21.05.2020/36941"/>
    <hyperlink ref="D1748" r:id="rId1978" display="2020_05/22.05.2020/36950"/>
    <hyperlink ref="D1760" r:id="rId1979" display="2020_05/19.05.2020/43475"/>
    <hyperlink ref="D1794" r:id="rId1980" display="2020_05/22.05.2020/47173"/>
    <hyperlink ref="D1820" r:id="rId1981" display="2020_05\26.05.2020\39862"/>
    <hyperlink ref="D1800" r:id="rId1982" display="2020_05/26.05.2020/38233"/>
    <hyperlink ref="D1830" r:id="rId1983" display="2020_05/25.05.2020/47602"/>
    <hyperlink ref="D1808" r:id="rId1984" display="2020_05/27.05.2020/39052"/>
    <hyperlink ref="D1836" r:id="rId1985" display="2020_05/25.05.2020/48387"/>
    <hyperlink ref="D1795" r:id="rId1986" display="2020_05\25.05.2020\33213"/>
    <hyperlink ref="D1838" r:id="rId1987" display="2020_05/27.05.2020/49014"/>
    <hyperlink ref="D1841" r:id="rId1988" display="2020_05/27.05.2020/49388"/>
    <hyperlink ref="D1845" r:id="rId1989" display="2020_05\27.05.2020\49548"/>
    <hyperlink ref="D1843" r:id="rId1990" display="2020_05/27.05.2020/49482"/>
    <hyperlink ref="D1840" r:id="rId1991" display="2020_05/27.05.2020/49375"/>
    <hyperlink ref="D1817" r:id="rId1992" display="2020_05/26.05.2020/39719"/>
    <hyperlink ref="D1799" r:id="rId1993" display="2020_05/25.05.2020/38108"/>
    <hyperlink ref="D1828" r:id="rId1994" display="2020_05/25.05.2020/47241"/>
    <hyperlink ref="D1785" r:id="rId1995" display="2020_05/22.05.2020/46417"/>
    <hyperlink ref="D1747" r:id="rId1996" display="2020_05/22.05.2020/36986"/>
    <hyperlink ref="D1779" r:id="rId1997" display="2020_05/22.05.2020/45776"/>
    <hyperlink ref="D1745" r:id="rId1998" display="2020_05/22.05.2020/36579"/>
    <hyperlink ref="D1738" r:id="rId1999" display="2020_05/22.05.2020/36382"/>
    <hyperlink ref="D1829" r:id="rId2000" display="2020_05/25.05.2020/47297"/>
    <hyperlink ref="D1804" r:id="rId2001" display="2020_05/25.05.2020/38505"/>
    <hyperlink ref="D1833" r:id="rId2002" display="2020_05\25.05.2020\47873"/>
    <hyperlink ref="D1825" r:id="rId2003" display="2020_05/25.05.2020/47150"/>
    <hyperlink ref="D1797" r:id="rId2004" display="2020_05/25.05.2020/36990"/>
    <hyperlink ref="D1801" r:id="rId2005" display="2020_05/26.05.2020/38285"/>
    <hyperlink ref="D1839" r:id="rId2006" display="2020_05/26.05.2020/49302"/>
    <hyperlink ref="D1788" r:id="rId2007" display="2020_05/21.05.2020/46626"/>
    <hyperlink ref="D1822" r:id="rId2008" display="2020_05/26.05.2020/39925"/>
    <hyperlink ref="D1811" r:id="rId2009" display="2020_05/26.05.2020/39302"/>
    <hyperlink ref="D1821" r:id="rId2010" display="2020_05/27.05.2020/39995"/>
    <hyperlink ref="D1855" r:id="rId2011" display="2020_05/27.05.2020/52566"/>
    <hyperlink ref="D1818" r:id="rId2012" display="2020_05/27.05.2020/39822"/>
    <hyperlink ref="D1783" r:id="rId2013" display="2020_05/22.05.2020/46274"/>
    <hyperlink ref="D1796" r:id="rId2014" display="2020_05/25.05.2020/33502"/>
    <hyperlink ref="D1813" r:id="rId2015" display="2020_05/26.05.2020/39515"/>
    <hyperlink ref="D1806" r:id="rId2016" display="2020_05/25.05.2020/38895"/>
    <hyperlink ref="D1803" r:id="rId2017" display="2020_05\25.05.2020\38425"/>
    <hyperlink ref="D1826" r:id="rId2018" display="2020_05/25.05.2020/47165"/>
    <hyperlink ref="D1831" r:id="rId2019" display="2020_05/25.05.2020/47607"/>
    <hyperlink ref="D1834" r:id="rId2020" display="2020_05/25.05.2020/48057"/>
    <hyperlink ref="D1835" r:id="rId2021" display="2020_05/25.05.2020/48077"/>
    <hyperlink ref="D1809" r:id="rId2022" display="2020_05/27.05.2020/39137"/>
    <hyperlink ref="D1807" r:id="rId2023" display="2020_05/27.05.2020/39047"/>
    <hyperlink ref="D1815" r:id="rId2024" display="2020_05/26.05.2020/39644"/>
    <hyperlink ref="D1819" r:id="rId2025" display="2020_05/26.05.2020/39826"/>
    <hyperlink ref="D1837" r:id="rId2026" display="2020_05/26.05.2020/49005"/>
    <hyperlink ref="D1853" r:id="rId2027" display="2020_05/27.05.2020/51641"/>
    <hyperlink ref="D1859" r:id="rId2028" display="2020_05/27.05.2020/52960"/>
    <hyperlink ref="D1842" r:id="rId2029" display="2020_05/26.05.2020/49407"/>
    <hyperlink ref="D1812" r:id="rId2030" display="2020_05/26.05.2020/39363"/>
    <hyperlink ref="D1805" r:id="rId2031" display="2020_05/26.05.2020/38595"/>
    <hyperlink ref="D1802" r:id="rId2032" display="2020_05/25.05.2020/38345"/>
    <hyperlink ref="D1798" r:id="rId2033" display="2020_05/25.05.2020/37291"/>
    <hyperlink ref="D1641" r:id="rId2034" display="2020_05/13.05.2020/39265"/>
    <hyperlink ref="D1781" r:id="rId2035" display="2020_05/21.05.2020/46195"/>
    <hyperlink ref="D1832" r:id="rId2036" display="2020_05/25.05.2020/47816"/>
    <hyperlink ref="D1814" r:id="rId2037" display="2020_05/27.05.2020/39579"/>
    <hyperlink ref="D1852" r:id="rId2038" display="2020_05/27.05.2020/51255"/>
    <hyperlink ref="D1860" r:id="rId2039" display="2020_05/27.05.2020/53014"/>
    <hyperlink ref="D1858" r:id="rId2040" display="2020_05\27.05.2020\52759"/>
    <hyperlink ref="D1848" r:id="rId2041" display="2020_05/27.05.2020/50569"/>
    <hyperlink ref="D1787" r:id="rId2042" display="2020_05/21.05.2020/46465"/>
    <hyperlink ref="D1857" r:id="rId2043" display="2020_05/27.05.2020/52735"/>
    <hyperlink ref="D1856" r:id="rId2044" display="2020_05/27.05.2020/52628"/>
    <hyperlink ref="D1850" r:id="rId2045" display="2020_05/27.05.2020/50721"/>
    <hyperlink ref="D1849" r:id="rId2046" display="2020_05/27.05.2020/50590"/>
    <hyperlink ref="D1847" r:id="rId2047" display="2020_05/27.05.2020/50566"/>
    <hyperlink ref="D1846" r:id="rId2048" display="2020_05/27.05.2020/50558"/>
    <hyperlink ref="D1816" r:id="rId2049" display="2020_05/27.05.2020/39696"/>
    <hyperlink ref="D1810" r:id="rId2050" display="2020_05/27.05.2020/39155"/>
    <hyperlink ref="D1851" r:id="rId2051" display="2020_05/27.05.2020/50790"/>
    <hyperlink ref="D1854" r:id="rId2052" display="2020_05/27.05.2020/52244"/>
    <hyperlink ref="D1823" r:id="rId2053" display="2020_05\27.05.2020\40437"/>
    <hyperlink ref="D1872" r:id="rId2054" display="2020_05/27.05.2020/53695"/>
    <hyperlink ref="D1874" r:id="rId2055" display="2020_05/27.05.2020/53878"/>
    <hyperlink ref="D1861" r:id="rId2056" display="2020_05/27.05.2020/50206"/>
    <hyperlink ref="D1881" r:id="rId2057" display="2020_06/01.06.2020/59556"/>
    <hyperlink ref="D1880" r:id="rId2058" display="2020_06/01.06.2020/58256"/>
    <hyperlink ref="D1898" r:id="rId2059" display="2020_06/01.06.2020/59561"/>
    <hyperlink ref="D1915" r:id="rId2060" display="2020_06/01.06.2020/57008"/>
    <hyperlink ref="D1914" r:id="rId2061" display="2020_06/01.06.2020/54406"/>
    <hyperlink ref="D1903" r:id="rId2062" display="2020_06/01.06.2020/59665"/>
    <hyperlink ref="D1902" r:id="rId2063" display="2020_06\01.06.2020\59655"/>
    <hyperlink ref="D1901" r:id="rId2064" display="2020_06/01.06.2020/59650"/>
    <hyperlink ref="D1900" r:id="rId2065" display="2020_06/01.06.2020/59645"/>
    <hyperlink ref="D1899" r:id="rId2066" display="2020_06/01.06.2020/59596"/>
    <hyperlink ref="D1879" r:id="rId2067" display="2020_05/12.05.2020/49762"/>
    <hyperlink ref="D1626" r:id="rId2068" display="2020_05/20.05.2020/31967"/>
    <hyperlink ref="D1937" r:id="rId2069" display="2020_06\01.06.2020\62319"/>
    <hyperlink ref="D1938" r:id="rId2070" display="2020_06\01.06.2020\62325"/>
    <hyperlink ref="D1936" r:id="rId2071" display="2020_06/01.06.2020/62316"/>
    <hyperlink ref="D1667" r:id="rId2072" display="2020_05\19.05.2020\41968"/>
    <hyperlink ref="D1916" r:id="rId2073" display="2020_06/01.06.2020/57148"/>
    <hyperlink ref="D1949" r:id="rId2074" display="2020_06/01.06.2020/58078"/>
    <hyperlink ref="D1950" r:id="rId2075" display="2020_06/01.06.2020/58066"/>
    <hyperlink ref="D1913" r:id="rId2076" display="2020_06/01.06.2020/54288"/>
    <hyperlink ref="D1883" r:id="rId2077" display="2020_06/04.06.2020/42918"/>
    <hyperlink ref="D1882" r:id="rId2078" display="2020_06/04.06.2020/42226"/>
    <hyperlink ref="D1951" r:id="rId2079" display="2020_06/01.06.2020/60451"/>
    <hyperlink ref="D1952" r:id="rId2080" display="2020_06/01.06.2020/58117"/>
    <hyperlink ref="D1953" r:id="rId2081" display="2020_06/01.06.2020/60449"/>
    <hyperlink ref="D1930" r:id="rId2082" display="2020_06/01.06.2020/61583"/>
    <hyperlink ref="D1954" r:id="rId2083" display="2020_06/05.06.2020/43678"/>
    <hyperlink ref="D1917" r:id="rId2084" display="2020_06/01.06.2020/60838"/>
    <hyperlink ref="D1924" r:id="rId2085" display="2020_06/01.06.2020/61558"/>
    <hyperlink ref="D1884" r:id="rId2086" display="2020_06/05.06.2020/43135"/>
    <hyperlink ref="D1885" r:id="rId2087" display="2020_06/05.06.2020/43516"/>
    <hyperlink ref="D1944" r:id="rId2088" display="2020_06/01.06.2020/63258"/>
    <hyperlink ref="D1932" r:id="rId2089" display="2020_07/02.07.2020/61592"/>
    <hyperlink ref="D1929" r:id="rId2090" display="2020_06/01.06.2020/61581"/>
    <hyperlink ref="D1921" r:id="rId2091" display="2020_06/01.06.2020/60885"/>
    <hyperlink ref="D1920" r:id="rId2092" display="2020_06/01.06.2020/60876"/>
    <hyperlink ref="D1955" r:id="rId2093" display="2020_06/01.06.2020/60452"/>
    <hyperlink ref="D1827" r:id="rId2094" display="2020_05/28.05.2020/47198"/>
    <hyperlink ref="D1887" r:id="rId2095" display="2020_06/08.06.2020/44691"/>
    <hyperlink ref="D1886" r:id="rId2096" display="2020_06/08.06.2020/44626"/>
    <hyperlink ref="D1904" r:id="rId2097" display="2020_06/01.06.2020/51000"/>
    <hyperlink ref="D1906" r:id="rId2098" display="2020_06/01.06.2020/51128"/>
    <hyperlink ref="D1956" r:id="rId2099" display="2020_06/01.06.2020/60494"/>
    <hyperlink ref="D1926" r:id="rId2100" display="2020_06/16.06.2020/61570"/>
    <hyperlink ref="D1927" r:id="rId2101" display="2020_06\01.06.2020\61571"/>
    <hyperlink ref="D1905" r:id="rId2102" display="2020_06/01.06.2020/51103"/>
    <hyperlink ref="D1659" r:id="rId2103" display="2020_05/20.05.2020/41494"/>
    <hyperlink ref="D1635" r:id="rId2104" display="2020_05\29.05.2020\38146"/>
    <hyperlink ref="D1922" r:id="rId2105" display="2020_06/01.06.2020/60887"/>
    <hyperlink ref="D1957" r:id="rId2106" display="2020_06/01.06.2020/60485"/>
    <hyperlink ref="D1958" r:id="rId2107" display="2020_06/16.06.2020/50273"/>
    <hyperlink ref="D1919" r:id="rId2108" display="2020_06/01.06.2020/60872"/>
    <hyperlink ref="D1918" r:id="rId2109" display="2020_06/01.06.2020/60869"/>
    <hyperlink ref="D1911" r:id="rId2110" display="2020_06/01.06.2020/52326"/>
    <hyperlink ref="D1910" r:id="rId2111" display="2020_06/01.06.2020/51946"/>
    <hyperlink ref="D1908" r:id="rId2112" display="2020_06/01.06.2020/51313"/>
    <hyperlink ref="D1947" r:id="rId2113" display="2020_06/01.06.2020/63279"/>
    <hyperlink ref="D1935" r:id="rId2114" display="2020_06\01.06.2020\62315"/>
    <hyperlink ref="D1939" r:id="rId2115" display="2020_06/01.06.2020/62326"/>
    <hyperlink ref="D1959" r:id="rId2116" display="2020_05/27.05.2020/45846"/>
    <hyperlink ref="D1960" r:id="rId2117" display="2020_05\27.05.2020\47027"/>
    <hyperlink ref="D1933" r:id="rId2118" display="2020_06/01.06.2020/61593"/>
    <hyperlink ref="D1931" r:id="rId2119" display="2020_06/01.06.2020/61584"/>
    <hyperlink ref="D1928" r:id="rId2120" display="2020_06/01.06.2020/61574"/>
    <hyperlink ref="D2019" r:id="rId2121" display="2020_06/01.06.2020/64117"/>
    <hyperlink ref="D1962" r:id="rId2122" display="2020_06/01.06.2020/61016"/>
    <hyperlink ref="D1912" r:id="rId2123" display="2020_06/01.06.2020/52553"/>
    <hyperlink ref="D1945" r:id="rId2124" display="2020_06/01.06.2020/63264"/>
    <hyperlink ref="D2020" r:id="rId2125" display="2020_06/01.06.2020/63071"/>
    <hyperlink ref="D1963" r:id="rId2126" display="2020_06/02.06.2020/40373"/>
    <hyperlink ref="D1964" r:id="rId2127" display="2020_06/02.06.2020/40854"/>
    <hyperlink ref="D1966" r:id="rId2128" display="2020_06/02.06.2020/41284"/>
    <hyperlink ref="D1998" r:id="rId2129" display="2020_06/10.06.2020/45803"/>
    <hyperlink ref="D2008" r:id="rId2130" display="2020_06/10.06.2020/47413"/>
    <hyperlink ref="D1992" r:id="rId2131" display="2020_06/09.06.2020/45088"/>
    <hyperlink ref="D2000" r:id="rId2132" display="2020_06/09.06.2020/46385"/>
    <hyperlink ref="D1996" r:id="rId2133" display="2020_06/09.06.2020/45518"/>
    <hyperlink ref="D1977" r:id="rId2134" display="2020_06/05.06.2020/43132"/>
    <hyperlink ref="D1985" r:id="rId2135" display="2020_06/08.06.2020/44137"/>
    <hyperlink ref="D1934" r:id="rId2136" display="2020_06/01.06.2020/62314"/>
    <hyperlink ref="D1988" r:id="rId2137" display="2020_06\08.06.2020\44403"/>
    <hyperlink ref="D1987" r:id="rId2138" display="2020_06\08.06.2020\44269"/>
    <hyperlink ref="D1925" r:id="rId2139" display="2020_06/01.06.2020/61567"/>
    <hyperlink ref="D1969" r:id="rId2140" display="2020_06/04.06.2020/42241"/>
    <hyperlink ref="D1948" r:id="rId2141" display="2020_06/01.06.2020/63290"/>
    <hyperlink ref="D2021" r:id="rId2142" display="2020_06/01.06.2020/63223"/>
    <hyperlink ref="D1971" r:id="rId2143" display="2020_06/04.06.2020/42737"/>
    <hyperlink ref="D2022" r:id="rId2144" display="2020_06\01.06.2020\63959"/>
    <hyperlink ref="D1943" r:id="rId2145" display="2020_06/01.06.2020/63248"/>
    <hyperlink ref="D2018" r:id="rId2146" display="2020_06/15.06.2020/49561"/>
    <hyperlink ref="D1907" r:id="rId2147" display="2020_06/16.06.2020/51244"/>
    <hyperlink ref="D1968" r:id="rId2148" display="2020_06/03.06.2020/41414"/>
    <hyperlink ref="D1967" r:id="rId2149" display="2020_06/03.06.2020/41360"/>
    <hyperlink ref="D1965" r:id="rId2150" display="2020_06/03.06.2020/41114"/>
    <hyperlink ref="D1973" r:id="rId2151" display="2020_06/04.06.2020/42833"/>
    <hyperlink ref="D1970" r:id="rId2152" display="2020_06/04.06.2020/42634"/>
    <hyperlink ref="D1975" r:id="rId2153" display="2020_06/03.06.2020/42945"/>
    <hyperlink ref="D1923" r:id="rId2154" display="2020_06/01.06.2020/60897"/>
    <hyperlink ref="D2023" r:id="rId2155" display="2020_06\01.06.2020\64546"/>
    <hyperlink ref="D2024" r:id="rId2156" display="2020_06/01.06.2020/65041"/>
    <hyperlink ref="D2014" r:id="rId2157" display="2020_06/11.06.2020/48708"/>
    <hyperlink ref="D2025" r:id="rId2158" display="2020_06/01.06.2020/63387"/>
    <hyperlink ref="D2026" r:id="rId2159" display="2020_06/01.06.2020/63647"/>
    <hyperlink ref="D2012" r:id="rId2160" display="2020_06\11.06.2020\48054"/>
    <hyperlink ref="D1941" r:id="rId2161" display="2020_06/01.06.2020/62329"/>
    <hyperlink ref="D1976" r:id="rId2162" display="2020_06/04.06.2020/42991"/>
    <hyperlink ref="D1981" r:id="rId2163" display="2020_06/05.06.2020/43530"/>
    <hyperlink ref="D1989" r:id="rId2164" display="2020_06/08.06.2020/44519"/>
    <hyperlink ref="D1986" r:id="rId2165" display="2020_06/08.06.2020/44217"/>
    <hyperlink ref="D1984" r:id="rId2166" display="2020_06/08.06.2020/44071"/>
    <hyperlink ref="D1982" r:id="rId2167" display="2020_06/05.06.2020/43611"/>
    <hyperlink ref="D2017" r:id="rId2168" display="2020_06\15.06.2020\48985"/>
    <hyperlink ref="D2016" r:id="rId2169" display="2020_06/15.06.2020/48837"/>
    <hyperlink ref="D2009" r:id="rId2170" display="2020_06/10.06.2020/47478"/>
    <hyperlink ref="D2007" r:id="rId2171" display="2020_06/10.06.2020/47093"/>
    <hyperlink ref="D1995" r:id="rId2172" display="2020_06/09.06.2020/45478"/>
    <hyperlink ref="D1994" r:id="rId2173" display="2020_06/09.06.2020/45461"/>
    <hyperlink ref="D1773" r:id="rId2174" display="2020_05/25.05.2020/44788"/>
    <hyperlink ref="D1993" r:id="rId2175" display="2020_06/08.06.2020/45105"/>
    <hyperlink ref="D1979" r:id="rId2176" display="2020_06/05.06.2020/43359"/>
    <hyperlink ref="D1991" r:id="rId2177" display="2020_06/08.06.2020/44959"/>
    <hyperlink ref="D1983" r:id="rId2178" display="2020_06/05.06.2020/43650"/>
    <hyperlink ref="D1972" r:id="rId2179" display="2020_06/04.06.2020/42748"/>
    <hyperlink ref="D2006" r:id="rId2180" display="2020_06/09.06.2020/46767"/>
    <hyperlink ref="D2004" r:id="rId2181" display="2020_06/09.06.2020/46672"/>
    <hyperlink ref="D1997" r:id="rId2182" display="2020_06/09.06.2020/45598"/>
    <hyperlink ref="D1990" r:id="rId2183" display="2020_06/08.06.2020/44723"/>
    <hyperlink ref="D1980" r:id="rId2184" display="2020_06/05.06.2020/43508"/>
    <hyperlink ref="D1978" r:id="rId2185" display="2020_06\05.06.2020\43197"/>
    <hyperlink ref="D1974" r:id="rId2186" display="2020_06/04.06.2020/42939"/>
    <hyperlink ref="D1961" r:id="rId2187" display="2020_05/28.05.2020/47045"/>
    <hyperlink ref="D1890" r:id="rId2188" display="2020_06/16.06.2020/49289"/>
    <hyperlink ref="D1891" r:id="rId2189" display="2020_06/16.06.2020/49381"/>
    <hyperlink ref="D1889" r:id="rId2190" display="2020_06/16.06.2020/48966"/>
    <hyperlink ref="D1888" r:id="rId2191" display="2020_06/16.06.2020/48882"/>
    <hyperlink ref="D1893" r:id="rId2192" display="2020_06/16.06.2020/49432"/>
    <hyperlink ref="D1892" r:id="rId2193" display="2020_06/16.06.2020/49400"/>
    <hyperlink ref="D1894" r:id="rId2194" display="2020_06/16.06.2020/52546"/>
    <hyperlink ref="D1895" r:id="rId2195" display="2020_06/16.06.2020/52643"/>
    <hyperlink ref="D2002" r:id="rId2196" display="2020_06/09.06.2020/46486"/>
    <hyperlink ref="D2003" r:id="rId2197" display="2020_06/10.06.2020/46632"/>
    <hyperlink ref="D2005" r:id="rId2198" display="2020_06\10.06.2020\46679"/>
    <hyperlink ref="D2010" r:id="rId2199" display="2020_06/11.06.2020/47630"/>
    <hyperlink ref="D2013" r:id="rId2200" display="2020_06/11.06.2020/48255"/>
    <hyperlink ref="D2015" r:id="rId2201" display="2020_06/15.06.2020/48732"/>
    <hyperlink ref="D2001" r:id="rId2202" display="2020_06/10.06.2020/46468"/>
    <hyperlink ref="D1999" r:id="rId2203" display="2020_06/10.06.2020/46023"/>
    <hyperlink ref="D2011" r:id="rId2204" display="2020_06/11.06.2020/47788"/>
    <hyperlink ref="D2029" r:id="rId2205" display="2020_06/08.06.2020/44704"/>
    <hyperlink ref="D2031" r:id="rId2206" display="2020_06/09.06.2020/46237"/>
    <hyperlink ref="D2088" r:id="rId2207" display="2020_06/02.06.2020/66357"/>
    <hyperlink ref="D2075" r:id="rId2208" display="2020_06/01.06.2020/64402"/>
    <hyperlink ref="D2073" r:id="rId2209" display="2020_06/01.06.2020/63665"/>
    <hyperlink ref="D2038" r:id="rId2210" display="2020_06/11.06.2020/48368"/>
    <hyperlink ref="D2092" r:id="rId2211" display="2020_06/02.06.2020/66822"/>
    <hyperlink ref="D2039" r:id="rId2212" display="2020_06/11.06.2020/48433"/>
    <hyperlink ref="D2032" r:id="rId2213" display="2020_06\10.06.2020\46348"/>
    <hyperlink ref="D2030" r:id="rId2214" display="2020_06/10.06.2020/45911"/>
    <hyperlink ref="D2042" r:id="rId2215" display="2020_06/16.06.2020/50414"/>
    <hyperlink ref="D2040" r:id="rId2216" display="2020_06/15.06.2020/48618"/>
    <hyperlink ref="D2041" r:id="rId2217" display="2020_06/15.06.2020/49257"/>
    <hyperlink ref="D2036" r:id="rId2218" display="2020_06/11.06.2020/48079"/>
    <hyperlink ref="D2035" r:id="rId2219" display="2020_06/11.06.2020/47999"/>
    <hyperlink ref="D2033" r:id="rId2220" display="2020_06/11.06.2020/47097"/>
    <hyperlink ref="D2028" r:id="rId2221" display="2020_06/05.06.2020/43915"/>
    <hyperlink ref="D2079" r:id="rId2222" display="2020_06\01.06.2020\64985"/>
    <hyperlink ref="D2076" r:id="rId2223" display="2020_06\01.06.2020\64513"/>
    <hyperlink ref="D2086" r:id="rId2224" display="2020_06\03.06.2020\66295"/>
    <hyperlink ref="D2087" r:id="rId2225" display="2020_06/02.06.2020/66343"/>
    <hyperlink ref="D2070" r:id="rId2226" display="2020_06/01.06.2020/63092"/>
    <hyperlink ref="D2077" r:id="rId2227" display="2020_06\01.06.2020\64624"/>
    <hyperlink ref="D2091" r:id="rId2228" display="2020_06\03.06.2020\66688"/>
    <hyperlink ref="D2080" r:id="rId2229" display="2020_06/01.06.2020/65125"/>
    <hyperlink ref="D2078" r:id="rId2230" display="2020_06/01.06.2020/64655"/>
    <hyperlink ref="D2069" r:id="rId2231" display="2020_06/01.06.2020/63081"/>
    <hyperlink ref="D2094" r:id="rId2232" display="2020_06/03.06.2020/66985"/>
    <hyperlink ref="D2081" r:id="rId2233" display="2020_06/01.06.2020/65263"/>
    <hyperlink ref="D2074" r:id="rId2234" display="2020_06/01.06.2020/64135"/>
    <hyperlink ref="D2083" r:id="rId2235" display="2020_06/02.06.2020/65747"/>
    <hyperlink ref="D2085" r:id="rId2236" display="2020_06/02.06.2020/65916"/>
    <hyperlink ref="D2027" r:id="rId2237" display="2020_06\02.06.2020\35483"/>
    <hyperlink ref="D2089" r:id="rId2238" display="2020_06/02.06.2020/66437"/>
    <hyperlink ref="D2093" r:id="rId2239" display="2020_06/03.06.2020/66891"/>
    <hyperlink ref="D2090" r:id="rId2240" display="2020_06/03.06.2020/66477"/>
    <hyperlink ref="D2072" r:id="rId2241" display="2020_06/01.06.2020/63638"/>
    <hyperlink ref="D2084" r:id="rId2242" display="2020_06/02.06.2020/65780"/>
    <hyperlink ref="D2071" r:id="rId2243" display="2020_06/01.06.2020/63537"/>
    <hyperlink ref="D2065" r:id="rId2244" display="2020_06/16.06.2020/60878"/>
    <hyperlink ref="D2050" r:id="rId2245" display="2020_06/16.06.2020/51911"/>
    <hyperlink ref="D2049" r:id="rId2246" display="2020_06/16.06.2020/51559"/>
    <hyperlink ref="D2048" r:id="rId2247" display="2020_06/16.06.2020/51286"/>
    <hyperlink ref="D2047" r:id="rId2248" display="2020_06/16.06.2020/51011"/>
    <hyperlink ref="D2037" r:id="rId2249" display="2020_06\15.06.2020\48257"/>
    <hyperlink ref="D2051" r:id="rId2250" display="2020_06\16.06.2020\51945"/>
    <hyperlink ref="D2082" r:id="rId2251" display="2020_06/01.06.2020/65343"/>
    <hyperlink ref="D1942" r:id="rId2252" display="2020_06/01.06.2020/62336"/>
    <hyperlink ref="D2068" r:id="rId2253" display="2020_06\01.06.2020\62323"/>
    <hyperlink ref="D2057" r:id="rId2254" display="2020_06/16.06.2020/54449"/>
    <hyperlink ref="D2059" r:id="rId2255" display="2020_06/16.06.2020/56968"/>
    <hyperlink ref="D2066" r:id="rId2256" display="2020_06/16.06.2020/61569"/>
    <hyperlink ref="D2053" r:id="rId2257" display="2020_06/16.06.2020/52371"/>
    <hyperlink ref="D2046" r:id="rId2258" display="2020_06/16.06.2020/50808"/>
    <hyperlink ref="D2045" r:id="rId2259" display="2020_06/16.06.2020/50682"/>
    <hyperlink ref="D2044" r:id="rId2260" display="2020_06/16.06.2020/50675"/>
    <hyperlink ref="D2043" r:id="rId2261" display="2020_06/16.06.2020/50466"/>
    <hyperlink ref="D2067" r:id="rId2262" display="2020_06/16.06.2020/61579"/>
    <hyperlink ref="D2064" r:id="rId2263" display="2020_06/16.06.2020/59638"/>
    <hyperlink ref="D2060" r:id="rId2264" display="2020_06\16.06.2020\58170"/>
    <hyperlink ref="D2061" r:id="rId2265" display="2020_06/16.06.2020/58192"/>
    <hyperlink ref="D2062" r:id="rId2266" display="2020_06/16.06.2020/59599"/>
    <hyperlink ref="D2058" r:id="rId2267" display="2020_06/16.06.2020/54844"/>
    <hyperlink ref="D2055" r:id="rId2268" display="2020_06/16.06.2020/52514"/>
    <hyperlink ref="D2063" r:id="rId2269" display="2020_06/16.06.2020/59637"/>
    <hyperlink ref="D2054" r:id="rId2270" display="2020_06/16.06.2020/52431"/>
    <hyperlink ref="D2056" r:id="rId2271" display="2020_06/16.06.2020/52630"/>
    <hyperlink ref="D2052" r:id="rId2272" display="2020_06/16.06.2020/52066"/>
    <hyperlink ref="D2112" r:id="rId2273" display="2020_06/16.06.2020/51374"/>
    <hyperlink ref="D2111" r:id="rId2274" display="2020_06/16.06.2020/51354"/>
    <hyperlink ref="D2110" r:id="rId2275" display="2020_06/16.06.2020/51342"/>
    <hyperlink ref="D2109" r:id="rId2276" display="2020_06/16.06.2020/51066"/>
    <hyperlink ref="D2108" r:id="rId2277" display="2020_06/16.06.2020/50930"/>
    <hyperlink ref="D2183" r:id="rId2278" display="2020_06/04.06.2020/67330"/>
    <hyperlink ref="D2107" r:id="rId2279" display="2020_06/16.06.2020/50780"/>
    <hyperlink ref="D2106" r:id="rId2280" display="2020_06/16.06.2020/50760"/>
    <hyperlink ref="D2105" r:id="rId2281" display="2020_06/16.06.2020/50751"/>
    <hyperlink ref="D2103" r:id="rId2282" display="2020_06/16.06.2020/50640"/>
    <hyperlink ref="D2132" r:id="rId2283" display="2020_06/16.06.2020/54636"/>
    <hyperlink ref="D2129" r:id="rId2284" display="2020_06/16.06.2020/54143"/>
    <hyperlink ref="D2100" r:id="rId2285" display="2020_06/15.06.2020/48885"/>
    <hyperlink ref="D2192" r:id="rId2286" display="2020_06/08.06.2020/68665"/>
    <hyperlink ref="D2193" r:id="rId2287" display="2020_06/05.06.2020/68697"/>
    <hyperlink ref="D2095" r:id="rId2288" display="2020_06/09.06.2020/36681"/>
    <hyperlink ref="D2147" r:id="rId2289" display="2020_06/16.06.2020/57041"/>
    <hyperlink ref="D2196" r:id="rId2290" display="2020_06/08.06.2020/69274"/>
    <hyperlink ref="D2169" r:id="rId2291" display="2020_06/16.06.2020/61559"/>
    <hyperlink ref="D2173" r:id="rId2292" display="2020_06/16.06.2020/61587"/>
    <hyperlink ref="D2171" r:id="rId2293" display="2020_06/16.06.2020/61565"/>
    <hyperlink ref="D2148" r:id="rId2294" display="2020_06/16.06.2020/57133"/>
    <hyperlink ref="D2172" r:id="rId2295" display="2020_06/16.06.2020/61575"/>
    <hyperlink ref="D2104" r:id="rId2296" display="2020_06/16.06.2020/50647"/>
    <hyperlink ref="D2130" r:id="rId2297" display="2020_06/16.06.2020/54172"/>
    <hyperlink ref="D2176" r:id="rId2298" display="2020_06/02.06.2020/66330"/>
    <hyperlink ref="D2175" r:id="rId2299" display="2020_06/01.06.2020/64121"/>
    <hyperlink ref="D1940" r:id="rId2300" display="2020_06/01.06.2020/62327"/>
    <hyperlink ref="D2187" r:id="rId2301" display="2020_06/04.06.2020/67623"/>
    <hyperlink ref="D2128" r:id="rId2302" display="2020_06/16.06.2020/54008"/>
    <hyperlink ref="D2182" r:id="rId2303" display="2020_06/03.06.2020/67306"/>
    <hyperlink ref="D2131" r:id="rId2304" display="2020_06/16.06.2020/54396"/>
    <hyperlink ref="D2163" r:id="rId2305" display="2020_06/01.06.2020/60880"/>
    <hyperlink ref="D2127" r:id="rId2306" display="2020_06/16.06.2020/54005"/>
    <hyperlink ref="D2125" r:id="rId2307" display="2020_06/16.06.2020/53596"/>
    <hyperlink ref="D2124" r:id="rId2308" display="2020_06/16.06.2020/53573"/>
    <hyperlink ref="D2123" r:id="rId2309" display="2020_06/16.06.2020/53377"/>
    <hyperlink ref="D2120" r:id="rId2310" display="2020_06/16.06.2020/52667"/>
    <hyperlink ref="D2138" r:id="rId2311" display="2020_06/16.06.2020/56556"/>
    <hyperlink ref="D2099" r:id="rId2312" display="2020_06\15.06.2020\48201"/>
    <hyperlink ref="D2102" r:id="rId2313" display="2020_06/15.06.2020/49065"/>
    <hyperlink ref="D2151" r:id="rId2314" display="2020_06/16.06.2020/59641"/>
    <hyperlink ref="D2153" r:id="rId2315" display="2020_06/16.06.2020/59649"/>
    <hyperlink ref="D2149" r:id="rId2316" display="2020_06/16.06.2020/58263"/>
    <hyperlink ref="D2150" r:id="rId2317" display="2020_06/16.06.2020/59600"/>
    <hyperlink ref="D2134" r:id="rId2318" display="2020_06/16.06.2020/54874"/>
    <hyperlink ref="D2177" r:id="rId2319" display="2020_06/02.06.2020/66713"/>
    <hyperlink ref="D2170" r:id="rId2320" display="2020_06/16.06.2020/61560"/>
    <hyperlink ref="D2117" r:id="rId2321" display="2020_06/16.06.2020/51761"/>
    <hyperlink ref="D2189" r:id="rId2322" display="2020_06/05.06.2020/67804"/>
    <hyperlink ref="D2178" r:id="rId2323" display="2020_06/02.06.2020/66747"/>
    <hyperlink ref="D2179" r:id="rId2324" display="2020_06\03.06.2020\66752"/>
    <hyperlink ref="D2184" r:id="rId2325" display="2020_06/04.06.2020/67380"/>
    <hyperlink ref="D2098" r:id="rId2326" display="2020_06/04.06.2020/42667"/>
    <hyperlink ref="D2144" r:id="rId2327" display="2020_06/16.06.2020/56709"/>
    <hyperlink ref="D2154" r:id="rId2328" display="2020_06/16.06.2020/59651"/>
    <hyperlink ref="D2141" r:id="rId2329" display="2020_06/16.06.2020/56661"/>
    <hyperlink ref="D2155" r:id="rId2330" display="2020_06/16.06.2020/59653"/>
    <hyperlink ref="D2161" r:id="rId2331" display="2020_06\16.06.2020\60870"/>
    <hyperlink ref="D2158" r:id="rId2332" display="2020_06/16.06.2020/59661"/>
    <hyperlink ref="D2160" r:id="rId2333" display="2020_06/16.06.2020/60719"/>
    <hyperlink ref="D2115" r:id="rId2334" display="2020_06/16.06.2020/51607"/>
    <hyperlink ref="D2114" r:id="rId2335" display="2020_06/16.06.2020/51548"/>
    <hyperlink ref="D2152" r:id="rId2336" display="2020_06/16.06.2020/59646"/>
    <hyperlink ref="D2113" r:id="rId2337" display="2020_06/16.06.2020/51502"/>
    <hyperlink ref="D2206" r:id="rId2338" display="2020_06/10.06.2020/71207"/>
    <hyperlink ref="D2202" r:id="rId2339" display="2020_06/10.06.2020/70450"/>
    <hyperlink ref="D2180" r:id="rId2340" display="2020_06/04.06.2020/67226"/>
    <hyperlink ref="D2119" r:id="rId2341" display="2020_06/16.06.2020/52029"/>
    <hyperlink ref="D2118" r:id="rId2342" display="2020_06/16.06.2020/51857"/>
    <hyperlink ref="D2116" r:id="rId2343" display="2020_06/16.06.2020/51610"/>
    <hyperlink ref="D2162" r:id="rId2344" display="2020_06/16.06.2020/60873"/>
    <hyperlink ref="D2166" r:id="rId2345" display="2020_06/16.06.2020/60889"/>
    <hyperlink ref="D2157" r:id="rId2346" display="2020_06/16.06.2020/59660"/>
    <hyperlink ref="D2159" r:id="rId2347" display="2020_06/16.06.2020/59663"/>
    <hyperlink ref="D2165" r:id="rId2348" display="2020_06/16.06.2020/60883"/>
    <hyperlink ref="D2164" r:id="rId2349" display="2020_06/16.06.2020/60881"/>
    <hyperlink ref="D2121" r:id="rId2350" display="2020_06/16.06.2020/52845"/>
    <hyperlink ref="D2188" r:id="rId2351" display="2020_06/04.06.2020/67731"/>
    <hyperlink ref="D2209" r:id="rId2352" display="2020_06/16.06.2020/61347"/>
    <hyperlink ref="D2143" r:id="rId2353" display="2020_06\16.06.2020\56667"/>
    <hyperlink ref="D2168" r:id="rId2354" display="2020_06/16.06.2020/60898"/>
    <hyperlink ref="D2167" r:id="rId2355" display="2020_06/16.06.2020/60890"/>
    <hyperlink ref="D2096" r:id="rId2356" display="2020_06/02.06.2020/40741"/>
    <hyperlink ref="D2208" r:id="rId2357" display="2020_06/11.06.2020/72062"/>
    <hyperlink ref="D2204" r:id="rId2358" display="2020_06/10.06.2020/70635"/>
    <hyperlink ref="D2205" r:id="rId2359" display="2020_06/10.06.2020/70757"/>
    <hyperlink ref="D2203" r:id="rId2360" display="2020_06/09.06.2020/70502"/>
    <hyperlink ref="D2201" r:id="rId2361" display="2020_06/10.06.2020/70287"/>
    <hyperlink ref="D1896" r:id="rId2362" display="2020_06\01.06.2020\56206"/>
    <hyperlink ref="D2097" r:id="rId2363" display="2020_06/04.06.2020/42475"/>
    <hyperlink ref="D2185" r:id="rId2364" display="2020_06/04.06.2020/67448"/>
    <hyperlink ref="D2101" r:id="rId2365" display="2020_06/16.06.2020/48933"/>
    <hyperlink ref="D2210" r:id="rId2366" display="2020_06/16.06.2020/55939"/>
    <hyperlink ref="D2194" r:id="rId2367" display="2020_06/08.06.2020/68699"/>
    <hyperlink ref="D2156" r:id="rId2368" display="2020_06/16.06.2020/59659"/>
    <hyperlink ref="D2197" r:id="rId2369" display="2020_06\09.06.2020\69441"/>
    <hyperlink ref="D2195" r:id="rId2370" display="2020_06\05.06.2020\68777"/>
    <hyperlink ref="D2200" r:id="rId2371" display="2020_06/09.06.2020/70036"/>
    <hyperlink ref="D2145" r:id="rId2372" display="2020_06/16.06.2020/56754"/>
    <hyperlink ref="D2142" r:id="rId2373" display="2020_06/16.06.2020/56662"/>
    <hyperlink ref="D2146" r:id="rId2374" display="2020_06/16.06.2020/56897"/>
    <hyperlink ref="D2140" r:id="rId2375" display="2020_06/16.06.2020/56627"/>
    <hyperlink ref="D2139" r:id="rId2376" display="2020_06/16.06.2020/56574"/>
    <hyperlink ref="D2137" r:id="rId2377" display="2020_06/16.06.2020/56549"/>
    <hyperlink ref="D2136" r:id="rId2378" display="2020_06/16.06.2020/54955"/>
    <hyperlink ref="D2135" r:id="rId2379" display="2020_06/16.06.2020/54952"/>
    <hyperlink ref="D2133" r:id="rId2380" display="2020_06/16.06.2020/54770"/>
    <hyperlink ref="D2122" r:id="rId2381" display="2020_06/16.06.2020/53048"/>
    <hyperlink ref="D2190" r:id="rId2382" display="2020_06/08.06.2020/68401"/>
    <hyperlink ref="D2191" r:id="rId2383" display="2020_06/08.06.2020/68461"/>
    <hyperlink ref="D2207" r:id="rId2384" display="2020_06/10.06.2020/71325"/>
    <hyperlink ref="D2222" r:id="rId2385" display="2020_06/16.06.2020/52281"/>
    <hyperlink ref="D2233" r:id="rId2386" display="2020_06/16.06.2020/54679"/>
    <hyperlink ref="D2242" r:id="rId2387" display="2020_06/16.06.2020/56566"/>
    <hyperlink ref="D2236" r:id="rId2388" display="2020_06/16.06.2020/54809"/>
    <hyperlink ref="D2240" r:id="rId2389" display="2020_06/16.06.2020/55190"/>
    <hyperlink ref="D2243" r:id="rId2390" display="2020_06/16.06.2020/56585"/>
    <hyperlink ref="D2244" r:id="rId2391" display="2020_06\16.06.2020\56763"/>
    <hyperlink ref="D2248" r:id="rId2392" display="2020_06/16.06.2020/57094"/>
    <hyperlink ref="D2261" r:id="rId2393" display="2020_06/16.06.2020/62334"/>
    <hyperlink ref="D2226" r:id="rId2394" display="2020_06/16.06.2020/53244"/>
    <hyperlink ref="D2229" r:id="rId2395" display="2020_06/16.06.2020/53938"/>
    <hyperlink ref="D2199" r:id="rId2396" display="2020_06/08.06.2020/69868"/>
    <hyperlink ref="D2230" r:id="rId2397" display="2020_06/16.06.2020/54058"/>
    <hyperlink ref="D2235" r:id="rId2398" display="2020_06/16.06.2020/54766"/>
    <hyperlink ref="D2186" r:id="rId2399" display="2020_06\04.06.2020\67611"/>
    <hyperlink ref="D2317" r:id="rId2400" display="2020_06/08.06.2020/68965"/>
    <hyperlink ref="D2318" r:id="rId2401" display="2020_06/08.06.2020/69043"/>
    <hyperlink ref="D2319" r:id="rId2402" display="2020_06/08.06.2020/69183"/>
    <hyperlink ref="D2198" r:id="rId2403" display="2020_06/09.06.2020/69628"/>
    <hyperlink ref="D2321" r:id="rId2404" display="2020_06/09.06.2020/69860"/>
    <hyperlink ref="D2320" r:id="rId2405" display="2020_06/09.06.2020/69265"/>
    <hyperlink ref="D2324" r:id="rId2406" display="2020_06/11.06.2020/71909"/>
    <hyperlink ref="D2259" r:id="rId2407" display="2020_06/16.06.2020/62312"/>
    <hyperlink ref="D2238" r:id="rId2408" display="2020_06/16.06.2020/54981"/>
    <hyperlink ref="D2215" r:id="rId2409" display="2020_06/16.06.2020/51376"/>
    <hyperlink ref="D2328" r:id="rId2410" display="2020_06/15.06.2020/72249"/>
    <hyperlink ref="D2326" r:id="rId2411" display="2020_06/15.06.2020/72146"/>
    <hyperlink ref="D2241" r:id="rId2412" display="2020_06/16.06.2020/56552"/>
    <hyperlink ref="D2216" r:id="rId2413" display="2020_06/16.06.2020/51528"/>
    <hyperlink ref="D2257" r:id="rId2414" display="2020_06/16.06.2020/61576"/>
    <hyperlink ref="D2255" r:id="rId2415" display="2020_06/16.06.2020/61563"/>
    <hyperlink ref="D2258" r:id="rId2416" display="2020_06/16.06.2020/61590"/>
    <hyperlink ref="D2280" r:id="rId2417" display="2020_06/16.06.2020/64467"/>
    <hyperlink ref="D2246" r:id="rId2418" display="2020_06/16.06.2020/56899"/>
    <hyperlink ref="D2265" r:id="rId2419" display="2020_06/16.06.2020/63120"/>
    <hyperlink ref="D2249" r:id="rId2420" display="2020_06/16.06.2020/60666"/>
    <hyperlink ref="D2277" r:id="rId2421" display="2020_06/16.06.2020/64445"/>
    <hyperlink ref="D2219" r:id="rId2422" display="2020_06/16.06.2020/51776"/>
    <hyperlink ref="D2245" r:id="rId2423" display="2020_06/16.06.2020/56822"/>
    <hyperlink ref="D2282" r:id="rId2424" display="2020_06/16.06.2020/64574"/>
    <hyperlink ref="D2272" r:id="rId2425" display="2020_06/16.06.2020/64111"/>
    <hyperlink ref="D2340" r:id="rId2426" display="2020_06/18.06.2020/74018"/>
    <hyperlink ref="D2322" r:id="rId2427" display="2020_06/10.06.2020/70525"/>
    <hyperlink ref="D2325" r:id="rId2428" display="2020_06/15.06.2020/72042"/>
    <hyperlink ref="D2234" r:id="rId2429" display="2020_06\16.06.2020\54757"/>
    <hyperlink ref="D2283" r:id="rId2430" display="2020_06/16.06.2020/64630"/>
    <hyperlink ref="D2334" r:id="rId2431" display="2020_06/16.06.2020/73330"/>
    <hyperlink ref="D2335" r:id="rId2432" display="2020_06/16.06.2020/73372"/>
    <hyperlink ref="D2289" r:id="rId2433" display="2020_06/16.06.2020/65227"/>
    <hyperlink ref="D2274" r:id="rId2434" display="2020_06/16.06.2020/64165"/>
    <hyperlink ref="D2294" r:id="rId2435" display="2020_06/16.06.2020/65439"/>
    <hyperlink ref="D2290" r:id="rId2436" display="2020_06/16.06.2020/65280"/>
    <hyperlink ref="D2295" r:id="rId2437" display="2020_06/16.06.2020/65531"/>
    <hyperlink ref="D2296" r:id="rId2438" display="2020_06/16.06.2020/65624"/>
    <hyperlink ref="D2287" r:id="rId2439" display="2020_06/16.06.2020/64887"/>
    <hyperlink ref="D2291" r:id="rId2440" display="2020_06/16.06.2020/65281"/>
    <hyperlink ref="D2174" r:id="rId2441" display="2020_06/16.06.2020/62932"/>
    <hyperlink ref="D2266" r:id="rId2442" display="2020_06/16.06.2020/63339"/>
    <hyperlink ref="D2281" r:id="rId2443" display="2020_06/16.06.2020/64468"/>
    <hyperlink ref="D2331" r:id="rId2444" display="2020_06/16.06.2020/72922"/>
    <hyperlink ref="D2298" r:id="rId2445" display="2020_06/16.06.2020/65714"/>
    <hyperlink ref="D2329" r:id="rId2446" display="2020_06/16.06.2020/72524"/>
    <hyperlink ref="D2267" r:id="rId2447" display="2020_06/16.06.2020/63424"/>
    <hyperlink ref="D2268" r:id="rId2448" display="2020_06/16.06.2020/63652"/>
    <hyperlink ref="D2307" r:id="rId2449" display="2020_06/17.06.2020/66732"/>
    <hyperlink ref="D2305" r:id="rId2450" display="2020_06/17.06.2020/66595"/>
    <hyperlink ref="D2327" r:id="rId2451" display="2020_06/15.06.2020/72222"/>
    <hyperlink ref="D2231" r:id="rId2452" display="2020_06/16.06.2020/54141"/>
    <hyperlink ref="D2225" r:id="rId2453" display="2020_06/16.06.2020/52963"/>
    <hyperlink ref="D2227" r:id="rId2454" display="2020_06/16.06.2020/53274"/>
    <hyperlink ref="D2237" r:id="rId2455" display="2020_06/16.06.2020/54896"/>
    <hyperlink ref="D2223" r:id="rId2456" display="2020_06/16.06.2020/52642"/>
    <hyperlink ref="D2239" r:id="rId2457" display="2020_06/16.06.2020/55114"/>
    <hyperlink ref="D2250" r:id="rId2458" display="2020_06/16.06.2020/60871"/>
    <hyperlink ref="D2251" r:id="rId2459" display="2020_06/16.06.2020/60893"/>
    <hyperlink ref="D2253" r:id="rId2460" display="2020_06/16.06.2020/60896"/>
    <hyperlink ref="D2273" r:id="rId2461" display="2020_06/16.06.2020/64132"/>
    <hyperlink ref="D2275" r:id="rId2462" display="2020_06/16.06.2020/64252"/>
    <hyperlink ref="D2288" r:id="rId2463" display="2020_06/16.06.2020/64969"/>
    <hyperlink ref="D2299" r:id="rId2464" display="2020_06/16.06.2020/65725"/>
    <hyperlink ref="D2224" r:id="rId2465" display="2020_06/16.06.2020/52897"/>
    <hyperlink ref="D2214" r:id="rId2466" display="2020_06/16.06.2020/51305"/>
    <hyperlink ref="D2218" r:id="rId2467" display="2020_06/16.06.2020/51653"/>
    <hyperlink ref="D2220" r:id="rId2468" display="2020_06/16.06.2020/51869"/>
    <hyperlink ref="D2221" r:id="rId2469" display="2020_06/16.06.2020/52050"/>
    <hyperlink ref="D2217" r:id="rId2470" display="2020_06\16.06.2020\51573"/>
    <hyperlink ref="D2212" r:id="rId2471" display="2020_06/16.06.2020/51062"/>
    <hyperlink ref="D2213" r:id="rId2472" display="2020_06/16.06.2020/51192"/>
    <hyperlink ref="D2211" r:id="rId2473" display="2020_06/18.06.2020/45813"/>
    <hyperlink ref="D2308" r:id="rId2474" display="2020_06/18.06.2020/66828"/>
    <hyperlink ref="D2303" r:id="rId2475" display="2020_06/18.06.2020/66572"/>
    <hyperlink ref="D2270" r:id="rId2476" display="2020_06/16.06.2020/63891"/>
    <hyperlink ref="D2330" r:id="rId2477" display="2020_06/16.06.2020/72874"/>
    <hyperlink ref="D2323" r:id="rId2478" display="2020_06/10.06.2020/71117"/>
    <hyperlink ref="D2333" r:id="rId2479" display="2020_06\16.06.2020\73301"/>
    <hyperlink ref="D2332" r:id="rId2480" display="2020_06/16.06.2020/73042"/>
    <hyperlink ref="D2279" r:id="rId2481" display="2020_06/16.06.2020/64461"/>
    <hyperlink ref="D2292" r:id="rId2482" display="2020_06/16.06.2020/65337"/>
    <hyperlink ref="D2247" r:id="rId2483" display="2020_06/16.06.2020/56948"/>
    <hyperlink ref="D2300" r:id="rId2484" display="2020_06/17.06.2020/65970"/>
    <hyperlink ref="D2341" r:id="rId2485" display="2020_06/17.06.2020/74094"/>
    <hyperlink ref="D2349" r:id="rId2486" display="2020_06/17.06.2020/66188"/>
    <hyperlink ref="D2342" r:id="rId2487" display="2020_06/17.06.2020/74158"/>
    <hyperlink ref="D2348" r:id="rId2488" display="2020_06/16.06.2020/65563"/>
    <hyperlink ref="D2278" r:id="rId2489" display="2020_06/16.06.2020/64455"/>
    <hyperlink ref="D2293" r:id="rId2490" display="2020_06/16.06.2020/65428"/>
    <hyperlink ref="D2297" r:id="rId2491" display="2020_06/16.06.2020/65630"/>
    <hyperlink ref="D2271" r:id="rId2492" display="2020_06/16.06.2020/64052"/>
    <hyperlink ref="D2256" r:id="rId2493" display="2020_06/16.06.2020/61568"/>
    <hyperlink ref="D2301" r:id="rId2494" display="2020_06/17.06.2020/66365"/>
    <hyperlink ref="D2302" r:id="rId2495" display="2020_06/17.06.2020/66475"/>
    <hyperlink ref="D2304" r:id="rId2496" display="2020_06/18.06.2020/66581"/>
    <hyperlink ref="D2269" r:id="rId2497" display="2020_06/16.06.2020/63882"/>
    <hyperlink ref="D2276" r:id="rId2498" display="2020_06/16.06.2020/64321"/>
    <hyperlink ref="D2252" r:id="rId2499" display="2020_06/16.06.2020/60895"/>
    <hyperlink ref="D2254" r:id="rId2500" display="2020_06/16.06.2020/61349"/>
    <hyperlink ref="D2284" r:id="rId2501" display="2020_06/16.06.2020/64680"/>
    <hyperlink ref="D2264" r:id="rId2502" display="2020_06/16.06.2020/62635"/>
    <hyperlink ref="D2263" r:id="rId2503" display="2020_06/16.06.2020/62633"/>
    <hyperlink ref="D2286" r:id="rId2504" display="2020_06\16.06.2020\64821"/>
    <hyperlink ref="D2309" r:id="rId2505" display="2020_06/17.06.2020/66870"/>
    <hyperlink ref="D2336" r:id="rId2506" display="2020_06/17.06.2020/73464"/>
    <hyperlink ref="D2339" r:id="rId2507" display="2020_06/17.06.2020/73905"/>
    <hyperlink ref="D2311" r:id="rId2508" display="2020_06/18.06.2020/67103"/>
    <hyperlink ref="D2344" r:id="rId2509" display="2020_06/19.06.2020/74724"/>
    <hyperlink ref="D2314" r:id="rId2510" display="2020_06/19.06.2020/67728"/>
    <hyperlink ref="D2346" r:id="rId2511" display="2020_06/19.06.2020/75423"/>
    <hyperlink ref="D2347" r:id="rId2512" display="2020_06\16.06.2020\65328"/>
    <hyperlink ref="D2262" r:id="rId2513" display="2020_06/16.06.2020/62628"/>
    <hyperlink ref="D2337" r:id="rId2514" display="2020_07/06.07.2020/73868"/>
    <hyperlink ref="D2313" r:id="rId2515" display="2020_06/19.06.2020/67692"/>
    <hyperlink ref="D2310" r:id="rId2516" display="2020_06/18.06.2020/67063"/>
    <hyperlink ref="D2343" r:id="rId2517" display="2020_06/18.06.2020/74402"/>
    <hyperlink ref="D2345" r:id="rId2518" display="2020_06/19.06.2020/74811"/>
    <hyperlink ref="D2315" r:id="rId2519" display="2020_06/19.06.2020/67807"/>
    <hyperlink ref="D2316" r:id="rId2520" display="2020_06/19.06.2020/67823"/>
    <hyperlink ref="D2232" r:id="rId2521" display="2020_06\16.06.2020\54529"/>
    <hyperlink ref="D2228" r:id="rId2522" display="2020_06/16.06.2020/53898"/>
    <hyperlink ref="D2306" r:id="rId2523" display="2020_06/18.06.2020/66723"/>
    <hyperlink ref="D2312" r:id="rId2524" display="2020_06/18.06.2020/67139"/>
    <hyperlink ref="D2285" r:id="rId2525" display="2020_06/16.06.2020/64780"/>
    <hyperlink ref="D2260" r:id="rId2526" display="2020_06/16.06.2020/62324"/>
    <hyperlink ref="D2338" r:id="rId2527" display="2020_06/17.06.2020/73882"/>
    <hyperlink ref="D2358" r:id="rId2528" display="2020_06/16.06.2020/62335"/>
    <hyperlink ref="D2362" r:id="rId2529" display="2020_06/19.06.2020/67335"/>
    <hyperlink ref="D2181" r:id="rId2530" display="2020_06/19.06.2020/67277"/>
    <hyperlink ref="D2381" r:id="rId2531" display="2020_06/11.06.2020/71846"/>
    <hyperlink ref="D2382" r:id="rId2532" display="2020_06/16.06.2020/73750"/>
    <hyperlink ref="D2376" r:id="rId2533" display="2020_06/22.06.2020/68904"/>
    <hyperlink ref="D2386" r:id="rId2534" display="2020_06/22.06.2020/75506"/>
    <hyperlink ref="D2387" r:id="rId2535" display="2020_06/22.06.2020/75631"/>
    <hyperlink ref="D2377" r:id="rId2536" display="2020_06/23.06.2020/69016"/>
    <hyperlink ref="D2374" r:id="rId2537" display="2020_06/23.06.2020/68443"/>
    <hyperlink ref="D2365" r:id="rId2538" display="2020_06/19.06.2020/67740"/>
    <hyperlink ref="D2351" r:id="rId2539" display="2020_06/22.06.2020/48169"/>
    <hyperlink ref="D2357" r:id="rId2540" display="2020_06/16.06.2020/62333"/>
    <hyperlink ref="D2384" r:id="rId2541" display="2020_06/19.06.2020/75046"/>
    <hyperlink ref="D2367" r:id="rId2542" display="2020_06/22.06.2020/67938"/>
    <hyperlink ref="D2368" r:id="rId2543" display="2020_06/22.06.2020/67971"/>
    <hyperlink ref="D2388" r:id="rId2544" display="2020_06/22.06.2020/75715"/>
    <hyperlink ref="D2370" r:id="rId2545" display="2020_06/22.06.2020/67989"/>
    <hyperlink ref="D2373" r:id="rId2546" display="2020_06/22.06.2020/68257"/>
    <hyperlink ref="D2385" r:id="rId2547" display="2020_06/22.06.2020/75467"/>
    <hyperlink ref="D2372" r:id="rId2548" display="2020_06/22.06.2020/68226"/>
    <hyperlink ref="D2375" r:id="rId2549" display="2020_06/22.06.2020/68722"/>
    <hyperlink ref="D2394" r:id="rId2550" display="2020_06/23.06.2020/77731"/>
    <hyperlink ref="D2393" r:id="rId2551" display="2020_06/23.06.2020/77636"/>
    <hyperlink ref="D2378" r:id="rId2552" display="2020_06/23.06.2020/69042"/>
    <hyperlink ref="D2353" r:id="rId2553" display="2020_06/23.06.2020/55183"/>
    <hyperlink ref="D2391" r:id="rId2554" display="2020_06/23.06.2020/76939"/>
    <hyperlink ref="D2392" r:id="rId2555" display="2020_06/23.06.2020/77173"/>
    <hyperlink ref="D2352" r:id="rId2556" display="2020_06/23.06.2020/50256"/>
    <hyperlink ref="D2379" r:id="rId2557" display="2020_06/23.06.2020/69190"/>
    <hyperlink ref="D2390" r:id="rId2558" display="2020_06/23.06.2020/76852"/>
    <hyperlink ref="D2360" r:id="rId2559" display="2020_06/17.06.2020/66416"/>
    <hyperlink ref="D2389" r:id="rId2560" display="2020_06/23.06.2020/76814"/>
    <hyperlink ref="D2363" r:id="rId2561" display="2020_06/19.06.2020/67343"/>
    <hyperlink ref="D2371" r:id="rId2562" display="2020_06/19.06.2020/68144"/>
    <hyperlink ref="D2364" r:id="rId2563" display="2020_06/18.06.2020/67486"/>
    <hyperlink ref="D2361" r:id="rId2564" display="2020_06/18.06.2020/67062"/>
    <hyperlink ref="D2350" r:id="rId2565" display="2020_06/19.06.2020/37752"/>
    <hyperlink ref="D2383" r:id="rId2566" display="2020_06\19.06.2020\74864"/>
    <hyperlink ref="D2366" r:id="rId2567" display="2020_06/22.06.2020/67747"/>
    <hyperlink ref="D2369" r:id="rId2568" display="2020_06/22.06.2020/67985"/>
    <hyperlink ref="D2359" r:id="rId2569" display="2020_06/23.06.2020/64324"/>
    <hyperlink ref="D2356" r:id="rId2570" display="2020_06/23.06.2020/59149"/>
    <hyperlink ref="D2355" r:id="rId2571" display="2020_06/23.06.2020/55521"/>
    <hyperlink ref="D2354" r:id="rId2572" display="2020_06/23.06.2020/55266"/>
    <hyperlink ref="D2380" r:id="rId2573" display="2020_06/23.06.2020/69945"/>
    <hyperlink ref="D2444" r:id="rId2574" display="2020_06/23.06.2020/76204"/>
    <hyperlink ref="D2445" r:id="rId2575" display="2020_06/23.06.2020/76206"/>
    <hyperlink ref="D2397" r:id="rId2576" display="2020_06/23.06.2020/55952"/>
    <hyperlink ref="D2399" r:id="rId2577" display="2020_06/23.06.2020/64259"/>
    <hyperlink ref="D2400" r:id="rId2578" display="2020_06/23.06.2020/64264"/>
    <hyperlink ref="D2402" r:id="rId2579" display="2020_06/23.06.2020/64362"/>
    <hyperlink ref="D2401" r:id="rId2580" display="2020_06/23.06.2020/64292"/>
    <hyperlink ref="D2396" r:id="rId2581" display="2020_06/23.06.2020/49262"/>
    <hyperlink ref="D2443" r:id="rId2582" display="2020_06/23.06.2020/76049"/>
    <hyperlink ref="D2442" r:id="rId2583" display="2020_06/23.06.2020/76037"/>
    <hyperlink ref="D2420" r:id="rId2584" display="2020_06/25.06.2020/69950"/>
    <hyperlink ref="D2424" r:id="rId2585" display="2020_06/25.06.2020/70454"/>
    <hyperlink ref="D2447" r:id="rId2586" display="2020_06/23.06.2020/76519"/>
    <hyperlink ref="D2398" r:id="rId2587" display="2020_06/23.06.2020/62652"/>
    <hyperlink ref="D2446" r:id="rId2588" display="2020_06/23.06.2020/76312"/>
    <hyperlink ref="D2452" r:id="rId2589" display="2020_06/23.06.2020/76976"/>
    <hyperlink ref="D2415" r:id="rId2590" display="2020_06/25.06.2020/69713"/>
    <hyperlink ref="D2417" r:id="rId2591" display="2020_06/25.06.2020/69774"/>
    <hyperlink ref="D2422" r:id="rId2592" display="2020_06/25.06.2020/70225"/>
    <hyperlink ref="D2463" r:id="rId2593" display="2020_06\25.06.2020\78381"/>
    <hyperlink ref="D2456" r:id="rId2594" display="2020_06\25.06.2020\77646"/>
    <hyperlink ref="D2412" r:id="rId2595" display="2020_06/25.06.2020/69372"/>
    <hyperlink ref="D2414" r:id="rId2596" display="2020_06/25.06.2020/69601"/>
    <hyperlink ref="D2426" r:id="rId2597" display="2020_06/25.06.2020/70555"/>
    <hyperlink ref="D2408" r:id="rId2598" display="2020_06/25.06.2020/69252"/>
    <hyperlink ref="D2409" r:id="rId2599" display="2020_06/25.06.2020/69312"/>
    <hyperlink ref="D2459" r:id="rId2600" display="2020_06/25.06.2020/78072"/>
    <hyperlink ref="D2427" r:id="rId2601" display="2020_06/25.06.2020/70659"/>
    <hyperlink ref="D2419" r:id="rId2602" display="2020_06/25.06.2020/69873"/>
    <hyperlink ref="D2429" r:id="rId2603" display="2020_06/26.06.2020/70761"/>
    <hyperlink ref="D2435" r:id="rId2604" display="2020_06/29.06.2020/71530"/>
    <hyperlink ref="D2418" r:id="rId2605" display="2020_06/25.06.2020/69777"/>
    <hyperlink ref="D2454" r:id="rId2606" display="2020_06/25.06.2020/77232"/>
    <hyperlink ref="D2411" r:id="rId2607" display="2020_06/25.06.2020/69350"/>
    <hyperlink ref="D2455" r:id="rId2608" display="2020_06/25.06.2020/77497"/>
    <hyperlink ref="D2469" r:id="rId2609" display="2020_06/29.06.2020/78809"/>
    <hyperlink ref="D2434" r:id="rId2610" display="2020_06/29.06.2020/71344"/>
    <hyperlink ref="D2407" r:id="rId2611" display="2020_06/23.06.2020/68902"/>
    <hyperlink ref="D2458" r:id="rId2612" display="2020_06/25.06.2020/78002"/>
    <hyperlink ref="D2432" r:id="rId2613" display="2020_06/26.06.2020/70895"/>
    <hyperlink ref="D2431" r:id="rId2614" display="2020_06/26.06.2020/70847"/>
    <hyperlink ref="D2461" r:id="rId2615" display="2020_06/25.06.2020/78312"/>
    <hyperlink ref="D2449" r:id="rId2616" display="2020_06/25.06.2020/76812"/>
    <hyperlink ref="D2437" r:id="rId2617" display="2020_06/29.06.2020/71896"/>
    <hyperlink ref="D2423" r:id="rId2618" display="2020_06/25.06.2020/70302"/>
    <hyperlink ref="D2453" r:id="rId2619" display="2020_06/25.06.2020/77210"/>
    <hyperlink ref="D2457" r:id="rId2620" display="2020_06/25.06.2020/77789"/>
    <hyperlink ref="D2425" r:id="rId2621" display="2020_06/26.06.2020/70541"/>
    <hyperlink ref="D2428" r:id="rId2622" display="2020_06/26.06.2020/70693"/>
    <hyperlink ref="D2403" r:id="rId2623" display="2020_06/25.06.2020/65776"/>
    <hyperlink ref="D2451" r:id="rId2624" display="2020_06/25.06.2020/76974"/>
    <hyperlink ref="D2448" r:id="rId2625" display="2020_06/25.06.2020/76736"/>
    <hyperlink ref="D2416" r:id="rId2626" display="2020_06/25.06.2020/69727"/>
    <hyperlink ref="D2421" r:id="rId2627" display="2020_06/25.06.2020/70132"/>
    <hyperlink ref="D2413" r:id="rId2628" display="2020_06/25.06.2020/69590"/>
    <hyperlink ref="D2410" r:id="rId2629" display="2020_06/25.06.2020/69324"/>
    <hyperlink ref="D2430" r:id="rId2630" display="2020_06/26.06.2020/70793"/>
    <hyperlink ref="D2433" r:id="rId2631" display="2020_06/26.06.2020/71180"/>
    <hyperlink ref="D2441" r:id="rId2632" display="2020_06/19.06.2020/75658"/>
    <hyperlink ref="D2404" r:id="rId2633" display="2020_06/26.06.2020/66220"/>
    <hyperlink ref="D2470" r:id="rId2634" display="2020_06/29.06.2020/78818"/>
    <hyperlink ref="D2436" r:id="rId2635" display="2020_06\29.06.2020\71681"/>
    <hyperlink ref="D2467" r:id="rId2636" display="2020_06/29.06.2020/78627"/>
    <hyperlink ref="D2406" r:id="rId2637" display="2020_06/26.06.2020/67437"/>
    <hyperlink ref="D2438" r:id="rId2638" display="2020_06/29.06.2020/71988"/>
    <hyperlink ref="D2474" r:id="rId2639" display="2020_06/29.06.2020/79790"/>
    <hyperlink ref="D2464" r:id="rId2640" display="2020_06/29.06.2020/78463"/>
    <hyperlink ref="D2468" r:id="rId2641" display="2020_06/26.06.2020/78631"/>
    <hyperlink ref="D2439" r:id="rId2642" display="2020_06\29.06.2020\72113"/>
    <hyperlink ref="D2473" r:id="rId2643" display="2020_06/29.06.2020/79081"/>
    <hyperlink ref="D2472" r:id="rId2644" display="2020_06/29.06.2020/79077"/>
    <hyperlink ref="D2405" r:id="rId2645" display="2020_06/26.06.2020/66832"/>
    <hyperlink ref="D2395" r:id="rId2646" display="2020_06\26.06.2020\41725"/>
    <hyperlink ref="D2450" r:id="rId2647" display="2020_06/25.06.2020/76846"/>
    <hyperlink ref="D2460" r:id="rId2648" display="2020_06/26.06.2020/78205"/>
    <hyperlink ref="D2462" r:id="rId2649" display="2020_06/26.06.2020/78349"/>
    <hyperlink ref="D2471" r:id="rId2650" display="2020_06/29.06.2020/79096"/>
    <hyperlink ref="D2466" r:id="rId2651" display="2020_06/26.06.2020/78513"/>
    <hyperlink ref="D2440" r:id="rId2652" display="2020_06/30.06.2020/72295"/>
    <hyperlink ref="D2480" r:id="rId2653" display="2020_06/30.06.2020/71788"/>
    <hyperlink ref="D2479" r:id="rId2654" display="2020_06/30.06.2020/71710"/>
    <hyperlink ref="D2481" r:id="rId2655" display="2020_06/30.06.2020/72053"/>
    <hyperlink ref="D2485" r:id="rId2656" display="2020_07/02.07.2020/72476"/>
    <hyperlink ref="D2492" r:id="rId2657" display="2020_07/02.07.2020/73151"/>
    <hyperlink ref="D2483" r:id="rId2658" display="2020_06\30.06.2020\72190"/>
    <hyperlink ref="D2531" r:id="rId2659" display="2020_06/30.06.2020/79487"/>
    <hyperlink ref="D2484" r:id="rId2660" display="2020_06\30.06.2020\72240"/>
    <hyperlink ref="D2486" r:id="rId2661" display="2020_06/30.06.2020/72665"/>
    <hyperlink ref="D2488" r:id="rId2662" display="2020_07\02.07.2020\73020"/>
    <hyperlink ref="D2493" r:id="rId2663" display="2020_07/02.07.2020/73292"/>
    <hyperlink ref="D2550" r:id="rId2664" display="2020_07/02.07.2020/80386"/>
    <hyperlink ref="D2491" r:id="rId2665" display="2020_07/02.07.2020/73147"/>
    <hyperlink ref="D2547" r:id="rId2666" display="2020_07/02.07.2020/80227"/>
    <hyperlink ref="D2533" r:id="rId2667" display="2020_06/30.06.2020/79516"/>
    <hyperlink ref="D2475" r:id="rId2668" display="2020_07/02.07.2020/61577"/>
    <hyperlink ref="D2476" r:id="rId2669" display="2020_07/02.07.2020/61586"/>
    <hyperlink ref="D2487" r:id="rId2670" display="2020_07/02.07.2020/72958"/>
    <hyperlink ref="D2553" r:id="rId2671" display="2020_07/02.07.2020/80472"/>
    <hyperlink ref="D2554" r:id="rId2672" display="2020_07/02.07.2020/80589"/>
    <hyperlink ref="D2495" r:id="rId2673" display="2020_07/02.07.2020/73592"/>
    <hyperlink ref="D2558" r:id="rId2674" display="2020_07/02.07.2020/80765"/>
    <hyperlink ref="D2496" r:id="rId2675" display="2020_07/02.07.2020/73684"/>
    <hyperlink ref="D2477" r:id="rId2676" display="2020_07/02.07.2020/63441"/>
    <hyperlink ref="D2552" r:id="rId2677" display="2020_07/02.07.2020/80462"/>
    <hyperlink ref="D2497" r:id="rId2678" display="2020_07/02.07.2020/73687"/>
    <hyperlink ref="D2500" r:id="rId2679" display="2020_07/02.07.2020/73775"/>
    <hyperlink ref="D2505" r:id="rId2680" display="2020_07/03.07.2020/74117"/>
    <hyperlink ref="D2503" r:id="rId2681" display="2020_07/03.07.2020/73966"/>
    <hyperlink ref="D2502" r:id="rId2682" display="2020_07/03.07.2020/73847"/>
    <hyperlink ref="D2489" r:id="rId2683" display="2020_07/03.07.2020/73051"/>
    <hyperlink ref="D2494" r:id="rId2684" display="2020_07/03.07.2020/73581"/>
    <hyperlink ref="D2512" r:id="rId2685" display="2020_07/06.07.2020/74949"/>
    <hyperlink ref="D2525" r:id="rId2686" display="2020_06/29.06.2020/78897"/>
    <hyperlink ref="D2539" r:id="rId2687" display="2020_06/30.06.2020/79757"/>
    <hyperlink ref="D2490" r:id="rId2688" display="2020_07/02.07.2020/73117"/>
    <hyperlink ref="D2560" r:id="rId2689" display="2020_07/02.07.2020/80850"/>
    <hyperlink ref="D2565" r:id="rId2690" display="2020_07/02.07.2020/81073"/>
    <hyperlink ref="D2570" r:id="rId2691" display="2020_07/03.07.2020/81382"/>
    <hyperlink ref="D2499" r:id="rId2692" display="2020_07/03.07.2020/73693"/>
    <hyperlink ref="D2504" r:id="rId2693" display="2020_07/03.07.2020/74090"/>
    <hyperlink ref="D2572" r:id="rId2694" display="2020_07/03.07.2020/81532"/>
    <hyperlink ref="D2498" r:id="rId2695" display="2020_07/03.07.2020/73688"/>
    <hyperlink ref="D2506" r:id="rId2696" display="2020_07/03.07.2020/74210"/>
    <hyperlink ref="D2501" r:id="rId2697" display="2020_07/02.07.2020/73777"/>
    <hyperlink ref="D2478" r:id="rId2698" display="2020_07/06.07.2020/70267"/>
    <hyperlink ref="D2510" r:id="rId2699" display="2020_07/06.07.2020/74638"/>
    <hyperlink ref="D2580" r:id="rId2700" display="2020_07/06.07.2020/82474"/>
    <hyperlink ref="D2507" r:id="rId2701" display="2020_07/06.07.2020/74322"/>
    <hyperlink ref="D2511" r:id="rId2702" display="2020_07/06.07.2020/74722"/>
    <hyperlink ref="D2509" r:id="rId2703" display="2020_07/06.07.2020/74539"/>
    <hyperlink ref="D2508" r:id="rId2704" display="2020_07/06.07.2020/74430"/>
    <hyperlink ref="D2574" r:id="rId2705" display="2020_07/06.07.2020/81606"/>
    <hyperlink ref="D2576" r:id="rId2706" display="2020_07/06.07.2020/81889"/>
    <hyperlink ref="D2589" r:id="rId2707" display="2020_07/07.07.2020/75144"/>
    <hyperlink ref="D2555" r:id="rId2708" display="2020_07/03.07.2020/80718"/>
    <hyperlink ref="D2482" r:id="rId2709" display="2020_06/29.06.2020/72060"/>
    <hyperlink ref="D2619" r:id="rId2710" display="2020_07/07.07.2020/82590"/>
    <hyperlink ref="D2587" r:id="rId2711" display="2020_07/07.07.2020/75027"/>
    <hyperlink ref="D2568" r:id="rId2712" display="2020_07/02.07.2020/81287"/>
    <hyperlink ref="D2590" r:id="rId2713" display="2020_07/07.07.2020/75576"/>
    <hyperlink ref="D2621" r:id="rId2714" display="2020_07/07.07.2020/83272"/>
    <hyperlink ref="D2586" r:id="rId2715" display="2020_07/07.07.2020/75006"/>
    <hyperlink ref="D2596" r:id="rId2716" display="2020_07/08.07.2020/75770"/>
    <hyperlink ref="D2584" r:id="rId2717" display="2020_07/07.07.2020/71356"/>
    <hyperlink ref="D2618" r:id="rId2718" display="2020_07/07.07.2020/82435"/>
    <hyperlink ref="D2622" r:id="rId2719" display="2020_07/07.07.2020/83370"/>
    <hyperlink ref="D2588" r:id="rId2720" display="2020_07/08.07.2020/75094"/>
    <hyperlink ref="D2595" r:id="rId2721" display="2020_07\08.07.2020\75856"/>
    <hyperlink ref="D2582" r:id="rId2722" display="2020_07\09.07.2020\61970"/>
    <hyperlink ref="D2592" r:id="rId2723" display="2020_07/08.07.2020/75625"/>
    <hyperlink ref="D2624" r:id="rId2724" display="2020_07/08.07.2020/83755"/>
    <hyperlink ref="D2591" r:id="rId2725" display="2020_07/08.07.2020/75592"/>
    <hyperlink ref="D2581" r:id="rId2726" display="2020_07/08.07.2020/48306"/>
    <hyperlink ref="D2593" r:id="rId2727" display="2020_07/08.07.2020/75677"/>
    <hyperlink ref="D2625" r:id="rId2728" display="2020_07/08.07.2020/83957"/>
    <hyperlink ref="D2623" r:id="rId2729" display="2020_07/08.07.2020/83415"/>
    <hyperlink ref="D2627" r:id="rId2730" display="2020_07/09.07.2020/84124"/>
    <hyperlink ref="D2626" r:id="rId2731" display="2020_07/09.07.2020/84020"/>
    <hyperlink ref="D2598" r:id="rId2732" display="2020_07/09.07.2020/76239"/>
    <hyperlink ref="D2599" r:id="rId2733" display="2020_07/09.07.2020/76589"/>
    <hyperlink ref="D2610" r:id="rId2734" display="2020_07/09.07.2020/77495"/>
    <hyperlink ref="D2608" r:id="rId2735" display="2020_07/09.07.2020/77297"/>
    <hyperlink ref="D2603" r:id="rId2736" display="2020_07\09.07.2020\76745"/>
    <hyperlink ref="D2602" r:id="rId2737" display="2020_07/09.07.2020/76640"/>
    <hyperlink ref="D2583" r:id="rId2738" display="2020_07/09.07.2020/62843"/>
    <hyperlink ref="D2630" r:id="rId2739" display="2020_07/09.07.2020/84466"/>
    <hyperlink ref="D2594" r:id="rId2740" display="2020_07/09.07.2020/75830"/>
    <hyperlink ref="D2601" r:id="rId2741" display="2020_07/09.07.2020/76627"/>
    <hyperlink ref="D2600" r:id="rId2742" display="2020_07/09.07.2020/76559"/>
    <hyperlink ref="D2606" r:id="rId2743" display="2020_07/09.07.2020/77188"/>
    <hyperlink ref="D2609" r:id="rId2744" display="2020_07/09.07.2020/77492"/>
    <hyperlink ref="D2597" r:id="rId2745" display="2020_07/09.07.2020/75965"/>
    <hyperlink ref="D2604" r:id="rId2746" display="2020_07\10.07.2020\77030"/>
    <hyperlink ref="D2615" r:id="rId2747" display="2020_07/10.07.2020/77788"/>
    <hyperlink ref="D2633" r:id="rId2748" display="2020_07/10.07.2020/85063"/>
    <hyperlink ref="D2605" r:id="rId2749" display="2020_07/10.07.2020/77165"/>
    <hyperlink ref="D2607" r:id="rId2750" display="2020_07/10.07.2020/77231"/>
    <hyperlink ref="D2611" r:id="rId2751" display="2020_07/10.07.2020/77523"/>
    <hyperlink ref="D2614" r:id="rId2752" display="2020_07/10.07.2020/77695"/>
    <hyperlink ref="D2569" r:id="rId2753" display="2020_07/03.07.2020/81301"/>
    <hyperlink ref="D2613" r:id="rId2754" display="2020_07/10.07.2020/77580"/>
    <hyperlink ref="D2634" r:id="rId2755" display="2020_07\10.07.2020\85684"/>
    <hyperlink ref="D2632" r:id="rId2756" display="2020_07/10.07.2020/85062"/>
    <hyperlink ref="D2617" r:id="rId2757" display="2020_07\10.07.2020\78304"/>
    <hyperlink ref="D2612" r:id="rId2758" display="2020_07/10.07.2020/77574"/>
    <hyperlink ref="D2635" r:id="rId2759" display="2020_07\10.07.2020\85708"/>
    <hyperlink ref="D2585" r:id="rId2760" display="2020_07/10.07.2020/73560"/>
    <hyperlink ref="D2616" r:id="rId2761" display="2020_07\10.07.2020\77838"/>
    <hyperlink ref="D2637" r:id="rId2762" display="2020_07/10.07.2020/85968"/>
    <hyperlink ref="D2636" r:id="rId2763" display="2020_07\10.07.2020\85728"/>
    <hyperlink ref="D2629" r:id="rId2764" display="2020_07\09.07.2020\84339"/>
    <hyperlink ref="D2631" r:id="rId2765" display="2020_07/10.07.2020/84983"/>
    <hyperlink ref="D2628" r:id="rId2766" display="2020_07/09.07.2020/84229"/>
    <hyperlink ref="D2696" r:id="rId2767" display="2020_07/31.07.2020/89262"/>
    <hyperlink ref="D2661" r:id="rId2768" display="2020_07\23.07.2020\92311"/>
    <hyperlink ref="D2643" r:id="rId2769" display="2020_07\23.07.2020\83983"/>
    <hyperlink ref="D2667" r:id="rId2770" display="2020_07/24.07.2020/93272"/>
    <hyperlink ref="D2668" r:id="rId2771" display="2020_07/24.07.2020/93563"/>
    <hyperlink ref="D2654" r:id="rId2772" display="2020_07\24.07.2020\85471"/>
    <hyperlink ref="D2653" r:id="rId2773" display="2020_07/24.07.2020/85202"/>
    <hyperlink ref="D2651" r:id="rId2774" display="2020_07\24.07.2020\85180"/>
    <hyperlink ref="D2671" r:id="rId2775" display="2020_07/24.07.2020/94383"/>
    <hyperlink ref="D2657" r:id="rId2776" display="2020_07/24.07.2020/85825"/>
    <hyperlink ref="D2721" r:id="rId2777" display="2020_07\28.07.2020\95435"/>
    <hyperlink ref="D2713" r:id="rId2778" display="2020_07/29.07.2020/87745"/>
    <hyperlink ref="D2722" r:id="rId2779" display="2020_07\29.07.2020\96281"/>
    <hyperlink ref="D2664" r:id="rId2780" display="2020_07/23.07.2020/92851"/>
    <hyperlink ref="D2656" r:id="rId2781" display="2020_07/24.07.2020/85525"/>
    <hyperlink ref="D2658" r:id="rId2782" display="2020_07/21.07.2020/91493"/>
    <hyperlink ref="D2720" r:id="rId2783" display="2020_07/23.07.2020/93783"/>
    <hyperlink ref="D2670" r:id="rId2784" display="2020_07\24.07.2020\93643"/>
    <hyperlink ref="D2650" r:id="rId2785" display="2020_07/24.07.2020/85153"/>
    <hyperlink ref="D2678" r:id="rId2786" display="2020_07/27.07.2020/86482"/>
    <hyperlink ref="D2681" r:id="rId2787" display="2020_07/27.07.2020/86689"/>
    <hyperlink ref="D2715" r:id="rId2788" display="2020_07/30.07.2020/88291"/>
    <hyperlink ref="D2717" r:id="rId2789" display="2020_07/30.07.2020/88806"/>
    <hyperlink ref="D2723" r:id="rId2790" display="2020_07/30.07.2020/96579"/>
    <hyperlink ref="D2680" r:id="rId2791" display="2020_07/28.07.2020/86673"/>
    <hyperlink ref="D2675" r:id="rId2792" display="2020_07/28.07.2020/86340"/>
    <hyperlink ref="D2701" r:id="rId2793" display="2020_07/27.07.2020/94629"/>
    <hyperlink ref="D2679" r:id="rId2794" display="2020_07/27.07.2020/86490"/>
    <hyperlink ref="D2644" r:id="rId2795" display="2020_07/23.07.2020/84361"/>
    <hyperlink ref="D2669" r:id="rId2796" display="2020_07/24.07.2020/93631"/>
    <hyperlink ref="D2703" r:id="rId2797" display="2020_07/27.07.2020/94821"/>
    <hyperlink ref="D2676" r:id="rId2798" display="2020_07/28.07.2020/86393"/>
    <hyperlink ref="D2724" r:id="rId2799" display="2020_07/30.07.2020/96586"/>
    <hyperlink ref="D2677" r:id="rId2800" display="2020_07/28.07.2020/86430"/>
    <hyperlink ref="D2674" r:id="rId2801" display="2020_07/28.07.2020/86324"/>
    <hyperlink ref="D2718" r:id="rId2802" display="2020_07/31.07.2020/89365"/>
    <hyperlink ref="D2712" r:id="rId2803" display="2020_07/31.07.2020/81043"/>
    <hyperlink ref="D2719" r:id="rId2804" display="2020_07\31.07.2020\90290"/>
    <hyperlink ref="D2687" r:id="rId2805" display="2020_07/29.07.2020/87998"/>
    <hyperlink ref="D2705" r:id="rId2806" display="2020_07/29.07.2020/95608"/>
    <hyperlink ref="D2706" r:id="rId2807" display="2020_07\29.07.2020\95902"/>
    <hyperlink ref="D2716" r:id="rId2808" display="2020_07/30.07.2020/88583"/>
    <hyperlink ref="D2686" r:id="rId2809" display="2020_07\29.07.2020\87652"/>
    <hyperlink ref="D2685" r:id="rId2810" display="2020_07/29.07.2020/87565"/>
    <hyperlink ref="D2707" r:id="rId2811" display="2020_07/29.07.2020/96139"/>
    <hyperlink ref="D2700" r:id="rId2812" display="2020_07/27.07.2020/94422"/>
    <hyperlink ref="D2704" r:id="rId2813" display="2020_07/29.07.2020/95522"/>
    <hyperlink ref="D2684" r:id="rId2814" display="2020_07/29.07.2020/87378"/>
    <hyperlink ref="D2683" r:id="rId2815" display="2020_07/29.07.2020/87185"/>
    <hyperlink ref="D2688" r:id="rId2816" display="2020_07/30.07.2020/88000"/>
    <hyperlink ref="D2682" r:id="rId2817" display="2020_07/29.07.2020/87113"/>
    <hyperlink ref="D2702" r:id="rId2818" display="2020_07/27.07.2020/94736"/>
    <hyperlink ref="D2689" r:id="rId2819" display="2020_07/30.07.2020/88160"/>
    <hyperlink ref="D2690" r:id="rId2820" display="2020_07/30.07.2020/88270"/>
    <hyperlink ref="D2673" r:id="rId2821" display="2020_07/27.07.2020/85987"/>
    <hyperlink ref="D2694" r:id="rId2822" display="2020_07/30.07.2020/88974"/>
    <hyperlink ref="D2692" r:id="rId2823" display="2020_07/30.07.2020/88876"/>
    <hyperlink ref="D2709" r:id="rId2824" display="2020_07/30.07.2020/97057"/>
    <hyperlink ref="D2693" r:id="rId2825" display="2020_07/30.07.2020/88924"/>
    <hyperlink ref="D2708" r:id="rId2826" display="2020_07/30.07.2020/96714"/>
    <hyperlink ref="D2691" r:id="rId2827" display="2020_07/31.07.2020/88744"/>
    <hyperlink ref="D2698" r:id="rId2828" display="2020_07/31.07.2020/90272"/>
    <hyperlink ref="D2711" r:id="rId2829" display="2020_07/31.07.2020/98446"/>
    <hyperlink ref="D2710" r:id="rId2830" display="2020_07/30.07.2020/97222"/>
    <hyperlink ref="D2736" r:id="rId2831" display="2020_08/03.08.2020/90396"/>
    <hyperlink ref="D2743" r:id="rId2832" display="2020_08\03.08.2020\91010"/>
    <hyperlink ref="D2732" r:id="rId2833" display="2020_08/03.08.2020/89975"/>
    <hyperlink ref="D2697" r:id="rId2834" display="2020_07/31.07.2020/89429"/>
    <hyperlink ref="D2699" r:id="rId2835" display="2020_07/31.07.2020/90511"/>
    <hyperlink ref="D2738" r:id="rId2836" display="2020_08/04.08.2020/90620"/>
    <hyperlink ref="D2749" r:id="rId2837" display="2020_08/04.08.2020/91482"/>
    <hyperlink ref="D2753" r:id="rId2838" display="2020_08/04.08.2020/92089"/>
    <hyperlink ref="D2672" r:id="rId2839" display="2020_07/31.07.2020/85286"/>
    <hyperlink ref="D2695" r:id="rId2840" display="2020_07/31.07.2020/89256"/>
    <hyperlink ref="D2729" r:id="rId2841" display="2020_08/03.08.2020/89556"/>
    <hyperlink ref="D2731" r:id="rId2842" display="2020_08/03.08.2020/89929"/>
    <hyperlink ref="D2733" r:id="rId2843" display="2020_08/03.08.2020/89999"/>
    <hyperlink ref="D2741" r:id="rId2844" display="2020_08/03.08.2020/90834"/>
    <hyperlink ref="D2784" r:id="rId2845" display="2020_08\03.08.2020\98933"/>
    <hyperlink ref="D2783" r:id="rId2846" display="2020_08/03.08.2020/98572"/>
    <hyperlink ref="D2789" r:id="rId2847" display="2020_08\04.08.2020\99438"/>
    <hyperlink ref="D2788" r:id="rId2848" display="2020_08/04.08.2020/99275"/>
    <hyperlink ref="D2754" r:id="rId2849" display="2020_08/05.08.2020/92103"/>
    <hyperlink ref="D2734" r:id="rId2850" display="2020_08\03.08.2020\90044"/>
    <hyperlink ref="D2735" r:id="rId2851" display="2020_08/03.08.2020/90201"/>
    <hyperlink ref="D2745" r:id="rId2852" display="2020_08/03.08.2020/91233"/>
    <hyperlink ref="D2744" r:id="rId2853" display="2020_08/03.08.2020/91165"/>
    <hyperlink ref="D2742" r:id="rId2854" display="2020_08/04.08.2020/90924"/>
    <hyperlink ref="D2756" r:id="rId2855" display="2020_08/05.08.2020/92122"/>
    <hyperlink ref="D2739" r:id="rId2856" display="2020_08/04.08.2020/90641"/>
    <hyperlink ref="D2748" r:id="rId2857" display="2020_08/04.08.2020/91341"/>
    <hyperlink ref="D2740" r:id="rId2858" display="2020_08/04.08.2020/90815"/>
    <hyperlink ref="D2737" r:id="rId2859" display="2020_08/04.08.2020/90619"/>
    <hyperlink ref="D2787" r:id="rId2860" display="2020_08/04.08.2020/99265"/>
    <hyperlink ref="D2797" r:id="rId2861" display="2020_08/05.08.2020/00396"/>
    <hyperlink ref="D2798" r:id="rId2862" display="2020_08/05.08.2020/00573"/>
    <hyperlink ref="D2728" r:id="rId2863" display="2020_08/05.08.2020/87204"/>
    <hyperlink ref="D2805" r:id="rId2864" display="2020_08/04.08.2020/99999"/>
    <hyperlink ref="D2790" r:id="rId2865" display="2020_08/04.08.2020/99727"/>
    <hyperlink ref="D2794" r:id="rId2866" display="2020_08/04.08.2020/99870"/>
    <hyperlink ref="D2747" r:id="rId2867" display="2020_08\04.08.2020\91316"/>
    <hyperlink ref="D2751" r:id="rId2868" display="2020_08/05.08.2020/91879"/>
    <hyperlink ref="D2791" r:id="rId2869" display="2020_08\04.08.2020\99771"/>
    <hyperlink ref="D2752" r:id="rId2870" display="2020_08/05.08.2020/91970"/>
    <hyperlink ref="D2726" r:id="rId2871" display="2020_08/06.08.2020/84282"/>
    <hyperlink ref="D2758" r:id="rId2872" display="2020_08/06.08.2020/92229"/>
    <hyperlink ref="D2763" r:id="rId2873" display="2020_08/06.08.2020/93017"/>
    <hyperlink ref="D2799" r:id="rId2874" display="2020_08/06.08.2020/00694"/>
    <hyperlink ref="D2793" r:id="rId2875" display="2020_08/05.08.2020/99867"/>
    <hyperlink ref="D2782" r:id="rId2876" display="2020_08/03.08.2020/98516"/>
    <hyperlink ref="D2800" r:id="rId2877" display="2020_08/06.08.2020/00716"/>
    <hyperlink ref="D2768" r:id="rId2878" display="2020_08/07.08.2020/93332"/>
    <hyperlink ref="D2772" r:id="rId2879" display="2020_08/07.08.2020/93747"/>
    <hyperlink ref="D2774" r:id="rId2880" display="2020_08/07.08.2020/93852"/>
    <hyperlink ref="D2780" r:id="rId2881" display="2020_08/03.08.2020/98089"/>
    <hyperlink ref="D2779" r:id="rId2882" display="2020_08/03.08.2020/98013"/>
    <hyperlink ref="D2786" r:id="rId2883" display="2020_08/03.08.2020/99097"/>
    <hyperlink ref="D2777" r:id="rId2884" display="2020_08/07.08.2020/94291"/>
    <hyperlink ref="D2767" r:id="rId2885" display="2020_08/07.08.2020/93221"/>
    <hyperlink ref="D2755" r:id="rId2886" display="2020_08/05.08.2020/92107"/>
    <hyperlink ref="D2785" r:id="rId2887" display="2020_08/04.08.2020/98973"/>
    <hyperlink ref="D2795" r:id="rId2888" display="2020_08/05.08.2020/00108"/>
    <hyperlink ref="D2801" r:id="rId2889" display="2020_08/05.08.2020/00771"/>
    <hyperlink ref="D2746" r:id="rId2890" display="2020_08/05.08.2020/91291"/>
    <hyperlink ref="D2750" r:id="rId2891" display="2020_08/05.08.2020/91491"/>
    <hyperlink ref="D2762" r:id="rId2892" display="2020_08/06.08.2020/92936"/>
    <hyperlink ref="D2792" r:id="rId2893" display="2020_08/05.08.2020/99789"/>
    <hyperlink ref="D2725" r:id="rId2894" display="2020_08/06.08.2020/84075"/>
    <hyperlink ref="D2665" r:id="rId2895" display="2020_08/06.08.2020/92885"/>
    <hyperlink ref="D2730" r:id="rId2896" display="2020_08/03.08.2020/89889"/>
    <hyperlink ref="D2757" r:id="rId2897" display="2020_08/06.08.2020/92224"/>
    <hyperlink ref="D2761" r:id="rId2898" display="2020_08/06.08.2020/92678"/>
    <hyperlink ref="D2759" r:id="rId2899" display="2020_08/06.08.2020/92240"/>
    <hyperlink ref="D2760" r:id="rId2900" display="2020_08/06.08.2020/92463"/>
    <hyperlink ref="D2764" r:id="rId2901" display="2020_08\06.08.2020\93038"/>
    <hyperlink ref="D2771" r:id="rId2902" display="2020_08/07.08.2020/93520"/>
    <hyperlink ref="D2773" r:id="rId2903" display="2020_08/07.08.2020/93805"/>
    <hyperlink ref="D2796" r:id="rId2904" display="2020_08/06.08.2020/00392"/>
    <hyperlink ref="D2781" r:id="rId2905" display="2020_08/03.08.2020/98431"/>
    <hyperlink ref="D2802" r:id="rId2906" display="2020_08/06.08.2020/00986"/>
    <hyperlink ref="D2766" r:id="rId2907" display="2020_08/07.08.2020/93095"/>
    <hyperlink ref="D2765" r:id="rId2908" display="2020_08/07.08.2020/93082"/>
    <hyperlink ref="D2775" r:id="rId2909" display="2020_08/07.08.2020/93987"/>
    <hyperlink ref="D2776" r:id="rId2910" display="2020_08/07.08.2020/94024"/>
    <hyperlink ref="D2727" r:id="rId2911" display="2020_08/07.08.2020/85839"/>
    <hyperlink ref="D2778" r:id="rId2912" display="2020_08/07.08.2020/94488"/>
    <hyperlink ref="D2898" r:id="rId2913" display="2020_08/06.08.2020/92203"/>
    <hyperlink ref="D2770" r:id="rId2914" display="2020_08/07.08.2020/93450"/>
    <hyperlink ref="D2816" r:id="rId2915" display="2020_08\10.08.2020\95046"/>
    <hyperlink ref="D2815" r:id="rId2916" display="2020_08/10.08.2020/95044"/>
    <hyperlink ref="D2814" r:id="rId2917" display="2020_08/10.08.2020/94907"/>
    <hyperlink ref="D2873" r:id="rId2918" display="2020_08/10.08.2020/03300"/>
    <hyperlink ref="D2803" r:id="rId2919" display="2020_08/07.08.2020/01113"/>
    <hyperlink ref="D2804" r:id="rId2920" display="2020_08/07.08.2020/01527"/>
    <hyperlink ref="D2808" r:id="rId2921" display="2020_08\10.08.2020\94214"/>
    <hyperlink ref="D2861" r:id="rId2922" display="2020_08/10.08.2020/02020"/>
    <hyperlink ref="D2866" r:id="rId2923" display="2020_08/10.08.2020/02417"/>
    <hyperlink ref="D2860" r:id="rId2924" display="2020_08/10.08.2020/01960"/>
    <hyperlink ref="D2811" r:id="rId2925" display="2020_08/10.08.2020/94838"/>
    <hyperlink ref="D2812" r:id="rId2926" display="2020_08/10.08.2020/94861"/>
    <hyperlink ref="D2862" r:id="rId2927" display="2020_08/10.08.2020/02048"/>
    <hyperlink ref="D2809" r:id="rId2928" display="2020_08/10.08.2020/94666"/>
    <hyperlink ref="D2819" r:id="rId2929" display="2020_08\10.08.2020\95203"/>
    <hyperlink ref="D2878" r:id="rId2930" display="2020_08/11.08.2020/03540"/>
    <hyperlink ref="D2826" r:id="rId2931" display="2020_08/11.08.2020/95650"/>
    <hyperlink ref="D2869" r:id="rId2932" display="2020_08/11.08.2020/02823"/>
    <hyperlink ref="D2870" r:id="rId2933" display="2020_08/11.08.2020/02874"/>
    <hyperlink ref="D2864" r:id="rId2934" display="2020_08/10.08.2020/02232"/>
    <hyperlink ref="D2868" r:id="rId2935" display="2020_08/11.08.2020/02818"/>
    <hyperlink ref="D2828" r:id="rId2936" display="2020_08/11.08.2020/95963"/>
    <hyperlink ref="D2821" r:id="rId2937" display="2020_08/10.08.2020/95316"/>
    <hyperlink ref="D2810" r:id="rId2938" display="2020_08/10.08.2020/94830"/>
    <hyperlink ref="D2875" r:id="rId2939" display="2020_08/10.08.2020/03426"/>
    <hyperlink ref="D2863" r:id="rId2940" display="2020_08\10.08.2020\02151"/>
    <hyperlink ref="D2820" r:id="rId2941" display="2020_08/10.08.2020/95253"/>
    <hyperlink ref="D2865" r:id="rId2942" display="2020_08/10.08.2020/02393"/>
    <hyperlink ref="D2867" r:id="rId2943" display="2020_08/10.08.2020/02705"/>
    <hyperlink ref="D2817" r:id="rId2944" display="2020_08/11.08.2020/95140"/>
    <hyperlink ref="D2813" r:id="rId2945" display="2020_08/11.08.2020/94901"/>
    <hyperlink ref="D2822" r:id="rId2946" display="2020_08/11.08.2020/95391"/>
    <hyperlink ref="D2830" r:id="rId2947" display="2020_08/12.08.2020/95987"/>
    <hyperlink ref="D2825" r:id="rId2948" display="2020_08/12.08.2020/95613"/>
    <hyperlink ref="D2806" r:id="rId2949" display="2020_08/11.08.2020/87599"/>
    <hyperlink ref="D2829" r:id="rId2950" display="2020_08/11.08.2020/95972"/>
    <hyperlink ref="D2880" r:id="rId2951" display="2020_08/11.08.2020/04131"/>
    <hyperlink ref="D2845" r:id="rId2952" display="2020_08/13.08.2020/97326"/>
    <hyperlink ref="D2879" r:id="rId2953" display="2020_08/11.08.2020/03746"/>
    <hyperlink ref="D2871" r:id="rId2954" display="2020_08/11.08.2020/02951"/>
    <hyperlink ref="D2831" r:id="rId2955" display="2020_08/11.08.2020/96085"/>
    <hyperlink ref="D2874" r:id="rId2956" display="2020_08/11.08.2020/03343"/>
    <hyperlink ref="D2876" r:id="rId2957" display="2020_08/11.08.2020/03428"/>
    <hyperlink ref="D2818" r:id="rId2958" display="2020_08/11.08.2020/95160"/>
    <hyperlink ref="D2824" r:id="rId2959" display="2020_08/11.08.2020/95542"/>
    <hyperlink ref="D2827" r:id="rId2960" display="2020_08/12.08.2020/95699"/>
    <hyperlink ref="D2832" r:id="rId2961" display="2020_08/12.08.2020/96198"/>
    <hyperlink ref="D2872" r:id="rId2962" display="2020_08/11.08.2020/03068"/>
    <hyperlink ref="D2877" r:id="rId2963" display="2020_08/11.08.2020/03528"/>
    <hyperlink ref="D2769" r:id="rId2964" display="2020_08/07.08.2020/93403"/>
    <hyperlink ref="D2883" r:id="rId2965" display="2020_08/12.08.2020/04362"/>
    <hyperlink ref="D2881" r:id="rId2966" display="2020_08/12.08.2020/04180"/>
    <hyperlink ref="D2899" r:id="rId2967" display="2020_08/12.08.2020/04956"/>
    <hyperlink ref="D2833" r:id="rId2968" display="2020_08/12.08.2020/96355"/>
    <hyperlink ref="D2834" r:id="rId2969" display="2020_08/12.08.2020/96310"/>
    <hyperlink ref="D2807" r:id="rId2970" display="2020_08/13.08.2020/87915"/>
    <hyperlink ref="D2882" r:id="rId2971" display="2020_08\12.08.2020\04189"/>
    <hyperlink ref="D2843" r:id="rId2972" display="2020_08\13.08.2020\97202"/>
    <hyperlink ref="D2888" r:id="rId2973" display="2020_08/13.08.2020/05037"/>
    <hyperlink ref="D2886" r:id="rId2974" display="2020_08/13.08.2020/04815"/>
    <hyperlink ref="D2842" r:id="rId2975" display="2020_08/13.08.2020/97006"/>
    <hyperlink ref="D2837" r:id="rId2976" display="2020_08/13.08.2020/96612"/>
    <hyperlink ref="D2897" r:id="rId2977" display="2020_08/14.08.2020/06613"/>
    <hyperlink ref="D2858" r:id="rId2978" display="2020_08/14.08.2020/98401"/>
    <hyperlink ref="D2852" r:id="rId2979" display="2020_08/14.08.2020/97630"/>
    <hyperlink ref="D2853" r:id="rId2980" display="2020_08/14.08.2020/97660"/>
    <hyperlink ref="D2839" r:id="rId2981" display="2020_08/13.08.2020/96844"/>
    <hyperlink ref="D2844" r:id="rId2982" display="2020_08/13.08.2020/97297"/>
    <hyperlink ref="D2884" r:id="rId2983" display="2020_08\13.08.2020\04728"/>
    <hyperlink ref="D2885" r:id="rId2984" display="2020_08/13.08.2020/04758"/>
    <hyperlink ref="D2823" r:id="rId2985" display="2020_08/12.08.2020/95487"/>
    <hyperlink ref="D2887" r:id="rId2986" display="2020_08/13.08.2020/05000"/>
    <hyperlink ref="D2891" r:id="rId2987" display="2020_08/13.08.2020/05600"/>
    <hyperlink ref="D2889" r:id="rId2988" display="2020_08\13.08.2020\05095"/>
    <hyperlink ref="D2890" r:id="rId2989" display="2020_08/13.08.2020/05303"/>
    <hyperlink ref="D2846" r:id="rId2990" display="2020_08/13.08.2020/97349"/>
    <hyperlink ref="D2849" r:id="rId2991" display="2020_08\14.08.2020\97477"/>
    <hyperlink ref="D2856" r:id="rId2992" display="2020_08/14.08.2020/97884"/>
    <hyperlink ref="D2857" r:id="rId2993" display="2020_08/14.08.2020/98333"/>
    <hyperlink ref="D2893" r:id="rId2994" display="2020_08/14.08.2020/05992"/>
    <hyperlink ref="D2859" r:id="rId2995" display="2020_08/14.08.2020/98416"/>
    <hyperlink ref="D2840" r:id="rId2996" display="2020_08/13.08.2020/96854"/>
    <hyperlink ref="D2836" r:id="rId2997" display="2020_08/13.08.2020/96413"/>
    <hyperlink ref="D2848" r:id="rId2998" display="2020_08/13.08.2020/97392"/>
    <hyperlink ref="D2841" r:id="rId2999" display="2020_08/13.08.2020/96872"/>
    <hyperlink ref="D2854" r:id="rId3000" display="2020_08/14.08.2020/97823"/>
    <hyperlink ref="D2855" r:id="rId3001" display="2020_08/14.08.2020/97850"/>
    <hyperlink ref="D2850" r:id="rId3002" display="2020_08/14.08.2020/97546"/>
    <hyperlink ref="D2851" r:id="rId3003" display="2020_08/14.08.2020/97553"/>
    <hyperlink ref="D2847" r:id="rId3004" display="2020_08/14.08.2020/97372"/>
    <hyperlink ref="D2892" r:id="rId3005" display="2020_08/14.08.2020/05675"/>
    <hyperlink ref="D2912" r:id="rId3006" display="2020_08/17.08.2020/98870"/>
    <hyperlink ref="D2838" r:id="rId3007" display="2020_08\13.08.2020\96696"/>
    <hyperlink ref="D2835" r:id="rId3008" display="2020_08\13.08.2020\96399"/>
    <hyperlink ref="D2908" r:id="rId3009" display="2020_08/17.08.2020/98695"/>
    <hyperlink ref="D2905" r:id="rId3010" display="2020_08/17.08.2020/98064"/>
    <hyperlink ref="D2953" r:id="rId3011" display="2020_08/17.08.2020/06844"/>
    <hyperlink ref="D2952" r:id="rId3012" display="2020_08/17.08.2020/06534"/>
    <hyperlink ref="D2920" r:id="rId3013" display="2020_08/18.08.2020/99837"/>
    <hyperlink ref="D2922" r:id="rId3014" display="2020_08/18.08.2020/00007"/>
    <hyperlink ref="D2962" r:id="rId3015" display="2020_08/19.08.2020/08489"/>
    <hyperlink ref="D2961" r:id="rId3016" display="2020_08/19.08.2020/08352"/>
    <hyperlink ref="D2933" r:id="rId3017" display="2020_08/19.08.2020/00524"/>
    <hyperlink ref="D2927" r:id="rId3018" display="2020_08/19.08.2020/00343"/>
    <hyperlink ref="D2930" r:id="rId3019" display="2020_08/20.08.2020/00444"/>
    <hyperlink ref="D2934" r:id="rId3020" display="2020_08/20.08.2020/00586"/>
    <hyperlink ref="D2895" r:id="rId3021" display="2020_08\14.08.2020\06301"/>
    <hyperlink ref="D2896" r:id="rId3022" display="2020_08\14.08.2020\06393"/>
    <hyperlink ref="D2906" r:id="rId3023" display="2020_08\17.08.2020\98347"/>
    <hyperlink ref="D2914" r:id="rId3024" display="2020_08/17.08.2020/99197"/>
    <hyperlink ref="D2911" r:id="rId3025" display="2020_08/17.08.2020/98863"/>
    <hyperlink ref="D2943" r:id="rId3026" display="2020_08/21.08.2020/01492"/>
    <hyperlink ref="D2944" r:id="rId3027" display="2020_08/21.08.2020/01701"/>
    <hyperlink ref="D2909" r:id="rId3028" display="2020_08/17.08.2020/98698"/>
    <hyperlink ref="D2907" r:id="rId3029" display="2020_08/17.08.2020/98423"/>
    <hyperlink ref="D2949" r:id="rId3030" display="2020_08/21.08.2020/02425"/>
    <hyperlink ref="D2966" r:id="rId3031" display="2020_08/21.08.2020/10225"/>
    <hyperlink ref="D2894" r:id="rId3032" display="2020_08/14.08.2020/05993"/>
    <hyperlink ref="D2910" r:id="rId3033" display="2020_08/18.08.2020/98836"/>
    <hyperlink ref="D2967" r:id="rId3034" display="2020_08\18.08.2020\07976"/>
    <hyperlink ref="D2901" r:id="rId3035" display="2020_08\18.08.2020\95481"/>
    <hyperlink ref="D2955" r:id="rId3036" display="2020_08/18.08.2020/07089"/>
    <hyperlink ref="D2913" r:id="rId3037" display="2020_08/18.08.2020/99027"/>
    <hyperlink ref="D2921" r:id="rId3038" display="2020_08/18.08.2020/99979"/>
    <hyperlink ref="D2956" r:id="rId3039" display="2020_08/18.08.2020/107182"/>
    <hyperlink ref="D2957" r:id="rId3040" display="2020_08/18.08.2020/107208"/>
    <hyperlink ref="D2917" r:id="rId3041" display="2020_08/18.08.2020/99542"/>
    <hyperlink ref="D2963" r:id="rId3042" display="2020_08/20.08.2020/108788"/>
    <hyperlink ref="D2903" r:id="rId3043" display="2020_08/18.08.2020/95749"/>
    <hyperlink ref="D2916" r:id="rId3044" display="2020_08/18.08.2020/99482"/>
    <hyperlink ref="D2915" r:id="rId3045" display="2020_08/18.08.2020/99466"/>
    <hyperlink ref="D2919" r:id="rId3046" display="2020_08\18.08.2020\99792"/>
    <hyperlink ref="D2959" r:id="rId3047" display="2020_08/18.08.2020/108102"/>
    <hyperlink ref="D2904" r:id="rId3048" display="2020_08/17.08.2020/97991"/>
    <hyperlink ref="D2924" r:id="rId3049" display="2020_08/19.08.2020/100127"/>
    <hyperlink ref="D2925" r:id="rId3050" display="2020_08/19.08.2020/100149"/>
    <hyperlink ref="D2929" r:id="rId3051" display="2020_08/19.08.2020/100390"/>
    <hyperlink ref="D2960" r:id="rId3052" display="2020_08/19.08.2020/108245"/>
    <hyperlink ref="D2954" r:id="rId3053" display="2020_08/17.08.2020/106861"/>
    <hyperlink ref="D2918" r:id="rId3054" display="2020_08/19.08.2020/99760"/>
    <hyperlink ref="D2931" r:id="rId3055" display="2020_08/19.08.2020/100454"/>
    <hyperlink ref="D2923" r:id="rId3056" display="2020_08/18.08.2020/100111"/>
    <hyperlink ref="D2932" r:id="rId3057" display="2020_08/20.08.2020/100457"/>
    <hyperlink ref="D2937" r:id="rId3058" display="2020_08/20.08.2020/100924"/>
    <hyperlink ref="D2926" r:id="rId3059" display="2020_08/19.08.2020/100198"/>
    <hyperlink ref="D2902" r:id="rId3060" display="2020_08\19.08.2020\95656"/>
    <hyperlink ref="D2935" r:id="rId3061" display="2020_08/19.08.2020/100852"/>
    <hyperlink ref="D2941" r:id="rId3062" display="2020_08/20.08.2020/101386"/>
    <hyperlink ref="D2938" r:id="rId3063" display="2020_08\19.08.2020\100930"/>
    <hyperlink ref="D2940" r:id="rId3064" display="2020_08/20.08.2020/101384"/>
    <hyperlink ref="D2936" r:id="rId3065" display="2020_08/20.08.2020/100906"/>
    <hyperlink ref="D2900" r:id="rId3066" display="2020_08\20.08.2020\92527"/>
    <hyperlink ref="D2958" r:id="rId3067" display="2020_08/18.08.2020/107553"/>
    <hyperlink ref="D2946" r:id="rId3068" display="2020_08/21.08.2020/101796"/>
    <hyperlink ref="D2939" r:id="rId3069" display="2020_08/21.08.2020/101211"/>
    <hyperlink ref="D2951" r:id="rId3070" display="2020_08/21.08.2020/102547"/>
    <hyperlink ref="D2947" r:id="rId3071" display="2020_08/21.08.2020/102013"/>
    <hyperlink ref="D2964" r:id="rId3072" display="2020_08/20.08.2020/108983"/>
    <hyperlink ref="D2942" r:id="rId3073" display="2020_08/20.08.2020/101450"/>
    <hyperlink ref="D2928" r:id="rId3074" display="2020_08/20.08.2020/100368"/>
    <hyperlink ref="D2965" r:id="rId3075" display="2020_08\20.08.2020\109547"/>
    <hyperlink ref="D2948" r:id="rId3076" display="2020_08/21.08.2020/102332"/>
    <hyperlink ref="D3018" r:id="rId3077" display="2020_08\24.08.2020\109966"/>
    <hyperlink ref="D2971" r:id="rId3078" display="2020_08\24.08.2020\102474"/>
    <hyperlink ref="D3019" r:id="rId3079" display="2020_08/24.08.2020/110550"/>
    <hyperlink ref="D2982" r:id="rId3080" display="2020_08/24.08.2020/103474"/>
    <hyperlink ref="D3020" r:id="rId3081" display="2020_08/24.08.2020/110551"/>
    <hyperlink ref="D2974" r:id="rId3082" display="2020_08\25.08.2020\103005"/>
    <hyperlink ref="D2975" r:id="rId3083" display="2020_08/25.08.2020/103025"/>
    <hyperlink ref="D2972" r:id="rId3084" display="2020_08/25.08.2020/102831"/>
    <hyperlink ref="D2976" r:id="rId3085" display="2020_08/25.08.2020/103188"/>
    <hyperlink ref="D2981" r:id="rId3086" display="2020_08/24.08.2020/103473"/>
    <hyperlink ref="D2992" r:id="rId3087" display="2020_08/25.08.2020/103976"/>
    <hyperlink ref="D2969" r:id="rId3088" display="2020_08/25.08.2020/91225"/>
    <hyperlink ref="D2978" r:id="rId3089" display="2020_08/25.08.2020/103252"/>
    <hyperlink ref="D2979" r:id="rId3090" display="2020_08/25.08.2020/103339"/>
    <hyperlink ref="D2985" r:id="rId3091" display="2020_08/25.08.2020/103564"/>
    <hyperlink ref="D3025" r:id="rId3092" display="2020_08/25.08.2020/111915"/>
    <hyperlink ref="D3022" r:id="rId3093" display="2020_08/25.08.2020/111368"/>
    <hyperlink ref="D2986" r:id="rId3094" display="2020_08/25.08.2020/103619"/>
    <hyperlink ref="D2990" r:id="rId3095" display="2020_08/26.08.2020/103889"/>
    <hyperlink ref="D2984" r:id="rId3096" display="2020_08/25.08.2020/103537"/>
    <hyperlink ref="D2996" r:id="rId3097" display="2020_08/26.08.2020/104421"/>
    <hyperlink ref="D2973" r:id="rId3098" display="2020_08/25.08.2020/102984"/>
    <hyperlink ref="D2991" r:id="rId3099" display="2020_08/25.08.2020/103927"/>
    <hyperlink ref="D2980" r:id="rId3100" display="2020_08/25.08.2020/103393"/>
    <hyperlink ref="D2977" r:id="rId3101" display="2020_08/25.08.2020/103235"/>
    <hyperlink ref="D2950" r:id="rId3102" display="2020_08/21.08.2020/102436"/>
    <hyperlink ref="D2998" r:id="rId3103" display="2020_08/27.08.2020/104726"/>
    <hyperlink ref="D2983" r:id="rId3104" display="2020_08/26.08.2020/103533"/>
    <hyperlink ref="D2993" r:id="rId3105" display="2020_08/26.08.2020/104082"/>
    <hyperlink ref="D3002" r:id="rId3106" display="2020_08/26.08.2020/104986"/>
    <hyperlink ref="D3003" r:id="rId3107" display="2020_08/26.08.2020/104987"/>
    <hyperlink ref="D3009" r:id="rId3108" display="2020_08/27.08.2020/105707"/>
    <hyperlink ref="D3013" r:id="rId3109" display="2020_08/28.08.2020/106258"/>
    <hyperlink ref="D2989" r:id="rId3110" display="2020_08\26.08.2020\103827"/>
    <hyperlink ref="D2988" r:id="rId3111" display="2020_08/26.08.2020/103770"/>
    <hyperlink ref="D3023" r:id="rId3112" display="2020_08/26.08.2020/111426"/>
    <hyperlink ref="D2995" r:id="rId3113" display="2020_08/26.08.2020/104307"/>
    <hyperlink ref="D2997" r:id="rId3114" display="2020_08\27.08.2020\104599"/>
    <hyperlink ref="D2945" r:id="rId3115" display="2020_08/21.08.2020/101738"/>
    <hyperlink ref="D3021" r:id="rId3116" display="2020_08/24.08.2020/111091"/>
    <hyperlink ref="D3032" r:id="rId3117" display="2020_08/28.08.2020/113510"/>
    <hyperlink ref="D3000" r:id="rId3118" display="2020_08/27.08.2020/104814"/>
    <hyperlink ref="D3007" r:id="rId3119" display="2020_08/27.08.2020/105250"/>
    <hyperlink ref="D3001" r:id="rId3120" display="2020_08/27.08.2020/104859"/>
    <hyperlink ref="D2970" r:id="rId3121" display="2020_08/24.08.2020/95219"/>
    <hyperlink ref="D3014" r:id="rId3122" display="2020_08/28.08.2020/106307"/>
    <hyperlink ref="D3028" r:id="rId3123" display="2020_08/28.08.2020/113174"/>
    <hyperlink ref="D3027" r:id="rId3124" display="2020_08/27.08.2020/112862"/>
    <hyperlink ref="D3017" r:id="rId3125" display="2020_08/28.08.2020/106517"/>
    <hyperlink ref="D3008" r:id="rId3126" display="2020_08/28.08.2020/105539"/>
    <hyperlink ref="D2987" r:id="rId3127" display="2020_08/26.08.2020/103718"/>
    <hyperlink ref="D3026" r:id="rId3128" display="2020_08/26.08.2020/112201"/>
    <hyperlink ref="D3031" r:id="rId3129" display="2020_08/27.08.2020/113450"/>
    <hyperlink ref="D2999" r:id="rId3130" display="2020_08/27.08.2020/104765"/>
    <hyperlink ref="D3004" r:id="rId3131" display="2020_08/27.08.2020/105093"/>
    <hyperlink ref="D3005" r:id="rId3132" display="2020_08/27.08.2020/105226"/>
    <hyperlink ref="D3006" r:id="rId3133" display="2020_08/27.08.2020/105241"/>
    <hyperlink ref="D3030" r:id="rId3134" display="2020_08/27.08.2020/113431"/>
    <hyperlink ref="D3024" r:id="rId3135" display="2020_08/26.08.2020/111441"/>
    <hyperlink ref="D3015" r:id="rId3136" display="2020_08/28.08.2020/106368"/>
    <hyperlink ref="D3012" r:id="rId3137" display="2020_08/28.08.2020/106070"/>
    <hyperlink ref="D3029" r:id="rId3138" display="2020_08/28.08.2020/113194"/>
    <hyperlink ref="D3033" r:id="rId3139" display="2020_08\28.08.2020\114073"/>
    <hyperlink ref="D3036" r:id="rId3140" display="2020_08/31.08.2020/106210"/>
    <hyperlink ref="D3040" r:id="rId3141" display="2020_08/31.08.2020/106651"/>
    <hyperlink ref="D3068" r:id="rId3142" display="2020_08/31.08.2020/113938"/>
    <hyperlink ref="D3069" r:id="rId3143" display="2020_08/31.08.2020/114415"/>
    <hyperlink ref="D3070" r:id="rId3144" display="2020_08\31.08.2020\115036"/>
    <hyperlink ref="D3042" r:id="rId3145" display="2020_08/31.08.2020/106805"/>
    <hyperlink ref="D3038" r:id="rId3146" display="2020_08/31.08.2020/106246"/>
    <hyperlink ref="D3041" r:id="rId3147" display="2020_08/31.08.2020/106731"/>
    <hyperlink ref="D3016" r:id="rId3148" display="2020_08/28.08.2020/106398"/>
    <hyperlink ref="D3010" r:id="rId3149" display="2020_08/28.08.2020/106001"/>
    <hyperlink ref="D3076" r:id="rId3150" display="2020_09/01.09.2020/115521"/>
    <hyperlink ref="D3075" r:id="rId3151" display="2020_09/01.09.2020/115380"/>
    <hyperlink ref="D3073" r:id="rId3152" display="2020_09/01.09.2020/115341"/>
    <hyperlink ref="D3071" r:id="rId3153" display="2020_09\01.09.2020\115252"/>
    <hyperlink ref="D3078" r:id="rId3154" display="2020_09/01.09.2020/115789"/>
    <hyperlink ref="D2994" r:id="rId3155" display="2020_08/26.08.2020/104253"/>
    <hyperlink ref="D3045" r:id="rId3156" display="2020_09/01.09.2020/107329"/>
    <hyperlink ref="D3072" r:id="rId3157" display="2020_09/01.09.2020/115261"/>
    <hyperlink ref="D3044" r:id="rId3158" display="2020_09\01.09.2020\107090"/>
    <hyperlink ref="D3011" r:id="rId3159" display="2020_08/28.08.2020/106024"/>
    <hyperlink ref="D3048" r:id="rId3160" display="2020_09/01.09.2020/107536"/>
    <hyperlink ref="D3054" r:id="rId3161" display="2020_09/02.09.2020/108839"/>
    <hyperlink ref="D3077" r:id="rId3162" display="2020_09/02.09.2020/115636"/>
    <hyperlink ref="D3053" r:id="rId3163" display="2020_09/02.09.2020/108502"/>
    <hyperlink ref="D3049" r:id="rId3164" display="2020_09/02.09.2020/107667"/>
    <hyperlink ref="D3052" r:id="rId3165" display="2020_09/02.09.2020/108110"/>
    <hyperlink ref="D3080" r:id="rId3166" display="2020_09/03.09.2020/116258"/>
    <hyperlink ref="D3046" r:id="rId3167" display="2020_08/31.08.2020/107336"/>
    <hyperlink ref="D3039" r:id="rId3168" display="2020_08/31.08.2020/106438"/>
    <hyperlink ref="D3047" r:id="rId3169" display="2020_09/01.09.2020/107482"/>
    <hyperlink ref="D3043" r:id="rId3170" display="2020_09/01.09.2020/106898"/>
    <hyperlink ref="D3050" r:id="rId3171" display="2020_09/02.09.2020/108037"/>
    <hyperlink ref="D3051" r:id="rId3172" display="2020_09/02.09.2020/108067"/>
    <hyperlink ref="D3074" r:id="rId3173" display="2020_09\01.09.2020\115357"/>
    <hyperlink ref="D3082" r:id="rId3174" display="2020_09/03.09.2020/116395"/>
    <hyperlink ref="D3060" r:id="rId3175" display="2020_09/03.09.2020/109598"/>
    <hyperlink ref="D3037" r:id="rId3176" display="2020_08/31.08.2020/106222"/>
    <hyperlink ref="D3061" r:id="rId3177" display="2020_09/03.09.2020/109691"/>
    <hyperlink ref="D3056" r:id="rId3178" display="2020_09/03.09.2020/108991"/>
    <hyperlink ref="D3058" r:id="rId3179" display="2020_09/03.09.2020/109183"/>
    <hyperlink ref="D3059" r:id="rId3180" display="2020_09/03.09.2020/109491"/>
    <hyperlink ref="D3063" r:id="rId3181" display="2020_09/03.09.2020/109805"/>
    <hyperlink ref="D3084" r:id="rId3182" display="2020_09/03.09.2020/116764"/>
    <hyperlink ref="D3085" r:id="rId3183" display="2020_09/03.09.2020/116833"/>
    <hyperlink ref="D3062" r:id="rId3184" display="2020_09/04.09.2020/109760"/>
    <hyperlink ref="D3034" r:id="rId3185" display="2020_09/02.09.2020/95908"/>
    <hyperlink ref="D3079" r:id="rId3186" display="2020_09/02.09.2020/115968"/>
    <hyperlink ref="D3057" r:id="rId3187" display="2020_09/03.09.2020/108998"/>
    <hyperlink ref="D3081" r:id="rId3188" display="2020_09\03.09.2020\116387"/>
    <hyperlink ref="D3055" r:id="rId3189" display="2020_09/03.09.2020/108958"/>
    <hyperlink ref="D3083" r:id="rId3190" display="2020_09/03.09.2020/116636"/>
    <hyperlink ref="D3065" r:id="rId3191" display="2020_09/04.09.2020/109900"/>
    <hyperlink ref="D3064" r:id="rId3192" display="2020_09/04.09.2020/109885"/>
    <hyperlink ref="D3035" r:id="rId3193" display="2020_09/04.09.2020/101801"/>
    <hyperlink ref="D3086" r:id="rId3194" display="2020_09/04.09.2020/117668"/>
    <hyperlink ref="D3067" r:id="rId3195" display="2020_09/04.09.2020/110206"/>
    <hyperlink ref="D3066" r:id="rId3196" display="2020_09/04.09.2020/110018"/>
    <hyperlink ref="D3094" r:id="rId3197" display="2020_09/07.09.2020/110586"/>
    <hyperlink ref="D3096" r:id="rId3198" display="2020_09/07.09.2020/110934"/>
    <hyperlink ref="D3097" r:id="rId3199" display="2020_09/07.09.2020/110985"/>
    <hyperlink ref="D3090" r:id="rId3200" display="2020_09/07.09.2020/109971"/>
    <hyperlink ref="D3091" r:id="rId3201" display="2020_09/07.09.2020/109975"/>
    <hyperlink ref="D3128" r:id="rId3202" display="2020_09/08.09.2020/119201"/>
    <hyperlink ref="D3087" r:id="rId3203" display="2020_09/04.09.2020/117705"/>
    <hyperlink ref="D3088" r:id="rId3204" display="2020_09/08.09.2020/103337"/>
    <hyperlink ref="D3093" r:id="rId3205" display="2020_09\08.09.2020\110585"/>
    <hyperlink ref="D3103" r:id="rId3206" display="2020_09/08.09.2020/111528"/>
    <hyperlink ref="D3105" r:id="rId3207" display="2020_09\08.09.2020\111928"/>
    <hyperlink ref="D3123" r:id="rId3208" display="2020_09/08.09.2020/118601"/>
    <hyperlink ref="D3126" r:id="rId3209" display="2020_09\08.09.2020\119019"/>
    <hyperlink ref="D3101" r:id="rId3210" display="2020_09/08.09.2020/111429"/>
    <hyperlink ref="D3122" r:id="rId3211" display="2020_09/08.09.2020/118522"/>
    <hyperlink ref="D3124" r:id="rId3212" display="2020_09/08.09.2020/118767"/>
    <hyperlink ref="D3104" r:id="rId3213" display="2020_09/08.09.2020/111882"/>
    <hyperlink ref="D3107" r:id="rId3214" display="2020_09\09.09.2020\112520"/>
    <hyperlink ref="D3102" r:id="rId3215" display="2020_09/09.09.2020/111438"/>
    <hyperlink ref="D3092" r:id="rId3216" display="2020_09\07.09.2020\110416"/>
    <hyperlink ref="D3108" r:id="rId3217" display="2020_09/09.09.2020/112843"/>
    <hyperlink ref="D3132" r:id="rId3218" display="2020_09/09.09.2020/120252"/>
    <hyperlink ref="D3134" r:id="rId3219" display="2020_09\09.09.2020\120315"/>
    <hyperlink ref="D3106" r:id="rId3220" display="2020_09/09.09.2020/112223"/>
    <hyperlink ref="D3135" r:id="rId3221" display="2020_09\09.09.2020\120374"/>
    <hyperlink ref="D3125" r:id="rId3222" display="2020_09/09.09.2020/118980"/>
    <hyperlink ref="D3121" r:id="rId3223" display="2020_09/08.09.2020/118516"/>
    <hyperlink ref="D3098" r:id="rId3224" display="2020_09/08.09.2020/111320"/>
    <hyperlink ref="D3133" r:id="rId3225" display="2020_09/09.09.2020/120299"/>
    <hyperlink ref="D3099" r:id="rId3226" display="2020_09/09.09.2020/111373"/>
    <hyperlink ref="D3100" r:id="rId3227" display="2020_09/09.09.2020/111428"/>
    <hyperlink ref="D3120" r:id="rId3228" display="2020_09/07.09.2020/118047"/>
    <hyperlink ref="D3127" r:id="rId3229" display="2020_09\08.09.2020\119087"/>
    <hyperlink ref="D3130" r:id="rId3230" display="2020_09/09.09.2020/119675"/>
    <hyperlink ref="D3109" r:id="rId3231" display="2020_09/10.09.2020/112977"/>
    <hyperlink ref="D3117" r:id="rId3232" display="2020_09/11.09.2020/114041"/>
    <hyperlink ref="D3118" r:id="rId3233" display="2020_09/11.09.2020/114045"/>
    <hyperlink ref="D3139" r:id="rId3234" display="2020_09/10.09.2020/120923"/>
    <hyperlink ref="D3136" r:id="rId3235" display="2020_09/10.09.2020/120412"/>
    <hyperlink ref="D3138" r:id="rId3236" display="2020_09/10.09.2020/120798"/>
    <hyperlink ref="D3115" r:id="rId3237" display="2020_09/10.09.2020/113448"/>
    <hyperlink ref="D3140" r:id="rId3238" display="2020_09/10.09.2020/120958"/>
    <hyperlink ref="D3114" r:id="rId3239" display="2020_09/10.09.2020/113358"/>
    <hyperlink ref="D3110" r:id="rId3240" display="2020_09/11.09.2020/113076"/>
    <hyperlink ref="D3111" r:id="rId3241" display="2020_09/11.09.2020/113124"/>
    <hyperlink ref="D3142" r:id="rId3242" display="2020_09/11.09.2020/121532"/>
    <hyperlink ref="D3119" r:id="rId3243" display="2020_09/11.09.2020/114267"/>
    <hyperlink ref="D3143" r:id="rId3244" display="2020_09\11.09.2020\121617"/>
    <hyperlink ref="D3146" r:id="rId3245" display="2020_09\11.09.2020\114062"/>
    <hyperlink ref="D3112" r:id="rId3246" display="2020_09/11.09.2020/113183"/>
    <hyperlink ref="D3113" r:id="rId3247" display="2020_09\11.09.2020\113189"/>
    <hyperlink ref="D3131" r:id="rId3248" display="2020_09/09.09.2020/120028"/>
    <hyperlink ref="D3147" r:id="rId3249" display="2020_09\11.09.2020\109984"/>
    <hyperlink ref="D3089" r:id="rId3250" display="2020_09\10.09.2020\104898"/>
    <hyperlink ref="D3141" r:id="rId3251" display="2020_09\10.09.2020\121038"/>
    <hyperlink ref="D3116" r:id="rId3252" display="2020_09/11.09.2020/113615"/>
    <hyperlink ref="D3144" r:id="rId3253" display="2020_09/11.09.2020/121936"/>
    <hyperlink ref="D3145" r:id="rId3254" display="2020_09/11.09.2020/121956"/>
    <hyperlink ref="D3156" r:id="rId3255" display="2020_09\14.09.2020\110183"/>
    <hyperlink ref="D3129" r:id="rId3256" display="2020_09\08.09.2020\119417"/>
    <hyperlink ref="D3164" r:id="rId3257" display="2020_09/14.09.2020/114100"/>
    <hyperlink ref="D3165" r:id="rId3258" display="2020_09/14.09.2020/114278"/>
    <hyperlink ref="D3166" r:id="rId3259" display="2020_09/14.09.2020/114367"/>
    <hyperlink ref="D3176" r:id="rId3260" display="2020_09/14.09.2020/114953"/>
    <hyperlink ref="D3168" r:id="rId3261" display="2020_09/14.09.2020/114463"/>
    <hyperlink ref="D3170" r:id="rId3262" display="2020_09/14.09.2020/114499"/>
    <hyperlink ref="D3217" r:id="rId3263" display="2020_09/14.09.2020/122787"/>
    <hyperlink ref="D3172" r:id="rId3264" display="2020_09/14.09.2020/114581"/>
    <hyperlink ref="D3177" r:id="rId3265" display="2020_09/14.09.2020/115056"/>
    <hyperlink ref="D3152" r:id="rId3266" display="2020_09/14.09.2020/106863"/>
    <hyperlink ref="D3175" r:id="rId3267" display="2020_09/14.09.2020/114931"/>
    <hyperlink ref="D3169" r:id="rId3268" display="2020_09/14.09.2020/114464"/>
    <hyperlink ref="D3215" r:id="rId3269" display="2020_09/14.09.2020/122579"/>
    <hyperlink ref="D3186" r:id="rId3270" display="2020_09/15.09.2020/115824"/>
    <hyperlink ref="D3182" r:id="rId3271" display="2020_09/15.09.2020/115482"/>
    <hyperlink ref="D3180" r:id="rId3272" display="2020_09/15.09.2020/115317"/>
    <hyperlink ref="D3137" r:id="rId3273" display="2020_09\11.09.2020\120757"/>
    <hyperlink ref="D3247" r:id="rId3274" display="2020_09/09.09.2020/120516"/>
    <hyperlink ref="D3212" r:id="rId3275" display="2020_09/14.09.2020/122024"/>
    <hyperlink ref="D3220" r:id="rId3276" display="2020_09/15.09.2020/123136"/>
    <hyperlink ref="D3178" r:id="rId3277" display="2020_09/15.09.2020/115109"/>
    <hyperlink ref="D3184" r:id="rId3278" display="2020_09/15.09.2020/115524"/>
    <hyperlink ref="D3171" r:id="rId3279" display="2020_09/15.09.2020/114518"/>
    <hyperlink ref="D3173" r:id="rId3280" display="2020_09/15.09.2020/114684"/>
    <hyperlink ref="D3179" r:id="rId3281" display="2020_09/15.09.2020/115160"/>
    <hyperlink ref="D3223" r:id="rId3282" display="2020_09/15.09.2020/123514"/>
    <hyperlink ref="D3214" r:id="rId3283" display="2020_09/15.09.2020/122470"/>
    <hyperlink ref="D3185" r:id="rId3284" display="2020_09/15.09.2020/115551"/>
    <hyperlink ref="D3218" r:id="rId3285" display="2020_09/15.09.2020/122919"/>
    <hyperlink ref="D3221" r:id="rId3286" display="2020_09/15.09.2020/123186"/>
    <hyperlink ref="D3181" r:id="rId3287" display="2020_09/15.09.2020/115467"/>
    <hyperlink ref="D3213" r:id="rId3288" display="2020_09/15.09.2020/122339"/>
    <hyperlink ref="D3155" r:id="rId3289" display="2020_09/16.09.2020/109074"/>
    <hyperlink ref="D3183" r:id="rId3290" display="2020_09/15.09.2020/115519"/>
    <hyperlink ref="D3154" r:id="rId3291" display="2020_09/16.09.2020/107630"/>
    <hyperlink ref="D3219" r:id="rId3292" display="2020_09/15.09.2020/123097"/>
    <hyperlink ref="D3150" r:id="rId3293" display="2020_09/15.09.2020/103388"/>
    <hyperlink ref="D3153" r:id="rId3294" display="2020_09\15.09.2020\107032"/>
    <hyperlink ref="D3224" r:id="rId3295" display="2020_09\16.09.2020\123583"/>
    <hyperlink ref="D3192" r:id="rId3296" display="2020_09/16.09.2020/116305"/>
    <hyperlink ref="D3188" r:id="rId3297" display="2020_09\16.09.2020\115877"/>
    <hyperlink ref="D3191" r:id="rId3298" display="2020_09\16.09.2020\116249"/>
    <hyperlink ref="D3159" r:id="rId3299" display="2020_09\16.09.2020\111772"/>
    <hyperlink ref="D3167" r:id="rId3300" display="2020_09\14.09.2020\114397"/>
    <hyperlink ref="D3230" r:id="rId3301" display="2020_09/16.09.2020/124074"/>
    <hyperlink ref="D3189" r:id="rId3302" display="2020_09\16.09.2020\116030"/>
    <hyperlink ref="D3174" r:id="rId3303" display="2020_09/15.09.2020/114916"/>
    <hyperlink ref="D3151" r:id="rId3304" display="2020_09/17.09.2020/105003"/>
    <hyperlink ref="D3160" r:id="rId3305" display="2020_09/17.09.2020/112115"/>
    <hyperlink ref="D3161" r:id="rId3306" display="2020_09/17.09.2020/112405"/>
    <hyperlink ref="D3187" r:id="rId3307" display="2020_09/16.09.2020/115871"/>
    <hyperlink ref="D3222" r:id="rId3308" display="2020_09/16.09.2020/123189"/>
    <hyperlink ref="D3228" r:id="rId3309" display="2020_09/16.09.2020/123926"/>
    <hyperlink ref="D3226" r:id="rId3310" display="2020_09/17.09.2020/123674"/>
    <hyperlink ref="D3193" r:id="rId3311" display="2020_09/17.09.2020/116474"/>
    <hyperlink ref="D3198" r:id="rId3312" display="2020_09/17.09.2020/116854"/>
    <hyperlink ref="D3204" r:id="rId3313" display="2020_09/17.09.2020/117010"/>
    <hyperlink ref="D3231" r:id="rId3314" display="2020_09/17.09.2020/124521"/>
    <hyperlink ref="D3203" r:id="rId3315" display="2020_09/17.09.2020/116990"/>
    <hyperlink ref="D3205" r:id="rId3316" display="2020_09/17.09.2020/117035"/>
    <hyperlink ref="D3206" r:id="rId3317" display="2020_09/17.09.2020/117183"/>
    <hyperlink ref="D3236" r:id="rId3318" display="2020_09/17.09.2020/124733"/>
    <hyperlink ref="D3202" r:id="rId3319" display="2020_09/17.09.2020/116927"/>
    <hyperlink ref="D3196" r:id="rId3320" display="2020_09/17.09.2020/116649"/>
    <hyperlink ref="D3190" r:id="rId3321" display="2020_09/16.09.2020/116078"/>
    <hyperlink ref="D3229" r:id="rId3322" display="2020_09/17.09.2020/124051"/>
    <hyperlink ref="D3234" r:id="rId3323" display="2020_09/17.09.2020/124666"/>
    <hyperlink ref="D3233" r:id="rId3324" display="2020_09/17.09.2020/124624"/>
    <hyperlink ref="D3157" r:id="rId3325" display="2020_09/18.09.2020/110243"/>
    <hyperlink ref="D3158" r:id="rId3326" display="2020_09/18.09.2020/110303"/>
    <hyperlink ref="D3225" r:id="rId3327" display="2020_09/16.09.2020/123617"/>
    <hyperlink ref="D3197" r:id="rId3328" display="2020_09/17.09.2020/116674"/>
    <hyperlink ref="D3162" r:id="rId3329" display="2020_09/17.09.2020/112517"/>
    <hyperlink ref="D3199" r:id="rId3330" display="2020_09/17.09.2020/116876"/>
    <hyperlink ref="D3210" r:id="rId3331" display="2020_09/18.09.2020/117798"/>
    <hyperlink ref="D3237" r:id="rId3332" display="2020_09/18.09.2020/124849"/>
    <hyperlink ref="D3163" r:id="rId3333" display="2020_09/18.09.2020/113732"/>
    <hyperlink ref="D3208" r:id="rId3334" display="2020_09/18.09.2020/117454"/>
    <hyperlink ref="D3244" r:id="rId3335" display="2020_09/18.09.2020/125508"/>
    <hyperlink ref="D3241" r:id="rId3336" display="2020_09/18.09.2020/124997"/>
    <hyperlink ref="D3242" r:id="rId3337" display="2020_09/18.09.2020/125286"/>
    <hyperlink ref="D3239" r:id="rId3338" display="2020_09/18.09.2020/125036"/>
    <hyperlink ref="D3232" r:id="rId3339" display="2020_09\18.09.2020\124610"/>
    <hyperlink ref="D3238" r:id="rId3340" display="2020_09/17.09.2020/124973"/>
    <hyperlink ref="D3201" r:id="rId3341" display="2020_09/17.09.2020/116915"/>
    <hyperlink ref="D3211" r:id="rId3342" display="2020_09/18.09.2020/117961"/>
    <hyperlink ref="D3200" r:id="rId3343" display="2020_09/18.09.2020/116912"/>
    <hyperlink ref="D3327" r:id="rId3344" display="2020_09\21.09.2020\126492"/>
    <hyperlink ref="D3361" r:id="rId3345" display="2020_09/17.09.2020/124453"/>
    <hyperlink ref="D3195" r:id="rId3346" display="2020_09/17.09.2020/116614"/>
    <hyperlink ref="D3216" r:id="rId3347" display="2020_09/14.09.2020/122781"/>
    <hyperlink ref="D3258" r:id="rId3348" display="2020_09/21.09.2020/118190"/>
    <hyperlink ref="D3194" r:id="rId3349" display="2020_09/17.09.2020/116501"/>
    <hyperlink ref="D3259" r:id="rId3350" display="2020_09/21.09.2020/118219"/>
    <hyperlink ref="D3266" r:id="rId3351" display="2020_09/21.09.2020/118797"/>
    <hyperlink ref="D3316" r:id="rId3352" display="2020_09/21.09.2020/125098"/>
    <hyperlink ref="D3320" r:id="rId3353" display="2020_09/21.09.2020/125886"/>
    <hyperlink ref="D3260" r:id="rId3354" display="2020_09/21.09.2020/118510"/>
    <hyperlink ref="D3319" r:id="rId3355" display="2020_09/21.09.2020/125742"/>
    <hyperlink ref="D3245" r:id="rId3356" display="2020_09\18.09.2020\125511"/>
    <hyperlink ref="D3207" r:id="rId3357" display="2020_09\18.09.2020\117430"/>
    <hyperlink ref="D3209" r:id="rId3358" display="2020_09/18.09.2020/117674"/>
    <hyperlink ref="D3240" r:id="rId3359" display="2020_09\18.09.2020\125068"/>
    <hyperlink ref="D3243" r:id="rId3360" display="2020_09/18.09.2020/125410"/>
    <hyperlink ref="D3326" r:id="rId3361" display="2020_09\21.09.2020\126442"/>
    <hyperlink ref="D3252" r:id="rId3362" display="2020_09/21.09.2020/117786"/>
    <hyperlink ref="D3323" r:id="rId3363" display="2020_09/21.09.2020/126282"/>
    <hyperlink ref="D3263" r:id="rId3364" display="2020_09/22.09.2020/118642"/>
    <hyperlink ref="D3262" r:id="rId3365" display="2020_09/22.09.2020/118590"/>
    <hyperlink ref="D3281" r:id="rId3366" display="2020_09/22.09.2020/119539"/>
    <hyperlink ref="D3254" r:id="rId3367" display="2020_09\22.09.2020\118089"/>
    <hyperlink ref="D3269" r:id="rId3368" display="2020_09/22.09.2020/118962"/>
    <hyperlink ref="D3329" r:id="rId3369" display="2020_09/22.09.2020/126622"/>
    <hyperlink ref="D3335" r:id="rId3370" display="2020_09/22.09.2020/127119"/>
    <hyperlink ref="D3328" r:id="rId3371" display="2020_09/21.09.2020/126559"/>
    <hyperlink ref="D3249" r:id="rId3372" display="2020_09/22.09.2020/115786"/>
    <hyperlink ref="D3264" r:id="rId3373" display="2020_09/22.09.2020/118663"/>
    <hyperlink ref="D3267" r:id="rId3374" display="2020_09/22.09.2020/118870"/>
    <hyperlink ref="D3277" r:id="rId3375" display="2020_09/22.09.2020/119363"/>
    <hyperlink ref="D3282" r:id="rId3376" display="2020_09/22.09.2020/119611"/>
    <hyperlink ref="D3255" r:id="rId3377" display="2020_09/22.09.2020/118096"/>
    <hyperlink ref="D3268" r:id="rId3378" display="2020_09/22.09.2020/118915"/>
    <hyperlink ref="D3235" r:id="rId3379" display="2020_09/17.09.2020/124683"/>
    <hyperlink ref="D3227" r:id="rId3380" display="2020_09/16.09.2020/123725"/>
    <hyperlink ref="D3362" r:id="rId3381" display="2020_09\18.09.2020\117899"/>
    <hyperlink ref="D3253" r:id="rId3382" display="2020_09\21.09.2020\118052"/>
    <hyperlink ref="D3261" r:id="rId3383" display="2020_09/21.09.2020/118559"/>
    <hyperlink ref="D3317" r:id="rId3384" display="2020_09/21.09.2020/125675"/>
    <hyperlink ref="D3331" r:id="rId3385" display="2020_09\22.09.2020\126822"/>
    <hyperlink ref="D3279" r:id="rId3386" display="2020_09/22.09.2020/119524"/>
    <hyperlink ref="D3275" r:id="rId3387" display="2020_09/22.09.2020/119193"/>
    <hyperlink ref="D3318" r:id="rId3388" display="2020_09/22.09.2020/125725"/>
    <hyperlink ref="D3321" r:id="rId3389" display="2020_09/22.09.2020/126086"/>
    <hyperlink ref="D3283" r:id="rId3390" display="2020_09/23.09.2020/119625"/>
    <hyperlink ref="D3278" r:id="rId3391" display="2020_09\22.09.2020\119473"/>
    <hyperlink ref="D3330" r:id="rId3392" display="2020_09/22.09.2020/126795"/>
    <hyperlink ref="D3349" r:id="rId3393" display="2020_09/23.09.2020/127943"/>
    <hyperlink ref="D3333" r:id="rId3394" display="2020_09/22.09.2020/126956"/>
    <hyperlink ref="D3271" r:id="rId3395" display="2020_09/22.09.2020/119023"/>
    <hyperlink ref="D3273" r:id="rId3396" display="2020_09/22.09.2020/119151"/>
    <hyperlink ref="D3280" r:id="rId3397" display="2020_09/23.09.2020/119529"/>
    <hyperlink ref="D3294" r:id="rId3398" display="2020_09/23.09.2020/120265"/>
    <hyperlink ref="D3344" r:id="rId3399" display="2020_09/23.09.2020/127583"/>
    <hyperlink ref="D3288" r:id="rId3400" display="2020_09/23.09.2020/120128"/>
    <hyperlink ref="D3343" r:id="rId3401" display="2020_09/23.09.2020/127565"/>
    <hyperlink ref="D3291" r:id="rId3402" display="2020_09/24.09.2020/120204"/>
    <hyperlink ref="D3354" r:id="rId3403" display="2020_09/24.09.2020/128378"/>
    <hyperlink ref="D3246" r:id="rId3404" display="2020_09/18.09.2020/125623"/>
    <hyperlink ref="D3325" r:id="rId3405" display="2020_09\22.09.2020\126298"/>
    <hyperlink ref="D3270" r:id="rId3406" display="2020_09\22.09.2020\119012"/>
    <hyperlink ref="D3340" r:id="rId3407" display="2020_09/18.09.2020/127478"/>
    <hyperlink ref="D3257" r:id="rId3408" display="2020_09\22.09.2020\118154"/>
    <hyperlink ref="D3256" r:id="rId3409" display="2020_09/22.09.2020/118143"/>
    <hyperlink ref="D3322" r:id="rId3410" display="2020_09/22.09.2020/126175"/>
    <hyperlink ref="D3265" r:id="rId3411" display="2020_09/22.09.2020/118701"/>
    <hyperlink ref="D3332" r:id="rId3412" display="2020_09/22.09.2020/126925"/>
    <hyperlink ref="D3363" r:id="rId3413" display="2020_09/23.09.2020/120239"/>
    <hyperlink ref="D3272" r:id="rId3414" display="2020_09/23.09.2020/119123"/>
    <hyperlink ref="D3286" r:id="rId3415" display="2020_09/23.09.2020/119871"/>
    <hyperlink ref="D3337" r:id="rId3416" display="2020_09/23.09.2020/127338"/>
    <hyperlink ref="D3292" r:id="rId3417" display="2020_09/23.09.2020/120214"/>
    <hyperlink ref="D3295" r:id="rId3418" display="2020_09/23.09.2020/120288"/>
    <hyperlink ref="D3287" r:id="rId3419" display="2020_09/23.09.2020/120055"/>
    <hyperlink ref="D3296" r:id="rId3420" display="2020_09/23.09.2020/120329"/>
    <hyperlink ref="D3299" r:id="rId3421" display="2020_09/24.09.2020/120371"/>
    <hyperlink ref="D3303" r:id="rId3422" display="2020_09/24.09.2020/120766"/>
    <hyperlink ref="D3341" r:id="rId3423" display="2020_09/24.09.2020/127508"/>
    <hyperlink ref="D3274" r:id="rId3424" display="2020_09/22.09.2020/119165"/>
    <hyperlink ref="D3289" r:id="rId3425" display="2020_09/23.09.2020/120129"/>
    <hyperlink ref="D3355" r:id="rId3426" display="2020_09/24.09.2020/128740"/>
    <hyperlink ref="D3353" r:id="rId3427" display="2020_09/24.09.2020/128296"/>
    <hyperlink ref="D3251" r:id="rId3428" display="2020_09\25.09.2020\117227"/>
    <hyperlink ref="D3324" r:id="rId3429" display="2020_09/21.09.2020/126285"/>
    <hyperlink ref="D3347" r:id="rId3430" display="2020_09/23.09.2020/127757"/>
    <hyperlink ref="D3290" r:id="rId3431" display="2020_09/23.09.2020/120186"/>
    <hyperlink ref="D3285" r:id="rId3432" display="2020_09/23.09.2020/119776"/>
    <hyperlink ref="D3352" r:id="rId3433" display="2020_09/24.09.2020/128069"/>
    <hyperlink ref="D3305" r:id="rId3434" display="2020_09/24.09.2020/120969"/>
    <hyperlink ref="D3306" r:id="rId3435" display="2020_09/24.09.2020/121119"/>
    <hyperlink ref="D3308" r:id="rId3436" display="2020_09/25.09.2020/121299"/>
    <hyperlink ref="D3312" r:id="rId3437" display="2020_09/25.09.2020/121618"/>
    <hyperlink ref="D3358" r:id="rId3438" display="2020_09/25.09.2020/129187"/>
    <hyperlink ref="D3339" r:id="rId3439" display="2020_09/24.09.2020/127413"/>
    <hyperlink ref="D3359" r:id="rId3440" display="2020_09/25.09.2020/129237"/>
    <hyperlink ref="D3309" r:id="rId3441" display="2020_09/25.09.2020/121482"/>
    <hyperlink ref="D3313" r:id="rId3442" display="2020_09/25.09.2020/121659"/>
    <hyperlink ref="D3348" r:id="rId3443" display="2020_09/23.09.2020/127941"/>
    <hyperlink ref="D3338" r:id="rId3444" display="2020_09/23.09.2020/127412"/>
    <hyperlink ref="D3300" r:id="rId3445" display="2020_09/24.09.2020/120418"/>
    <hyperlink ref="D3297" r:id="rId3446" display="2020_09/24.09.2020/120345"/>
    <hyperlink ref="D3276" r:id="rId3447" display="2020_09/22.09.2020/119330"/>
    <hyperlink ref="D3360" r:id="rId3448" display="2020_09/25.09.2020/129307"/>
    <hyperlink ref="D3307" r:id="rId3449" display="2020_09/25.09.2020/121244"/>
    <hyperlink ref="D3301" r:id="rId3450" display="2020_09/25.09.2020/120658"/>
    <hyperlink ref="D3302" r:id="rId3451" display="2020_09\24.09.2020\120739"/>
    <hyperlink ref="D3304" r:id="rId3452" display="2020_09/24.09.2020/120914"/>
    <hyperlink ref="D3342" r:id="rId3453" display="2020_09\24.09.2020\127538"/>
    <hyperlink ref="D3250" r:id="rId3454" display="2020_09/24.09.2020/116183"/>
    <hyperlink ref="D3293" r:id="rId3455" display="2020_09/24.09.2020/120232"/>
    <hyperlink ref="D3311" r:id="rId3456" display="2020_09/25.09.2020/121585"/>
    <hyperlink ref="D3314" r:id="rId3457" display="2020_09\25.09.2020\121708"/>
    <hyperlink ref="D3346" r:id="rId3458" display="2020_09\23.09.2020\127736"/>
    <hyperlink ref="D3351" r:id="rId3459" display="2020_09\23.09.2020\127979"/>
    <hyperlink ref="D3298" r:id="rId3460" display="2020_09\23.09.2020\120368"/>
    <hyperlink ref="D3350" r:id="rId3461" display="2020_09/24.09.2020/127962"/>
    <hyperlink ref="D3336" r:id="rId3462" display="2020_09/24.09.2020/127292"/>
    <hyperlink ref="D3345" r:id="rId3463" display="2020_09\24.09.2020\127629"/>
    <hyperlink ref="D3357" r:id="rId3464" display="2020_09/25.09.2020/129110"/>
    <hyperlink ref="D3356" r:id="rId3465" display="2020_09/25.09.2020/128911"/>
    <hyperlink ref="D3315" r:id="rId3466" display="2020_09/25.09.2020/121784"/>
    <hyperlink ref="D3310" r:id="rId3467" display="2020_09/25.09.2020/121526"/>
    <hyperlink ref="D3382" r:id="rId3468" display="2020_09/29.09.2020/122849"/>
    <hyperlink ref="D3386" r:id="rId3469" display="2020_09/29.09.2020/123383"/>
    <hyperlink ref="D3380" r:id="rId3470" display="2020_09/28.09.2020/122681"/>
    <hyperlink ref="D3376" r:id="rId3471" display="2020_09/28.09.2020/122537"/>
    <hyperlink ref="D3378" r:id="rId3472" display="2020_09/28.09.2020/122609"/>
    <hyperlink ref="D3379" r:id="rId3473" display="2020_09/28.09.2020/122615"/>
    <hyperlink ref="D3334" r:id="rId3474" display="2020_09/23.09.2020/127017"/>
    <hyperlink ref="D3445" r:id="rId3475" display="2020_09/24.09.2020/120576"/>
    <hyperlink ref="D3284" r:id="rId3476" display="2020_09/24.09.2020/119750"/>
    <hyperlink ref="D3371" r:id="rId3477" display="2020_09/28.09.2020/122218"/>
    <hyperlink ref="D3373" r:id="rId3478" display="2020_09/28.09.2020/122452"/>
    <hyperlink ref="D3375" r:id="rId3479" display="2020_09/28.09.2020/122502"/>
    <hyperlink ref="D3374" r:id="rId3480" display="2020_09/28.09.2020/122483"/>
    <hyperlink ref="D3372" r:id="rId3481" display="2020_09/28.09.2020/122334"/>
    <hyperlink ref="D3416" r:id="rId3482" display="2020_09/28.09.2020/130180"/>
    <hyperlink ref="D3381" r:id="rId3483" display="2020_09/28.09.2020/122683"/>
    <hyperlink ref="D3412" r:id="rId3484" display="2020_09/28.09.2020/129512"/>
    <hyperlink ref="D3414" r:id="rId3485" display="2020_09/28.09.2020/129666"/>
    <hyperlink ref="D3415" r:id="rId3486" display="2020_09/28.09.2020/130151"/>
    <hyperlink ref="D3384" r:id="rId3487" display="2020_09/29.09.2020/123199"/>
    <hyperlink ref="D3387" r:id="rId3488" display="2020_09/29.09.2020/123399"/>
    <hyperlink ref="D3377" r:id="rId3489" display="2020_09/29.09.2020/122565"/>
    <hyperlink ref="D3385" r:id="rId3490" display="2020_09/29.09.2020/123368"/>
    <hyperlink ref="D3417" r:id="rId3491" display="2020_09/29.09.2020/130492"/>
    <hyperlink ref="D3418" r:id="rId3492" display="2020_09/29.09.2020/130692"/>
    <hyperlink ref="D3413" r:id="rId3493" display="2020_09/28.09.2020/129474"/>
    <hyperlink ref="D3420" r:id="rId3494" display="2020_09/29.09.2020/130800"/>
    <hyperlink ref="D3369" r:id="rId3495" display="2020_09/29.09.2020/122103"/>
    <hyperlink ref="D3383" r:id="rId3496" display="2020_09/29.09.2020/122934"/>
    <hyperlink ref="D3395" r:id="rId3497" display="2020_09/30.09.2020/124124"/>
    <hyperlink ref="D3421" r:id="rId3498" display="2020_09\29.09.2020\130869"/>
    <hyperlink ref="D3419" r:id="rId3499" display="2020_09\29.09.2020\130799"/>
    <hyperlink ref="D3392" r:id="rId3500" display="2020_09/30.09.2020/123871"/>
    <hyperlink ref="D3365" r:id="rId3501" display="2020_09/30.09.2020/116303"/>
    <hyperlink ref="D3423" r:id="rId3502" display="2020_09/30.09.2020/131082"/>
    <hyperlink ref="D3389" r:id="rId3503" display="2020_09/30.09.2020/123541"/>
    <hyperlink ref="D3401" r:id="rId3504" display="2020_10/01.10.2020/124748"/>
    <hyperlink ref="D3400" r:id="rId3505" display="2020_10/01.10.2020/124408"/>
    <hyperlink ref="D3436" r:id="rId3506" display="2020_10/01.10.2020/132239"/>
    <hyperlink ref="D3394" r:id="rId3507" display="2020_10/01.10.2020/124090"/>
    <hyperlink ref="D3424" r:id="rId3508" display="2020_09/30.09.2020/131156"/>
    <hyperlink ref="D3398" r:id="rId3509" display="2020_09/30.09.2020/124287"/>
    <hyperlink ref="D3396" r:id="rId3510" display="2020_09/30.09.2020/124200"/>
    <hyperlink ref="D3397" r:id="rId3511" display="2020_09/30.09.2020/124241"/>
    <hyperlink ref="D3390" r:id="rId3512" display="2020_09/30.09.2020/123707"/>
    <hyperlink ref="D3388" r:id="rId3513" display="2020_09/30.09.2020/123599"/>
    <hyperlink ref="D3428" r:id="rId3514" display="2020_09/30.09.2020/131684"/>
    <hyperlink ref="D3427" r:id="rId3515" display="2020_10/01.10.2020/131452"/>
    <hyperlink ref="D3364" r:id="rId3516" display="2020_10/01.10.2020/112407"/>
    <hyperlink ref="D3366" r:id="rId3517" display="2020_10/01.10.2020/120283"/>
    <hyperlink ref="D3443" r:id="rId3518" display="2020_10/02.10.2020/133048"/>
    <hyperlink ref="D3439" r:id="rId3519" display="2020_10/02.10.2020/132823"/>
    <hyperlink ref="D3367" r:id="rId3520" display="2020_10/01.10.2020/120434"/>
    <hyperlink ref="D3429" r:id="rId3521" display="2020_10/01.10.2020/131916"/>
    <hyperlink ref="D3435" r:id="rId3522" display="2020_10/01.10.2020/132171"/>
    <hyperlink ref="D3431" r:id="rId3523" display="2020_10/01.10.2020/131988"/>
    <hyperlink ref="D3437" r:id="rId3524" display="2020_10/01.10.2020/132420"/>
    <hyperlink ref="D3370" r:id="rId3525" display="2020_09/28.09.2020/122187"/>
    <hyperlink ref="D3425" r:id="rId3526" display="2020_09/30.09.2020/131236"/>
    <hyperlink ref="D3433" r:id="rId3527" display="2020_10\01.10.2020\132119"/>
    <hyperlink ref="D3402" r:id="rId3528" display="2020_10/02.10.2020/124846"/>
    <hyperlink ref="D3426" r:id="rId3529" display="2020_10/01.10.2020/131415"/>
    <hyperlink ref="D3399" r:id="rId3530" display="2020_10/01.10.2020/124397"/>
    <hyperlink ref="D3403" r:id="rId3531" display="2020_10/02.10.2020/124891"/>
    <hyperlink ref="D3442" r:id="rId3532" display="2020_10/02.10.2020/132937"/>
    <hyperlink ref="D3441" r:id="rId3533" display="2020_10/02.10.2020/132936"/>
    <hyperlink ref="D3422" r:id="rId3534" display="2020_09/29.09.2020/130916"/>
    <hyperlink ref="D3430" r:id="rId3535" display="2020_10/01.10.2020/131931"/>
    <hyperlink ref="D3404" r:id="rId3536" display="2020_10/02.10.2020/124979"/>
    <hyperlink ref="D3391" r:id="rId3537" display="2020_10/01.10.2020/123848"/>
    <hyperlink ref="D3438" r:id="rId3538" display="2020_10/02.10.2020/132637"/>
    <hyperlink ref="D3393" r:id="rId3539" display="2020_10/01.10.2020/124084"/>
    <hyperlink ref="D3432" r:id="rId3540" display="2020_10\01.10.2020\132008"/>
    <hyperlink ref="D3409" r:id="rId3541" display="2020_10/02.10.2020/125445"/>
    <hyperlink ref="D3368" r:id="rId3542" display="2020_10/02.10.2020/120624"/>
    <hyperlink ref="D3410" r:id="rId3543" display="2020_10/02.10.2020/125490"/>
    <hyperlink ref="D3444" r:id="rId3544" display="2020_10/02.10.2020/133100"/>
    <hyperlink ref="D3408" r:id="rId3545" display="2020_10\02.10.2020\125420"/>
    <hyperlink ref="D3440" r:id="rId3546" display="2020_10/02.10.2020/132918"/>
    <hyperlink ref="D3407" r:id="rId3547" display="2020_10\02.10.2020\125378"/>
    <hyperlink ref="D3405" r:id="rId3548" display="2020_10/02.10.2020/125049"/>
    <hyperlink ref="D3411" r:id="rId3549" display="2020_10/02.10.2020/125607"/>
    <hyperlink ref="D3406" r:id="rId3550" display="2020_10/02.10.2020/124990"/>
    <hyperlink ref="D3453" r:id="rId3551" display="2020_10/05.10.2020/125574"/>
    <hyperlink ref="D3454" r:id="rId3552" display="2020_10/05.10.2020/125791"/>
    <hyperlink ref="D3500" r:id="rId3553" display="2020_10/05.10.2020/133235"/>
    <hyperlink ref="D3501" r:id="rId3554" display="2020_10/05.10.2020/133273"/>
    <hyperlink ref="D3455" r:id="rId3555" display="2020_10/05.10.2020/125822"/>
    <hyperlink ref="D3502" r:id="rId3556" display="2020_10/05.10.2020/133516"/>
    <hyperlink ref="D3499" r:id="rId3557" display="2020_10/05.10.2020/133219"/>
    <hyperlink ref="D3458" r:id="rId3558" display="2020_10/05.10.2020/126149"/>
    <hyperlink ref="D3459" r:id="rId3559" display="2020_10/05.10.2020/126172"/>
    <hyperlink ref="D3461" r:id="rId3560" display="2020_10/05.10.2020/126453"/>
    <hyperlink ref="D3452" r:id="rId3561" display="2020_10/05.10.2020/125417"/>
    <hyperlink ref="D3456" r:id="rId3562" display="2020_10/05.10.2020/125893"/>
    <hyperlink ref="D3457" r:id="rId3563" display="2020_10/05.10.2020/125903"/>
    <hyperlink ref="D3460" r:id="rId3564" display="2020_10/05.10.2020/126350"/>
    <hyperlink ref="D3507" r:id="rId3565" display="2020_10/06.10.2020/134616"/>
    <hyperlink ref="D3447" r:id="rId3566" display="2020_10/06.10.2020/118732"/>
    <hyperlink ref="D3462" r:id="rId3567" display="2020_10/06.10.2020/126576"/>
    <hyperlink ref="D3467" r:id="rId3568" display="2020_10/06.10.2020/126947"/>
    <hyperlink ref="D3465" r:id="rId3569" display="2020_10/06.10.2020/126918"/>
    <hyperlink ref="D3466" r:id="rId3570" display="2020_10/06.10.2020/126943"/>
    <hyperlink ref="D3508" r:id="rId3571" display="2020_10/06.10.2020/134866"/>
    <hyperlink ref="D3469" r:id="rId3572" display="2020_10/06.10.2020/126966"/>
    <hyperlink ref="D3527" r:id="rId3573" display="2020_09/29.09.2020/130512"/>
    <hyperlink ref="D3434" r:id="rId3574" display="2020_10/01.10.2020/132169"/>
    <hyperlink ref="D3528" r:id="rId3575" display="2020_10/01.10.2020/124570"/>
    <hyperlink ref="D3503" r:id="rId3576" display="2020_10/05.10.2020/133695"/>
    <hyperlink ref="D3446" r:id="rId3577" display="2020_10/06.10.2020/118221"/>
    <hyperlink ref="D3468" r:id="rId3578" display="2020_10/06.10.2020/126957"/>
    <hyperlink ref="D3506" r:id="rId3579" display="2020_10\06.10.2020\134440"/>
    <hyperlink ref="D3505" r:id="rId3580" display="2020_10\06.10.2020\134270"/>
    <hyperlink ref="D3513" r:id="rId3581" display="2020_10/07.10.2020/135255"/>
    <hyperlink ref="D3512" r:id="rId3582" display="2020_10/07.10.2020/135067"/>
    <hyperlink ref="D3504" r:id="rId3583" display="2020_10/05.10.2020/134099"/>
    <hyperlink ref="D3463" r:id="rId3584" display="2020_10/07.10.2020/126594"/>
    <hyperlink ref="D3474" r:id="rId3585" display="2020_10/07.10.2020/127642"/>
    <hyperlink ref="D3470" r:id="rId3586" display="2020_10/07.10.2020/126970"/>
    <hyperlink ref="D3471" r:id="rId3587" display="2020_10/07.10.2020/127180"/>
    <hyperlink ref="D3475" r:id="rId3588" display="2020_10/07.10.2020/127692"/>
    <hyperlink ref="D3472" r:id="rId3589" display="2020_10\07.10.2020\127244"/>
    <hyperlink ref="D3477" r:id="rId3590" display="2020_10/07.10.2020/127734"/>
    <hyperlink ref="D3515" r:id="rId3591" display="2020_10/07.10.2020/135333"/>
    <hyperlink ref="D3514" r:id="rId3592" display="2020_10/07.10.2020/135310"/>
    <hyperlink ref="D3448" r:id="rId3593" display="2020_10\07.10.2020\123075"/>
    <hyperlink ref="D3464" r:id="rId3594" display="2020_10\07.10.2020\126637"/>
    <hyperlink ref="D3476" r:id="rId3595" display="2020_10/07.10.2020/127713"/>
    <hyperlink ref="D3519" r:id="rId3596" display="2020_10/08.10.2020/135911"/>
    <hyperlink ref="D3510" r:id="rId3597" display="2020_10/08.10.2020/135028"/>
    <hyperlink ref="D3509" r:id="rId3598" display="2020_10/07.10.2020/134980"/>
    <hyperlink ref="D3478" r:id="rId3599" display="2020_10/07.10.2020/127848"/>
    <hyperlink ref="D3511" r:id="rId3600" display="2020_10/07.10.2020/135041"/>
    <hyperlink ref="D3480" r:id="rId3601" display="2020_10/08.10.2020/128397"/>
    <hyperlink ref="D3520" r:id="rId3602" display="2020_10/08.10.2020/136013"/>
    <hyperlink ref="D3473" r:id="rId3603" display="2020_10/08.10.2020/127466"/>
    <hyperlink ref="D3479" r:id="rId3604" display="2020_10/08.10.2020/128379"/>
    <hyperlink ref="D3517" r:id="rId3605" display="2020_10/08.10.2020/135693"/>
    <hyperlink ref="D3484" r:id="rId3606" display="2020_10/08.10.2020/128563"/>
    <hyperlink ref="D3481" r:id="rId3607" display="2020_10/08.10.2020/128481"/>
    <hyperlink ref="D3523" r:id="rId3608" display="2020_10/09.10.2020/136707"/>
    <hyperlink ref="D3487" r:id="rId3609" display="2020_10/09.10.2020/128800"/>
    <hyperlink ref="D3451" r:id="rId3610" display="2020_10/09.10.2020/124388"/>
    <hyperlink ref="D3496" r:id="rId3611" display="2020_10/09.10.2020/129356"/>
    <hyperlink ref="D3494" r:id="rId3612" display="2020_10/09.10.2020/129176"/>
    <hyperlink ref="D3518" r:id="rId3613" display="2020_10/08.10.2020/135821"/>
    <hyperlink ref="D3482" r:id="rId3614" display="2020_10/08.10.2020/128548"/>
    <hyperlink ref="D3483" r:id="rId3615" display="2020_10\08.10.2020\128551"/>
    <hyperlink ref="D3449" r:id="rId3616" display="2020_10/08.10.2020/123896"/>
    <hyperlink ref="D3450" r:id="rId3617" display="2020_10/08.10.2020/124221"/>
    <hyperlink ref="D3485" r:id="rId3618" display="2020_10/08.10.2020/128673"/>
    <hyperlink ref="D3516" r:id="rId3619" display="2020_10/08.10.2020/135664"/>
    <hyperlink ref="D3526" r:id="rId3620" display="2020_10/09.10.2020/137100"/>
    <hyperlink ref="D3486" r:id="rId3621" display="2020_10\09.10.2020\128774"/>
    <hyperlink ref="D3497" r:id="rId3622" display="2020_10/09.10.2020/129357"/>
    <hyperlink ref="D3492" r:id="rId3623" display="2020_10\09.10.2020\129113"/>
    <hyperlink ref="D3491" r:id="rId3624" display="2020_10/09.10.2020/129005"/>
    <hyperlink ref="D3488" r:id="rId3625" display="2020_10/09.10.2020/128826"/>
    <hyperlink ref="D3495" r:id="rId3626" display="2020_10/09.10.2020/129239"/>
    <hyperlink ref="D3489" r:id="rId3627" display="2020_10/09.10.2020/128856"/>
    <hyperlink ref="D3522" r:id="rId3628" display="2020_10\09.10.2020\136627"/>
    <hyperlink ref="D3530" r:id="rId3629" display="2020_10\12.10.2020\122630"/>
    <hyperlink ref="D3493" r:id="rId3630" display="2020_10/09.10.2020/129156"/>
    <hyperlink ref="D3498" r:id="rId3631" display="2020_10/09.10.2020/129464"/>
    <hyperlink ref="D3490" r:id="rId3632" display="2020_10/09.10.2020/128869"/>
    <hyperlink ref="D3521" r:id="rId3633" display="2020_10/09.10.2020/136356"/>
    <hyperlink ref="D3591" r:id="rId3634" display="2020_10\12.10.2020\137713"/>
    <hyperlink ref="D3592" r:id="rId3635" display="2020_10/12.10.2020/137749"/>
    <hyperlink ref="D3549" r:id="rId3636" display="2020_10/12.10.2020/130343"/>
    <hyperlink ref="D3588" r:id="rId3637" display="2020_10/12.10.2020/137403"/>
    <hyperlink ref="D3538" r:id="rId3638" display="2020_10/12.10.2020/129419"/>
    <hyperlink ref="D3548" r:id="rId3639" display="2020_10\12.10.2020\130314"/>
    <hyperlink ref="D3525" r:id="rId3640" display="2020_10/09.10.2020/136987"/>
    <hyperlink ref="D3524" r:id="rId3641" display="2020_10/09.10.2020/136880"/>
    <hyperlink ref="D3586" r:id="rId3642" display="2020_10/12.10.2020/136542"/>
    <hyperlink ref="D3544" r:id="rId3643" display="2020_10/12.10.2020/130080"/>
    <hyperlink ref="D3532" r:id="rId3644" display="2020_10/12.10.2020/125883"/>
    <hyperlink ref="D3590" r:id="rId3645" display="2020_10/12.10.2020/137441"/>
    <hyperlink ref="D3540" r:id="rId3646" display="2020_10/12.10.2020/129743"/>
    <hyperlink ref="D3539" r:id="rId3647" display="2020_10/12.10.2020/129465"/>
    <hyperlink ref="D3543" r:id="rId3648" display="2020_10/12.10.2020/129995"/>
    <hyperlink ref="D3546" r:id="rId3649" display="2020_10/12.10.2020/130112"/>
    <hyperlink ref="D3587" r:id="rId3650" display="2020_10/12.10.2020/137294"/>
    <hyperlink ref="D3596" r:id="rId3651" display="2020_10/12.10.2020/138134"/>
    <hyperlink ref="D3545" r:id="rId3652" display="2020_10\12.10.2020\130110"/>
    <hyperlink ref="D3541" r:id="rId3653" display="2020_10/12.10.2020/129829"/>
    <hyperlink ref="D3589" r:id="rId3654" display="2020_10/12.10.2020/137415"/>
    <hyperlink ref="D3557" r:id="rId3655" display="2020_10/13.10.2020/130857"/>
    <hyperlink ref="D3562" r:id="rId3656" display="2020_10/13.10.2020/131049"/>
    <hyperlink ref="D3602" r:id="rId3657" display="2020_10/13.10.2020/138765"/>
    <hyperlink ref="D3533" r:id="rId3658" display="2020_10/14.10.2020/127107"/>
    <hyperlink ref="D3594" r:id="rId3659" display="2020_10/12.10.2020/138022"/>
    <hyperlink ref="D3547" r:id="rId3660" display="2020_10/12.10.2020/130219"/>
    <hyperlink ref="D3551" r:id="rId3661" display="2020_10/13.10.2020/130581"/>
    <hyperlink ref="D3559" r:id="rId3662" display="2020_10/13.10.2020/130885"/>
    <hyperlink ref="D3561" r:id="rId3663" display="2020_10/13.10.2020/130974"/>
    <hyperlink ref="D3593" r:id="rId3664" display="2020_10/13.10.2020/137805"/>
    <hyperlink ref="D3595" r:id="rId3665" display="2020_10/13.10.2020/138130"/>
    <hyperlink ref="D3556" r:id="rId3666" display="2020_10/13.10.2020/130806"/>
    <hyperlink ref="D3555" r:id="rId3667" display="2020_10/13.10.2020/130770"/>
    <hyperlink ref="D3553" r:id="rId3668" display="2020_10/13.10.2020/130677"/>
    <hyperlink ref="D3603" r:id="rId3669" display="2020_10/13.10.2020/138872"/>
    <hyperlink ref="D3598" r:id="rId3670" display="2020_10\13.10.2020\138187"/>
    <hyperlink ref="D3529" r:id="rId3671" display="2020_10/13.10.2020/119176"/>
    <hyperlink ref="D3560" r:id="rId3672" display="2020_10/13.10.2020/130909"/>
    <hyperlink ref="D3599" r:id="rId3673" display="2020_10/13.10.2020/138262"/>
    <hyperlink ref="D3567" r:id="rId3674" display="2020_10/14.10.2020/131468"/>
    <hyperlink ref="D3564" r:id="rId3675" display="2020_10\14.10.2020\131252"/>
    <hyperlink ref="D3566" r:id="rId3676" display="2020_10/14.10.2020/131393"/>
    <hyperlink ref="D3558" r:id="rId3677" display="2020_10\13.10.2020\130873"/>
    <hyperlink ref="D3604" r:id="rId3678" display="2020_10\13.10.2020\138875"/>
    <hyperlink ref="D3597" r:id="rId3679" display="2020_10/13.10.2020/138178"/>
    <hyperlink ref="D3552" r:id="rId3680" display="2020_10/13.10.2020/130610"/>
    <hyperlink ref="D3554" r:id="rId3681" display="2020_10/13.10.2020/130704"/>
    <hyperlink ref="D3608" r:id="rId3682" display="2020_10/14.10.2020/139364"/>
    <hyperlink ref="D3611" r:id="rId3683" display="2020_10/14.10.2020/139698"/>
    <hyperlink ref="D3534" r:id="rId3684" display="2020_10/14.10.2020/127423"/>
    <hyperlink ref="D3535" r:id="rId3685" display="2020_10/14.10.2020/127626"/>
    <hyperlink ref="D3568" r:id="rId3686" display="2020_10/14.10.2020/131473"/>
    <hyperlink ref="D3572" r:id="rId3687" display="2020_10/14.10.2020/131685"/>
    <hyperlink ref="D3571" r:id="rId3688" display="2020_10/14.10.2020/131633"/>
    <hyperlink ref="D3606" r:id="rId3689" display="2020_10/14.10.2020/139202"/>
    <hyperlink ref="D3610" r:id="rId3690" display="2020_10/14.10.2020/139695"/>
    <hyperlink ref="D3550" r:id="rId3691" display="2020_10/14.10.2020/130414"/>
    <hyperlink ref="D3607" r:id="rId3692" display="2020_10/14.10.2020/139280"/>
    <hyperlink ref="D3600" r:id="rId3693" display="2020_10/13.10.2020/138381"/>
    <hyperlink ref="D3601" r:id="rId3694" display="2020_10/13.10.2020/138615"/>
    <hyperlink ref="D3609" r:id="rId3695" display="2020_10/14.10.2020/139454"/>
    <hyperlink ref="D3563" r:id="rId3696" display="2020_10\14.10.2020\131243"/>
    <hyperlink ref="D3570" r:id="rId3697" display="2020_10/14.10.2020/131540"/>
    <hyperlink ref="D3565" r:id="rId3698" display="2020_10/14.10.2020/131331"/>
    <hyperlink ref="D3613" r:id="rId3699" display="2020_10/15.10.2020/140085"/>
    <hyperlink ref="D3531" r:id="rId3700" display="2020_10/15.10.2020/124701"/>
    <hyperlink ref="D3569" r:id="rId3701" display="2020_10/15.10.2020/131532"/>
    <hyperlink ref="D3576" r:id="rId3702" display="2020_10/15.10.2020/132181"/>
    <hyperlink ref="D3542" r:id="rId3703" display="2020_10/12.10.2020/129972"/>
    <hyperlink ref="D3616" r:id="rId3704" display="2020_10/16.10.2020/140520"/>
    <hyperlink ref="D3580" r:id="rId3705" display="2020_10\16.10.2020\132590"/>
    <hyperlink ref="D3578" r:id="rId3706" display="2020_10/15.10.2020/132384"/>
    <hyperlink ref="D3574" r:id="rId3707" display="2020_10/15.10.2020/132050"/>
    <hyperlink ref="D3612" r:id="rId3708" display="2020_10/15.10.2020/140018"/>
    <hyperlink ref="D3583" r:id="rId3709" display="2020_10/16.10.2020/132898"/>
    <hyperlink ref="D3584" r:id="rId3710" display="2020_10/16.10.2020/132982"/>
    <hyperlink ref="D3618" r:id="rId3711" display="2020_10/16.10.2020/140616"/>
    <hyperlink ref="D3620" r:id="rId3712" display="2020_10/16.10.2020/141087"/>
    <hyperlink ref="D3621" r:id="rId3713" display="2020_10/16.10.2020/141170"/>
    <hyperlink ref="D3614" r:id="rId3714" display="2020_10/15.10.2020/140293"/>
    <hyperlink ref="D3575" r:id="rId3715" display="2020_10/15.10.2020/132060"/>
    <hyperlink ref="D3577" r:id="rId3716" display="2020_10/15.10.2020/132210"/>
    <hyperlink ref="D3537" r:id="rId3717" display="2020_10/16.10.2020/129360"/>
    <hyperlink ref="D3617" r:id="rId3718" display="2020_10/16.10.2020/140524"/>
    <hyperlink ref="D3573" r:id="rId3719" display="2020_10/15.10.2020/131963"/>
    <hyperlink ref="D3605" r:id="rId3720" display="2020_10/14.10.2020/139040"/>
    <hyperlink ref="D3619" r:id="rId3721" display="2020_10/16.10.2020/140718"/>
    <hyperlink ref="D3585" r:id="rId3722" display="2020_10/16.10.2020/133005"/>
    <hyperlink ref="D3582" r:id="rId3723" display="2020_10/16.10.2020/132811"/>
    <hyperlink ref="D3579" r:id="rId3724" display="2020_10/15.10.2020/132553"/>
    <hyperlink ref="D3615" r:id="rId3725" display="2020_10/16.10.2020/140506"/>
    <hyperlink ref="D3581" r:id="rId3726" display="2020_10/16.10.2020/132783"/>
    <hyperlink ref="D3536" r:id="rId3727" display="2020_10/16.10.2020/129322"/>
    <hyperlink ref="D3630" r:id="rId3728" display="2020_11/02.11.2020/141732"/>
    <hyperlink ref="D3678" r:id="rId3729" display="2020_10/28.10.2020/147356"/>
    <hyperlink ref="D3679" r:id="rId3730" display="2020_10/29.10.2020/140187"/>
    <hyperlink ref="D3680" r:id="rId3731" display="2020_10/30.10.2020/147433"/>
    <hyperlink ref="D3681" r:id="rId3732" display="2020_10\30.10.2020\140811"/>
    <hyperlink ref="D3661" r:id="rId3733" display="2020_11/02.11.2020/149272"/>
    <hyperlink ref="D3660" r:id="rId3734" display="2020_11/02.11.2020/148962"/>
    <hyperlink ref="D3658" r:id="rId3735" display="2020_11/02.11.2020/148939"/>
    <hyperlink ref="D3659" r:id="rId3736" display="2020_11/02.11.2020/148954"/>
    <hyperlink ref="D3656" r:id="rId3737" display="2020_11/02.11.2020/148688"/>
    <hyperlink ref="D3627" r:id="rId3738" display="2020_11/02.11.2020/141432"/>
    <hyperlink ref="D3632" r:id="rId3739" display="2020_11/02.11.2020/141898"/>
    <hyperlink ref="D3626" r:id="rId3740" display="2020_11/02.11.2020/141256"/>
    <hyperlink ref="D3631" r:id="rId3741" display="2020_11/02.11.2020/141880"/>
    <hyperlink ref="D3663" r:id="rId3742" display="2020_11/03.11.2020/149844"/>
    <hyperlink ref="D3628" r:id="rId3743" display="2020_11/02.11.2020/141471"/>
    <hyperlink ref="D3629" r:id="rId3744" display="2020_11/02.11.2020/141552"/>
    <hyperlink ref="D3657" r:id="rId3745" display="2020_11/02.11.2020/148898"/>
    <hyperlink ref="D3655" r:id="rId3746" display="2020_11/02.11.2020/148646"/>
    <hyperlink ref="D3633" r:id="rId3747" display="2020_11/03.11.2020/142280"/>
    <hyperlink ref="D3634" r:id="rId3748" display="2020_11/03.11.2020/142410"/>
    <hyperlink ref="D3637" r:id="rId3749" display="2020_11/03.11.2020/142530"/>
    <hyperlink ref="D3623" r:id="rId3750" display="2020_11/05.11.2020/135515"/>
    <hyperlink ref="D3642" r:id="rId3751" display="2020_11/05.11.2020/143065"/>
    <hyperlink ref="D3665" r:id="rId3752" display="2020_11/03.11.2020/150142"/>
    <hyperlink ref="D3635" r:id="rId3753" display="2020_11/03.11.2020/142423"/>
    <hyperlink ref="D3667" r:id="rId3754" display="2020_11/05.11.2020/150869"/>
    <hyperlink ref="D3622" r:id="rId3755" display="2020_11/05.11.2020/135192"/>
    <hyperlink ref="D3641" r:id="rId3756" display="2020_11/05.11.2020/142964"/>
    <hyperlink ref="D3625" r:id="rId3757" display="2020_11/02.11.2020/141179"/>
    <hyperlink ref="D3664" r:id="rId3758" display="2020_11/03.11.2020/149993"/>
    <hyperlink ref="D3636" r:id="rId3759" display="2020_11/03.11.2020/142453"/>
    <hyperlink ref="D3638" r:id="rId3760" display="2020_11/05.11.2020/142820"/>
    <hyperlink ref="D3639" r:id="rId3761" display="2020_11/05.11.2020/142869"/>
    <hyperlink ref="D3666" r:id="rId3762" display="2020_11/05.11.2020/150601"/>
    <hyperlink ref="D3668" r:id="rId3763" display="2020_11/05.11.2020/151046"/>
    <hyperlink ref="D3653" r:id="rId3764" display="2020_11/06.11.2020/144148"/>
    <hyperlink ref="D3650" r:id="rId3765" display="2020_11\06.11.2020\144012"/>
    <hyperlink ref="D3648" r:id="rId3766" display="2020_11\06.11.2020\143794"/>
    <hyperlink ref="D3646" r:id="rId3767" display="2020_11/06.11.2020/143701"/>
    <hyperlink ref="D3647" r:id="rId3768" display="2020_11/06.11.2020/143705"/>
    <hyperlink ref="D3651" r:id="rId3769" display="2020_11/06.11.2020/144115"/>
    <hyperlink ref="D3673" r:id="rId3770" display="2020_11/06.11.2020/151442"/>
    <hyperlink ref="D3675" r:id="rId3771" display="2020_11/06.11.2020/151722"/>
    <hyperlink ref="D3670" r:id="rId3772" display="2020_11/05.11.2020/151191"/>
    <hyperlink ref="D3645" r:id="rId3773" display="2020_11/06.11.2020/143700"/>
    <hyperlink ref="D3662" r:id="rId3774" display="2020_11/02.11.2020/149412"/>
    <hyperlink ref="D3654" r:id="rId3775" display="2020_11/06.11.2020/144241"/>
    <hyperlink ref="D3624" r:id="rId3776" display="2020_11\03.11.2020\137737"/>
    <hyperlink ref="D3640" r:id="rId3777" display="2020_11/05.11.2020/142894"/>
    <hyperlink ref="D3686" r:id="rId3778" display="2020_11\09.11.2020\144571"/>
    <hyperlink ref="D3688" r:id="rId3779" display="2020_11\09.11.2020\144612"/>
    <hyperlink ref="D3690" r:id="rId3780" display="2020_11/09.11.2020/144693"/>
    <hyperlink ref="D3693" r:id="rId3781" display="2020_11/09.11.2020/152342"/>
    <hyperlink ref="D3672" r:id="rId3782" display="2020_11/06.11.2020/151433"/>
    <hyperlink ref="D3685" r:id="rId3783" display="2020_11/09.11.2020/144410"/>
    <hyperlink ref="D3684" r:id="rId3784" display="2020_11/09.11.2020/144294"/>
    <hyperlink ref="D3671" r:id="rId3785" display="2020_11/05.11.2020/151206"/>
    <hyperlink ref="D3669" r:id="rId3786" display="2020_11\05.11.2020\151176"/>
    <hyperlink ref="D3644" r:id="rId3787" display="2020_11/06.11.2020/143656"/>
    <hyperlink ref="D3694" r:id="rId3788" display="2020_11/10.11.2020/137962"/>
    <hyperlink ref="D3705" r:id="rId3789" display="2020_11/10.11.2020/145731"/>
    <hyperlink ref="D3652" r:id="rId3790" display="2020_11\06.11.2020\144121"/>
    <hyperlink ref="D3674" r:id="rId3791" display="2020_11/06.11.2020/151646"/>
    <hyperlink ref="D3677" r:id="rId3792" display="2020_11\06.11.2020\151919"/>
    <hyperlink ref="D3643" r:id="rId3793" display="2020_11/06.11.2020/143524"/>
    <hyperlink ref="D3649" r:id="rId3794" display="2020_11/06.11.2020/143897"/>
    <hyperlink ref="D3692" r:id="rId3795" display="2020_11/09.11.2020/152253"/>
    <hyperlink ref="D3706" r:id="rId3796" display="2020_11/10.11.2020/145780"/>
    <hyperlink ref="D3687" r:id="rId3797" display="2020_11/09.11.2020/144605"/>
    <hyperlink ref="D3682" r:id="rId3798" display="2020_11/09.11.2020/132887"/>
    <hyperlink ref="D3730" r:id="rId3799" display="2020_11/10.11.2020/153565"/>
    <hyperlink ref="D3708" r:id="rId3800" display="2020_11/11.11.2020/145980"/>
    <hyperlink ref="D3698" r:id="rId3801" display="2020_11/11.11.2020/145107"/>
    <hyperlink ref="D3676" r:id="rId3802" display="2020_11/06.11.2020/151765"/>
    <hyperlink ref="D3691" r:id="rId3803" display="2020_11/09.11.2020/152175"/>
    <hyperlink ref="D3727" r:id="rId3804" display="2020_11/10.11.2020/153126"/>
    <hyperlink ref="D3726" r:id="rId3805" display="2020_11/10.11.2020/153059"/>
    <hyperlink ref="D3701" r:id="rId3806" display="2020_11/10.11.2020/145402"/>
    <hyperlink ref="D3725" r:id="rId3807" display="2020_11/10.11.2020/152909"/>
    <hyperlink ref="D3709" r:id="rId3808" display="2020_11/11.11.2020/146143"/>
    <hyperlink ref="D3704" r:id="rId3809" display="2020_11/11.11.2020/145695"/>
    <hyperlink ref="D3713" r:id="rId3810" display="2020_11/11.11.2020/146422"/>
    <hyperlink ref="D3689" r:id="rId3811" display="2020_11/09.11.2020/144665"/>
    <hyperlink ref="D3683" r:id="rId3812" display="2020_11/09.11.2020/137014"/>
    <hyperlink ref="D3728" r:id="rId3813" display="2020_11/10.11.2020/153335"/>
    <hyperlink ref="D3696" r:id="rId3814" display="2020_11/10.11.2020/145004"/>
    <hyperlink ref="D3703" r:id="rId3815" display="2020_11/10.11.2020/145515"/>
    <hyperlink ref="D3700" r:id="rId3816" display="2020_11/10.11.2020/145348"/>
    <hyperlink ref="D3697" r:id="rId3817" display="2020_11/10.11.2020/145092"/>
    <hyperlink ref="D3702" r:id="rId3818" display="2020_11\10.11.2020\145498"/>
    <hyperlink ref="D3714" r:id="rId3819" display="2020_11\11.11.2020\146531"/>
    <hyperlink ref="D3707" r:id="rId3820" display="2020_11/11.11.2020/145976"/>
    <hyperlink ref="D3733" r:id="rId3821" display="2020_11\11.11.2020\154002"/>
    <hyperlink ref="D3711" r:id="rId3822" display="2020_11/11.11.2020/146271"/>
    <hyperlink ref="D3699" r:id="rId3823" display="2020_11\11.11.2020\145245"/>
    <hyperlink ref="D3724" r:id="rId3824" display="2020_11/11.11.2020/152873"/>
    <hyperlink ref="D3716" r:id="rId3825" display="2020_11/12.11.2020/146880"/>
    <hyperlink ref="D3718" r:id="rId3826" display="2020_11/12.11.2020/146974"/>
    <hyperlink ref="D3729" r:id="rId3827" display="2020_11/11.11.2020/153366"/>
    <hyperlink ref="D3731" r:id="rId3828" display="2020_11/11.11.2020/153708"/>
    <hyperlink ref="D3734" r:id="rId3829" display="2020_11/11.11.2020/154271"/>
    <hyperlink ref="D3712" r:id="rId3830" display="2020_11/11.11.2020/146337"/>
    <hyperlink ref="D3732" r:id="rId3831" display="2020_11/11.11.2020/153730"/>
    <hyperlink ref="D3710" r:id="rId3832" display="2020_11/11.11.2020/146207"/>
    <hyperlink ref="D3735" r:id="rId3833" display="2020_11/12.11.2020/154648"/>
    <hyperlink ref="D3719" r:id="rId3834" display="2020_11/12.11.2020/147029"/>
    <hyperlink ref="D3715" r:id="rId3835" display="2020_11/12.11.2020/146609"/>
    <hyperlink ref="D3717" r:id="rId3836" display="2020_11/12.11.2020/146892"/>
    <hyperlink ref="D3738" r:id="rId3837" display="2020_11/13.11.2020/155397"/>
    <hyperlink ref="D3739" r:id="rId3838" display="2020_11/13.11.2020/155488"/>
    <hyperlink ref="D3742" r:id="rId3839" display="2020_11/13.11.2020/156032"/>
    <hyperlink ref="D3740" r:id="rId3840" display="2020_11/13.11.2020/155717"/>
    <hyperlink ref="D3737" r:id="rId3841" display="2020_11/13.11.2020/155246"/>
    <hyperlink ref="D3722" r:id="rId3842" display="2020_11/13.11.2020/147832"/>
    <hyperlink ref="D3695" r:id="rId3843" display="2020_11/13.11.2020/139813"/>
    <hyperlink ref="D3736" r:id="rId3844" display="2020_11/12.11.2020/154890"/>
    <hyperlink ref="D3723" r:id="rId3845" display="2020_11\13.11.2020\148185"/>
    <hyperlink ref="D3721" r:id="rId3846" display="2020_11/13.11.2020/147678"/>
    <hyperlink ref="D3720" r:id="rId3847" display="2020_11\13.11.2020\147304"/>
    <hyperlink ref="D3753" r:id="rId3848" display="2020_11/16.11.2020/148702"/>
    <hyperlink ref="D3752" r:id="rId3849" display="2020_11/16.11.2020/148582"/>
    <hyperlink ref="D3782" r:id="rId3850" display="2020_11/19.11.2020/151028"/>
    <hyperlink ref="D3748" r:id="rId3851" display="2020_11/16.11.2020/148311"/>
    <hyperlink ref="D3750" r:id="rId3852" display="2020_11/16.11.2020/148500"/>
    <hyperlink ref="D3749" r:id="rId3853" display="2020_11/16.11.2020/148348"/>
    <hyperlink ref="D3793" r:id="rId3854" display="2020_11/16.11.2020/156210"/>
    <hyperlink ref="D3741" r:id="rId3855" display="2020_11/13.11.2020/155896"/>
    <hyperlink ref="D3747" r:id="rId3856" display="2020_11/16.11.2020/148249"/>
    <hyperlink ref="D3797" r:id="rId3857" display="2020_11/16.11.2020/156764"/>
    <hyperlink ref="D3755" r:id="rId3858" display="2020_11/16.11.2020/148851"/>
    <hyperlink ref="D3751" r:id="rId3859" display="2020_11\16.11.2020\148536"/>
    <hyperlink ref="D3759" r:id="rId3860" display="2020_11/17.11.2020/149188"/>
    <hyperlink ref="D3762" r:id="rId3861" display="2020_11/17.11.2020/149265"/>
    <hyperlink ref="D3772" r:id="rId3862" display="2020_11\18.11.2020\150065"/>
    <hyperlink ref="D3773" r:id="rId3863" display="2020_11/18.11.2020/150163"/>
    <hyperlink ref="D3778" r:id="rId3864" display="2020_11/19.11.2020/150787"/>
    <hyperlink ref="D3780" r:id="rId3865" display="2020_11/19.11.2020/150860"/>
    <hyperlink ref="D3766" r:id="rId3866" display="2020_11/17.11.2020/149634"/>
    <hyperlink ref="D3796" r:id="rId3867" display="2020_11/16.11.2020/156757"/>
    <hyperlink ref="D3760" r:id="rId3868" display="2020_11/17.11.2020/149189"/>
    <hyperlink ref="D3765" r:id="rId3869" display="2020_11/17.11.2020/149540"/>
    <hyperlink ref="D3800" r:id="rId3870" display="2020_11/17.11.2020/157070"/>
    <hyperlink ref="D3746" r:id="rId3871" display="2020_11\18.11.2020\146550"/>
    <hyperlink ref="D3813" r:id="rId3872" display="2020_11\19.11.2020\159236"/>
    <hyperlink ref="D3757" r:id="rId3873" display="2020_11/17.11.2020/149086"/>
    <hyperlink ref="D3758" r:id="rId3874" display="2020_11/17.11.2020/149187"/>
    <hyperlink ref="D3761" r:id="rId3875" display="2020_11/17.11.2020/149208"/>
    <hyperlink ref="D3764" r:id="rId3876" display="2020_11/17.11.2020/149376"/>
    <hyperlink ref="D3803" r:id="rId3877" display="2020_11\17.11.2020\157602"/>
    <hyperlink ref="D3804" r:id="rId3878" display="2020_11/17.11.2020/157605"/>
    <hyperlink ref="D3756" r:id="rId3879" display="2020_11/17.11.2020/148905"/>
    <hyperlink ref="D3763" r:id="rId3880" display="2020_11/17.11.2020/149359"/>
    <hyperlink ref="D3768" r:id="rId3881" display="2020_11/17.11.2020/149707"/>
    <hyperlink ref="D3816" r:id="rId3882" display="2020_11/20.11.2020/159934"/>
    <hyperlink ref="D3792" r:id="rId3883" display="2020_11/20.11.2020/151920"/>
    <hyperlink ref="D3767" r:id="rId3884" display="2020_11/18.11.2020/149730"/>
    <hyperlink ref="D3771" r:id="rId3885" display="2020_11/18.11.2020/149991"/>
    <hyperlink ref="D3769" r:id="rId3886" display="2020_11/18.11.2020/149880"/>
    <hyperlink ref="D3775" r:id="rId3887" display="2020_11/18.11.2020/150307"/>
    <hyperlink ref="D3776" r:id="rId3888" display="2020_11/18.11.2020/150327"/>
    <hyperlink ref="D3801" r:id="rId3889" display="2020_11/18.11.2020/157351"/>
    <hyperlink ref="D3779" r:id="rId3890" display="2020_11/19.11.2020/150821"/>
    <hyperlink ref="D3783" r:id="rId3891" display="2020_11/19.11.2020/151092"/>
    <hyperlink ref="D3777" r:id="rId3892" display="2020_11/19.11.2020/150681"/>
    <hyperlink ref="D3802" r:id="rId3893" display="2020_11/17.11.2020/157567"/>
    <hyperlink ref="D3812" r:id="rId3894" display="2020_11/19.11.2020/159126"/>
    <hyperlink ref="D3754" r:id="rId3895" display="2020_11/16.11.2020/148774"/>
    <hyperlink ref="D3795" r:id="rId3896" display="2020_11/16.11.2020/156571"/>
    <hyperlink ref="D3774" r:id="rId3897" display="2020_11/18.11.2020/150282"/>
    <hyperlink ref="D3784" r:id="rId3898" display="2020_11/19.11.2020/151100"/>
    <hyperlink ref="D3810" r:id="rId3899" display="2020_11/19.11.2020/158934"/>
    <hyperlink ref="D3789" r:id="rId3900" display="2020_11/20.11.2020/151724"/>
    <hyperlink ref="D3743" r:id="rId3901" display="2020_11/19.11.2020/138370"/>
    <hyperlink ref="D3790" r:id="rId3902" display="2020_11/20.11.2020/151850"/>
    <hyperlink ref="D3794" r:id="rId3903" display="2020_11/16.11.2020/156537"/>
    <hyperlink ref="D3799" r:id="rId3904" display="2020_11/17.11.2020/156956"/>
    <hyperlink ref="D3807" r:id="rId3905" display="2020_11/18.11.2020/158253"/>
    <hyperlink ref="D3809" r:id="rId3906" display="2020_11/19.11.2020/158796"/>
    <hyperlink ref="D3808" r:id="rId3907" display="2020_11/19.11.2020/158781"/>
    <hyperlink ref="D3817" r:id="rId3908" display="2020_11/20.11.2020/160043"/>
    <hyperlink ref="D3814" r:id="rId3909" display="2020_11/20.11.2020/159604"/>
    <hyperlink ref="D3798" r:id="rId3910" display="2020_11\17.11.2020\156898"/>
    <hyperlink ref="D3745" r:id="rId3911" display="2020_11/18.11.2020/146111"/>
    <hyperlink ref="D3786" r:id="rId3912" display="2020_11/20.11.2020/151268"/>
    <hyperlink ref="D3806" r:id="rId3913" display="2020_11/18.11.2020/157937"/>
    <hyperlink ref="D3770" r:id="rId3914" display="2020_11/18.11.2020/149910"/>
    <hyperlink ref="D3744" r:id="rId3915" display="2020_11/18.11.2020/145456"/>
    <hyperlink ref="D3805" r:id="rId3916" display="2020_11/18.11.2020/157852"/>
    <hyperlink ref="D3811" r:id="rId3917" display="2020_11/19.11.2020/159061"/>
    <hyperlink ref="D3785" r:id="rId3918" display="2020_11\19.11.2020\151218"/>
    <hyperlink ref="D3787" r:id="rId3919" display="2020_11\19.11.2020\151250"/>
    <hyperlink ref="D3788" r:id="rId3920" display="2020_11\20.11.2020\151343"/>
    <hyperlink ref="D3781" r:id="rId3921" display="2020_11/19.11.2020/150974"/>
    <hyperlink ref="D3791" r:id="rId3922" display="2020_11/20.11.2020/151878"/>
    <hyperlink ref="D3815" r:id="rId3923" display="2020_11/20.11.2020/159862"/>
    <hyperlink ref="D3819" r:id="rId3924" display="2020_12\10.12.2020\162958"/>
    <hyperlink ref="D3822" r:id="rId3925" display="2020_12\09.12.2020\170184"/>
    <hyperlink ref="D3831" r:id="rId3926" display="2020_12/11.12.2020/164252"/>
    <hyperlink ref="D3872" r:id="rId3927" display="2020_12/08.12.2020/161570"/>
    <hyperlink ref="D3825" r:id="rId3928" display="2020_12/11.12.2020/159497"/>
    <hyperlink ref="D3823" r:id="rId3929" display="2020_12/10.12.2020/170764"/>
    <hyperlink ref="D3833" r:id="rId3930" display="2020_12\11.12.2020\171648"/>
    <hyperlink ref="D3821" r:id="rId3931" display="2020_12/10.12.2020/163134"/>
    <hyperlink ref="D3828" r:id="rId3932" display="2020_12/11.12.2020/163760"/>
    <hyperlink ref="D3873" r:id="rId3933" display="2020_12/08.12.2020/169685"/>
    <hyperlink ref="D3874" r:id="rId3934" display="2020_12/08.12.2020/169193"/>
    <hyperlink ref="D3875" r:id="rId3935" display="2020_12/08.12.2020/160960"/>
    <hyperlink ref="D3876" r:id="rId3936" display="2020_12/08.12.2020/160801"/>
    <hyperlink ref="D3824" r:id="rId3937" display="2020_12/10.12.2020/171085"/>
    <hyperlink ref="D3820" r:id="rId3938" display="2020_12/10.12.2020/163054"/>
    <hyperlink ref="D3877" r:id="rId3939" display="2020_12/08.12.2020/160768"/>
    <hyperlink ref="D3878" r:id="rId3940" display="2020_12/08.12.2020/156963"/>
    <hyperlink ref="D3879" r:id="rId3941" display="2020_12/09.12.2020/161864"/>
    <hyperlink ref="D3880" r:id="rId3942" display="2020_12\09.12.2020\162278"/>
    <hyperlink ref="D3826" r:id="rId3943" display="2020_12/11.12.2020/163216"/>
    <hyperlink ref="D3834" r:id="rId3944" display="2020_12/11.12.2020/171801"/>
    <hyperlink ref="D3818" r:id="rId3945" display="2020_12/10.12.2020/162954"/>
    <hyperlink ref="D3839" r:id="rId3946" display="2020_12/14.12.2020/164851"/>
    <hyperlink ref="D3841" r:id="rId3947" display="2020_12/14.12.2020/165062"/>
    <hyperlink ref="D3838" r:id="rId3948" display="2020_12/14.12.2020/164398"/>
    <hyperlink ref="D3837" r:id="rId3949" display="2020_12/14.12.2020/163769"/>
    <hyperlink ref="D3827" r:id="rId3950" display="2020_12/11.12.2020/163556"/>
    <hyperlink ref="D3829" r:id="rId3951" display="2020_12/11.12.2020/163816"/>
    <hyperlink ref="D3830" r:id="rId3952" display="2020_12\11.12.2020\163818"/>
    <hyperlink ref="D3835" r:id="rId3953" display="2020_12/11.12.2020/171889"/>
    <hyperlink ref="D3832" r:id="rId3954" display="2020_12\11.12.2020\171291"/>
    <hyperlink ref="D3836" r:id="rId3955" display="2020_12\14.12.2020\160383"/>
    <hyperlink ref="D3855" r:id="rId3956" display="2020_12/14.12.2020/172637"/>
    <hyperlink ref="D3840" r:id="rId3957" display="2020_12/14.12.2020/165056"/>
    <hyperlink ref="D3853" r:id="rId3958" display="2020_12/14.12.2020/172079"/>
    <hyperlink ref="D3843" r:id="rId3959" display="2020_12/15.12.2020/165409"/>
    <hyperlink ref="D3856" r:id="rId3960" display="2020_12/15.12.2020/173556"/>
    <hyperlink ref="D3857" r:id="rId3961" display="2020_12/15.12.2020/173585"/>
    <hyperlink ref="D3845" r:id="rId3962" display="2020_12/15.12.2020/165741"/>
    <hyperlink ref="D3844" r:id="rId3963" display="2020_12/15.12.2020/165689"/>
    <hyperlink ref="D3859" r:id="rId3964" display="2020_12/16.12.2020/174109"/>
    <hyperlink ref="D3848" r:id="rId3965" display="2020_12/16.12.2020/166486"/>
    <hyperlink ref="D3847" r:id="rId3966" display="2020_12/16.12.2020/166406"/>
    <hyperlink ref="D3849" r:id="rId3967" display="2020_12/17.12.2020/166735"/>
    <hyperlink ref="D3842" r:id="rId3968" display="2020_12\15.12.2020\165223"/>
    <hyperlink ref="D3854" r:id="rId3969" display="2020_12/14.12.2020/172136"/>
    <hyperlink ref="D3862" r:id="rId3970" display="2020_12\17.12.2020\174570"/>
    <hyperlink ref="D3858" r:id="rId3971" display="2020_12/16.12.2020/174044"/>
    <hyperlink ref="D3863" r:id="rId3972" display="2020_12/17.12.2020/174916"/>
    <hyperlink ref="D3864" r:id="rId3973" display="2020_12/17.12.2020/174972"/>
    <hyperlink ref="D3860" r:id="rId3974" display="2020_12/17.12.2020/174181"/>
    <hyperlink ref="D3861" r:id="rId3975" display="2020_12/17.12.2020/174338"/>
    <hyperlink ref="D3850" r:id="rId3976" display="2020_12/17.12.2020/167277"/>
    <hyperlink ref="D3865" r:id="rId3977" display="2020_12/17.12.2020/175129"/>
    <hyperlink ref="D3867" r:id="rId3978" display="2020_12/17.12.2020/175204"/>
    <hyperlink ref="D3851" r:id="rId3979" display="2020_12/18.12.2020/167568"/>
    <hyperlink ref="D3852" r:id="rId3980" display="2020_12/18.12.2020/167638"/>
    <hyperlink ref="D3881" r:id="rId3981" display="2020_12/18.12.2020/167840"/>
    <hyperlink ref="D3868" r:id="rId3982" display="2020_12/18.12.2020/175423"/>
    <hyperlink ref="D3882" r:id="rId3983" display="2020_12/18.12.2020/168104"/>
    <hyperlink ref="D3866" r:id="rId3984" display="2020_12/17.12.2020/175174"/>
  </hyperlinks>
  <pageMargins left="0.7" right="0.7" top="0.75" bottom="0.75" header="0.3" footer="0.3"/>
  <pageSetup paperSize="9" orientation="portrait" horizontalDpi="300" verticalDpi="300" r:id="rId3985"/>
  <extLst>
    <ext xmlns:x14="http://schemas.microsoft.com/office/spreadsheetml/2009/9/main" uri="{78C0D931-6437-407d-A8EE-F0AAD7539E65}">
      <x14:conditionalFormattings>
        <x14:conditionalFormatting xmlns:xm="http://schemas.microsoft.com/office/excel/2006/main">
          <x14:cfRule type="iconSet" priority="218" id="{0996CE4F-8CBF-407D-A41A-A7C7595D4510}">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R8</xm:sqref>
        </x14:conditionalFormatting>
        <x14:conditionalFormatting xmlns:xm="http://schemas.microsoft.com/office/excel/2006/main">
          <x14:cfRule type="iconSet" priority="216" id="{4D42F7D6-5785-408C-9331-56D958468A32}">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R7</xm:sqref>
        </x14:conditionalFormatting>
        <x14:conditionalFormatting xmlns:xm="http://schemas.microsoft.com/office/excel/2006/main">
          <x14:cfRule type="iconSet" priority="214" id="{D261A6B6-D93D-4C25-8E32-B61982513EE8}">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R6</xm:sqref>
        </x14:conditionalFormatting>
        <x14:conditionalFormatting xmlns:xm="http://schemas.microsoft.com/office/excel/2006/main">
          <x14:cfRule type="iconSet" priority="212" id="{402E4671-FC0D-4EC4-9A40-8166C50E813E}">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R5</xm:sqref>
        </x14:conditionalFormatting>
        <x14:conditionalFormatting xmlns:xm="http://schemas.microsoft.com/office/excel/2006/main">
          <x14:cfRule type="iconSet" priority="210" id="{6635DBE3-F00F-49CF-8D95-61AE7BE241B2}">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R4</xm:sqref>
        </x14:conditionalFormatting>
        <x14:conditionalFormatting xmlns:xm="http://schemas.microsoft.com/office/excel/2006/main">
          <x14:cfRule type="iconSet" priority="208" id="{7F823874-9CF2-4438-AE1B-CA3712E8DAF9}">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R3</xm:sqref>
        </x14:conditionalFormatting>
        <x14:conditionalFormatting xmlns:xm="http://schemas.microsoft.com/office/excel/2006/main">
          <x14:cfRule type="iconSet" priority="1832" id="{84EFA9A8-FB0B-4B26-A2CF-28B07F2B8378}">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M3883:M1048576 M3445 M1 M3:M3146 M3148:M3248 M3825:M3871</xm:sqref>
        </x14:conditionalFormatting>
        <x14:conditionalFormatting xmlns:xm="http://schemas.microsoft.com/office/excel/2006/main">
          <x14:cfRule type="iconSet" priority="193" id="{43076E0A-72A3-4D68-90CD-05AD3B556952}">
            <x14:iconSet iconSet="3Symbols" showValue="0" custom="1">
              <x14:cfvo type="percent">
                <xm:f>0</xm:f>
              </x14:cfvo>
              <x14:cfvo type="num">
                <xm:f>1</xm:f>
              </x14:cfvo>
              <x14:cfvo type="num">
                <xm:f>2</xm:f>
              </x14:cfvo>
              <x14:cfIcon iconSet="3Symbols" iconId="2"/>
              <x14:cfIcon iconSet="3Symbols" iconId="1"/>
              <x14:cfIcon iconSet="3Symbols" iconId="0"/>
            </x14:iconSet>
          </x14:cfRule>
          <xm:sqref>U1555</xm:sqref>
        </x14:conditionalFormatting>
        <x14:conditionalFormatting xmlns:xm="http://schemas.microsoft.com/office/excel/2006/main">
          <x14:cfRule type="iconSet" priority="192" id="{A9EB5165-CCC1-4BFE-80CC-8AA32E9F49E0}">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J1950</xm:sqref>
        </x14:conditionalFormatting>
        <x14:conditionalFormatting xmlns:xm="http://schemas.microsoft.com/office/excel/2006/main">
          <x14:cfRule type="iconSet" priority="188" id="{B9883825-778C-43EC-AE14-25D5AF141263}">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R1950</xm:sqref>
        </x14:conditionalFormatting>
        <x14:conditionalFormatting xmlns:xm="http://schemas.microsoft.com/office/excel/2006/main">
          <x14:cfRule type="iconSet" priority="24913" id="{2DA29A71-3C34-4674-B64D-5B1B5C15A169}">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J3884:J1048576 J3:J1949</xm:sqref>
        </x14:conditionalFormatting>
        <x14:conditionalFormatting xmlns:xm="http://schemas.microsoft.com/office/excel/2006/main">
          <x14:cfRule type="iconSet" priority="35955" id="{853C40C6-823B-42F5-A737-7B0902C2818B}">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R9:R1949</xm:sqref>
        </x14:conditionalFormatting>
        <x14:conditionalFormatting xmlns:xm="http://schemas.microsoft.com/office/excel/2006/main">
          <x14:cfRule type="iconSet" priority="36689" id="{A90B4CCE-1469-4231-9B22-73D9634CA03D}">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J1951:J2804</xm:sqref>
        </x14:conditionalFormatting>
        <x14:conditionalFormatting xmlns:xm="http://schemas.microsoft.com/office/excel/2006/main">
          <x14:cfRule type="iconSet" priority="36691" id="{EFF5484D-F241-4456-B32C-36F5FB171D14}">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R1951:R2804</xm:sqref>
        </x14:conditionalFormatting>
        <x14:conditionalFormatting xmlns:xm="http://schemas.microsoft.com/office/excel/2006/main">
          <x14:cfRule type="iconSet" priority="171" id="{12F96656-E87D-4AA5-9CAB-74FA7F5B0725}">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R2967</xm:sqref>
        </x14:conditionalFormatting>
        <x14:conditionalFormatting xmlns:xm="http://schemas.microsoft.com/office/excel/2006/main">
          <x14:cfRule type="iconSet" priority="36760" id="{86161CEF-07A9-4565-B381-349D16226140}">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R2805:R2898</xm:sqref>
        </x14:conditionalFormatting>
        <x14:conditionalFormatting xmlns:xm="http://schemas.microsoft.com/office/excel/2006/main">
          <x14:cfRule type="iconSet" priority="169" id="{E64F6DBD-473D-47D3-8335-B857EDB2A088}">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J2968</xm:sqref>
        </x14:conditionalFormatting>
        <x14:conditionalFormatting xmlns:xm="http://schemas.microsoft.com/office/excel/2006/main">
          <x14:cfRule type="iconSet" priority="167" id="{512CCB4E-F5EC-47DA-A0FF-3DAF8DB3F1A7}">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R2968</xm:sqref>
        </x14:conditionalFormatting>
        <x14:conditionalFormatting xmlns:xm="http://schemas.microsoft.com/office/excel/2006/main">
          <x14:cfRule type="iconSet" priority="38690" id="{22915BD5-06ED-49A8-9343-EB0127DB9463}">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R2899:R2966</xm:sqref>
        </x14:conditionalFormatting>
        <x14:conditionalFormatting xmlns:xm="http://schemas.microsoft.com/office/excel/2006/main">
          <x14:cfRule type="iconSet" priority="38692" id="{8D8AA623-10C2-4172-9D85-2AB38726E5D3}">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J2805:J2967</xm:sqref>
        </x14:conditionalFormatting>
        <x14:conditionalFormatting xmlns:xm="http://schemas.microsoft.com/office/excel/2006/main">
          <x14:cfRule type="iconSet" priority="159" id="{495DEA12-1F65-422D-9824-B4EB02F13460}">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M3147</xm:sqref>
        </x14:conditionalFormatting>
        <x14:conditionalFormatting xmlns:xm="http://schemas.microsoft.com/office/excel/2006/main">
          <x14:cfRule type="iconSet" priority="160" id="{8EB41F18-1C7F-4C3E-AB34-4AC5DFACFB5D}">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J3147</xm:sqref>
        </x14:conditionalFormatting>
        <x14:conditionalFormatting xmlns:xm="http://schemas.microsoft.com/office/excel/2006/main">
          <x14:cfRule type="iconSet" priority="157" id="{2B48BFCE-60B5-46B2-89B7-AD9510052D8C}">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R3147</xm:sqref>
        </x14:conditionalFormatting>
        <x14:conditionalFormatting xmlns:xm="http://schemas.microsoft.com/office/excel/2006/main">
          <x14:cfRule type="iconSet" priority="39654" id="{A7BDFCB5-23B5-4DDB-9767-2B3DBB069F31}">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J2969:J3146</xm:sqref>
        </x14:conditionalFormatting>
        <x14:conditionalFormatting xmlns:xm="http://schemas.microsoft.com/office/excel/2006/main">
          <x14:cfRule type="iconSet" priority="39656" id="{B59B8CF7-716C-429F-BBBC-5671B4337528}">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R2969:R3146</xm:sqref>
        </x14:conditionalFormatting>
        <x14:conditionalFormatting xmlns:xm="http://schemas.microsoft.com/office/excel/2006/main">
          <x14:cfRule type="iconSet" priority="155" id="{2918CB88-7F62-40FC-8F96-CB8FAAD9E8D3}">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J3148</xm:sqref>
        </x14:conditionalFormatting>
        <x14:conditionalFormatting xmlns:xm="http://schemas.microsoft.com/office/excel/2006/main">
          <x14:cfRule type="iconSet" priority="153" id="{0C85CCB6-BA23-42CF-B786-8E7270A8B10B}">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J3149</xm:sqref>
        </x14:conditionalFormatting>
        <x14:conditionalFormatting xmlns:xm="http://schemas.microsoft.com/office/excel/2006/main">
          <x14:cfRule type="iconSet" priority="149" id="{4FFB64E4-16E7-4D6D-9EA5-61C1F04DDC5F}">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R3148</xm:sqref>
        </x14:conditionalFormatting>
        <x14:conditionalFormatting xmlns:xm="http://schemas.microsoft.com/office/excel/2006/main">
          <x14:cfRule type="iconSet" priority="147" id="{EAAEE56F-B65A-496F-A3E9-BFB1E51D525A}">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R3149</xm:sqref>
        </x14:conditionalFormatting>
        <x14:conditionalFormatting xmlns:xm="http://schemas.microsoft.com/office/excel/2006/main">
          <x14:cfRule type="iconSet" priority="140" id="{ACCD58E6-ABF5-4A23-9442-CF1F83FA8B4B}">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R3248</xm:sqref>
        </x14:conditionalFormatting>
        <x14:conditionalFormatting xmlns:xm="http://schemas.microsoft.com/office/excel/2006/main">
          <x14:cfRule type="iconSet" priority="136" id="{D06E8E64-8B1B-4A14-BCE9-57F08A182BD6}">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J3248</xm:sqref>
        </x14:conditionalFormatting>
        <x14:conditionalFormatting xmlns:xm="http://schemas.microsoft.com/office/excel/2006/main">
          <x14:cfRule type="iconSet" priority="133" id="{C39970FF-E90B-49C2-9201-2F22B9B7C592}">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M3361</xm:sqref>
        </x14:conditionalFormatting>
        <x14:conditionalFormatting xmlns:xm="http://schemas.microsoft.com/office/excel/2006/main">
          <x14:cfRule type="iconSet" priority="134" id="{F001E89D-A5ED-400C-BEB1-5B69629E0699}">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J3361</xm:sqref>
        </x14:conditionalFormatting>
        <x14:conditionalFormatting xmlns:xm="http://schemas.microsoft.com/office/excel/2006/main">
          <x14:cfRule type="iconSet" priority="131" id="{72E6C383-CE91-4550-99CF-DFD672C02AAE}">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R3361</xm:sqref>
        </x14:conditionalFormatting>
        <x14:conditionalFormatting xmlns:xm="http://schemas.microsoft.com/office/excel/2006/main">
          <x14:cfRule type="iconSet" priority="121" id="{A2B9926E-CEB9-48A3-80D6-3E8DCE4C6D5F}">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M3362</xm:sqref>
        </x14:conditionalFormatting>
        <x14:conditionalFormatting xmlns:xm="http://schemas.microsoft.com/office/excel/2006/main">
          <x14:cfRule type="iconSet" priority="122" id="{F7C7C67C-4643-412B-8954-1F27E2A2031F}">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J3362</xm:sqref>
        </x14:conditionalFormatting>
        <x14:conditionalFormatting xmlns:xm="http://schemas.microsoft.com/office/excel/2006/main">
          <x14:cfRule type="iconSet" priority="119" id="{C75FA7C8-B8E0-4574-819E-F30474E2115D}">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R3362</xm:sqref>
        </x14:conditionalFormatting>
        <x14:conditionalFormatting xmlns:xm="http://schemas.microsoft.com/office/excel/2006/main">
          <x14:cfRule type="iconSet" priority="40391" id="{F0AD96E6-B7D5-436A-A9AA-D230D11E3796}">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J3150:J3247</xm:sqref>
        </x14:conditionalFormatting>
        <x14:conditionalFormatting xmlns:xm="http://schemas.microsoft.com/office/excel/2006/main">
          <x14:cfRule type="iconSet" priority="40393" id="{000EDC26-7C83-4C6F-9E47-F2926EABFA97}">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R3150:R3247</xm:sqref>
        </x14:conditionalFormatting>
        <x14:conditionalFormatting xmlns:xm="http://schemas.microsoft.com/office/excel/2006/main">
          <x14:cfRule type="iconSet" priority="114" id="{9CEE1A7D-70B9-466D-8657-619A0BA3C8BC}">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M3363</xm:sqref>
        </x14:conditionalFormatting>
        <x14:conditionalFormatting xmlns:xm="http://schemas.microsoft.com/office/excel/2006/main">
          <x14:cfRule type="iconSet" priority="115" id="{A6CC8969-A20C-4EA8-AD01-20E89D756612}">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J3363</xm:sqref>
        </x14:conditionalFormatting>
        <x14:conditionalFormatting xmlns:xm="http://schemas.microsoft.com/office/excel/2006/main">
          <x14:cfRule type="iconSet" priority="116" id="{F9BA186C-C0D2-4D9A-ADA8-8785C980378D}">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R3363</xm:sqref>
        </x14:conditionalFormatting>
        <x14:conditionalFormatting xmlns:xm="http://schemas.microsoft.com/office/excel/2006/main">
          <x14:cfRule type="iconSet" priority="107" id="{140ACDD0-7180-4937-AB33-8C15308BFB3B}">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J3445</xm:sqref>
        </x14:conditionalFormatting>
        <x14:conditionalFormatting xmlns:xm="http://schemas.microsoft.com/office/excel/2006/main">
          <x14:cfRule type="iconSet" priority="105" id="{50CC8F0A-E1D2-4D36-BCD0-17195159DA96}">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R3445</xm:sqref>
        </x14:conditionalFormatting>
        <x14:conditionalFormatting xmlns:xm="http://schemas.microsoft.com/office/excel/2006/main">
          <x14:cfRule type="iconSet" priority="42101" id="{2FCFE975-70EE-47FD-A05F-518FB563B066}">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M3249:M3360</xm:sqref>
        </x14:conditionalFormatting>
        <x14:conditionalFormatting xmlns:xm="http://schemas.microsoft.com/office/excel/2006/main">
          <x14:cfRule type="iconSet" priority="42102" id="{84C39507-D9E0-44ED-9942-A1DE53A56407}">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J3249:J3360</xm:sqref>
        </x14:conditionalFormatting>
        <x14:conditionalFormatting xmlns:xm="http://schemas.microsoft.com/office/excel/2006/main">
          <x14:cfRule type="iconSet" priority="42103" id="{9B38E5FE-FAAC-449E-B3E4-9BA9F3A868F6}">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R3249:R3360</xm:sqref>
        </x14:conditionalFormatting>
        <x14:conditionalFormatting xmlns:xm="http://schemas.microsoft.com/office/excel/2006/main">
          <x14:cfRule type="iconSet" priority="95" id="{DBE90A56-9B1C-4AC4-84CD-0460944BD01D}">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M3527</xm:sqref>
        </x14:conditionalFormatting>
        <x14:conditionalFormatting xmlns:xm="http://schemas.microsoft.com/office/excel/2006/main">
          <x14:cfRule type="iconSet" priority="96" id="{27A2E4B0-2CAB-40FD-B577-8CFB7540E6D9}">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J3527</xm:sqref>
        </x14:conditionalFormatting>
        <x14:conditionalFormatting xmlns:xm="http://schemas.microsoft.com/office/excel/2006/main">
          <x14:cfRule type="iconSet" priority="93" id="{4A04DAB4-019B-4D0E-BD10-4DB85357E690}">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R3527</xm:sqref>
        </x14:conditionalFormatting>
        <x14:conditionalFormatting xmlns:xm="http://schemas.microsoft.com/office/excel/2006/main">
          <x14:cfRule type="iconSet" priority="90" id="{E8ADB121-E97E-4828-B831-76DFC76E5BB8}">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M3528</xm:sqref>
        </x14:conditionalFormatting>
        <x14:conditionalFormatting xmlns:xm="http://schemas.microsoft.com/office/excel/2006/main">
          <x14:cfRule type="iconSet" priority="91" id="{E35ED2BA-A566-4C94-A024-38E540A64CF0}">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J3528</xm:sqref>
        </x14:conditionalFormatting>
        <x14:conditionalFormatting xmlns:xm="http://schemas.microsoft.com/office/excel/2006/main">
          <x14:cfRule type="iconSet" priority="88" id="{23B9331D-569E-494D-B42E-26A03813BBA0}">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R3528</xm:sqref>
        </x14:conditionalFormatting>
        <x14:conditionalFormatting xmlns:xm="http://schemas.microsoft.com/office/excel/2006/main">
          <x14:cfRule type="iconSet" priority="42442" id="{9A8F4CA9-F37D-4B10-93ED-0E9E895F8A56}">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M3364:M3444</xm:sqref>
        </x14:conditionalFormatting>
        <x14:conditionalFormatting xmlns:xm="http://schemas.microsoft.com/office/excel/2006/main">
          <x14:cfRule type="iconSet" priority="42444" id="{AD79A860-DBD6-42D9-B068-E3A5CB454263}">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J3364:J3444</xm:sqref>
        </x14:conditionalFormatting>
        <x14:conditionalFormatting xmlns:xm="http://schemas.microsoft.com/office/excel/2006/main">
          <x14:cfRule type="iconSet" priority="42446" id="{F0805400-BEE5-49A3-9276-E1B5344FD558}">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R3364:R3444</xm:sqref>
        </x14:conditionalFormatting>
        <x14:conditionalFormatting xmlns:xm="http://schemas.microsoft.com/office/excel/2006/main">
          <x14:cfRule type="iconSet" priority="42992" id="{A3427C12-B791-4886-8662-A85E2FA5B0A2}">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M3446:M3526</xm:sqref>
        </x14:conditionalFormatting>
        <x14:conditionalFormatting xmlns:xm="http://schemas.microsoft.com/office/excel/2006/main">
          <x14:cfRule type="iconSet" priority="42994" id="{22F1425D-13D9-4AC9-BCAD-0BF8DEC301AC}">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J3446:J3526</xm:sqref>
        </x14:conditionalFormatting>
        <x14:conditionalFormatting xmlns:xm="http://schemas.microsoft.com/office/excel/2006/main">
          <x14:cfRule type="iconSet" priority="42996" id="{9FFD4475-3446-41D8-B5EC-7183B3F35CBC}">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R3446:R3526</xm:sqref>
        </x14:conditionalFormatting>
        <x14:conditionalFormatting xmlns:xm="http://schemas.microsoft.com/office/excel/2006/main">
          <x14:cfRule type="iconSet" priority="74" id="{E55BA6F7-B957-4D07-A361-BE74CEC72F61}">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M3678</xm:sqref>
        </x14:conditionalFormatting>
        <x14:conditionalFormatting xmlns:xm="http://schemas.microsoft.com/office/excel/2006/main">
          <x14:cfRule type="iconSet" priority="75" id="{79D3ED76-CA21-4A30-BD66-0AB502D21096}">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J3678</xm:sqref>
        </x14:conditionalFormatting>
        <x14:conditionalFormatting xmlns:xm="http://schemas.microsoft.com/office/excel/2006/main">
          <x14:cfRule type="iconSet" priority="72" id="{6740702D-2C4E-45DB-8491-E98214A3F08E}">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R3678</xm:sqref>
        </x14:conditionalFormatting>
        <x14:conditionalFormatting xmlns:xm="http://schemas.microsoft.com/office/excel/2006/main">
          <x14:cfRule type="iconSet" priority="69" id="{BFC8573F-5E99-4991-B444-651A11525A5B}">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M3679</xm:sqref>
        </x14:conditionalFormatting>
        <x14:conditionalFormatting xmlns:xm="http://schemas.microsoft.com/office/excel/2006/main">
          <x14:cfRule type="iconSet" priority="70" id="{5A95FB2B-E4DA-4726-81AB-E00AAF2A55D9}">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J3679</xm:sqref>
        </x14:conditionalFormatting>
        <x14:conditionalFormatting xmlns:xm="http://schemas.microsoft.com/office/excel/2006/main">
          <x14:cfRule type="iconSet" priority="67" id="{CD47DF59-257B-4D6E-9876-D272CB1DC6FD}">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R3679</xm:sqref>
        </x14:conditionalFormatting>
        <x14:conditionalFormatting xmlns:xm="http://schemas.microsoft.com/office/excel/2006/main">
          <x14:cfRule type="iconSet" priority="64" id="{FFEE8F7D-0798-41BF-92C3-D232BA3B450A}">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M3680</xm:sqref>
        </x14:conditionalFormatting>
        <x14:conditionalFormatting xmlns:xm="http://schemas.microsoft.com/office/excel/2006/main">
          <x14:cfRule type="iconSet" priority="65" id="{B80D3E79-312D-489D-A9AC-6E6652006D0A}">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J3680</xm:sqref>
        </x14:conditionalFormatting>
        <x14:conditionalFormatting xmlns:xm="http://schemas.microsoft.com/office/excel/2006/main">
          <x14:cfRule type="iconSet" priority="62" id="{8750DA9F-E1F8-4239-A823-23C57BA9B15B}">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R3680</xm:sqref>
        </x14:conditionalFormatting>
        <x14:conditionalFormatting xmlns:xm="http://schemas.microsoft.com/office/excel/2006/main">
          <x14:cfRule type="iconSet" priority="59" id="{A19DEDAB-1FF6-4A42-9002-313331920459}">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M3681</xm:sqref>
        </x14:conditionalFormatting>
        <x14:conditionalFormatting xmlns:xm="http://schemas.microsoft.com/office/excel/2006/main">
          <x14:cfRule type="iconSet" priority="60" id="{C40069AB-625C-4E6D-B607-A02814CF806B}">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J3681</xm:sqref>
        </x14:conditionalFormatting>
        <x14:conditionalFormatting xmlns:xm="http://schemas.microsoft.com/office/excel/2006/main">
          <x14:cfRule type="iconSet" priority="57" id="{44317C3A-B53C-4A9C-8E2C-52F11923D4B4}">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R3681</xm:sqref>
        </x14:conditionalFormatting>
        <x14:conditionalFormatting xmlns:xm="http://schemas.microsoft.com/office/excel/2006/main">
          <x14:cfRule type="iconSet" priority="45930" id="{D395FF72-2991-4E80-9328-4A88CE5947DE}">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M3529:M3621</xm:sqref>
        </x14:conditionalFormatting>
        <x14:conditionalFormatting xmlns:xm="http://schemas.microsoft.com/office/excel/2006/main">
          <x14:cfRule type="iconSet" priority="45932" id="{1FE489A3-149F-4433-BC2C-DD7B516F0775}">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J3529:J3621</xm:sqref>
        </x14:conditionalFormatting>
        <x14:conditionalFormatting xmlns:xm="http://schemas.microsoft.com/office/excel/2006/main">
          <x14:cfRule type="iconSet" priority="45934" id="{6DF3A704-C58C-45D8-9692-02081AABCDCC}">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R3529:R3621</xm:sqref>
        </x14:conditionalFormatting>
        <x14:conditionalFormatting xmlns:xm="http://schemas.microsoft.com/office/excel/2006/main">
          <x14:cfRule type="iconSet" priority="45950" id="{0E030AA1-4D7B-487F-A54A-CEC8C78D9240}">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M3622:M3677</xm:sqref>
        </x14:conditionalFormatting>
        <x14:conditionalFormatting xmlns:xm="http://schemas.microsoft.com/office/excel/2006/main">
          <x14:cfRule type="iconSet" priority="45952" id="{5086252E-F147-414A-8C68-DA9C766EADAE}">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J3622:J3677</xm:sqref>
        </x14:conditionalFormatting>
        <x14:conditionalFormatting xmlns:xm="http://schemas.microsoft.com/office/excel/2006/main">
          <x14:cfRule type="iconSet" priority="45954" id="{2162F543-A113-40E5-9DCD-3CBA49FABCE2}">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R3622:R3677</xm:sqref>
        </x14:conditionalFormatting>
        <x14:conditionalFormatting xmlns:xm="http://schemas.microsoft.com/office/excel/2006/main">
          <x14:cfRule type="iconSet" priority="47" id="{EC270185-AF3F-44C9-A62D-6854CE286D94}">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M3872</xm:sqref>
        </x14:conditionalFormatting>
        <x14:conditionalFormatting xmlns:xm="http://schemas.microsoft.com/office/excel/2006/main">
          <x14:cfRule type="iconSet" priority="48" id="{80B4C843-006E-4B11-B8C1-F72D2A243166}">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J3872</xm:sqref>
        </x14:conditionalFormatting>
        <x14:conditionalFormatting xmlns:xm="http://schemas.microsoft.com/office/excel/2006/main">
          <x14:cfRule type="iconSet" priority="49" id="{BBBE330D-2992-41B4-AD26-DB0A10247B19}">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R3872</xm:sqref>
        </x14:conditionalFormatting>
        <x14:conditionalFormatting xmlns:xm="http://schemas.microsoft.com/office/excel/2006/main">
          <x14:cfRule type="iconSet" priority="42" id="{7AE67875-58A2-402A-BF8B-EC9198CFABC9}">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M3873</xm:sqref>
        </x14:conditionalFormatting>
        <x14:conditionalFormatting xmlns:xm="http://schemas.microsoft.com/office/excel/2006/main">
          <x14:cfRule type="iconSet" priority="43" id="{862B372B-10B8-4354-9AAC-F34F77F9A0CB}">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J3873</xm:sqref>
        </x14:conditionalFormatting>
        <x14:conditionalFormatting xmlns:xm="http://schemas.microsoft.com/office/excel/2006/main">
          <x14:cfRule type="iconSet" priority="44" id="{A695919D-2BB8-4A88-AC08-12AC2F212D00}">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R3873</xm:sqref>
        </x14:conditionalFormatting>
        <x14:conditionalFormatting xmlns:xm="http://schemas.microsoft.com/office/excel/2006/main">
          <x14:cfRule type="iconSet" priority="38" id="{189ED42E-CCDB-416F-AC84-A902426C5E10}">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M3874</xm:sqref>
        </x14:conditionalFormatting>
        <x14:conditionalFormatting xmlns:xm="http://schemas.microsoft.com/office/excel/2006/main">
          <x14:cfRule type="iconSet" priority="39" id="{19C31731-DD53-40C1-90BB-DFC1A558A398}">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J3874</xm:sqref>
        </x14:conditionalFormatting>
        <x14:conditionalFormatting xmlns:xm="http://schemas.microsoft.com/office/excel/2006/main">
          <x14:cfRule type="iconSet" priority="40" id="{6E75FBBE-E551-4205-800E-CD0795B3CF88}">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R3874</xm:sqref>
        </x14:conditionalFormatting>
        <x14:conditionalFormatting xmlns:xm="http://schemas.microsoft.com/office/excel/2006/main">
          <x14:cfRule type="iconSet" priority="34" id="{BD52C079-EE82-4386-AD49-BC566ACBA08C}">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M3875</xm:sqref>
        </x14:conditionalFormatting>
        <x14:conditionalFormatting xmlns:xm="http://schemas.microsoft.com/office/excel/2006/main">
          <x14:cfRule type="iconSet" priority="35" id="{7DBF44CA-A28F-4A0E-A21B-3D25645D37CF}">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J3875</xm:sqref>
        </x14:conditionalFormatting>
        <x14:conditionalFormatting xmlns:xm="http://schemas.microsoft.com/office/excel/2006/main">
          <x14:cfRule type="iconSet" priority="36" id="{2523D229-5657-4986-9C66-354FBE71A5A8}">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R3875</xm:sqref>
        </x14:conditionalFormatting>
        <x14:conditionalFormatting xmlns:xm="http://schemas.microsoft.com/office/excel/2006/main">
          <x14:cfRule type="iconSet" priority="30" id="{192A8CDC-5334-4209-9DAE-BBA4EE72CE8E}">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M3876</xm:sqref>
        </x14:conditionalFormatting>
        <x14:conditionalFormatting xmlns:xm="http://schemas.microsoft.com/office/excel/2006/main">
          <x14:cfRule type="iconSet" priority="31" id="{60FA4E50-A1C5-4E2E-9D32-C25830CEE3BA}">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J3876</xm:sqref>
        </x14:conditionalFormatting>
        <x14:conditionalFormatting xmlns:xm="http://schemas.microsoft.com/office/excel/2006/main">
          <x14:cfRule type="iconSet" priority="32" id="{651D217C-50EE-402D-AA08-6C1EF5490ADA}">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R3876</xm:sqref>
        </x14:conditionalFormatting>
        <x14:conditionalFormatting xmlns:xm="http://schemas.microsoft.com/office/excel/2006/main">
          <x14:cfRule type="iconSet" priority="26" id="{6CCF3331-B82A-43C3-AC34-774EC4CBFFEF}">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M3877</xm:sqref>
        </x14:conditionalFormatting>
        <x14:conditionalFormatting xmlns:xm="http://schemas.microsoft.com/office/excel/2006/main">
          <x14:cfRule type="iconSet" priority="27" id="{28B5D59E-F176-42FC-9628-CFD9F7F9F228}">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J3877</xm:sqref>
        </x14:conditionalFormatting>
        <x14:conditionalFormatting xmlns:xm="http://schemas.microsoft.com/office/excel/2006/main">
          <x14:cfRule type="iconSet" priority="28" id="{EE60B23A-B85B-45FD-B3AA-DABF703882E8}">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R3877</xm:sqref>
        </x14:conditionalFormatting>
        <x14:conditionalFormatting xmlns:xm="http://schemas.microsoft.com/office/excel/2006/main">
          <x14:cfRule type="iconSet" priority="22" id="{EC47DC5D-5D91-4BDE-A8E9-45D78D85EF1D}">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M3878</xm:sqref>
        </x14:conditionalFormatting>
        <x14:conditionalFormatting xmlns:xm="http://schemas.microsoft.com/office/excel/2006/main">
          <x14:cfRule type="iconSet" priority="23" id="{E2AC4470-6A78-43A2-B375-88AAA5F1986F}">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J3878</xm:sqref>
        </x14:conditionalFormatting>
        <x14:conditionalFormatting xmlns:xm="http://schemas.microsoft.com/office/excel/2006/main">
          <x14:cfRule type="iconSet" priority="24" id="{645C445B-E2C5-46A9-B2FA-EE8C31D877B5}">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R3878</xm:sqref>
        </x14:conditionalFormatting>
        <x14:conditionalFormatting xmlns:xm="http://schemas.microsoft.com/office/excel/2006/main">
          <x14:cfRule type="iconSet" priority="18" id="{CF5AC595-9490-4F6B-A301-03E22EEFD35E}">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M3879</xm:sqref>
        </x14:conditionalFormatting>
        <x14:conditionalFormatting xmlns:xm="http://schemas.microsoft.com/office/excel/2006/main">
          <x14:cfRule type="iconSet" priority="19" id="{4B05D370-FACD-4E1D-8161-08572EAF03F9}">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J3879</xm:sqref>
        </x14:conditionalFormatting>
        <x14:conditionalFormatting xmlns:xm="http://schemas.microsoft.com/office/excel/2006/main">
          <x14:cfRule type="iconSet" priority="20" id="{0470E391-DEFF-44E0-AB26-17A03EBF2698}">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R3879</xm:sqref>
        </x14:conditionalFormatting>
        <x14:conditionalFormatting xmlns:xm="http://schemas.microsoft.com/office/excel/2006/main">
          <x14:cfRule type="iconSet" priority="14" id="{06C752C8-4A74-4BE7-AC95-52E75CA05596}">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M3880</xm:sqref>
        </x14:conditionalFormatting>
        <x14:conditionalFormatting xmlns:xm="http://schemas.microsoft.com/office/excel/2006/main">
          <x14:cfRule type="iconSet" priority="15" id="{DECC1572-6E37-4CA5-98EC-58A44F9B0AB5}">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J3880</xm:sqref>
        </x14:conditionalFormatting>
        <x14:conditionalFormatting xmlns:xm="http://schemas.microsoft.com/office/excel/2006/main">
          <x14:cfRule type="iconSet" priority="16" id="{B12857AE-CB93-45DF-86D1-EFA0B33387AF}">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R3880</xm:sqref>
        </x14:conditionalFormatting>
        <x14:conditionalFormatting xmlns:xm="http://schemas.microsoft.com/office/excel/2006/main">
          <x14:cfRule type="iconSet" priority="10" id="{6D9BE31A-BB62-4631-A544-683637D4B3EC}">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M3881</xm:sqref>
        </x14:conditionalFormatting>
        <x14:conditionalFormatting xmlns:xm="http://schemas.microsoft.com/office/excel/2006/main">
          <x14:cfRule type="iconSet" priority="11" id="{7CD6803E-5C39-4865-84A8-71ECAAB2C0D1}">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J3881</xm:sqref>
        </x14:conditionalFormatting>
        <x14:conditionalFormatting xmlns:xm="http://schemas.microsoft.com/office/excel/2006/main">
          <x14:cfRule type="iconSet" priority="12" id="{DC39A343-E32D-422E-8304-177781BA5F9E}">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R3881</xm:sqref>
        </x14:conditionalFormatting>
        <x14:conditionalFormatting xmlns:xm="http://schemas.microsoft.com/office/excel/2006/main">
          <x14:cfRule type="iconSet" priority="6" id="{586E9079-5823-49F9-8ED4-A591685EC4EC}">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M3882</xm:sqref>
        </x14:conditionalFormatting>
        <x14:conditionalFormatting xmlns:xm="http://schemas.microsoft.com/office/excel/2006/main">
          <x14:cfRule type="iconSet" priority="7" id="{74CC3EDE-6846-4B3F-A55D-5CB3931EE465}">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J3882</xm:sqref>
        </x14:conditionalFormatting>
        <x14:conditionalFormatting xmlns:xm="http://schemas.microsoft.com/office/excel/2006/main">
          <x14:cfRule type="iconSet" priority="8" id="{59597257-CB9B-41FF-80CD-8EC3480C2CFA}">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R3882</xm:sqref>
        </x14:conditionalFormatting>
        <x14:conditionalFormatting xmlns:xm="http://schemas.microsoft.com/office/excel/2006/main">
          <x14:cfRule type="iconSet" priority="47057" id="{FEDF04AF-2788-4535-B002-3F72B5FD63F1}">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M3682:M3824</xm:sqref>
        </x14:conditionalFormatting>
        <x14:conditionalFormatting xmlns:xm="http://schemas.microsoft.com/office/excel/2006/main">
          <x14:cfRule type="iconSet" priority="47081" id="{D8E6E45F-242B-4A86-8B18-70D257A51B4B}">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J3682:J3871</xm:sqref>
        </x14:conditionalFormatting>
        <x14:conditionalFormatting xmlns:xm="http://schemas.microsoft.com/office/excel/2006/main">
          <x14:cfRule type="iconSet" priority="47083" id="{36418164-AC9F-4719-872F-EC803D9DD870}">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R3682:R3871</xm:sqref>
        </x14:conditionalFormatting>
        <x14:conditionalFormatting xmlns:xm="http://schemas.microsoft.com/office/excel/2006/main">
          <x14:cfRule type="iconSet" priority="3" id="{93069EDC-CB68-4451-A878-B9AC75849678}">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J3883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14:formula1>
            <xm:f>DRAFT!$D$18:$D$19</xm:f>
          </x14:formula1>
          <xm:sqref>AB5:AB2346</xm:sqref>
        </x14:dataValidation>
        <x14:dataValidation type="list" allowBlank="1" showInputMessage="1" showErrorMessage="1">
          <x14:formula1>
            <xm:f>DRAFT!$C$14:$C$16</xm:f>
          </x14:formula1>
          <xm:sqref>N3:N3882</xm:sqref>
        </x14:dataValidation>
        <x14:dataValidation type="list" allowBlank="1" showInputMessage="1" showErrorMessage="1">
          <x14:formula1>
            <xm:f>DRAFT!$E$2:$E$13</xm:f>
          </x14:formula1>
          <xm:sqref>K3:K3883</xm:sqref>
        </x14:dataValidation>
        <x14:dataValidation type="list" allowBlank="1" showInputMessage="1" showErrorMessage="1">
          <x14:formula1>
            <xm:f>DRAFT!$C$2:$C$4</xm:f>
          </x14:formula1>
          <xm:sqref>T3:T3883</xm:sqref>
        </x14:dataValidation>
        <x14:dataValidation type="list" allowBlank="1" showInputMessage="1" showErrorMessage="1">
          <x14:formula1>
            <xm:f>DRAFT!$Z$2:$Z$5</xm:f>
          </x14:formula1>
          <xm:sqref>S3:S3882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illing">
    <tabColor rgb="FF92D050"/>
    <outlinePr applyStyles="1"/>
  </sheetPr>
  <dimension ref="A1:PV2129"/>
  <sheetViews>
    <sheetView zoomScale="80" zoomScaleNormal="80" workbookViewId="0">
      <selection activeCell="B17" sqref="B17"/>
    </sheetView>
  </sheetViews>
  <sheetFormatPr defaultColWidth="8.6640625" defaultRowHeight="17.100000000000001" customHeight="1" outlineLevelRow="1" x14ac:dyDescent="0.3"/>
  <cols>
    <col min="1" max="1" width="18" style="49" customWidth="1"/>
    <col min="2" max="2" width="17.109375" customWidth="1"/>
    <col min="3" max="3" width="14.109375" style="49" customWidth="1"/>
    <col min="4" max="4" width="16" style="49" customWidth="1"/>
    <col min="5" max="5" width="18.109375" style="641" customWidth="1"/>
    <col min="6" max="6" width="16.109375" style="641" customWidth="1"/>
    <col min="7" max="7" width="17.88671875" style="49" customWidth="1"/>
    <col min="8" max="8" width="16.6640625" style="49" customWidth="1"/>
    <col min="9" max="9" width="16.44140625" style="49" customWidth="1"/>
    <col min="10" max="10" width="17.6640625" style="49" customWidth="1"/>
    <col min="11" max="11" width="19.6640625" style="49" customWidth="1"/>
    <col min="12" max="12" width="23.6640625" style="49" customWidth="1"/>
    <col min="13" max="13" width="21.88671875" style="49" customWidth="1"/>
    <col min="14" max="15" width="17.109375" style="49" customWidth="1"/>
    <col min="16" max="16" width="17.44140625" style="49" customWidth="1"/>
    <col min="17" max="17" width="16.44140625" style="49" customWidth="1"/>
    <col min="18" max="18" width="18.88671875" style="49" customWidth="1"/>
    <col min="19" max="19" width="17.5546875" style="49" customWidth="1"/>
    <col min="20" max="20" width="18.44140625" style="49" customWidth="1"/>
    <col min="21" max="21" width="16.6640625" style="49" customWidth="1"/>
    <col min="22" max="23" width="18.109375" style="49" customWidth="1"/>
    <col min="24" max="24" width="18" style="49" customWidth="1"/>
    <col min="25" max="25" width="18.5546875" style="49" customWidth="1"/>
    <col min="26" max="26" width="21.88671875" style="49" customWidth="1"/>
    <col min="27" max="28" width="17.109375" style="49" customWidth="1"/>
    <col min="29" max="29" width="17.44140625" style="49" customWidth="1"/>
    <col min="30" max="30" width="16.44140625" style="49" customWidth="1"/>
    <col min="31" max="31" width="18.88671875" style="49" customWidth="1"/>
    <col min="32" max="32" width="17.5546875" style="49" customWidth="1"/>
    <col min="33" max="33" width="18.44140625" style="49" customWidth="1"/>
    <col min="34" max="34" width="16.6640625" style="49" customWidth="1"/>
    <col min="35" max="35" width="18.33203125" style="49" customWidth="1"/>
    <col min="36" max="16384" width="8.6640625" style="49"/>
  </cols>
  <sheetData>
    <row r="1" spans="1:438" ht="17.100000000000001" customHeight="1" thickTop="1" thickBot="1" x14ac:dyDescent="0.35">
      <c r="A1" s="1401" t="s">
        <v>0</v>
      </c>
      <c r="B1" s="1402"/>
      <c r="C1" s="1403" t="s">
        <v>7730</v>
      </c>
      <c r="D1" s="1404"/>
      <c r="E1" s="1405" t="s">
        <v>7731</v>
      </c>
      <c r="F1" s="716" t="s">
        <v>1134</v>
      </c>
      <c r="G1" s="1405" t="s">
        <v>1</v>
      </c>
      <c r="H1" s="1405" t="s">
        <v>2</v>
      </c>
      <c r="I1" s="1405" t="s">
        <v>3</v>
      </c>
      <c r="J1" s="1405" t="s">
        <v>198</v>
      </c>
      <c r="M1" s="1363" t="s">
        <v>40</v>
      </c>
      <c r="N1" s="1363"/>
      <c r="O1" s="1403" t="s">
        <v>41</v>
      </c>
      <c r="P1" s="1404"/>
      <c r="Q1" s="1405"/>
      <c r="R1" s="1407" t="s">
        <v>42</v>
      </c>
      <c r="S1" s="1408"/>
      <c r="T1" s="1403" t="s">
        <v>41</v>
      </c>
      <c r="U1" s="1404"/>
      <c r="V1" s="1403" t="s">
        <v>859</v>
      </c>
      <c r="W1" s="1409"/>
      <c r="X1" s="1409"/>
      <c r="Y1" s="1404"/>
      <c r="Z1" s="1363" t="s">
        <v>7302</v>
      </c>
      <c r="AA1" s="1363"/>
      <c r="AB1" s="1403" t="s">
        <v>41</v>
      </c>
      <c r="AC1" s="1404"/>
      <c r="AD1" s="1405"/>
      <c r="AE1" s="1407" t="s">
        <v>7308</v>
      </c>
      <c r="AF1" s="1408"/>
      <c r="AG1" s="1403" t="s">
        <v>41</v>
      </c>
      <c r="AH1" s="1404"/>
      <c r="AI1" s="1405" t="s">
        <v>7309</v>
      </c>
    </row>
    <row r="2" spans="1:438" ht="17.100000000000001" customHeight="1" thickTop="1" thickBot="1" x14ac:dyDescent="0.35">
      <c r="A2" s="709" t="s">
        <v>4</v>
      </c>
      <c r="B2" s="709" t="s">
        <v>5</v>
      </c>
      <c r="C2" s="709" t="s">
        <v>4</v>
      </c>
      <c r="D2" s="709" t="s">
        <v>5</v>
      </c>
      <c r="E2" s="1406"/>
      <c r="F2" s="724" t="str">
        <f>IFERROR(INDEX(DRAFT!AM:AM,MATCH(F3,DRAFT!AL:AL,0),1),"")</f>
        <v>C:\Users\Lenovo\Documents\Nextcloud\РАБОЧИЕ ФАЙЛЫ</v>
      </c>
      <c r="G2" s="1406"/>
      <c r="H2" s="1406"/>
      <c r="I2" s="1406"/>
      <c r="J2" s="1406"/>
      <c r="M2" s="169" t="s">
        <v>605</v>
      </c>
      <c r="N2" s="169" t="s">
        <v>627</v>
      </c>
      <c r="O2" s="169" t="s">
        <v>43</v>
      </c>
      <c r="P2" s="169" t="s">
        <v>44</v>
      </c>
      <c r="Q2" s="1406"/>
      <c r="R2" s="169" t="s">
        <v>605</v>
      </c>
      <c r="S2" s="169" t="s">
        <v>627</v>
      </c>
      <c r="T2" s="169" t="s">
        <v>43</v>
      </c>
      <c r="U2" s="169" t="s">
        <v>44</v>
      </c>
      <c r="V2" s="171" t="s">
        <v>860</v>
      </c>
      <c r="W2" s="171" t="s">
        <v>861</v>
      </c>
      <c r="X2" s="171" t="s">
        <v>862</v>
      </c>
      <c r="Y2" s="171" t="s">
        <v>895</v>
      </c>
      <c r="Z2" s="692" t="s">
        <v>605</v>
      </c>
      <c r="AA2" s="692" t="s">
        <v>627</v>
      </c>
      <c r="AB2" s="692" t="s">
        <v>43</v>
      </c>
      <c r="AC2" s="692" t="s">
        <v>44</v>
      </c>
      <c r="AD2" s="1406"/>
      <c r="AE2" s="692" t="s">
        <v>605</v>
      </c>
      <c r="AF2" s="692" t="s">
        <v>627</v>
      </c>
      <c r="AG2" s="692" t="s">
        <v>43</v>
      </c>
      <c r="AH2" s="692" t="s">
        <v>44</v>
      </c>
      <c r="AI2" s="1406"/>
      <c r="AN2" s="49" t="str">
        <f>W3&amp;" ("&amp;V3&amp;")"&amp;" "&amp;X3&amp;" копеек"</f>
        <v>4 000 (четыре тысячи) 00 копеек</v>
      </c>
    </row>
    <row r="3" spans="1:438" ht="17.100000000000001" customHeight="1" thickTop="1" thickBot="1" x14ac:dyDescent="0.35">
      <c r="A3" s="164" t="str">
        <f>IFERROR(INDEX(STATUS!A:K,MATCH("РЕШ шаблон",STATUS!K:K,0),1),"")</f>
        <v>У-19-32531</v>
      </c>
      <c r="B3" s="165">
        <f>IFERROR(INDEX(STATUS!A:K,MATCH("РЕШ шаблон",STATUS!K:K,0),3),"")</f>
        <v>43725</v>
      </c>
      <c r="C3" s="33" t="s">
        <v>9010</v>
      </c>
      <c r="D3" s="23">
        <v>44007</v>
      </c>
      <c r="E3" s="638" t="s">
        <v>128</v>
      </c>
      <c r="F3" s="643" t="s">
        <v>5203</v>
      </c>
      <c r="G3" s="25"/>
      <c r="H3" s="46" t="s">
        <v>18</v>
      </c>
      <c r="I3" s="24" t="s">
        <v>925</v>
      </c>
      <c r="J3" s="251" t="s">
        <v>213</v>
      </c>
      <c r="M3" s="375" t="s">
        <v>46</v>
      </c>
      <c r="N3" s="104">
        <v>113314</v>
      </c>
      <c r="O3" s="153"/>
      <c r="P3" s="153"/>
      <c r="Q3" s="278" t="str">
        <f>IF(ISBLANK(N3),"",SUBSTITUTE(TEXT(N3,"# ##0\ рублей ,00\ копеек"),",",))</f>
        <v>113 314 рублей 00 копеек</v>
      </c>
      <c r="R3" s="30" t="s">
        <v>78</v>
      </c>
      <c r="S3" s="104">
        <v>4000</v>
      </c>
      <c r="T3" s="151"/>
      <c r="U3" s="152"/>
      <c r="V3" s="224" t="str">
        <f>LOWER(TRIM(SUBSTITUTE(PROPER(INDEX(n_4,MID(TEXT(W3,n0),1,1)+1)&amp;INDEX(n0x,MID(TEXT(W3,n0),2,1)+1,MID(TEXT(W3,n0),3,1)+1)&amp;IF(-MID(TEXT(W3,n0),1,3),"миллиард"&amp;VLOOKUP(MID(TEXT(W3,n0),3,1)*AND(MID(TEXT(W3,n0),2,1)-1),мил,2),"")&amp;INDEX(n_4,MID(TEXT(W3,n0),4,1)+1)&amp;INDEX(n0x,MID(TEXT(W3,n0),5,1)+1,MID(TEXT(W3,n0),6,1)+1)&amp;IF(-MID(TEXT(W3,n0),4,3),"миллион"&amp;VLOOKUP(MID(TEXT(W3,n0),6,1)*AND(MID(TEXT(W3,n0),5,1)-1),мил,2),"")&amp;INDEX(n_4,MID(TEXT(W3,n0),7,1)+1)&amp;INDEX(n1x,MID(TEXT(W3,n0),8,1)+1,MID(TEXT(W3,n0),9,1)+1)&amp;IF(-MID(TEXT(W3,n0),7,3),VLOOKUP(MID(TEXT(W3,n0),9,1)*AND(MID(TEXT(W3,n0),8,1)-1),тыс,2),"")&amp;INDEX(n_4,MID(TEXT(W3,n0),10,1)+1)&amp;INDEX(IF(-MID(TEXT(W3,n0),14,6),n1x,n0x),MID(TEXT(W3,n0),11,1)+1,MID(TEXT(W3,n0),12,1)+1)),"z"," ")&amp;IF(TRUNC(TEXT(W3,n0)),,"Ноль ")&amp;IF(-MID(TEXT(W3,n0),14,6),IF(MOD(MAX(MOD(MID(TEXT(W3,n0),11,2)-11,100),9),10),"целых ","целая ")&amp;SUBSTITUTE(INDEX(n_4,MID(TEXT(W3,n0),14,6)/10^5+1)&amp;INDEX(n1x,MOD(MID(TEXT(W3,n0),14,6)/10^4,10)+1,MOD(MID(TEXT(W3,n0),14,6)/1000,10)+1)&amp;IF(INT(MID(TEXT(W3,n0),14,6)/1000),VLOOKUP(MOD(MID(TEXT(W3,n0),14,6)/1000,10)*(MOD(INT(MID(TEXT(W3,n0),14,6)/10^4),10)&lt;&gt;1),тыс,2),"")&amp;INDEX(n_4,MOD(MID(TEXT(W3,n0),14,6)/100,10)+1)&amp;INDEX(n1x,MOD(MID(TEXT(W3,n0),14,6)/10,10)+1,MOD(MID(TEXT(W3,n0),14,6),10)+1),"z"," ")&amp;INDEX(доля,LEN(MID(TEXT(W3,n0),14,6)),(MOD(MAX(MOD(MID(TEXT(W3,n0),14,6)-11,100),9),10)&gt;0)+1),)))</f>
        <v>четыре тысячи</v>
      </c>
      <c r="W3" s="225" t="str">
        <f>SUBSTITUTE(TEXT(INT(S3),"# ##0"),",",)</f>
        <v>4 000</v>
      </c>
      <c r="X3" s="226" t="str">
        <f>SUBSTITUTE(TEXT(ROUND((S3-W3)*100,2),"00"),",",)</f>
        <v>00</v>
      </c>
      <c r="Y3" s="227" t="str">
        <f>SUBSTITUTE(TEXT(S3,"# ##0\ рублей ,00\ копеек"),",",)</f>
        <v>4 000 рублей 00 копеек</v>
      </c>
      <c r="Z3" s="30"/>
      <c r="AA3" s="104"/>
      <c r="AB3" s="153"/>
      <c r="AC3" s="153"/>
      <c r="AD3" s="278" t="str">
        <f>IF(ISBLANK(AA3),"",SUBSTITUTE(TEXT(AA3,"# ##0\ рублей ,00\ копеек"),",",))</f>
        <v/>
      </c>
      <c r="AE3" s="30"/>
      <c r="AF3" s="104"/>
      <c r="AG3" s="151"/>
      <c r="AH3" s="152"/>
      <c r="AI3" s="694"/>
      <c r="PB3" s="49">
        <f>MIN(IFERROR(SEARCH(PA$3,OZ3)+LEN(PA$3),99999),
IFERROR(SEARCH(PA$4,OZ3)+LEN(PA$4),99999),
IFERROR(SEARCH(PA$5,OZ3)+LEN(PA$5),99999),
IFERROR(SEARCH(PA$6,OZ3)+LEN(PA$6),99999),
IFERROR(SEARCH(PA$7,OZ3)+LEN(PA$7),99999),
IFERROR(SEARCH(PA$8,OZ3)+LEN(PA$8),99999),
IFERROR(SEARCH(PA$9,OZ3)+LEN(PA$9),99999),
IFERROR(SEARCH(PA$10,OZ3)+LEN(PA$10),99999),
IFERROR(SEARCH(PA$11,OZ3)+LEN(PA$11),99999),
IFERROR(SEARCH(PA$12,OZ3)+LEN(PA$12),99999),
IFERROR(SEARCH(PA$13,OZ3)+LEN(PA$13),99999),
IFERROR(SEARCH(PA$14,OZ3)+LEN(PA$14),99999)
)</f>
        <v>99999</v>
      </c>
      <c r="PU3" s="49">
        <f>IF(ISERROR(PT3),
IF(ISERROR(PT4),
IF(ISERROR(PT5),
IF(ISERROR(PT6),
"ОШИБКА",
PS6),
PS5),
PS4),
PS3)</f>
        <v>0</v>
      </c>
      <c r="PV3" s="49" t="e">
        <f>SEARCH(PU3,$OZ$3)+LEN(PU3)</f>
        <v>#VALUE!</v>
      </c>
    </row>
    <row r="4" spans="1:438" ht="17.100000000000001" customHeight="1" thickTop="1" thickBot="1" x14ac:dyDescent="0.35">
      <c r="A4" s="386" t="s">
        <v>4960</v>
      </c>
      <c r="B4" s="165">
        <f>IFERROR(INDEX(STATUS!A:K,MATCH("РЕШ шаблон",STATUS!K:K,0),4),"")</f>
        <v>43789</v>
      </c>
      <c r="C4" s="165">
        <f>IFERROR(IF(ISBLANK(B4),"",Term_EntryIntoForce(B4)),"")</f>
        <v>43804</v>
      </c>
      <c r="D4" s="165">
        <f>IFERROR(WORKDAY.INTL(C4,10,1,DRAFT!X2:X125),"")</f>
        <v>43818</v>
      </c>
      <c r="E4" s="165">
        <f>IFERROR(EDATE(B3,-36),"")</f>
        <v>42630</v>
      </c>
      <c r="F4" s="639"/>
      <c r="G4" s="29" t="str">
        <f>SUBSTITUTE(TEXT(G3,"# ##0\ рублей ,00\ копеек"),",",)</f>
        <v>0 рублей 00 копеек</v>
      </c>
      <c r="H4" s="27"/>
      <c r="I4" s="27"/>
      <c r="M4" s="375" t="s">
        <v>59</v>
      </c>
      <c r="N4" s="106">
        <v>50000</v>
      </c>
      <c r="O4" s="153"/>
      <c r="P4" s="153"/>
      <c r="Q4" s="278" t="str">
        <f t="shared" ref="Q4:Q12" si="0">IF(ISBLANK(N4),"",SUBSTITUTE(TEXT(N4,"# ##0\ рублей ,00\ копеек"),",",))</f>
        <v>50 000 рублей 00 копеек</v>
      </c>
      <c r="R4" s="30"/>
      <c r="S4" s="105"/>
      <c r="T4" s="151"/>
      <c r="U4" s="152"/>
      <c r="V4" s="228" t="str">
        <f>LOWER(TRIM(SUBSTITUTE(PROPER(INDEX(n_4,MID(TEXT(W4,n0),1,1)+1)&amp;INDEX(n0x,MID(TEXT(W4,n0),2,1)+1,MID(TEXT(W4,n0),3,1)+1)&amp;IF(-MID(TEXT(W4,n0),1,3),"миллиард"&amp;VLOOKUP(MID(TEXT(W4,n0),3,1)*AND(MID(TEXT(W4,n0),2,1)-1),мил,2),"")&amp;INDEX(n_4,MID(TEXT(W4,n0),4,1)+1)&amp;INDEX(n0x,MID(TEXT(W4,n0),5,1)+1,MID(TEXT(W4,n0),6,1)+1)&amp;IF(-MID(TEXT(W4,n0),4,3),"миллион"&amp;VLOOKUP(MID(TEXT(W4,n0),6,1)*AND(MID(TEXT(W4,n0),5,1)-1),мил,2),"")&amp;INDEX(n_4,MID(TEXT(W4,n0),7,1)+1)&amp;INDEX(n1x,MID(TEXT(W4,n0),8,1)+1,MID(TEXT(W4,n0),9,1)+1)&amp;IF(-MID(TEXT(W4,n0),7,3),VLOOKUP(MID(TEXT(W4,n0),9,1)*AND(MID(TEXT(W4,n0),8,1)-1),тыс,2),"")&amp;INDEX(n_4,MID(TEXT(W4,n0),10,1)+1)&amp;INDEX(IF(-MID(TEXT(W4,n0),14,6),n1x,n0x),MID(TEXT(W4,n0),11,1)+1,MID(TEXT(W4,n0),12,1)+1)),"z"," ")&amp;IF(TRUNC(TEXT(W4,n0)),,"Ноль ")&amp;IF(-MID(TEXT(W4,n0),14,6),IF(MOD(MAX(MOD(MID(TEXT(W4,n0),11,2)-11,100),9),10),"целых ","целая ")&amp;SUBSTITUTE(INDEX(n_4,MID(TEXT(W4,n0),14,6)/10^5+1)&amp;INDEX(n1x,MOD(MID(TEXT(W4,n0),14,6)/10^4,10)+1,MOD(MID(TEXT(W4,n0),14,6)/1000,10)+1)&amp;IF(INT(MID(TEXT(W4,n0),14,6)/1000),VLOOKUP(MOD(MID(TEXT(W4,n0),14,6)/1000,10)*(MOD(INT(MID(TEXT(W4,n0),14,6)/10^4),10)&lt;&gt;1),тыс,2),"")&amp;INDEX(n_4,MOD(MID(TEXT(W4,n0),14,6)/100,10)+1)&amp;INDEX(n1x,MOD(MID(TEXT(W4,n0),14,6)/10,10)+1,MOD(MID(TEXT(W4,n0),14,6),10)+1),"z"," ")&amp;INDEX(доля,LEN(MID(TEXT(W4,n0),14,6)),(MOD(MAX(MOD(MID(TEXT(W4,n0),14,6)-11,100),9),10)&gt;0)+1),)))</f>
        <v>ноль</v>
      </c>
      <c r="W4" s="229" t="str">
        <f>SUBSTITUTE(TEXT(INT(S4),"# ##0"),",",)</f>
        <v>0</v>
      </c>
      <c r="X4" s="230" t="str">
        <f t="shared" ref="X4:X13" si="1">SUBSTITUTE(TEXT(ROUND((S4-W4)*100,2),"00"),",",)</f>
        <v>00</v>
      </c>
      <c r="Y4" s="227" t="str">
        <f>SUBSTITUTE(TEXT(S4,"# ##0\ рублей ,00\ копеек"),",",)</f>
        <v>0 рублей 00 копеек</v>
      </c>
      <c r="Z4" s="30"/>
      <c r="AA4" s="106"/>
      <c r="AB4" s="153"/>
      <c r="AC4" s="153"/>
      <c r="AD4" s="278" t="str">
        <f t="shared" ref="AD4:AD12" si="2">IF(ISBLANK(AA4),"",SUBSTITUTE(TEXT(AA4,"# ##0\ рублей ,00\ копеек"),",",))</f>
        <v/>
      </c>
      <c r="AE4" s="30"/>
      <c r="AF4" s="105"/>
      <c r="AG4" s="151"/>
      <c r="AH4" s="152"/>
      <c r="AI4" s="695"/>
      <c r="PB4" s="49">
        <f>MIN(IFERROR(SEARCH(PA$3,OZ3)+LEN(PA$3),99999),
IFERROR(SEARCH(PA$4,OZ3)+LEN(PA$4),99999),
IFERROR(SEARCH(PA$5,OZ3)+LEN(PA$5),99999),
IFERROR(SEARCH(PA$6,OZ3)+LEN(PA$6),99999),
IFERROR(SEARCH(PA$7,OZ3)+LEN(PA$7),99999),
IFERROR(SEARCH(PA$8,OZ3)+LEN(PA$8),99999),
IFERROR(SEARCH(PA$9,OZ3)+LEN(PA$9),99999),
IFERROR(SEARCH(PA$10,OZ3)+LEN(PA$10),99999),
IFERROR(SEARCH(PA$11,OZ3)+LEN(PA$11),99999),
IFERROR(SEARCH(PA$12,OZ3)+LEN(PA$12),99999),
IFERROR(SEARCH(PA$13,OZ3)+LEN(PA$13),99999),
IFERROR(SEARCH(PA$14,OZ3)+LEN(PA$14),99999)
)</f>
        <v>99999</v>
      </c>
    </row>
    <row r="5" spans="1:438" s="40" customFormat="1" ht="17.100000000000001" customHeight="1" thickTop="1" thickBot="1" x14ac:dyDescent="0.35">
      <c r="A5" s="1371" t="s">
        <v>6</v>
      </c>
      <c r="B5" s="1372"/>
      <c r="C5" s="1372"/>
      <c r="D5" s="1373"/>
      <c r="E5" s="1403" t="s">
        <v>7</v>
      </c>
      <c r="F5" s="1409"/>
      <c r="G5" s="1409"/>
      <c r="H5" s="1409"/>
      <c r="I5" s="1404"/>
      <c r="M5" s="375"/>
      <c r="N5" s="106"/>
      <c r="O5" s="153"/>
      <c r="P5" s="153"/>
      <c r="Q5" s="278" t="str">
        <f t="shared" si="0"/>
        <v/>
      </c>
      <c r="R5" s="30"/>
      <c r="S5" s="105"/>
      <c r="T5" s="151"/>
      <c r="U5" s="152"/>
      <c r="V5" s="228" t="str">
        <f>LOWER(TRIM(SUBSTITUTE(PROPER(INDEX(n_4,MID(TEXT(W5,n0),1,1)+1)&amp;INDEX(n0x,MID(TEXT(W5,n0),2,1)+1,MID(TEXT(W5,n0),3,1)+1)&amp;IF(-MID(TEXT(W5,n0),1,3),"миллиард"&amp;VLOOKUP(MID(TEXT(W5,n0),3,1)*AND(MID(TEXT(W5,n0),2,1)-1),мил,2),"")&amp;INDEX(n_4,MID(TEXT(W5,n0),4,1)+1)&amp;INDEX(n0x,MID(TEXT(W5,n0),5,1)+1,MID(TEXT(W5,n0),6,1)+1)&amp;IF(-MID(TEXT(W5,n0),4,3),"миллион"&amp;VLOOKUP(MID(TEXT(W5,n0),6,1)*AND(MID(TEXT(W5,n0),5,1)-1),мил,2),"")&amp;INDEX(n_4,MID(TEXT(W5,n0),7,1)+1)&amp;INDEX(n1x,MID(TEXT(W5,n0),8,1)+1,MID(TEXT(W5,n0),9,1)+1)&amp;IF(-MID(TEXT(W5,n0),7,3),VLOOKUP(MID(TEXT(W5,n0),9,1)*AND(MID(TEXT(W5,n0),8,1)-1),тыс,2),"")&amp;INDEX(n_4,MID(TEXT(W5,n0),10,1)+1)&amp;INDEX(IF(-MID(TEXT(W5,n0),14,6),n1x,n0x),MID(TEXT(W5,n0),11,1)+1,MID(TEXT(W5,n0),12,1)+1)),"z"," ")&amp;IF(TRUNC(TEXT(W5,n0)),,"Ноль ")&amp;IF(-MID(TEXT(W5,n0),14,6),IF(MOD(MAX(MOD(MID(TEXT(W5,n0),11,2)-11,100),9),10),"целых ","целая ")&amp;SUBSTITUTE(INDEX(n_4,MID(TEXT(W5,n0),14,6)/10^5+1)&amp;INDEX(n1x,MOD(MID(TEXT(W5,n0),14,6)/10^4,10)+1,MOD(MID(TEXT(W5,n0),14,6)/1000,10)+1)&amp;IF(INT(MID(TEXT(W5,n0),14,6)/1000),VLOOKUP(MOD(MID(TEXT(W5,n0),14,6)/1000,10)*(MOD(INT(MID(TEXT(W5,n0),14,6)/10^4),10)&lt;&gt;1),тыс,2),"")&amp;INDEX(n_4,MOD(MID(TEXT(W5,n0),14,6)/100,10)+1)&amp;INDEX(n1x,MOD(MID(TEXT(W5,n0),14,6)/10,10)+1,MOD(MID(TEXT(W5,n0),14,6),10)+1),"z"," ")&amp;INDEX(доля,LEN(MID(TEXT(W5,n0),14,6)),(MOD(MAX(MOD(MID(TEXT(W5,n0),14,6)-11,100),9),10)&gt;0)+1),)))</f>
        <v>ноль</v>
      </c>
      <c r="W5" s="229" t="str">
        <f t="shared" ref="W5:W13" si="3">SUBSTITUTE(TEXT(INT(S5),"# ##0"),",",)</f>
        <v>0</v>
      </c>
      <c r="X5" s="230" t="str">
        <f t="shared" si="1"/>
        <v>00</v>
      </c>
      <c r="Y5" s="227" t="str">
        <f t="shared" ref="Y5:Y13" si="4">SUBSTITUTE(TEXT(S5,"# ##0\ рублей ,00\ копеек"),",",)</f>
        <v>0 рублей 00 копеек</v>
      </c>
      <c r="Z5" s="30"/>
      <c r="AA5" s="106"/>
      <c r="AB5" s="153"/>
      <c r="AC5" s="153"/>
      <c r="AD5" s="278" t="str">
        <f t="shared" si="2"/>
        <v/>
      </c>
      <c r="AE5" s="30"/>
      <c r="AF5" s="105"/>
      <c r="AG5" s="151"/>
      <c r="AH5" s="152"/>
      <c r="AI5" s="696"/>
    </row>
    <row r="6" spans="1:438" ht="17.100000000000001" customHeight="1" thickTop="1" thickBot="1" x14ac:dyDescent="0.35">
      <c r="A6" s="169" t="s">
        <v>8</v>
      </c>
      <c r="B6" s="617" t="s">
        <v>9</v>
      </c>
      <c r="C6" s="169" t="s">
        <v>10</v>
      </c>
      <c r="D6" s="169" t="s">
        <v>11</v>
      </c>
      <c r="E6" s="716" t="s">
        <v>12</v>
      </c>
      <c r="F6" s="717" t="s">
        <v>13</v>
      </c>
      <c r="G6" s="169" t="s">
        <v>14</v>
      </c>
      <c r="H6" s="169" t="s">
        <v>11</v>
      </c>
      <c r="I6" s="169" t="s">
        <v>15</v>
      </c>
      <c r="J6" s="261" t="s">
        <v>1739</v>
      </c>
      <c r="M6" s="375"/>
      <c r="N6" s="106"/>
      <c r="O6" s="153"/>
      <c r="P6" s="153"/>
      <c r="Q6" s="278" t="str">
        <f t="shared" si="0"/>
        <v/>
      </c>
      <c r="R6" s="30"/>
      <c r="S6" s="106"/>
      <c r="T6" s="151"/>
      <c r="U6" s="152"/>
      <c r="V6" s="228" t="str">
        <f>LOWER(TRIM(SUBSTITUTE(PROPER(INDEX(n_4,MID(TEXT(W6,n0),1,1)+1)&amp;INDEX(n0x,MID(TEXT(W6,n0),2,1)+1,MID(TEXT(W6,n0),3,1)+1)&amp;IF(-MID(TEXT(W6,n0),1,3),"миллиард"&amp;VLOOKUP(MID(TEXT(W6,n0),3,1)*AND(MID(TEXT(W6,n0),2,1)-1),мил,2),"")&amp;INDEX(n_4,MID(TEXT(W6,n0),4,1)+1)&amp;INDEX(n0x,MID(TEXT(W6,n0),5,1)+1,MID(TEXT(W6,n0),6,1)+1)&amp;IF(-MID(TEXT(W6,n0),4,3),"миллион"&amp;VLOOKUP(MID(TEXT(W6,n0),6,1)*AND(MID(TEXT(W6,n0),5,1)-1),мил,2),"")&amp;INDEX(n_4,MID(TEXT(W6,n0),7,1)+1)&amp;INDEX(n1x,MID(TEXT(W6,n0),8,1)+1,MID(TEXT(W6,n0),9,1)+1)&amp;IF(-MID(TEXT(W6,n0),7,3),VLOOKUP(MID(TEXT(W6,n0),9,1)*AND(MID(TEXT(W6,n0),8,1)-1),тыс,2),"")&amp;INDEX(n_4,MID(TEXT(W6,n0),10,1)+1)&amp;INDEX(IF(-MID(TEXT(W6,n0),14,6),n1x,n0x),MID(TEXT(W6,n0),11,1)+1,MID(TEXT(W6,n0),12,1)+1)),"z"," ")&amp;IF(TRUNC(TEXT(W6,n0)),,"Ноль ")&amp;IF(-MID(TEXT(W6,n0),14,6),IF(MOD(MAX(MOD(MID(TEXT(W6,n0),11,2)-11,100),9),10),"целых ","целая ")&amp;SUBSTITUTE(INDEX(n_4,MID(TEXT(W6,n0),14,6)/10^5+1)&amp;INDEX(n1x,MOD(MID(TEXT(W6,n0),14,6)/10^4,10)+1,MOD(MID(TEXT(W6,n0),14,6)/1000,10)+1)&amp;IF(INT(MID(TEXT(W6,n0),14,6)/1000),VLOOKUP(MOD(MID(TEXT(W6,n0),14,6)/1000,10)*(MOD(INT(MID(TEXT(W6,n0),14,6)/10^4),10)&lt;&gt;1),тыс,2),"")&amp;INDEX(n_4,MOD(MID(TEXT(W6,n0),14,6)/100,10)+1)&amp;INDEX(n1x,MOD(MID(TEXT(W6,n0),14,6)/10,10)+1,MOD(MID(TEXT(W6,n0),14,6),10)+1),"z"," ")&amp;INDEX(доля,LEN(MID(TEXT(W6,n0),14,6)),(MOD(MAX(MOD(MID(TEXT(W6,n0),14,6)-11,100),9),10)&gt;0)+1),)))</f>
        <v>ноль</v>
      </c>
      <c r="W6" s="229" t="str">
        <f t="shared" si="3"/>
        <v>0</v>
      </c>
      <c r="X6" s="230" t="str">
        <f t="shared" si="1"/>
        <v>00</v>
      </c>
      <c r="Y6" s="227" t="str">
        <f t="shared" si="4"/>
        <v>0 рублей 00 копеек</v>
      </c>
      <c r="Z6" s="30"/>
      <c r="AA6" s="106"/>
      <c r="AB6" s="153"/>
      <c r="AC6" s="153"/>
      <c r="AD6" s="278" t="str">
        <f t="shared" si="2"/>
        <v/>
      </c>
      <c r="AE6" s="30"/>
      <c r="AF6" s="106"/>
      <c r="AG6" s="151"/>
      <c r="AH6" s="152"/>
      <c r="AI6" s="695"/>
    </row>
    <row r="7" spans="1:438" ht="17.100000000000001" customHeight="1" thickTop="1" thickBot="1" x14ac:dyDescent="0.35">
      <c r="A7" s="166" t="str">
        <f ca="1">IFERROR([1]!GenitiveCase((INDEX(STATUS!A:K,MATCH("РЕШ шаблон",STATUS!K:K,0),6))),"")</f>
        <v>Герасименко Робэра Валериевича</v>
      </c>
      <c r="B7" s="618" t="s">
        <v>9011</v>
      </c>
      <c r="C7" s="155" t="s">
        <v>9012</v>
      </c>
      <c r="D7" s="155" t="s">
        <v>9012</v>
      </c>
      <c r="E7" s="727" t="str">
        <f>IFERROR(INDEX(STATUS!A:K,MATCH("РЕШ шаблон",STATUS!K:K,0),7),"")</f>
        <v>АО СК «Чулпан»</v>
      </c>
      <c r="F7" s="728">
        <f>IFERROR(INDEX(ФО!A:E,MATCH(E7,ФО!A:A,0),2),"")</f>
        <v>1644001196</v>
      </c>
      <c r="G7" s="167" t="str">
        <f>IFERROR(INDEX(ФО!A:E,MATCH(E7,ФО!A:A,0),3),"")</f>
        <v>423452, Республика Татарстан, г. Альметьевск, Альметьевский район, ул. Пушкина, д. 66, пом. 1</v>
      </c>
      <c r="H7" s="167" t="str">
        <f>IFERROR(INDEX(ФО!A:E,MATCH(E7,ФО!A:A,0),4),"")</f>
        <v>423452, Республика Татарстан, г. Альметьевск, Альметьевский район, ул. Пушкина, д. 66, пом. 1</v>
      </c>
      <c r="I7" s="165">
        <f>IFERROR(INDEX(ФО!A:E,MATCH(E7,ФО!A:A,0),5),"")</f>
        <v>37411</v>
      </c>
      <c r="J7" s="163"/>
      <c r="M7" s="375"/>
      <c r="N7" s="106"/>
      <c r="O7" s="153"/>
      <c r="P7" s="153"/>
      <c r="Q7" s="278" t="str">
        <f t="shared" si="0"/>
        <v/>
      </c>
      <c r="R7" s="30"/>
      <c r="S7" s="106"/>
      <c r="T7" s="151"/>
      <c r="U7" s="152"/>
      <c r="V7" s="228" t="str">
        <f>LOWER(TRIM(SUBSTITUTE(PROPER(INDEX(n_4,MID(TEXT(W7,n0),1,1)+1)&amp;INDEX(n0x,MID(TEXT(W7,n0),2,1)+1,MID(TEXT(W7,n0),3,1)+1)&amp;IF(-MID(TEXT(W7,n0),1,3),"миллиард"&amp;VLOOKUP(MID(TEXT(W7,n0),3,1)*AND(MID(TEXT(W7,n0),2,1)-1),мил,2),"")&amp;INDEX(n_4,MID(TEXT(W7,n0),4,1)+1)&amp;INDEX(n0x,MID(TEXT(W7,n0),5,1)+1,MID(TEXT(W7,n0),6,1)+1)&amp;IF(-MID(TEXT(W7,n0),4,3),"миллион"&amp;VLOOKUP(MID(TEXT(W7,n0),6,1)*AND(MID(TEXT(W7,n0),5,1)-1),мил,2),"")&amp;INDEX(n_4,MID(TEXT(W7,n0),7,1)+1)&amp;INDEX(n1x,MID(TEXT(W7,n0),8,1)+1,MID(TEXT(W7,n0),9,1)+1)&amp;IF(-MID(TEXT(W7,n0),7,3),VLOOKUP(MID(TEXT(W7,n0),9,1)*AND(MID(TEXT(W7,n0),8,1)-1),тыс,2),"")&amp;INDEX(n_4,MID(TEXT(W7,n0),10,1)+1)&amp;INDEX(IF(-MID(TEXT(W7,n0),14,6),n1x,n0x),MID(TEXT(W7,n0),11,1)+1,MID(TEXT(W7,n0),12,1)+1)),"z"," ")&amp;IF(TRUNC(TEXT(W7,n0)),,"Ноль ")&amp;IF(-MID(TEXT(W7,n0),14,6),IF(MOD(MAX(MOD(MID(TEXT(W7,n0),11,2)-11,100),9),10),"целых ","целая ")&amp;SUBSTITUTE(INDEX(n_4,MID(TEXT(W7,n0),14,6)/10^5+1)&amp;INDEX(n1x,MOD(MID(TEXT(W7,n0),14,6)/10^4,10)+1,MOD(MID(TEXT(W7,n0),14,6)/1000,10)+1)&amp;IF(INT(MID(TEXT(W7,n0),14,6)/1000),VLOOKUP(MOD(MID(TEXT(W7,n0),14,6)/1000,10)*(MOD(INT(MID(TEXT(W7,n0),14,6)/10^4),10)&lt;&gt;1),тыс,2),"")&amp;INDEX(n_4,MOD(MID(TEXT(W7,n0),14,6)/100,10)+1)&amp;INDEX(n1x,MOD(MID(TEXT(W7,n0),14,6)/10,10)+1,MOD(MID(TEXT(W7,n0),14,6),10)+1),"z"," ")&amp;INDEX(доля,LEN(MID(TEXT(W7,n0),14,6)),(MOD(MAX(MOD(MID(TEXT(W7,n0),14,6)-11,100),9),10)&gt;0)+1),)))</f>
        <v>ноль</v>
      </c>
      <c r="W7" s="229" t="str">
        <f t="shared" si="3"/>
        <v>0</v>
      </c>
      <c r="X7" s="230" t="str">
        <f t="shared" si="1"/>
        <v>00</v>
      </c>
      <c r="Y7" s="227" t="str">
        <f t="shared" si="4"/>
        <v>0 рублей 00 копеек</v>
      </c>
      <c r="Z7" s="30"/>
      <c r="AA7" s="106"/>
      <c r="AB7" s="153"/>
      <c r="AC7" s="153"/>
      <c r="AD7" s="278" t="str">
        <f t="shared" si="2"/>
        <v/>
      </c>
      <c r="AE7" s="30"/>
      <c r="AF7" s="106"/>
      <c r="AG7" s="151"/>
      <c r="AH7" s="152"/>
      <c r="AI7" s="695"/>
    </row>
    <row r="8" spans="1:438" ht="17.100000000000001" customHeight="1" thickTop="1" thickBot="1" x14ac:dyDescent="0.35">
      <c r="A8" s="169" t="s">
        <v>1154</v>
      </c>
      <c r="B8" s="619"/>
      <c r="C8" s="169" t="s">
        <v>1155</v>
      </c>
      <c r="D8" s="163"/>
      <c r="E8" s="716" t="s">
        <v>1734</v>
      </c>
      <c r="F8" s="678"/>
      <c r="G8" s="261" t="s">
        <v>122</v>
      </c>
      <c r="H8" s="24"/>
      <c r="I8" s="261" t="s">
        <v>1737</v>
      </c>
      <c r="J8" s="163"/>
      <c r="K8" s="169" t="s">
        <v>768</v>
      </c>
      <c r="L8" s="262" t="s">
        <v>1743</v>
      </c>
      <c r="M8" s="375"/>
      <c r="N8" s="106"/>
      <c r="O8" s="153"/>
      <c r="P8" s="153"/>
      <c r="Q8" s="278" t="str">
        <f t="shared" si="0"/>
        <v/>
      </c>
      <c r="R8" s="30"/>
      <c r="S8" s="106"/>
      <c r="T8" s="151"/>
      <c r="U8" s="152"/>
      <c r="V8" s="228" t="str">
        <f>LOWER(TRIM(SUBSTITUTE(PROPER(INDEX(n_4,MID(TEXT(W8,n0),1,1)+1)&amp;INDEX(n0x,MID(TEXT(W8,n0),2,1)+1,MID(TEXT(W8,n0),3,1)+1)&amp;IF(-MID(TEXT(W8,n0),1,3),"миллиард"&amp;VLOOKUP(MID(TEXT(W8,n0),3,1)*AND(MID(TEXT(W8,n0),2,1)-1),мил,2),"")&amp;INDEX(n_4,MID(TEXT(W8,n0),4,1)+1)&amp;INDEX(n0x,MID(TEXT(W8,n0),5,1)+1,MID(TEXT(W8,n0),6,1)+1)&amp;IF(-MID(TEXT(W8,n0),4,3),"миллион"&amp;VLOOKUP(MID(TEXT(W8,n0),6,1)*AND(MID(TEXT(W8,n0),5,1)-1),мил,2),"")&amp;INDEX(n_4,MID(TEXT(W8,n0),7,1)+1)&amp;INDEX(n1x,MID(TEXT(W8,n0),8,1)+1,MID(TEXT(W8,n0),9,1)+1)&amp;IF(-MID(TEXT(W8,n0),7,3),VLOOKUP(MID(TEXT(W8,n0),9,1)*AND(MID(TEXT(W8,n0),8,1)-1),тыс,2),"")&amp;INDEX(n_4,MID(TEXT(W8,n0),10,1)+1)&amp;INDEX(IF(-MID(TEXT(W8,n0),14,6),n1x,n0x),MID(TEXT(W8,n0),11,1)+1,MID(TEXT(W8,n0),12,1)+1)),"z"," ")&amp;IF(TRUNC(TEXT(W8,n0)),,"Ноль ")&amp;IF(-MID(TEXT(W8,n0),14,6),IF(MOD(MAX(MOD(MID(TEXT(W8,n0),11,2)-11,100),9),10),"целых ","целая ")&amp;SUBSTITUTE(INDEX(n_4,MID(TEXT(W8,n0),14,6)/10^5+1)&amp;INDEX(n1x,MOD(MID(TEXT(W8,n0),14,6)/10^4,10)+1,MOD(MID(TEXT(W8,n0),14,6)/1000,10)+1)&amp;IF(INT(MID(TEXT(W8,n0),14,6)/1000),VLOOKUP(MOD(MID(TEXT(W8,n0),14,6)/1000,10)*(MOD(INT(MID(TEXT(W8,n0),14,6)/10^4),10)&lt;&gt;1),тыс,2),"")&amp;INDEX(n_4,MOD(MID(TEXT(W8,n0),14,6)/100,10)+1)&amp;INDEX(n1x,MOD(MID(TEXT(W8,n0),14,6)/10,10)+1,MOD(MID(TEXT(W8,n0),14,6),10)+1),"z"," ")&amp;INDEX(доля,LEN(MID(TEXT(W8,n0),14,6)),(MOD(MAX(MOD(MID(TEXT(W8,n0),14,6)-11,100),9),10)&gt;0)+1),)))</f>
        <v>ноль</v>
      </c>
      <c r="W8" s="229" t="str">
        <f t="shared" si="3"/>
        <v>0</v>
      </c>
      <c r="X8" s="230" t="str">
        <f t="shared" si="1"/>
        <v>00</v>
      </c>
      <c r="Y8" s="227" t="str">
        <f t="shared" si="4"/>
        <v>0 рублей 00 копеек</v>
      </c>
      <c r="Z8" s="30"/>
      <c r="AA8" s="106"/>
      <c r="AB8" s="153"/>
      <c r="AC8" s="153"/>
      <c r="AD8" s="278" t="str">
        <f t="shared" si="2"/>
        <v/>
      </c>
      <c r="AE8" s="30"/>
      <c r="AF8" s="106"/>
      <c r="AG8" s="151"/>
      <c r="AH8" s="152"/>
      <c r="AI8" s="695"/>
    </row>
    <row r="9" spans="1:438" s="40" customFormat="1" ht="17.100000000000001" customHeight="1" thickTop="1" thickBot="1" x14ac:dyDescent="0.35">
      <c r="A9" s="1371" t="s">
        <v>114</v>
      </c>
      <c r="B9" s="1372"/>
      <c r="C9" s="1372"/>
      <c r="D9" s="1372"/>
      <c r="E9" s="1372"/>
      <c r="F9" s="1372"/>
      <c r="G9" s="1372"/>
      <c r="H9" s="1372"/>
      <c r="I9" s="1373"/>
      <c r="K9" s="40" t="b">
        <v>0</v>
      </c>
      <c r="L9" s="24" t="s">
        <v>1745</v>
      </c>
      <c r="M9" s="375"/>
      <c r="N9" s="106"/>
      <c r="O9" s="153"/>
      <c r="P9" s="153"/>
      <c r="Q9" s="278" t="str">
        <f t="shared" si="0"/>
        <v/>
      </c>
      <c r="R9" s="30"/>
      <c r="S9" s="106"/>
      <c r="T9" s="151"/>
      <c r="U9" s="152"/>
      <c r="V9" s="228" t="str">
        <f>LOWER(TRIM(SUBSTITUTE(PROPER(INDEX(n_4,MID(TEXT(W9,n0),1,1)+1)&amp;INDEX(n0x,MID(TEXT(W9,n0),2,1)+1,MID(TEXT(W9,n0),3,1)+1)&amp;IF(-MID(TEXT(W9,n0),1,3),"миллиард"&amp;VLOOKUP(MID(TEXT(W9,n0),3,1)*AND(MID(TEXT(W9,n0),2,1)-1),мил,2),"")&amp;INDEX(n_4,MID(TEXT(W9,n0),4,1)+1)&amp;INDEX(n0x,MID(TEXT(W9,n0),5,1)+1,MID(TEXT(W9,n0),6,1)+1)&amp;IF(-MID(TEXT(W9,n0),4,3),"миллион"&amp;VLOOKUP(MID(TEXT(W9,n0),6,1)*AND(MID(TEXT(W9,n0),5,1)-1),мил,2),"")&amp;INDEX(n_4,MID(TEXT(W9,n0),7,1)+1)&amp;INDEX(n1x,MID(TEXT(W9,n0),8,1)+1,MID(TEXT(W9,n0),9,1)+1)&amp;IF(-MID(TEXT(W9,n0),7,3),VLOOKUP(MID(TEXT(W9,n0),9,1)*AND(MID(TEXT(W9,n0),8,1)-1),тыс,2),"")&amp;INDEX(n_4,MID(TEXT(W9,n0),10,1)+1)&amp;INDEX(IF(-MID(TEXT(W9,n0),14,6),n1x,n0x),MID(TEXT(W9,n0),11,1)+1,MID(TEXT(W9,n0),12,1)+1)),"z"," ")&amp;IF(TRUNC(TEXT(W9,n0)),,"Ноль ")&amp;IF(-MID(TEXT(W9,n0),14,6),IF(MOD(MAX(MOD(MID(TEXT(W9,n0),11,2)-11,100),9),10),"целых ","целая ")&amp;SUBSTITUTE(INDEX(n_4,MID(TEXT(W9,n0),14,6)/10^5+1)&amp;INDEX(n1x,MOD(MID(TEXT(W9,n0),14,6)/10^4,10)+1,MOD(MID(TEXT(W9,n0),14,6)/1000,10)+1)&amp;IF(INT(MID(TEXT(W9,n0),14,6)/1000),VLOOKUP(MOD(MID(TEXT(W9,n0),14,6)/1000,10)*(MOD(INT(MID(TEXT(W9,n0),14,6)/10^4),10)&lt;&gt;1),тыс,2),"")&amp;INDEX(n_4,MOD(MID(TEXT(W9,n0),14,6)/100,10)+1)&amp;INDEX(n1x,MOD(MID(TEXT(W9,n0),14,6)/10,10)+1,MOD(MID(TEXT(W9,n0),14,6),10)+1),"z"," ")&amp;INDEX(доля,LEN(MID(TEXT(W9,n0),14,6)),(MOD(MAX(MOD(MID(TEXT(W9,n0),14,6)-11,100),9),10)&gt;0)+1),)))</f>
        <v>ноль</v>
      </c>
      <c r="W9" s="229" t="str">
        <f t="shared" si="3"/>
        <v>0</v>
      </c>
      <c r="X9" s="230" t="str">
        <f t="shared" si="1"/>
        <v>00</v>
      </c>
      <c r="Y9" s="227" t="str">
        <f t="shared" si="4"/>
        <v>0 рублей 00 копеек</v>
      </c>
      <c r="Z9" s="375"/>
      <c r="AA9" s="106"/>
      <c r="AB9" s="153"/>
      <c r="AC9" s="153"/>
      <c r="AD9" s="278" t="str">
        <f t="shared" si="2"/>
        <v/>
      </c>
      <c r="AE9" s="30"/>
      <c r="AF9" s="106"/>
      <c r="AG9" s="151"/>
      <c r="AH9" s="152"/>
      <c r="AI9" s="696"/>
    </row>
    <row r="10" spans="1:438" ht="17.100000000000001" customHeight="1" thickTop="1" thickBot="1" x14ac:dyDescent="0.35">
      <c r="A10" s="709" t="s">
        <v>115</v>
      </c>
      <c r="B10" s="709" t="s">
        <v>116</v>
      </c>
      <c r="C10" s="709" t="s">
        <v>117</v>
      </c>
      <c r="D10" s="709" t="s">
        <v>12</v>
      </c>
      <c r="E10" s="34" t="s">
        <v>118</v>
      </c>
      <c r="F10" s="35" t="s">
        <v>119</v>
      </c>
      <c r="G10" s="709" t="s">
        <v>120</v>
      </c>
      <c r="H10" s="709" t="s">
        <v>121</v>
      </c>
      <c r="I10" s="709" t="s">
        <v>122</v>
      </c>
      <c r="K10" s="49" t="b">
        <v>0</v>
      </c>
      <c r="L10" s="262" t="s">
        <v>663</v>
      </c>
      <c r="M10" s="375"/>
      <c r="N10" s="106"/>
      <c r="O10" s="153"/>
      <c r="P10" s="153"/>
      <c r="Q10" s="278" t="str">
        <f t="shared" si="0"/>
        <v/>
      </c>
      <c r="R10" s="30"/>
      <c r="S10" s="106"/>
      <c r="T10" s="151"/>
      <c r="U10" s="152"/>
      <c r="V10" s="228" t="str">
        <f>LOWER(TRIM(SUBSTITUTE(PROPER(INDEX(n_4,MID(TEXT(W10,n0),1,1)+1)&amp;INDEX(n0x,MID(TEXT(W10,n0),2,1)+1,MID(TEXT(W10,n0),3,1)+1)&amp;IF(-MID(TEXT(W10,n0),1,3),"миллиард"&amp;VLOOKUP(MID(TEXT(W10,n0),3,1)*AND(MID(TEXT(W10,n0),2,1)-1),мил,2),"")&amp;INDEX(n_4,MID(TEXT(W10,n0),4,1)+1)&amp;INDEX(n0x,MID(TEXT(W10,n0),5,1)+1,MID(TEXT(W10,n0),6,1)+1)&amp;IF(-MID(TEXT(W10,n0),4,3),"миллион"&amp;VLOOKUP(MID(TEXT(W10,n0),6,1)*AND(MID(TEXT(W10,n0),5,1)-1),мил,2),"")&amp;INDEX(n_4,MID(TEXT(W10,n0),7,1)+1)&amp;INDEX(n1x,MID(TEXT(W10,n0),8,1)+1,MID(TEXT(W10,n0),9,1)+1)&amp;IF(-MID(TEXT(W10,n0),7,3),VLOOKUP(MID(TEXT(W10,n0),9,1)*AND(MID(TEXT(W10,n0),8,1)-1),тыс,2),"")&amp;INDEX(n_4,MID(TEXT(W10,n0),10,1)+1)&amp;INDEX(IF(-MID(TEXT(W10,n0),14,6),n1x,n0x),MID(TEXT(W10,n0),11,1)+1,MID(TEXT(W10,n0),12,1)+1)),"z"," ")&amp;IF(TRUNC(TEXT(W10,n0)),,"Ноль ")&amp;IF(-MID(TEXT(W10,n0),14,6),IF(MOD(MAX(MOD(MID(TEXT(W10,n0),11,2)-11,100),9),10),"целых ","целая ")&amp;SUBSTITUTE(INDEX(n_4,MID(TEXT(W10,n0),14,6)/10^5+1)&amp;INDEX(n1x,MOD(MID(TEXT(W10,n0),14,6)/10^4,10)+1,MOD(MID(TEXT(W10,n0),14,6)/1000,10)+1)&amp;IF(INT(MID(TEXT(W10,n0),14,6)/1000),VLOOKUP(MOD(MID(TEXT(W10,n0),14,6)/1000,10)*(MOD(INT(MID(TEXT(W10,n0),14,6)/10^4),10)&lt;&gt;1),тыс,2),"")&amp;INDEX(n_4,MOD(MID(TEXT(W10,n0),14,6)/100,10)+1)&amp;INDEX(n1x,MOD(MID(TEXT(W10,n0),14,6)/10,10)+1,MOD(MID(TEXT(W10,n0),14,6),10)+1),"z"," ")&amp;INDEX(доля,LEN(MID(TEXT(W10,n0),14,6)),(MOD(MAX(MOD(MID(TEXT(W10,n0),14,6)-11,100),9),10)&gt;0)+1),)))</f>
        <v>ноль</v>
      </c>
      <c r="W10" s="229" t="str">
        <f t="shared" si="3"/>
        <v>0</v>
      </c>
      <c r="X10" s="230" t="str">
        <f t="shared" si="1"/>
        <v>00</v>
      </c>
      <c r="Y10" s="227" t="str">
        <f t="shared" si="4"/>
        <v>0 рублей 00 копеек</v>
      </c>
      <c r="Z10" s="375"/>
      <c r="AA10" s="106"/>
      <c r="AB10" s="153"/>
      <c r="AC10" s="153"/>
      <c r="AD10" s="278" t="str">
        <f t="shared" si="2"/>
        <v/>
      </c>
      <c r="AE10" s="30"/>
      <c r="AF10" s="106"/>
      <c r="AG10" s="151"/>
      <c r="AH10" s="152"/>
      <c r="AI10" s="695"/>
    </row>
    <row r="11" spans="1:438" ht="18" customHeight="1" thickTop="1" thickBot="1" x14ac:dyDescent="0.35">
      <c r="A11" s="155" t="s">
        <v>9013</v>
      </c>
      <c r="B11" s="620" t="s">
        <v>9014</v>
      </c>
      <c r="C11" s="155"/>
      <c r="D11" s="1346" t="s">
        <v>173</v>
      </c>
      <c r="E11" s="640"/>
      <c r="F11" s="679"/>
      <c r="G11" s="23"/>
      <c r="H11" s="250"/>
      <c r="I11" s="24" t="s">
        <v>717</v>
      </c>
      <c r="L11" s="24"/>
      <c r="M11" s="375"/>
      <c r="N11" s="106"/>
      <c r="O11" s="153"/>
      <c r="P11" s="153"/>
      <c r="Q11" s="278" t="str">
        <f t="shared" si="0"/>
        <v/>
      </c>
      <c r="R11" s="30"/>
      <c r="S11" s="106"/>
      <c r="T11" s="151"/>
      <c r="U11" s="152"/>
      <c r="V11" s="228" t="str">
        <f>LOWER(TRIM(SUBSTITUTE(PROPER(INDEX(n_4,MID(TEXT(W11,n0),1,1)+1)&amp;INDEX(n0x,MID(TEXT(W11,n0),2,1)+1,MID(TEXT(W11,n0),3,1)+1)&amp;IF(-MID(TEXT(W11,n0),1,3),"миллиард"&amp;VLOOKUP(MID(TEXT(W11,n0),3,1)*AND(MID(TEXT(W11,n0),2,1)-1),мил,2),"")&amp;INDEX(n_4,MID(TEXT(W11,n0),4,1)+1)&amp;INDEX(n0x,MID(TEXT(W11,n0),5,1)+1,MID(TEXT(W11,n0),6,1)+1)&amp;IF(-MID(TEXT(W11,n0),4,3),"миллион"&amp;VLOOKUP(MID(TEXT(W11,n0),6,1)*AND(MID(TEXT(W11,n0),5,1)-1),мил,2),"")&amp;INDEX(n_4,MID(TEXT(W11,n0),7,1)+1)&amp;INDEX(n1x,MID(TEXT(W11,n0),8,1)+1,MID(TEXT(W11,n0),9,1)+1)&amp;IF(-MID(TEXT(W11,n0),7,3),VLOOKUP(MID(TEXT(W11,n0),9,1)*AND(MID(TEXT(W11,n0),8,1)-1),тыс,2),"")&amp;INDEX(n_4,MID(TEXT(W11,n0),10,1)+1)&amp;INDEX(IF(-MID(TEXT(W11,n0),14,6),n1x,n0x),MID(TEXT(W11,n0),11,1)+1,MID(TEXT(W11,n0),12,1)+1)),"z"," ")&amp;IF(TRUNC(TEXT(W11,n0)),,"Ноль ")&amp;IF(-MID(TEXT(W11,n0),14,6),IF(MOD(MAX(MOD(MID(TEXT(W11,n0),11,2)-11,100),9),10),"целых ","целая ")&amp;SUBSTITUTE(INDEX(n_4,MID(TEXT(W11,n0),14,6)/10^5+1)&amp;INDEX(n1x,MOD(MID(TEXT(W11,n0),14,6)/10^4,10)+1,MOD(MID(TEXT(W11,n0),14,6)/1000,10)+1)&amp;IF(INT(MID(TEXT(W11,n0),14,6)/1000),VLOOKUP(MOD(MID(TEXT(W11,n0),14,6)/1000,10)*(MOD(INT(MID(TEXT(W11,n0),14,6)/10^4),10)&lt;&gt;1),тыс,2),"")&amp;INDEX(n_4,MOD(MID(TEXT(W11,n0),14,6)/100,10)+1)&amp;INDEX(n1x,MOD(MID(TEXT(W11,n0),14,6)/10,10)+1,MOD(MID(TEXT(W11,n0),14,6),10)+1),"z"," ")&amp;INDEX(доля,LEN(MID(TEXT(W11,n0),14,6)),(MOD(MAX(MOD(MID(TEXT(W11,n0),14,6)-11,100),9),10)&gt;0)+1),)))</f>
        <v>ноль</v>
      </c>
      <c r="W11" s="229" t="str">
        <f t="shared" si="3"/>
        <v>0</v>
      </c>
      <c r="X11" s="230" t="str">
        <f t="shared" si="1"/>
        <v>00</v>
      </c>
      <c r="Y11" s="227" t="str">
        <f t="shared" si="4"/>
        <v>0 рублей 00 копеек</v>
      </c>
      <c r="Z11" s="375"/>
      <c r="AA11" s="106"/>
      <c r="AB11" s="153"/>
      <c r="AC11" s="153"/>
      <c r="AD11" s="278" t="str">
        <f t="shared" si="2"/>
        <v/>
      </c>
      <c r="AE11" s="30"/>
      <c r="AF11" s="106"/>
      <c r="AG11" s="151"/>
      <c r="AH11" s="152"/>
      <c r="AI11" s="695"/>
    </row>
    <row r="12" spans="1:438" ht="17.100000000000001" customHeight="1" thickTop="1" thickBot="1" x14ac:dyDescent="0.35">
      <c r="A12" s="169" t="s">
        <v>1084</v>
      </c>
      <c r="B12" s="156"/>
      <c r="C12" s="169" t="s">
        <v>1153</v>
      </c>
      <c r="D12" s="158"/>
      <c r="E12" s="716" t="s">
        <v>1156</v>
      </c>
      <c r="F12" s="680"/>
      <c r="G12" s="261" t="s">
        <v>1733</v>
      </c>
      <c r="H12" s="163"/>
      <c r="I12" s="27"/>
      <c r="J12" s="1440" t="s">
        <v>792</v>
      </c>
      <c r="K12" s="1440"/>
      <c r="L12" s="1441"/>
      <c r="M12" s="375"/>
      <c r="N12" s="107"/>
      <c r="O12" s="149"/>
      <c r="P12" s="149"/>
      <c r="Q12" s="278" t="str">
        <f t="shared" si="0"/>
        <v/>
      </c>
      <c r="R12" s="30"/>
      <c r="S12" s="107"/>
      <c r="T12" s="149"/>
      <c r="U12" s="150"/>
      <c r="V12" s="231" t="str">
        <f>LOWER(TRIM(SUBSTITUTE(PROPER(INDEX(n_4,MID(TEXT(W12,n0),1,1)+1)&amp;INDEX(n0x,MID(TEXT(W12,n0),2,1)+1,MID(TEXT(W12,n0),3,1)+1)&amp;IF(-MID(TEXT(W12,n0),1,3),"миллиард"&amp;VLOOKUP(MID(TEXT(W12,n0),3,1)*AND(MID(TEXT(W12,n0),2,1)-1),мил,2),"")&amp;INDEX(n_4,MID(TEXT(W12,n0),4,1)+1)&amp;INDEX(n0x,MID(TEXT(W12,n0),5,1)+1,MID(TEXT(W12,n0),6,1)+1)&amp;IF(-MID(TEXT(W12,n0),4,3),"миллион"&amp;VLOOKUP(MID(TEXT(W12,n0),6,1)*AND(MID(TEXT(W12,n0),5,1)-1),мил,2),"")&amp;INDEX(n_4,MID(TEXT(W12,n0),7,1)+1)&amp;INDEX(n1x,MID(TEXT(W12,n0),8,1)+1,MID(TEXT(W12,n0),9,1)+1)&amp;IF(-MID(TEXT(W12,n0),7,3),VLOOKUP(MID(TEXT(W12,n0),9,1)*AND(MID(TEXT(W12,n0),8,1)-1),тыс,2),"")&amp;INDEX(n_4,MID(TEXT(W12,n0),10,1)+1)&amp;INDEX(IF(-MID(TEXT(W12,n0),14,6),n1x,n0x),MID(TEXT(W12,n0),11,1)+1,MID(TEXT(W12,n0),12,1)+1)),"z"," ")&amp;IF(TRUNC(TEXT(W12,n0)),,"Ноль ")&amp;IF(-MID(TEXT(W12,n0),14,6),IF(MOD(MAX(MOD(MID(TEXT(W12,n0),11,2)-11,100),9),10),"целых ","целая ")&amp;SUBSTITUTE(INDEX(n_4,MID(TEXT(W12,n0),14,6)/10^5+1)&amp;INDEX(n1x,MOD(MID(TEXT(W12,n0),14,6)/10^4,10)+1,MOD(MID(TEXT(W12,n0),14,6)/1000,10)+1)&amp;IF(INT(MID(TEXT(W12,n0),14,6)/1000),VLOOKUP(MOD(MID(TEXT(W12,n0),14,6)/1000,10)*(MOD(INT(MID(TEXT(W12,n0),14,6)/10^4),10)&lt;&gt;1),тыс,2),"")&amp;INDEX(n_4,MOD(MID(TEXT(W12,n0),14,6)/100,10)+1)&amp;INDEX(n1x,MOD(MID(TEXT(W12,n0),14,6)/10,10)+1,MOD(MID(TEXT(W12,n0),14,6),10)+1),"z"," ")&amp;INDEX(доля,LEN(MID(TEXT(W12,n0),14,6)),(MOD(MAX(MOD(MID(TEXT(W12,n0),14,6)-11,100),9),10)&gt;0)+1),)))</f>
        <v>ноль</v>
      </c>
      <c r="W12" s="232" t="str">
        <f t="shared" si="3"/>
        <v>0</v>
      </c>
      <c r="X12" s="233" t="str">
        <f t="shared" si="1"/>
        <v>00</v>
      </c>
      <c r="Y12" s="234" t="str">
        <f t="shared" si="4"/>
        <v>0 рублей 00 копеек</v>
      </c>
      <c r="Z12" s="375"/>
      <c r="AA12" s="107"/>
      <c r="AB12" s="149"/>
      <c r="AC12" s="149"/>
      <c r="AD12" s="278" t="str">
        <f t="shared" si="2"/>
        <v/>
      </c>
      <c r="AE12" s="30"/>
      <c r="AF12" s="107"/>
      <c r="AG12" s="149"/>
      <c r="AH12" s="150"/>
      <c r="AI12" s="695"/>
    </row>
    <row r="13" spans="1:438" s="40" customFormat="1" ht="17.100000000000001" customHeight="1" thickTop="1" thickBot="1" x14ac:dyDescent="0.35">
      <c r="A13" s="1376" t="s">
        <v>123</v>
      </c>
      <c r="B13" s="1377"/>
      <c r="C13" s="1377"/>
      <c r="D13" s="1377"/>
      <c r="E13" s="1377"/>
      <c r="F13" s="1377"/>
      <c r="G13" s="1377"/>
      <c r="H13" s="1377"/>
      <c r="I13" s="1378"/>
      <c r="J13" s="40" t="b">
        <v>0</v>
      </c>
      <c r="K13" s="40" t="b">
        <v>0</v>
      </c>
      <c r="L13" s="675" t="str">
        <f>IF(AND(OR((E243)&gt;400000,(E244)&gt;400000),L11=DRAFT!W2),"НА ЭКСПЕРТИЗУ!","")</f>
        <v/>
      </c>
      <c r="M13" s="168" t="s">
        <v>45</v>
      </c>
      <c r="N13" s="108">
        <f>SUM(N3:N12)</f>
        <v>163314</v>
      </c>
      <c r="O13" s="39"/>
      <c r="P13" s="39"/>
      <c r="Q13" s="279" t="str">
        <f>IF(N13=0,"",SUBSTITUTE(TEXT(N13,"# ##0\ рублей ,00\ копеек"),",",))</f>
        <v>163 314 рублей 00 копеек</v>
      </c>
      <c r="R13" s="168" t="s">
        <v>45</v>
      </c>
      <c r="S13" s="108">
        <f>SUM(S3:S12)</f>
        <v>4000</v>
      </c>
      <c r="T13" s="39"/>
      <c r="U13" s="108"/>
      <c r="V13" s="235" t="str">
        <f>LOWER(TRIM(SUBSTITUTE(PROPER(INDEX(n_4,MID(TEXT(W13,n0),1,1)+1)&amp;INDEX(n0x,MID(TEXT(W13,n0),2,1)+1,MID(TEXT(W13,n0),3,1)+1)&amp;IF(-MID(TEXT(W13,n0),1,3),"миллиард"&amp;VLOOKUP(MID(TEXT(W13,n0),3,1)*AND(MID(TEXT(W13,n0),2,1)-1),мил,2),"")&amp;INDEX(n_4,MID(TEXT(W13,n0),4,1)+1)&amp;INDEX(n0x,MID(TEXT(W13,n0),5,1)+1,MID(TEXT(W13,n0),6,1)+1)&amp;IF(-MID(TEXT(W13,n0),4,3),"миллион"&amp;VLOOKUP(MID(TEXT(W13,n0),6,1)*AND(MID(TEXT(W13,n0),5,1)-1),мил,2),"")&amp;INDEX(n_4,MID(TEXT(W13,n0),7,1)+1)&amp;INDEX(n1x,MID(TEXT(W13,n0),8,1)+1,MID(TEXT(W13,n0),9,1)+1)&amp;IF(-MID(TEXT(W13,n0),7,3),VLOOKUP(MID(TEXT(W13,n0),9,1)*AND(MID(TEXT(W13,n0),8,1)-1),тыс,2),"")&amp;INDEX(n_4,MID(TEXT(W13,n0),10,1)+1)&amp;INDEX(IF(-MID(TEXT(W13,n0),14,6),n1x,n0x),MID(TEXT(W13,n0),11,1)+1,MID(TEXT(W13,n0),12,1)+1)),"z"," ")&amp;IF(TRUNC(TEXT(W13,n0)),,"Ноль ")&amp;IF(-MID(TEXT(W13,n0),14,6),IF(MOD(MAX(MOD(MID(TEXT(W13,n0),11,2)-11,100),9),10),"целых ","целая ")&amp;SUBSTITUTE(INDEX(n_4,MID(TEXT(W13,n0),14,6)/10^5+1)&amp;INDEX(n1x,MOD(MID(TEXT(W13,n0),14,6)/10^4,10)+1,MOD(MID(TEXT(W13,n0),14,6)/1000,10)+1)&amp;IF(INT(MID(TEXT(W13,n0),14,6)/1000),VLOOKUP(MOD(MID(TEXT(W13,n0),14,6)/1000,10)*(MOD(INT(MID(TEXT(W13,n0),14,6)/10^4),10)&lt;&gt;1),тыс,2),"")&amp;INDEX(n_4,MOD(MID(TEXT(W13,n0),14,6)/100,10)+1)&amp;INDEX(n1x,MOD(MID(TEXT(W13,n0),14,6)/10,10)+1,MOD(MID(TEXT(W13,n0),14,6),10)+1),"z"," ")&amp;INDEX(доля,LEN(MID(TEXT(W13,n0),14,6)),(MOD(MAX(MOD(MID(TEXT(W13,n0),14,6)-11,100),9),10)&gt;0)+1),)))</f>
        <v>четыре тысячи</v>
      </c>
      <c r="W13" s="236" t="str">
        <f t="shared" si="3"/>
        <v>4 000</v>
      </c>
      <c r="X13" s="237" t="str">
        <f t="shared" si="1"/>
        <v>00</v>
      </c>
      <c r="Y13" s="238" t="str">
        <f t="shared" si="4"/>
        <v>4 000 рублей 00 копеек</v>
      </c>
      <c r="Z13" s="693" t="s">
        <v>45</v>
      </c>
      <c r="AA13" s="108">
        <f>SUM(AA3:AA12)</f>
        <v>0</v>
      </c>
      <c r="AB13" s="39"/>
      <c r="AC13" s="39"/>
      <c r="AD13" s="279" t="str">
        <f>IF(AA13=0,"",SUBSTITUTE(TEXT(AA13,"# ##0\ рублей ,00\ копеек"),",",))</f>
        <v/>
      </c>
      <c r="AE13" s="693" t="s">
        <v>45</v>
      </c>
      <c r="AF13" s="108">
        <f>SUM(AF3:AF12)</f>
        <v>0</v>
      </c>
      <c r="AG13" s="39"/>
      <c r="AH13" s="108"/>
      <c r="AI13" s="697"/>
    </row>
    <row r="14" spans="1:438" ht="17.100000000000001" customHeight="1" thickTop="1" thickBot="1" x14ac:dyDescent="0.35">
      <c r="A14" s="169" t="s">
        <v>115</v>
      </c>
      <c r="B14" s="617" t="s">
        <v>116</v>
      </c>
      <c r="C14" s="169" t="s">
        <v>124</v>
      </c>
      <c r="D14" s="169" t="s">
        <v>12</v>
      </c>
      <c r="E14" s="666" t="s">
        <v>118</v>
      </c>
      <c r="F14" s="718" t="s">
        <v>119</v>
      </c>
      <c r="G14" s="169" t="s">
        <v>120</v>
      </c>
      <c r="H14" s="169" t="s">
        <v>121</v>
      </c>
      <c r="I14" s="169" t="s">
        <v>122</v>
      </c>
      <c r="J14" s="49" t="b">
        <v>0</v>
      </c>
      <c r="K14" s="49" t="b">
        <v>0</v>
      </c>
    </row>
    <row r="15" spans="1:438" ht="17.100000000000001" customHeight="1" thickTop="1" thickBot="1" x14ac:dyDescent="0.35">
      <c r="A15" s="33" t="s">
        <v>9016</v>
      </c>
      <c r="B15" s="24" t="s">
        <v>9017</v>
      </c>
      <c r="C15" s="33" t="s">
        <v>9015</v>
      </c>
      <c r="D15" s="33"/>
      <c r="E15" s="640" t="s">
        <v>9018</v>
      </c>
      <c r="F15" s="679"/>
      <c r="G15" s="23">
        <v>43778</v>
      </c>
      <c r="H15" s="250">
        <v>44143</v>
      </c>
      <c r="I15" s="24" t="s">
        <v>717</v>
      </c>
      <c r="J15" s="49" t="b">
        <v>0</v>
      </c>
      <c r="K15" s="41" t="s">
        <v>1993</v>
      </c>
      <c r="L15" s="41" t="s">
        <v>896</v>
      </c>
      <c r="M15" s="127"/>
      <c r="N15" s="62"/>
      <c r="O15" s="1403" t="s">
        <v>921</v>
      </c>
      <c r="P15" s="1409"/>
      <c r="Q15" s="1404"/>
      <c r="R15" s="1403" t="s">
        <v>919</v>
      </c>
      <c r="S15" s="1409"/>
      <c r="T15" s="1404"/>
      <c r="U15" s="1363" t="s">
        <v>920</v>
      </c>
      <c r="V15" s="1363"/>
      <c r="W15" s="1363"/>
      <c r="X15" s="1405" t="s">
        <v>5212</v>
      </c>
      <c r="Y15" s="1405" t="s">
        <v>5213</v>
      </c>
      <c r="Z15" s="49" t="b">
        <v>1</v>
      </c>
    </row>
    <row r="16" spans="1:438" ht="17.100000000000001" customHeight="1" thickTop="1" thickBot="1" x14ac:dyDescent="0.35">
      <c r="B16" s="49"/>
      <c r="J16" s="49" t="b">
        <v>0</v>
      </c>
      <c r="K16" s="24" t="s">
        <v>5235</v>
      </c>
      <c r="L16" s="253" t="s">
        <v>1425</v>
      </c>
      <c r="M16" s="128" t="s">
        <v>149</v>
      </c>
      <c r="N16" s="62"/>
      <c r="O16" s="169" t="s">
        <v>605</v>
      </c>
      <c r="P16" s="1403" t="s">
        <v>627</v>
      </c>
      <c r="Q16" s="1404"/>
      <c r="R16" s="169" t="s">
        <v>605</v>
      </c>
      <c r="S16" s="1403" t="s">
        <v>627</v>
      </c>
      <c r="T16" s="1404"/>
      <c r="U16" s="169" t="s">
        <v>605</v>
      </c>
      <c r="V16" s="1363" t="s">
        <v>627</v>
      </c>
      <c r="W16" s="1363"/>
      <c r="X16" s="1406"/>
      <c r="Y16" s="1406"/>
    </row>
    <row r="17" spans="1:25" ht="17.100000000000001" customHeight="1" thickTop="1" thickBot="1" x14ac:dyDescent="0.35">
      <c r="A17" s="41" t="s">
        <v>142</v>
      </c>
      <c r="B17" s="27"/>
      <c r="C17" s="1413" t="str">
        <f>IFERROR(IF(OR(ISBLANK(A23),ISBLANK(B3)),"",IF((B3-(EDATE(A24,36)))&gt;0,"СРОК ДАВНОСТИ","")),"")</f>
        <v/>
      </c>
      <c r="D17" s="41" t="s">
        <v>916</v>
      </c>
      <c r="E17" s="723" t="s">
        <v>144</v>
      </c>
      <c r="G17" s="1403" t="s">
        <v>656</v>
      </c>
      <c r="H17" s="1404"/>
      <c r="J17" s="49" t="b">
        <v>0</v>
      </c>
      <c r="L17" s="347" t="str">
        <f>IF(L18="",0,IF(AND(L18&gt;DRAFT!U4,L18&lt;DRAFT!U3),IFERROR(INDEX(DRAFT!T:T,MATCH(L16,DRAFT!Q:Q,0),1),0),IF(AND(L18&gt;DRAFT!U5,L18&lt;DRAFT!U4),IFERROR(INDEX(DRAFT!AI:AI,MATCH(L16,DRAFT!Q:Q,0),1),0),IF(L18&gt;DRAFT!U3,"НЕ ПОЛОЖЕНО",IFERROR(INDEX(DRAFT!AI:AI,MATCH(L16,DRAFT!Q:Q,0),1),0)))))</f>
        <v>НЕ ПОЛОЖЕНО</v>
      </c>
      <c r="O17" s="383" t="s">
        <v>46</v>
      </c>
      <c r="P17" s="201">
        <f>IF(J3=DRAFT!P4,C179*D18,IF(J3=DRAFT!P2,IF(J16,I182,I181),0))</f>
        <v>0</v>
      </c>
      <c r="Q17" s="296" t="str">
        <f t="shared" ref="Q17:Q27" si="5">IF(P17=0,"",SUBSTITUTE(TEXT(P17,"# ##0\ рублей ,00\ копеек"),",",))</f>
        <v/>
      </c>
      <c r="R17" s="382" t="s">
        <v>1246</v>
      </c>
      <c r="S17" s="201">
        <f t="shared" ref="S17:S26" si="6">IF(R17=F$34,G$34,IF(R17=F$35,G$35,IF(R17=F$36,G$36,IF(R17=F$37,G$37,IF(R17=F$38,G$38,IF(R17=F$39,G$39,IF(R17=F$40,G$40,IF(R17=F$41,G$41,IF(R17=F$42,G$42,IF(R17=F$43,G$43,0))))))))))+IF(R17=F$60,G$60,IF(R17=F$61,G$61,IF(R17=F$62,G$62,IF(R17=F$63,G$63,IF(R17=F$64,G$64,IF(R17=F$65,G$65,IF(R17=F$66,G$66,IF(R17=F$67,G$67,IF(R17=F$68,G$68,IF(R17=F$69,G$69,0))))))))))+IF(R17=F$86,G$86,IF(R17=F$87,G$87,IF(R17=F$88,G$88,IF(R17=F$89,G$89,IF(R17=F$90,G$90,IF(R17=F$91,G$91,IF(R17=F$92,G$92,IF(R17=F$93,G$93,IF(R17=F$94,G$94,IF(R17=F$95,G$95,0))))))))))+IF(R17=F$112,G$112,IF(R17=F$113,G$113,IF(R17=F$114,G$114,IF(R17=F$115,G$115,IF(R17=F$116,G$116,IF(R17=F$117,G$117,IF(R17=F$118,G$118,IF(R17=F$119,G$119,IF(R17=F$120,G$120,IF(R17=F$121,G$121,0))))))))))+IF(R17=F$138,G$138,IF(R17=F$139,G$139,IF(R17=F$140,G$140,IF(R17=F$141,G$141,IF(R17=F$142,G$142,IF(R17=F$143,G$143,IF(R17=F$144,G$144,IF(R17=F$145,G$145,IF(R17=F$146,G$146,IF(R17=F$147,G$147,0))))))))))+IF(R17=F$164,G$164,IF(R17=F$165,G$165,IF(R17=F$166,G$166,IF(R17=F$167,G$167,IF(R17=F$168,G$168,IF(R17=F$169,G$169,IF(R17=F$170,G$170,IF(R17=F$171,G$171,IF(R17=F$172,G$172,IF(R17=F$173,G$173,0))))))))))</f>
        <v>156403</v>
      </c>
      <c r="T17" s="296" t="str">
        <f t="shared" ref="T17:T27" si="7">IF(S17=0,"",SUBSTITUTE(TEXT(S17,"# ##0\ рублей ,00\ копеек"),",",))</f>
        <v>156 403 рублей 00 копеек</v>
      </c>
      <c r="U17" s="383" t="s">
        <v>46</v>
      </c>
      <c r="V17" s="206">
        <f t="shared" ref="V17:V26" si="8">P17-S17</f>
        <v>-156403</v>
      </c>
      <c r="W17" s="296" t="str">
        <f t="shared" ref="W17:W27" si="9">IF(V17=0,"",SUBSTITUTE(TEXT(V17,"# ##0\ рублей ,00\ копеек"),",",))</f>
        <v>-156 403 рублей 00 копеек</v>
      </c>
      <c r="X17" s="409" t="str">
        <f>IF(Z15,IF(OR(K180&lt;10,V17&lt;0,(S17+S18)&gt;=D18,G182="Не соответствуют"),"ОТКАЗ","ВЗЫСКАНИЕ"),"")</f>
        <v>ОТКАЗ</v>
      </c>
      <c r="Y17" s="410" t="str">
        <f>IF(Z15,IF(K180&lt;10,"10%",IF(V17&lt;0,"ДОСТАТОЧНО",IF((S17+S18)&gt;=D18,"ЛИМИТ",IF(G182="Не соответствуют","ТРАСА","")))),"")</f>
        <v>ДОСТАТОЧНО</v>
      </c>
    </row>
    <row r="18" spans="1:25" ht="17.100000000000001" customHeight="1" thickTop="1" thickBot="1" x14ac:dyDescent="0.35">
      <c r="A18" s="42">
        <v>43891</v>
      </c>
      <c r="B18" s="28"/>
      <c r="C18" s="1414"/>
      <c r="D18" s="726">
        <f>IF(AND(NOT(ISBLANK(G15)),NOT(J3="")),IF(J3=DRAFT!P2,IF(A19=FALSE,IF(G15&gt;DRAFT!AG3,DRAFT!AF3,DRAFT!AF2),IF(G15&gt;DRAFT!AG6,DRAFT!AF6,DRAFT!AF5)),IF(OR(J3=DRAFT!P4,J3=DRAFT!P5),IF(E18="К ВИНОВНИКУ",IF(A19=FALSE,IF(G15&gt;DRAFT!AG4,DRAFT!AF4,DRAFT!AF7),"НЕ ПОЛОЖЕНО"),"НЕ ТУДА"),"")),"")</f>
        <v>400000</v>
      </c>
      <c r="E18" s="642" t="str">
        <f>IF(E7=D15,"К ВИНОВНИКУ",IF(E7=D11,"ПВУ",IF(D11="","","К ВИНОВНИКУ")))</f>
        <v>ПВУ</v>
      </c>
      <c r="G18" s="35" t="s">
        <v>5</v>
      </c>
      <c r="H18" s="55" t="s">
        <v>627</v>
      </c>
      <c r="J18" s="49" t="b">
        <v>0</v>
      </c>
      <c r="L18" s="348">
        <f>IF(NOT(ISBLANK(A31)),A31,IF(NOT(ISBLANK(A57)),A57,IF(NOT(ISBLANK(A83)),A83,IF(NOT(ISBLANK(A109)),A109,IF(NOT(ISBLANK(A135)),A135,IF(NOT(ISBLANK(A161)),A161,""))))))</f>
        <v>43937</v>
      </c>
      <c r="O18" s="382" t="s">
        <v>48</v>
      </c>
      <c r="P18" s="202">
        <f>J178</f>
        <v>0</v>
      </c>
      <c r="Q18" s="297" t="str">
        <f t="shared" si="5"/>
        <v/>
      </c>
      <c r="R18" s="382" t="s">
        <v>604</v>
      </c>
      <c r="S18" s="203">
        <f t="shared" si="6"/>
        <v>0</v>
      </c>
      <c r="T18" s="297" t="str">
        <f t="shared" si="7"/>
        <v/>
      </c>
      <c r="U18" s="382" t="s">
        <v>48</v>
      </c>
      <c r="V18" s="207">
        <f t="shared" si="8"/>
        <v>0</v>
      </c>
      <c r="W18" s="297" t="str">
        <f t="shared" si="9"/>
        <v/>
      </c>
      <c r="X18" s="411"/>
      <c r="Y18" s="412"/>
    </row>
    <row r="19" spans="1:25" ht="17.100000000000001" customHeight="1" thickTop="1" thickBot="1" x14ac:dyDescent="0.35">
      <c r="A19" s="49" t="b">
        <v>0</v>
      </c>
      <c r="B19" s="49"/>
      <c r="D19" s="239" t="str">
        <f>SUBSTITUTE(TEXT(D18,"# ##0\ рублей ,00\ копеек"),",",)</f>
        <v>400 000 рублей 00 копеек</v>
      </c>
      <c r="G19" s="56"/>
      <c r="H19" s="57"/>
      <c r="I19" s="239" t="str">
        <f>SUBSTITUTE(TEXT(H19,"# ##0\ рублей ,00\ копеек"),",",)</f>
        <v>0 рублей 00 копеек</v>
      </c>
      <c r="N19" s="62"/>
      <c r="O19" s="382" t="s">
        <v>56</v>
      </c>
      <c r="P19" s="203">
        <f>MIN(IF(J18,U42,L35+L61+L87+L113+L139+L165+Q187+Q206),D18)</f>
        <v>2461.6</v>
      </c>
      <c r="Q19" s="297" t="str">
        <f t="shared" si="5"/>
        <v>2 461 рублей 60 копеек</v>
      </c>
      <c r="R19" s="382" t="s">
        <v>456</v>
      </c>
      <c r="S19" s="203">
        <f t="shared" si="6"/>
        <v>4500</v>
      </c>
      <c r="T19" s="297" t="str">
        <f t="shared" si="7"/>
        <v>4 500 рублей 00 копеек</v>
      </c>
      <c r="U19" s="382" t="s">
        <v>56</v>
      </c>
      <c r="V19" s="207">
        <f>P19-S19</f>
        <v>-2038.4</v>
      </c>
      <c r="W19" s="297" t="str">
        <f t="shared" si="9"/>
        <v>-2 038 рублей 40 копеек</v>
      </c>
      <c r="X19" s="413" t="str">
        <f>IF(Z15,IF(V19&gt;0,"ВЗЫСКАНИЕ","ОТКАЗ"),"")</f>
        <v>ОТКАЗ</v>
      </c>
      <c r="Y19" s="414"/>
    </row>
    <row r="20" spans="1:25" ht="17.100000000000001" customHeight="1" thickTop="1" thickBot="1" x14ac:dyDescent="0.35">
      <c r="A20" s="1415" t="s">
        <v>628</v>
      </c>
      <c r="B20" s="1416"/>
      <c r="C20" s="1416"/>
      <c r="D20" s="1416"/>
      <c r="E20" s="1416"/>
      <c r="F20" s="1416"/>
      <c r="G20" s="1416"/>
      <c r="H20" s="1416"/>
      <c r="I20" s="1416"/>
      <c r="J20" s="1416"/>
      <c r="K20" s="1416"/>
      <c r="L20" s="1416"/>
      <c r="M20" s="1416"/>
      <c r="N20" s="1417"/>
      <c r="O20" s="382" t="s">
        <v>81</v>
      </c>
      <c r="P20" s="203">
        <f>IF(L17="НЕ ПОЛОЖЕНО",0,L17)</f>
        <v>0</v>
      </c>
      <c r="Q20" s="297" t="str">
        <f t="shared" si="5"/>
        <v/>
      </c>
      <c r="R20" s="382" t="s">
        <v>1248</v>
      </c>
      <c r="S20" s="203">
        <f t="shared" si="6"/>
        <v>0</v>
      </c>
      <c r="T20" s="297" t="str">
        <f t="shared" si="7"/>
        <v/>
      </c>
      <c r="U20" s="382" t="s">
        <v>81</v>
      </c>
      <c r="V20" s="207">
        <f>IFERROR(P20-S20,0)</f>
        <v>0</v>
      </c>
      <c r="W20" s="297" t="str">
        <f t="shared" si="9"/>
        <v/>
      </c>
      <c r="X20" s="413" t="str">
        <f>IF(Z15,IF(OR(L18&gt;=DRAFT!U3,G182="Не соответствуют",K180&lt;10,V17&lt;0),"ОТКАЗ","ВЗЫСКАНИЕ"),"")</f>
        <v>ОТКАЗ</v>
      </c>
      <c r="Y20" s="414" t="str">
        <f>IF(Z15,IF(G182="Не соответствуют","Производные",IF(L18&gt;=DRAFT!U3,"После 01.06.2019",IF(OR(K180&lt;10,V17&lt;0),"Не использованная",""))),"")</f>
        <v>Производные</v>
      </c>
    </row>
    <row r="21" spans="1:25" ht="17.100000000000001" customHeight="1" outlineLevel="1" thickTop="1" thickBot="1" x14ac:dyDescent="0.35">
      <c r="A21" s="1371" t="s">
        <v>144</v>
      </c>
      <c r="B21" s="1373"/>
      <c r="C21" s="1410" t="s">
        <v>593</v>
      </c>
      <c r="D21" s="1411"/>
      <c r="E21" s="1412"/>
      <c r="F21" s="1376" t="s">
        <v>610</v>
      </c>
      <c r="G21" s="1378"/>
      <c r="H21" s="1376" t="s">
        <v>594</v>
      </c>
      <c r="I21" s="1378"/>
      <c r="J21" s="1376" t="s">
        <v>581</v>
      </c>
      <c r="K21" s="1377"/>
      <c r="L21" s="1377"/>
      <c r="M21" s="1377"/>
      <c r="N21" s="1378"/>
      <c r="O21" s="382" t="s">
        <v>78</v>
      </c>
      <c r="P21" s="203">
        <f>SUM(L39,L65,L91,L117,L143,L169)</f>
        <v>4000</v>
      </c>
      <c r="Q21" s="297" t="str">
        <f t="shared" si="5"/>
        <v>4 000 рублей 00 копеек</v>
      </c>
      <c r="R21" s="382" t="s">
        <v>1247</v>
      </c>
      <c r="S21" s="203">
        <f t="shared" si="6"/>
        <v>0</v>
      </c>
      <c r="T21" s="297" t="str">
        <f t="shared" si="7"/>
        <v/>
      </c>
      <c r="U21" s="382" t="s">
        <v>78</v>
      </c>
      <c r="V21" s="207">
        <f t="shared" si="8"/>
        <v>4000</v>
      </c>
      <c r="W21" s="297" t="str">
        <f t="shared" si="9"/>
        <v>4 000 рублей 00 копеек</v>
      </c>
      <c r="X21" s="413" t="str">
        <f>IF(Z15,IF(V21&gt;0,"ВЗЫСКАНИЕ","ОТКАЗ"),"")</f>
        <v>ВЗЫСКАНИЕ</v>
      </c>
      <c r="Y21" s="414"/>
    </row>
    <row r="22" spans="1:25" ht="17.100000000000001" customHeight="1" outlineLevel="1" thickTop="1" thickBot="1" x14ac:dyDescent="0.35">
      <c r="A22" s="169" t="s">
        <v>5</v>
      </c>
      <c r="B22" s="617" t="s">
        <v>605</v>
      </c>
      <c r="C22" s="169" t="s">
        <v>5</v>
      </c>
      <c r="D22" s="169" t="s">
        <v>4</v>
      </c>
      <c r="E22" s="716" t="s">
        <v>595</v>
      </c>
      <c r="F22" s="719" t="s">
        <v>5</v>
      </c>
      <c r="G22" s="169" t="s">
        <v>599</v>
      </c>
      <c r="H22" s="169" t="s">
        <v>5</v>
      </c>
      <c r="I22" s="169" t="s">
        <v>596</v>
      </c>
      <c r="J22" s="169" t="s">
        <v>5</v>
      </c>
      <c r="K22" s="169" t="s">
        <v>4</v>
      </c>
      <c r="L22" s="169" t="s">
        <v>597</v>
      </c>
      <c r="M22" s="169" t="s">
        <v>4</v>
      </c>
      <c r="N22" s="169" t="s">
        <v>659</v>
      </c>
      <c r="O22" s="30"/>
      <c r="P22" s="114"/>
      <c r="Q22" s="297" t="str">
        <f t="shared" si="5"/>
        <v/>
      </c>
      <c r="R22" s="30"/>
      <c r="S22" s="203">
        <f t="shared" si="6"/>
        <v>0</v>
      </c>
      <c r="T22" s="297" t="str">
        <f t="shared" si="7"/>
        <v/>
      </c>
      <c r="U22" s="30"/>
      <c r="V22" s="207">
        <f t="shared" si="8"/>
        <v>0</v>
      </c>
      <c r="W22" s="297" t="str">
        <f t="shared" si="9"/>
        <v/>
      </c>
      <c r="X22" s="411"/>
      <c r="Y22" s="412"/>
    </row>
    <row r="23" spans="1:25" ht="17.100000000000001" customHeight="1" outlineLevel="1" thickTop="1" thickBot="1" x14ac:dyDescent="0.35">
      <c r="A23" s="173">
        <v>43909</v>
      </c>
      <c r="B23" s="621" t="s">
        <v>660</v>
      </c>
      <c r="C23" s="125"/>
      <c r="D23" s="174"/>
      <c r="E23" s="643"/>
      <c r="F23" s="681">
        <v>43909</v>
      </c>
      <c r="G23" s="175" t="s">
        <v>9019</v>
      </c>
      <c r="H23" s="125">
        <v>43929</v>
      </c>
      <c r="I23" s="174" t="s">
        <v>9022</v>
      </c>
      <c r="J23" s="125"/>
      <c r="K23" s="176"/>
      <c r="L23" s="177"/>
      <c r="M23" s="178"/>
      <c r="N23" s="179"/>
      <c r="O23" s="30"/>
      <c r="P23" s="114"/>
      <c r="Q23" s="297" t="str">
        <f t="shared" si="5"/>
        <v/>
      </c>
      <c r="R23" s="30"/>
      <c r="S23" s="203">
        <f t="shared" si="6"/>
        <v>0</v>
      </c>
      <c r="T23" s="297" t="str">
        <f t="shared" si="7"/>
        <v/>
      </c>
      <c r="U23" s="30"/>
      <c r="V23" s="207">
        <f t="shared" si="8"/>
        <v>0</v>
      </c>
      <c r="W23" s="297" t="str">
        <f t="shared" si="9"/>
        <v/>
      </c>
      <c r="X23" s="411"/>
      <c r="Y23" s="412"/>
    </row>
    <row r="24" spans="1:25" ht="17.100000000000001" customHeight="1" outlineLevel="1" thickTop="1" thickBot="1" x14ac:dyDescent="0.35">
      <c r="A24" s="274">
        <f>IFERROR(IF(B19,IF(WEEKDAY(WORKDAY.INTL(A23,20,"0000000",DRAFT!AX2:AX115),2)=6,WORKDAY.INTL(A23,20,"0000000",DRAFT!AX2:AX115)+2,IF(WEEKDAY(WORKDAY.INTL(A23,20,"0000000",DRAFT!AX2:AX115),2)=7,WORKDAY.INTL(A23,20,"0000000",DRAFT!AX2:AX115)+1,WORKDAY.INTL(A23,20,"0000000",DRAFT!AX2:AX115)))+1,IF(WEEKDAY(WORKDAY.INTL(A23,20,"0000000",DRAFT!AW2:AW113),2)=6,WORKDAY.INTL(A23,20,"0000000",DRAFT!AW2:AW113)+2,IF(WEEKDAY(WORKDAY.INTL(A23,20,"0000000",DRAFT!AW2:AW113),2)=7,WORKDAY.INTL(A23,20,"0000000",DRAFT!AW2:AW113)+1,WORKDAY.INTL(A23,20,"0000000",DRAFT!AW2:AW113)))+1),"")</f>
        <v>43930</v>
      </c>
      <c r="B24" s="35" t="s">
        <v>6351</v>
      </c>
      <c r="C24" s="125"/>
      <c r="D24" s="300" t="str">
        <f>IF(WEEKDAY(WORKDAY.INTL(A23,20,"0000000",DRAFT!X2:X125),2)=6,"СБТ",IF(WEEKDAY(WORKDAY.INTL(A23,20,"0000000",DRAFT!X2:X125),2)=7,"ВКС",""))</f>
        <v/>
      </c>
      <c r="E24" s="785"/>
      <c r="F24" s="175"/>
      <c r="G24"/>
      <c r="H24"/>
      <c r="I24" s="103"/>
      <c r="J24" s="103"/>
      <c r="K24" s="103"/>
      <c r="L24" s="129"/>
      <c r="M24" s="169" t="s">
        <v>5208</v>
      </c>
      <c r="O24" s="30"/>
      <c r="P24" s="114"/>
      <c r="Q24" s="297" t="str">
        <f t="shared" si="5"/>
        <v/>
      </c>
      <c r="R24" s="30"/>
      <c r="S24" s="203">
        <f t="shared" si="6"/>
        <v>0</v>
      </c>
      <c r="T24" s="297" t="str">
        <f t="shared" si="7"/>
        <v/>
      </c>
      <c r="U24" s="30"/>
      <c r="V24" s="207">
        <f t="shared" si="8"/>
        <v>0</v>
      </c>
      <c r="W24" s="297" t="str">
        <f t="shared" si="9"/>
        <v/>
      </c>
      <c r="X24" s="411"/>
      <c r="Y24" s="412"/>
    </row>
    <row r="25" spans="1:25" ht="17.100000000000001" customHeight="1" outlineLevel="1" thickTop="1" thickBot="1" x14ac:dyDescent="0.35">
      <c r="A25" s="1410" t="s">
        <v>629</v>
      </c>
      <c r="B25" s="1411"/>
      <c r="C25" s="1411"/>
      <c r="D25" s="1411"/>
      <c r="E25" s="1411"/>
      <c r="F25" s="1411"/>
      <c r="G25" s="1411"/>
      <c r="H25" s="1412"/>
      <c r="I25" s="1410" t="s">
        <v>630</v>
      </c>
      <c r="J25" s="1411"/>
      <c r="K25" s="1411"/>
      <c r="L25" s="1412"/>
      <c r="M25" s="23"/>
      <c r="O25" s="30"/>
      <c r="P25" s="114"/>
      <c r="Q25" s="297" t="str">
        <f t="shared" si="5"/>
        <v/>
      </c>
      <c r="R25" s="30"/>
      <c r="S25" s="203">
        <f t="shared" si="6"/>
        <v>0</v>
      </c>
      <c r="T25" s="297" t="str">
        <f t="shared" si="7"/>
        <v/>
      </c>
      <c r="U25" s="30"/>
      <c r="V25" s="207">
        <f t="shared" si="8"/>
        <v>0</v>
      </c>
      <c r="W25" s="297" t="str">
        <f t="shared" si="9"/>
        <v/>
      </c>
      <c r="X25" s="411"/>
      <c r="Y25" s="412"/>
    </row>
    <row r="26" spans="1:25" ht="17.100000000000001" customHeight="1" outlineLevel="1" thickTop="1" thickBot="1" x14ac:dyDescent="0.35">
      <c r="A26" s="169" t="s">
        <v>5</v>
      </c>
      <c r="B26" s="663" t="s">
        <v>4</v>
      </c>
      <c r="C26" s="180" t="s">
        <v>599</v>
      </c>
      <c r="D26" s="180" t="s">
        <v>600</v>
      </c>
      <c r="E26" s="720" t="s">
        <v>601</v>
      </c>
      <c r="F26" s="720" t="s">
        <v>602</v>
      </c>
      <c r="G26" s="180" t="s">
        <v>603</v>
      </c>
      <c r="H26" s="180" t="s">
        <v>611</v>
      </c>
      <c r="I26" s="169" t="s">
        <v>5</v>
      </c>
      <c r="J26" s="169" t="s">
        <v>4</v>
      </c>
      <c r="K26" s="180" t="s">
        <v>599</v>
      </c>
      <c r="L26" s="180" t="s">
        <v>604</v>
      </c>
      <c r="O26" s="112"/>
      <c r="P26" s="114"/>
      <c r="Q26" s="298" t="str">
        <f t="shared" si="5"/>
        <v/>
      </c>
      <c r="R26" s="30"/>
      <c r="S26" s="204">
        <f t="shared" si="6"/>
        <v>0</v>
      </c>
      <c r="T26" s="298" t="str">
        <f t="shared" si="7"/>
        <v/>
      </c>
      <c r="U26" s="112"/>
      <c r="V26" s="208">
        <f t="shared" si="8"/>
        <v>0</v>
      </c>
      <c r="W26" s="298" t="str">
        <f t="shared" si="9"/>
        <v/>
      </c>
      <c r="X26" s="415"/>
      <c r="Y26" s="416"/>
    </row>
    <row r="27" spans="1:25" ht="17.100000000000001" customHeight="1" outlineLevel="1" thickTop="1" thickBot="1" x14ac:dyDescent="0.35">
      <c r="A27" s="125">
        <v>43562</v>
      </c>
      <c r="B27" s="1253"/>
      <c r="C27" s="162" t="s">
        <v>9020</v>
      </c>
      <c r="D27" s="181">
        <v>207000</v>
      </c>
      <c r="E27" s="644">
        <v>144100</v>
      </c>
      <c r="F27" s="644"/>
      <c r="G27" s="181"/>
      <c r="H27" s="182"/>
      <c r="I27" s="23"/>
      <c r="J27" s="178"/>
      <c r="K27" s="178"/>
      <c r="L27" s="183"/>
      <c r="M27" s="240">
        <f>F27-G27</f>
        <v>0</v>
      </c>
      <c r="O27" s="168" t="s">
        <v>45</v>
      </c>
      <c r="P27" s="204">
        <f>SUM(P17:P26)</f>
        <v>6461.6</v>
      </c>
      <c r="Q27" s="279" t="str">
        <f t="shared" si="5"/>
        <v>6 461 рублей 60 копеек</v>
      </c>
      <c r="R27" s="168" t="s">
        <v>45</v>
      </c>
      <c r="S27" s="205">
        <f>SUM(S17:S26)</f>
        <v>160903</v>
      </c>
      <c r="T27" s="279" t="str">
        <f t="shared" si="7"/>
        <v>160 903 рублей 00 копеек</v>
      </c>
      <c r="U27" s="168" t="s">
        <v>45</v>
      </c>
      <c r="V27" s="209">
        <f>SUM(V17:V26)</f>
        <v>-154441.4</v>
      </c>
      <c r="W27" s="279" t="str">
        <f t="shared" si="9"/>
        <v>-154 441 рублей 40 копеек</v>
      </c>
    </row>
    <row r="28" spans="1:25" ht="17.100000000000001" customHeight="1" outlineLevel="1" thickTop="1" thickBot="1" x14ac:dyDescent="0.35">
      <c r="A28" s="130"/>
      <c r="C28" s="103"/>
      <c r="D28" s="239" t="str">
        <f>SUBSTITUTE(TEXT(D27,"# ##0\ рублей ,00\ копеек"),",",)</f>
        <v>207 000 рублей 00 копеек</v>
      </c>
      <c r="E28" s="645" t="str">
        <f>SUBSTITUTE(TEXT(E27,"# ##0\ рублей ,00\ копеек"),",",)</f>
        <v>144 100 рублей 00 копеек</v>
      </c>
      <c r="F28" s="645" t="str">
        <f>SUBSTITUTE(TEXT(F27,"# ##0\ рублей ,00\ копеек"),",",)</f>
        <v>0 рублей 00 копеек</v>
      </c>
      <c r="G28" s="239" t="str">
        <f>SUBSTITUTE(TEXT(G27,"# ##0\ рублей ,00\ копеек"),",",)</f>
        <v>0 рублей 00 копеек</v>
      </c>
      <c r="H28" s="103"/>
      <c r="I28" s="103"/>
      <c r="J28" s="103"/>
      <c r="K28" s="103"/>
      <c r="L28" s="239" t="str">
        <f>SUBSTITUTE(TEXT(L27,"# ##0\ рублей ,00\ копеек"),",",)</f>
        <v>0 рублей 00 копеек</v>
      </c>
      <c r="M28" s="239" t="str">
        <f>SUBSTITUTE(TEXT(M27,"# ##0\ рублей ,00\ копеек"),",",)</f>
        <v>0 рублей 00 копеек</v>
      </c>
    </row>
    <row r="29" spans="1:25" ht="17.100000000000001" customHeight="1" outlineLevel="1" thickTop="1" thickBot="1" x14ac:dyDescent="0.35">
      <c r="A29" s="1418" t="s">
        <v>613</v>
      </c>
      <c r="B29" s="1419"/>
      <c r="C29" s="1419"/>
      <c r="D29" s="1419"/>
      <c r="E29" s="1419"/>
      <c r="F29" s="1419"/>
      <c r="G29" s="1419"/>
      <c r="H29" s="1420"/>
      <c r="I29" s="1418" t="s">
        <v>614</v>
      </c>
      <c r="J29" s="1419"/>
      <c r="K29" s="1419"/>
      <c r="L29" s="1420"/>
      <c r="N29" s="1363" t="s">
        <v>1121</v>
      </c>
      <c r="O29" s="1363"/>
      <c r="P29" s="1363"/>
      <c r="Q29" s="1363"/>
      <c r="R29" s="1363"/>
      <c r="S29" s="1363"/>
      <c r="T29" s="1363"/>
      <c r="U29" s="1363"/>
      <c r="V29" s="1363"/>
    </row>
    <row r="30" spans="1:25" ht="17.100000000000001" customHeight="1" outlineLevel="1" thickTop="1" thickBot="1" x14ac:dyDescent="0.35">
      <c r="A30" s="169" t="s">
        <v>5</v>
      </c>
      <c r="B30" s="663" t="s">
        <v>4</v>
      </c>
      <c r="C30" s="180" t="s">
        <v>599</v>
      </c>
      <c r="D30" s="180" t="s">
        <v>600</v>
      </c>
      <c r="E30" s="720" t="s">
        <v>601</v>
      </c>
      <c r="F30" s="720" t="s">
        <v>602</v>
      </c>
      <c r="G30" s="180" t="s">
        <v>603</v>
      </c>
      <c r="H30" s="180" t="s">
        <v>611</v>
      </c>
      <c r="I30" s="169" t="s">
        <v>5</v>
      </c>
      <c r="J30" s="169" t="s">
        <v>4</v>
      </c>
      <c r="K30" s="180" t="s">
        <v>599</v>
      </c>
      <c r="L30" s="180" t="s">
        <v>604</v>
      </c>
      <c r="N30" s="1363" t="s">
        <v>594</v>
      </c>
      <c r="O30" s="1363"/>
      <c r="P30" s="1363"/>
      <c r="Q30" s="169" t="s">
        <v>1122</v>
      </c>
      <c r="R30" s="169" t="s">
        <v>1123</v>
      </c>
      <c r="S30" s="169" t="s">
        <v>1124</v>
      </c>
      <c r="T30" s="169" t="s">
        <v>1125</v>
      </c>
      <c r="U30" s="1363" t="s">
        <v>627</v>
      </c>
      <c r="V30" s="1363"/>
    </row>
    <row r="31" spans="1:25" ht="17.100000000000001" customHeight="1" outlineLevel="1" thickTop="1" x14ac:dyDescent="0.3">
      <c r="A31" s="184"/>
      <c r="B31" s="668"/>
      <c r="C31" s="162"/>
      <c r="D31" s="181"/>
      <c r="E31" s="644"/>
      <c r="F31" s="644"/>
      <c r="G31" s="181"/>
      <c r="H31" s="182"/>
      <c r="I31" s="23"/>
      <c r="J31" s="178"/>
      <c r="K31" s="178"/>
      <c r="L31" s="183"/>
      <c r="M31" s="240">
        <f>F31-G31</f>
        <v>0</v>
      </c>
      <c r="N31" s="243" t="str">
        <f>IF(ISBLANK(I23),"",I23)</f>
        <v>2920</v>
      </c>
      <c r="O31" s="210">
        <f>G34</f>
        <v>144095</v>
      </c>
      <c r="P31" s="296" t="str">
        <f t="shared" ref="P31:P38" si="10">IF(O31=0,"",SUBSTITUTE(TEXT(O31,"# ##0\ рублей ,00\ копеек"),",",))</f>
        <v>144 095 рублей 00 копеек</v>
      </c>
      <c r="Q31" s="213">
        <f>R31-1</f>
        <v>43929</v>
      </c>
      <c r="R31" s="213">
        <f>A$24</f>
        <v>43930</v>
      </c>
      <c r="S31" s="213">
        <f>IF(ISBLANK(H23),"",H23)</f>
        <v>43929</v>
      </c>
      <c r="T31" s="214">
        <f>MAX(K35,0)</f>
        <v>0</v>
      </c>
      <c r="U31" s="215">
        <f>L35</f>
        <v>0</v>
      </c>
      <c r="V31" s="296" t="str">
        <f t="shared" ref="V31:V39" si="11">IF(U31=0,"",SUBSTITUTE(TEXT(U31,"# ##0\ рублей ,00\ копеек"),",",))</f>
        <v/>
      </c>
      <c r="W31" s="141"/>
    </row>
    <row r="32" spans="1:25" ht="17.100000000000001" customHeight="1" outlineLevel="1" thickBot="1" x14ac:dyDescent="0.35">
      <c r="A32" s="130"/>
      <c r="C32" s="103"/>
      <c r="D32" s="239" t="str">
        <f>SUBSTITUTE(TEXT(D31,"# ##0\ рублей ,00\ копеек"),",",)</f>
        <v>0 рублей 00 копеек</v>
      </c>
      <c r="E32" s="645" t="str">
        <f>SUBSTITUTE(TEXT(E31,"# ##0\ рублей ,00\ копеек"),",",)</f>
        <v>0 рублей 00 копеек</v>
      </c>
      <c r="F32" s="645" t="str">
        <f>SUBSTITUTE(TEXT(F31,"# ##0\ рублей ,00\ копеек"),",",)</f>
        <v>0 рублей 00 копеек</v>
      </c>
      <c r="G32" s="239" t="str">
        <f>SUBSTITUTE(TEXT(G31,"# ##0\ рублей ,00\ копеек"),",",)</f>
        <v>0 рублей 00 копеек</v>
      </c>
      <c r="H32" s="103"/>
      <c r="I32" s="103"/>
      <c r="J32" s="103"/>
      <c r="K32" s="103"/>
      <c r="L32" s="239" t="str">
        <f>SUBSTITUTE(TEXT(L31,"# ##0\ рублей ,00\ копеек"),",",)</f>
        <v>0 рублей 00 копеек</v>
      </c>
      <c r="M32" s="239" t="str">
        <f>SUBSTITUTE(TEXT(M31,"# ##0\ рублей ,00\ копеек"),",",)</f>
        <v>0 рублей 00 копеек</v>
      </c>
      <c r="N32" s="244" t="str">
        <f>IF(ISBLANK(I49),"",I49)</f>
        <v>3343</v>
      </c>
      <c r="O32" s="211">
        <f>G60</f>
        <v>12308</v>
      </c>
      <c r="P32" s="297" t="str">
        <f t="shared" si="10"/>
        <v>12 308 рублей 00 копеек</v>
      </c>
      <c r="Q32" s="216">
        <f t="shared" ref="Q32:Q38" si="12">R32-1</f>
        <v>43929</v>
      </c>
      <c r="R32" s="216">
        <f t="shared" ref="R32:R38" si="13">A$24</f>
        <v>43930</v>
      </c>
      <c r="S32" s="216">
        <f>IF(ISBLANK(H49),"",H49)</f>
        <v>43949</v>
      </c>
      <c r="T32" s="217">
        <f>MAX(K61,0)</f>
        <v>20</v>
      </c>
      <c r="U32" s="218">
        <f>L61</f>
        <v>2461.6</v>
      </c>
      <c r="V32" s="297" t="str">
        <f t="shared" si="11"/>
        <v>2 461 рублей 60 копеек</v>
      </c>
    </row>
    <row r="33" spans="1:22" ht="17.100000000000001" customHeight="1" outlineLevel="1" thickTop="1" thickBot="1" x14ac:dyDescent="0.35">
      <c r="A33" s="1403" t="s">
        <v>1</v>
      </c>
      <c r="B33" s="1409"/>
      <c r="C33" s="1404"/>
      <c r="D33" s="169" t="s">
        <v>43</v>
      </c>
      <c r="E33" s="716" t="s">
        <v>44</v>
      </c>
      <c r="F33" s="1403" t="s">
        <v>612</v>
      </c>
      <c r="G33" s="1409"/>
      <c r="H33" s="1404"/>
      <c r="I33" s="169" t="s">
        <v>43</v>
      </c>
      <c r="J33" s="169" t="s">
        <v>44</v>
      </c>
      <c r="K33" s="1403" t="s">
        <v>456</v>
      </c>
      <c r="L33" s="1404"/>
      <c r="N33" s="244" t="str">
        <f>IF(ISBLANK(I75),"",I75)</f>
        <v/>
      </c>
      <c r="O33" s="211">
        <f>G86</f>
        <v>0</v>
      </c>
      <c r="P33" s="297" t="str">
        <f t="shared" si="10"/>
        <v/>
      </c>
      <c r="Q33" s="216">
        <f t="shared" si="12"/>
        <v>43929</v>
      </c>
      <c r="R33" s="216">
        <f t="shared" si="13"/>
        <v>43930</v>
      </c>
      <c r="S33" s="216" t="str">
        <f>IF(ISBLANK(H75),"",H75)</f>
        <v/>
      </c>
      <c r="T33" s="217">
        <f>MAX(K87,0)</f>
        <v>0</v>
      </c>
      <c r="U33" s="218">
        <f>L87</f>
        <v>0</v>
      </c>
      <c r="V33" s="297" t="str">
        <f t="shared" si="11"/>
        <v/>
      </c>
    </row>
    <row r="34" spans="1:22" ht="17.100000000000001" customHeight="1" outlineLevel="1" thickTop="1" thickBot="1" x14ac:dyDescent="0.35">
      <c r="A34" s="30" t="s">
        <v>46</v>
      </c>
      <c r="B34">
        <v>234</v>
      </c>
      <c r="C34" s="278" t="str">
        <f>IF(ISBLANK(B34),"",SUBSTITUTE(TEXT(B34,"# ##0\ рублей ,00\ копеек"),",",))</f>
        <v>234 рублей 00 копеек</v>
      </c>
      <c r="D34" s="59"/>
      <c r="E34" s="646"/>
      <c r="F34" s="729" t="s">
        <v>1246</v>
      </c>
      <c r="G34" s="26">
        <v>144095</v>
      </c>
      <c r="H34" s="278" t="str">
        <f>IF(ISBLANK(G34),"",SUBSTITUTE(TEXT(G34,"# ##0\ рублей ,00\ копеек"),",",))</f>
        <v>144 095 рублей 00 копеек</v>
      </c>
      <c r="I34" s="59"/>
      <c r="J34" s="60"/>
      <c r="K34" s="169" t="s">
        <v>653</v>
      </c>
      <c r="L34" s="169" t="s">
        <v>627</v>
      </c>
      <c r="N34" s="244" t="str">
        <f>IF(ISBLANK(I101),"",I101)</f>
        <v/>
      </c>
      <c r="O34" s="211">
        <f>G112</f>
        <v>0</v>
      </c>
      <c r="P34" s="297" t="str">
        <f t="shared" si="10"/>
        <v/>
      </c>
      <c r="Q34" s="216">
        <f t="shared" si="12"/>
        <v>43929</v>
      </c>
      <c r="R34" s="216">
        <f t="shared" si="13"/>
        <v>43930</v>
      </c>
      <c r="S34" s="216" t="str">
        <f>IF(ISBLANK(H101),"",H101)</f>
        <v/>
      </c>
      <c r="T34" s="217">
        <f>MAX(K113,0)</f>
        <v>0</v>
      </c>
      <c r="U34" s="218">
        <f>L113</f>
        <v>0</v>
      </c>
      <c r="V34" s="297" t="str">
        <f t="shared" si="11"/>
        <v/>
      </c>
    </row>
    <row r="35" spans="1:22" ht="17.100000000000001" customHeight="1" outlineLevel="1" thickTop="1" x14ac:dyDescent="0.3">
      <c r="A35" s="30" t="s">
        <v>59</v>
      </c>
      <c r="B35">
        <v>45000</v>
      </c>
      <c r="C35" s="278" t="str">
        <f>IF(ISBLANK(B35),"",SUBSTITUTE(TEXT(B35,"# ##0\ рублей ,00\ копеек"),",",))</f>
        <v>45 000 рублей 00 копеек</v>
      </c>
      <c r="D35" s="59"/>
      <c r="E35" s="646"/>
      <c r="F35" s="729" t="s">
        <v>456</v>
      </c>
      <c r="G35" s="31">
        <v>4500</v>
      </c>
      <c r="H35" s="278" t="str">
        <f>IF(ISBLANK(G35),"",SUBSTITUTE(TEXT(G35,"# ##0\ рублей ,00\ копеек"),",",))</f>
        <v>4 500 рублей 00 копеек</v>
      </c>
      <c r="I35" s="59"/>
      <c r="J35" s="60"/>
      <c r="K35" s="417">
        <f>MAX(H23-$A$24+1,0)</f>
        <v>0</v>
      </c>
      <c r="L35" s="418">
        <f>MAX(G34*K35*0.01,0)</f>
        <v>0</v>
      </c>
      <c r="M35" s="127"/>
      <c r="N35" s="244" t="str">
        <f>IF(ISBLANK(I127),"",I127)</f>
        <v/>
      </c>
      <c r="O35" s="211">
        <f>G138</f>
        <v>0</v>
      </c>
      <c r="P35" s="297" t="str">
        <f t="shared" si="10"/>
        <v/>
      </c>
      <c r="Q35" s="216">
        <f t="shared" si="12"/>
        <v>43929</v>
      </c>
      <c r="R35" s="216">
        <f>A$24</f>
        <v>43930</v>
      </c>
      <c r="S35" s="216" t="str">
        <f>IF(ISBLANK(H127),"",H127)</f>
        <v/>
      </c>
      <c r="T35" s="217">
        <f>MAX(K139,0)</f>
        <v>0</v>
      </c>
      <c r="U35" s="218">
        <f>L139</f>
        <v>0</v>
      </c>
      <c r="V35" s="297" t="str">
        <f t="shared" si="11"/>
        <v/>
      </c>
    </row>
    <row r="36" spans="1:22" ht="17.100000000000001" customHeight="1" outlineLevel="1" thickBot="1" x14ac:dyDescent="0.35">
      <c r="A36" s="30"/>
      <c r="C36" s="278" t="str">
        <f t="shared" ref="C36:C43" si="14">IF(ISBLANK(B36),"",SUBSTITUTE(TEXT(B36,"# ##0\ рублей ,00\ копеек"),",",))</f>
        <v/>
      </c>
      <c r="D36" s="59"/>
      <c r="E36" s="646"/>
      <c r="F36" s="729"/>
      <c r="G36" s="31"/>
      <c r="H36" s="278" t="str">
        <f t="shared" ref="H36:H43" si="15">IF(ISBLANK(G36),"",SUBSTITUTE(TEXT(G36,"# ##0\ рублей ,00\ копеек"),",",))</f>
        <v/>
      </c>
      <c r="I36" s="59"/>
      <c r="J36" s="60"/>
      <c r="K36" s="421"/>
      <c r="L36" s="422" t="str">
        <f>SUBSTITUTE(TEXT(L35,"# ##0\ рублей ,00\ копеек"),",",)</f>
        <v>0 рублей 00 копеек</v>
      </c>
      <c r="M36" s="49" t="s">
        <v>149</v>
      </c>
      <c r="N36" s="244" t="str">
        <f>IF(ISBLANK(I153),"",I153)</f>
        <v/>
      </c>
      <c r="O36" s="211">
        <f>G164</f>
        <v>0</v>
      </c>
      <c r="P36" s="297" t="str">
        <f t="shared" si="10"/>
        <v/>
      </c>
      <c r="Q36" s="216">
        <f t="shared" si="12"/>
        <v>43929</v>
      </c>
      <c r="R36" s="216">
        <f t="shared" si="13"/>
        <v>43930</v>
      </c>
      <c r="S36" s="216" t="str">
        <f>IF(ISBLANK(H153),"",H153)</f>
        <v/>
      </c>
      <c r="T36" s="217">
        <f>MAX(K165,0)</f>
        <v>0</v>
      </c>
      <c r="U36" s="218">
        <f>L165</f>
        <v>0</v>
      </c>
      <c r="V36" s="297" t="str">
        <f t="shared" si="11"/>
        <v/>
      </c>
    </row>
    <row r="37" spans="1:22" ht="17.100000000000001" customHeight="1" outlineLevel="1" thickTop="1" thickBot="1" x14ac:dyDescent="0.35">
      <c r="A37" s="30"/>
      <c r="C37" s="278" t="str">
        <f t="shared" si="14"/>
        <v/>
      </c>
      <c r="D37" s="59"/>
      <c r="E37" s="646"/>
      <c r="F37" s="729"/>
      <c r="G37" s="32"/>
      <c r="H37" s="278" t="str">
        <f t="shared" si="15"/>
        <v/>
      </c>
      <c r="I37" s="59"/>
      <c r="J37" s="60"/>
      <c r="K37" s="1403" t="s">
        <v>78</v>
      </c>
      <c r="L37" s="1404"/>
      <c r="N37" s="244" t="str">
        <f>IF(ISBLANK(M187),"",M187)</f>
        <v/>
      </c>
      <c r="O37" s="211">
        <f>G191</f>
        <v>0</v>
      </c>
      <c r="P37" s="297" t="str">
        <f t="shared" si="10"/>
        <v/>
      </c>
      <c r="Q37" s="216">
        <f>R37-1</f>
        <v>43929</v>
      </c>
      <c r="R37" s="216">
        <f t="shared" si="13"/>
        <v>43930</v>
      </c>
      <c r="S37" s="216" t="str">
        <f>IF(ISBLANK(L187),"",L187)</f>
        <v/>
      </c>
      <c r="T37" s="219">
        <f>MAX(P187,0)</f>
        <v>0</v>
      </c>
      <c r="U37" s="218">
        <f>Q187</f>
        <v>0</v>
      </c>
      <c r="V37" s="297" t="str">
        <f t="shared" si="11"/>
        <v/>
      </c>
    </row>
    <row r="38" spans="1:22" ht="17.100000000000001" customHeight="1" outlineLevel="1" thickTop="1" thickBot="1" x14ac:dyDescent="0.35">
      <c r="A38" s="30"/>
      <c r="C38" s="278" t="str">
        <f t="shared" si="14"/>
        <v/>
      </c>
      <c r="D38" s="59"/>
      <c r="E38" s="646"/>
      <c r="F38" s="729"/>
      <c r="G38" s="32"/>
      <c r="H38" s="278" t="str">
        <f t="shared" si="15"/>
        <v/>
      </c>
      <c r="I38" s="59"/>
      <c r="J38" s="60"/>
      <c r="K38" s="169" t="s">
        <v>653</v>
      </c>
      <c r="L38" s="169" t="s">
        <v>627</v>
      </c>
      <c r="N38" s="245" t="str">
        <f>IF(ISBLANK(M206),"",M206)</f>
        <v/>
      </c>
      <c r="O38" s="212">
        <f>G210</f>
        <v>0</v>
      </c>
      <c r="P38" s="297" t="str">
        <f t="shared" si="10"/>
        <v/>
      </c>
      <c r="Q38" s="220">
        <f t="shared" si="12"/>
        <v>43929</v>
      </c>
      <c r="R38" s="220">
        <f t="shared" si="13"/>
        <v>43930</v>
      </c>
      <c r="S38" s="221" t="str">
        <f>IF(ISBLANK(L206),"",L206)</f>
        <v/>
      </c>
      <c r="T38" s="222">
        <f>MAX(P206,0)</f>
        <v>0</v>
      </c>
      <c r="U38" s="223">
        <f>Q206</f>
        <v>0</v>
      </c>
      <c r="V38" s="297" t="str">
        <f t="shared" si="11"/>
        <v/>
      </c>
    </row>
    <row r="39" spans="1:22" ht="17.100000000000001" customHeight="1" outlineLevel="1" thickTop="1" thickBot="1" x14ac:dyDescent="0.35">
      <c r="A39" s="30"/>
      <c r="C39" s="278" t="str">
        <f t="shared" si="14"/>
        <v/>
      </c>
      <c r="D39" s="59"/>
      <c r="E39" s="646"/>
      <c r="F39" s="729"/>
      <c r="G39" s="32"/>
      <c r="H39" s="278" t="str">
        <f t="shared" si="15"/>
        <v/>
      </c>
      <c r="I39" s="59"/>
      <c r="J39" s="60"/>
      <c r="K39" s="417">
        <f>MAX(K40-$A$24+1,0)</f>
        <v>0</v>
      </c>
      <c r="L39" s="418">
        <f>IF(ISERROR(MAX(D18*0.0005*K39,0)),0,MAX(D18*0.0005*K39,0))</f>
        <v>0</v>
      </c>
      <c r="N39" s="140"/>
      <c r="O39" s="140"/>
      <c r="P39" s="101"/>
      <c r="Q39" s="101"/>
      <c r="R39" s="101"/>
      <c r="S39" s="101"/>
      <c r="T39" s="101"/>
      <c r="U39" s="247">
        <f>SUM(U31:U38)</f>
        <v>2461.6</v>
      </c>
      <c r="V39" s="299" t="str">
        <f t="shared" si="11"/>
        <v>2 461 рублей 60 копеек</v>
      </c>
    </row>
    <row r="40" spans="1:22" ht="17.100000000000001" customHeight="1" outlineLevel="1" thickTop="1" thickBot="1" x14ac:dyDescent="0.35">
      <c r="A40" s="30"/>
      <c r="C40" s="278" t="str">
        <f t="shared" si="14"/>
        <v/>
      </c>
      <c r="D40" s="59"/>
      <c r="E40" s="646"/>
      <c r="F40" s="729"/>
      <c r="G40" s="32"/>
      <c r="H40" s="278" t="str">
        <f t="shared" si="15"/>
        <v/>
      </c>
      <c r="I40" s="59"/>
      <c r="J40" s="60"/>
      <c r="K40" s="419">
        <f>MIN(C23,H23,M25)</f>
        <v>43929</v>
      </c>
      <c r="L40" s="420" t="str">
        <f>SUBSTITUTE(TEXT(L39,"# ##0\ рублей ,00\ копеек"),",",)</f>
        <v>0 рублей 00 копеек</v>
      </c>
    </row>
    <row r="41" spans="1:22" ht="17.100000000000001" customHeight="1" outlineLevel="1" thickTop="1" thickBot="1" x14ac:dyDescent="0.35">
      <c r="A41" s="30"/>
      <c r="C41" s="278" t="str">
        <f t="shared" si="14"/>
        <v/>
      </c>
      <c r="D41" s="59"/>
      <c r="E41" s="646"/>
      <c r="F41" s="729"/>
      <c r="G41" s="32"/>
      <c r="H41" s="278" t="str">
        <f t="shared" si="15"/>
        <v/>
      </c>
      <c r="I41" s="59"/>
      <c r="J41" s="60"/>
      <c r="K41" s="51"/>
      <c r="L41" s="53"/>
      <c r="N41" s="1363" t="s">
        <v>1616</v>
      </c>
      <c r="O41" s="1363"/>
      <c r="P41" s="1363"/>
      <c r="Q41" s="1363"/>
      <c r="R41" s="1363"/>
      <c r="S41" s="1363"/>
      <c r="T41" s="1363"/>
      <c r="U41" s="1363"/>
      <c r="V41" s="1363"/>
    </row>
    <row r="42" spans="1:22" ht="17.100000000000001" customHeight="1" outlineLevel="1" thickTop="1" thickBot="1" x14ac:dyDescent="0.35">
      <c r="A42" s="30"/>
      <c r="C42" s="278" t="str">
        <f t="shared" si="14"/>
        <v/>
      </c>
      <c r="D42" s="59"/>
      <c r="E42" s="646"/>
      <c r="F42" s="729"/>
      <c r="G42" s="32"/>
      <c r="H42" s="278" t="str">
        <f t="shared" si="15"/>
        <v/>
      </c>
      <c r="I42" s="59"/>
      <c r="J42" s="60"/>
      <c r="K42" s="51"/>
      <c r="L42" s="53"/>
      <c r="N42" s="244" t="str">
        <f>IF(ISBLANK(M187),"",M187)</f>
        <v/>
      </c>
      <c r="O42" s="211">
        <f>G191</f>
        <v>0</v>
      </c>
      <c r="P42" s="297" t="str">
        <f t="shared" ref="P42" si="16">IF(O42=0,"",SUBSTITUTE(TEXT(O42,"# ##0\ рублей ,00\ копеек"),",",))</f>
        <v/>
      </c>
      <c r="Q42" s="216">
        <f>R42-1</f>
        <v>0</v>
      </c>
      <c r="R42" s="216">
        <f>J192+1</f>
        <v>1</v>
      </c>
      <c r="S42" s="216" t="str">
        <f>IF(ISBLANK(L187),"",L187)</f>
        <v/>
      </c>
      <c r="T42" s="219">
        <f>MAX(P189,0)</f>
        <v>0</v>
      </c>
      <c r="U42" s="218">
        <f>Q189</f>
        <v>0</v>
      </c>
      <c r="V42" s="297" t="str">
        <f t="shared" ref="V42" si="17">IF(U42=0,"",SUBSTITUTE(TEXT(U42,"# ##0\ рублей ,00\ копеек"),",",))</f>
        <v/>
      </c>
    </row>
    <row r="43" spans="1:22" ht="17.100000000000001" customHeight="1" outlineLevel="1" thickTop="1" thickBot="1" x14ac:dyDescent="0.35">
      <c r="A43" s="30"/>
      <c r="C43" s="278" t="str">
        <f t="shared" si="14"/>
        <v/>
      </c>
      <c r="D43" s="36"/>
      <c r="E43" s="647"/>
      <c r="F43" s="729"/>
      <c r="G43" s="38"/>
      <c r="H43" s="278" t="str">
        <f t="shared" si="15"/>
        <v/>
      </c>
      <c r="I43" s="36"/>
      <c r="J43" s="37"/>
      <c r="K43" s="51"/>
      <c r="L43" s="53"/>
      <c r="N43" s="1363" t="s">
        <v>78</v>
      </c>
      <c r="O43" s="1363"/>
      <c r="P43" s="1363"/>
      <c r="Q43" s="1363"/>
      <c r="R43" s="1363"/>
      <c r="S43" s="1363"/>
      <c r="T43" s="1363"/>
      <c r="U43" s="1363"/>
      <c r="V43" s="1363"/>
    </row>
    <row r="44" spans="1:22" ht="17.100000000000001" customHeight="1" outlineLevel="1" thickTop="1" thickBot="1" x14ac:dyDescent="0.35">
      <c r="A44" s="168" t="s">
        <v>45</v>
      </c>
      <c r="B44" s="205">
        <f>SUM(B34:B43)</f>
        <v>45234</v>
      </c>
      <c r="C44" s="279" t="str">
        <f>IF(B44=0,"",SUBSTITUTE(TEXT(B44,"# ##0\ рублей ,00\ копеек"),",",))</f>
        <v>45 234 рублей 00 копеек</v>
      </c>
      <c r="D44" s="47"/>
      <c r="E44" s="648"/>
      <c r="F44" s="721" t="s">
        <v>45</v>
      </c>
      <c r="G44" s="205">
        <f>SUM(G34:G43)</f>
        <v>148595</v>
      </c>
      <c r="H44" s="279" t="str">
        <f>IF(G44=0,"",SUBSTITUTE(TEXT(G44,"# ##0\ рублей ,00\ копеек"),",",))</f>
        <v>148 595 рублей 00 копеек</v>
      </c>
      <c r="I44" s="47"/>
      <c r="J44" s="48"/>
      <c r="K44" s="52"/>
      <c r="L44" s="54"/>
      <c r="N44" s="244" t="str">
        <f>IF(K39&lt;&gt;0,IF(K40=C23,"ОТКАЗ",IF(K40=H23,"ВЫПЛАТА",IF(K40=M25,"РЕМОНТ"))),IF(K65&lt;&gt;0,IF(K66=C49,"ОТКАЗ",IF(K66=H49,"ВЫПЛАТА",IF(K66=M51,"РЕМОНТ"))),IF(K91&lt;&gt;0,IF(K92=C75,"ОТКАЗ",IF(K92=H75,"ВЫПЛАТА",IF(K92=M77,"РЕМОНТ"))),IF(K117&lt;&gt;0,IF(K118=C101,"ОТКАЗ",IF(K118=H101,"ВЫПЛАТА",IF(K118=M103,"РЕМОНТ"))),IF(K143&lt;&gt;0,IF(K144=C127,"ОТКАЗ",IF(K144=H127,"ВЫПЛАТА",IF(K144=M129,"РЕМОНТ"))),IF(K169&lt;&gt;0,IF(K170=C153,"ОТКАЗ",IF(K170=H153,"ВЫПЛАТА",IF(K170=M155,"РЕМОНТ"))),""))))))</f>
        <v>ВЫПЛАТА</v>
      </c>
      <c r="O44" s="423">
        <f>IF(H23&lt;&gt;"",G34,IF(H49&lt;&gt;"",G60,IF(H75&lt;&gt;"",G86,IF(H101&lt;&gt;"",G112,IF(H127&lt;&gt;"",G138,IF(H153&lt;&gt;"",G164,""))))))</f>
        <v>144095</v>
      </c>
      <c r="P44" s="297" t="str">
        <f t="shared" ref="P44" si="18">IF(O44=0,"",SUBSTITUTE(TEXT(O44,"# ##0\ рублей ,00\ копеек"),",",))</f>
        <v>144 095 рублей 00 копеек</v>
      </c>
      <c r="Q44" s="424">
        <f>R44-1</f>
        <v>43929</v>
      </c>
      <c r="R44" s="216">
        <f>A$24</f>
        <v>43930</v>
      </c>
      <c r="S44" s="216">
        <f>IF(K169&lt;&gt;0,K170,IF(K143&lt;&gt;0,K144,IF(K117&lt;&gt;0,K118,IF(K91&lt;&gt;0,K92,IF(K65&lt;&gt;0,K66,IF(K39&lt;&gt;0,K40,""))))))</f>
        <v>43949</v>
      </c>
      <c r="T44" s="217">
        <f>MAX(S44-R44+1,0)</f>
        <v>20</v>
      </c>
      <c r="U44" s="218">
        <f>D18*0.0005*T44</f>
        <v>4000</v>
      </c>
      <c r="V44" s="297" t="str">
        <f t="shared" ref="V44" si="19">IF(U44=0,"",SUBSTITUTE(TEXT(U44,"# ##0\ рублей ,00\ копеек"),",",))</f>
        <v>4 000 рублей 00 копеек</v>
      </c>
    </row>
    <row r="45" spans="1:22" s="604" customFormat="1" ht="17.100000000000001" customHeight="1" thickTop="1" thickBot="1" x14ac:dyDescent="0.35">
      <c r="A45" s="605"/>
      <c r="B45" s="634"/>
      <c r="C45" s="606"/>
      <c r="D45" s="606"/>
      <c r="E45" s="606"/>
      <c r="F45" s="606"/>
      <c r="G45" s="606"/>
      <c r="H45" s="606"/>
      <c r="I45" s="606"/>
      <c r="J45" s="606"/>
      <c r="K45" s="606"/>
      <c r="L45" s="607"/>
      <c r="O45" s="608" t="str">
        <f>IF(H23&lt;&gt;"",I23,IF(H49&lt;&gt;"",I49,IF(H75&lt;&gt;"",I75,IF(H101&lt;&gt;"",I101,IF(H127&lt;&gt;"",I127,IF(H153&lt;&gt;"",I153,""))))))</f>
        <v>2920</v>
      </c>
      <c r="P45" s="609" t="str">
        <f>IF(M25&lt;&gt;"",J23,IF(M51&lt;&gt;"",J49,IF(M77&lt;&gt;"",J75,IF(M103&lt;&gt;"",J101,IF(M129&lt;&gt;"",J127,IF(M155&lt;&gt;"",J153,""))))))</f>
        <v/>
      </c>
      <c r="Q45" s="610" t="str">
        <f>IF(M25&lt;&gt;"",K23,IF(M51&lt;&gt;"",K49,IF(M77&lt;&gt;"",K75,IF(M103&lt;&gt;"",K101,IF(M129&lt;&gt;"",K127,IF(M155&lt;&gt;"",K153,""))))))</f>
        <v/>
      </c>
    </row>
    <row r="46" spans="1:22" ht="17.100000000000001" customHeight="1" thickTop="1" thickBot="1" x14ac:dyDescent="0.35">
      <c r="A46" s="1415" t="s">
        <v>631</v>
      </c>
      <c r="B46" s="1416"/>
      <c r="C46" s="1416"/>
      <c r="D46" s="1416"/>
      <c r="E46" s="1416"/>
      <c r="F46" s="1416"/>
      <c r="G46" s="1416"/>
      <c r="H46" s="1416"/>
      <c r="I46" s="1416"/>
      <c r="J46" s="1416"/>
      <c r="K46" s="1416"/>
      <c r="L46" s="1416"/>
      <c r="M46" s="1416"/>
      <c r="N46" s="1417"/>
    </row>
    <row r="47" spans="1:22" ht="17.100000000000001" hidden="1" customHeight="1" outlineLevel="1" thickTop="1" thickBot="1" x14ac:dyDescent="0.35">
      <c r="A47" s="1371" t="s">
        <v>144</v>
      </c>
      <c r="B47" s="1373"/>
      <c r="C47" s="1410" t="s">
        <v>593</v>
      </c>
      <c r="D47" s="1411"/>
      <c r="E47" s="1412"/>
      <c r="F47" s="1376" t="s">
        <v>610</v>
      </c>
      <c r="G47" s="1378"/>
      <c r="H47" s="1376" t="s">
        <v>594</v>
      </c>
      <c r="I47" s="1378"/>
      <c r="J47" s="1376" t="s">
        <v>581</v>
      </c>
      <c r="K47" s="1377"/>
      <c r="L47" s="1377"/>
      <c r="M47" s="1377"/>
      <c r="N47" s="1378"/>
    </row>
    <row r="48" spans="1:22" ht="17.100000000000001" hidden="1" customHeight="1" outlineLevel="1" thickTop="1" thickBot="1" x14ac:dyDescent="0.35">
      <c r="A48" s="169" t="s">
        <v>5</v>
      </c>
      <c r="B48" s="663" t="s">
        <v>605</v>
      </c>
      <c r="C48" s="169" t="s">
        <v>5</v>
      </c>
      <c r="D48" s="169" t="s">
        <v>4</v>
      </c>
      <c r="E48" s="716" t="s">
        <v>595</v>
      </c>
      <c r="F48" s="716" t="s">
        <v>5</v>
      </c>
      <c r="G48" s="169" t="s">
        <v>599</v>
      </c>
      <c r="H48" s="169" t="s">
        <v>5</v>
      </c>
      <c r="I48" s="169" t="s">
        <v>596</v>
      </c>
      <c r="J48" s="169" t="s">
        <v>5</v>
      </c>
      <c r="K48" s="169" t="s">
        <v>4</v>
      </c>
      <c r="L48" s="169" t="s">
        <v>597</v>
      </c>
      <c r="M48" s="169" t="s">
        <v>661</v>
      </c>
      <c r="N48" s="169" t="s">
        <v>659</v>
      </c>
    </row>
    <row r="49" spans="1:14" ht="17.100000000000001" hidden="1" customHeight="1" outlineLevel="1" thickTop="1" thickBot="1" x14ac:dyDescent="0.35">
      <c r="A49" s="173"/>
      <c r="B49" s="740"/>
      <c r="C49" s="23"/>
      <c r="D49" s="178"/>
      <c r="E49" s="643"/>
      <c r="F49" s="679">
        <v>43937</v>
      </c>
      <c r="G49" s="175" t="s">
        <v>9019</v>
      </c>
      <c r="H49" s="23">
        <v>43949</v>
      </c>
      <c r="I49" s="178" t="s">
        <v>9023</v>
      </c>
      <c r="J49" s="23"/>
      <c r="K49" s="178"/>
      <c r="L49" s="177"/>
      <c r="M49" s="178"/>
      <c r="N49" s="179"/>
    </row>
    <row r="50" spans="1:14" ht="17.100000000000001" hidden="1" customHeight="1" outlineLevel="1" thickTop="1" thickBot="1" x14ac:dyDescent="0.35">
      <c r="A50" s="274">
        <f>IF(WEEKDAY(WORKDAY.INTL(A49,30,"0000000"),2)=6,WORKDAY.INTL(A49,30,"0000000")+2,IF(WEEKDAY(WORKDAY.INTL(A49,30,"0000000"),2)=7,WORKDAY.INTL(A49,30,"0000000")+1,WORKDAY.INTL(A49,30,"0000000")))</f>
        <v>30</v>
      </c>
      <c r="C50" s="103"/>
      <c r="D50" s="300" t="str">
        <f>IF(WEEKDAY(WORKDAY.INTL(A49,20,"0000000",DRAFT!X28:X151),2)=6,"СБТ",IF(WEEKDAY(WORKDAY.INTL(A49,20,"0000000",DRAFT!X28:X151),2)=7,"ВКС",""))</f>
        <v/>
      </c>
      <c r="E50" s="649"/>
      <c r="F50" s="649"/>
      <c r="G50" s="103"/>
      <c r="H50" s="103"/>
      <c r="I50" s="103"/>
      <c r="J50" s="103"/>
      <c r="K50" s="103"/>
      <c r="L50" s="129"/>
      <c r="M50" s="394" t="s">
        <v>5208</v>
      </c>
    </row>
    <row r="51" spans="1:14" ht="17.100000000000001" hidden="1" customHeight="1" outlineLevel="1" thickTop="1" thickBot="1" x14ac:dyDescent="0.35">
      <c r="A51" s="1410" t="s">
        <v>629</v>
      </c>
      <c r="B51" s="1411"/>
      <c r="C51" s="1411"/>
      <c r="D51" s="1411"/>
      <c r="E51" s="1411"/>
      <c r="F51" s="1411"/>
      <c r="G51" s="1411"/>
      <c r="H51" s="1412"/>
      <c r="I51" s="1410" t="s">
        <v>630</v>
      </c>
      <c r="J51" s="1411"/>
      <c r="K51" s="1411"/>
      <c r="L51" s="1412"/>
      <c r="M51" s="23"/>
    </row>
    <row r="52" spans="1:14" ht="17.100000000000001" hidden="1" customHeight="1" outlineLevel="1" thickTop="1" thickBot="1" x14ac:dyDescent="0.35">
      <c r="A52" s="169" t="s">
        <v>5</v>
      </c>
      <c r="B52" s="663" t="s">
        <v>4</v>
      </c>
      <c r="C52" s="180" t="s">
        <v>599</v>
      </c>
      <c r="D52" s="180" t="s">
        <v>600</v>
      </c>
      <c r="E52" s="720" t="s">
        <v>601</v>
      </c>
      <c r="F52" s="720" t="s">
        <v>602</v>
      </c>
      <c r="G52" s="180" t="s">
        <v>603</v>
      </c>
      <c r="H52" s="180" t="s">
        <v>611</v>
      </c>
      <c r="I52" s="169" t="s">
        <v>5</v>
      </c>
      <c r="J52" s="169" t="s">
        <v>4</v>
      </c>
      <c r="K52" s="180" t="s">
        <v>599</v>
      </c>
      <c r="L52" s="180" t="s">
        <v>604</v>
      </c>
    </row>
    <row r="53" spans="1:14" ht="17.100000000000001" hidden="1" customHeight="1" outlineLevel="1" thickTop="1" x14ac:dyDescent="0.3">
      <c r="A53" s="184">
        <v>43942</v>
      </c>
      <c r="B53" s="740" t="s">
        <v>9021</v>
      </c>
      <c r="C53" s="162" t="s">
        <v>9020</v>
      </c>
      <c r="D53" s="181">
        <v>231900</v>
      </c>
      <c r="E53" s="644">
        <v>156400</v>
      </c>
      <c r="F53" s="644"/>
      <c r="G53" s="181"/>
      <c r="H53" s="185"/>
      <c r="I53" s="23"/>
      <c r="J53" s="178"/>
      <c r="K53" s="178"/>
      <c r="L53" s="183"/>
      <c r="M53" s="240">
        <f>F53-G53</f>
        <v>0</v>
      </c>
    </row>
    <row r="54" spans="1:14" ht="17.100000000000001" hidden="1" customHeight="1" outlineLevel="1" thickBot="1" x14ac:dyDescent="0.35">
      <c r="A54" s="130"/>
      <c r="C54" s="103"/>
      <c r="D54" s="239" t="str">
        <f>SUBSTITUTE(TEXT(D53,"# ##0\ рублей ,00\ копеек"),",",)</f>
        <v>231 900 рублей 00 копеек</v>
      </c>
      <c r="E54" s="645" t="str">
        <f>SUBSTITUTE(TEXT(E53,"# ##0\ рублей ,00\ копеек"),",",)</f>
        <v>156 400 рублей 00 копеек</v>
      </c>
      <c r="F54" s="645" t="str">
        <f>SUBSTITUTE(TEXT(F53,"# ##0\ рублей ,00\ копеек"),",",)</f>
        <v>0 рублей 00 копеек</v>
      </c>
      <c r="G54" s="239" t="str">
        <f>SUBSTITUTE(TEXT(G53,"# ##0\ рублей ,00\ копеек"),",",)</f>
        <v>0 рублей 00 копеек</v>
      </c>
      <c r="H54" s="103"/>
      <c r="I54" s="132"/>
      <c r="J54" s="132"/>
      <c r="K54" s="132"/>
      <c r="L54" s="280" t="str">
        <f>SUBSTITUTE(TEXT(L53,"# ##0\ рублей ,00\ копеек"),",",)</f>
        <v>0 рублей 00 копеек</v>
      </c>
      <c r="M54" s="239" t="str">
        <f>SUBSTITUTE(TEXT(M53,"# ##0\ рублей ,00\ копеек"),",",)</f>
        <v>0 рублей 00 копеек</v>
      </c>
    </row>
    <row r="55" spans="1:14" ht="17.100000000000001" hidden="1" customHeight="1" outlineLevel="1" thickTop="1" thickBot="1" x14ac:dyDescent="0.35">
      <c r="A55" s="1418" t="s">
        <v>613</v>
      </c>
      <c r="B55" s="1419"/>
      <c r="C55" s="1419"/>
      <c r="D55" s="1419"/>
      <c r="E55" s="1419"/>
      <c r="F55" s="1419"/>
      <c r="G55" s="1419"/>
      <c r="H55" s="1420"/>
      <c r="I55" s="1418" t="s">
        <v>614</v>
      </c>
      <c r="J55" s="1419"/>
      <c r="K55" s="1419"/>
      <c r="L55" s="1420"/>
    </row>
    <row r="56" spans="1:14" ht="17.100000000000001" hidden="1" customHeight="1" outlineLevel="1" thickTop="1" thickBot="1" x14ac:dyDescent="0.35">
      <c r="A56" s="169" t="s">
        <v>5</v>
      </c>
      <c r="B56" s="663" t="s">
        <v>4</v>
      </c>
      <c r="C56" s="180" t="s">
        <v>599</v>
      </c>
      <c r="D56" s="180" t="s">
        <v>600</v>
      </c>
      <c r="E56" s="720" t="s">
        <v>601</v>
      </c>
      <c r="F56" s="720" t="s">
        <v>602</v>
      </c>
      <c r="G56" s="180" t="s">
        <v>603</v>
      </c>
      <c r="H56" s="180" t="s">
        <v>611</v>
      </c>
      <c r="I56" s="169" t="s">
        <v>5</v>
      </c>
      <c r="J56" s="169" t="s">
        <v>4</v>
      </c>
      <c r="K56" s="180" t="s">
        <v>599</v>
      </c>
      <c r="L56" s="180" t="s">
        <v>604</v>
      </c>
    </row>
    <row r="57" spans="1:14" ht="17.100000000000001" hidden="1" customHeight="1" outlineLevel="1" thickTop="1" x14ac:dyDescent="0.3">
      <c r="A57" s="184"/>
      <c r="B57" s="668"/>
      <c r="C57" s="162"/>
      <c r="D57" s="181"/>
      <c r="E57" s="644"/>
      <c r="F57" s="644"/>
      <c r="G57" s="181"/>
      <c r="H57" s="182"/>
      <c r="I57" s="184"/>
      <c r="J57" s="162"/>
      <c r="K57" s="162"/>
      <c r="L57" s="183"/>
      <c r="M57" s="240">
        <f>F57-G57</f>
        <v>0</v>
      </c>
    </row>
    <row r="58" spans="1:14" ht="17.100000000000001" hidden="1" customHeight="1" outlineLevel="1" thickBot="1" x14ac:dyDescent="0.35">
      <c r="A58" s="130"/>
      <c r="C58" s="103"/>
      <c r="D58" s="239" t="str">
        <f>SUBSTITUTE(TEXT(D57,"# ##0\ рублей ,00\ копеек"),",",)</f>
        <v>0 рублей 00 копеек</v>
      </c>
      <c r="E58" s="645" t="str">
        <f>SUBSTITUTE(TEXT(E57,"# ##0\ рублей ,00\ копеек"),",",)</f>
        <v>0 рублей 00 копеек</v>
      </c>
      <c r="F58" s="645" t="str">
        <f>SUBSTITUTE(TEXT(F57,"# ##0\ рублей ,00\ копеек"),",",)</f>
        <v>0 рублей 00 копеек</v>
      </c>
      <c r="G58" s="239" t="str">
        <f>SUBSTITUTE(TEXT(G57,"# ##0\ рублей ,00\ копеек"),",",)</f>
        <v>0 рублей 00 копеек</v>
      </c>
      <c r="H58" s="103"/>
      <c r="I58" s="133"/>
      <c r="J58" s="133"/>
      <c r="K58" s="133"/>
      <c r="L58" s="281" t="str">
        <f>SUBSTITUTE(TEXT(L57,"# ##0\ рублей ,00\ копеек"),",",)</f>
        <v>0 рублей 00 копеек</v>
      </c>
      <c r="M58" s="239" t="str">
        <f>SUBSTITUTE(TEXT(M57,"# ##0\ рублей ,00\ копеек"),",",)</f>
        <v>0 рублей 00 копеек</v>
      </c>
    </row>
    <row r="59" spans="1:14" ht="17.100000000000001" hidden="1" customHeight="1" outlineLevel="1" thickTop="1" thickBot="1" x14ac:dyDescent="0.35">
      <c r="A59" s="1403" t="s">
        <v>1</v>
      </c>
      <c r="B59" s="1421"/>
      <c r="C59" s="1404"/>
      <c r="D59" s="169" t="s">
        <v>43</v>
      </c>
      <c r="E59" s="716" t="s">
        <v>44</v>
      </c>
      <c r="F59" s="1403" t="s">
        <v>612</v>
      </c>
      <c r="G59" s="1409"/>
      <c r="H59" s="1404"/>
      <c r="I59" s="169" t="s">
        <v>43</v>
      </c>
      <c r="J59" s="169" t="s">
        <v>44</v>
      </c>
      <c r="K59" s="1403" t="s">
        <v>456</v>
      </c>
      <c r="L59" s="1404"/>
    </row>
    <row r="60" spans="1:14" ht="17.100000000000001" hidden="1" customHeight="1" outlineLevel="1" thickTop="1" thickBot="1" x14ac:dyDescent="0.35">
      <c r="A60" s="30"/>
      <c r="C60" s="278" t="str">
        <f>IF(ISBLANK(B60),"",SUBSTITUTE(TEXT(B60,"# ##0\ рублей ,00\ копеек"),",",))</f>
        <v/>
      </c>
      <c r="D60" s="59"/>
      <c r="E60" s="646"/>
      <c r="F60" s="729" t="s">
        <v>1246</v>
      </c>
      <c r="G60" s="26">
        <v>12308</v>
      </c>
      <c r="H60" s="278" t="str">
        <f>IF(ISBLANK(G60),"",SUBSTITUTE(TEXT(G60,"# ##0\ рублей ,00\ копеек"),",",))</f>
        <v>12 308 рублей 00 копеек</v>
      </c>
      <c r="I60" s="59"/>
      <c r="J60" s="60"/>
      <c r="K60" s="169" t="s">
        <v>653</v>
      </c>
      <c r="L60" s="169" t="s">
        <v>627</v>
      </c>
    </row>
    <row r="61" spans="1:14" ht="17.100000000000001" hidden="1" customHeight="1" outlineLevel="1" thickTop="1" x14ac:dyDescent="0.3">
      <c r="A61" s="30"/>
      <c r="C61" s="278" t="str">
        <f>IF(ISBLANK(B61),"",SUBSTITUTE(TEXT(B61,"# ##0\ рублей ,00\ копеек"),",",))</f>
        <v/>
      </c>
      <c r="D61" s="153"/>
      <c r="E61" s="650"/>
      <c r="F61" s="729"/>
      <c r="G61" s="31"/>
      <c r="H61" s="278" t="str">
        <f>IF(ISBLANK(G61),"",SUBSTITUTE(TEXT(G61,"# ##0\ рублей ,00\ копеек"),",",))</f>
        <v/>
      </c>
      <c r="I61" s="59"/>
      <c r="J61" s="60"/>
      <c r="K61" s="417">
        <f>MAX(H49-$A$24+1,0)</f>
        <v>20</v>
      </c>
      <c r="L61" s="418">
        <f>MAX(G60*K61*0.01,0)</f>
        <v>2461.6</v>
      </c>
    </row>
    <row r="62" spans="1:14" ht="17.100000000000001" hidden="1" customHeight="1" outlineLevel="1" thickBot="1" x14ac:dyDescent="0.35">
      <c r="A62" s="30"/>
      <c r="C62" s="278" t="str">
        <f t="shared" ref="C62:C69" si="20">IF(ISBLANK(B62),"",SUBSTITUTE(TEXT(B62,"# ##0\ рублей ,00\ копеек"),",",))</f>
        <v/>
      </c>
      <c r="D62" s="153"/>
      <c r="E62" s="650"/>
      <c r="F62" s="729"/>
      <c r="G62" s="31"/>
      <c r="H62" s="278" t="str">
        <f t="shared" ref="H62:H69" si="21">IF(ISBLANK(G62),"",SUBSTITUTE(TEXT(G62,"# ##0\ рублей ,00\ копеек"),",",))</f>
        <v/>
      </c>
      <c r="I62" s="59"/>
      <c r="J62" s="60"/>
      <c r="K62" s="421"/>
      <c r="L62" s="422" t="str">
        <f>SUBSTITUTE(TEXT(L61,"# ##0\ рублей ,00\ копеек"),",",)</f>
        <v>2 461 рублей 60 копеек</v>
      </c>
      <c r="M62" s="49" t="s">
        <v>149</v>
      </c>
    </row>
    <row r="63" spans="1:14" ht="17.100000000000001" hidden="1" customHeight="1" outlineLevel="1" thickTop="1" thickBot="1" x14ac:dyDescent="0.35">
      <c r="A63" s="30"/>
      <c r="C63" s="278" t="str">
        <f t="shared" si="20"/>
        <v/>
      </c>
      <c r="D63" s="153"/>
      <c r="E63" s="650"/>
      <c r="F63" s="729"/>
      <c r="G63" s="32"/>
      <c r="H63" s="278" t="str">
        <f t="shared" si="21"/>
        <v/>
      </c>
      <c r="I63" s="59"/>
      <c r="J63" s="60"/>
      <c r="K63" s="1403" t="s">
        <v>78</v>
      </c>
      <c r="L63" s="1404"/>
    </row>
    <row r="64" spans="1:14" ht="17.100000000000001" hidden="1" customHeight="1" outlineLevel="1" thickTop="1" thickBot="1" x14ac:dyDescent="0.35">
      <c r="A64" s="30"/>
      <c r="C64" s="278" t="str">
        <f t="shared" si="20"/>
        <v/>
      </c>
      <c r="D64" s="153"/>
      <c r="E64" s="650"/>
      <c r="F64" s="729"/>
      <c r="G64" s="32"/>
      <c r="H64" s="278" t="str">
        <f t="shared" si="21"/>
        <v/>
      </c>
      <c r="I64" s="59"/>
      <c r="J64" s="60"/>
      <c r="K64" s="169" t="s">
        <v>653</v>
      </c>
      <c r="L64" s="169" t="s">
        <v>627</v>
      </c>
    </row>
    <row r="65" spans="1:14" ht="17.100000000000001" hidden="1" customHeight="1" outlineLevel="1" thickTop="1" x14ac:dyDescent="0.3">
      <c r="A65" s="30"/>
      <c r="C65" s="278" t="str">
        <f t="shared" si="20"/>
        <v/>
      </c>
      <c r="D65" s="59"/>
      <c r="E65" s="646"/>
      <c r="F65" s="729"/>
      <c r="G65" s="32"/>
      <c r="H65" s="278" t="str">
        <f t="shared" si="21"/>
        <v/>
      </c>
      <c r="I65" s="59"/>
      <c r="J65" s="60"/>
      <c r="K65" s="417">
        <f>IF(K39=0,MAX(K66-$A$24+1,0),0)</f>
        <v>20</v>
      </c>
      <c r="L65" s="418">
        <f>IFERROR(MAX(D18*0.0005*K65,0),0)</f>
        <v>4000</v>
      </c>
    </row>
    <row r="66" spans="1:14" ht="17.100000000000001" hidden="1" customHeight="1" outlineLevel="1" x14ac:dyDescent="0.3">
      <c r="A66" s="30"/>
      <c r="C66" s="278" t="str">
        <f t="shared" si="20"/>
        <v/>
      </c>
      <c r="D66" s="59"/>
      <c r="E66" s="646"/>
      <c r="F66" s="729"/>
      <c r="G66" s="32"/>
      <c r="H66" s="278" t="str">
        <f t="shared" si="21"/>
        <v/>
      </c>
      <c r="I66" s="59"/>
      <c r="J66" s="60"/>
      <c r="K66" s="419">
        <f>MIN(C49,H49,M51)</f>
        <v>43949</v>
      </c>
      <c r="L66" s="420" t="str">
        <f>SUBSTITUTE(TEXT(L65,"# ##0\ рублей ,00\ копеек"),",",)</f>
        <v>4 000 рублей 00 копеек</v>
      </c>
    </row>
    <row r="67" spans="1:14" ht="17.100000000000001" hidden="1" customHeight="1" outlineLevel="1" x14ac:dyDescent="0.3">
      <c r="A67" s="30"/>
      <c r="C67" s="278" t="str">
        <f t="shared" si="20"/>
        <v/>
      </c>
      <c r="D67" s="59"/>
      <c r="E67" s="646"/>
      <c r="F67" s="729"/>
      <c r="G67" s="32"/>
      <c r="H67" s="278" t="str">
        <f t="shared" si="21"/>
        <v/>
      </c>
      <c r="I67" s="59"/>
      <c r="J67" s="60"/>
      <c r="K67" s="103"/>
      <c r="L67" s="129"/>
    </row>
    <row r="68" spans="1:14" ht="17.100000000000001" hidden="1" customHeight="1" outlineLevel="1" x14ac:dyDescent="0.3">
      <c r="A68" s="30"/>
      <c r="C68" s="278" t="str">
        <f t="shared" si="20"/>
        <v/>
      </c>
      <c r="D68" s="59"/>
      <c r="E68" s="646"/>
      <c r="F68" s="729"/>
      <c r="G68" s="32"/>
      <c r="H68" s="278" t="str">
        <f t="shared" si="21"/>
        <v/>
      </c>
      <c r="I68" s="59"/>
      <c r="J68" s="60"/>
      <c r="K68" s="103"/>
      <c r="L68" s="129"/>
    </row>
    <row r="69" spans="1:14" ht="17.100000000000001" hidden="1" customHeight="1" outlineLevel="1" thickBot="1" x14ac:dyDescent="0.35">
      <c r="A69" s="30"/>
      <c r="C69" s="278" t="str">
        <f t="shared" si="20"/>
        <v/>
      </c>
      <c r="D69" s="36"/>
      <c r="E69" s="647"/>
      <c r="F69" s="729"/>
      <c r="G69" s="38"/>
      <c r="H69" s="278" t="str">
        <f t="shared" si="21"/>
        <v/>
      </c>
      <c r="I69" s="36"/>
      <c r="J69" s="37"/>
      <c r="K69" s="103"/>
      <c r="L69" s="129"/>
    </row>
    <row r="70" spans="1:14" ht="17.100000000000001" hidden="1" customHeight="1" outlineLevel="1" thickTop="1" thickBot="1" x14ac:dyDescent="0.35">
      <c r="A70" s="168" t="s">
        <v>45</v>
      </c>
      <c r="B70" s="205">
        <f>SUM(B60:B69)</f>
        <v>0</v>
      </c>
      <c r="C70" s="279" t="str">
        <f>IF(B70=0,"",SUBSTITUTE(TEXT(B70,"# ##0\ рублей ,00\ копеек"),",",))</f>
        <v/>
      </c>
      <c r="D70" s="47"/>
      <c r="E70" s="648"/>
      <c r="F70" s="721" t="s">
        <v>45</v>
      </c>
      <c r="G70" s="205">
        <f>SUM(G60:G69)</f>
        <v>12308</v>
      </c>
      <c r="H70" s="279" t="str">
        <f>IF(G70=0,"",SUBSTITUTE(TEXT(G70,"# ##0\ рублей ,00\ копеек"),",",))</f>
        <v>12 308 рублей 00 копеек</v>
      </c>
      <c r="I70" s="47"/>
      <c r="J70" s="48"/>
      <c r="K70" s="133"/>
      <c r="L70" s="134"/>
    </row>
    <row r="71" spans="1:14" ht="17.100000000000001" customHeight="1" collapsed="1" thickTop="1" thickBot="1" x14ac:dyDescent="0.35">
      <c r="A71" s="130"/>
      <c r="B71" s="634"/>
      <c r="C71" s="606"/>
      <c r="D71" s="606"/>
      <c r="E71" s="606"/>
      <c r="F71" s="606"/>
      <c r="G71" s="103"/>
      <c r="H71" s="103"/>
      <c r="I71" s="103"/>
      <c r="J71" s="103"/>
      <c r="K71" s="103"/>
      <c r="L71" s="131"/>
    </row>
    <row r="72" spans="1:14" ht="17.100000000000001" customHeight="1" thickTop="1" thickBot="1" x14ac:dyDescent="0.35">
      <c r="A72" s="1415" t="s">
        <v>632</v>
      </c>
      <c r="B72" s="1416"/>
      <c r="C72" s="1416"/>
      <c r="D72" s="1416"/>
      <c r="E72" s="1416"/>
      <c r="F72" s="1416"/>
      <c r="G72" s="1416"/>
      <c r="H72" s="1416"/>
      <c r="I72" s="1416"/>
      <c r="J72" s="1416"/>
      <c r="K72" s="1416"/>
      <c r="L72" s="1416"/>
      <c r="M72" s="1416"/>
      <c r="N72" s="1417"/>
    </row>
    <row r="73" spans="1:14" ht="17.100000000000001" hidden="1" customHeight="1" outlineLevel="1" thickTop="1" thickBot="1" x14ac:dyDescent="0.35">
      <c r="A73" s="1371" t="s">
        <v>144</v>
      </c>
      <c r="B73" s="1373"/>
      <c r="C73" s="1410" t="s">
        <v>593</v>
      </c>
      <c r="D73" s="1411"/>
      <c r="E73" s="1412"/>
      <c r="F73" s="1376" t="s">
        <v>610</v>
      </c>
      <c r="G73" s="1378"/>
      <c r="H73" s="1376" t="s">
        <v>594</v>
      </c>
      <c r="I73" s="1378"/>
      <c r="J73" s="1376" t="s">
        <v>581</v>
      </c>
      <c r="K73" s="1377"/>
      <c r="L73" s="1377"/>
      <c r="M73" s="1377"/>
      <c r="N73" s="1378"/>
    </row>
    <row r="74" spans="1:14" ht="17.100000000000001" hidden="1" customHeight="1" outlineLevel="1" thickTop="1" thickBot="1" x14ac:dyDescent="0.35">
      <c r="A74" s="169" t="s">
        <v>5</v>
      </c>
      <c r="B74" s="663" t="s">
        <v>605</v>
      </c>
      <c r="C74" s="169" t="s">
        <v>5</v>
      </c>
      <c r="D74" s="169" t="s">
        <v>4</v>
      </c>
      <c r="E74" s="716" t="s">
        <v>595</v>
      </c>
      <c r="F74" s="716" t="s">
        <v>5</v>
      </c>
      <c r="G74" s="169" t="s">
        <v>599</v>
      </c>
      <c r="H74" s="169" t="s">
        <v>5</v>
      </c>
      <c r="I74" s="169" t="s">
        <v>596</v>
      </c>
      <c r="J74" s="169" t="s">
        <v>5</v>
      </c>
      <c r="K74" s="169" t="s">
        <v>4</v>
      </c>
      <c r="L74" s="169" t="s">
        <v>597</v>
      </c>
      <c r="M74" s="169" t="s">
        <v>661</v>
      </c>
      <c r="N74" s="169" t="s">
        <v>659</v>
      </c>
    </row>
    <row r="75" spans="1:14" ht="17.100000000000001" hidden="1" customHeight="1" outlineLevel="1" thickTop="1" thickBot="1" x14ac:dyDescent="0.35">
      <c r="A75" s="173">
        <v>43951</v>
      </c>
      <c r="B75" s="1150" t="s">
        <v>608</v>
      </c>
      <c r="C75" s="23"/>
      <c r="D75" s="178"/>
      <c r="E75" s="643"/>
      <c r="F75" s="679"/>
      <c r="G75" s="178"/>
      <c r="H75" s="23"/>
      <c r="I75" s="178"/>
      <c r="J75" s="23"/>
      <c r="K75" s="178"/>
      <c r="L75" s="177"/>
      <c r="M75" s="178"/>
      <c r="N75" s="179"/>
    </row>
    <row r="76" spans="1:14" ht="17.100000000000001" hidden="1" customHeight="1" outlineLevel="1" thickTop="1" thickBot="1" x14ac:dyDescent="0.35">
      <c r="A76" s="282">
        <f>IF(WEEKDAY(WORKDAY.INTL(A75,30,"0000000"),2)=6,WORKDAY.INTL(A75,30,"0000000")+2,IF(WEEKDAY(WORKDAY.INTL(A75,30,"0000000"),2)=7,WORKDAY.INTL(A75,30,"0000000")+1,WORKDAY.INTL(A75,30,"0000000")))</f>
        <v>43983</v>
      </c>
      <c r="C76" s="103"/>
      <c r="D76" s="300" t="str">
        <f>IF(WEEKDAY(WORKDAY.INTL(A75,20,"0000000",DRAFT!X54:X177),2)=6,"СБТ",IF(WEEKDAY(WORKDAY.INTL(A75,20,"0000000",DRAFT!X54:X177),2)=7,"ВКС",""))</f>
        <v/>
      </c>
      <c r="E76" s="649"/>
      <c r="F76" s="649"/>
      <c r="G76" s="103"/>
      <c r="H76" s="103"/>
      <c r="I76" s="103"/>
      <c r="J76" s="103"/>
      <c r="K76" s="103"/>
      <c r="L76" s="129"/>
      <c r="M76" s="394" t="s">
        <v>5208</v>
      </c>
    </row>
    <row r="77" spans="1:14" ht="17.100000000000001" hidden="1" customHeight="1" outlineLevel="1" thickTop="1" thickBot="1" x14ac:dyDescent="0.35">
      <c r="A77" s="1410" t="s">
        <v>629</v>
      </c>
      <c r="B77" s="1411"/>
      <c r="C77" s="1411"/>
      <c r="D77" s="1411"/>
      <c r="E77" s="1411"/>
      <c r="F77" s="1411"/>
      <c r="G77" s="1411"/>
      <c r="H77" s="1412"/>
      <c r="I77" s="1410" t="s">
        <v>630</v>
      </c>
      <c r="J77" s="1411"/>
      <c r="K77" s="1411"/>
      <c r="L77" s="1412"/>
      <c r="M77" s="23"/>
    </row>
    <row r="78" spans="1:14" ht="17.100000000000001" hidden="1" customHeight="1" outlineLevel="1" thickTop="1" thickBot="1" x14ac:dyDescent="0.35">
      <c r="A78" s="169" t="s">
        <v>5</v>
      </c>
      <c r="B78" s="663" t="s">
        <v>4</v>
      </c>
      <c r="C78" s="180" t="s">
        <v>599</v>
      </c>
      <c r="D78" s="180" t="s">
        <v>600</v>
      </c>
      <c r="E78" s="720" t="s">
        <v>601</v>
      </c>
      <c r="F78" s="720" t="s">
        <v>602</v>
      </c>
      <c r="G78" s="180" t="s">
        <v>603</v>
      </c>
      <c r="H78" s="180" t="s">
        <v>611</v>
      </c>
      <c r="I78" s="169" t="s">
        <v>5</v>
      </c>
      <c r="J78" s="169" t="s">
        <v>4</v>
      </c>
      <c r="K78" s="180" t="s">
        <v>599</v>
      </c>
      <c r="L78" s="180" t="s">
        <v>604</v>
      </c>
    </row>
    <row r="79" spans="1:14" ht="17.100000000000001" hidden="1" customHeight="1" outlineLevel="1" thickTop="1" x14ac:dyDescent="0.3">
      <c r="A79" s="184"/>
      <c r="B79" s="667"/>
      <c r="C79" s="162"/>
      <c r="D79" s="181"/>
      <c r="E79" s="644"/>
      <c r="F79" s="644"/>
      <c r="G79" s="181"/>
      <c r="H79" s="182"/>
      <c r="I79" s="23"/>
      <c r="J79" s="178"/>
      <c r="K79" s="178"/>
      <c r="L79" s="183"/>
      <c r="M79" s="240">
        <f>F79-G79</f>
        <v>0</v>
      </c>
    </row>
    <row r="80" spans="1:14" ht="17.100000000000001" hidden="1" customHeight="1" outlineLevel="1" thickBot="1" x14ac:dyDescent="0.35">
      <c r="A80" s="130"/>
      <c r="C80" s="103"/>
      <c r="D80" s="277" t="str">
        <f>SUBSTITUTE(TEXT(D79,"# ##0\ рублей ,00\ копеек"),",",)</f>
        <v>0 рублей 00 копеек</v>
      </c>
      <c r="E80" s="651" t="str">
        <f>SUBSTITUTE(TEXT(E79,"# ##0\ рублей ,00\ копеек"),",",)</f>
        <v>0 рублей 00 копеек</v>
      </c>
      <c r="F80" s="651" t="str">
        <f>SUBSTITUTE(TEXT(F79,"# ##0\ рублей ,00\ копеек"),",",)</f>
        <v>0 рублей 00 копеек</v>
      </c>
      <c r="G80" s="277" t="str">
        <f>SUBSTITUTE(TEXT(G79,"# ##0\ рублей ,00\ копеек"),",",)</f>
        <v>0 рублей 00 копеек</v>
      </c>
      <c r="H80" s="103"/>
      <c r="I80" s="103"/>
      <c r="J80" s="103"/>
      <c r="K80" s="103"/>
      <c r="L80" s="277" t="str">
        <f>SUBSTITUTE(TEXT(L79,"# ##0\ рублей ,00\ копеек"),",",)</f>
        <v>0 рублей 00 копеек</v>
      </c>
      <c r="M80" s="239" t="str">
        <f>SUBSTITUTE(TEXT(M79,"# ##0\ рублей ,00\ копеек"),",",)</f>
        <v>0 рублей 00 копеек</v>
      </c>
    </row>
    <row r="81" spans="1:13" ht="17.100000000000001" hidden="1" customHeight="1" outlineLevel="1" thickTop="1" thickBot="1" x14ac:dyDescent="0.35">
      <c r="A81" s="1418" t="s">
        <v>613</v>
      </c>
      <c r="B81" s="1419"/>
      <c r="C81" s="1419"/>
      <c r="D81" s="1419"/>
      <c r="E81" s="1419"/>
      <c r="F81" s="1419"/>
      <c r="G81" s="1419"/>
      <c r="H81" s="1420"/>
      <c r="I81" s="1418" t="s">
        <v>614</v>
      </c>
      <c r="J81" s="1419"/>
      <c r="K81" s="1419"/>
      <c r="L81" s="1420"/>
    </row>
    <row r="82" spans="1:13" ht="17.100000000000001" hidden="1" customHeight="1" outlineLevel="1" thickTop="1" thickBot="1" x14ac:dyDescent="0.35">
      <c r="A82" s="169" t="s">
        <v>5</v>
      </c>
      <c r="B82" s="663" t="s">
        <v>4</v>
      </c>
      <c r="C82" s="180" t="s">
        <v>599</v>
      </c>
      <c r="D82" s="180" t="s">
        <v>600</v>
      </c>
      <c r="E82" s="720" t="s">
        <v>601</v>
      </c>
      <c r="F82" s="720" t="s">
        <v>602</v>
      </c>
      <c r="G82" s="180" t="s">
        <v>603</v>
      </c>
      <c r="H82" s="180" t="s">
        <v>611</v>
      </c>
      <c r="I82" s="169" t="s">
        <v>5</v>
      </c>
      <c r="J82" s="169" t="s">
        <v>4</v>
      </c>
      <c r="K82" s="180" t="s">
        <v>599</v>
      </c>
      <c r="L82" s="180" t="s">
        <v>604</v>
      </c>
    </row>
    <row r="83" spans="1:13" ht="17.100000000000001" hidden="1" customHeight="1" outlineLevel="1" thickTop="1" x14ac:dyDescent="0.3">
      <c r="A83" s="184">
        <v>43937</v>
      </c>
      <c r="B83" s="1150" t="s">
        <v>9024</v>
      </c>
      <c r="C83" s="162" t="s">
        <v>9025</v>
      </c>
      <c r="D83" s="181">
        <v>425398</v>
      </c>
      <c r="E83" s="1152">
        <v>269722</v>
      </c>
      <c r="F83" s="644"/>
      <c r="G83" s="181"/>
      <c r="H83" s="182"/>
      <c r="I83" s="23"/>
      <c r="J83" s="178"/>
      <c r="K83" s="178"/>
      <c r="L83" s="183"/>
      <c r="M83" s="240">
        <f>F83-G83</f>
        <v>0</v>
      </c>
    </row>
    <row r="84" spans="1:13" ht="17.100000000000001" hidden="1" customHeight="1" outlineLevel="1" thickBot="1" x14ac:dyDescent="0.35">
      <c r="A84" s="130"/>
      <c r="C84" s="103"/>
      <c r="D84" s="277" t="str">
        <f>SUBSTITUTE(TEXT(D83,"# ##0\ рублей ,00\ копеек"),",",)</f>
        <v>425 398 рублей 00 копеек</v>
      </c>
      <c r="E84" s="651" t="str">
        <f>SUBSTITUTE(TEXT(E83,"# ##0\ рублей ,00\ копеек"),",",)</f>
        <v>269 722 рублей 00 копеек</v>
      </c>
      <c r="F84" s="651" t="str">
        <f>SUBSTITUTE(TEXT(F83,"# ##0\ рублей ,00\ копеек"),",",)</f>
        <v>0 рублей 00 копеек</v>
      </c>
      <c r="G84" s="277" t="str">
        <f>SUBSTITUTE(TEXT(G83,"# ##0\ рублей ,00\ копеек"),",",)</f>
        <v>0 рублей 00 копеек</v>
      </c>
      <c r="H84" s="103"/>
      <c r="I84" s="103"/>
      <c r="J84" s="103"/>
      <c r="K84" s="103"/>
      <c r="L84" s="277" t="str">
        <f>SUBSTITUTE(TEXT(L83,"# ##0\ рублей ,00\ копеек"),",",)</f>
        <v>0 рублей 00 копеек</v>
      </c>
      <c r="M84" s="239" t="str">
        <f>SUBSTITUTE(TEXT(M83,"# ##0\ рублей ,00\ копеек"),",",)</f>
        <v>0 рублей 00 копеек</v>
      </c>
    </row>
    <row r="85" spans="1:13" ht="17.100000000000001" hidden="1" customHeight="1" outlineLevel="1" thickTop="1" thickBot="1" x14ac:dyDescent="0.35">
      <c r="A85" s="1403" t="s">
        <v>1</v>
      </c>
      <c r="B85" s="1409"/>
      <c r="C85" s="1404"/>
      <c r="D85" s="169" t="s">
        <v>43</v>
      </c>
      <c r="E85" s="716" t="s">
        <v>44</v>
      </c>
      <c r="F85" s="1403" t="s">
        <v>612</v>
      </c>
      <c r="G85" s="1409"/>
      <c r="H85" s="1404"/>
      <c r="I85" s="169" t="s">
        <v>43</v>
      </c>
      <c r="J85" s="169" t="s">
        <v>44</v>
      </c>
      <c r="K85" s="1403" t="s">
        <v>456</v>
      </c>
      <c r="L85" s="1404"/>
    </row>
    <row r="86" spans="1:13" ht="17.100000000000001" hidden="1" customHeight="1" outlineLevel="1" thickTop="1" thickBot="1" x14ac:dyDescent="0.35">
      <c r="A86" s="30" t="s">
        <v>46</v>
      </c>
      <c r="B86" s="1151">
        <v>125622</v>
      </c>
      <c r="C86" s="278" t="str">
        <f>IF(ISBLANK(B86),"",SUBSTITUTE(TEXT(B86,"# ##0\ рублей ,00\ копеек"),",",))</f>
        <v>125 622 рублей 00 копеек</v>
      </c>
      <c r="D86" s="59"/>
      <c r="E86" s="646"/>
      <c r="F86" s="682"/>
      <c r="G86" s="26"/>
      <c r="H86" s="278" t="str">
        <f>IF(ISBLANK(G86),"",SUBSTITUTE(TEXT(G86,"# ##0\ рублей ,00\ копеек"),",",))</f>
        <v/>
      </c>
      <c r="I86" s="59"/>
      <c r="J86" s="60"/>
      <c r="K86" s="169" t="s">
        <v>653</v>
      </c>
      <c r="L86" s="169" t="s">
        <v>627</v>
      </c>
    </row>
    <row r="87" spans="1:13" ht="17.100000000000001" hidden="1" customHeight="1" outlineLevel="1" thickTop="1" x14ac:dyDescent="0.3">
      <c r="A87" s="30" t="s">
        <v>1705</v>
      </c>
      <c r="B87" s="1151">
        <v>7000</v>
      </c>
      <c r="C87" s="278" t="str">
        <f>IF(ISBLANK(B87),"",SUBSTITUTE(TEXT(B87,"# ##0\ рублей ,00\ копеек"),",",))</f>
        <v>7 000 рублей 00 копеек</v>
      </c>
      <c r="D87" s="59"/>
      <c r="E87" s="646"/>
      <c r="F87" s="682"/>
      <c r="G87" s="31"/>
      <c r="H87" s="278" t="str">
        <f>IF(ISBLANK(G87),"",SUBSTITUTE(TEXT(G87,"# ##0\ рублей ,00\ копеек"),",",))</f>
        <v/>
      </c>
      <c r="I87" s="59"/>
      <c r="J87" s="60"/>
      <c r="K87" s="275">
        <f>MAX(H75-$A$24+1,0)</f>
        <v>0</v>
      </c>
      <c r="L87" s="276">
        <f>MAX(G86*K87*0.01,0)</f>
        <v>0</v>
      </c>
    </row>
    <row r="88" spans="1:13" ht="17.100000000000001" hidden="1" customHeight="1" outlineLevel="1" thickBot="1" x14ac:dyDescent="0.35">
      <c r="A88" s="30"/>
      <c r="B88" s="1151"/>
      <c r="C88" s="278" t="str">
        <f t="shared" ref="C88:C95" si="22">IF(ISBLANK(B88),"",SUBSTITUTE(TEXT(B88,"# ##0\ рублей ,00\ копеек"),",",))</f>
        <v/>
      </c>
      <c r="D88" s="59"/>
      <c r="E88" s="646"/>
      <c r="F88" s="682"/>
      <c r="G88" s="31"/>
      <c r="H88" s="278" t="str">
        <f t="shared" ref="H88:H95" si="23">IF(ISBLANK(G88),"",SUBSTITUTE(TEXT(G88,"# ##0\ рублей ,00\ копеек"),",",))</f>
        <v/>
      </c>
      <c r="I88" s="59"/>
      <c r="J88" s="60"/>
      <c r="K88" s="51"/>
      <c r="L88" s="277" t="str">
        <f>SUBSTITUTE(TEXT(L87,"# ##0\ рублей ,00\ копеек"),",",)</f>
        <v>0 рублей 00 копеек</v>
      </c>
      <c r="M88" s="49" t="s">
        <v>149</v>
      </c>
    </row>
    <row r="89" spans="1:13" ht="17.100000000000001" hidden="1" customHeight="1" outlineLevel="1" thickTop="1" thickBot="1" x14ac:dyDescent="0.35">
      <c r="A89" s="30"/>
      <c r="B89" s="1151"/>
      <c r="C89" s="278" t="str">
        <f t="shared" si="22"/>
        <v/>
      </c>
      <c r="D89" s="59"/>
      <c r="E89" s="646"/>
      <c r="F89" s="682"/>
      <c r="G89" s="32"/>
      <c r="H89" s="278" t="str">
        <f t="shared" si="23"/>
        <v/>
      </c>
      <c r="I89" s="59"/>
      <c r="J89" s="60"/>
      <c r="K89" s="1403" t="s">
        <v>78</v>
      </c>
      <c r="L89" s="1404"/>
    </row>
    <row r="90" spans="1:13" ht="17.100000000000001" hidden="1" customHeight="1" outlineLevel="1" thickTop="1" thickBot="1" x14ac:dyDescent="0.35">
      <c r="A90" s="30"/>
      <c r="B90" s="1151"/>
      <c r="C90" s="278" t="str">
        <f t="shared" si="22"/>
        <v/>
      </c>
      <c r="D90" s="59"/>
      <c r="E90" s="646"/>
      <c r="F90" s="682"/>
      <c r="G90" s="32"/>
      <c r="H90" s="278" t="str">
        <f t="shared" si="23"/>
        <v/>
      </c>
      <c r="I90" s="59"/>
      <c r="J90" s="60"/>
      <c r="K90" s="169" t="s">
        <v>653</v>
      </c>
      <c r="L90" s="169" t="s">
        <v>627</v>
      </c>
    </row>
    <row r="91" spans="1:13" ht="17.100000000000001" hidden="1" customHeight="1" outlineLevel="1" thickTop="1" x14ac:dyDescent="0.3">
      <c r="A91" s="30"/>
      <c r="B91" s="1151"/>
      <c r="C91" s="278" t="str">
        <f t="shared" si="22"/>
        <v/>
      </c>
      <c r="D91" s="59"/>
      <c r="E91" s="646"/>
      <c r="F91" s="682"/>
      <c r="G91" s="32"/>
      <c r="H91" s="278" t="str">
        <f t="shared" si="23"/>
        <v/>
      </c>
      <c r="I91" s="59"/>
      <c r="J91" s="60"/>
      <c r="K91" s="275">
        <f>IF(AND(K39=0,K65=0),MAX(K92-$A$24+1,0),0)</f>
        <v>0</v>
      </c>
      <c r="L91" s="276">
        <f>IFERROR(MAX(D18*0.0005*K91,0),0)</f>
        <v>0</v>
      </c>
    </row>
    <row r="92" spans="1:13" ht="17.100000000000001" hidden="1" customHeight="1" outlineLevel="1" x14ac:dyDescent="0.3">
      <c r="A92" s="30"/>
      <c r="B92" s="1151"/>
      <c r="C92" s="278" t="str">
        <f t="shared" si="22"/>
        <v/>
      </c>
      <c r="D92" s="59"/>
      <c r="E92" s="646"/>
      <c r="F92" s="682"/>
      <c r="G92" s="32"/>
      <c r="H92" s="278" t="str">
        <f t="shared" si="23"/>
        <v/>
      </c>
      <c r="I92" s="59"/>
      <c r="J92" s="60"/>
      <c r="K92" s="408">
        <f>MIN(C75,H75,M77)</f>
        <v>0</v>
      </c>
      <c r="L92" s="277" t="str">
        <f>SUBSTITUTE(TEXT(L91,"# ##0\ рублей ,00\ копеек"),",",)</f>
        <v>0 рублей 00 копеек</v>
      </c>
    </row>
    <row r="93" spans="1:13" ht="17.100000000000001" hidden="1" customHeight="1" outlineLevel="1" x14ac:dyDescent="0.3">
      <c r="A93" s="30"/>
      <c r="B93" s="1151"/>
      <c r="C93" s="278" t="str">
        <f t="shared" si="22"/>
        <v/>
      </c>
      <c r="D93" s="59"/>
      <c r="E93" s="646"/>
      <c r="F93" s="682"/>
      <c r="G93" s="32"/>
      <c r="H93" s="278" t="str">
        <f t="shared" si="23"/>
        <v/>
      </c>
      <c r="I93" s="59"/>
      <c r="J93" s="60"/>
      <c r="K93" s="103"/>
      <c r="L93" s="129"/>
    </row>
    <row r="94" spans="1:13" ht="17.100000000000001" hidden="1" customHeight="1" outlineLevel="1" x14ac:dyDescent="0.3">
      <c r="A94" s="30"/>
      <c r="B94" s="1151"/>
      <c r="C94" s="278" t="str">
        <f t="shared" si="22"/>
        <v/>
      </c>
      <c r="D94" s="59"/>
      <c r="E94" s="646"/>
      <c r="F94" s="682"/>
      <c r="G94" s="32"/>
      <c r="H94" s="278" t="str">
        <f t="shared" si="23"/>
        <v/>
      </c>
      <c r="I94" s="59"/>
      <c r="J94" s="60"/>
      <c r="K94" s="103"/>
      <c r="L94" s="129"/>
    </row>
    <row r="95" spans="1:13" ht="17.100000000000001" hidden="1" customHeight="1" outlineLevel="1" thickBot="1" x14ac:dyDescent="0.35">
      <c r="A95" s="30"/>
      <c r="B95" s="1151"/>
      <c r="C95" s="278" t="str">
        <f t="shared" si="22"/>
        <v/>
      </c>
      <c r="D95" s="36"/>
      <c r="E95" s="647"/>
      <c r="F95" s="682"/>
      <c r="G95" s="38"/>
      <c r="H95" s="278" t="str">
        <f t="shared" si="23"/>
        <v/>
      </c>
      <c r="I95" s="36"/>
      <c r="J95" s="37"/>
      <c r="K95" s="103"/>
      <c r="L95" s="129"/>
    </row>
    <row r="96" spans="1:13" ht="17.100000000000001" hidden="1" customHeight="1" outlineLevel="1" thickTop="1" thickBot="1" x14ac:dyDescent="0.35">
      <c r="A96" s="168" t="s">
        <v>45</v>
      </c>
      <c r="B96" s="205">
        <f>SUM(B86:B95)</f>
        <v>132622</v>
      </c>
      <c r="C96" s="279" t="str">
        <f>IF(B96=0,"",SUBSTITUTE(TEXT(B96,"# ##0\ рублей ,00\ копеек"),",",))</f>
        <v>132 622 рублей 00 копеек</v>
      </c>
      <c r="D96" s="47"/>
      <c r="E96" s="648"/>
      <c r="F96" s="721" t="s">
        <v>45</v>
      </c>
      <c r="G96" s="205">
        <f>SUM(G86:G95)</f>
        <v>0</v>
      </c>
      <c r="H96" s="279" t="str">
        <f>IF(G96=0,"",SUBSTITUTE(TEXT(G96,"# ##0\ рублей ,00\ копеек"),",",))</f>
        <v/>
      </c>
      <c r="I96" s="47"/>
      <c r="J96" s="48"/>
      <c r="K96" s="133"/>
      <c r="L96" s="134"/>
    </row>
    <row r="97" spans="1:14" ht="17.100000000000001" customHeight="1" collapsed="1" thickTop="1" thickBot="1" x14ac:dyDescent="0.35">
      <c r="A97" s="130"/>
      <c r="B97" s="634"/>
      <c r="C97" s="606"/>
      <c r="D97" s="606"/>
      <c r="E97" s="606"/>
      <c r="F97" s="606"/>
      <c r="G97" s="103"/>
      <c r="H97" s="103"/>
      <c r="I97" s="103"/>
      <c r="J97" s="103"/>
      <c r="K97" s="103"/>
      <c r="L97" s="103"/>
    </row>
    <row r="98" spans="1:14" ht="17.100000000000001" customHeight="1" thickTop="1" thickBot="1" x14ac:dyDescent="0.35">
      <c r="A98" s="1415" t="s">
        <v>633</v>
      </c>
      <c r="B98" s="1416"/>
      <c r="C98" s="1416"/>
      <c r="D98" s="1416"/>
      <c r="E98" s="1416"/>
      <c r="F98" s="1416"/>
      <c r="G98" s="1416"/>
      <c r="H98" s="1416"/>
      <c r="I98" s="1416"/>
      <c r="J98" s="1416"/>
      <c r="K98" s="1416"/>
      <c r="L98" s="1416"/>
      <c r="M98" s="1416"/>
      <c r="N98" s="1417"/>
    </row>
    <row r="99" spans="1:14" ht="17.100000000000001" hidden="1" customHeight="1" outlineLevel="1" thickTop="1" thickBot="1" x14ac:dyDescent="0.35">
      <c r="A99" s="1371" t="s">
        <v>144</v>
      </c>
      <c r="B99" s="1373"/>
      <c r="C99" s="1410" t="s">
        <v>593</v>
      </c>
      <c r="D99" s="1411"/>
      <c r="E99" s="1412"/>
      <c r="F99" s="1376" t="s">
        <v>610</v>
      </c>
      <c r="G99" s="1378"/>
      <c r="H99" s="1376" t="s">
        <v>594</v>
      </c>
      <c r="I99" s="1378"/>
      <c r="J99" s="1376" t="s">
        <v>581</v>
      </c>
      <c r="K99" s="1377"/>
      <c r="L99" s="1377"/>
      <c r="M99" s="1377"/>
      <c r="N99" s="1378"/>
    </row>
    <row r="100" spans="1:14" ht="17.100000000000001" hidden="1" customHeight="1" outlineLevel="1" thickTop="1" thickBot="1" x14ac:dyDescent="0.35">
      <c r="A100" s="169" t="s">
        <v>5</v>
      </c>
      <c r="B100" s="663" t="s">
        <v>605</v>
      </c>
      <c r="C100" s="169" t="s">
        <v>5</v>
      </c>
      <c r="D100" s="169" t="s">
        <v>4</v>
      </c>
      <c r="E100" s="716" t="s">
        <v>595</v>
      </c>
      <c r="F100" s="716" t="s">
        <v>5</v>
      </c>
      <c r="G100" s="169" t="s">
        <v>599</v>
      </c>
      <c r="H100" s="169" t="s">
        <v>5</v>
      </c>
      <c r="I100" s="169" t="s">
        <v>596</v>
      </c>
      <c r="J100" s="169" t="s">
        <v>5</v>
      </c>
      <c r="K100" s="169" t="s">
        <v>4</v>
      </c>
      <c r="L100" s="169" t="s">
        <v>597</v>
      </c>
      <c r="M100" s="169" t="s">
        <v>661</v>
      </c>
      <c r="N100" s="169" t="s">
        <v>659</v>
      </c>
    </row>
    <row r="101" spans="1:14" ht="17.100000000000001" hidden="1" customHeight="1" outlineLevel="1" thickTop="1" thickBot="1" x14ac:dyDescent="0.35">
      <c r="A101" s="173"/>
      <c r="B101" s="667"/>
      <c r="C101" s="23">
        <v>43958</v>
      </c>
      <c r="D101" s="178" t="s">
        <v>9027</v>
      </c>
      <c r="E101" s="643" t="s">
        <v>663</v>
      </c>
      <c r="F101" s="679"/>
      <c r="G101" s="178"/>
      <c r="H101" s="23"/>
      <c r="I101" s="178"/>
      <c r="J101" s="23"/>
      <c r="K101" s="178"/>
      <c r="L101" s="177"/>
      <c r="M101" s="178"/>
      <c r="N101" s="179"/>
    </row>
    <row r="102" spans="1:14" ht="17.100000000000001" hidden="1" customHeight="1" outlineLevel="1" thickTop="1" thickBot="1" x14ac:dyDescent="0.35">
      <c r="A102" s="282">
        <f>IF(WEEKDAY(WORKDAY.INTL(A101,30,"0000000"),2)=6,WORKDAY.INTL(A101,30,"0000000")+2,IF(WEEKDAY(WORKDAY.INTL(A101,30,"0000000"),2)=7,WORKDAY.INTL(A101,30,"0000000")+1,WORKDAY.INTL(A101,30,"0000000")))</f>
        <v>30</v>
      </c>
      <c r="C102" s="103"/>
      <c r="D102" s="300" t="str">
        <f>IF(WEEKDAY(WORKDAY.INTL(A101,20,"0000000",DRAFT!X80:X203),2)=6,"СБТ",IF(WEEKDAY(WORKDAY.INTL(A101,20,"0000000",DRAFT!X80:X203),2)=7,"ВКС",""))</f>
        <v/>
      </c>
      <c r="E102" s="649"/>
      <c r="F102" s="649"/>
      <c r="G102" s="103"/>
      <c r="H102" s="103"/>
      <c r="I102" s="103"/>
      <c r="J102" s="103"/>
      <c r="K102" s="103"/>
      <c r="L102" s="129"/>
      <c r="M102" s="394" t="s">
        <v>5208</v>
      </c>
    </row>
    <row r="103" spans="1:14" ht="17.100000000000001" hidden="1" customHeight="1" outlineLevel="1" thickTop="1" thickBot="1" x14ac:dyDescent="0.35">
      <c r="A103" s="1410" t="s">
        <v>629</v>
      </c>
      <c r="B103" s="1411"/>
      <c r="C103" s="1411"/>
      <c r="D103" s="1411"/>
      <c r="E103" s="1411"/>
      <c r="F103" s="1411"/>
      <c r="G103" s="1411"/>
      <c r="H103" s="1412"/>
      <c r="I103" s="1410" t="s">
        <v>630</v>
      </c>
      <c r="J103" s="1411"/>
      <c r="K103" s="1411"/>
      <c r="L103" s="1412"/>
      <c r="M103" s="23"/>
    </row>
    <row r="104" spans="1:14" ht="17.100000000000001" hidden="1" customHeight="1" outlineLevel="1" thickTop="1" thickBot="1" x14ac:dyDescent="0.35">
      <c r="A104" s="169" t="s">
        <v>5</v>
      </c>
      <c r="B104" s="663" t="s">
        <v>4</v>
      </c>
      <c r="C104" s="180" t="s">
        <v>599</v>
      </c>
      <c r="D104" s="180" t="s">
        <v>600</v>
      </c>
      <c r="E104" s="720" t="s">
        <v>601</v>
      </c>
      <c r="F104" s="720" t="s">
        <v>602</v>
      </c>
      <c r="G104" s="180" t="s">
        <v>603</v>
      </c>
      <c r="H104" s="180" t="s">
        <v>611</v>
      </c>
      <c r="I104" s="169" t="s">
        <v>5</v>
      </c>
      <c r="J104" s="169" t="s">
        <v>4</v>
      </c>
      <c r="K104" s="180" t="s">
        <v>599</v>
      </c>
      <c r="L104" s="180" t="s">
        <v>604</v>
      </c>
    </row>
    <row r="105" spans="1:14" ht="17.100000000000001" hidden="1" customHeight="1" outlineLevel="1" thickTop="1" x14ac:dyDescent="0.3">
      <c r="A105" s="184">
        <v>43955</v>
      </c>
      <c r="B105" s="1150" t="s">
        <v>9026</v>
      </c>
      <c r="C105" s="162" t="s">
        <v>9020</v>
      </c>
      <c r="D105" s="181">
        <v>231900</v>
      </c>
      <c r="E105" s="644">
        <v>156400</v>
      </c>
      <c r="F105" s="644"/>
      <c r="G105" s="181"/>
      <c r="H105" s="182"/>
      <c r="I105" s="23"/>
      <c r="J105" s="178"/>
      <c r="K105" s="178"/>
      <c r="L105" s="183"/>
      <c r="M105" s="240">
        <f>F105-G105</f>
        <v>0</v>
      </c>
    </row>
    <row r="106" spans="1:14" ht="17.100000000000001" hidden="1" customHeight="1" outlineLevel="1" thickBot="1" x14ac:dyDescent="0.35">
      <c r="A106" s="130"/>
      <c r="C106" s="103"/>
      <c r="D106" s="239" t="str">
        <f>SUBSTITUTE(TEXT(D105,"# ##0\ рублей ,00\ копеек"),",",)</f>
        <v>231 900 рублей 00 копеек</v>
      </c>
      <c r="E106" s="645" t="str">
        <f>SUBSTITUTE(TEXT(E105,"# ##0\ рублей ,00\ копеек"),",",)</f>
        <v>156 400 рублей 00 копеек</v>
      </c>
      <c r="F106" s="645" t="str">
        <f>SUBSTITUTE(TEXT(F105,"# ##0\ рублей ,00\ копеек"),",",)</f>
        <v>0 рублей 00 копеек</v>
      </c>
      <c r="G106" s="239" t="str">
        <f>SUBSTITUTE(TEXT(G105,"# ##0\ рублей ,00\ копеек"),",",)</f>
        <v>0 рублей 00 копеек</v>
      </c>
      <c r="H106" s="103"/>
      <c r="I106" s="103"/>
      <c r="J106" s="103"/>
      <c r="K106" s="103"/>
      <c r="L106" s="239" t="str">
        <f>SUBSTITUTE(TEXT(L105,"# ##0\ рублей ,00\ копеек"),",",)</f>
        <v>0 рублей 00 копеек</v>
      </c>
      <c r="M106" s="239" t="str">
        <f>SUBSTITUTE(TEXT(M105,"# ##0\ рублей ,00\ копеек"),",",)</f>
        <v>0 рублей 00 копеек</v>
      </c>
    </row>
    <row r="107" spans="1:14" ht="17.100000000000001" hidden="1" customHeight="1" outlineLevel="1" thickTop="1" thickBot="1" x14ac:dyDescent="0.35">
      <c r="A107" s="1418" t="s">
        <v>613</v>
      </c>
      <c r="B107" s="1419"/>
      <c r="C107" s="1419"/>
      <c r="D107" s="1419"/>
      <c r="E107" s="1419"/>
      <c r="F107" s="1419"/>
      <c r="G107" s="1419"/>
      <c r="H107" s="1420"/>
      <c r="I107" s="1418" t="s">
        <v>614</v>
      </c>
      <c r="J107" s="1419"/>
      <c r="K107" s="1419"/>
      <c r="L107" s="1420"/>
    </row>
    <row r="108" spans="1:14" ht="17.100000000000001" hidden="1" customHeight="1" outlineLevel="1" thickTop="1" thickBot="1" x14ac:dyDescent="0.35">
      <c r="A108" s="169" t="s">
        <v>5</v>
      </c>
      <c r="B108" s="663" t="s">
        <v>4</v>
      </c>
      <c r="C108" s="180" t="s">
        <v>599</v>
      </c>
      <c r="D108" s="180" t="s">
        <v>600</v>
      </c>
      <c r="E108" s="720" t="s">
        <v>601</v>
      </c>
      <c r="F108" s="720" t="s">
        <v>602</v>
      </c>
      <c r="G108" s="180" t="s">
        <v>603</v>
      </c>
      <c r="H108" s="180" t="s">
        <v>611</v>
      </c>
      <c r="I108" s="169" t="s">
        <v>5</v>
      </c>
      <c r="J108" s="169" t="s">
        <v>4</v>
      </c>
      <c r="K108" s="180" t="s">
        <v>599</v>
      </c>
      <c r="L108" s="180" t="s">
        <v>604</v>
      </c>
    </row>
    <row r="109" spans="1:14" ht="17.100000000000001" hidden="1" customHeight="1" outlineLevel="1" thickTop="1" x14ac:dyDescent="0.3">
      <c r="A109" s="184"/>
      <c r="B109" s="1150"/>
      <c r="C109" s="162"/>
      <c r="D109" s="181"/>
      <c r="E109" s="644"/>
      <c r="F109" s="644"/>
      <c r="G109" s="181"/>
      <c r="H109" s="182"/>
      <c r="I109" s="23"/>
      <c r="J109" s="178"/>
      <c r="K109" s="178"/>
      <c r="L109" s="183"/>
      <c r="M109" s="240">
        <f>F109-G109</f>
        <v>0</v>
      </c>
    </row>
    <row r="110" spans="1:14" ht="17.100000000000001" hidden="1" customHeight="1" outlineLevel="1" thickBot="1" x14ac:dyDescent="0.35">
      <c r="A110" s="130"/>
      <c r="C110" s="103"/>
      <c r="D110" s="239" t="str">
        <f>SUBSTITUTE(TEXT(D109,"# ##0\ рублей ,00\ копеек"),",",)</f>
        <v>0 рублей 00 копеек</v>
      </c>
      <c r="E110" s="645" t="str">
        <f>SUBSTITUTE(TEXT(E109,"# ##0\ рублей ,00\ копеек"),",",)</f>
        <v>0 рублей 00 копеек</v>
      </c>
      <c r="F110" s="645" t="str">
        <f>SUBSTITUTE(TEXT(F109,"# ##0\ рублей ,00\ копеек"),",",)</f>
        <v>0 рублей 00 копеек</v>
      </c>
      <c r="G110" s="239" t="str">
        <f>SUBSTITUTE(TEXT(G109,"# ##0\ рублей ,00\ копеек"),",",)</f>
        <v>0 рублей 00 копеек</v>
      </c>
      <c r="H110" s="103"/>
      <c r="I110" s="103"/>
      <c r="J110" s="103"/>
      <c r="K110" s="103"/>
      <c r="L110" s="239" t="str">
        <f>SUBSTITUTE(TEXT(L109,"# ##0\ рублей ,00\ копеек"),",",)</f>
        <v>0 рублей 00 копеек</v>
      </c>
      <c r="M110" s="239" t="str">
        <f>SUBSTITUTE(TEXT(M109,"# ##0\ рублей ,00\ копеек"),",",)</f>
        <v>0 рублей 00 копеек</v>
      </c>
    </row>
    <row r="111" spans="1:14" ht="17.100000000000001" hidden="1" customHeight="1" outlineLevel="1" thickTop="1" thickBot="1" x14ac:dyDescent="0.35">
      <c r="A111" s="1403" t="s">
        <v>1</v>
      </c>
      <c r="B111" s="1409"/>
      <c r="C111" s="1404"/>
      <c r="D111" s="169" t="s">
        <v>43</v>
      </c>
      <c r="E111" s="716" t="s">
        <v>44</v>
      </c>
      <c r="F111" s="1403" t="s">
        <v>612</v>
      </c>
      <c r="G111" s="1409"/>
      <c r="H111" s="1404"/>
      <c r="I111" s="169" t="s">
        <v>43</v>
      </c>
      <c r="J111" s="169" t="s">
        <v>44</v>
      </c>
      <c r="K111" s="1403" t="s">
        <v>456</v>
      </c>
      <c r="L111" s="1404"/>
    </row>
    <row r="112" spans="1:14" ht="17.100000000000001" hidden="1" customHeight="1" outlineLevel="1" thickTop="1" thickBot="1" x14ac:dyDescent="0.35">
      <c r="A112" s="30"/>
      <c r="C112" s="278" t="str">
        <f>IF(ISBLANK(B112),"",SUBSTITUTE(TEXT(B112,"# ##0\ рублей ,00\ копеек"),",",))</f>
        <v/>
      </c>
      <c r="D112" s="59"/>
      <c r="E112" s="646"/>
      <c r="F112" s="682"/>
      <c r="G112" s="26"/>
      <c r="H112" s="278" t="str">
        <f>IF(ISBLANK(G112),"",SUBSTITUTE(TEXT(G112,"# ##0\ рублей ,00\ копеек"),",",))</f>
        <v/>
      </c>
      <c r="I112" s="59"/>
      <c r="J112" s="60"/>
      <c r="K112" s="169" t="s">
        <v>653</v>
      </c>
      <c r="L112" s="169" t="s">
        <v>627</v>
      </c>
    </row>
    <row r="113" spans="1:14" ht="17.100000000000001" hidden="1" customHeight="1" outlineLevel="1" thickTop="1" x14ac:dyDescent="0.3">
      <c r="A113" s="375"/>
      <c r="C113" s="278" t="str">
        <f>IF(ISBLANK(B113),"",SUBSTITUTE(TEXT(B113,"# ##0\ рублей ,00\ копеек"),",",))</f>
        <v/>
      </c>
      <c r="D113" s="59"/>
      <c r="E113" s="646"/>
      <c r="F113" s="682"/>
      <c r="G113" s="31"/>
      <c r="H113" s="278" t="str">
        <f>IF(ISBLANK(G113),"",SUBSTITUTE(TEXT(G113,"# ##0\ рублей ,00\ копеек"),",",))</f>
        <v/>
      </c>
      <c r="I113" s="59"/>
      <c r="J113" s="60"/>
      <c r="K113" s="275">
        <f>MAX(H101-$A$24+1,0)</f>
        <v>0</v>
      </c>
      <c r="L113" s="276">
        <f>MAX(G112*K113*0.01,0)</f>
        <v>0</v>
      </c>
    </row>
    <row r="114" spans="1:14" ht="17.100000000000001" hidden="1" customHeight="1" outlineLevel="1" thickBot="1" x14ac:dyDescent="0.35">
      <c r="A114" s="375"/>
      <c r="C114" s="278" t="str">
        <f t="shared" ref="C114:C121" si="24">IF(ISBLANK(B114),"",SUBSTITUTE(TEXT(B114,"# ##0\ рублей ,00\ копеек"),",",))</f>
        <v/>
      </c>
      <c r="D114" s="59"/>
      <c r="E114" s="646"/>
      <c r="F114" s="682"/>
      <c r="G114" s="31"/>
      <c r="H114" s="278" t="str">
        <f t="shared" ref="H114:H121" si="25">IF(ISBLANK(G114),"",SUBSTITUTE(TEXT(G114,"# ##0\ рублей ,00\ копеек"),",",))</f>
        <v/>
      </c>
      <c r="I114" s="59"/>
      <c r="J114" s="60"/>
      <c r="K114" s="51"/>
      <c r="L114" s="277" t="str">
        <f>SUBSTITUTE(TEXT(L113,"# ##0\ рублей ,00\ копеек"),",",)</f>
        <v>0 рублей 00 копеек</v>
      </c>
      <c r="M114" s="49" t="s">
        <v>149</v>
      </c>
    </row>
    <row r="115" spans="1:14" ht="17.100000000000001" hidden="1" customHeight="1" outlineLevel="1" thickTop="1" thickBot="1" x14ac:dyDescent="0.35">
      <c r="A115" s="30"/>
      <c r="C115" s="278" t="str">
        <f t="shared" si="24"/>
        <v/>
      </c>
      <c r="D115" s="59"/>
      <c r="E115" s="646"/>
      <c r="F115" s="682"/>
      <c r="G115" s="32"/>
      <c r="H115" s="278" t="str">
        <f t="shared" si="25"/>
        <v/>
      </c>
      <c r="I115" s="59"/>
      <c r="J115" s="60"/>
      <c r="K115" s="1403" t="s">
        <v>78</v>
      </c>
      <c r="L115" s="1404"/>
    </row>
    <row r="116" spans="1:14" ht="17.100000000000001" hidden="1" customHeight="1" outlineLevel="1" thickTop="1" thickBot="1" x14ac:dyDescent="0.35">
      <c r="A116" s="30"/>
      <c r="C116" s="278" t="str">
        <f t="shared" si="24"/>
        <v/>
      </c>
      <c r="D116" s="59"/>
      <c r="E116" s="646"/>
      <c r="F116" s="682"/>
      <c r="G116" s="32"/>
      <c r="H116" s="278" t="str">
        <f t="shared" si="25"/>
        <v/>
      </c>
      <c r="I116" s="59"/>
      <c r="J116" s="60"/>
      <c r="K116" s="169" t="s">
        <v>653</v>
      </c>
      <c r="L116" s="169" t="s">
        <v>627</v>
      </c>
    </row>
    <row r="117" spans="1:14" ht="17.100000000000001" hidden="1" customHeight="1" outlineLevel="1" thickTop="1" x14ac:dyDescent="0.3">
      <c r="A117" s="30"/>
      <c r="C117" s="278" t="str">
        <f t="shared" si="24"/>
        <v/>
      </c>
      <c r="D117" s="59"/>
      <c r="E117" s="646"/>
      <c r="F117" s="682"/>
      <c r="G117" s="32"/>
      <c r="H117" s="278" t="str">
        <f t="shared" si="25"/>
        <v/>
      </c>
      <c r="I117" s="59"/>
      <c r="J117" s="60"/>
      <c r="K117" s="275">
        <f>IF(AND(K39=0,K65=0,K91=0),MAX(K118-$A$24+1,0),0)</f>
        <v>0</v>
      </c>
      <c r="L117" s="276">
        <f>IFERROR(MAX(D18*0.0005*K117,0),0)</f>
        <v>0</v>
      </c>
    </row>
    <row r="118" spans="1:14" ht="17.100000000000001" hidden="1" customHeight="1" outlineLevel="1" x14ac:dyDescent="0.3">
      <c r="A118" s="30"/>
      <c r="C118" s="278" t="str">
        <f t="shared" si="24"/>
        <v/>
      </c>
      <c r="D118" s="59"/>
      <c r="E118" s="646"/>
      <c r="F118" s="682"/>
      <c r="G118" s="32"/>
      <c r="H118" s="278" t="str">
        <f t="shared" si="25"/>
        <v/>
      </c>
      <c r="I118" s="59"/>
      <c r="J118" s="60"/>
      <c r="K118" s="408">
        <f>MIN(C101,H101,M103)</f>
        <v>43958</v>
      </c>
      <c r="L118" s="277" t="str">
        <f>SUBSTITUTE(TEXT(L117,"# ##0\ рублей ,00\ копеек"),",",)</f>
        <v>0 рублей 00 копеек</v>
      </c>
    </row>
    <row r="119" spans="1:14" ht="17.100000000000001" hidden="1" customHeight="1" outlineLevel="1" x14ac:dyDescent="0.3">
      <c r="A119" s="30"/>
      <c r="C119" s="278" t="str">
        <f t="shared" si="24"/>
        <v/>
      </c>
      <c r="D119" s="59"/>
      <c r="E119" s="646"/>
      <c r="F119" s="682"/>
      <c r="G119" s="32"/>
      <c r="H119" s="278" t="str">
        <f t="shared" si="25"/>
        <v/>
      </c>
      <c r="I119" s="59"/>
      <c r="J119" s="60"/>
      <c r="K119" s="103"/>
      <c r="L119" s="129"/>
    </row>
    <row r="120" spans="1:14" ht="17.100000000000001" hidden="1" customHeight="1" outlineLevel="1" x14ac:dyDescent="0.3">
      <c r="A120" s="30"/>
      <c r="C120" s="278" t="str">
        <f t="shared" si="24"/>
        <v/>
      </c>
      <c r="D120" s="59"/>
      <c r="E120" s="646"/>
      <c r="F120" s="682"/>
      <c r="G120" s="32"/>
      <c r="H120" s="278" t="str">
        <f t="shared" si="25"/>
        <v/>
      </c>
      <c r="I120" s="59"/>
      <c r="J120" s="60"/>
      <c r="K120" s="103"/>
      <c r="L120" s="129"/>
    </row>
    <row r="121" spans="1:14" ht="17.100000000000001" hidden="1" customHeight="1" outlineLevel="1" thickBot="1" x14ac:dyDescent="0.35">
      <c r="A121" s="30"/>
      <c r="C121" s="278" t="str">
        <f t="shared" si="24"/>
        <v/>
      </c>
      <c r="D121" s="36"/>
      <c r="E121" s="647"/>
      <c r="F121" s="682"/>
      <c r="G121" s="38"/>
      <c r="H121" s="278" t="str">
        <f t="shared" si="25"/>
        <v/>
      </c>
      <c r="I121" s="36"/>
      <c r="J121" s="37"/>
      <c r="K121" s="103"/>
      <c r="L121" s="129"/>
    </row>
    <row r="122" spans="1:14" ht="17.100000000000001" hidden="1" customHeight="1" outlineLevel="1" thickTop="1" thickBot="1" x14ac:dyDescent="0.35">
      <c r="A122" s="168" t="s">
        <v>45</v>
      </c>
      <c r="B122" s="205">
        <f>SUM(B112:B121)</f>
        <v>0</v>
      </c>
      <c r="C122" s="279" t="str">
        <f>IF(B122=0,"",SUBSTITUTE(TEXT(B122,"# ##0\ рублей ,00\ копеек"),",",))</f>
        <v/>
      </c>
      <c r="D122" s="47"/>
      <c r="E122" s="648"/>
      <c r="F122" s="721" t="s">
        <v>45</v>
      </c>
      <c r="G122" s="205">
        <f>SUM(G112:G121)</f>
        <v>0</v>
      </c>
      <c r="H122" s="279" t="str">
        <f>IF(G122=0,"",SUBSTITUTE(TEXT(G122,"# ##0\ рублей ,00\ копеек"),",",))</f>
        <v/>
      </c>
      <c r="I122" s="47"/>
      <c r="J122" s="48"/>
      <c r="K122" s="133"/>
      <c r="L122" s="134"/>
    </row>
    <row r="123" spans="1:14" ht="17.100000000000001" customHeight="1" collapsed="1" thickTop="1" thickBot="1" x14ac:dyDescent="0.35">
      <c r="A123" s="130"/>
      <c r="B123" s="634"/>
      <c r="C123" s="606"/>
      <c r="D123" s="606"/>
      <c r="E123" s="606"/>
      <c r="F123" s="606"/>
      <c r="G123" s="103"/>
      <c r="H123" s="103"/>
      <c r="I123" s="103"/>
      <c r="J123" s="103"/>
      <c r="K123" s="103"/>
      <c r="L123" s="103"/>
    </row>
    <row r="124" spans="1:14" ht="17.100000000000001" customHeight="1" thickTop="1" thickBot="1" x14ac:dyDescent="0.35">
      <c r="A124" s="1415" t="s">
        <v>634</v>
      </c>
      <c r="B124" s="1416"/>
      <c r="C124" s="1416"/>
      <c r="D124" s="1416"/>
      <c r="E124" s="1416"/>
      <c r="F124" s="1416"/>
      <c r="G124" s="1416"/>
      <c r="H124" s="1416"/>
      <c r="I124" s="1416"/>
      <c r="J124" s="1416"/>
      <c r="K124" s="1416"/>
      <c r="L124" s="1416"/>
      <c r="M124" s="1416"/>
      <c r="N124" s="1417"/>
    </row>
    <row r="125" spans="1:14" ht="17.100000000000001" hidden="1" customHeight="1" outlineLevel="1" thickTop="1" thickBot="1" x14ac:dyDescent="0.35">
      <c r="A125" s="1371" t="s">
        <v>144</v>
      </c>
      <c r="B125" s="1373"/>
      <c r="C125" s="1410" t="s">
        <v>593</v>
      </c>
      <c r="D125" s="1411"/>
      <c r="E125" s="1412"/>
      <c r="F125" s="1376" t="s">
        <v>610</v>
      </c>
      <c r="G125" s="1378"/>
      <c r="H125" s="1376" t="s">
        <v>594</v>
      </c>
      <c r="I125" s="1378"/>
      <c r="J125" s="1376" t="s">
        <v>581</v>
      </c>
      <c r="K125" s="1377"/>
      <c r="L125" s="1377"/>
      <c r="M125" s="1377"/>
      <c r="N125" s="1378"/>
    </row>
    <row r="126" spans="1:14" ht="17.100000000000001" hidden="1" customHeight="1" outlineLevel="1" thickTop="1" thickBot="1" x14ac:dyDescent="0.35">
      <c r="A126" s="169" t="s">
        <v>5</v>
      </c>
      <c r="B126" s="663" t="s">
        <v>605</v>
      </c>
      <c r="C126" s="169" t="s">
        <v>5</v>
      </c>
      <c r="D126" s="169" t="s">
        <v>4</v>
      </c>
      <c r="E126" s="716" t="s">
        <v>595</v>
      </c>
      <c r="F126" s="716" t="s">
        <v>5</v>
      </c>
      <c r="G126" s="169" t="s">
        <v>599</v>
      </c>
      <c r="H126" s="169" t="s">
        <v>5</v>
      </c>
      <c r="I126" s="169" t="s">
        <v>596</v>
      </c>
      <c r="J126" s="169" t="s">
        <v>5</v>
      </c>
      <c r="K126" s="169" t="s">
        <v>4</v>
      </c>
      <c r="L126" s="169" t="s">
        <v>597</v>
      </c>
      <c r="M126" s="169" t="s">
        <v>661</v>
      </c>
      <c r="N126" s="169" t="s">
        <v>659</v>
      </c>
    </row>
    <row r="127" spans="1:14" ht="17.100000000000001" hidden="1" customHeight="1" outlineLevel="1" thickTop="1" thickBot="1" x14ac:dyDescent="0.35">
      <c r="A127" s="173"/>
      <c r="B127" s="667"/>
      <c r="C127" s="23"/>
      <c r="D127" s="178"/>
      <c r="E127" s="643"/>
      <c r="F127" s="679"/>
      <c r="G127" s="178"/>
      <c r="H127" s="23"/>
      <c r="I127" s="178"/>
      <c r="J127" s="23"/>
      <c r="K127" s="178"/>
      <c r="L127" s="177"/>
      <c r="M127" s="178"/>
      <c r="N127" s="179"/>
    </row>
    <row r="128" spans="1:14" ht="17.100000000000001" hidden="1" customHeight="1" outlineLevel="1" thickTop="1" thickBot="1" x14ac:dyDescent="0.35">
      <c r="A128" s="282">
        <f>IF(WEEKDAY(WORKDAY.INTL(A127,30,"0000000"),2)=6,WORKDAY.INTL(A127,30,"0000000")+2,IF(WEEKDAY(WORKDAY.INTL(A127,30,"0000000"),2)=7,WORKDAY.INTL(A127,30,"0000000")+1,WORKDAY.INTL(A127,30,"0000000")))</f>
        <v>30</v>
      </c>
      <c r="C128" s="103"/>
      <c r="D128" s="300" t="str">
        <f>IF(WEEKDAY(WORKDAY.INTL(A127,20,"0000000",DRAFT!X146:X229),2)=6,"СБТ",IF(WEEKDAY(WORKDAY.INTL(A127,20,"0000000",DRAFT!X146:X229),2)=7,"ВКС",""))</f>
        <v/>
      </c>
      <c r="E128" s="649"/>
      <c r="F128" s="649"/>
      <c r="G128" s="103"/>
      <c r="H128" s="103"/>
      <c r="I128" s="103"/>
      <c r="J128" s="103"/>
      <c r="K128" s="103"/>
      <c r="L128" s="129"/>
      <c r="M128" s="394" t="s">
        <v>5208</v>
      </c>
    </row>
    <row r="129" spans="1:13" ht="17.100000000000001" hidden="1" customHeight="1" outlineLevel="1" thickTop="1" thickBot="1" x14ac:dyDescent="0.35">
      <c r="A129" s="1410" t="s">
        <v>629</v>
      </c>
      <c r="B129" s="1411"/>
      <c r="C129" s="1411"/>
      <c r="D129" s="1411"/>
      <c r="E129" s="1411"/>
      <c r="F129" s="1411"/>
      <c r="G129" s="1411"/>
      <c r="H129" s="1412"/>
      <c r="I129" s="1410" t="s">
        <v>630</v>
      </c>
      <c r="J129" s="1411"/>
      <c r="K129" s="1411"/>
      <c r="L129" s="1412"/>
      <c r="M129" s="23"/>
    </row>
    <row r="130" spans="1:13" ht="17.100000000000001" hidden="1" customHeight="1" outlineLevel="1" thickTop="1" thickBot="1" x14ac:dyDescent="0.35">
      <c r="A130" s="169" t="s">
        <v>5</v>
      </c>
      <c r="B130" s="663" t="s">
        <v>4</v>
      </c>
      <c r="C130" s="180" t="s">
        <v>599</v>
      </c>
      <c r="D130" s="180" t="s">
        <v>600</v>
      </c>
      <c r="E130" s="720" t="s">
        <v>601</v>
      </c>
      <c r="F130" s="720" t="s">
        <v>602</v>
      </c>
      <c r="G130" s="180" t="s">
        <v>603</v>
      </c>
      <c r="H130" s="180" t="s">
        <v>611</v>
      </c>
      <c r="I130" s="169" t="s">
        <v>5</v>
      </c>
      <c r="J130" s="169" t="s">
        <v>4</v>
      </c>
      <c r="K130" s="180" t="s">
        <v>599</v>
      </c>
      <c r="L130" s="180" t="s">
        <v>604</v>
      </c>
    </row>
    <row r="131" spans="1:13" ht="17.100000000000001" hidden="1" customHeight="1" outlineLevel="1" thickTop="1" x14ac:dyDescent="0.3">
      <c r="A131" s="184"/>
      <c r="B131" s="667"/>
      <c r="C131" s="162"/>
      <c r="D131" s="181"/>
      <c r="E131" s="644"/>
      <c r="F131" s="644"/>
      <c r="G131" s="181"/>
      <c r="H131" s="182"/>
      <c r="I131" s="23"/>
      <c r="J131" s="178"/>
      <c r="K131" s="178"/>
      <c r="L131" s="183"/>
      <c r="M131" s="240">
        <f>F131-G131</f>
        <v>0</v>
      </c>
    </row>
    <row r="132" spans="1:13" ht="17.100000000000001" hidden="1" customHeight="1" outlineLevel="1" thickBot="1" x14ac:dyDescent="0.35">
      <c r="A132" s="130"/>
      <c r="C132" s="103"/>
      <c r="D132" s="239" t="str">
        <f>SUBSTITUTE(TEXT(D131,"# ##0\ рублей ,00\ копеек"),",",)</f>
        <v>0 рублей 00 копеек</v>
      </c>
      <c r="E132" s="645" t="str">
        <f>SUBSTITUTE(TEXT(E131,"# ##0\ рублей ,00\ копеек"),",",)</f>
        <v>0 рублей 00 копеек</v>
      </c>
      <c r="F132" s="645" t="str">
        <f>SUBSTITUTE(TEXT(F131,"# ##0\ рублей ,00\ копеек"),",",)</f>
        <v>0 рублей 00 копеек</v>
      </c>
      <c r="G132" s="239" t="str">
        <f>SUBSTITUTE(TEXT(G131,"# ##0\ рублей ,00\ копеек"),",",)</f>
        <v>0 рублей 00 копеек</v>
      </c>
      <c r="H132" s="103"/>
      <c r="I132" s="103"/>
      <c r="J132" s="103"/>
      <c r="K132" s="103"/>
      <c r="L132" s="239" t="str">
        <f>SUBSTITUTE(TEXT(L131,"# ##0\ рублей ,00\ копеек"),",",)</f>
        <v>0 рублей 00 копеек</v>
      </c>
      <c r="M132" s="239" t="str">
        <f>SUBSTITUTE(TEXT(M131,"# ##0\ рублей ,00\ копеек"),",",)</f>
        <v>0 рублей 00 копеек</v>
      </c>
    </row>
    <row r="133" spans="1:13" ht="17.100000000000001" hidden="1" customHeight="1" outlineLevel="1" thickTop="1" thickBot="1" x14ac:dyDescent="0.35">
      <c r="A133" s="1418" t="s">
        <v>613</v>
      </c>
      <c r="B133" s="1419"/>
      <c r="C133" s="1419"/>
      <c r="D133" s="1419"/>
      <c r="E133" s="1419"/>
      <c r="F133" s="1419"/>
      <c r="G133" s="1419"/>
      <c r="H133" s="1420"/>
      <c r="I133" s="1418" t="s">
        <v>614</v>
      </c>
      <c r="J133" s="1419"/>
      <c r="K133" s="1419"/>
      <c r="L133" s="1420"/>
    </row>
    <row r="134" spans="1:13" ht="17.100000000000001" hidden="1" customHeight="1" outlineLevel="1" thickTop="1" thickBot="1" x14ac:dyDescent="0.35">
      <c r="A134" s="169" t="s">
        <v>5</v>
      </c>
      <c r="B134" s="663" t="s">
        <v>4</v>
      </c>
      <c r="C134" s="180" t="s">
        <v>599</v>
      </c>
      <c r="D134" s="180" t="s">
        <v>600</v>
      </c>
      <c r="E134" s="720" t="s">
        <v>601</v>
      </c>
      <c r="F134" s="720" t="s">
        <v>602</v>
      </c>
      <c r="G134" s="180" t="s">
        <v>603</v>
      </c>
      <c r="H134" s="180" t="s">
        <v>611</v>
      </c>
      <c r="I134" s="169" t="s">
        <v>5</v>
      </c>
      <c r="J134" s="169" t="s">
        <v>4</v>
      </c>
      <c r="K134" s="180" t="s">
        <v>599</v>
      </c>
      <c r="L134" s="180" t="s">
        <v>604</v>
      </c>
    </row>
    <row r="135" spans="1:13" ht="17.100000000000001" hidden="1" customHeight="1" outlineLevel="1" thickTop="1" x14ac:dyDescent="0.3">
      <c r="A135" s="184"/>
      <c r="B135" s="667"/>
      <c r="C135" s="162"/>
      <c r="D135" s="181"/>
      <c r="E135" s="644"/>
      <c r="F135" s="644"/>
      <c r="G135" s="181"/>
      <c r="H135" s="182"/>
      <c r="I135" s="23"/>
      <c r="J135" s="178"/>
      <c r="K135" s="178"/>
      <c r="L135" s="183"/>
      <c r="M135" s="240">
        <f>F135-G135</f>
        <v>0</v>
      </c>
    </row>
    <row r="136" spans="1:13" ht="17.100000000000001" hidden="1" customHeight="1" outlineLevel="1" thickBot="1" x14ac:dyDescent="0.35">
      <c r="A136" s="130"/>
      <c r="C136" s="103"/>
      <c r="D136" s="239" t="str">
        <f>SUBSTITUTE(TEXT(D135,"# ##0\ рублей ,00\ копеек"),",",)</f>
        <v>0 рублей 00 копеек</v>
      </c>
      <c r="E136" s="645" t="str">
        <f>SUBSTITUTE(TEXT(E135,"# ##0\ рублей ,00\ копеек"),",",)</f>
        <v>0 рублей 00 копеек</v>
      </c>
      <c r="F136" s="645" t="str">
        <f>SUBSTITUTE(TEXT(F135,"# ##0\ рублей ,00\ копеек"),",",)</f>
        <v>0 рублей 00 копеек</v>
      </c>
      <c r="G136" s="239" t="str">
        <f>SUBSTITUTE(TEXT(G135,"# ##0\ рублей ,00\ копеек"),",",)</f>
        <v>0 рублей 00 копеек</v>
      </c>
      <c r="H136" s="103"/>
      <c r="I136" s="103"/>
      <c r="J136" s="103"/>
      <c r="K136" s="103"/>
      <c r="L136" s="239" t="str">
        <f>SUBSTITUTE(TEXT(L135,"# ##0\ рублей ,00\ копеек"),",",)</f>
        <v>0 рублей 00 копеек</v>
      </c>
      <c r="M136" s="239" t="str">
        <f>SUBSTITUTE(TEXT(M135,"# ##0\ рублей ,00\ копеек"),",",)</f>
        <v>0 рублей 00 копеек</v>
      </c>
    </row>
    <row r="137" spans="1:13" ht="17.100000000000001" hidden="1" customHeight="1" outlineLevel="1" thickTop="1" thickBot="1" x14ac:dyDescent="0.35">
      <c r="A137" s="1403" t="s">
        <v>1</v>
      </c>
      <c r="B137" s="1409"/>
      <c r="C137" s="1404"/>
      <c r="D137" s="169" t="s">
        <v>43</v>
      </c>
      <c r="E137" s="716" t="s">
        <v>44</v>
      </c>
      <c r="F137" s="1403" t="s">
        <v>612</v>
      </c>
      <c r="G137" s="1409"/>
      <c r="H137" s="1404"/>
      <c r="I137" s="169" t="s">
        <v>43</v>
      </c>
      <c r="J137" s="169" t="s">
        <v>44</v>
      </c>
      <c r="K137" s="1403" t="s">
        <v>456</v>
      </c>
      <c r="L137" s="1404"/>
    </row>
    <row r="138" spans="1:13" ht="17.100000000000001" hidden="1" customHeight="1" outlineLevel="1" thickTop="1" thickBot="1" x14ac:dyDescent="0.35">
      <c r="A138" s="30"/>
      <c r="C138" s="278" t="str">
        <f>IF(ISBLANK(B138),"",SUBSTITUTE(TEXT(B138,"# ##0\ рублей ,00\ копеек"),",",))</f>
        <v/>
      </c>
      <c r="D138" s="59"/>
      <c r="E138" s="646"/>
      <c r="F138" s="682"/>
      <c r="G138" s="26"/>
      <c r="H138" s="278" t="str">
        <f>IF(ISBLANK(G138),"",SUBSTITUTE(TEXT(G138,"# ##0\ рублей ,00\ копеек"),",",))</f>
        <v/>
      </c>
      <c r="I138" s="59"/>
      <c r="J138" s="60"/>
      <c r="K138" s="394" t="s">
        <v>653</v>
      </c>
      <c r="L138" s="394" t="s">
        <v>627</v>
      </c>
    </row>
    <row r="139" spans="1:13" ht="17.100000000000001" hidden="1" customHeight="1" outlineLevel="1" thickTop="1" x14ac:dyDescent="0.3">
      <c r="A139" s="30"/>
      <c r="C139" s="278" t="str">
        <f>IF(ISBLANK(B139),"",SUBSTITUTE(TEXT(B139,"# ##0\ рублей ,00\ копеек"),",",))</f>
        <v/>
      </c>
      <c r="D139" s="59"/>
      <c r="E139" s="646"/>
      <c r="F139" s="682"/>
      <c r="G139" s="31"/>
      <c r="H139" s="278" t="str">
        <f>IF(ISBLANK(G139),"",SUBSTITUTE(TEXT(G139,"# ##0\ рублей ,00\ копеек"),",",))</f>
        <v/>
      </c>
      <c r="I139" s="59"/>
      <c r="J139" s="60"/>
      <c r="K139" s="275">
        <f>MAX(H127-$A$24+1,0)</f>
        <v>0</v>
      </c>
      <c r="L139" s="276">
        <f>MAX(G138*K139*0.01,0)</f>
        <v>0</v>
      </c>
    </row>
    <row r="140" spans="1:13" ht="17.100000000000001" hidden="1" customHeight="1" outlineLevel="1" thickBot="1" x14ac:dyDescent="0.35">
      <c r="A140" s="30"/>
      <c r="C140" s="278" t="str">
        <f t="shared" ref="C140:C147" si="26">IF(ISBLANK(B140),"",SUBSTITUTE(TEXT(B140,"# ##0\ рублей ,00\ копеек"),",",))</f>
        <v/>
      </c>
      <c r="D140" s="59"/>
      <c r="E140" s="646"/>
      <c r="F140" s="682"/>
      <c r="G140" s="31"/>
      <c r="H140" s="278" t="str">
        <f t="shared" ref="H140:H147" si="27">IF(ISBLANK(G140),"",SUBSTITUTE(TEXT(G140,"# ##0\ рублей ,00\ копеек"),",",))</f>
        <v/>
      </c>
      <c r="I140" s="59"/>
      <c r="J140" s="60"/>
      <c r="K140" s="51"/>
      <c r="L140" s="277" t="str">
        <f>SUBSTITUTE(TEXT(L139,"# ##0\ рублей ,00\ копеек"),",",)</f>
        <v>0 рублей 00 копеек</v>
      </c>
      <c r="M140" s="49" t="s">
        <v>149</v>
      </c>
    </row>
    <row r="141" spans="1:13" ht="17.100000000000001" hidden="1" customHeight="1" outlineLevel="1" thickTop="1" thickBot="1" x14ac:dyDescent="0.35">
      <c r="A141" s="30"/>
      <c r="C141" s="278" t="str">
        <f t="shared" si="26"/>
        <v/>
      </c>
      <c r="D141" s="59"/>
      <c r="E141" s="646"/>
      <c r="F141" s="682"/>
      <c r="G141" s="32"/>
      <c r="H141" s="278" t="str">
        <f t="shared" si="27"/>
        <v/>
      </c>
      <c r="I141" s="59"/>
      <c r="J141" s="60"/>
      <c r="K141" s="1403" t="s">
        <v>78</v>
      </c>
      <c r="L141" s="1404"/>
    </row>
    <row r="142" spans="1:13" ht="17.100000000000001" hidden="1" customHeight="1" outlineLevel="1" thickTop="1" thickBot="1" x14ac:dyDescent="0.35">
      <c r="A142" s="30"/>
      <c r="C142" s="278" t="str">
        <f t="shared" si="26"/>
        <v/>
      </c>
      <c r="D142" s="59"/>
      <c r="E142" s="646"/>
      <c r="F142" s="682"/>
      <c r="G142" s="32"/>
      <c r="H142" s="278" t="str">
        <f t="shared" si="27"/>
        <v/>
      </c>
      <c r="I142" s="59"/>
      <c r="J142" s="60"/>
      <c r="K142" s="169" t="s">
        <v>653</v>
      </c>
      <c r="L142" s="169" t="s">
        <v>627</v>
      </c>
    </row>
    <row r="143" spans="1:13" ht="17.100000000000001" hidden="1" customHeight="1" outlineLevel="1" thickTop="1" x14ac:dyDescent="0.3">
      <c r="A143" s="30"/>
      <c r="C143" s="278" t="str">
        <f t="shared" si="26"/>
        <v/>
      </c>
      <c r="D143" s="59"/>
      <c r="E143" s="646"/>
      <c r="F143" s="682"/>
      <c r="G143" s="32"/>
      <c r="H143" s="278" t="str">
        <f t="shared" si="27"/>
        <v/>
      </c>
      <c r="I143" s="59"/>
      <c r="J143" s="60"/>
      <c r="K143" s="275">
        <f>IF(AND(K39=0,K65=0,K91=0,K117=0),MAX(K144-$A$24+1,0),0)</f>
        <v>0</v>
      </c>
      <c r="L143" s="276">
        <f>IFERROR(MAX(D18*0.0005*K143,0),0)</f>
        <v>0</v>
      </c>
    </row>
    <row r="144" spans="1:13" ht="17.100000000000001" hidden="1" customHeight="1" outlineLevel="1" x14ac:dyDescent="0.3">
      <c r="A144" s="30"/>
      <c r="C144" s="278" t="str">
        <f t="shared" si="26"/>
        <v/>
      </c>
      <c r="D144" s="59"/>
      <c r="E144" s="646"/>
      <c r="F144" s="682"/>
      <c r="G144" s="32"/>
      <c r="H144" s="278" t="str">
        <f t="shared" si="27"/>
        <v/>
      </c>
      <c r="I144" s="59"/>
      <c r="J144" s="60"/>
      <c r="K144" s="408">
        <f>MIN(C127,H127,M129)</f>
        <v>0</v>
      </c>
      <c r="L144" s="277" t="str">
        <f>SUBSTITUTE(TEXT(L143,"# ##0\ рублей ,00\ копеек"),",",)</f>
        <v>0 рублей 00 копеек</v>
      </c>
    </row>
    <row r="145" spans="1:14" ht="17.100000000000001" hidden="1" customHeight="1" outlineLevel="1" x14ac:dyDescent="0.3">
      <c r="A145" s="30"/>
      <c r="C145" s="278" t="str">
        <f t="shared" si="26"/>
        <v/>
      </c>
      <c r="D145" s="59"/>
      <c r="E145" s="646"/>
      <c r="F145" s="682"/>
      <c r="G145" s="32"/>
      <c r="H145" s="278" t="str">
        <f t="shared" si="27"/>
        <v/>
      </c>
      <c r="I145" s="59"/>
      <c r="J145" s="60"/>
      <c r="K145" s="103"/>
      <c r="L145" s="129"/>
    </row>
    <row r="146" spans="1:14" ht="17.100000000000001" hidden="1" customHeight="1" outlineLevel="1" x14ac:dyDescent="0.3">
      <c r="A146" s="30"/>
      <c r="C146" s="278" t="str">
        <f t="shared" si="26"/>
        <v/>
      </c>
      <c r="D146" s="59"/>
      <c r="E146" s="646"/>
      <c r="F146" s="682"/>
      <c r="G146" s="32"/>
      <c r="H146" s="278" t="str">
        <f t="shared" si="27"/>
        <v/>
      </c>
      <c r="I146" s="59"/>
      <c r="J146" s="60"/>
      <c r="K146" s="103"/>
      <c r="L146" s="129"/>
    </row>
    <row r="147" spans="1:14" ht="17.100000000000001" hidden="1" customHeight="1" outlineLevel="1" thickBot="1" x14ac:dyDescent="0.35">
      <c r="A147" s="30"/>
      <c r="C147" s="278" t="str">
        <f t="shared" si="26"/>
        <v/>
      </c>
      <c r="D147" s="36"/>
      <c r="E147" s="647"/>
      <c r="F147" s="682"/>
      <c r="G147" s="38"/>
      <c r="H147" s="278" t="str">
        <f t="shared" si="27"/>
        <v/>
      </c>
      <c r="I147" s="36"/>
      <c r="J147" s="37"/>
      <c r="K147" s="103"/>
      <c r="L147" s="129"/>
    </row>
    <row r="148" spans="1:14" ht="17.100000000000001" hidden="1" customHeight="1" outlineLevel="1" thickTop="1" thickBot="1" x14ac:dyDescent="0.35">
      <c r="A148" s="168" t="s">
        <v>45</v>
      </c>
      <c r="B148" s="205">
        <f>SUM(B138:B147)</f>
        <v>0</v>
      </c>
      <c r="C148" s="279" t="str">
        <f>IF(B148=0,"",SUBSTITUTE(TEXT(B148,"# ##0\ рублей ,00\ копеек"),",",))</f>
        <v/>
      </c>
      <c r="D148" s="47"/>
      <c r="E148" s="648"/>
      <c r="F148" s="721" t="s">
        <v>45</v>
      </c>
      <c r="G148" s="205">
        <f>SUM(G138:G147)</f>
        <v>0</v>
      </c>
      <c r="H148" s="279" t="str">
        <f>IF(G148=0,"",SUBSTITUTE(TEXT(G148,"# ##0\ рублей ,00\ копеек"),",",))</f>
        <v/>
      </c>
      <c r="I148" s="47"/>
      <c r="J148" s="48"/>
      <c r="K148" s="133"/>
      <c r="L148" s="134"/>
    </row>
    <row r="149" spans="1:14" ht="17.100000000000001" customHeight="1" collapsed="1" thickTop="1" thickBot="1" x14ac:dyDescent="0.35">
      <c r="A149" s="130"/>
      <c r="B149" s="634"/>
      <c r="C149" s="606"/>
      <c r="D149" s="606"/>
      <c r="E149" s="606"/>
      <c r="F149" s="606"/>
      <c r="G149" s="103"/>
      <c r="H149" s="103"/>
      <c r="I149" s="103"/>
      <c r="J149" s="103"/>
      <c r="K149" s="103"/>
      <c r="L149" s="103"/>
    </row>
    <row r="150" spans="1:14" ht="17.100000000000001" customHeight="1" thickTop="1" thickBot="1" x14ac:dyDescent="0.35">
      <c r="A150" s="1415" t="s">
        <v>635</v>
      </c>
      <c r="B150" s="1416"/>
      <c r="C150" s="1416"/>
      <c r="D150" s="1416"/>
      <c r="E150" s="1416"/>
      <c r="F150" s="1416"/>
      <c r="G150" s="1416"/>
      <c r="H150" s="1416"/>
      <c r="I150" s="1416"/>
      <c r="J150" s="1416"/>
      <c r="K150" s="1416"/>
      <c r="L150" s="1416"/>
      <c r="M150" s="1416"/>
      <c r="N150" s="1417"/>
    </row>
    <row r="151" spans="1:14" ht="17.100000000000001" hidden="1" customHeight="1" outlineLevel="1" thickTop="1" thickBot="1" x14ac:dyDescent="0.35">
      <c r="A151" s="1371" t="s">
        <v>144</v>
      </c>
      <c r="B151" s="1373"/>
      <c r="C151" s="1410" t="s">
        <v>593</v>
      </c>
      <c r="D151" s="1411"/>
      <c r="E151" s="1412"/>
      <c r="F151" s="1376" t="s">
        <v>610</v>
      </c>
      <c r="G151" s="1378"/>
      <c r="H151" s="1376" t="s">
        <v>594</v>
      </c>
      <c r="I151" s="1378"/>
      <c r="J151" s="1376" t="s">
        <v>581</v>
      </c>
      <c r="K151" s="1377"/>
      <c r="L151" s="1378"/>
    </row>
    <row r="152" spans="1:14" ht="17.100000000000001" hidden="1" customHeight="1" outlineLevel="1" thickTop="1" thickBot="1" x14ac:dyDescent="0.35">
      <c r="A152" s="169" t="s">
        <v>5</v>
      </c>
      <c r="B152" s="663" t="s">
        <v>605</v>
      </c>
      <c r="C152" s="169" t="s">
        <v>5</v>
      </c>
      <c r="D152" s="169" t="s">
        <v>4</v>
      </c>
      <c r="E152" s="716" t="s">
        <v>595</v>
      </c>
      <c r="F152" s="716" t="s">
        <v>5</v>
      </c>
      <c r="G152" s="169" t="s">
        <v>599</v>
      </c>
      <c r="H152" s="169" t="s">
        <v>5</v>
      </c>
      <c r="I152" s="169" t="s">
        <v>596</v>
      </c>
      <c r="J152" s="169" t="s">
        <v>5</v>
      </c>
      <c r="K152" s="169" t="s">
        <v>4</v>
      </c>
      <c r="L152" s="169" t="s">
        <v>597</v>
      </c>
      <c r="M152" s="169" t="s">
        <v>661</v>
      </c>
      <c r="N152" s="169" t="s">
        <v>659</v>
      </c>
    </row>
    <row r="153" spans="1:14" ht="17.100000000000001" hidden="1" customHeight="1" outlineLevel="1" thickTop="1" thickBot="1" x14ac:dyDescent="0.35">
      <c r="A153" s="173"/>
      <c r="B153" s="667"/>
      <c r="C153" s="23"/>
      <c r="D153" s="178"/>
      <c r="E153" s="643"/>
      <c r="F153" s="679"/>
      <c r="G153" s="178"/>
      <c r="H153" s="23"/>
      <c r="I153" s="178"/>
      <c r="J153" s="23"/>
      <c r="K153" s="178"/>
      <c r="L153" s="177"/>
      <c r="M153" s="178"/>
      <c r="N153" s="179"/>
    </row>
    <row r="154" spans="1:14" ht="17.100000000000001" hidden="1" customHeight="1" outlineLevel="1" thickTop="1" thickBot="1" x14ac:dyDescent="0.35">
      <c r="A154" s="282">
        <f>IF(WEEKDAY(WORKDAY.INTL(A153,30,"0000000"),2)=6,WORKDAY.INTL(A153,30,"0000000")+2,IF(WEEKDAY(WORKDAY.INTL(A153,30,"0000000"),2)=7,WORKDAY.INTL(A153,30,"0000000")+1,WORKDAY.INTL(A153,30,"0000000")))</f>
        <v>30</v>
      </c>
      <c r="C154" s="103"/>
      <c r="D154" s="300" t="str">
        <f>IF(WEEKDAY(WORKDAY.INTL(A153,20,"0000000",DRAFT!X172:X255),2)=6,"СБТ",IF(WEEKDAY(WORKDAY.INTL(A153,20,"0000000",DRAFT!X172:X255),2)=7,"ВКС",""))</f>
        <v/>
      </c>
      <c r="E154" s="649"/>
      <c r="F154" s="649"/>
      <c r="G154" s="103"/>
      <c r="H154" s="103"/>
      <c r="I154" s="103"/>
      <c r="J154" s="103"/>
      <c r="K154" s="103"/>
      <c r="L154" s="129"/>
      <c r="M154" s="394" t="s">
        <v>5208</v>
      </c>
    </row>
    <row r="155" spans="1:14" ht="17.100000000000001" hidden="1" customHeight="1" outlineLevel="1" thickTop="1" thickBot="1" x14ac:dyDescent="0.35">
      <c r="A155" s="1410" t="s">
        <v>629</v>
      </c>
      <c r="B155" s="1411"/>
      <c r="C155" s="1411"/>
      <c r="D155" s="1411"/>
      <c r="E155" s="1411"/>
      <c r="F155" s="1411"/>
      <c r="G155" s="1411"/>
      <c r="H155" s="1412"/>
      <c r="I155" s="1410" t="s">
        <v>630</v>
      </c>
      <c r="J155" s="1411"/>
      <c r="K155" s="1411"/>
      <c r="L155" s="1412"/>
      <c r="M155" s="23"/>
    </row>
    <row r="156" spans="1:14" ht="17.100000000000001" hidden="1" customHeight="1" outlineLevel="1" thickTop="1" thickBot="1" x14ac:dyDescent="0.35">
      <c r="A156" s="169" t="s">
        <v>5</v>
      </c>
      <c r="B156" s="663" t="s">
        <v>4</v>
      </c>
      <c r="C156" s="180" t="s">
        <v>599</v>
      </c>
      <c r="D156" s="180" t="s">
        <v>600</v>
      </c>
      <c r="E156" s="720" t="s">
        <v>601</v>
      </c>
      <c r="F156" s="720" t="s">
        <v>602</v>
      </c>
      <c r="G156" s="180" t="s">
        <v>603</v>
      </c>
      <c r="H156" s="180" t="s">
        <v>611</v>
      </c>
      <c r="I156" s="169" t="s">
        <v>5</v>
      </c>
      <c r="J156" s="169" t="s">
        <v>4</v>
      </c>
      <c r="K156" s="180" t="s">
        <v>599</v>
      </c>
      <c r="L156" s="180" t="s">
        <v>604</v>
      </c>
    </row>
    <row r="157" spans="1:14" ht="17.100000000000001" hidden="1" customHeight="1" outlineLevel="1" thickTop="1" x14ac:dyDescent="0.3">
      <c r="A157" s="184"/>
      <c r="B157" s="667"/>
      <c r="C157" s="162"/>
      <c r="D157" s="181"/>
      <c r="E157" s="644"/>
      <c r="F157" s="644"/>
      <c r="G157" s="181"/>
      <c r="H157" s="182"/>
      <c r="I157" s="23"/>
      <c r="J157" s="178"/>
      <c r="K157" s="178"/>
      <c r="L157" s="183"/>
      <c r="M157" s="240">
        <f>F157-G157</f>
        <v>0</v>
      </c>
    </row>
    <row r="158" spans="1:14" ht="17.100000000000001" hidden="1" customHeight="1" outlineLevel="1" thickBot="1" x14ac:dyDescent="0.35">
      <c r="A158" s="130"/>
      <c r="C158" s="103"/>
      <c r="D158" s="239" t="str">
        <f>SUBSTITUTE(TEXT(D157,"# ##0\ рублей ,00\ копеек"),",",)</f>
        <v>0 рублей 00 копеек</v>
      </c>
      <c r="E158" s="645" t="str">
        <f>SUBSTITUTE(TEXT(E157,"# ##0\ рублей ,00\ копеек"),",",)</f>
        <v>0 рублей 00 копеек</v>
      </c>
      <c r="F158" s="645" t="str">
        <f>SUBSTITUTE(TEXT(F157,"# ##0\ рублей ,00\ копеек"),",",)</f>
        <v>0 рублей 00 копеек</v>
      </c>
      <c r="G158" s="239" t="str">
        <f>SUBSTITUTE(TEXT(G157,"# ##0\ рублей ,00\ копеек"),",",)</f>
        <v>0 рублей 00 копеек</v>
      </c>
      <c r="H158" s="103"/>
      <c r="I158" s="103"/>
      <c r="J158" s="103"/>
      <c r="K158" s="103"/>
      <c r="L158" s="239" t="str">
        <f>SUBSTITUTE(TEXT(L157,"# ##0\ рублей ,00\ копеек"),",",)</f>
        <v>0 рублей 00 копеек</v>
      </c>
      <c r="M158" s="239" t="str">
        <f>SUBSTITUTE(TEXT(M157,"# ##0\ рублей ,00\ копеек"),",",)</f>
        <v>0 рублей 00 копеек</v>
      </c>
    </row>
    <row r="159" spans="1:14" ht="17.100000000000001" hidden="1" customHeight="1" outlineLevel="1" thickTop="1" thickBot="1" x14ac:dyDescent="0.35">
      <c r="A159" s="1418" t="s">
        <v>613</v>
      </c>
      <c r="B159" s="1419"/>
      <c r="C159" s="1419"/>
      <c r="D159" s="1419"/>
      <c r="E159" s="1419"/>
      <c r="F159" s="1419"/>
      <c r="G159" s="1419"/>
      <c r="H159" s="1420"/>
      <c r="I159" s="1418" t="s">
        <v>614</v>
      </c>
      <c r="J159" s="1419"/>
      <c r="K159" s="1419"/>
      <c r="L159" s="1420"/>
    </row>
    <row r="160" spans="1:14" ht="17.100000000000001" hidden="1" customHeight="1" outlineLevel="1" thickTop="1" thickBot="1" x14ac:dyDescent="0.35">
      <c r="A160" s="169" t="s">
        <v>5</v>
      </c>
      <c r="B160" s="663" t="s">
        <v>4</v>
      </c>
      <c r="C160" s="180" t="s">
        <v>599</v>
      </c>
      <c r="D160" s="180" t="s">
        <v>600</v>
      </c>
      <c r="E160" s="720" t="s">
        <v>601</v>
      </c>
      <c r="F160" s="720" t="s">
        <v>602</v>
      </c>
      <c r="G160" s="180" t="s">
        <v>603</v>
      </c>
      <c r="H160" s="180" t="s">
        <v>611</v>
      </c>
      <c r="I160" s="169" t="s">
        <v>5</v>
      </c>
      <c r="J160" s="169" t="s">
        <v>4</v>
      </c>
      <c r="K160" s="180" t="s">
        <v>599</v>
      </c>
      <c r="L160" s="180" t="s">
        <v>604</v>
      </c>
    </row>
    <row r="161" spans="1:13" ht="17.100000000000001" hidden="1" customHeight="1" outlineLevel="1" thickTop="1" x14ac:dyDescent="0.3">
      <c r="A161" s="184"/>
      <c r="B161" s="667"/>
      <c r="C161" s="162"/>
      <c r="D161" s="181"/>
      <c r="E161" s="644"/>
      <c r="F161" s="644"/>
      <c r="G161" s="181"/>
      <c r="H161" s="182"/>
      <c r="I161" s="23"/>
      <c r="J161" s="178"/>
      <c r="K161" s="178"/>
      <c r="L161" s="183"/>
      <c r="M161" s="240">
        <f>F161-G161</f>
        <v>0</v>
      </c>
    </row>
    <row r="162" spans="1:13" ht="17.100000000000001" hidden="1" customHeight="1" outlineLevel="1" thickBot="1" x14ac:dyDescent="0.35">
      <c r="A162" s="130"/>
      <c r="C162" s="103"/>
      <c r="D162" s="239" t="str">
        <f>SUBSTITUTE(TEXT(D161,"# ##0\ рублей ,00\ копеек"),",",)</f>
        <v>0 рублей 00 копеек</v>
      </c>
      <c r="E162" s="645" t="str">
        <f>SUBSTITUTE(TEXT(E161,"# ##0\ рублей ,00\ копеек"),",",)</f>
        <v>0 рублей 00 копеек</v>
      </c>
      <c r="F162" s="645" t="str">
        <f>SUBSTITUTE(TEXT(F161,"# ##0\ рублей ,00\ копеек"),",",)</f>
        <v>0 рублей 00 копеек</v>
      </c>
      <c r="G162" s="239" t="str">
        <f>SUBSTITUTE(TEXT(G161,"# ##0\ рублей ,00\ копеек"),",",)</f>
        <v>0 рублей 00 копеек</v>
      </c>
      <c r="H162" s="103"/>
      <c r="I162" s="103"/>
      <c r="J162" s="103"/>
      <c r="K162" s="103"/>
      <c r="L162" s="239" t="str">
        <f>SUBSTITUTE(TEXT(L161,"# ##0\ рублей ,00\ копеек"),",",)</f>
        <v>0 рублей 00 копеек</v>
      </c>
      <c r="M162" s="239" t="str">
        <f>SUBSTITUTE(TEXT(M161,"# ##0\ рублей ,00\ копеек"),",",)</f>
        <v>0 рублей 00 копеек</v>
      </c>
    </row>
    <row r="163" spans="1:13" ht="17.100000000000001" hidden="1" customHeight="1" outlineLevel="1" thickTop="1" thickBot="1" x14ac:dyDescent="0.35">
      <c r="A163" s="1403" t="s">
        <v>1</v>
      </c>
      <c r="B163" s="1409"/>
      <c r="C163" s="1404"/>
      <c r="D163" s="169" t="s">
        <v>43</v>
      </c>
      <c r="E163" s="716" t="s">
        <v>44</v>
      </c>
      <c r="F163" s="1403" t="s">
        <v>612</v>
      </c>
      <c r="G163" s="1409"/>
      <c r="H163" s="1404"/>
      <c r="I163" s="169" t="s">
        <v>43</v>
      </c>
      <c r="J163" s="169" t="s">
        <v>44</v>
      </c>
      <c r="K163" s="1403" t="s">
        <v>456</v>
      </c>
      <c r="L163" s="1404"/>
    </row>
    <row r="164" spans="1:13" ht="17.100000000000001" hidden="1" customHeight="1" outlineLevel="1" thickTop="1" thickBot="1" x14ac:dyDescent="0.35">
      <c r="A164" s="30"/>
      <c r="C164" s="278" t="str">
        <f>IF(ISBLANK(B164),"",SUBSTITUTE(TEXT(B164,"# ##0\ рублей ,00\ копеек"),",",))</f>
        <v/>
      </c>
      <c r="D164" s="59"/>
      <c r="E164" s="646"/>
      <c r="F164" s="682"/>
      <c r="G164" s="26"/>
      <c r="H164" s="278" t="str">
        <f>IF(ISBLANK(G164),"",SUBSTITUTE(TEXT(G164,"# ##0\ рублей ,00\ копеек"),",",))</f>
        <v/>
      </c>
      <c r="I164" s="59"/>
      <c r="J164" s="60"/>
      <c r="K164" s="169" t="s">
        <v>653</v>
      </c>
      <c r="L164" s="169" t="s">
        <v>627</v>
      </c>
    </row>
    <row r="165" spans="1:13" ht="17.100000000000001" hidden="1" customHeight="1" outlineLevel="1" thickTop="1" x14ac:dyDescent="0.3">
      <c r="A165" s="30"/>
      <c r="C165" s="278" t="str">
        <f>IF(ISBLANK(B165),"",SUBSTITUTE(TEXT(B165,"# ##0\ рублей ,00\ копеек"),",",))</f>
        <v/>
      </c>
      <c r="D165" s="59"/>
      <c r="E165" s="646"/>
      <c r="F165" s="682"/>
      <c r="G165" s="31"/>
      <c r="H165" s="278" t="str">
        <f>IF(ISBLANK(G165),"",SUBSTITUTE(TEXT(G165,"# ##0\ рублей ,00\ копеек"),",",))</f>
        <v/>
      </c>
      <c r="I165" s="59"/>
      <c r="J165" s="60"/>
      <c r="K165" s="275">
        <f>MAX(H153-$A$24+1,0)</f>
        <v>0</v>
      </c>
      <c r="L165" s="276">
        <f>MAX(G164*K165*0.01,0)</f>
        <v>0</v>
      </c>
    </row>
    <row r="166" spans="1:13" ht="17.100000000000001" hidden="1" customHeight="1" outlineLevel="1" thickBot="1" x14ac:dyDescent="0.35">
      <c r="A166" s="30"/>
      <c r="C166" s="278" t="str">
        <f t="shared" ref="C166:C173" si="28">IF(ISBLANK(B166),"",SUBSTITUTE(TEXT(B166,"# ##0\ рублей ,00\ копеек"),",",))</f>
        <v/>
      </c>
      <c r="D166" s="59"/>
      <c r="E166" s="646"/>
      <c r="F166" s="682"/>
      <c r="G166" s="31"/>
      <c r="H166" s="278" t="str">
        <f t="shared" ref="H166:H173" si="29">IF(ISBLANK(G166),"",SUBSTITUTE(TEXT(G166,"# ##0\ рублей ,00\ копеек"),",",))</f>
        <v/>
      </c>
      <c r="I166" s="59"/>
      <c r="J166" s="60"/>
      <c r="K166" s="51"/>
      <c r="L166" s="277" t="str">
        <f>SUBSTITUTE(TEXT(L165,"# ##0\ рублей ,00\ копеек"),",",)</f>
        <v>0 рублей 00 копеек</v>
      </c>
      <c r="M166" s="49" t="s">
        <v>149</v>
      </c>
    </row>
    <row r="167" spans="1:13" ht="17.100000000000001" hidden="1" customHeight="1" outlineLevel="1" thickTop="1" thickBot="1" x14ac:dyDescent="0.35">
      <c r="A167" s="30"/>
      <c r="C167" s="278" t="str">
        <f t="shared" si="28"/>
        <v/>
      </c>
      <c r="D167" s="59"/>
      <c r="E167" s="646"/>
      <c r="F167" s="682"/>
      <c r="G167" s="32"/>
      <c r="H167" s="278" t="str">
        <f t="shared" si="29"/>
        <v/>
      </c>
      <c r="I167" s="59"/>
      <c r="J167" s="60"/>
      <c r="K167" s="1403" t="s">
        <v>78</v>
      </c>
      <c r="L167" s="1404"/>
    </row>
    <row r="168" spans="1:13" ht="17.100000000000001" hidden="1" customHeight="1" outlineLevel="1" thickTop="1" thickBot="1" x14ac:dyDescent="0.35">
      <c r="A168" s="30"/>
      <c r="C168" s="278" t="str">
        <f t="shared" si="28"/>
        <v/>
      </c>
      <c r="D168" s="59"/>
      <c r="E168" s="646"/>
      <c r="F168" s="682"/>
      <c r="G168" s="32"/>
      <c r="H168" s="278" t="str">
        <f t="shared" si="29"/>
        <v/>
      </c>
      <c r="I168" s="59"/>
      <c r="J168" s="60"/>
      <c r="K168" s="169" t="s">
        <v>653</v>
      </c>
      <c r="L168" s="169" t="s">
        <v>627</v>
      </c>
    </row>
    <row r="169" spans="1:13" ht="17.100000000000001" hidden="1" customHeight="1" outlineLevel="1" thickTop="1" x14ac:dyDescent="0.3">
      <c r="A169" s="30"/>
      <c r="C169" s="278" t="str">
        <f t="shared" si="28"/>
        <v/>
      </c>
      <c r="D169" s="59"/>
      <c r="E169" s="646"/>
      <c r="F169" s="682"/>
      <c r="G169" s="32"/>
      <c r="H169" s="278" t="str">
        <f t="shared" si="29"/>
        <v/>
      </c>
      <c r="I169" s="59"/>
      <c r="J169" s="60"/>
      <c r="K169" s="275">
        <f>IF(AND(K39=0,K65=0,K91=0,K117=0,K143=0),MAX(K170-$A$24+1,0),0)</f>
        <v>0</v>
      </c>
      <c r="L169" s="276">
        <f>IFERROR(MAX(D18*0.0005*K169,0),0)</f>
        <v>0</v>
      </c>
    </row>
    <row r="170" spans="1:13" ht="17.100000000000001" hidden="1" customHeight="1" outlineLevel="1" x14ac:dyDescent="0.3">
      <c r="A170" s="30"/>
      <c r="C170" s="278" t="str">
        <f t="shared" si="28"/>
        <v/>
      </c>
      <c r="D170" s="59"/>
      <c r="E170" s="646"/>
      <c r="F170" s="682"/>
      <c r="G170" s="32"/>
      <c r="H170" s="278" t="str">
        <f t="shared" si="29"/>
        <v/>
      </c>
      <c r="I170" s="59"/>
      <c r="J170" s="60"/>
      <c r="K170" s="408">
        <f>MIN(C153,H153,M155)</f>
        <v>0</v>
      </c>
      <c r="L170" s="277" t="str">
        <f>SUBSTITUTE(TEXT(L169,"# ##0\ рублей ,00\ копеек"),",",)</f>
        <v>0 рублей 00 копеек</v>
      </c>
    </row>
    <row r="171" spans="1:13" ht="17.100000000000001" hidden="1" customHeight="1" outlineLevel="1" x14ac:dyDescent="0.3">
      <c r="A171" s="30"/>
      <c r="C171" s="278" t="str">
        <f t="shared" si="28"/>
        <v/>
      </c>
      <c r="D171" s="59"/>
      <c r="E171" s="646"/>
      <c r="F171" s="682"/>
      <c r="G171" s="32"/>
      <c r="H171" s="278" t="str">
        <f t="shared" si="29"/>
        <v/>
      </c>
      <c r="I171" s="59"/>
      <c r="J171" s="60"/>
      <c r="K171" s="103"/>
      <c r="L171" s="129"/>
    </row>
    <row r="172" spans="1:13" ht="17.100000000000001" hidden="1" customHeight="1" outlineLevel="1" x14ac:dyDescent="0.3">
      <c r="A172" s="30"/>
      <c r="C172" s="278" t="str">
        <f t="shared" si="28"/>
        <v/>
      </c>
      <c r="D172" s="59"/>
      <c r="E172" s="646"/>
      <c r="F172" s="682"/>
      <c r="G172" s="32"/>
      <c r="H172" s="278" t="str">
        <f t="shared" si="29"/>
        <v/>
      </c>
      <c r="I172" s="59"/>
      <c r="J172" s="60"/>
      <c r="K172" s="103"/>
      <c r="L172" s="129"/>
    </row>
    <row r="173" spans="1:13" ht="17.100000000000001" hidden="1" customHeight="1" outlineLevel="1" thickBot="1" x14ac:dyDescent="0.35">
      <c r="A173" s="30"/>
      <c r="C173" s="278" t="str">
        <f t="shared" si="28"/>
        <v/>
      </c>
      <c r="D173" s="36"/>
      <c r="E173" s="647"/>
      <c r="F173" s="682"/>
      <c r="G173" s="38"/>
      <c r="H173" s="278" t="str">
        <f t="shared" si="29"/>
        <v/>
      </c>
      <c r="I173" s="36"/>
      <c r="J173" s="37"/>
      <c r="K173" s="103"/>
      <c r="L173" s="129"/>
    </row>
    <row r="174" spans="1:13" ht="17.100000000000001" hidden="1" customHeight="1" outlineLevel="1" thickTop="1" thickBot="1" x14ac:dyDescent="0.35">
      <c r="A174" s="168" t="s">
        <v>45</v>
      </c>
      <c r="B174" s="205">
        <f>SUM(B164:B173)</f>
        <v>0</v>
      </c>
      <c r="C174" s="279" t="str">
        <f>IF(B174=0,"",SUBSTITUTE(TEXT(B174,"# ##0\ рублей ,00\ копеек"),",",))</f>
        <v/>
      </c>
      <c r="D174" s="47"/>
      <c r="E174" s="648"/>
      <c r="F174" s="721" t="s">
        <v>45</v>
      </c>
      <c r="G174" s="205">
        <f>SUM(G164:G173)</f>
        <v>0</v>
      </c>
      <c r="H174" s="279" t="str">
        <f>IF(G174=0,"",SUBSTITUTE(TEXT(G174,"# ##0\ рублей ,00\ копеек"),",",))</f>
        <v/>
      </c>
      <c r="I174" s="47"/>
      <c r="J174" s="48"/>
      <c r="K174" s="133"/>
      <c r="L174" s="134"/>
    </row>
    <row r="175" spans="1:13" ht="17.100000000000001" customHeight="1" collapsed="1" thickTop="1" thickBot="1" x14ac:dyDescent="0.35">
      <c r="A175" s="130"/>
      <c r="B175" s="634"/>
      <c r="C175" s="606"/>
      <c r="D175" s="606"/>
      <c r="E175" s="606"/>
      <c r="F175" s="606"/>
      <c r="G175" s="103"/>
      <c r="H175" s="103"/>
      <c r="I175" s="103"/>
      <c r="J175" s="103"/>
      <c r="K175" s="103"/>
      <c r="L175" s="103"/>
    </row>
    <row r="176" spans="1:13" ht="17.100000000000001" customHeight="1" thickTop="1" thickBot="1" x14ac:dyDescent="0.35">
      <c r="A176" s="1437" t="s">
        <v>616</v>
      </c>
      <c r="B176" s="1438"/>
      <c r="C176" s="1438"/>
      <c r="D176" s="1438"/>
      <c r="E176" s="1438"/>
      <c r="F176" s="1438"/>
      <c r="G176" s="1438"/>
      <c r="H176" s="1438"/>
      <c r="I176" s="1438"/>
      <c r="J176" s="1438"/>
      <c r="K176" s="1439"/>
      <c r="L176" s="103"/>
    </row>
    <row r="177" spans="1:18" ht="17.100000000000001" customHeight="1" outlineLevel="1" thickTop="1" thickBot="1" x14ac:dyDescent="0.35">
      <c r="A177" s="169" t="s">
        <v>5</v>
      </c>
      <c r="B177" s="663" t="s">
        <v>4</v>
      </c>
      <c r="C177" s="180" t="s">
        <v>599</v>
      </c>
      <c r="D177" s="180" t="s">
        <v>618</v>
      </c>
      <c r="E177" s="720" t="s">
        <v>617</v>
      </c>
      <c r="F177" s="720" t="s">
        <v>600</v>
      </c>
      <c r="G177" s="180" t="s">
        <v>601</v>
      </c>
      <c r="H177" s="180" t="s">
        <v>602</v>
      </c>
      <c r="I177" s="180" t="s">
        <v>603</v>
      </c>
      <c r="J177" s="169" t="s">
        <v>604</v>
      </c>
      <c r="K177" s="180" t="s">
        <v>611</v>
      </c>
      <c r="L177" s="103"/>
    </row>
    <row r="178" spans="1:18" ht="17.100000000000001" customHeight="1" outlineLevel="1" thickTop="1" thickBot="1" x14ac:dyDescent="0.35">
      <c r="A178" s="186"/>
      <c r="B178" s="667"/>
      <c r="C178" s="558"/>
      <c r="D178" s="187"/>
      <c r="E178" s="652" t="str">
        <f>IFERROR(INDEX(DRAFT!O:O,MATCH(E179,DRAFT!N:N,0),1),"")</f>
        <v>- какие операции, методы и технологии восстановительного ремонта ТС потерпевшего применены не обоснованно;
- весь ли объем ремонтных работ, необходимый для устранения последствий рассматриваемого ДТП, был выполнен исполнителем во время ремонта ТС потерпевшего? Если нет, то указать допущенные нарушения;
- соответствуют ли выполненные работы установленной технологической документации, требованиям технических и нормативно-правовых документов? Если нет, то указать допущенные нарушения;
- соответствуют ли фактически замененные запасные части заявленным исполнителем ремонта? Если нет, то указать допущенные нарушения;
- соответствуют ли фактически выполненные ремонтные работы заявленным исполнителем ремонта? Если нет, то указать допущенные нарушения;
- являются ли выявленные недостатки ремонта ТС потерпевшего устранимыми и каковы методы и технологии их устранения;
- какова стоимость устранения выявленных недостатков ремонта с учетом износа и без учета износа</v>
      </c>
      <c r="F178" s="683"/>
      <c r="G178" s="188"/>
      <c r="H178" s="188"/>
      <c r="I178" s="188"/>
      <c r="J178" s="189"/>
      <c r="K178" s="190"/>
      <c r="L178" s="50"/>
    </row>
    <row r="179" spans="1:18" ht="17.100000000000001" customHeight="1" outlineLevel="1" thickTop="1" thickBot="1" x14ac:dyDescent="0.35">
      <c r="A179" s="191"/>
      <c r="C179" s="725"/>
      <c r="D179" s="557"/>
      <c r="E179" s="653" t="s">
        <v>1339</v>
      </c>
      <c r="F179" s="684" t="str">
        <f>SUBSTITUTE(TEXT(F178,"# ##0\ рублей ,00\ копеек"),",",)</f>
        <v>0 рублей 00 копеек</v>
      </c>
      <c r="G179" s="283" t="str">
        <f>SUBSTITUTE(TEXT(G178,"# ##0\ рублей ,00\ копеек"),",",)</f>
        <v>0 рублей 00 копеек</v>
      </c>
      <c r="H179" s="283" t="str">
        <f>SUBSTITUTE(TEXT(H178,"# ##0\ рублей ,00\ копеек"),",",)</f>
        <v>0 рублей 00 копеек</v>
      </c>
      <c r="I179" s="283" t="str">
        <f>SUBSTITUTE(TEXT(I178,"# ##0\ рублей ,00\ копеек"),",",)</f>
        <v>0 рублей 00 копеек</v>
      </c>
      <c r="J179" s="284" t="str">
        <f>SUBSTITUTE(TEXT(J178,"# ##0\ рублей ,00\ копеек"),",",)</f>
        <v>0 рублей 00 копеек</v>
      </c>
      <c r="K179" s="170" t="s">
        <v>1029</v>
      </c>
      <c r="L179" s="192"/>
    </row>
    <row r="180" spans="1:18" ht="17.100000000000001" customHeight="1" outlineLevel="1" thickTop="1" thickBot="1" x14ac:dyDescent="0.35">
      <c r="A180" s="1437" t="s">
        <v>615</v>
      </c>
      <c r="B180" s="1438"/>
      <c r="C180" s="1438"/>
      <c r="D180" s="1438"/>
      <c r="E180" s="1438"/>
      <c r="F180" s="1438"/>
      <c r="G180" s="1439"/>
      <c r="H180" s="300" t="str">
        <f>IF(ISBLANK(H178),"",IF(F178&gt;H178,"ТОТАЛ",""))</f>
        <v/>
      </c>
      <c r="I180" s="288">
        <f>IF(F178&gt;H178,H178-I178,0)</f>
        <v>0</v>
      </c>
      <c r="J180" s="285" t="str">
        <f>SUBSTITUTE(TEXT(I180,"# ##0\ рублей ,00\ копеек"),",",)</f>
        <v>0 рублей 00 копеек</v>
      </c>
      <c r="K180" s="291" t="str">
        <f>IFERROR(IF(H180="ТОТАЛ","",IF(ROUND((G178-S17)/S17*100,0)&lt;0,"Выплатили больше",ROUND((G178-S17)/S17*100,0))),0)</f>
        <v>Выплатили больше</v>
      </c>
      <c r="L180" s="103"/>
    </row>
    <row r="181" spans="1:18" ht="17.100000000000001" customHeight="1" outlineLevel="1" thickTop="1" thickBot="1" x14ac:dyDescent="0.35">
      <c r="A181" s="169" t="s">
        <v>5</v>
      </c>
      <c r="B181" s="663" t="s">
        <v>4</v>
      </c>
      <c r="C181" s="180" t="s">
        <v>599</v>
      </c>
      <c r="D181" s="180" t="s">
        <v>618</v>
      </c>
      <c r="E181" s="720" t="s">
        <v>617</v>
      </c>
      <c r="F181" s="720" t="s">
        <v>611</v>
      </c>
      <c r="G181" s="180" t="s">
        <v>1254</v>
      </c>
      <c r="H181" s="170" t="s">
        <v>714</v>
      </c>
      <c r="I181" s="289">
        <f>IF(I180=0,G178,I180)</f>
        <v>0</v>
      </c>
      <c r="J181" s="286" t="str">
        <f>SUBSTITUTE(TEXT(I181,"# ##0\ рублей ,00\ копеек"),",",)</f>
        <v>0 рублей 00 копеек</v>
      </c>
      <c r="K181" s="118"/>
      <c r="L181" s="103"/>
    </row>
    <row r="182" spans="1:18" ht="17.100000000000001" customHeight="1" outlineLevel="1" thickTop="1" thickBot="1" x14ac:dyDescent="0.35">
      <c r="A182" s="186">
        <v>44026</v>
      </c>
      <c r="B182" s="1150" t="s">
        <v>9028</v>
      </c>
      <c r="C182" s="187" t="s">
        <v>9029</v>
      </c>
      <c r="D182" s="187" t="s">
        <v>9030</v>
      </c>
      <c r="E182" s="652" t="str">
        <f>IFERROR(INDEX(DRAFT!O:O,MATCH(E183,DRAFT!N:N,0),1),"")</f>
        <v>- соответствуют ли повреждения транспортном средстве потерпевшего обстоятельствам рассматриваемого дорожно-транспортного происшествия;
- какие повреждения возникли на транспортном средстве потерпевшего в результате рассматриваемого дорожно-транспортного происшествия</v>
      </c>
      <c r="F182" s="685" t="s">
        <v>9031</v>
      </c>
      <c r="G182" s="185" t="s">
        <v>1256</v>
      </c>
      <c r="H182" s="169" t="s">
        <v>1023</v>
      </c>
      <c r="I182" s="290">
        <f>I181/2</f>
        <v>0</v>
      </c>
      <c r="J182" s="287" t="str">
        <f>SUBSTITUTE(TEXT(I182,"# ##0\ рублей ,00\ копеек"),",",)</f>
        <v>0 рублей 00 копеек</v>
      </c>
      <c r="K182" s="102"/>
      <c r="L182" s="103"/>
    </row>
    <row r="183" spans="1:18" ht="17.100000000000001" customHeight="1" thickTop="1" thickBot="1" x14ac:dyDescent="0.35">
      <c r="A183" s="193"/>
      <c r="B183" s="634"/>
      <c r="C183" s="635"/>
      <c r="D183" s="636"/>
      <c r="E183" s="637" t="s">
        <v>611</v>
      </c>
      <c r="F183" s="677"/>
      <c r="G183" s="194"/>
      <c r="H183" s="194"/>
      <c r="I183" s="194"/>
    </row>
    <row r="184" spans="1:18" ht="17.100000000000001" customHeight="1" thickTop="1" thickBot="1" x14ac:dyDescent="0.35">
      <c r="A184" s="1425" t="s">
        <v>713</v>
      </c>
      <c r="B184" s="1426"/>
      <c r="C184" s="1426"/>
      <c r="D184" s="1426"/>
      <c r="E184" s="1426"/>
      <c r="F184" s="1428"/>
      <c r="G184" s="1426"/>
      <c r="H184" s="1426"/>
      <c r="I184" s="1426"/>
      <c r="J184" s="1426"/>
      <c r="K184" s="1426"/>
      <c r="L184" s="1426"/>
      <c r="M184" s="1426"/>
      <c r="N184" s="1426"/>
      <c r="O184" s="1426"/>
      <c r="P184" s="1426"/>
      <c r="Q184" s="1427"/>
    </row>
    <row r="185" spans="1:18" ht="17.100000000000001" customHeight="1" outlineLevel="1" thickTop="1" thickBot="1" x14ac:dyDescent="0.35">
      <c r="A185" s="1403" t="s">
        <v>619</v>
      </c>
      <c r="B185" s="1409"/>
      <c r="C185" s="1404"/>
      <c r="D185" s="1403" t="s">
        <v>620</v>
      </c>
      <c r="E185" s="1409"/>
      <c r="F185" s="1404"/>
      <c r="G185" s="1403" t="s">
        <v>621</v>
      </c>
      <c r="H185" s="1409"/>
      <c r="I185" s="1404"/>
      <c r="J185" s="1403" t="s">
        <v>625</v>
      </c>
      <c r="K185" s="1404"/>
      <c r="L185" s="1403" t="s">
        <v>636</v>
      </c>
      <c r="M185" s="1409"/>
      <c r="N185" s="1404"/>
      <c r="O185" s="135"/>
      <c r="P185" s="1403" t="s">
        <v>456</v>
      </c>
      <c r="Q185" s="1404"/>
    </row>
    <row r="186" spans="1:18" ht="17.100000000000001" customHeight="1" outlineLevel="1" thickTop="1" thickBot="1" x14ac:dyDescent="0.35">
      <c r="A186" s="169" t="s">
        <v>622</v>
      </c>
      <c r="B186" s="663" t="s">
        <v>5</v>
      </c>
      <c r="C186" s="34" t="s">
        <v>4</v>
      </c>
      <c r="D186" s="169" t="s">
        <v>622</v>
      </c>
      <c r="E186" s="666" t="s">
        <v>5</v>
      </c>
      <c r="F186" s="666" t="s">
        <v>4</v>
      </c>
      <c r="G186" s="169" t="s">
        <v>622</v>
      </c>
      <c r="H186" s="34" t="s">
        <v>5</v>
      </c>
      <c r="I186" s="34" t="s">
        <v>4</v>
      </c>
      <c r="J186" s="34" t="s">
        <v>5</v>
      </c>
      <c r="K186" s="34" t="s">
        <v>4</v>
      </c>
      <c r="L186" s="169" t="s">
        <v>626</v>
      </c>
      <c r="M186" s="169" t="s">
        <v>596</v>
      </c>
      <c r="N186" s="169" t="s">
        <v>627</v>
      </c>
      <c r="O186" s="136"/>
      <c r="P186" s="169" t="s">
        <v>653</v>
      </c>
      <c r="Q186" s="169" t="s">
        <v>627</v>
      </c>
    </row>
    <row r="187" spans="1:18" ht="17.100000000000001" customHeight="1" outlineLevel="1" thickTop="1" thickBot="1" x14ac:dyDescent="0.35">
      <c r="A187" s="159"/>
      <c r="B187" s="667"/>
      <c r="C187" s="161"/>
      <c r="D187" s="161"/>
      <c r="E187" s="654"/>
      <c r="F187" s="686"/>
      <c r="G187" s="161"/>
      <c r="H187" s="161"/>
      <c r="I187" s="161"/>
      <c r="J187" s="161"/>
      <c r="K187" s="161"/>
      <c r="L187" s="160"/>
      <c r="M187" s="161"/>
      <c r="N187" s="195"/>
      <c r="O187" s="136"/>
      <c r="P187" s="275">
        <f>MAX(L187-$A$24+1,0)</f>
        <v>0</v>
      </c>
      <c r="Q187" s="293">
        <f>MAX(G191*P187*0.01,0)</f>
        <v>0</v>
      </c>
    </row>
    <row r="188" spans="1:18" ht="17.100000000000001" customHeight="1" outlineLevel="1" thickTop="1" thickBot="1" x14ac:dyDescent="0.35">
      <c r="A188" s="258" t="s">
        <v>196</v>
      </c>
      <c r="C188" s="103" t="s">
        <v>149</v>
      </c>
      <c r="D188" s="103"/>
      <c r="E188" s="649"/>
      <c r="F188" s="649"/>
      <c r="G188" s="103"/>
      <c r="H188" s="103"/>
      <c r="I188" s="103"/>
      <c r="J188" s="103"/>
      <c r="K188" s="103"/>
      <c r="L188" s="103"/>
      <c r="M188" s="103"/>
      <c r="N188" s="292" t="str">
        <f>SUBSTITUTE(TEXT(N187,"# ##0\ рублей ,00\ копеек"),",",)</f>
        <v>0 рублей 00 копеек</v>
      </c>
      <c r="O188" s="136"/>
      <c r="P188" s="51"/>
      <c r="Q188" s="239" t="str">
        <f>SUBSTITUTE(TEXT(Q187,"# ##0\ рублей ,00\ копеек"),",",)</f>
        <v>0 рублей 00 копеек</v>
      </c>
      <c r="R188" s="49" t="s">
        <v>149</v>
      </c>
    </row>
    <row r="189" spans="1:18" ht="17.100000000000001" customHeight="1" outlineLevel="1" thickTop="1" thickBot="1" x14ac:dyDescent="0.35">
      <c r="A189" s="1407" t="s">
        <v>1</v>
      </c>
      <c r="B189" s="1421"/>
      <c r="C189" s="1408"/>
      <c r="D189" s="1403" t="s">
        <v>41</v>
      </c>
      <c r="E189" s="1404"/>
      <c r="F189" s="1407" t="s">
        <v>623</v>
      </c>
      <c r="G189" s="1421"/>
      <c r="H189" s="1408"/>
      <c r="I189" s="1403" t="s">
        <v>41</v>
      </c>
      <c r="J189" s="1404"/>
      <c r="K189" s="1407" t="s">
        <v>624</v>
      </c>
      <c r="L189" s="1421"/>
      <c r="M189" s="1408"/>
      <c r="N189" s="1403" t="s">
        <v>41</v>
      </c>
      <c r="O189" s="1404"/>
      <c r="P189" s="275">
        <f>MAX(L187-J192,0)</f>
        <v>0</v>
      </c>
      <c r="Q189" s="293">
        <f>MAX(G191*P189*0.01,0)</f>
        <v>0</v>
      </c>
    </row>
    <row r="190" spans="1:18" ht="17.100000000000001" customHeight="1" outlineLevel="1" thickTop="1" thickBot="1" x14ac:dyDescent="0.35">
      <c r="A190" s="1422"/>
      <c r="B190" s="1423"/>
      <c r="C190" s="1424"/>
      <c r="D190" s="169" t="s">
        <v>43</v>
      </c>
      <c r="E190" s="716" t="s">
        <v>44</v>
      </c>
      <c r="F190" s="1422"/>
      <c r="G190" s="1423"/>
      <c r="H190" s="1424"/>
      <c r="I190" s="169" t="s">
        <v>43</v>
      </c>
      <c r="J190" s="169" t="s">
        <v>44</v>
      </c>
      <c r="K190" s="1422"/>
      <c r="L190" s="1423"/>
      <c r="M190" s="1424"/>
      <c r="N190" s="169" t="s">
        <v>43</v>
      </c>
      <c r="O190" s="169" t="s">
        <v>44</v>
      </c>
      <c r="P190" s="51"/>
      <c r="Q190" s="239" t="str">
        <f>SUBSTITUTE(TEXT(Q189,"# ##0\ рублей ,00\ копеек"),",",)</f>
        <v>0 рублей 00 копеек</v>
      </c>
      <c r="R190" s="49" t="s">
        <v>149</v>
      </c>
    </row>
    <row r="191" spans="1:18" ht="17.100000000000001" customHeight="1" outlineLevel="1" thickTop="1" x14ac:dyDescent="0.3">
      <c r="A191" s="30" t="s">
        <v>48</v>
      </c>
      <c r="B191">
        <v>4500</v>
      </c>
      <c r="C191" s="278" t="str">
        <f>IF(ISBLANK(B191),"",SUBSTITUTE(TEXT(B191,"# ##0\ рублей ,00\ копеек"),",",))</f>
        <v>4 500 рублей 00 копеек</v>
      </c>
      <c r="D191" s="59"/>
      <c r="E191" s="655"/>
      <c r="F191" s="682"/>
      <c r="G191" s="26"/>
      <c r="H191" s="278" t="str">
        <f>IF(ISBLANK(G191),"",SUBSTITUTE(TEXT(G191,"# ##0\ рублей ,00\ копеек"),",",))</f>
        <v/>
      </c>
      <c r="I191" s="59"/>
      <c r="J191" s="60"/>
      <c r="K191" s="30"/>
      <c r="L191" s="26"/>
      <c r="M191" s="278" t="str">
        <f>IF(ISBLANK(L191),"",SUBSTITUTE(TEXT(L191,"# ##0\ рублей ,00\ копеек"),",",))</f>
        <v/>
      </c>
      <c r="N191" s="59"/>
      <c r="O191" s="60"/>
      <c r="Q191" s="139"/>
    </row>
    <row r="192" spans="1:18" ht="17.100000000000001" customHeight="1" outlineLevel="1" x14ac:dyDescent="0.3">
      <c r="A192" s="30"/>
      <c r="C192" s="278" t="str">
        <f>IF(ISBLANK(B192),"",SUBSTITUTE(TEXT(B192,"# ##0\ рублей ,00\ копеек"),",",))</f>
        <v/>
      </c>
      <c r="D192" s="59"/>
      <c r="E192" s="655"/>
      <c r="F192" s="682"/>
      <c r="G192" s="31"/>
      <c r="H192" s="278" t="str">
        <f>IF(ISBLANK(G192),"",SUBSTITUTE(TEXT(G192,"# ##0\ рублей ,00\ копеек"),",",))</f>
        <v/>
      </c>
      <c r="I192" s="59"/>
      <c r="J192" s="60"/>
      <c r="K192" s="30"/>
      <c r="L192" s="31"/>
      <c r="M192" s="278" t="str">
        <f>IF(ISBLANK(L192),"",SUBSTITUTE(TEXT(L192,"# ##0\ рублей ,00\ копеек"),",",))</f>
        <v/>
      </c>
      <c r="N192" s="59"/>
      <c r="O192" s="60"/>
      <c r="Q192" s="128"/>
      <c r="R192" s="49" t="s">
        <v>149</v>
      </c>
    </row>
    <row r="193" spans="1:18" ht="17.100000000000001" customHeight="1" outlineLevel="1" x14ac:dyDescent="0.3">
      <c r="A193" s="30"/>
      <c r="C193" s="278" t="str">
        <f t="shared" ref="C193:C200" si="30">IF(ISBLANK(B193),"",SUBSTITUTE(TEXT(B193,"# ##0\ рублей ,00\ копеек"),",",))</f>
        <v/>
      </c>
      <c r="D193" s="59"/>
      <c r="E193" s="655"/>
      <c r="F193" s="682"/>
      <c r="G193" s="31"/>
      <c r="H193" s="278" t="str">
        <f t="shared" ref="H193:H200" si="31">IF(ISBLANK(G193),"",SUBSTITUTE(TEXT(G193,"# ##0\ рублей ,00\ копеек"),",",))</f>
        <v/>
      </c>
      <c r="I193" s="59"/>
      <c r="J193" s="60"/>
      <c r="K193" s="30"/>
      <c r="L193" s="31"/>
      <c r="M193" s="278" t="str">
        <f t="shared" ref="M193:M200" si="32">IF(ISBLANK(L193),"",SUBSTITUTE(TEXT(L193,"# ##0\ рублей ,00\ копеек"),",",))</f>
        <v/>
      </c>
      <c r="N193" s="59"/>
      <c r="O193" s="60"/>
      <c r="Q193" s="139"/>
    </row>
    <row r="194" spans="1:18" ht="17.100000000000001" customHeight="1" outlineLevel="1" x14ac:dyDescent="0.3">
      <c r="A194" s="30"/>
      <c r="C194" s="278" t="str">
        <f t="shared" si="30"/>
        <v/>
      </c>
      <c r="D194" s="59"/>
      <c r="E194" s="655"/>
      <c r="F194" s="682"/>
      <c r="G194" s="32"/>
      <c r="H194" s="278" t="str">
        <f t="shared" si="31"/>
        <v/>
      </c>
      <c r="I194" s="59"/>
      <c r="J194" s="60"/>
      <c r="K194" s="30"/>
      <c r="L194" s="32"/>
      <c r="M194" s="278" t="str">
        <f t="shared" si="32"/>
        <v/>
      </c>
      <c r="N194" s="59"/>
      <c r="O194" s="60"/>
      <c r="Q194" s="128"/>
      <c r="R194" s="49" t="s">
        <v>149</v>
      </c>
    </row>
    <row r="195" spans="1:18" ht="17.100000000000001" customHeight="1" outlineLevel="1" x14ac:dyDescent="0.3">
      <c r="A195" s="30"/>
      <c r="C195" s="278" t="str">
        <f t="shared" si="30"/>
        <v/>
      </c>
      <c r="D195" s="59"/>
      <c r="E195" s="655"/>
      <c r="F195" s="682"/>
      <c r="G195" s="32"/>
      <c r="H195" s="278" t="str">
        <f t="shared" si="31"/>
        <v/>
      </c>
      <c r="I195" s="59"/>
      <c r="J195" s="60"/>
      <c r="K195" s="30"/>
      <c r="L195" s="32"/>
      <c r="M195" s="278" t="str">
        <f t="shared" si="32"/>
        <v/>
      </c>
      <c r="N195" s="59"/>
      <c r="O195" s="60"/>
    </row>
    <row r="196" spans="1:18" ht="17.100000000000001" customHeight="1" outlineLevel="1" x14ac:dyDescent="0.3">
      <c r="A196" s="30"/>
      <c r="C196" s="278" t="str">
        <f t="shared" si="30"/>
        <v/>
      </c>
      <c r="D196" s="59"/>
      <c r="E196" s="655"/>
      <c r="F196" s="682"/>
      <c r="G196" s="32"/>
      <c r="H196" s="278" t="str">
        <f t="shared" si="31"/>
        <v/>
      </c>
      <c r="I196" s="59"/>
      <c r="J196" s="60"/>
      <c r="K196" s="30"/>
      <c r="L196" s="32"/>
      <c r="M196" s="278" t="str">
        <f t="shared" si="32"/>
        <v/>
      </c>
      <c r="N196" s="59"/>
      <c r="O196" s="60"/>
    </row>
    <row r="197" spans="1:18" ht="17.100000000000001" customHeight="1" outlineLevel="1" x14ac:dyDescent="0.3">
      <c r="A197" s="30"/>
      <c r="C197" s="278" t="str">
        <f t="shared" si="30"/>
        <v/>
      </c>
      <c r="D197" s="59"/>
      <c r="E197" s="655"/>
      <c r="F197" s="682"/>
      <c r="G197" s="32"/>
      <c r="H197" s="278" t="str">
        <f t="shared" si="31"/>
        <v/>
      </c>
      <c r="I197" s="59"/>
      <c r="J197" s="60"/>
      <c r="K197" s="30"/>
      <c r="L197" s="32"/>
      <c r="M197" s="278" t="str">
        <f t="shared" si="32"/>
        <v/>
      </c>
      <c r="N197" s="59"/>
      <c r="O197" s="60"/>
    </row>
    <row r="198" spans="1:18" ht="17.100000000000001" customHeight="1" outlineLevel="1" x14ac:dyDescent="0.3">
      <c r="A198" s="30"/>
      <c r="C198" s="278" t="str">
        <f t="shared" si="30"/>
        <v/>
      </c>
      <c r="D198" s="59"/>
      <c r="E198" s="655"/>
      <c r="F198" s="682"/>
      <c r="G198" s="32"/>
      <c r="H198" s="278" t="str">
        <f t="shared" si="31"/>
        <v/>
      </c>
      <c r="I198" s="59"/>
      <c r="J198" s="60"/>
      <c r="K198" s="30"/>
      <c r="L198" s="32"/>
      <c r="M198" s="278" t="str">
        <f t="shared" si="32"/>
        <v/>
      </c>
      <c r="N198" s="59"/>
      <c r="O198" s="60"/>
    </row>
    <row r="199" spans="1:18" ht="17.100000000000001" customHeight="1" outlineLevel="1" x14ac:dyDescent="0.3">
      <c r="A199" s="30"/>
      <c r="C199" s="278" t="str">
        <f t="shared" si="30"/>
        <v/>
      </c>
      <c r="D199" s="59"/>
      <c r="E199" s="655"/>
      <c r="F199" s="682"/>
      <c r="G199" s="32"/>
      <c r="H199" s="278" t="str">
        <f t="shared" si="31"/>
        <v/>
      </c>
      <c r="I199" s="59"/>
      <c r="J199" s="60"/>
      <c r="K199" s="30"/>
      <c r="L199" s="32"/>
      <c r="M199" s="278" t="str">
        <f t="shared" si="32"/>
        <v/>
      </c>
      <c r="N199" s="59"/>
      <c r="O199" s="60"/>
    </row>
    <row r="200" spans="1:18" ht="17.100000000000001" customHeight="1" outlineLevel="1" thickBot="1" x14ac:dyDescent="0.35">
      <c r="A200" s="30"/>
      <c r="C200" s="278" t="str">
        <f t="shared" si="30"/>
        <v/>
      </c>
      <c r="D200" s="36"/>
      <c r="E200" s="647"/>
      <c r="F200" s="682"/>
      <c r="G200" s="38"/>
      <c r="H200" s="278" t="str">
        <f t="shared" si="31"/>
        <v/>
      </c>
      <c r="I200" s="36"/>
      <c r="J200" s="37"/>
      <c r="K200" s="30"/>
      <c r="L200" s="38"/>
      <c r="M200" s="278" t="str">
        <f t="shared" si="32"/>
        <v/>
      </c>
      <c r="N200" s="36"/>
      <c r="O200" s="37"/>
    </row>
    <row r="201" spans="1:18" ht="17.100000000000001" customHeight="1" outlineLevel="1" thickTop="1" thickBot="1" x14ac:dyDescent="0.35">
      <c r="A201" s="168" t="s">
        <v>45</v>
      </c>
      <c r="B201" s="205">
        <f>SUM(B191:B200)</f>
        <v>4500</v>
      </c>
      <c r="C201" s="279" t="str">
        <f>IF(B201=0,"",SUBSTITUTE(TEXT(B201,"# ##0\ рублей ,00\ копеек"),",",))</f>
        <v>4 500 рублей 00 копеек</v>
      </c>
      <c r="D201" s="196"/>
      <c r="E201" s="648"/>
      <c r="F201" s="721" t="s">
        <v>45</v>
      </c>
      <c r="G201" s="205">
        <f>SUM(G191:G200)</f>
        <v>0</v>
      </c>
      <c r="H201" s="279" t="str">
        <f>IF(G201=0,"",SUBSTITUTE(TEXT(G201,"# ##0\ рублей ,00\ копеек"),",",))</f>
        <v/>
      </c>
      <c r="I201" s="196"/>
      <c r="J201" s="196"/>
      <c r="K201" s="168" t="s">
        <v>45</v>
      </c>
      <c r="L201" s="205">
        <f>SUM(L191:L200)</f>
        <v>0</v>
      </c>
      <c r="M201" s="279" t="str">
        <f>IF(L201=0,"",SUBSTITUTE(TEXT(L201,"# ##0\ рублей ,00\ копеек"),",",))</f>
        <v/>
      </c>
      <c r="N201" s="196"/>
      <c r="O201" s="197"/>
    </row>
    <row r="202" spans="1:18" ht="17.100000000000001" customHeight="1" thickTop="1" thickBot="1" x14ac:dyDescent="0.35">
      <c r="B202" s="634"/>
      <c r="C202" s="604"/>
      <c r="D202" s="604"/>
      <c r="E202" s="604"/>
      <c r="F202" s="604"/>
    </row>
    <row r="203" spans="1:18" ht="17.100000000000001" customHeight="1" thickTop="1" thickBot="1" x14ac:dyDescent="0.35">
      <c r="A203" s="1425" t="s">
        <v>712</v>
      </c>
      <c r="B203" s="1426"/>
      <c r="C203" s="1426"/>
      <c r="D203" s="1426"/>
      <c r="E203" s="1426"/>
      <c r="F203" s="1426"/>
      <c r="G203" s="1426"/>
      <c r="H203" s="1426"/>
      <c r="I203" s="1426"/>
      <c r="J203" s="1426"/>
      <c r="K203" s="1426"/>
      <c r="L203" s="1426"/>
      <c r="M203" s="1426"/>
      <c r="N203" s="1426"/>
      <c r="O203" s="1426"/>
      <c r="P203" s="1426"/>
      <c r="Q203" s="1427"/>
    </row>
    <row r="204" spans="1:18" ht="17.100000000000001" customHeight="1" outlineLevel="1" thickTop="1" thickBot="1" x14ac:dyDescent="0.35">
      <c r="A204" s="1403" t="s">
        <v>619</v>
      </c>
      <c r="B204" s="1409"/>
      <c r="C204" s="1404"/>
      <c r="D204" s="1403" t="s">
        <v>620</v>
      </c>
      <c r="E204" s="1409"/>
      <c r="F204" s="1404"/>
      <c r="G204" s="1403" t="s">
        <v>621</v>
      </c>
      <c r="H204" s="1409"/>
      <c r="I204" s="1404"/>
      <c r="J204" s="1403" t="s">
        <v>625</v>
      </c>
      <c r="K204" s="1404"/>
      <c r="L204" s="1403" t="s">
        <v>636</v>
      </c>
      <c r="M204" s="1409"/>
      <c r="N204" s="1404"/>
      <c r="O204" s="135"/>
      <c r="P204" s="1403" t="s">
        <v>456</v>
      </c>
      <c r="Q204" s="1404"/>
    </row>
    <row r="205" spans="1:18" ht="17.100000000000001" customHeight="1" outlineLevel="1" thickTop="1" thickBot="1" x14ac:dyDescent="0.35">
      <c r="A205" s="169" t="s">
        <v>622</v>
      </c>
      <c r="B205" s="666" t="s">
        <v>5</v>
      </c>
      <c r="C205" s="34" t="s">
        <v>4</v>
      </c>
      <c r="D205" s="169" t="s">
        <v>622</v>
      </c>
      <c r="E205" s="666" t="s">
        <v>5</v>
      </c>
      <c r="F205" s="666" t="s">
        <v>4</v>
      </c>
      <c r="G205" s="169" t="s">
        <v>622</v>
      </c>
      <c r="H205" s="34" t="s">
        <v>5</v>
      </c>
      <c r="I205" s="34" t="s">
        <v>4</v>
      </c>
      <c r="J205" s="34" t="s">
        <v>5</v>
      </c>
      <c r="K205" s="34" t="s">
        <v>4</v>
      </c>
      <c r="L205" s="169" t="s">
        <v>626</v>
      </c>
      <c r="M205" s="169" t="s">
        <v>596</v>
      </c>
      <c r="N205" s="169" t="s">
        <v>627</v>
      </c>
      <c r="O205" s="136"/>
      <c r="P205" s="169" t="s">
        <v>653</v>
      </c>
      <c r="Q205" s="169" t="s">
        <v>627</v>
      </c>
    </row>
    <row r="206" spans="1:18" ht="17.100000000000001" customHeight="1" outlineLevel="1" thickTop="1" x14ac:dyDescent="0.3">
      <c r="A206" s="137"/>
      <c r="B206" s="669"/>
      <c r="C206" s="138"/>
      <c r="D206" s="138"/>
      <c r="E206" s="656"/>
      <c r="F206" s="656"/>
      <c r="G206" s="138"/>
      <c r="H206" s="138"/>
      <c r="I206" s="138"/>
      <c r="J206" s="138"/>
      <c r="K206" s="138"/>
      <c r="L206" s="198"/>
      <c r="M206" s="199"/>
      <c r="N206" s="200"/>
      <c r="O206" s="136"/>
      <c r="P206" s="294">
        <f>MAX(L206-$A$24+1,0)</f>
        <v>0</v>
      </c>
      <c r="Q206" s="295">
        <f>MAX(G210*P206*0.01,0)</f>
        <v>0</v>
      </c>
    </row>
    <row r="207" spans="1:18" ht="17.100000000000001" customHeight="1" outlineLevel="1" thickBot="1" x14ac:dyDescent="0.35">
      <c r="A207" s="130"/>
      <c r="C207" s="103"/>
      <c r="D207" s="103"/>
      <c r="E207" s="649"/>
      <c r="F207" s="649"/>
      <c r="G207" s="103"/>
      <c r="H207" s="103"/>
      <c r="I207" s="103"/>
      <c r="J207" s="103"/>
      <c r="K207" s="103"/>
      <c r="L207" s="103"/>
      <c r="M207" s="103"/>
      <c r="N207" s="292" t="str">
        <f>SUBSTITUTE(TEXT(N206,"# ##0\ рублей ,00\ копеек"),",",)</f>
        <v>0 рублей 00 копеек</v>
      </c>
      <c r="O207" s="136"/>
      <c r="P207" s="51"/>
      <c r="Q207" s="239" t="str">
        <f>SUBSTITUTE(TEXT(Q206,"# ##0\ рублей ,00\ копеек"),",",)</f>
        <v>0 рублей 00 копеек</v>
      </c>
      <c r="R207" s="49" t="s">
        <v>149</v>
      </c>
    </row>
    <row r="208" spans="1:18" ht="17.100000000000001" customHeight="1" outlineLevel="1" thickTop="1" thickBot="1" x14ac:dyDescent="0.35">
      <c r="A208" s="1407" t="s">
        <v>1</v>
      </c>
      <c r="B208" s="1421"/>
      <c r="C208" s="1408"/>
      <c r="D208" s="1403" t="s">
        <v>41</v>
      </c>
      <c r="E208" s="1404"/>
      <c r="F208" s="1407" t="s">
        <v>623</v>
      </c>
      <c r="G208" s="1421"/>
      <c r="H208" s="1408"/>
      <c r="I208" s="1403" t="s">
        <v>41</v>
      </c>
      <c r="J208" s="1404"/>
      <c r="K208" s="1407" t="s">
        <v>624</v>
      </c>
      <c r="L208" s="1421"/>
      <c r="M208" s="1408"/>
      <c r="N208" s="1403" t="s">
        <v>41</v>
      </c>
      <c r="O208" s="1404"/>
      <c r="Q208" s="139"/>
    </row>
    <row r="209" spans="1:18" ht="17.100000000000001" customHeight="1" outlineLevel="1" thickTop="1" thickBot="1" x14ac:dyDescent="0.35">
      <c r="A209" s="1422"/>
      <c r="B209" s="1423"/>
      <c r="C209" s="1424"/>
      <c r="D209" s="169" t="s">
        <v>43</v>
      </c>
      <c r="E209" s="716" t="s">
        <v>44</v>
      </c>
      <c r="F209" s="1422"/>
      <c r="G209" s="1423"/>
      <c r="H209" s="1424"/>
      <c r="I209" s="169" t="s">
        <v>43</v>
      </c>
      <c r="J209" s="169" t="s">
        <v>44</v>
      </c>
      <c r="K209" s="1422"/>
      <c r="L209" s="1423"/>
      <c r="M209" s="1424"/>
      <c r="N209" s="169" t="s">
        <v>43</v>
      </c>
      <c r="O209" s="169" t="s">
        <v>44</v>
      </c>
      <c r="Q209" s="128"/>
      <c r="R209" s="49" t="s">
        <v>149</v>
      </c>
    </row>
    <row r="210" spans="1:18" ht="17.100000000000001" customHeight="1" outlineLevel="1" thickTop="1" x14ac:dyDescent="0.3">
      <c r="A210" s="30"/>
      <c r="C210" s="278" t="str">
        <f>IF(ISBLANK(B210),"",SUBSTITUTE(TEXT(B210,"# ##0\ рублей ,00\ копеек"),",",))</f>
        <v/>
      </c>
      <c r="D210" s="59"/>
      <c r="E210" s="655"/>
      <c r="F210" s="682"/>
      <c r="G210" s="26"/>
      <c r="H210" s="278" t="str">
        <f>IF(ISBLANK(G210),"",SUBSTITUTE(TEXT(G210,"# ##0\ рублей ,00\ копеек"),",",))</f>
        <v/>
      </c>
      <c r="I210" s="59"/>
      <c r="J210" s="60"/>
      <c r="K210" s="30"/>
      <c r="L210" s="26"/>
      <c r="M210" s="278" t="str">
        <f>IF(ISBLANK(L210),"",SUBSTITUTE(TEXT(L210,"# ##0\ рублей ,00\ копеек"),",",))</f>
        <v/>
      </c>
      <c r="N210" s="59"/>
      <c r="O210" s="60"/>
      <c r="Q210" s="139"/>
    </row>
    <row r="211" spans="1:18" ht="17.100000000000001" customHeight="1" outlineLevel="1" x14ac:dyDescent="0.3">
      <c r="A211" s="30"/>
      <c r="C211" s="278" t="str">
        <f>IF(ISBLANK(B211),"",SUBSTITUTE(TEXT(B211,"# ##0\ рублей ,00\ копеек"),",",))</f>
        <v/>
      </c>
      <c r="D211" s="59"/>
      <c r="E211" s="655"/>
      <c r="F211" s="682"/>
      <c r="G211" s="31"/>
      <c r="H211" s="278" t="str">
        <f>IF(ISBLANK(G211),"",SUBSTITUTE(TEXT(G211,"# ##0\ рублей ,00\ копеек"),",",))</f>
        <v/>
      </c>
      <c r="I211" s="59"/>
      <c r="J211" s="60"/>
      <c r="K211" s="30"/>
      <c r="L211" s="31"/>
      <c r="M211" s="278" t="str">
        <f>IF(ISBLANK(L211),"",SUBSTITUTE(TEXT(L211,"# ##0\ рублей ,00\ копеек"),",",))</f>
        <v/>
      </c>
      <c r="N211" s="59"/>
      <c r="O211" s="60"/>
      <c r="Q211" s="128"/>
      <c r="R211" s="49" t="s">
        <v>149</v>
      </c>
    </row>
    <row r="212" spans="1:18" ht="17.100000000000001" customHeight="1" outlineLevel="1" x14ac:dyDescent="0.3">
      <c r="A212" s="30"/>
      <c r="C212" s="278" t="str">
        <f t="shared" ref="C212:C219" si="33">IF(ISBLANK(B212),"",SUBSTITUTE(TEXT(B212,"# ##0\ рублей ,00\ копеек"),",",))</f>
        <v/>
      </c>
      <c r="D212" s="59"/>
      <c r="E212" s="655"/>
      <c r="F212" s="682"/>
      <c r="G212" s="31"/>
      <c r="H212" s="278" t="str">
        <f t="shared" ref="H212:H219" si="34">IF(ISBLANK(G212),"",SUBSTITUTE(TEXT(G212,"# ##0\ рублей ,00\ копеек"),",",))</f>
        <v/>
      </c>
      <c r="I212" s="59"/>
      <c r="J212" s="60"/>
      <c r="K212" s="30"/>
      <c r="L212" s="31"/>
      <c r="M212" s="278" t="str">
        <f t="shared" ref="M212:M219" si="35">IF(ISBLANK(L212),"",SUBSTITUTE(TEXT(L212,"# ##0\ рублей ,00\ копеек"),",",))</f>
        <v/>
      </c>
      <c r="N212" s="59"/>
      <c r="O212" s="60"/>
      <c r="Q212" s="139"/>
    </row>
    <row r="213" spans="1:18" ht="17.100000000000001" customHeight="1" outlineLevel="1" x14ac:dyDescent="0.3">
      <c r="A213" s="30"/>
      <c r="C213" s="278" t="str">
        <f t="shared" si="33"/>
        <v/>
      </c>
      <c r="D213" s="59"/>
      <c r="E213" s="655"/>
      <c r="F213" s="682"/>
      <c r="G213" s="32"/>
      <c r="H213" s="278" t="str">
        <f t="shared" si="34"/>
        <v/>
      </c>
      <c r="I213" s="59"/>
      <c r="J213" s="60"/>
      <c r="K213" s="30"/>
      <c r="L213" s="32"/>
      <c r="M213" s="278" t="str">
        <f t="shared" si="35"/>
        <v/>
      </c>
      <c r="N213" s="59"/>
      <c r="O213" s="60"/>
      <c r="Q213" s="128"/>
      <c r="R213" s="49" t="s">
        <v>149</v>
      </c>
    </row>
    <row r="214" spans="1:18" ht="17.100000000000001" customHeight="1" outlineLevel="1" x14ac:dyDescent="0.3">
      <c r="A214" s="30"/>
      <c r="C214" s="278" t="str">
        <f t="shared" si="33"/>
        <v/>
      </c>
      <c r="D214" s="59"/>
      <c r="E214" s="655"/>
      <c r="F214" s="682"/>
      <c r="G214" s="32"/>
      <c r="H214" s="278" t="str">
        <f t="shared" si="34"/>
        <v/>
      </c>
      <c r="I214" s="59"/>
      <c r="J214" s="60"/>
      <c r="K214" s="30"/>
      <c r="L214" s="32"/>
      <c r="M214" s="278" t="str">
        <f t="shared" si="35"/>
        <v/>
      </c>
      <c r="N214" s="59"/>
      <c r="O214" s="60"/>
      <c r="Q214" s="128"/>
    </row>
    <row r="215" spans="1:18" ht="17.100000000000001" customHeight="1" outlineLevel="1" x14ac:dyDescent="0.3">
      <c r="A215" s="30"/>
      <c r="C215" s="278" t="str">
        <f t="shared" si="33"/>
        <v/>
      </c>
      <c r="D215" s="59"/>
      <c r="E215" s="655"/>
      <c r="F215" s="682"/>
      <c r="G215" s="32"/>
      <c r="H215" s="278" t="str">
        <f t="shared" si="34"/>
        <v/>
      </c>
      <c r="I215" s="59"/>
      <c r="J215" s="60"/>
      <c r="K215" s="30"/>
      <c r="L215" s="32"/>
      <c r="M215" s="278" t="str">
        <f t="shared" si="35"/>
        <v/>
      </c>
      <c r="N215" s="59"/>
      <c r="O215" s="60"/>
    </row>
    <row r="216" spans="1:18" ht="17.100000000000001" customHeight="1" outlineLevel="1" x14ac:dyDescent="0.3">
      <c r="A216" s="30"/>
      <c r="C216" s="278" t="str">
        <f t="shared" si="33"/>
        <v/>
      </c>
      <c r="D216" s="59"/>
      <c r="E216" s="655"/>
      <c r="F216" s="682"/>
      <c r="G216" s="32"/>
      <c r="H216" s="278" t="str">
        <f t="shared" si="34"/>
        <v/>
      </c>
      <c r="I216" s="59"/>
      <c r="J216" s="60"/>
      <c r="K216" s="30"/>
      <c r="L216" s="32"/>
      <c r="M216" s="278" t="str">
        <f t="shared" si="35"/>
        <v/>
      </c>
      <c r="N216" s="59"/>
      <c r="O216" s="60"/>
    </row>
    <row r="217" spans="1:18" ht="17.100000000000001" customHeight="1" outlineLevel="1" x14ac:dyDescent="0.3">
      <c r="A217" s="30"/>
      <c r="C217" s="278" t="str">
        <f t="shared" si="33"/>
        <v/>
      </c>
      <c r="D217" s="59"/>
      <c r="E217" s="655"/>
      <c r="F217" s="682"/>
      <c r="G217" s="32"/>
      <c r="H217" s="278" t="str">
        <f t="shared" si="34"/>
        <v/>
      </c>
      <c r="I217" s="59"/>
      <c r="J217" s="60"/>
      <c r="K217" s="30"/>
      <c r="L217" s="32"/>
      <c r="M217" s="278" t="str">
        <f t="shared" si="35"/>
        <v/>
      </c>
      <c r="N217" s="59"/>
      <c r="O217" s="60"/>
    </row>
    <row r="218" spans="1:18" ht="17.100000000000001" customHeight="1" outlineLevel="1" x14ac:dyDescent="0.3">
      <c r="A218" s="30"/>
      <c r="C218" s="278" t="str">
        <f t="shared" si="33"/>
        <v/>
      </c>
      <c r="D218" s="59"/>
      <c r="E218" s="655"/>
      <c r="F218" s="682"/>
      <c r="G218" s="32"/>
      <c r="H218" s="278" t="str">
        <f t="shared" si="34"/>
        <v/>
      </c>
      <c r="I218" s="59"/>
      <c r="J218" s="60"/>
      <c r="K218" s="30"/>
      <c r="L218" s="32"/>
      <c r="M218" s="278" t="str">
        <f t="shared" si="35"/>
        <v/>
      </c>
      <c r="N218" s="59"/>
      <c r="O218" s="60"/>
    </row>
    <row r="219" spans="1:18" ht="17.100000000000001" customHeight="1" outlineLevel="1" thickBot="1" x14ac:dyDescent="0.35">
      <c r="A219" s="30"/>
      <c r="C219" s="278" t="str">
        <f t="shared" si="33"/>
        <v/>
      </c>
      <c r="D219" s="36"/>
      <c r="E219" s="647"/>
      <c r="F219" s="682"/>
      <c r="G219" s="38"/>
      <c r="H219" s="278" t="str">
        <f t="shared" si="34"/>
        <v/>
      </c>
      <c r="I219" s="36"/>
      <c r="J219" s="37"/>
      <c r="K219" s="30"/>
      <c r="L219" s="38"/>
      <c r="M219" s="278" t="str">
        <f t="shared" si="35"/>
        <v/>
      </c>
      <c r="N219" s="36"/>
      <c r="O219" s="37"/>
    </row>
    <row r="220" spans="1:18" ht="17.100000000000001" customHeight="1" outlineLevel="1" thickTop="1" thickBot="1" x14ac:dyDescent="0.35">
      <c r="A220" s="168" t="s">
        <v>45</v>
      </c>
      <c r="B220" s="205">
        <f>SUM(B210:B219)</f>
        <v>0</v>
      </c>
      <c r="C220" s="279" t="str">
        <f>IF(B220=0,"",SUBSTITUTE(TEXT(B220,"# ##0\ рублей ,00\ копеек"),",",))</f>
        <v/>
      </c>
      <c r="D220" s="196"/>
      <c r="E220" s="648"/>
      <c r="F220" s="721" t="s">
        <v>45</v>
      </c>
      <c r="G220" s="205">
        <f>SUM(G210:G219)</f>
        <v>0</v>
      </c>
      <c r="H220" s="279" t="str">
        <f>IF(G220=0,"",SUBSTITUTE(TEXT(G220,"# ##0\ рублей ,00\ копеек"),",",))</f>
        <v/>
      </c>
      <c r="I220" s="196"/>
      <c r="J220" s="196"/>
      <c r="K220" s="168" t="s">
        <v>45</v>
      </c>
      <c r="L220" s="205">
        <f>SUM(L210:L219)</f>
        <v>0</v>
      </c>
      <c r="M220" s="279" t="str">
        <f>IF(L220=0,"",SUBSTITUTE(TEXT(L220,"# ##0\ рублей ,00\ копеек"),",",))</f>
        <v/>
      </c>
      <c r="N220" s="196"/>
      <c r="O220" s="197"/>
    </row>
    <row r="221" spans="1:18" ht="17.100000000000001" customHeight="1" thickTop="1" thickBot="1" x14ac:dyDescent="0.35">
      <c r="B221" s="634"/>
      <c r="C221" s="604"/>
      <c r="D221" s="604"/>
      <c r="E221" s="604"/>
      <c r="F221" s="604"/>
    </row>
    <row r="222" spans="1:18" ht="17.100000000000001" customHeight="1" thickTop="1" thickBot="1" x14ac:dyDescent="0.35">
      <c r="A222" s="1444" t="s">
        <v>3042</v>
      </c>
      <c r="B222" s="1444"/>
      <c r="C222" s="1444"/>
      <c r="D222" s="1444"/>
      <c r="E222" s="1444"/>
      <c r="F222" s="1444"/>
      <c r="G222" s="1444"/>
      <c r="H222" s="1444"/>
    </row>
    <row r="223" spans="1:18" ht="17.100000000000001" customHeight="1" outlineLevel="1" thickTop="1" thickBot="1" x14ac:dyDescent="0.35">
      <c r="A223" s="1432" t="s">
        <v>1250</v>
      </c>
      <c r="B223" s="1432"/>
      <c r="C223" s="1432" t="s">
        <v>3038</v>
      </c>
      <c r="D223" s="1432"/>
      <c r="E223" s="1433" t="s">
        <v>3035</v>
      </c>
      <c r="F223" s="1433" t="s">
        <v>3036</v>
      </c>
      <c r="G223" s="1432" t="s">
        <v>3037</v>
      </c>
      <c r="H223" s="1432"/>
    </row>
    <row r="224" spans="1:18" ht="17.100000000000001" customHeight="1" outlineLevel="1" thickTop="1" thickBot="1" x14ac:dyDescent="0.35">
      <c r="A224" s="325" t="s">
        <v>5</v>
      </c>
      <c r="B224" s="664" t="s">
        <v>4</v>
      </c>
      <c r="C224" s="325" t="s">
        <v>5</v>
      </c>
      <c r="D224" s="325" t="s">
        <v>4</v>
      </c>
      <c r="E224" s="1433"/>
      <c r="F224" s="1433"/>
      <c r="G224" s="325" t="s">
        <v>5</v>
      </c>
      <c r="H224" s="325" t="s">
        <v>11</v>
      </c>
    </row>
    <row r="225" spans="1:11" ht="17.100000000000001" customHeight="1" outlineLevel="1" thickTop="1" thickBot="1" x14ac:dyDescent="0.35">
      <c r="A225" s="326"/>
      <c r="C225" s="326"/>
      <c r="D225" s="327"/>
      <c r="E225" s="638"/>
      <c r="F225" s="679"/>
      <c r="G225" s="326"/>
      <c r="H225" s="327"/>
      <c r="I225" s="49" t="s">
        <v>149</v>
      </c>
    </row>
    <row r="226" spans="1:11" ht="17.100000000000001" customHeight="1" outlineLevel="1" thickTop="1" thickBot="1" x14ac:dyDescent="0.35">
      <c r="A226" s="1444" t="s">
        <v>3043</v>
      </c>
      <c r="B226" s="1444"/>
      <c r="C226" s="1444"/>
      <c r="D226" s="1444"/>
      <c r="E226" s="1444"/>
      <c r="F226" s="1444"/>
      <c r="G226" s="1444"/>
      <c r="H226" s="1444"/>
    </row>
    <row r="227" spans="1:11" ht="17.100000000000001" customHeight="1" outlineLevel="1" thickTop="1" thickBot="1" x14ac:dyDescent="0.35">
      <c r="A227" s="1432" t="s">
        <v>1250</v>
      </c>
      <c r="B227" s="1432"/>
      <c r="C227" s="1432" t="s">
        <v>3038</v>
      </c>
      <c r="D227" s="1432"/>
      <c r="E227" s="1433" t="s">
        <v>3035</v>
      </c>
      <c r="F227" s="1433" t="s">
        <v>3036</v>
      </c>
      <c r="G227" s="1432" t="s">
        <v>3037</v>
      </c>
      <c r="H227" s="1432"/>
    </row>
    <row r="228" spans="1:11" ht="17.100000000000001" customHeight="1" outlineLevel="1" thickTop="1" thickBot="1" x14ac:dyDescent="0.35">
      <c r="A228" s="325" t="s">
        <v>5</v>
      </c>
      <c r="B228" s="664" t="s">
        <v>4</v>
      </c>
      <c r="C228" s="325" t="s">
        <v>5</v>
      </c>
      <c r="D228" s="325" t="s">
        <v>4</v>
      </c>
      <c r="E228" s="1433"/>
      <c r="F228" s="1433"/>
      <c r="G228" s="325" t="s">
        <v>5</v>
      </c>
      <c r="H228" s="325" t="s">
        <v>11</v>
      </c>
    </row>
    <row r="229" spans="1:11" ht="17.100000000000001" customHeight="1" outlineLevel="1" thickTop="1" thickBot="1" x14ac:dyDescent="0.35">
      <c r="A229" s="329"/>
      <c r="C229" s="329"/>
      <c r="D229" s="330"/>
      <c r="E229" s="657"/>
      <c r="F229" s="687"/>
      <c r="G229" s="329"/>
      <c r="H229" s="330"/>
      <c r="I229" s="49" t="s">
        <v>149</v>
      </c>
    </row>
    <row r="230" spans="1:11" ht="17.100000000000001" customHeight="1" outlineLevel="1" thickTop="1" thickBot="1" x14ac:dyDescent="0.35">
      <c r="A230" s="1434" t="s">
        <v>3044</v>
      </c>
      <c r="B230" s="1435"/>
      <c r="C230" s="1435"/>
      <c r="D230" s="1435"/>
      <c r="E230" s="1435"/>
      <c r="F230" s="1435"/>
      <c r="G230" s="1435"/>
      <c r="H230" s="1435"/>
      <c r="I230" s="1435"/>
      <c r="J230" s="1435"/>
      <c r="K230" s="1436"/>
    </row>
    <row r="231" spans="1:11" ht="17.100000000000001" customHeight="1" outlineLevel="1" thickTop="1" thickBot="1" x14ac:dyDescent="0.35">
      <c r="A231" s="1432" t="s">
        <v>3041</v>
      </c>
      <c r="B231" s="1432"/>
      <c r="C231" s="1432" t="s">
        <v>3045</v>
      </c>
      <c r="D231" s="1432"/>
      <c r="E231" s="1429" t="s">
        <v>3046</v>
      </c>
      <c r="F231" s="1430"/>
      <c r="G231" s="1430"/>
      <c r="H231" s="1430"/>
      <c r="I231" s="1431"/>
      <c r="J231" s="1432" t="s">
        <v>3037</v>
      </c>
      <c r="K231" s="1432"/>
    </row>
    <row r="232" spans="1:11" ht="30.9" customHeight="1" outlineLevel="1" thickTop="1" thickBot="1" x14ac:dyDescent="0.35">
      <c r="A232" s="325" t="s">
        <v>5</v>
      </c>
      <c r="B232" s="664" t="s">
        <v>4</v>
      </c>
      <c r="C232" s="325" t="s">
        <v>5</v>
      </c>
      <c r="D232" s="325" t="s">
        <v>4</v>
      </c>
      <c r="E232" s="722" t="s">
        <v>605</v>
      </c>
      <c r="F232" s="722" t="s">
        <v>3048</v>
      </c>
      <c r="G232" s="325" t="s">
        <v>3050</v>
      </c>
      <c r="H232" s="325" t="s">
        <v>3049</v>
      </c>
      <c r="I232" s="325" t="s">
        <v>3051</v>
      </c>
      <c r="J232" s="325" t="s">
        <v>5</v>
      </c>
      <c r="K232" s="325" t="s">
        <v>11</v>
      </c>
    </row>
    <row r="233" spans="1:11" ht="17.100000000000001" customHeight="1" outlineLevel="1" thickTop="1" thickBot="1" x14ac:dyDescent="0.35">
      <c r="A233" s="326"/>
      <c r="C233" s="326"/>
      <c r="D233" s="327"/>
      <c r="E233" s="638"/>
      <c r="F233" s="688"/>
      <c r="G233" s="328"/>
      <c r="H233" s="326"/>
      <c r="I233" s="326"/>
      <c r="J233" s="326"/>
      <c r="K233" s="327"/>
    </row>
    <row r="234" spans="1:11" ht="17.100000000000001" customHeight="1" outlineLevel="1" thickTop="1" thickBot="1" x14ac:dyDescent="0.35">
      <c r="A234" s="1434" t="s">
        <v>3052</v>
      </c>
      <c r="B234" s="1435"/>
      <c r="C234" s="1435"/>
      <c r="D234" s="1435"/>
      <c r="E234" s="1435"/>
      <c r="F234" s="1435"/>
      <c r="G234" s="1435"/>
      <c r="H234" s="1435"/>
      <c r="I234" s="1435"/>
      <c r="J234" s="1435"/>
      <c r="K234" s="1436"/>
    </row>
    <row r="235" spans="1:11" ht="17.100000000000001" customHeight="1" outlineLevel="1" thickTop="1" thickBot="1" x14ac:dyDescent="0.35">
      <c r="A235" s="1432" t="s">
        <v>3041</v>
      </c>
      <c r="B235" s="1432"/>
      <c r="C235" s="1432" t="s">
        <v>3045</v>
      </c>
      <c r="D235" s="1432"/>
      <c r="E235" s="1429" t="s">
        <v>3046</v>
      </c>
      <c r="F235" s="1430"/>
      <c r="G235" s="1430"/>
      <c r="H235" s="1430"/>
      <c r="I235" s="1431"/>
      <c r="J235" s="1432" t="s">
        <v>3037</v>
      </c>
      <c r="K235" s="1432"/>
    </row>
    <row r="236" spans="1:11" ht="33.9" customHeight="1" outlineLevel="1" thickTop="1" thickBot="1" x14ac:dyDescent="0.35">
      <c r="A236" s="325" t="s">
        <v>5</v>
      </c>
      <c r="B236" s="664" t="s">
        <v>4</v>
      </c>
      <c r="C236" s="325" t="s">
        <v>5</v>
      </c>
      <c r="D236" s="325" t="s">
        <v>4</v>
      </c>
      <c r="E236" s="722" t="s">
        <v>605</v>
      </c>
      <c r="F236" s="722" t="s">
        <v>3048</v>
      </c>
      <c r="G236" s="325" t="s">
        <v>3050</v>
      </c>
      <c r="H236" s="325" t="s">
        <v>3049</v>
      </c>
      <c r="I236" s="325" t="s">
        <v>3051</v>
      </c>
      <c r="J236" s="325" t="s">
        <v>5</v>
      </c>
      <c r="K236" s="325" t="s">
        <v>11</v>
      </c>
    </row>
    <row r="237" spans="1:11" ht="17.100000000000001" customHeight="1" outlineLevel="1" thickTop="1" x14ac:dyDescent="0.3">
      <c r="A237" s="326"/>
      <c r="B237" s="667"/>
      <c r="C237" s="326"/>
      <c r="D237" s="327"/>
      <c r="E237" s="638"/>
      <c r="F237" s="688"/>
      <c r="G237" s="328"/>
      <c r="H237" s="326"/>
      <c r="I237" s="326"/>
      <c r="J237" s="326"/>
      <c r="K237" s="327"/>
    </row>
    <row r="238" spans="1:11" s="604" customFormat="1" ht="17.100000000000001" customHeight="1" thickBot="1" x14ac:dyDescent="0.35">
      <c r="B238" s="634"/>
    </row>
    <row r="239" spans="1:11" ht="18" customHeight="1" thickTop="1" thickBot="1" x14ac:dyDescent="0.35">
      <c r="A239" s="1442" t="s">
        <v>4926</v>
      </c>
      <c r="B239" s="1443"/>
      <c r="D239" s="1442" t="s">
        <v>678</v>
      </c>
      <c r="E239" s="1443"/>
      <c r="F239" s="1442" t="s">
        <v>572</v>
      </c>
      <c r="G239" s="1443"/>
    </row>
    <row r="240" spans="1:11" ht="17.100000000000001" customHeight="1" outlineLevel="1" thickTop="1" x14ac:dyDescent="0.3">
      <c r="A240" s="380" t="s">
        <v>4925</v>
      </c>
      <c r="B240" t="b">
        <v>1</v>
      </c>
      <c r="D240" s="670" t="s">
        <v>5</v>
      </c>
      <c r="E240" s="1153">
        <f>IF(NOT(ISBLANK(A31)),A31,IF(NOT(ISBLANK(A57)),A57,IF(NOT(ISBLANK(A83)),A83,IF(NOT(ISBLANK(A109)),A109,IF(NOT(ISBLANK(A135)),A135,IF(NOT(ISBLANK(A161)),A161,""))))))</f>
        <v>43937</v>
      </c>
      <c r="F240" s="713" t="s">
        <v>5</v>
      </c>
      <c r="G240" s="392">
        <f>IF(NOT(ISBLANK(A27)),A27,IF(NOT(ISBLANK(A53)),A53,IF(NOT(ISBLANK(A79)),A79,IF(NOT(ISBLANK(A105)),A105,IF(NOT(ISBLANK(A131)),A131,IF(NOT(ISBLANK(A157)),A157,""))))))</f>
        <v>43562</v>
      </c>
    </row>
    <row r="241" spans="1:7" ht="17.100000000000001" customHeight="1" outlineLevel="1" x14ac:dyDescent="0.3">
      <c r="A241" s="378" t="s">
        <v>4922</v>
      </c>
      <c r="B241" t="b">
        <v>1</v>
      </c>
      <c r="D241" s="391" t="s">
        <v>4</v>
      </c>
      <c r="E241" s="1154" t="str">
        <f>IF(NOT(ISBLANK(B31)),B31,IF(NOT(ISBLANK(B57)),B57,IF(NOT(ISBLANK(B83)),B83,IF(NOT(ISBLANK(B109)),B109,IF(NOT(ISBLANK(B135)),B135,IF(NOT(ISBLANK(B161)),B161,""))))))</f>
        <v>055/2020</v>
      </c>
      <c r="F241" s="714" t="s">
        <v>4</v>
      </c>
      <c r="G241" s="676" t="str">
        <f>IF(NOT(ISBLANK(B27)),B27,IF(NOT(ISBLANK(B53)),B53,IF(NOT(ISBLANK(B79)),B79,IF(NOT(ISBLANK(B105)),B105,IF(NOT(ISBLANK(B131)),B131,IF(NOT(ISBLANK(B157)),B157,""))))))</f>
        <v>661843-51СН</v>
      </c>
    </row>
    <row r="242" spans="1:7" ht="17.100000000000001" customHeight="1" outlineLevel="1" thickBot="1" x14ac:dyDescent="0.35">
      <c r="A242" s="378" t="s">
        <v>4923</v>
      </c>
      <c r="D242" s="671" t="s">
        <v>599</v>
      </c>
      <c r="E242" s="1155" t="str">
        <f>IF(NOT(ISBLANK(C31)),C31,IF(NOT(ISBLANK(C57)),C57,IF(NOT(ISBLANK(C83)),C83,IF(NOT(ISBLANK(C109)),C109,IF(NOT(ISBLANK(C135)),C135,IF(NOT(ISBLANK(C161)),C161,""))))))</f>
        <v>ООО «Кстовская оценочная палата»</v>
      </c>
      <c r="F242" s="715" t="s">
        <v>599</v>
      </c>
      <c r="G242" s="393" t="str">
        <f>IF(NOT(ISBLANK(C27)),C27,IF(NOT(ISBLANK(C53)),C53,IF(NOT(ISBLANK(C79)),C79,IF(NOT(ISBLANK(C105)),C105,IF(NOT(ISBLANK(C131)),C131,IF(NOT(ISBLANK(C157)),C157,""))))))</f>
        <v>ООО «АНЭКС»</v>
      </c>
    </row>
    <row r="243" spans="1:7" ht="17.100000000000001" customHeight="1" outlineLevel="1" thickTop="1" x14ac:dyDescent="0.3">
      <c r="A243" s="378" t="s">
        <v>4926</v>
      </c>
      <c r="B243" t="b">
        <v>1</v>
      </c>
      <c r="D243" s="672" t="s">
        <v>600</v>
      </c>
      <c r="E243" s="1156">
        <f>IF(NOT(ISBLANK(D31)),D31,IF(NOT(ISBLANK(D57)),D57,IF(NOT(ISBLANK(D83)),D83,IF(NOT(ISBLANK(D109)),D109,IF(NOT(ISBLANK(D135)),D135,IF(NOT(ISBLANK(D161)),D161,""))))))</f>
        <v>425398</v>
      </c>
    </row>
    <row r="244" spans="1:7" ht="17.100000000000001" customHeight="1" outlineLevel="1" thickBot="1" x14ac:dyDescent="0.35">
      <c r="A244" s="379" t="s">
        <v>4924</v>
      </c>
      <c r="D244" s="673" t="s">
        <v>601</v>
      </c>
      <c r="E244" s="1156">
        <f>IF(NOT(ISBLANK(E31)),E31,IF(NOT(ISBLANK(E57)),E57,IF(NOT(ISBLANK(E83)),E83,IF(NOT(ISBLANK(E109)),E109,IF(NOT(ISBLANK(E135)),E135,IF(NOT(ISBLANK(E161)),E161,""))))))</f>
        <v>269722</v>
      </c>
    </row>
    <row r="245" spans="1:7" ht="17.100000000000001" customHeight="1" outlineLevel="1" thickTop="1" thickBot="1" x14ac:dyDescent="0.35">
      <c r="D245" s="672" t="s">
        <v>602</v>
      </c>
      <c r="E245" s="1156" t="str">
        <f>IF(NOT(ISBLANK(F31)),F31,IF(NOT(ISBLANK(F57)),F57,IF(NOT(ISBLANK(F83)),F83,IF(NOT(ISBLANK(F109)),F109,IF(NOT(ISBLANK(F135)),F135,IF(NOT(ISBLANK(F161)),F161,""))))))</f>
        <v/>
      </c>
    </row>
    <row r="246" spans="1:7" ht="17.100000000000001" customHeight="1" outlineLevel="1" thickTop="1" thickBot="1" x14ac:dyDescent="0.35">
      <c r="A246" s="1442" t="s">
        <v>645</v>
      </c>
      <c r="B246" s="1443"/>
      <c r="D246" s="672" t="s">
        <v>603</v>
      </c>
      <c r="E246" s="1156" t="str">
        <f>IF(NOT(ISBLANK(G31)),G31,IF(NOT(ISBLANK(G57)),G57,IF(NOT(ISBLANK(G83)),G83,IF(NOT(ISBLANK(G109)),G109,IF(NOT(ISBLANK(G135)),G135,IF(NOT(ISBLANK(G161)),G161,""))))))</f>
        <v/>
      </c>
    </row>
    <row r="247" spans="1:7" ht="17.100000000000001" customHeight="1" outlineLevel="1" thickTop="1" thickBot="1" x14ac:dyDescent="0.35">
      <c r="A247" s="380" t="s">
        <v>5729</v>
      </c>
      <c r="D247" s="674" t="s">
        <v>604</v>
      </c>
      <c r="E247" s="1157" t="str">
        <f>IF(NOT(ISBLANK(L31)),L31,IF(NOT(ISBLANK(L57)),L57,IF(NOT(ISBLANK(L83)),L83,IF(NOT(ISBLANK(L109)),L109,IF(NOT(ISBLANK(L135)),L135,IF(NOT(ISBLANK(L161)),L161,""))))))</f>
        <v/>
      </c>
    </row>
    <row r="248" spans="1:7" ht="17.100000000000001" customHeight="1" outlineLevel="1" thickTop="1" x14ac:dyDescent="0.3">
      <c r="A248" s="378" t="s">
        <v>5730</v>
      </c>
    </row>
    <row r="249" spans="1:7" ht="17.100000000000001" customHeight="1" outlineLevel="1" x14ac:dyDescent="0.3">
      <c r="A249" s="378"/>
    </row>
    <row r="250" spans="1:7" ht="17.100000000000001" customHeight="1" outlineLevel="1" x14ac:dyDescent="0.3">
      <c r="A250" s="378"/>
    </row>
    <row r="251" spans="1:7" ht="17.100000000000001" customHeight="1" outlineLevel="1" thickBot="1" x14ac:dyDescent="0.35">
      <c r="A251" s="379"/>
    </row>
    <row r="252" spans="1:7" s="604" customFormat="1" ht="17.100000000000001" customHeight="1" thickTop="1" x14ac:dyDescent="0.3">
      <c r="B252" s="634"/>
    </row>
    <row r="1788" spans="6:6" ht="17.100000000000001" customHeight="1" x14ac:dyDescent="0.3">
      <c r="F1788" s="689"/>
    </row>
    <row r="1968" spans="4:4" ht="17.100000000000001" customHeight="1" x14ac:dyDescent="0.3">
      <c r="D1968" s="115">
        <v>43957</v>
      </c>
    </row>
    <row r="2129" spans="4:6" ht="17.100000000000001" customHeight="1" x14ac:dyDescent="0.3">
      <c r="D2129" s="616"/>
      <c r="F2129" s="690"/>
    </row>
  </sheetData>
  <mergeCells count="177">
    <mergeCell ref="A246:B246"/>
    <mergeCell ref="D239:E239"/>
    <mergeCell ref="F239:G239"/>
    <mergeCell ref="A235:B235"/>
    <mergeCell ref="C235:D235"/>
    <mergeCell ref="J99:N99"/>
    <mergeCell ref="J125:N125"/>
    <mergeCell ref="A239:B239"/>
    <mergeCell ref="F208:H209"/>
    <mergeCell ref="I208:J208"/>
    <mergeCell ref="K208:M209"/>
    <mergeCell ref="A230:K230"/>
    <mergeCell ref="A223:B223"/>
    <mergeCell ref="C223:D223"/>
    <mergeCell ref="E223:E224"/>
    <mergeCell ref="F223:F224"/>
    <mergeCell ref="G223:H223"/>
    <mergeCell ref="A222:H222"/>
    <mergeCell ref="A226:H226"/>
    <mergeCell ref="A227:B227"/>
    <mergeCell ref="C227:D227"/>
    <mergeCell ref="A231:B231"/>
    <mergeCell ref="C231:D231"/>
    <mergeCell ref="E227:E228"/>
    <mergeCell ref="E5:I5"/>
    <mergeCell ref="J12:L12"/>
    <mergeCell ref="F21:G21"/>
    <mergeCell ref="K37:L37"/>
    <mergeCell ref="K63:L63"/>
    <mergeCell ref="C47:E47"/>
    <mergeCell ref="F99:G99"/>
    <mergeCell ref="U15:W15"/>
    <mergeCell ref="V16:W16"/>
    <mergeCell ref="N43:V43"/>
    <mergeCell ref="A55:H55"/>
    <mergeCell ref="I55:L55"/>
    <mergeCell ref="K59:L59"/>
    <mergeCell ref="F47:G47"/>
    <mergeCell ref="A5:D5"/>
    <mergeCell ref="A47:B47"/>
    <mergeCell ref="K85:L85"/>
    <mergeCell ref="I51:L51"/>
    <mergeCell ref="H99:I99"/>
    <mergeCell ref="F59:H59"/>
    <mergeCell ref="K89:L89"/>
    <mergeCell ref="A33:C33"/>
    <mergeCell ref="F33:H33"/>
    <mergeCell ref="K33:L33"/>
    <mergeCell ref="E235:I235"/>
    <mergeCell ref="J235:K235"/>
    <mergeCell ref="A159:H159"/>
    <mergeCell ref="I159:L159"/>
    <mergeCell ref="J231:K231"/>
    <mergeCell ref="E231:I231"/>
    <mergeCell ref="A163:C163"/>
    <mergeCell ref="F227:F228"/>
    <mergeCell ref="G227:H227"/>
    <mergeCell ref="A234:K234"/>
    <mergeCell ref="A208:C209"/>
    <mergeCell ref="D208:E208"/>
    <mergeCell ref="J185:K185"/>
    <mergeCell ref="K167:L167"/>
    <mergeCell ref="D185:F185"/>
    <mergeCell ref="G185:I185"/>
    <mergeCell ref="F163:H163"/>
    <mergeCell ref="K163:L163"/>
    <mergeCell ref="A176:K176"/>
    <mergeCell ref="A180:G180"/>
    <mergeCell ref="X15:X16"/>
    <mergeCell ref="J151:L151"/>
    <mergeCell ref="N208:O208"/>
    <mergeCell ref="P204:Q204"/>
    <mergeCell ref="N189:O189"/>
    <mergeCell ref="A189:C190"/>
    <mergeCell ref="D189:E189"/>
    <mergeCell ref="F189:H190"/>
    <mergeCell ref="A204:C204"/>
    <mergeCell ref="D204:F204"/>
    <mergeCell ref="G204:I204"/>
    <mergeCell ref="J204:K204"/>
    <mergeCell ref="L204:N204"/>
    <mergeCell ref="A203:Q203"/>
    <mergeCell ref="I189:J189"/>
    <mergeCell ref="K189:M190"/>
    <mergeCell ref="A59:C59"/>
    <mergeCell ref="A184:Q184"/>
    <mergeCell ref="A185:C185"/>
    <mergeCell ref="P185:Q185"/>
    <mergeCell ref="L185:N185"/>
    <mergeCell ref="C99:E99"/>
    <mergeCell ref="A98:N98"/>
    <mergeCell ref="F73:G73"/>
    <mergeCell ref="S16:T16"/>
    <mergeCell ref="O15:Q15"/>
    <mergeCell ref="A20:N20"/>
    <mergeCell ref="N29:V29"/>
    <mergeCell ref="A21:B21"/>
    <mergeCell ref="H21:I21"/>
    <mergeCell ref="C21:E21"/>
    <mergeCell ref="H73:I73"/>
    <mergeCell ref="A72:N72"/>
    <mergeCell ref="J73:N73"/>
    <mergeCell ref="A73:B73"/>
    <mergeCell ref="C73:E73"/>
    <mergeCell ref="A85:C85"/>
    <mergeCell ref="A81:H81"/>
    <mergeCell ref="I81:L81"/>
    <mergeCell ref="F85:H85"/>
    <mergeCell ref="A51:H51"/>
    <mergeCell ref="J21:N21"/>
    <mergeCell ref="G17:H17"/>
    <mergeCell ref="N41:V41"/>
    <mergeCell ref="K141:L141"/>
    <mergeCell ref="K137:L137"/>
    <mergeCell ref="A151:B151"/>
    <mergeCell ref="A137:C137"/>
    <mergeCell ref="F137:H137"/>
    <mergeCell ref="C151:E151"/>
    <mergeCell ref="I133:L133"/>
    <mergeCell ref="A125:B125"/>
    <mergeCell ref="A99:B99"/>
    <mergeCell ref="K115:L115"/>
    <mergeCell ref="A129:H129"/>
    <mergeCell ref="I129:L129"/>
    <mergeCell ref="H125:I125"/>
    <mergeCell ref="A111:C111"/>
    <mergeCell ref="F111:H111"/>
    <mergeCell ref="A103:H103"/>
    <mergeCell ref="I103:L103"/>
    <mergeCell ref="A107:H107"/>
    <mergeCell ref="I107:L107"/>
    <mergeCell ref="C125:E125"/>
    <mergeCell ref="F125:G125"/>
    <mergeCell ref="A124:N124"/>
    <mergeCell ref="A155:H155"/>
    <mergeCell ref="I155:L155"/>
    <mergeCell ref="A9:I9"/>
    <mergeCell ref="A13:I13"/>
    <mergeCell ref="Y15:Y16"/>
    <mergeCell ref="C17:C18"/>
    <mergeCell ref="R15:T15"/>
    <mergeCell ref="P16:Q16"/>
    <mergeCell ref="N30:P30"/>
    <mergeCell ref="H47:I47"/>
    <mergeCell ref="J47:N47"/>
    <mergeCell ref="A46:N46"/>
    <mergeCell ref="U30:V30"/>
    <mergeCell ref="A25:H25"/>
    <mergeCell ref="I25:L25"/>
    <mergeCell ref="A29:H29"/>
    <mergeCell ref="I29:L29"/>
    <mergeCell ref="K111:L111"/>
    <mergeCell ref="A133:H133"/>
    <mergeCell ref="A77:H77"/>
    <mergeCell ref="I77:L77"/>
    <mergeCell ref="F151:G151"/>
    <mergeCell ref="A150:N150"/>
    <mergeCell ref="H151:I151"/>
    <mergeCell ref="A1:B1"/>
    <mergeCell ref="C1:D1"/>
    <mergeCell ref="E1:E2"/>
    <mergeCell ref="Z1:AA1"/>
    <mergeCell ref="AB1:AC1"/>
    <mergeCell ref="AD1:AD2"/>
    <mergeCell ref="AE1:AF1"/>
    <mergeCell ref="AG1:AH1"/>
    <mergeCell ref="AI1:AI2"/>
    <mergeCell ref="V1:Y1"/>
    <mergeCell ref="M1:N1"/>
    <mergeCell ref="I1:I2"/>
    <mergeCell ref="J1:J2"/>
    <mergeCell ref="R1:S1"/>
    <mergeCell ref="G1:G2"/>
    <mergeCell ref="Q1:Q2"/>
    <mergeCell ref="T1:U1"/>
    <mergeCell ref="O1:P1"/>
    <mergeCell ref="H1:H2"/>
  </mergeCells>
  <conditionalFormatting sqref="H3:I3">
    <cfRule type="notContainsBlanks" dxfId="453" priority="566">
      <formula>LEN(TRIM(H3))&gt;0</formula>
    </cfRule>
    <cfRule type="containsBlanks" dxfId="452" priority="567">
      <formula>LEN(TRIM(H3))=0</formula>
    </cfRule>
  </conditionalFormatting>
  <conditionalFormatting sqref="G3">
    <cfRule type="containsBlanks" dxfId="451" priority="540">
      <formula>LEN(TRIM(G3))=0</formula>
    </cfRule>
    <cfRule type="expression" dxfId="450" priority="560">
      <formula>$G$3&lt;&gt;$N$13</formula>
    </cfRule>
    <cfRule type="expression" dxfId="449" priority="561">
      <formula>$G$3=$N$13</formula>
    </cfRule>
  </conditionalFormatting>
  <conditionalFormatting sqref="A18">
    <cfRule type="cellIs" dxfId="448" priority="534" operator="notBetween">
      <formula>$G$15</formula>
      <formula>$H$15</formula>
    </cfRule>
    <cfRule type="containsBlanks" dxfId="447" priority="536">
      <formula>LEN(TRIM(A18))=0</formula>
    </cfRule>
    <cfRule type="cellIs" dxfId="446" priority="537" operator="between">
      <formula>$G$15</formula>
      <formula>$H$15</formula>
    </cfRule>
  </conditionalFormatting>
  <conditionalFormatting sqref="E18">
    <cfRule type="containsText" dxfId="445" priority="554" operator="containsText" text="К ВИНОВНИКУ">
      <formula>NOT(ISERROR(SEARCH("К ВИНОВНИКУ",E18)))</formula>
    </cfRule>
    <cfRule type="containsText" dxfId="444" priority="555" operator="containsText" text="ПВУ">
      <formula>NOT(ISERROR(SEARCH("ПВУ",E18)))</formula>
    </cfRule>
    <cfRule type="containsBlanks" dxfId="443" priority="572">
      <formula>LEN(TRIM(E18))=0</formula>
    </cfRule>
  </conditionalFormatting>
  <conditionalFormatting sqref="C3:E3">
    <cfRule type="containsBlanks" dxfId="442" priority="348">
      <formula>LEN(TRIM(C3))=0</formula>
    </cfRule>
    <cfRule type="notContainsBlanks" dxfId="441" priority="349">
      <formula>LEN(TRIM(C3))&gt;0</formula>
    </cfRule>
  </conditionalFormatting>
  <conditionalFormatting sqref="A178:D178 F178:K178 A233:K233">
    <cfRule type="containsBlanks" dxfId="440" priority="344">
      <formula>LEN(TRIM(A178))=0</formula>
    </cfRule>
    <cfRule type="notContainsBlanks" dxfId="439" priority="345">
      <formula>LEN(TRIM(A178))&gt;0</formula>
    </cfRule>
  </conditionalFormatting>
  <conditionalFormatting sqref="F182">
    <cfRule type="notContainsBlanks" dxfId="438" priority="342">
      <formula>LEN(TRIM(F182))&gt;0</formula>
    </cfRule>
    <cfRule type="containsBlanks" dxfId="437" priority="343">
      <formula>LEN(TRIM(F182))=0</formula>
    </cfRule>
  </conditionalFormatting>
  <conditionalFormatting sqref="G23:N23">
    <cfRule type="containsBlanks" dxfId="436" priority="336">
      <formula>LEN(TRIM(G23))=0</formula>
    </cfRule>
    <cfRule type="notContainsBlanks" dxfId="435" priority="337">
      <formula>LEN(TRIM(G23))&gt;0</formula>
    </cfRule>
  </conditionalFormatting>
  <conditionalFormatting sqref="A27:L27">
    <cfRule type="notContainsBlanks" dxfId="434" priority="334">
      <formula>LEN(TRIM(A27))&gt;0</formula>
    </cfRule>
    <cfRule type="containsBlanks" dxfId="433" priority="335">
      <formula>LEN(TRIM(A27))=0</formula>
    </cfRule>
  </conditionalFormatting>
  <conditionalFormatting sqref="A31:L31">
    <cfRule type="notContainsBlanks" dxfId="432" priority="332">
      <formula>LEN(TRIM(A31))&gt;0</formula>
    </cfRule>
    <cfRule type="containsBlanks" dxfId="431" priority="333">
      <formula>LEN(TRIM(A31))=0</formula>
    </cfRule>
  </conditionalFormatting>
  <conditionalFormatting sqref="F49 H49:M49">
    <cfRule type="containsBlanks" dxfId="430" priority="330">
      <formula>LEN(TRIM(F49))=0</formula>
    </cfRule>
    <cfRule type="notContainsBlanks" dxfId="429" priority="331">
      <formula>LEN(TRIM(F49))&gt;0</formula>
    </cfRule>
  </conditionalFormatting>
  <conditionalFormatting sqref="A53:L53">
    <cfRule type="notContainsBlanks" dxfId="428" priority="328">
      <formula>LEN(TRIM(A53))&gt;0</formula>
    </cfRule>
    <cfRule type="containsBlanks" dxfId="427" priority="329">
      <formula>LEN(TRIM(A53))=0</formula>
    </cfRule>
  </conditionalFormatting>
  <conditionalFormatting sqref="A57:L57">
    <cfRule type="notContainsBlanks" dxfId="426" priority="326">
      <formula>LEN(TRIM(A57))&gt;0</formula>
    </cfRule>
    <cfRule type="containsBlanks" dxfId="425" priority="327">
      <formula>LEN(TRIM(A57))=0</formula>
    </cfRule>
  </conditionalFormatting>
  <conditionalFormatting sqref="F75:M75">
    <cfRule type="containsBlanks" dxfId="424" priority="324">
      <formula>LEN(TRIM(F75))=0</formula>
    </cfRule>
    <cfRule type="notContainsBlanks" dxfId="423" priority="325">
      <formula>LEN(TRIM(F75))&gt;0</formula>
    </cfRule>
  </conditionalFormatting>
  <conditionalFormatting sqref="A79:L79">
    <cfRule type="notContainsBlanks" dxfId="422" priority="322">
      <formula>LEN(TRIM(A79))&gt;0</formula>
    </cfRule>
    <cfRule type="containsBlanks" dxfId="421" priority="323">
      <formula>LEN(TRIM(A79))=0</formula>
    </cfRule>
  </conditionalFormatting>
  <conditionalFormatting sqref="E83:L83">
    <cfRule type="notContainsBlanks" dxfId="420" priority="320">
      <formula>LEN(TRIM(E83))&gt;0</formula>
    </cfRule>
    <cfRule type="containsBlanks" dxfId="419" priority="321">
      <formula>LEN(TRIM(E83))=0</formula>
    </cfRule>
  </conditionalFormatting>
  <conditionalFormatting sqref="G19:H19">
    <cfRule type="notContainsBlanks" dxfId="418" priority="318">
      <formula>LEN(TRIM(G19))&gt;0</formula>
    </cfRule>
    <cfRule type="containsBlanks" dxfId="417" priority="319">
      <formula>LEN(TRIM(G19))=0</formula>
    </cfRule>
  </conditionalFormatting>
  <conditionalFormatting sqref="C101:D101 F101:M101">
    <cfRule type="containsBlanks" dxfId="416" priority="316">
      <formula>LEN(TRIM(C101))=0</formula>
    </cfRule>
    <cfRule type="notContainsBlanks" dxfId="415" priority="317">
      <formula>LEN(TRIM(C101))&gt;0</formula>
    </cfRule>
  </conditionalFormatting>
  <conditionalFormatting sqref="A127:D127 F127:M127">
    <cfRule type="containsBlanks" dxfId="414" priority="314">
      <formula>LEN(TRIM(A127))=0</formula>
    </cfRule>
    <cfRule type="notContainsBlanks" dxfId="413" priority="315">
      <formula>LEN(TRIM(A127))&gt;0</formula>
    </cfRule>
  </conditionalFormatting>
  <conditionalFormatting sqref="A153:D153 F153:M153">
    <cfRule type="containsBlanks" dxfId="412" priority="312">
      <formula>LEN(TRIM(A153))=0</formula>
    </cfRule>
    <cfRule type="notContainsBlanks" dxfId="411" priority="313">
      <formula>LEN(TRIM(A153))&gt;0</formula>
    </cfRule>
  </conditionalFormatting>
  <conditionalFormatting sqref="A105:L105">
    <cfRule type="notContainsBlanks" dxfId="410" priority="310">
      <formula>LEN(TRIM(A105))&gt;0</formula>
    </cfRule>
    <cfRule type="containsBlanks" dxfId="409" priority="311">
      <formula>LEN(TRIM(A105))=0</formula>
    </cfRule>
  </conditionalFormatting>
  <conditionalFormatting sqref="A131:L131">
    <cfRule type="notContainsBlanks" dxfId="408" priority="308">
      <formula>LEN(TRIM(A131))&gt;0</formula>
    </cfRule>
    <cfRule type="containsBlanks" dxfId="407" priority="309">
      <formula>LEN(TRIM(A131))=0</formula>
    </cfRule>
  </conditionalFormatting>
  <conditionalFormatting sqref="A157:L157">
    <cfRule type="notContainsBlanks" dxfId="406" priority="306">
      <formula>LEN(TRIM(A157))&gt;0</formula>
    </cfRule>
    <cfRule type="containsBlanks" dxfId="405" priority="307">
      <formula>LEN(TRIM(A157))=0</formula>
    </cfRule>
  </conditionalFormatting>
  <conditionalFormatting sqref="A109:L109">
    <cfRule type="notContainsBlanks" dxfId="404" priority="304">
      <formula>LEN(TRIM(A109))&gt;0</formula>
    </cfRule>
    <cfRule type="containsBlanks" dxfId="403" priority="305">
      <formula>LEN(TRIM(A109))=0</formula>
    </cfRule>
  </conditionalFormatting>
  <conditionalFormatting sqref="A135:L135">
    <cfRule type="notContainsBlanks" dxfId="402" priority="302">
      <formula>LEN(TRIM(A135))&gt;0</formula>
    </cfRule>
    <cfRule type="containsBlanks" dxfId="401" priority="303">
      <formula>LEN(TRIM(A135))=0</formula>
    </cfRule>
  </conditionalFormatting>
  <conditionalFormatting sqref="A161:L161">
    <cfRule type="notContainsBlanks" dxfId="400" priority="300">
      <formula>LEN(TRIM(A161))&gt;0</formula>
    </cfRule>
    <cfRule type="containsBlanks" dxfId="399" priority="301">
      <formula>LEN(TRIM(A161))=0</formula>
    </cfRule>
  </conditionalFormatting>
  <conditionalFormatting sqref="A187:N187">
    <cfRule type="containsBlanks" dxfId="398" priority="298">
      <formula>LEN(TRIM(A187))=0</formula>
    </cfRule>
    <cfRule type="notContainsBlanks" dxfId="397" priority="299">
      <formula>LEN(TRIM(A187))&gt;0</formula>
    </cfRule>
  </conditionalFormatting>
  <conditionalFormatting sqref="A206:N206">
    <cfRule type="containsBlanks" dxfId="396" priority="296">
      <formula>LEN(TRIM(A206))=0</formula>
    </cfRule>
    <cfRule type="notContainsBlanks" dxfId="395" priority="297">
      <formula>LEN(TRIM(A206))&gt;0</formula>
    </cfRule>
  </conditionalFormatting>
  <conditionalFormatting sqref="C7:D7">
    <cfRule type="containsBlanks" dxfId="394" priority="284">
      <formula>LEN(TRIM(C7))=0</formula>
    </cfRule>
    <cfRule type="notContainsBlanks" dxfId="393" priority="285">
      <formula>LEN(TRIM(C7))&gt;0</formula>
    </cfRule>
  </conditionalFormatting>
  <conditionalFormatting sqref="A11 I11">
    <cfRule type="notContainsBlanks" dxfId="392" priority="282">
      <formula>LEN(TRIM(A11))&gt;0</formula>
    </cfRule>
    <cfRule type="containsBlanks" dxfId="391" priority="283">
      <formula>LEN(TRIM(A11))=0</formula>
    </cfRule>
  </conditionalFormatting>
  <conditionalFormatting sqref="A15 C15">
    <cfRule type="notContainsBlanks" dxfId="390" priority="280">
      <formula>LEN(TRIM(A15))&gt;0</formula>
    </cfRule>
    <cfRule type="containsBlanks" dxfId="389" priority="281">
      <formula>LEN(TRIM(A15))=0</formula>
    </cfRule>
  </conditionalFormatting>
  <conditionalFormatting sqref="A23 C23:D23 F23">
    <cfRule type="containsBlanks" dxfId="388" priority="278">
      <formula>LEN(TRIM(A23))=0</formula>
    </cfRule>
    <cfRule type="notContainsBlanks" dxfId="387" priority="279">
      <formula>LEN(TRIM(A23))&gt;0</formula>
    </cfRule>
  </conditionalFormatting>
  <conditionalFormatting sqref="A49 C49:D49">
    <cfRule type="containsBlanks" dxfId="386" priority="276">
      <formula>LEN(TRIM(A49))=0</formula>
    </cfRule>
    <cfRule type="notContainsBlanks" dxfId="385" priority="277">
      <formula>LEN(TRIM(A49))&gt;0</formula>
    </cfRule>
  </conditionalFormatting>
  <conditionalFormatting sqref="I15">
    <cfRule type="notContainsBlanks" dxfId="384" priority="272">
      <formula>LEN(TRIM(I15))&gt;0</formula>
    </cfRule>
    <cfRule type="containsBlanks" dxfId="383" priority="273">
      <formula>LEN(TRIM(I15))=0</formula>
    </cfRule>
  </conditionalFormatting>
  <conditionalFormatting sqref="B49">
    <cfRule type="containsBlanks" dxfId="382" priority="270">
      <formula>LEN(TRIM(B49))=0</formula>
    </cfRule>
    <cfRule type="notContainsBlanks" dxfId="381" priority="271">
      <formula>LEN(TRIM(B49))&gt;0</formula>
    </cfRule>
  </conditionalFormatting>
  <conditionalFormatting sqref="E23">
    <cfRule type="containsBlanks" dxfId="380" priority="264">
      <formula>LEN(TRIM(E23))=0</formula>
    </cfRule>
    <cfRule type="notContainsBlanks" dxfId="379" priority="265">
      <formula>LEN(TRIM(E23))&gt;0</formula>
    </cfRule>
  </conditionalFormatting>
  <conditionalFormatting sqref="L16">
    <cfRule type="containsBlanks" dxfId="378" priority="262">
      <formula>LEN(TRIM(L16))=0</formula>
    </cfRule>
    <cfRule type="notContainsBlanks" dxfId="377" priority="574">
      <formula>LEN(TRIM(L16))&gt;0</formula>
    </cfRule>
  </conditionalFormatting>
  <conditionalFormatting sqref="H180">
    <cfRule type="expression" dxfId="376" priority="259">
      <formula>$I$180&gt;0</formula>
    </cfRule>
  </conditionalFormatting>
  <conditionalFormatting sqref="C24">
    <cfRule type="notContainsBlanks" dxfId="375" priority="257">
      <formula>LEN(TRIM(C24))&gt;0</formula>
    </cfRule>
    <cfRule type="containsBlanks" dxfId="374" priority="258">
      <formula>LEN(TRIM(C24))=0</formula>
    </cfRule>
  </conditionalFormatting>
  <conditionalFormatting sqref="D15:H15">
    <cfRule type="notContainsBlanks" dxfId="373" priority="255">
      <formula>LEN(TRIM(D15))&gt;0</formula>
    </cfRule>
    <cfRule type="containsBlanks" dxfId="372" priority="256">
      <formula>LEN(TRIM(D15))=0</formula>
    </cfRule>
  </conditionalFormatting>
  <conditionalFormatting sqref="C75:D75">
    <cfRule type="containsBlanks" dxfId="371" priority="245">
      <formula>LEN(TRIM(C75))=0</formula>
    </cfRule>
    <cfRule type="notContainsBlanks" dxfId="370" priority="246">
      <formula>LEN(TRIM(C75))&gt;0</formula>
    </cfRule>
  </conditionalFormatting>
  <conditionalFormatting sqref="D12">
    <cfRule type="notContainsBlanks" dxfId="369" priority="239">
      <formula>LEN(TRIM(D12))&gt;0</formula>
    </cfRule>
    <cfRule type="containsBlanks" dxfId="368" priority="240">
      <formula>LEN(TRIM(D12))=0</formula>
    </cfRule>
  </conditionalFormatting>
  <conditionalFormatting sqref="D8">
    <cfRule type="notContainsBlanks" dxfId="367" priority="235">
      <formula>LEN(TRIM(D8))&gt;0</formula>
    </cfRule>
    <cfRule type="containsBlanks" dxfId="366" priority="236">
      <formula>LEN(TRIM(D8))=0</formula>
    </cfRule>
  </conditionalFormatting>
  <conditionalFormatting sqref="F12">
    <cfRule type="notContainsBlanks" dxfId="365" priority="233">
      <formula>LEN(TRIM(F12))&gt;0</formula>
    </cfRule>
    <cfRule type="containsBlanks" dxfId="364" priority="234">
      <formula>LEN(TRIM(F12))=0</formula>
    </cfRule>
  </conditionalFormatting>
  <conditionalFormatting sqref="A83:D83">
    <cfRule type="notContainsBlanks" dxfId="363" priority="231">
      <formula>LEN(TRIM(A83))&gt;0</formula>
    </cfRule>
    <cfRule type="containsBlanks" dxfId="362" priority="232">
      <formula>LEN(TRIM(A83))=0</formula>
    </cfRule>
  </conditionalFormatting>
  <conditionalFormatting sqref="G182">
    <cfRule type="notContainsBlanks" dxfId="361" priority="229">
      <formula>LEN(TRIM(G182))&gt;0</formula>
    </cfRule>
    <cfRule type="containsBlanks" dxfId="360" priority="230">
      <formula>LEN(TRIM(G182))=0</formula>
    </cfRule>
  </conditionalFormatting>
  <conditionalFormatting sqref="B75">
    <cfRule type="containsBlanks" dxfId="359" priority="221">
      <formula>LEN(TRIM(B75))=0</formula>
    </cfRule>
    <cfRule type="notContainsBlanks" dxfId="358" priority="222">
      <formula>LEN(TRIM(B75))&gt;0</formula>
    </cfRule>
  </conditionalFormatting>
  <conditionalFormatting sqref="A75">
    <cfRule type="containsBlanks" dxfId="357" priority="223">
      <formula>LEN(TRIM(A75))=0</formula>
    </cfRule>
    <cfRule type="notContainsBlanks" dxfId="356" priority="224">
      <formula>LEN(TRIM(A75))&gt;0</formula>
    </cfRule>
  </conditionalFormatting>
  <conditionalFormatting sqref="E11:H11">
    <cfRule type="notContainsBlanks" dxfId="355" priority="219">
      <formula>LEN(TRIM(E11))&gt;0</formula>
    </cfRule>
    <cfRule type="containsBlanks" dxfId="354" priority="220">
      <formula>LEN(TRIM(E11))=0</formula>
    </cfRule>
  </conditionalFormatting>
  <conditionalFormatting sqref="J3">
    <cfRule type="notContainsBlanks" dxfId="353" priority="216">
      <formula>LEN(TRIM(J3))&gt;0</formula>
    </cfRule>
    <cfRule type="containsBlanks" dxfId="352" priority="575">
      <formula>LEN(TRIM(J3))=0</formula>
    </cfRule>
  </conditionalFormatting>
  <conditionalFormatting sqref="A182:D182">
    <cfRule type="containsBlanks" dxfId="351" priority="213">
      <formula>LEN(TRIM(A182))=0</formula>
    </cfRule>
    <cfRule type="notContainsBlanks" dxfId="350" priority="214">
      <formula>LEN(TRIM(A182))&gt;0</formula>
    </cfRule>
  </conditionalFormatting>
  <conditionalFormatting sqref="D179">
    <cfRule type="notContainsBlanks" dxfId="349" priority="185">
      <formula>LEN(TRIM(D179))&gt;0</formula>
    </cfRule>
    <cfRule type="containsBlanks" dxfId="348" priority="186">
      <formula>LEN(TRIM(D179))=0</formula>
    </cfRule>
  </conditionalFormatting>
  <conditionalFormatting sqref="D183">
    <cfRule type="notContainsBlanks" dxfId="347" priority="189">
      <formula>LEN(TRIM(D183))&gt;0</formula>
    </cfRule>
    <cfRule type="containsBlanks" dxfId="346" priority="190">
      <formula>LEN(TRIM(D183))=0</formula>
    </cfRule>
  </conditionalFormatting>
  <conditionalFormatting sqref="E179">
    <cfRule type="containsBlanks" dxfId="345" priority="187">
      <formula>LEN(TRIM(E179))=0</formula>
    </cfRule>
    <cfRule type="notContainsBlanks" dxfId="344" priority="188">
      <formula>LEN(TRIM(E179))&gt;0</formula>
    </cfRule>
  </conditionalFormatting>
  <conditionalFormatting sqref="E183">
    <cfRule type="containsBlanks" dxfId="343" priority="183">
      <formula>LEN(TRIM(E183))=0</formula>
    </cfRule>
    <cfRule type="notContainsBlanks" dxfId="342" priority="184">
      <formula>LEN(TRIM(E183))&gt;0</formula>
    </cfRule>
  </conditionalFormatting>
  <conditionalFormatting sqref="B101">
    <cfRule type="containsBlanks" dxfId="341" priority="179">
      <formula>LEN(TRIM(B101))=0</formula>
    </cfRule>
    <cfRule type="notContainsBlanks" dxfId="340" priority="180">
      <formula>LEN(TRIM(B101))&gt;0</formula>
    </cfRule>
  </conditionalFormatting>
  <conditionalFormatting sqref="A101">
    <cfRule type="containsBlanks" dxfId="339" priority="181">
      <formula>LEN(TRIM(A101))=0</formula>
    </cfRule>
    <cfRule type="notContainsBlanks" dxfId="338" priority="182">
      <formula>LEN(TRIM(A101))&gt;0</formula>
    </cfRule>
  </conditionalFormatting>
  <conditionalFormatting sqref="D11">
    <cfRule type="notContainsBlanks" dxfId="337" priority="177">
      <formula>LEN(TRIM(D11))&gt;0</formula>
    </cfRule>
    <cfRule type="containsBlanks" dxfId="336" priority="178">
      <formula>LEN(TRIM(D11))=0</formula>
    </cfRule>
  </conditionalFormatting>
  <conditionalFormatting sqref="B188">
    <cfRule type="containsBlanks" dxfId="335" priority="175">
      <formula>LEN(TRIM(B188))=0</formula>
    </cfRule>
    <cfRule type="notContainsBlanks" dxfId="334" priority="176">
      <formula>LEN(TRIM(B188))&gt;0</formula>
    </cfRule>
  </conditionalFormatting>
  <conditionalFormatting sqref="F8">
    <cfRule type="notContainsBlanks" dxfId="333" priority="173">
      <formula>LEN(TRIM(F8))&gt;0</formula>
    </cfRule>
    <cfRule type="containsBlanks" dxfId="332" priority="174">
      <formula>LEN(TRIM(F8))=0</formula>
    </cfRule>
  </conditionalFormatting>
  <conditionalFormatting sqref="H12">
    <cfRule type="notContainsBlanks" dxfId="331" priority="169">
      <formula>LEN(TRIM(H12))&gt;0</formula>
    </cfRule>
    <cfRule type="containsBlanks" dxfId="330" priority="170">
      <formula>LEN(TRIM(H12))=0</formula>
    </cfRule>
  </conditionalFormatting>
  <conditionalFormatting sqref="H8">
    <cfRule type="notContainsBlanks" dxfId="329" priority="167">
      <formula>LEN(TRIM(H8))&gt;0</formula>
    </cfRule>
    <cfRule type="containsBlanks" dxfId="328" priority="168">
      <formula>LEN(TRIM(H8))=0</formula>
    </cfRule>
  </conditionalFormatting>
  <conditionalFormatting sqref="J8">
    <cfRule type="notContainsBlanks" dxfId="327" priority="165">
      <formula>LEN(TRIM(J8))&gt;0</formula>
    </cfRule>
    <cfRule type="containsBlanks" dxfId="326" priority="166">
      <formula>LEN(TRIM(J8))=0</formula>
    </cfRule>
  </conditionalFormatting>
  <conditionalFormatting sqref="J7">
    <cfRule type="notContainsBlanks" dxfId="325" priority="163">
      <formula>LEN(TRIM(J7))&gt;0</formula>
    </cfRule>
    <cfRule type="containsBlanks" dxfId="324" priority="164">
      <formula>LEN(TRIM(J7))=0</formula>
    </cfRule>
  </conditionalFormatting>
  <conditionalFormatting sqref="L9">
    <cfRule type="notContainsBlanks" dxfId="323" priority="161">
      <formula>LEN(TRIM(L9))&gt;0</formula>
    </cfRule>
    <cfRule type="containsBlanks" dxfId="322" priority="162">
      <formula>LEN(TRIM(L9))=0</formula>
    </cfRule>
  </conditionalFormatting>
  <conditionalFormatting sqref="L11">
    <cfRule type="notContainsBlanks" dxfId="321" priority="159">
      <formula>LEN(TRIM(L11))&gt;0</formula>
    </cfRule>
    <cfRule type="containsBlanks" dxfId="320" priority="160">
      <formula>LEN(TRIM(L11))=0</formula>
    </cfRule>
  </conditionalFormatting>
  <conditionalFormatting sqref="A25:H25">
    <cfRule type="expression" dxfId="319" priority="158">
      <formula>"ДЕНЬНЕД(РАБДЕНЬ.МЕЖД(A23;20;""0000000"";DRAFT!X2:X85);2)=6"</formula>
    </cfRule>
  </conditionalFormatting>
  <conditionalFormatting sqref="D24">
    <cfRule type="containsText" dxfId="318" priority="156" operator="containsText" text="СБТ">
      <formula>NOT(ISERROR(SEARCH("СБТ",D24)))</formula>
    </cfRule>
    <cfRule type="containsText" dxfId="317" priority="157" operator="containsText" text="ВКС">
      <formula>NOT(ISERROR(SEARCH("ВКС",D24)))</formula>
    </cfRule>
  </conditionalFormatting>
  <conditionalFormatting sqref="D76">
    <cfRule type="containsText" dxfId="316" priority="154" operator="containsText" text="СБТ">
      <formula>NOT(ISERROR(SEARCH("СБТ",D76)))</formula>
    </cfRule>
    <cfRule type="containsText" dxfId="315" priority="155" operator="containsText" text="ВКС">
      <formula>NOT(ISERROR(SEARCH("ВКС",D76)))</formula>
    </cfRule>
  </conditionalFormatting>
  <conditionalFormatting sqref="D50">
    <cfRule type="containsText" dxfId="314" priority="152" operator="containsText" text="СБТ">
      <formula>NOT(ISERROR(SEARCH("СБТ",D50)))</formula>
    </cfRule>
    <cfRule type="containsText" dxfId="313" priority="153" operator="containsText" text="ВКС">
      <formula>NOT(ISERROR(SEARCH("ВКС",D50)))</formula>
    </cfRule>
  </conditionalFormatting>
  <conditionalFormatting sqref="D102">
    <cfRule type="containsText" dxfId="312" priority="150" operator="containsText" text="СБТ">
      <formula>NOT(ISERROR(SEARCH("СБТ",D102)))</formula>
    </cfRule>
    <cfRule type="containsText" dxfId="311" priority="151" operator="containsText" text="ВКС">
      <formula>NOT(ISERROR(SEARCH("ВКС",D102)))</formula>
    </cfRule>
  </conditionalFormatting>
  <conditionalFormatting sqref="D128">
    <cfRule type="containsText" dxfId="310" priority="138" operator="containsText" text="СБТ">
      <formula>NOT(ISERROR(SEARCH("СБТ",D128)))</formula>
    </cfRule>
    <cfRule type="containsText" dxfId="309" priority="139" operator="containsText" text="ВКС">
      <formula>NOT(ISERROR(SEARCH("ВКС",D128)))</formula>
    </cfRule>
  </conditionalFormatting>
  <conditionalFormatting sqref="D154">
    <cfRule type="containsText" dxfId="308" priority="136" operator="containsText" text="СБТ">
      <formula>NOT(ISERROR(SEARCH("СБТ",D154)))</formula>
    </cfRule>
    <cfRule type="containsText" dxfId="307" priority="137" operator="containsText" text="ВКС">
      <formula>NOT(ISERROR(SEARCH("ВКС",D154)))</formula>
    </cfRule>
  </conditionalFormatting>
  <conditionalFormatting sqref="E49">
    <cfRule type="containsBlanks" dxfId="306" priority="134">
      <formula>LEN(TRIM(E49))=0</formula>
    </cfRule>
    <cfRule type="notContainsBlanks" dxfId="305" priority="135">
      <formula>LEN(TRIM(E49))&gt;0</formula>
    </cfRule>
  </conditionalFormatting>
  <conditionalFormatting sqref="E75">
    <cfRule type="containsBlanks" dxfId="304" priority="132">
      <formula>LEN(TRIM(E75))=0</formula>
    </cfRule>
    <cfRule type="notContainsBlanks" dxfId="303" priority="133">
      <formula>LEN(TRIM(E75))&gt;0</formula>
    </cfRule>
  </conditionalFormatting>
  <conditionalFormatting sqref="E101">
    <cfRule type="containsBlanks" dxfId="302" priority="130">
      <formula>LEN(TRIM(E101))=0</formula>
    </cfRule>
    <cfRule type="notContainsBlanks" dxfId="301" priority="131">
      <formula>LEN(TRIM(E101))&gt;0</formula>
    </cfRule>
  </conditionalFormatting>
  <conditionalFormatting sqref="E127">
    <cfRule type="containsBlanks" dxfId="300" priority="128">
      <formula>LEN(TRIM(E127))=0</formula>
    </cfRule>
    <cfRule type="notContainsBlanks" dxfId="299" priority="129">
      <formula>LEN(TRIM(E127))&gt;0</formula>
    </cfRule>
  </conditionalFormatting>
  <conditionalFormatting sqref="E153">
    <cfRule type="containsBlanks" dxfId="298" priority="126">
      <formula>LEN(TRIM(E153))=0</formula>
    </cfRule>
    <cfRule type="notContainsBlanks" dxfId="297" priority="127">
      <formula>LEN(TRIM(E153))&gt;0</formula>
    </cfRule>
  </conditionalFormatting>
  <conditionalFormatting sqref="A225:H225">
    <cfRule type="containsBlanks" dxfId="296" priority="124">
      <formula>LEN(TRIM(A225))=0</formula>
    </cfRule>
    <cfRule type="notContainsBlanks" dxfId="295" priority="125">
      <formula>LEN(TRIM(A225))&gt;0</formula>
    </cfRule>
  </conditionalFormatting>
  <conditionalFormatting sqref="A229:D229 F229:H229">
    <cfRule type="containsBlanks" dxfId="294" priority="122">
      <formula>LEN(TRIM(A229))=0</formula>
    </cfRule>
    <cfRule type="notContainsBlanks" dxfId="293" priority="123">
      <formula>LEN(TRIM(A229))&gt;0</formula>
    </cfRule>
  </conditionalFormatting>
  <conditionalFormatting sqref="E229">
    <cfRule type="containsBlanks" dxfId="292" priority="120">
      <formula>LEN(TRIM(E229))=0</formula>
    </cfRule>
    <cfRule type="notContainsBlanks" dxfId="291" priority="121">
      <formula>LEN(TRIM(E229))&gt;0</formula>
    </cfRule>
  </conditionalFormatting>
  <conditionalFormatting sqref="A237:K237">
    <cfRule type="containsBlanks" dxfId="290" priority="114">
      <formula>LEN(TRIM(A237))=0</formula>
    </cfRule>
    <cfRule type="notContainsBlanks" dxfId="289" priority="115">
      <formula>LEN(TRIM(A237))&gt;0</formula>
    </cfRule>
  </conditionalFormatting>
  <conditionalFormatting sqref="C17:C18">
    <cfRule type="containsText" dxfId="288" priority="113" operator="containsText" text="СРОК ДАВНОСТИ">
      <formula>NOT(ISERROR(SEARCH("СРОК ДАВНОСТИ",C17)))</formula>
    </cfRule>
  </conditionalFormatting>
  <conditionalFormatting sqref="B240">
    <cfRule type="containsBlanks" dxfId="287" priority="111">
      <formula>LEN(TRIM(B240))=0</formula>
    </cfRule>
    <cfRule type="notContainsBlanks" dxfId="286" priority="112">
      <formula>LEN(TRIM(B240))&gt;0</formula>
    </cfRule>
  </conditionalFormatting>
  <conditionalFormatting sqref="B241">
    <cfRule type="containsBlanks" dxfId="285" priority="109">
      <formula>LEN(TRIM(B241))=0</formula>
    </cfRule>
    <cfRule type="notContainsBlanks" dxfId="284" priority="110">
      <formula>LEN(TRIM(B241))&gt;0</formula>
    </cfRule>
  </conditionalFormatting>
  <conditionalFormatting sqref="B242">
    <cfRule type="containsBlanks" dxfId="283" priority="107">
      <formula>LEN(TRIM(B242))=0</formula>
    </cfRule>
    <cfRule type="notContainsBlanks" dxfId="282" priority="108">
      <formula>LEN(TRIM(B242))&gt;0</formula>
    </cfRule>
  </conditionalFormatting>
  <conditionalFormatting sqref="B243">
    <cfRule type="containsBlanks" dxfId="281" priority="105">
      <formula>LEN(TRIM(B243))=0</formula>
    </cfRule>
    <cfRule type="notContainsBlanks" dxfId="280" priority="106">
      <formula>LEN(TRIM(B243))&gt;0</formula>
    </cfRule>
  </conditionalFormatting>
  <conditionalFormatting sqref="B244">
    <cfRule type="containsBlanks" dxfId="279" priority="103">
      <formula>LEN(TRIM(B244))=0</formula>
    </cfRule>
    <cfRule type="notContainsBlanks" dxfId="278" priority="104">
      <formula>LEN(TRIM(B244))&gt;0</formula>
    </cfRule>
  </conditionalFormatting>
  <conditionalFormatting sqref="L17">
    <cfRule type="containsText" dxfId="277" priority="86" operator="containsText" text="НЕ ПОЛОЖЕНО">
      <formula>NOT(ISERROR(SEARCH("НЕ ПОЛОЖЕНО",L17)))</formula>
    </cfRule>
  </conditionalFormatting>
  <conditionalFormatting sqref="F3">
    <cfRule type="containsBlanks" dxfId="276" priority="84">
      <formula>LEN(TRIM(F3))=0</formula>
    </cfRule>
    <cfRule type="notContainsBlanks" dxfId="275" priority="85">
      <formula>LEN(TRIM(F3))&gt;0</formula>
    </cfRule>
  </conditionalFormatting>
  <conditionalFormatting sqref="M25">
    <cfRule type="containsBlanks" dxfId="274" priority="82">
      <formula>LEN(TRIM(M25))=0</formula>
    </cfRule>
    <cfRule type="notContainsBlanks" dxfId="273" priority="83">
      <formula>LEN(TRIM(M25))&gt;0</formula>
    </cfRule>
  </conditionalFormatting>
  <conditionalFormatting sqref="X17">
    <cfRule type="containsText" dxfId="272" priority="79" operator="containsText" text="ОТКАЗ">
      <formula>NOT(ISERROR(SEARCH("ОТКАЗ",X17)))</formula>
    </cfRule>
    <cfRule type="containsText" dxfId="271" priority="80" operator="containsText" text="ВЗЫСКАНИЕ">
      <formula>NOT(ISERROR(SEARCH("ВЗЫСКАНИЕ",X17)))</formula>
    </cfRule>
    <cfRule type="containsText" dxfId="270" priority="81" operator="containsText" text="ОТКАЗ">
      <formula>NOT(ISERROR(SEARCH("ОТКАЗ",X17)))</formula>
    </cfRule>
  </conditionalFormatting>
  <conditionalFormatting sqref="X20">
    <cfRule type="containsText" dxfId="269" priority="76" operator="containsText" text="ОТКАЗ">
      <formula>NOT(ISERROR(SEARCH("ОТКАЗ",X20)))</formula>
    </cfRule>
    <cfRule type="containsText" dxfId="268" priority="77" operator="containsText" text="ВЗЫСКАНИЕ">
      <formula>NOT(ISERROR(SEARCH("ВЗЫСКАНИЕ",X20)))</formula>
    </cfRule>
    <cfRule type="containsText" dxfId="267" priority="78" operator="containsText" text="ОТКАЗ">
      <formula>NOT(ISERROR(SEARCH("ОТКАЗ",X20)))</formula>
    </cfRule>
  </conditionalFormatting>
  <conditionalFormatting sqref="K16">
    <cfRule type="notContainsBlanks" dxfId="266" priority="62">
      <formula>LEN(TRIM(K16))&gt;0</formula>
    </cfRule>
    <cfRule type="containsBlanks" dxfId="265" priority="63">
      <formula>LEN(TRIM(K16))=0</formula>
    </cfRule>
  </conditionalFormatting>
  <conditionalFormatting sqref="M51">
    <cfRule type="containsBlanks" dxfId="264" priority="60">
      <formula>LEN(TRIM(M51))=0</formula>
    </cfRule>
    <cfRule type="notContainsBlanks" dxfId="263" priority="61">
      <formula>LEN(TRIM(M51))&gt;0</formula>
    </cfRule>
  </conditionalFormatting>
  <conditionalFormatting sqref="N49">
    <cfRule type="containsBlanks" dxfId="262" priority="58">
      <formula>LEN(TRIM(N49))=0</formula>
    </cfRule>
    <cfRule type="notContainsBlanks" dxfId="261" priority="59">
      <formula>LEN(TRIM(N49))&gt;0</formula>
    </cfRule>
  </conditionalFormatting>
  <conditionalFormatting sqref="N75">
    <cfRule type="containsBlanks" dxfId="260" priority="56">
      <formula>LEN(TRIM(N75))=0</formula>
    </cfRule>
    <cfRule type="notContainsBlanks" dxfId="259" priority="57">
      <formula>LEN(TRIM(N75))&gt;0</formula>
    </cfRule>
  </conditionalFormatting>
  <conditionalFormatting sqref="N101">
    <cfRule type="containsBlanks" dxfId="258" priority="54">
      <formula>LEN(TRIM(N101))=0</formula>
    </cfRule>
    <cfRule type="notContainsBlanks" dxfId="257" priority="55">
      <formula>LEN(TRIM(N101))&gt;0</formula>
    </cfRule>
  </conditionalFormatting>
  <conditionalFormatting sqref="N127">
    <cfRule type="containsBlanks" dxfId="256" priority="52">
      <formula>LEN(TRIM(N127))=0</formula>
    </cfRule>
    <cfRule type="notContainsBlanks" dxfId="255" priority="53">
      <formula>LEN(TRIM(N127))&gt;0</formula>
    </cfRule>
  </conditionalFormatting>
  <conditionalFormatting sqref="N153">
    <cfRule type="containsBlanks" dxfId="254" priority="50">
      <formula>LEN(TRIM(N153))=0</formula>
    </cfRule>
    <cfRule type="notContainsBlanks" dxfId="253" priority="51">
      <formula>LEN(TRIM(N153))&gt;0</formula>
    </cfRule>
  </conditionalFormatting>
  <conditionalFormatting sqref="M77">
    <cfRule type="containsBlanks" dxfId="252" priority="48">
      <formula>LEN(TRIM(M77))=0</formula>
    </cfRule>
    <cfRule type="notContainsBlanks" dxfId="251" priority="49">
      <formula>LEN(TRIM(M77))&gt;0</formula>
    </cfRule>
  </conditionalFormatting>
  <conditionalFormatting sqref="M103">
    <cfRule type="containsBlanks" dxfId="250" priority="46">
      <formula>LEN(TRIM(M103))=0</formula>
    </cfRule>
    <cfRule type="notContainsBlanks" dxfId="249" priority="47">
      <formula>LEN(TRIM(M103))&gt;0</formula>
    </cfRule>
  </conditionalFormatting>
  <conditionalFormatting sqref="M129">
    <cfRule type="containsBlanks" dxfId="248" priority="44">
      <formula>LEN(TRIM(M129))=0</formula>
    </cfRule>
    <cfRule type="notContainsBlanks" dxfId="247" priority="45">
      <formula>LEN(TRIM(M129))&gt;0</formula>
    </cfRule>
  </conditionalFormatting>
  <conditionalFormatting sqref="M155">
    <cfRule type="containsBlanks" dxfId="246" priority="42">
      <formula>LEN(TRIM(M155))=0</formula>
    </cfRule>
    <cfRule type="notContainsBlanks" dxfId="245" priority="43">
      <formula>LEN(TRIM(M155))&gt;0</formula>
    </cfRule>
  </conditionalFormatting>
  <conditionalFormatting sqref="X21">
    <cfRule type="containsText" dxfId="244" priority="39" operator="containsText" text="ОТКАЗ">
      <formula>NOT(ISERROR(SEARCH("ОТКАЗ",X21)))</formula>
    </cfRule>
    <cfRule type="containsText" dxfId="243" priority="40" operator="containsText" text="ВЗЫСКАНИЕ">
      <formula>NOT(ISERROR(SEARCH("ВЗЫСКАНИЕ",X21)))</formula>
    </cfRule>
  </conditionalFormatting>
  <conditionalFormatting sqref="X19">
    <cfRule type="containsText" dxfId="242" priority="37" operator="containsText" text="ОТКАЗ">
      <formula>NOT(ISERROR(SEARCH("ОТКАЗ",X19)))</formula>
    </cfRule>
    <cfRule type="containsText" dxfId="241" priority="38" operator="containsText" text="ВЗЫСКАНИЕ">
      <formula>NOT(ISERROR(SEARCH("ВЗЫСКАНИЕ",X19)))</formula>
    </cfRule>
  </conditionalFormatting>
  <conditionalFormatting sqref="C179">
    <cfRule type="containsBlanks" dxfId="240" priority="35">
      <formula>LEN(TRIM(C179))=0</formula>
    </cfRule>
    <cfRule type="notContainsBlanks" dxfId="239" priority="36">
      <formula>LEN(TRIM(C179))&gt;0</formula>
    </cfRule>
  </conditionalFormatting>
  <conditionalFormatting sqref="B247">
    <cfRule type="containsBlanks" dxfId="238" priority="33">
      <formula>LEN(TRIM(B247))=0</formula>
    </cfRule>
    <cfRule type="notContainsBlanks" dxfId="237" priority="34">
      <formula>LEN(TRIM(B247))&gt;0</formula>
    </cfRule>
  </conditionalFormatting>
  <conditionalFormatting sqref="B248">
    <cfRule type="containsBlanks" dxfId="236" priority="31">
      <formula>LEN(TRIM(B248))=0</formula>
    </cfRule>
    <cfRule type="notContainsBlanks" dxfId="235" priority="32">
      <formula>LEN(TRIM(B248))&gt;0</formula>
    </cfRule>
  </conditionalFormatting>
  <conditionalFormatting sqref="B249">
    <cfRule type="containsBlanks" dxfId="234" priority="29">
      <formula>LEN(TRIM(B249))=0</formula>
    </cfRule>
    <cfRule type="notContainsBlanks" dxfId="233" priority="30">
      <formula>LEN(TRIM(B249))&gt;0</formula>
    </cfRule>
  </conditionalFormatting>
  <conditionalFormatting sqref="B250">
    <cfRule type="containsBlanks" dxfId="232" priority="27">
      <formula>LEN(TRIM(B250))=0</formula>
    </cfRule>
    <cfRule type="notContainsBlanks" dxfId="231" priority="28">
      <formula>LEN(TRIM(B250))&gt;0</formula>
    </cfRule>
  </conditionalFormatting>
  <conditionalFormatting sqref="B251">
    <cfRule type="containsBlanks" dxfId="230" priority="25">
      <formula>LEN(TRIM(B251))=0</formula>
    </cfRule>
    <cfRule type="notContainsBlanks" dxfId="229" priority="26">
      <formula>LEN(TRIM(B251))&gt;0</formula>
    </cfRule>
  </conditionalFormatting>
  <conditionalFormatting sqref="B7">
    <cfRule type="containsBlanks" dxfId="228" priority="23">
      <formula>LEN(TRIM(B7))=0</formula>
    </cfRule>
    <cfRule type="notContainsBlanks" dxfId="227" priority="24">
      <formula>LEN(TRIM(B7))&gt;0</formula>
    </cfRule>
  </conditionalFormatting>
  <conditionalFormatting sqref="B8">
    <cfRule type="notContainsBlanks" dxfId="226" priority="21">
      <formula>LEN(TRIM(B8))&gt;0</formula>
    </cfRule>
    <cfRule type="containsBlanks" dxfId="225" priority="22">
      <formula>LEN(TRIM(B8))=0</formula>
    </cfRule>
  </conditionalFormatting>
  <conditionalFormatting sqref="B11">
    <cfRule type="notContainsBlanks" dxfId="224" priority="19">
      <formula>LEN(TRIM(B11))&gt;0</formula>
    </cfRule>
    <cfRule type="containsBlanks" dxfId="223" priority="20">
      <formula>LEN(TRIM(B11))=0</formula>
    </cfRule>
  </conditionalFormatting>
  <conditionalFormatting sqref="B12">
    <cfRule type="notContainsBlanks" dxfId="222" priority="17">
      <formula>LEN(TRIM(B12))&gt;0</formula>
    </cfRule>
    <cfRule type="containsBlanks" dxfId="221" priority="18">
      <formula>LEN(TRIM(B12))=0</formula>
    </cfRule>
  </conditionalFormatting>
  <conditionalFormatting sqref="B15">
    <cfRule type="notContainsBlanks" dxfId="220" priority="15">
      <formula>LEN(TRIM(B15))&gt;0</formula>
    </cfRule>
    <cfRule type="containsBlanks" dxfId="219" priority="16">
      <formula>LEN(TRIM(B15))=0</formula>
    </cfRule>
  </conditionalFormatting>
  <conditionalFormatting sqref="B23">
    <cfRule type="containsBlanks" dxfId="218" priority="13">
      <formula>LEN(TRIM(B23))=0</formula>
    </cfRule>
    <cfRule type="notContainsBlanks" dxfId="217" priority="14">
      <formula>LEN(TRIM(B23))&gt;0</formula>
    </cfRule>
  </conditionalFormatting>
  <conditionalFormatting sqref="C11">
    <cfRule type="notContainsBlanks" dxfId="216" priority="9">
      <formula>LEN(TRIM(C11))&gt;0</formula>
    </cfRule>
    <cfRule type="containsBlanks" dxfId="215" priority="10">
      <formula>LEN(TRIM(C11))=0</formula>
    </cfRule>
  </conditionalFormatting>
  <conditionalFormatting sqref="F24">
    <cfRule type="containsBlanks" dxfId="214" priority="3">
      <formula>LEN(TRIM(F24))=0</formula>
    </cfRule>
    <cfRule type="notContainsBlanks" dxfId="213" priority="4">
      <formula>LEN(TRIM(F24))&gt;0</formula>
    </cfRule>
  </conditionalFormatting>
  <conditionalFormatting sqref="G49">
    <cfRule type="containsBlanks" dxfId="212" priority="1">
      <formula>LEN(TRIM(G49))=0</formula>
    </cfRule>
    <cfRule type="notContainsBlanks" dxfId="211" priority="2">
      <formula>LEN(TRIM(G49))&gt;0</formula>
    </cfRule>
  </conditionalFormatting>
  <dataValidations xWindow="587" yWindow="718" count="2">
    <dataValidation errorStyle="information" allowBlank="1" showInputMessage="1" showErrorMessage="1" errorTitle="ВИНОВНИК НЕ ЗАСТРАХОВАН" error="Ответственность виновника на момент ДТП застрахована не была!" sqref="A18"/>
    <dataValidation errorStyle="information" allowBlank="1" showInputMessage="1" showErrorMessage="1" promptTitle="Доказательства выдачи" prompt="Заполнить доказательства выдачи ННР_x000a_N23 - Способ выдачи_x000a_М25 - Дата выдачи_x000a_J23 - Дата ННР" sqref="J23"/>
  </dataValidations>
  <hyperlinks>
    <hyperlink ref="A1:B1" location="STATUS!A1" display="ОБРАЩЕНИЕ"/>
  </hyperlinks>
  <pageMargins left="0.7" right="0.7" top="0.75" bottom="0.75" header="0.3" footer="0.3"/>
  <pageSetup paperSize="9" orientation="portrait" horizontalDpi="300" verticalDpi="300" r:id="rId1"/>
  <ignoredErrors>
    <ignoredError sqref="P18 S17:S27 V17:V18 V21:V27" unlockedFormula="1"/>
  </ignoredErrors>
  <drawing r:id="rId2"/>
  <legacyDrawing r:id="rId3"/>
  <controls>
    <mc:AlternateContent xmlns:mc="http://schemas.openxmlformats.org/markup-compatibility/2006">
      <mc:Choice Requires="x14">
        <control shapeId="4592" r:id="rId4" name="ComboBox3">
          <controlPr defaultSize="0" autoLine="0" autoPict="0" linkedCell="L16" listFillRange="DDL_Fake_Region" r:id="rId5">
            <anchor moveWithCells="1">
              <from>
                <xdr:col>11</xdr:col>
                <xdr:colOff>0</xdr:colOff>
                <xdr:row>15</xdr:row>
                <xdr:rowOff>0</xdr:rowOff>
              </from>
              <to>
                <xdr:col>12</xdr:col>
                <xdr:colOff>0</xdr:colOff>
                <xdr:row>16</xdr:row>
                <xdr:rowOff>0</xdr:rowOff>
              </to>
            </anchor>
          </controlPr>
        </control>
      </mc:Choice>
      <mc:Fallback>
        <control shapeId="4592" r:id="rId4" name="ComboBox3"/>
      </mc:Fallback>
    </mc:AlternateContent>
    <mc:AlternateContent xmlns:mc="http://schemas.openxmlformats.org/markup-compatibility/2006">
      <mc:Choice Requires="x14">
        <control shapeId="4691" r:id="rId6" name="ComboBox4">
          <controlPr defaultSize="0" autoLine="0" linkedCell="L9" listFillRange="DRAFT!V2:V6" r:id="rId7">
            <anchor moveWithCells="1">
              <from>
                <xdr:col>11</xdr:col>
                <xdr:colOff>0</xdr:colOff>
                <xdr:row>8</xdr:row>
                <xdr:rowOff>0</xdr:rowOff>
              </from>
              <to>
                <xdr:col>12</xdr:col>
                <xdr:colOff>38100</xdr:colOff>
                <xdr:row>9</xdr:row>
                <xdr:rowOff>7620</xdr:rowOff>
              </to>
            </anchor>
          </controlPr>
        </control>
      </mc:Choice>
      <mc:Fallback>
        <control shapeId="4691" r:id="rId6" name="ComboBox4"/>
      </mc:Fallback>
    </mc:AlternateContent>
    <mc:AlternateContent xmlns:mc="http://schemas.openxmlformats.org/markup-compatibility/2006">
      <mc:Choice Requires="x14">
        <control shapeId="4713" r:id="rId8" name="ComboBox5">
          <controlPr defaultSize="0" autoLine="0" linkedCell="J3" listFillRange="DRAFT!P2:P5" r:id="rId9">
            <anchor moveWithCells="1">
              <from>
                <xdr:col>9</xdr:col>
                <xdr:colOff>0</xdr:colOff>
                <xdr:row>2</xdr:row>
                <xdr:rowOff>0</xdr:rowOff>
              </from>
              <to>
                <xdr:col>10</xdr:col>
                <xdr:colOff>30480</xdr:colOff>
                <xdr:row>3</xdr:row>
                <xdr:rowOff>7620</xdr:rowOff>
              </to>
            </anchor>
          </controlPr>
        </control>
      </mc:Choice>
      <mc:Fallback>
        <control shapeId="4713" r:id="rId8" name="ComboBox5"/>
      </mc:Fallback>
    </mc:AlternateContent>
    <mc:AlternateContent xmlns:mc="http://schemas.openxmlformats.org/markup-compatibility/2006">
      <mc:Choice Requires="x14">
        <control shapeId="4099" r:id="rId10" name="Button 3">
          <controlPr defaultSize="0" print="0" autoFill="0" autoPict="0" macro="[0]!AddDataToTable">
            <anchor moveWithCells="1" sizeWithCells="1">
              <from>
                <xdr:col>10</xdr:col>
                <xdr:colOff>0</xdr:colOff>
                <xdr:row>0</xdr:row>
                <xdr:rowOff>0</xdr:rowOff>
              </from>
              <to>
                <xdr:col>11</xdr:col>
                <xdr:colOff>0</xdr:colOff>
                <xdr:row>4</xdr:row>
                <xdr:rowOff>0</xdr:rowOff>
              </to>
            </anchor>
          </controlPr>
        </control>
      </mc:Choice>
    </mc:AlternateContent>
    <mc:AlternateContent xmlns:mc="http://schemas.openxmlformats.org/markup-compatibility/2006">
      <mc:Choice Requires="x14">
        <control shapeId="4105" r:id="rId11" name="Button 9">
          <controlPr defaultSize="0" print="0" autoFill="0" autoPict="0" macro="[0]!DeleteData.DeleteData">
            <anchor moveWithCells="1" sizeWithCells="1">
              <from>
                <xdr:col>11</xdr:col>
                <xdr:colOff>0</xdr:colOff>
                <xdr:row>4</xdr:row>
                <xdr:rowOff>0</xdr:rowOff>
              </from>
              <to>
                <xdr:col>12</xdr:col>
                <xdr:colOff>0</xdr:colOff>
                <xdr:row>6</xdr:row>
                <xdr:rowOff>0</xdr:rowOff>
              </to>
            </anchor>
          </controlPr>
        </control>
      </mc:Choice>
    </mc:AlternateContent>
    <mc:AlternateContent xmlns:mc="http://schemas.openxmlformats.org/markup-compatibility/2006">
      <mc:Choice Requires="x14">
        <control shapeId="4106" r:id="rId12" name="Button 10">
          <controlPr defaultSize="0" print="0" autoFill="0" autoPict="0" macro="[0]!NewFilledList.NewFilledList">
            <anchor moveWithCells="1" sizeWithCells="1">
              <from>
                <xdr:col>11</xdr:col>
                <xdr:colOff>0</xdr:colOff>
                <xdr:row>0</xdr:row>
                <xdr:rowOff>0</xdr:rowOff>
              </from>
              <to>
                <xdr:col>12</xdr:col>
                <xdr:colOff>0</xdr:colOff>
                <xdr:row>2</xdr:row>
                <xdr:rowOff>0</xdr:rowOff>
              </to>
            </anchor>
          </controlPr>
        </control>
      </mc:Choice>
    </mc:AlternateContent>
    <mc:AlternateContent xmlns:mc="http://schemas.openxmlformats.org/markup-compatibility/2006">
      <mc:Choice Requires="x14">
        <control shapeId="4126" r:id="rId13" name="CheckBoxOchnoe">
          <controlPr defaultSize="0" autoFill="0" autoLine="0" autoPict="0" altText="333 ГК РФ">
            <anchor moveWithCells="1">
              <from>
                <xdr:col>9</xdr:col>
                <xdr:colOff>1181100</xdr:colOff>
                <xdr:row>9</xdr:row>
                <xdr:rowOff>0</xdr:rowOff>
              </from>
              <to>
                <xdr:col>11</xdr:col>
                <xdr:colOff>0</xdr:colOff>
                <xdr:row>10</xdr:row>
                <xdr:rowOff>0</xdr:rowOff>
              </to>
            </anchor>
          </controlPr>
        </control>
      </mc:Choice>
    </mc:AlternateContent>
    <mc:AlternateContent xmlns:mc="http://schemas.openxmlformats.org/markup-compatibility/2006">
      <mc:Choice Requires="x14">
        <control shapeId="4127" r:id="rId14" name="CheckBox333">
          <controlPr defaultSize="0" autoFill="0" autoLine="0" autoPict="0" altText="333 ГК РФ">
            <anchor moveWithCells="1">
              <from>
                <xdr:col>9</xdr:col>
                <xdr:colOff>1181100</xdr:colOff>
                <xdr:row>8</xdr:row>
                <xdr:rowOff>0</xdr:rowOff>
              </from>
              <to>
                <xdr:col>11</xdr:col>
                <xdr:colOff>0</xdr:colOff>
                <xdr:row>9</xdr:row>
                <xdr:rowOff>0</xdr:rowOff>
              </to>
            </anchor>
          </controlPr>
        </control>
      </mc:Choice>
    </mc:AlternateContent>
    <mc:AlternateContent xmlns:mc="http://schemas.openxmlformats.org/markup-compatibility/2006">
      <mc:Choice Requires="x14">
        <control shapeId="4184" r:id="rId15" name="Check Box 88">
          <controlPr defaultSize="0" autoFill="0" autoLine="0" autoPict="0">
            <anchor moveWithCells="1">
              <from>
                <xdr:col>10</xdr:col>
                <xdr:colOff>0</xdr:colOff>
                <xdr:row>13</xdr:row>
                <xdr:rowOff>0</xdr:rowOff>
              </from>
              <to>
                <xdr:col>11</xdr:col>
                <xdr:colOff>0</xdr:colOff>
                <xdr:row>14</xdr:row>
                <xdr:rowOff>0</xdr:rowOff>
              </to>
            </anchor>
          </controlPr>
        </control>
      </mc:Choice>
    </mc:AlternateContent>
    <mc:AlternateContent xmlns:mc="http://schemas.openxmlformats.org/markup-compatibility/2006">
      <mc:Choice Requires="x14">
        <control shapeId="4317" r:id="rId16" name="Button 221">
          <controlPr defaultSize="0" print="0" autoFill="0" autoPict="0" macro="[0]!NTE_FU">
            <anchor moveWithCells="1" sizeWithCells="1">
              <from>
                <xdr:col>11</xdr:col>
                <xdr:colOff>0</xdr:colOff>
                <xdr:row>2</xdr:row>
                <xdr:rowOff>0</xdr:rowOff>
              </from>
              <to>
                <xdr:col>12</xdr:col>
                <xdr:colOff>0</xdr:colOff>
                <xdr:row>4</xdr:row>
                <xdr:rowOff>0</xdr:rowOff>
              </to>
            </anchor>
          </controlPr>
        </control>
      </mc:Choice>
    </mc:AlternateContent>
    <mc:AlternateContent xmlns:mc="http://schemas.openxmlformats.org/markup-compatibility/2006">
      <mc:Choice Requires="x14">
        <control shapeId="4319" r:id="rId17" name="Check Box 223">
          <controlPr defaultSize="0" autoFill="0" autoLine="0" autoPict="0">
            <anchor moveWithCells="1">
              <from>
                <xdr:col>9</xdr:col>
                <xdr:colOff>0</xdr:colOff>
                <xdr:row>15</xdr:row>
                <xdr:rowOff>0</xdr:rowOff>
              </from>
              <to>
                <xdr:col>10</xdr:col>
                <xdr:colOff>0</xdr:colOff>
                <xdr:row>16</xdr:row>
                <xdr:rowOff>0</xdr:rowOff>
              </to>
            </anchor>
          </controlPr>
        </control>
      </mc:Choice>
    </mc:AlternateContent>
    <mc:AlternateContent xmlns:mc="http://schemas.openxmlformats.org/markup-compatibility/2006">
      <mc:Choice Requires="x14">
        <control shapeId="4438" r:id="rId18" name="Check Box 342">
          <controlPr defaultSize="0" autoFill="0" autoLine="0" autoPict="0">
            <anchor moveWithCells="1">
              <from>
                <xdr:col>9</xdr:col>
                <xdr:colOff>0</xdr:colOff>
                <xdr:row>11</xdr:row>
                <xdr:rowOff>213360</xdr:rowOff>
              </from>
              <to>
                <xdr:col>10</xdr:col>
                <xdr:colOff>0</xdr:colOff>
                <xdr:row>13</xdr:row>
                <xdr:rowOff>0</xdr:rowOff>
              </to>
            </anchor>
          </controlPr>
        </control>
      </mc:Choice>
    </mc:AlternateContent>
    <mc:AlternateContent xmlns:mc="http://schemas.openxmlformats.org/markup-compatibility/2006">
      <mc:Choice Requires="x14">
        <control shapeId="4439" r:id="rId19" name="Check Box 343">
          <controlPr defaultSize="0" autoFill="0" autoLine="0" autoPict="0">
            <anchor moveWithCells="1">
              <from>
                <xdr:col>9</xdr:col>
                <xdr:colOff>0</xdr:colOff>
                <xdr:row>12</xdr:row>
                <xdr:rowOff>213360</xdr:rowOff>
              </from>
              <to>
                <xdr:col>10</xdr:col>
                <xdr:colOff>0</xdr:colOff>
                <xdr:row>14</xdr:row>
                <xdr:rowOff>0</xdr:rowOff>
              </to>
            </anchor>
          </controlPr>
        </control>
      </mc:Choice>
    </mc:AlternateContent>
    <mc:AlternateContent xmlns:mc="http://schemas.openxmlformats.org/markup-compatibility/2006">
      <mc:Choice Requires="x14">
        <control shapeId="4453" r:id="rId20" name="Check Box 357">
          <controlPr defaultSize="0" autoFill="0" autoLine="0" autoPict="0">
            <anchor moveWithCells="1">
              <from>
                <xdr:col>9</xdr:col>
                <xdr:colOff>0</xdr:colOff>
                <xdr:row>13</xdr:row>
                <xdr:rowOff>213360</xdr:rowOff>
              </from>
              <to>
                <xdr:col>10</xdr:col>
                <xdr:colOff>0</xdr:colOff>
                <xdr:row>15</xdr:row>
                <xdr:rowOff>0</xdr:rowOff>
              </to>
            </anchor>
          </controlPr>
        </control>
      </mc:Choice>
    </mc:AlternateContent>
    <mc:AlternateContent xmlns:mc="http://schemas.openxmlformats.org/markup-compatibility/2006">
      <mc:Choice Requires="x14">
        <control shapeId="4581" r:id="rId21" name="Check Box 485">
          <controlPr defaultSize="0" autoFill="0" autoLine="0" autoPict="0">
            <anchor moveWithCells="1">
              <from>
                <xdr:col>9</xdr:col>
                <xdr:colOff>0</xdr:colOff>
                <xdr:row>16</xdr:row>
                <xdr:rowOff>213360</xdr:rowOff>
              </from>
              <to>
                <xdr:col>10</xdr:col>
                <xdr:colOff>0</xdr:colOff>
                <xdr:row>18</xdr:row>
                <xdr:rowOff>0</xdr:rowOff>
              </to>
            </anchor>
          </controlPr>
        </control>
      </mc:Choice>
    </mc:AlternateContent>
    <mc:AlternateContent xmlns:mc="http://schemas.openxmlformats.org/markup-compatibility/2006">
      <mc:Choice Requires="x14">
        <control shapeId="4614" r:id="rId22" name="Check Box 518">
          <controlPr defaultSize="0" autoFill="0" autoLine="0" autoPict="0">
            <anchor moveWithCells="1">
              <from>
                <xdr:col>10</xdr:col>
                <xdr:colOff>0</xdr:colOff>
                <xdr:row>11</xdr:row>
                <xdr:rowOff>198120</xdr:rowOff>
              </from>
              <to>
                <xdr:col>11</xdr:col>
                <xdr:colOff>0</xdr:colOff>
                <xdr:row>13</xdr:row>
                <xdr:rowOff>0</xdr:rowOff>
              </to>
            </anchor>
          </controlPr>
        </control>
      </mc:Choice>
    </mc:AlternateContent>
    <mc:AlternateContent xmlns:mc="http://schemas.openxmlformats.org/markup-compatibility/2006">
      <mc:Choice Requires="x14">
        <control shapeId="4622" r:id="rId23" name="Button 526">
          <controlPr defaultSize="0" print="0" autoFill="0" autoPict="0" macro="[0]!mod_FillData.FillData">
            <anchor moveWithCells="1" sizeWithCells="1">
              <from>
                <xdr:col>10</xdr:col>
                <xdr:colOff>0</xdr:colOff>
                <xdr:row>4</xdr:row>
                <xdr:rowOff>0</xdr:rowOff>
              </from>
              <to>
                <xdr:col>11</xdr:col>
                <xdr:colOff>0</xdr:colOff>
                <xdr:row>7</xdr:row>
                <xdr:rowOff>0</xdr:rowOff>
              </to>
            </anchor>
          </controlPr>
        </control>
      </mc:Choice>
    </mc:AlternateContent>
    <mc:AlternateContent xmlns:mc="http://schemas.openxmlformats.org/markup-compatibility/2006">
      <mc:Choice Requires="x14">
        <control shapeId="4641" r:id="rId24" name="Button 545">
          <controlPr defaultSize="0" print="0" autoFill="0" autoPict="0" macro="[0]!PreCourtOrder">
            <anchor moveWithCells="1" sizeWithCells="1">
              <from>
                <xdr:col>11</xdr:col>
                <xdr:colOff>0</xdr:colOff>
                <xdr:row>6</xdr:row>
                <xdr:rowOff>0</xdr:rowOff>
              </from>
              <to>
                <xdr:col>12</xdr:col>
                <xdr:colOff>0</xdr:colOff>
                <xdr:row>7</xdr:row>
                <xdr:rowOff>0</xdr:rowOff>
              </to>
            </anchor>
          </controlPr>
        </control>
      </mc:Choice>
    </mc:AlternateContent>
    <mc:AlternateContent xmlns:mc="http://schemas.openxmlformats.org/markup-compatibility/2006">
      <mc:Choice Requires="x14">
        <control shapeId="4643" r:id="rId25" name="Check Box 547">
          <controlPr defaultSize="0" autoFill="0" autoLine="0" autoPict="0">
            <anchor moveWithCells="1">
              <from>
                <xdr:col>0</xdr:col>
                <xdr:colOff>0</xdr:colOff>
                <xdr:row>17</xdr:row>
                <xdr:rowOff>198120</xdr:rowOff>
              </from>
              <to>
                <xdr:col>1</xdr:col>
                <xdr:colOff>0</xdr:colOff>
                <xdr:row>19</xdr:row>
                <xdr:rowOff>0</xdr:rowOff>
              </to>
            </anchor>
          </controlPr>
        </control>
      </mc:Choice>
    </mc:AlternateContent>
    <mc:AlternateContent xmlns:mc="http://schemas.openxmlformats.org/markup-compatibility/2006">
      <mc:Choice Requires="x14">
        <control shapeId="4700" r:id="rId26" name="Check Box 604">
          <controlPr defaultSize="0" autoFill="0" autoLine="0" autoPict="0">
            <anchor moveWithCells="1">
              <from>
                <xdr:col>25</xdr:col>
                <xdr:colOff>0</xdr:colOff>
                <xdr:row>14</xdr:row>
                <xdr:rowOff>0</xdr:rowOff>
              </from>
              <to>
                <xdr:col>26</xdr:col>
                <xdr:colOff>0</xdr:colOff>
                <xdr:row>16</xdr:row>
                <xdr:rowOff>0</xdr:rowOff>
              </to>
            </anchor>
          </controlPr>
        </control>
      </mc:Choice>
    </mc:AlternateContent>
    <mc:AlternateContent xmlns:mc="http://schemas.openxmlformats.org/markup-compatibility/2006">
      <mc:Choice Requires="x14">
        <control shapeId="4706" r:id="rId27" name="Check Box 610">
          <controlPr defaultSize="0" autoFill="0" autoLine="0" autoPict="0">
            <anchor moveWithCells="1">
              <from>
                <xdr:col>9</xdr:col>
                <xdr:colOff>0</xdr:colOff>
                <xdr:row>15</xdr:row>
                <xdr:rowOff>213360</xdr:rowOff>
              </from>
              <to>
                <xdr:col>10</xdr:col>
                <xdr:colOff>0</xdr:colOff>
                <xdr:row>17</xdr:row>
                <xdr:rowOff>0</xdr:rowOff>
              </to>
            </anchor>
          </controlPr>
        </control>
      </mc:Choice>
    </mc:AlternateContent>
  </controls>
  <extLst>
    <ext xmlns:x14="http://schemas.microsoft.com/office/spreadsheetml/2009/9/main" uri="{CCE6A557-97BC-4b89-ADB6-D9C93CAAB3DF}">
      <x14:dataValidations xmlns:xm="http://schemas.microsoft.com/office/excel/2006/main" xWindow="587" yWindow="718" count="22">
        <x14:dataValidation type="list" allowBlank="1" showInputMessage="1" showErrorMessage="1">
          <x14:formula1>
            <xm:f>DRAFT!$C$2:$C$4</xm:f>
          </x14:formula1>
          <xm:sqref>I3</xm:sqref>
        </x14:dataValidation>
        <x14:dataValidation type="list" allowBlank="1" showInputMessage="1" showErrorMessage="1">
          <x14:formula1>
            <xm:f>DRAFT!$A$2:$A$4</xm:f>
          </x14:formula1>
          <xm:sqref>H3</xm:sqref>
        </x14:dataValidation>
        <x14:dataValidation type="list" allowBlank="1" showInputMessage="1" showErrorMessage="1">
          <x14:formula1>
            <xm:f>DRAFT!$C$6:$C$7</xm:f>
          </x14:formula1>
          <xm:sqref>E3</xm:sqref>
        </x14:dataValidation>
        <x14:dataValidation type="list" allowBlank="1" showInputMessage="1" showErrorMessage="1">
          <x14:formula1>
            <xm:f>DRAFT!$C$9:$C$12</xm:f>
          </x14:formula1>
          <xm:sqref>B153 B75 B101 B127 B49</xm:sqref>
        </x14:dataValidation>
        <x14:dataValidation type="list" allowBlank="1" showInputMessage="1" showErrorMessage="1">
          <x14:formula1>
            <xm:f>DRAFT!$B$6:$B$7</xm:f>
          </x14:formula1>
          <xm:sqref>I11 I15 H8</xm:sqref>
        </x14:dataValidation>
        <x14:dataValidation type="list" allowBlank="1" showInputMessage="1" showErrorMessage="1">
          <x14:formula1>
            <xm:f>DRAFT!$D$32:$D$33</xm:f>
          </x14:formula1>
          <xm:sqref>G182</xm:sqref>
        </x14:dataValidation>
        <x14:dataValidation type="list" allowBlank="1" showInputMessage="1" showErrorMessage="1">
          <x14:formula1>
            <xm:f>DRAFT!$W$2:$W$7</xm:f>
          </x14:formula1>
          <xm:sqref>L11</xm:sqref>
        </x14:dataValidation>
        <x14:dataValidation type="list" allowBlank="1" showInputMessage="1" showErrorMessage="1">
          <x14:formula1>
            <xm:f>DRAFT!$C$18:$C$22</xm:f>
          </x14:formula1>
          <xm:sqref>N23 N49 N75 N101 N127 N153</xm:sqref>
        </x14:dataValidation>
        <x14:dataValidation type="list" allowBlank="1" showInputMessage="1" showErrorMessage="1">
          <x14:formula1>
            <xm:f>DRAFT!$N$2:$N$7</xm:f>
          </x14:formula1>
          <xm:sqref>E179</xm:sqref>
        </x14:dataValidation>
        <x14:dataValidation type="list" allowBlank="1" showInputMessage="1" showErrorMessage="1">
          <x14:formula1>
            <xm:f>DRAFT!$N$8:$N$9</xm:f>
          </x14:formula1>
          <xm:sqref>E183</xm:sqref>
        </x14:dataValidation>
        <x14:dataValidation type="list" allowBlank="1" showInputMessage="1" showErrorMessage="1">
          <x14:formula1>
            <xm:f>DRAFT!$Y$2:$Y$5</xm:f>
          </x14:formula1>
          <xm:sqref>E49 E153 E75 E101 E127</xm:sqref>
        </x14:dataValidation>
        <x14:dataValidation type="list" allowBlank="1" showInputMessage="1" showErrorMessage="1">
          <x14:formula1>
            <xm:f>DRAFT!$M$2:$M$17</xm:f>
          </x14:formula1>
          <xm:sqref>F34:F43 F60:F69 F138:F147 F164:F173 F112:F121 F86:F95 R22:R26</xm:sqref>
        </x14:dataValidation>
        <x14:dataValidation type="list" allowBlank="1" showInputMessage="1" showErrorMessage="1">
          <x14:formula1>
            <xm:f>DRAFT!$F$2:$F$29</xm:f>
          </x14:formula1>
          <xm:sqref>U21:U26 O22:O26</xm:sqref>
        </x14:dataValidation>
        <x14:dataValidation type="list" allowBlank="1" showInputMessage="1" showErrorMessage="1">
          <x14:formula1>
            <xm:f>DRAFT!$F$2:$F$32</xm:f>
          </x14:formula1>
          <xm:sqref>R3:R12 M3:M12 K191:K200 F191:F200 K210:K219 F210:F219 A191:A200 A138:A147 A34:A43 A210:A219 A164:A173 A86:A95 A60:A69 A112:A121 AE3:AE12 Z3:Z12</xm:sqref>
        </x14:dataValidation>
        <x14:dataValidation type="list" allowBlank="1" showInputMessage="1" showErrorMessage="1">
          <x14:formula1>
            <xm:f>DRAFT!$D$6:$D$7</xm:f>
          </x14:formula1>
          <xm:sqref>E225 E229</xm:sqref>
        </x14:dataValidation>
        <x14:dataValidation type="list" allowBlank="1" showInputMessage="1" showErrorMessage="1">
          <x14:formula1>
            <xm:f>DRAFT!$C$19:$C$21</xm:f>
          </x14:formula1>
          <xm:sqref>E233 E237</xm:sqref>
        </x14:dataValidation>
        <x14:dataValidation type="list" allowBlank="1" showInputMessage="1" showErrorMessage="1">
          <x14:formula1>
            <xm:f>DRAFT!$AL$2:$AL$8</xm:f>
          </x14:formula1>
          <xm:sqref>F3</xm:sqref>
        </x14:dataValidation>
        <x14:dataValidation type="list" allowBlank="1" showInputMessage="1" showErrorMessage="1">
          <x14:formula1>
            <xm:f>DRAFT!$AQ$2:$AQ$4</xm:f>
          </x14:formula1>
          <xm:sqref>K16</xm:sqref>
        </x14:dataValidation>
        <x14:dataValidation type="list" allowBlank="1" showInputMessage="1" showErrorMessage="1">
          <x14:formula1>
            <xm:f>DRAFT!$D$9:$D$10</xm:f>
          </x14:formula1>
          <xm:sqref>B23</xm:sqref>
        </x14:dataValidation>
        <x14:dataValidation type="list" allowBlank="1" showInputMessage="1" showErrorMessage="1">
          <x14:formula1>
            <xm:f>DRAFT!$Y$2:$Y$6</xm:f>
          </x14:formula1>
          <xm:sqref>E23</xm:sqref>
        </x14:dataValidation>
        <x14:dataValidation type="list" showInputMessage="1" showErrorMessage="1">
          <x14:formula1>
            <xm:f>ФО!$A$3:$A$157</xm:f>
          </x14:formula1>
          <xm:sqref>D11</xm:sqref>
        </x14:dataValidation>
        <x14:dataValidation type="list" allowBlank="1" showInputMessage="1" showErrorMessage="1">
          <x14:formula1>
            <xm:f>ФО!$A$3:$A$157</xm:f>
          </x14:formula1>
          <xm:sqref>D15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tabColor rgb="FF0070C0"/>
  </sheetPr>
  <dimension ref="A1:K269"/>
  <sheetViews>
    <sheetView workbookViewId="0">
      <pane ySplit="1" topLeftCell="A77" activePane="bottomLeft" state="frozen"/>
      <selection pane="bottomLeft" activeCell="C121" sqref="C121"/>
    </sheetView>
  </sheetViews>
  <sheetFormatPr defaultRowHeight="14.4" x14ac:dyDescent="0.3"/>
  <cols>
    <col min="1" max="1" width="11.6640625" style="561" customWidth="1"/>
    <col min="2" max="2" width="13.44140625" style="7" customWidth="1"/>
    <col min="3" max="3" width="12.88671875" style="569" customWidth="1"/>
    <col min="4" max="4" width="13.5546875" style="7" customWidth="1"/>
    <col min="5" max="5" width="12" style="7" customWidth="1"/>
    <col min="6" max="6" width="11.6640625" customWidth="1"/>
    <col min="7" max="7" width="15.6640625" customWidth="1"/>
    <col min="9" max="9" width="10" customWidth="1"/>
    <col min="10" max="10" width="9" customWidth="1"/>
  </cols>
  <sheetData>
    <row r="1" spans="1:11" ht="15.6" thickTop="1" thickBot="1" x14ac:dyDescent="0.35">
      <c r="A1" s="562" t="s">
        <v>5</v>
      </c>
      <c r="B1" s="563" t="s">
        <v>5799</v>
      </c>
      <c r="C1" s="567" t="s">
        <v>5802</v>
      </c>
      <c r="D1" s="567" t="s">
        <v>5806</v>
      </c>
      <c r="E1" s="567" t="s">
        <v>5807</v>
      </c>
      <c r="F1" s="567" t="s">
        <v>5810</v>
      </c>
      <c r="G1" s="567" t="s">
        <v>6774</v>
      </c>
      <c r="I1" s="1307">
        <f>SUM(C:C)/SUM(B:B)</f>
        <v>1.5601893920271927E-2</v>
      </c>
      <c r="J1" s="266"/>
      <c r="K1" s="1306"/>
    </row>
    <row r="2" spans="1:11" ht="15" thickTop="1" x14ac:dyDescent="0.3">
      <c r="A2" s="561">
        <v>43927</v>
      </c>
      <c r="B2" s="7">
        <f>COUNTIF(STATUS!$E:$E,A2)</f>
        <v>20</v>
      </c>
      <c r="C2" s="568">
        <f>SUMIFS(STATUS!$AA:$AA,STATUS!$E:$E,A2)</f>
        <v>0.25277777777777799</v>
      </c>
      <c r="D2" s="568">
        <f t="shared" ref="D2:D7" si="0">IFERROR(C2/B2,0)</f>
        <v>1.2638888888888899E-2</v>
      </c>
      <c r="E2" s="568">
        <f>D2*20</f>
        <v>0.25277777777777799</v>
      </c>
      <c r="F2" s="569">
        <f t="shared" ref="F2:F18" si="1">E2-C2</f>
        <v>0</v>
      </c>
    </row>
    <row r="3" spans="1:11" x14ac:dyDescent="0.3">
      <c r="A3" s="561">
        <v>43928</v>
      </c>
      <c r="B3" s="7">
        <f>COUNTIF(STATUS!$E:$E,A3)</f>
        <v>20</v>
      </c>
      <c r="C3" s="568">
        <f>SUMIFS(STATUS!$AA:$AA,STATUS!$E:$E,A3)</f>
        <v>0.28958333333333353</v>
      </c>
      <c r="D3" s="568">
        <f t="shared" si="0"/>
        <v>1.4479166666666677E-2</v>
      </c>
      <c r="E3" s="568">
        <f t="shared" ref="E3:E18" si="2">D3*20</f>
        <v>0.28958333333333353</v>
      </c>
      <c r="F3" s="569">
        <f t="shared" si="1"/>
        <v>0</v>
      </c>
    </row>
    <row r="4" spans="1:11" x14ac:dyDescent="0.3">
      <c r="A4" s="561">
        <v>43929</v>
      </c>
      <c r="B4" s="7">
        <f>COUNTIF(STATUS!$E:$E,A4)</f>
        <v>20</v>
      </c>
      <c r="C4" s="568">
        <f>SUMIFS(STATUS!$AA:$AA,STATUS!$E:$E,A4)</f>
        <v>0.20694444444444454</v>
      </c>
      <c r="D4" s="568">
        <f t="shared" si="0"/>
        <v>1.0347222222222226E-2</v>
      </c>
      <c r="E4" s="568">
        <f t="shared" si="2"/>
        <v>0.20694444444444454</v>
      </c>
      <c r="F4" s="569">
        <f t="shared" si="1"/>
        <v>0</v>
      </c>
    </row>
    <row r="5" spans="1:11" x14ac:dyDescent="0.3">
      <c r="A5" s="561">
        <v>43930</v>
      </c>
      <c r="B5" s="7">
        <f>COUNTIF(STATUS!$E:$E,A5)</f>
        <v>20</v>
      </c>
      <c r="C5" s="568">
        <f>SUMIFS(STATUS!$AA:$AA,STATUS!$E:$E,A5)</f>
        <v>0.22188657407407347</v>
      </c>
      <c r="D5" s="568">
        <f t="shared" si="0"/>
        <v>1.1094328703703674E-2</v>
      </c>
      <c r="E5" s="568">
        <f t="shared" si="2"/>
        <v>0.22188657407407347</v>
      </c>
      <c r="F5" s="569">
        <f t="shared" si="1"/>
        <v>0</v>
      </c>
    </row>
    <row r="6" spans="1:11" x14ac:dyDescent="0.3">
      <c r="A6" s="561">
        <v>43931</v>
      </c>
      <c r="B6" s="7">
        <f>COUNTIF(STATUS!$E:$E,A6)</f>
        <v>13</v>
      </c>
      <c r="C6" s="568">
        <f>SUMIFS(STATUS!$AA:$AA,STATUS!$E:$E,A6)</f>
        <v>0.20563657407407376</v>
      </c>
      <c r="D6" s="568">
        <f t="shared" si="0"/>
        <v>1.5818198005697982E-2</v>
      </c>
      <c r="E6" s="568">
        <f t="shared" si="2"/>
        <v>0.31636396011395962</v>
      </c>
      <c r="F6" s="569">
        <f t="shared" si="1"/>
        <v>0.11072738603988586</v>
      </c>
    </row>
    <row r="7" spans="1:11" x14ac:dyDescent="0.3">
      <c r="A7" s="561">
        <v>43932</v>
      </c>
      <c r="B7" s="7">
        <f>COUNTIF(STATUS!$E:$E,A7)</f>
        <v>4</v>
      </c>
      <c r="C7" s="568">
        <f>SUMIFS(STATUS!$AA:$AA,STATUS!$E:$E,A7)</f>
        <v>6.8912037037036855E-2</v>
      </c>
      <c r="D7" s="568">
        <f t="shared" si="0"/>
        <v>1.7228009259259214E-2</v>
      </c>
      <c r="E7" s="568">
        <f t="shared" si="2"/>
        <v>0.34456018518518428</v>
      </c>
      <c r="F7" s="569">
        <f t="shared" si="1"/>
        <v>0.27564814814814742</v>
      </c>
    </row>
    <row r="8" spans="1:11" x14ac:dyDescent="0.3">
      <c r="A8" s="561">
        <v>43933</v>
      </c>
      <c r="B8" s="7">
        <f>COUNTIF(STATUS!$E:$E,A8)</f>
        <v>0</v>
      </c>
      <c r="C8" s="568">
        <f>SUMIFS(STATUS!$AA:$AA,STATUS!$E:$E,A8)</f>
        <v>0</v>
      </c>
      <c r="D8" s="568">
        <f>IFERROR(C8/B8,0)</f>
        <v>0</v>
      </c>
      <c r="E8" s="568">
        <f t="shared" si="2"/>
        <v>0</v>
      </c>
      <c r="F8" s="569">
        <f t="shared" si="1"/>
        <v>0</v>
      </c>
    </row>
    <row r="9" spans="1:11" x14ac:dyDescent="0.3">
      <c r="A9" s="561">
        <v>43934</v>
      </c>
      <c r="B9" s="7">
        <f>COUNTIF(STATUS!$E:$E,A9)</f>
        <v>20</v>
      </c>
      <c r="C9" s="568">
        <f>SUMIFS(STATUS!$AA:$AA,STATUS!$E:$E,A9)</f>
        <v>0.31193287037037015</v>
      </c>
      <c r="D9" s="568">
        <f>IFERROR(C9/B9,0)</f>
        <v>1.5596643518518508E-2</v>
      </c>
      <c r="E9" s="568">
        <f t="shared" si="2"/>
        <v>0.31193287037037015</v>
      </c>
      <c r="F9" s="569">
        <f t="shared" si="1"/>
        <v>0</v>
      </c>
    </row>
    <row r="10" spans="1:11" x14ac:dyDescent="0.3">
      <c r="A10" s="561">
        <v>43935</v>
      </c>
      <c r="B10" s="7">
        <f>COUNTIF(STATUS!$E:$E,A10)</f>
        <v>20</v>
      </c>
      <c r="C10" s="568">
        <f>SUMIFS(STATUS!$AA:$AA,STATUS!$E:$E,A10)</f>
        <v>0.29502314814814773</v>
      </c>
      <c r="D10" s="568">
        <f>IFERROR(C10/B10,0)</f>
        <v>1.4751157407407386E-2</v>
      </c>
      <c r="E10" s="568">
        <f t="shared" si="2"/>
        <v>0.29502314814814773</v>
      </c>
      <c r="F10" s="569">
        <f t="shared" si="1"/>
        <v>0</v>
      </c>
    </row>
    <row r="11" spans="1:11" x14ac:dyDescent="0.3">
      <c r="A11" s="561">
        <v>43936</v>
      </c>
      <c r="B11" s="7">
        <f>COUNTIF(STATUS!$E:$E,A11)</f>
        <v>14</v>
      </c>
      <c r="C11" s="568">
        <f>SUMIFS(STATUS!$AA:$AA,STATUS!$E:$E,A11)</f>
        <v>0.16537037037037061</v>
      </c>
      <c r="D11" s="568">
        <f t="shared" ref="D11:D18" si="3">IFERROR(C11/B11,0)</f>
        <v>1.1812169312169329E-2</v>
      </c>
      <c r="E11" s="568">
        <f t="shared" si="2"/>
        <v>0.23624338624338659</v>
      </c>
      <c r="F11" s="569">
        <f t="shared" si="1"/>
        <v>7.0873015873015976E-2</v>
      </c>
      <c r="G11" s="615"/>
    </row>
    <row r="12" spans="1:11" x14ac:dyDescent="0.3">
      <c r="A12" s="561">
        <v>43937</v>
      </c>
      <c r="B12" s="7">
        <f>COUNTIF(STATUS!$E:$E,A12)</f>
        <v>22</v>
      </c>
      <c r="C12" s="568">
        <f>SUMIFS(STATUS!$AA:$AA,STATUS!$E:$E,A12)</f>
        <v>0.33684027777777764</v>
      </c>
      <c r="D12" s="568">
        <f t="shared" si="3"/>
        <v>1.5310921717171711E-2</v>
      </c>
      <c r="E12" s="568">
        <f t="shared" si="2"/>
        <v>0.30621843434343421</v>
      </c>
      <c r="F12" s="569">
        <f>C12-E12</f>
        <v>3.0621843434343432E-2</v>
      </c>
    </row>
    <row r="13" spans="1:11" x14ac:dyDescent="0.3">
      <c r="A13" s="561">
        <v>43938</v>
      </c>
      <c r="B13" s="7">
        <f>COUNTIF(STATUS!$E:$E,A13)</f>
        <v>20</v>
      </c>
      <c r="C13" s="568">
        <f>SUMIFS(STATUS!$AA:$AA,STATUS!$E:$E,A13)</f>
        <v>0.23146990740740769</v>
      </c>
      <c r="D13" s="568">
        <f t="shared" si="3"/>
        <v>1.1573495370370385E-2</v>
      </c>
      <c r="E13" s="568">
        <f t="shared" si="2"/>
        <v>0.23146990740740769</v>
      </c>
      <c r="F13" s="569">
        <f>C13-E13</f>
        <v>0</v>
      </c>
    </row>
    <row r="14" spans="1:11" x14ac:dyDescent="0.3">
      <c r="A14" s="561">
        <v>43939</v>
      </c>
      <c r="B14" s="7">
        <f>COUNTIF(STATUS!$E:$E,A14)</f>
        <v>0</v>
      </c>
      <c r="C14" s="568">
        <f>SUMIFS(STATUS!$AA:$AA,STATUS!$E:$E,A14)</f>
        <v>0</v>
      </c>
      <c r="D14" s="568">
        <f t="shared" si="3"/>
        <v>0</v>
      </c>
      <c r="E14" s="568">
        <f t="shared" si="2"/>
        <v>0</v>
      </c>
      <c r="F14" s="569">
        <f t="shared" si="1"/>
        <v>0</v>
      </c>
    </row>
    <row r="15" spans="1:11" x14ac:dyDescent="0.3">
      <c r="A15" s="561">
        <v>43940</v>
      </c>
      <c r="B15" s="7">
        <f>COUNTIF(STATUS!$E:$E,A15)</f>
        <v>0</v>
      </c>
      <c r="C15" s="568">
        <f>SUMIFS(STATUS!$AA:$AA,STATUS!$E:$E,A15)</f>
        <v>0</v>
      </c>
      <c r="D15" s="568">
        <f t="shared" si="3"/>
        <v>0</v>
      </c>
      <c r="E15" s="568">
        <f t="shared" si="2"/>
        <v>0</v>
      </c>
      <c r="F15" s="569">
        <f t="shared" si="1"/>
        <v>0</v>
      </c>
    </row>
    <row r="16" spans="1:11" x14ac:dyDescent="0.3">
      <c r="A16" s="561">
        <v>43941</v>
      </c>
      <c r="B16" s="7">
        <f>COUNTIF(STATUS!$E:$E,A16)</f>
        <v>21</v>
      </c>
      <c r="C16" s="568">
        <f>SUMIFS(STATUS!$AA:$AA,STATUS!$E:$E,A16)</f>
        <v>0.21994212962962933</v>
      </c>
      <c r="D16" s="568">
        <f t="shared" si="3"/>
        <v>1.0473434744268064E-2</v>
      </c>
      <c r="E16" s="568">
        <f t="shared" si="2"/>
        <v>0.2094686948853613</v>
      </c>
      <c r="F16" s="569">
        <f>C16-E16</f>
        <v>1.047343474426804E-2</v>
      </c>
    </row>
    <row r="17" spans="1:6" x14ac:dyDescent="0.3">
      <c r="A17" s="561">
        <v>43942</v>
      </c>
      <c r="B17" s="7">
        <f>COUNTIF(STATUS!$E:$E,A17)</f>
        <v>15</v>
      </c>
      <c r="C17" s="568">
        <f>SUMIFS(STATUS!$AA:$AA,STATUS!$E:$E,A17)</f>
        <v>0.17960648148148128</v>
      </c>
      <c r="D17" s="568">
        <f t="shared" si="3"/>
        <v>1.1973765432098752E-2</v>
      </c>
      <c r="E17" s="568">
        <f t="shared" si="2"/>
        <v>0.23947530864197503</v>
      </c>
      <c r="F17" s="569">
        <f t="shared" si="1"/>
        <v>5.9868827160493743E-2</v>
      </c>
    </row>
    <row r="18" spans="1:6" x14ac:dyDescent="0.3">
      <c r="A18" s="561">
        <v>43943</v>
      </c>
      <c r="B18" s="7">
        <f>COUNTIF(STATUS!$E:$E,A18)</f>
        <v>19</v>
      </c>
      <c r="C18" s="568">
        <f>SUMIFS(STATUS!$AA:$AA,STATUS!$E:$E,A18)</f>
        <v>0.26181712962962961</v>
      </c>
      <c r="D18" s="568">
        <f t="shared" si="3"/>
        <v>1.3779848927875243E-2</v>
      </c>
      <c r="E18" s="568">
        <f t="shared" si="2"/>
        <v>0.27559697855750487</v>
      </c>
      <c r="F18" s="569">
        <f t="shared" si="1"/>
        <v>1.377984892787526E-2</v>
      </c>
    </row>
    <row r="19" spans="1:6" x14ac:dyDescent="0.3">
      <c r="A19" s="561">
        <v>43944</v>
      </c>
      <c r="B19" s="7">
        <f>COUNTIF(STATUS!$E:$E,A19)</f>
        <v>4</v>
      </c>
      <c r="C19" s="568">
        <f>SUMIFS(STATUS!$AA:$AA,STATUS!$E:$E,A19)</f>
        <v>6.1805555555555891E-2</v>
      </c>
      <c r="D19" s="568">
        <f t="shared" ref="D19:D25" si="4">IFERROR(C19/B19,0)</f>
        <v>1.5451388888888973E-2</v>
      </c>
      <c r="E19" s="568">
        <f t="shared" ref="E19:E25" si="5">D19*20</f>
        <v>0.30902777777777946</v>
      </c>
      <c r="F19" s="569">
        <f t="shared" ref="F19:F25" si="6">E19-C19</f>
        <v>0.24722222222222356</v>
      </c>
    </row>
    <row r="20" spans="1:6" x14ac:dyDescent="0.3">
      <c r="A20" s="561">
        <v>43945</v>
      </c>
      <c r="B20" s="7">
        <f>COUNTIF(STATUS!$E:$E,A20)</f>
        <v>16</v>
      </c>
      <c r="C20" s="568">
        <f>SUMIFS(STATUS!$AA:$AA,STATUS!$E:$E,A20)</f>
        <v>0.28337962962962959</v>
      </c>
      <c r="D20" s="568">
        <f t="shared" si="4"/>
        <v>1.771122685185185E-2</v>
      </c>
      <c r="E20" s="568">
        <f t="shared" si="5"/>
        <v>0.35422453703703699</v>
      </c>
      <c r="F20" s="569">
        <f t="shared" si="6"/>
        <v>7.0844907407407398E-2</v>
      </c>
    </row>
    <row r="21" spans="1:6" x14ac:dyDescent="0.3">
      <c r="A21" s="561">
        <v>43946</v>
      </c>
      <c r="B21" s="7">
        <f>COUNTIF(STATUS!$E:$E,A21)</f>
        <v>0</v>
      </c>
      <c r="C21" s="568">
        <f>SUMIFS(STATUS!$AA:$AA,STATUS!$E:$E,A21)</f>
        <v>0</v>
      </c>
      <c r="D21" s="568">
        <f t="shared" si="4"/>
        <v>0</v>
      </c>
      <c r="E21" s="568">
        <f t="shared" si="5"/>
        <v>0</v>
      </c>
      <c r="F21" s="569">
        <f t="shared" si="6"/>
        <v>0</v>
      </c>
    </row>
    <row r="22" spans="1:6" x14ac:dyDescent="0.3">
      <c r="A22" s="561">
        <v>43947</v>
      </c>
      <c r="B22" s="7">
        <f>COUNTIF(STATUS!$E:$E,A22)</f>
        <v>0</v>
      </c>
      <c r="C22" s="568">
        <f>SUMIFS(STATUS!$AA:$AA,STATUS!$E:$E,A22)</f>
        <v>0</v>
      </c>
      <c r="D22" s="568">
        <f t="shared" si="4"/>
        <v>0</v>
      </c>
      <c r="E22" s="568">
        <f t="shared" si="5"/>
        <v>0</v>
      </c>
      <c r="F22" s="569">
        <f t="shared" si="6"/>
        <v>0</v>
      </c>
    </row>
    <row r="23" spans="1:6" x14ac:dyDescent="0.3">
      <c r="A23" s="561">
        <v>43948</v>
      </c>
      <c r="B23" s="7">
        <f>COUNTIF(STATUS!$E:$E,A23)</f>
        <v>0</v>
      </c>
      <c r="C23" s="568">
        <f>SUMIFS(STATUS!$AA:$AA,STATUS!$E:$E,A23)</f>
        <v>0</v>
      </c>
      <c r="D23" s="568">
        <f t="shared" si="4"/>
        <v>0</v>
      </c>
      <c r="E23" s="568">
        <f t="shared" si="5"/>
        <v>0</v>
      </c>
      <c r="F23" s="569">
        <f t="shared" si="6"/>
        <v>0</v>
      </c>
    </row>
    <row r="24" spans="1:6" x14ac:dyDescent="0.3">
      <c r="A24" s="561">
        <v>43949</v>
      </c>
      <c r="B24" s="7">
        <f>COUNTIF(STATUS!$E:$E,A24)</f>
        <v>0</v>
      </c>
      <c r="C24" s="568">
        <f>SUMIFS(STATUS!$AA:$AA,STATUS!$E:$E,A24)</f>
        <v>0</v>
      </c>
      <c r="D24" s="568">
        <f t="shared" si="4"/>
        <v>0</v>
      </c>
      <c r="E24" s="568">
        <f t="shared" si="5"/>
        <v>0</v>
      </c>
      <c r="F24" s="569">
        <f t="shared" si="6"/>
        <v>0</v>
      </c>
    </row>
    <row r="25" spans="1:6" x14ac:dyDescent="0.3">
      <c r="A25" s="561">
        <v>43950</v>
      </c>
      <c r="B25" s="7">
        <f>COUNTIF(STATUS!$E:$E,A25)</f>
        <v>0</v>
      </c>
      <c r="C25" s="568">
        <f>SUMIFS(STATUS!$AA:$AA,STATUS!$E:$E,A25)</f>
        <v>0</v>
      </c>
      <c r="D25" s="568">
        <f t="shared" si="4"/>
        <v>0</v>
      </c>
      <c r="E25" s="568">
        <f t="shared" si="5"/>
        <v>0</v>
      </c>
      <c r="F25" s="569">
        <f t="shared" si="6"/>
        <v>0</v>
      </c>
    </row>
    <row r="26" spans="1:6" x14ac:dyDescent="0.3">
      <c r="A26" s="561">
        <v>43951</v>
      </c>
      <c r="B26" s="7">
        <f>COUNTIF(STATUS!$E:$E,A26)</f>
        <v>0</v>
      </c>
      <c r="C26" s="568">
        <f>SUMIFS(STATUS!$AA:$AA,STATUS!$E:$E,A26)</f>
        <v>0</v>
      </c>
      <c r="D26" s="568">
        <f t="shared" ref="D26:D38" si="7">IFERROR(C26/B26,0)</f>
        <v>0</v>
      </c>
      <c r="E26" s="568">
        <f t="shared" ref="E26:E38" si="8">D26*20</f>
        <v>0</v>
      </c>
      <c r="F26" s="569">
        <f t="shared" ref="F26:F38" si="9">E26-C26</f>
        <v>0</v>
      </c>
    </row>
    <row r="27" spans="1:6" x14ac:dyDescent="0.3">
      <c r="A27" s="561">
        <v>43952</v>
      </c>
      <c r="B27" s="7">
        <f>COUNTIF(STATUS!$E:$E,A27)</f>
        <v>0</v>
      </c>
      <c r="C27" s="568">
        <f>SUMIFS(STATUS!$AA:$AA,STATUS!$E:$E,A27)</f>
        <v>0</v>
      </c>
      <c r="D27" s="568">
        <f t="shared" si="7"/>
        <v>0</v>
      </c>
      <c r="E27" s="568">
        <f t="shared" si="8"/>
        <v>0</v>
      </c>
      <c r="F27" s="569">
        <f t="shared" si="9"/>
        <v>0</v>
      </c>
    </row>
    <row r="28" spans="1:6" x14ac:dyDescent="0.3">
      <c r="A28" s="561">
        <v>43953</v>
      </c>
      <c r="B28" s="7">
        <f>COUNTIF(STATUS!$E:$E,A28)</f>
        <v>2</v>
      </c>
      <c r="C28" s="568">
        <f>SUMIFS(STATUS!$AA:$AA,STATUS!$E:$E,A28)</f>
        <v>3.427083333333325E-2</v>
      </c>
      <c r="D28" s="568">
        <f t="shared" si="7"/>
        <v>1.7135416666666625E-2</v>
      </c>
      <c r="E28" s="568">
        <f t="shared" si="8"/>
        <v>0.3427083333333325</v>
      </c>
      <c r="F28" s="569">
        <f t="shared" si="9"/>
        <v>0.30843749999999925</v>
      </c>
    </row>
    <row r="29" spans="1:6" x14ac:dyDescent="0.3">
      <c r="A29" s="561">
        <v>43954</v>
      </c>
      <c r="B29" s="7">
        <f>COUNTIF(STATUS!$E:$E,A29)</f>
        <v>1</v>
      </c>
      <c r="C29" s="568">
        <f>SUMIFS(STATUS!$AA:$AA,STATUS!$E:$E,A29)</f>
        <v>4.2476851851852571E-3</v>
      </c>
      <c r="D29" s="568">
        <f t="shared" si="7"/>
        <v>4.2476851851852571E-3</v>
      </c>
      <c r="E29" s="568">
        <f t="shared" si="8"/>
        <v>8.4953703703705141E-2</v>
      </c>
      <c r="F29" s="569">
        <f t="shared" si="9"/>
        <v>8.0706018518519884E-2</v>
      </c>
    </row>
    <row r="30" spans="1:6" x14ac:dyDescent="0.3">
      <c r="A30" s="561">
        <v>43955</v>
      </c>
      <c r="B30" s="7">
        <f>COUNTIF(STATUS!$E:$E,A30)</f>
        <v>2</v>
      </c>
      <c r="C30" s="568">
        <f>SUMIFS(STATUS!$AA:$AA,STATUS!$E:$E,A30)</f>
        <v>3.7870370370370332E-2</v>
      </c>
      <c r="D30" s="568">
        <f t="shared" si="7"/>
        <v>1.8935185185185166E-2</v>
      </c>
      <c r="E30" s="568">
        <f t="shared" si="8"/>
        <v>0.37870370370370332</v>
      </c>
      <c r="F30" s="569">
        <f t="shared" si="9"/>
        <v>0.34083333333333299</v>
      </c>
    </row>
    <row r="31" spans="1:6" x14ac:dyDescent="0.3">
      <c r="A31" s="561">
        <v>43956</v>
      </c>
      <c r="B31" s="7">
        <f>COUNTIF(STATUS!$E:$E,A31)</f>
        <v>3</v>
      </c>
      <c r="C31" s="568">
        <f>SUMIFS(STATUS!$AA:$AA,STATUS!$E:$E,A31)</f>
        <v>3.9861111111111347E-2</v>
      </c>
      <c r="D31" s="568">
        <f t="shared" si="7"/>
        <v>1.3287037037037116E-2</v>
      </c>
      <c r="E31" s="568">
        <f t="shared" si="8"/>
        <v>0.26574074074074233</v>
      </c>
      <c r="F31" s="569">
        <f t="shared" si="9"/>
        <v>0.22587962962963098</v>
      </c>
    </row>
    <row r="32" spans="1:6" x14ac:dyDescent="0.3">
      <c r="A32" s="561">
        <v>43957</v>
      </c>
      <c r="B32" s="7">
        <f>COUNTIF(STATUS!$E:$E,A32)</f>
        <v>21</v>
      </c>
      <c r="C32" s="568">
        <f>SUMIFS(STATUS!$AA:$AA,STATUS!$E:$E,A32)</f>
        <v>0.17975694444444451</v>
      </c>
      <c r="D32" s="568">
        <f t="shared" si="7"/>
        <v>8.5598544973545E-3</v>
      </c>
      <c r="E32" s="568">
        <f t="shared" si="8"/>
        <v>0.17119708994708999</v>
      </c>
      <c r="F32" s="569">
        <f>C32-E32</f>
        <v>8.5598544973545243E-3</v>
      </c>
    </row>
    <row r="33" spans="1:7" x14ac:dyDescent="0.3">
      <c r="A33" s="561">
        <v>43958</v>
      </c>
      <c r="B33" s="7">
        <f>COUNTIF(STATUS!$E:$E,A33)</f>
        <v>11</v>
      </c>
      <c r="C33" s="568">
        <f>SUMIFS(STATUS!$AA:$AA,STATUS!$E:$E,A33)</f>
        <v>0.19804398148148139</v>
      </c>
      <c r="D33" s="568">
        <f t="shared" si="7"/>
        <v>1.8003998316498307E-2</v>
      </c>
      <c r="E33" s="568">
        <f t="shared" si="8"/>
        <v>0.36007996632996614</v>
      </c>
      <c r="F33" s="569">
        <f t="shared" si="9"/>
        <v>0.16203598484848475</v>
      </c>
    </row>
    <row r="34" spans="1:7" x14ac:dyDescent="0.3">
      <c r="A34" s="561">
        <v>43959</v>
      </c>
      <c r="B34" s="7">
        <f>COUNTIF(STATUS!$E:$E,A34)</f>
        <v>10</v>
      </c>
      <c r="C34" s="568">
        <f>SUMIFS(STATUS!$AA:$AA,STATUS!$E:$E,A34)</f>
        <v>0.22936342592592573</v>
      </c>
      <c r="D34" s="568">
        <f t="shared" si="7"/>
        <v>2.2936342592592574E-2</v>
      </c>
      <c r="E34" s="568">
        <f t="shared" si="8"/>
        <v>0.45872685185185147</v>
      </c>
      <c r="F34" s="569">
        <f t="shared" si="9"/>
        <v>0.22936342592592573</v>
      </c>
    </row>
    <row r="35" spans="1:7" x14ac:dyDescent="0.3">
      <c r="A35" s="561">
        <v>43960</v>
      </c>
      <c r="B35" s="7">
        <f>COUNTIF(STATUS!$E:$E,A35)</f>
        <v>0</v>
      </c>
      <c r="C35" s="568">
        <f>SUMIFS(STATUS!$AA:$AA,STATUS!$E:$E,A35)</f>
        <v>0</v>
      </c>
      <c r="D35" s="568">
        <f t="shared" si="7"/>
        <v>0</v>
      </c>
      <c r="E35" s="568">
        <f t="shared" si="8"/>
        <v>0</v>
      </c>
      <c r="F35" s="569">
        <f t="shared" si="9"/>
        <v>0</v>
      </c>
    </row>
    <row r="36" spans="1:7" x14ac:dyDescent="0.3">
      <c r="A36" s="561">
        <v>43961</v>
      </c>
      <c r="B36" s="7">
        <f>COUNTIF(STATUS!$E:$E,A36)</f>
        <v>0</v>
      </c>
      <c r="C36" s="568">
        <f>SUMIFS(STATUS!$AA:$AA,STATUS!$E:$E,A36)</f>
        <v>0</v>
      </c>
      <c r="D36" s="568">
        <f t="shared" si="7"/>
        <v>0</v>
      </c>
      <c r="E36" s="568">
        <f t="shared" si="8"/>
        <v>0</v>
      </c>
      <c r="F36" s="569">
        <f t="shared" si="9"/>
        <v>0</v>
      </c>
    </row>
    <row r="37" spans="1:7" x14ac:dyDescent="0.3">
      <c r="A37" s="561">
        <v>43962</v>
      </c>
      <c r="B37" s="7">
        <f>COUNTIF(STATUS!$E:$E,A37)</f>
        <v>5</v>
      </c>
      <c r="C37" s="568">
        <f>SUMIFS(STATUS!$AA:$AA,STATUS!$E:$E,A37)</f>
        <v>4.3854166666666528E-2</v>
      </c>
      <c r="D37" s="568">
        <f t="shared" si="7"/>
        <v>8.7708333333333059E-3</v>
      </c>
      <c r="E37" s="568">
        <f t="shared" si="8"/>
        <v>0.17541666666666611</v>
      </c>
      <c r="F37" s="569">
        <f t="shared" si="9"/>
        <v>0.13156249999999958</v>
      </c>
    </row>
    <row r="38" spans="1:7" x14ac:dyDescent="0.3">
      <c r="A38" s="561">
        <v>43963</v>
      </c>
      <c r="B38" s="7">
        <f>COUNTIF(STATUS!$E:$E,A38)</f>
        <v>10</v>
      </c>
      <c r="C38" s="568">
        <f>SUMIFS(STATUS!$AA:$AA,STATUS!$E:$E,A38)</f>
        <v>0.19267361111111103</v>
      </c>
      <c r="D38" s="568">
        <f t="shared" si="7"/>
        <v>1.9267361111111103E-2</v>
      </c>
      <c r="E38" s="568">
        <f t="shared" si="8"/>
        <v>0.38534722222222206</v>
      </c>
      <c r="F38" s="569">
        <f t="shared" si="9"/>
        <v>0.19267361111111103</v>
      </c>
    </row>
    <row r="39" spans="1:7" x14ac:dyDescent="0.3">
      <c r="A39" s="561">
        <v>43964</v>
      </c>
      <c r="B39" s="7">
        <f>COUNTIF(STATUS!$E:$E,A39)</f>
        <v>15</v>
      </c>
      <c r="C39" s="568">
        <f>SUMIFS(STATUS!$AA:$AA,STATUS!$E:$E,A39)</f>
        <v>0.16476851851851798</v>
      </c>
      <c r="D39" s="568">
        <f t="shared" ref="D39:D42" si="10">IFERROR(C39/B39,0)</f>
        <v>1.0984567901234532E-2</v>
      </c>
      <c r="E39" s="568">
        <f t="shared" ref="E39:E42" si="11">D39*20</f>
        <v>0.21969135802469064</v>
      </c>
      <c r="F39" s="569">
        <f t="shared" ref="F39:F42" si="12">E39-C39</f>
        <v>5.492283950617266E-2</v>
      </c>
      <c r="G39" t="s">
        <v>6775</v>
      </c>
    </row>
    <row r="40" spans="1:7" x14ac:dyDescent="0.3">
      <c r="A40" s="561">
        <v>43965</v>
      </c>
      <c r="B40" s="7">
        <f>COUNTIF(STATUS!$E:$E,A40)</f>
        <v>21</v>
      </c>
      <c r="C40" s="568">
        <f>SUMIFS(STATUS!$AA:$AA,STATUS!$E:$E,A40)</f>
        <v>0.24857638888888933</v>
      </c>
      <c r="D40" s="568">
        <f t="shared" si="10"/>
        <v>1.183697089947092E-2</v>
      </c>
      <c r="E40" s="568">
        <f t="shared" si="11"/>
        <v>0.23673941798941839</v>
      </c>
      <c r="F40" s="569">
        <f>C40-E40</f>
        <v>1.1836970899470944E-2</v>
      </c>
      <c r="G40" t="s">
        <v>6776</v>
      </c>
    </row>
    <row r="41" spans="1:7" x14ac:dyDescent="0.3">
      <c r="A41" s="561">
        <v>43966</v>
      </c>
      <c r="B41" s="7">
        <f>COUNTIF(STATUS!$E:$E,A41)</f>
        <v>8</v>
      </c>
      <c r="C41" s="568">
        <f>SUMIFS(STATUS!$AA:$AA,STATUS!$E:$E,A41)</f>
        <v>9.637731481481504E-2</v>
      </c>
      <c r="D41" s="568">
        <f t="shared" si="10"/>
        <v>1.204716435185188E-2</v>
      </c>
      <c r="E41" s="568">
        <f t="shared" si="11"/>
        <v>0.2409432870370376</v>
      </c>
      <c r="F41" s="569">
        <f t="shared" si="12"/>
        <v>0.14456597222222256</v>
      </c>
      <c r="G41" t="s">
        <v>6777</v>
      </c>
    </row>
    <row r="42" spans="1:7" x14ac:dyDescent="0.3">
      <c r="A42" s="561">
        <v>43967</v>
      </c>
      <c r="B42" s="7">
        <f>COUNTIF(STATUS!$E:$E,A42)</f>
        <v>0</v>
      </c>
      <c r="C42" s="568">
        <f>SUMIFS(STATUS!$AA:$AA,STATUS!$E:$E,A42)</f>
        <v>0</v>
      </c>
      <c r="D42" s="568">
        <f t="shared" si="10"/>
        <v>0</v>
      </c>
      <c r="E42" s="568">
        <f t="shared" si="11"/>
        <v>0</v>
      </c>
      <c r="F42" s="569">
        <f t="shared" si="12"/>
        <v>0</v>
      </c>
    </row>
    <row r="43" spans="1:7" x14ac:dyDescent="0.3">
      <c r="A43" s="561">
        <v>43968</v>
      </c>
      <c r="B43" s="7">
        <f>COUNTIF(STATUS!$E:$E,A43)</f>
        <v>0</v>
      </c>
      <c r="C43" s="568">
        <f>SUMIFS(STATUS!$AA:$AA,STATUS!$E:$E,A43)</f>
        <v>0</v>
      </c>
      <c r="D43" s="568">
        <f t="shared" ref="D43:D55" si="13">IFERROR(C43/B43,0)</f>
        <v>0</v>
      </c>
      <c r="E43" s="568">
        <f t="shared" ref="E43:E55" si="14">D43*20</f>
        <v>0</v>
      </c>
      <c r="F43" s="569">
        <f t="shared" ref="F43:F55" si="15">E43-C43</f>
        <v>0</v>
      </c>
    </row>
    <row r="44" spans="1:7" x14ac:dyDescent="0.3">
      <c r="A44" s="561">
        <v>43969</v>
      </c>
      <c r="B44" s="7">
        <f>COUNTIF(STATUS!$E:$E,A44)</f>
        <v>24</v>
      </c>
      <c r="C44" s="568">
        <f>SUMIFS(STATUS!$AA:$AA,STATUS!$E:$E,A44)</f>
        <v>0.18847222222222221</v>
      </c>
      <c r="D44" s="568">
        <f t="shared" si="13"/>
        <v>7.8530092592592592E-3</v>
      </c>
      <c r="E44" s="568">
        <f t="shared" si="14"/>
        <v>0.15706018518518519</v>
      </c>
      <c r="F44" s="569">
        <f>C44-E44</f>
        <v>3.1412037037037016E-2</v>
      </c>
      <c r="G44" t="s">
        <v>6775</v>
      </c>
    </row>
    <row r="45" spans="1:7" x14ac:dyDescent="0.3">
      <c r="A45" s="561">
        <v>43970</v>
      </c>
      <c r="B45" s="7">
        <f>COUNTIF(STATUS!$E:$E,A45)</f>
        <v>20</v>
      </c>
      <c r="C45" s="568">
        <f>SUMIFS(STATUS!$AA:$AA,STATUS!$E:$E,A45)</f>
        <v>0.16649305555555621</v>
      </c>
      <c r="D45" s="568">
        <f t="shared" si="13"/>
        <v>8.324652777777811E-3</v>
      </c>
      <c r="E45" s="568">
        <f t="shared" si="14"/>
        <v>0.16649305555555621</v>
      </c>
      <c r="F45" s="569">
        <f t="shared" si="15"/>
        <v>0</v>
      </c>
      <c r="G45" t="s">
        <v>6776</v>
      </c>
    </row>
    <row r="46" spans="1:7" x14ac:dyDescent="0.3">
      <c r="A46" s="561">
        <v>43971</v>
      </c>
      <c r="B46" s="7">
        <f>COUNTIF(STATUS!$E:$E,A46)</f>
        <v>20</v>
      </c>
      <c r="C46" s="568">
        <f>SUMIFS(STATUS!$AA:$AA,STATUS!$E:$E,A46)</f>
        <v>0.23469907407407392</v>
      </c>
      <c r="D46" s="568">
        <f t="shared" si="13"/>
        <v>1.1734953703703695E-2</v>
      </c>
      <c r="E46" s="568">
        <f t="shared" si="14"/>
        <v>0.23469907407407392</v>
      </c>
      <c r="F46" s="569">
        <f t="shared" si="15"/>
        <v>0</v>
      </c>
      <c r="G46" t="s">
        <v>6777</v>
      </c>
    </row>
    <row r="47" spans="1:7" x14ac:dyDescent="0.3">
      <c r="A47" s="561">
        <v>43972</v>
      </c>
      <c r="B47" s="7">
        <f>COUNTIF(STATUS!$E:$E,A47)</f>
        <v>10</v>
      </c>
      <c r="C47" s="568">
        <f>SUMIFS(STATUS!$AA:$AA,STATUS!$E:$E,A47)</f>
        <v>0.2580555555555557</v>
      </c>
      <c r="D47" s="568">
        <f t="shared" si="13"/>
        <v>2.5805555555555571E-2</v>
      </c>
      <c r="E47" s="568">
        <f t="shared" si="14"/>
        <v>0.51611111111111141</v>
      </c>
      <c r="F47" s="569">
        <f t="shared" si="15"/>
        <v>0.2580555555555557</v>
      </c>
      <c r="G47" t="s">
        <v>6776</v>
      </c>
    </row>
    <row r="48" spans="1:7" x14ac:dyDescent="0.3">
      <c r="A48" s="561">
        <v>43973</v>
      </c>
      <c r="B48" s="7">
        <f>COUNTIF(STATUS!$E:$E,A48)</f>
        <v>6</v>
      </c>
      <c r="C48" s="568">
        <f>SUMIFS(STATUS!$AA:$AA,STATUS!$E:$E,A48)</f>
        <v>0.11438657407407415</v>
      </c>
      <c r="D48" s="568">
        <f t="shared" si="13"/>
        <v>1.9064429012345691E-2</v>
      </c>
      <c r="E48" s="568">
        <f t="shared" si="14"/>
        <v>0.38128858024691381</v>
      </c>
      <c r="F48" s="569">
        <f t="shared" si="15"/>
        <v>0.26690200617283966</v>
      </c>
      <c r="G48" t="s">
        <v>6775</v>
      </c>
    </row>
    <row r="49" spans="1:7" x14ac:dyDescent="0.3">
      <c r="A49" s="561">
        <v>43974</v>
      </c>
      <c r="B49" s="7">
        <f>COUNTIF(STATUS!$E:$E,A49)</f>
        <v>0</v>
      </c>
      <c r="C49" s="568">
        <f>SUMIFS(STATUS!$AA:$AA,STATUS!$E:$E,A49)</f>
        <v>0</v>
      </c>
      <c r="D49" s="568">
        <f t="shared" si="13"/>
        <v>0</v>
      </c>
      <c r="E49" s="568">
        <f t="shared" si="14"/>
        <v>0</v>
      </c>
      <c r="F49" s="569">
        <f t="shared" si="15"/>
        <v>0</v>
      </c>
    </row>
    <row r="50" spans="1:7" x14ac:dyDescent="0.3">
      <c r="A50" s="561">
        <v>43975</v>
      </c>
      <c r="B50" s="7">
        <f>COUNTIF(STATUS!$E:$E,A50)</f>
        <v>0</v>
      </c>
      <c r="C50" s="568">
        <f>SUMIFS(STATUS!$AA:$AA,STATUS!$E:$E,A50)</f>
        <v>0</v>
      </c>
      <c r="D50" s="568">
        <f t="shared" si="13"/>
        <v>0</v>
      </c>
      <c r="E50" s="568">
        <f t="shared" si="14"/>
        <v>0</v>
      </c>
      <c r="F50" s="569">
        <f t="shared" si="15"/>
        <v>0</v>
      </c>
    </row>
    <row r="51" spans="1:7" x14ac:dyDescent="0.3">
      <c r="A51" s="561">
        <v>43976</v>
      </c>
      <c r="B51" s="7">
        <f>COUNTIF(STATUS!$E:$E,A51)</f>
        <v>30</v>
      </c>
      <c r="C51" s="568">
        <f>SUMIFS(STATUS!$AA:$AA,STATUS!$E:$E,A51)</f>
        <v>0.29696759259259237</v>
      </c>
      <c r="D51" s="568">
        <f t="shared" si="13"/>
        <v>9.8989197530864118E-3</v>
      </c>
      <c r="E51" s="568">
        <f t="shared" si="14"/>
        <v>0.19797839506172824</v>
      </c>
      <c r="F51" s="569">
        <f>C51-E51</f>
        <v>9.8989197530864131E-2</v>
      </c>
      <c r="G51" t="s">
        <v>6777</v>
      </c>
    </row>
    <row r="52" spans="1:7" x14ac:dyDescent="0.3">
      <c r="A52" s="561">
        <v>43977</v>
      </c>
      <c r="B52" s="7">
        <f>COUNTIF(STATUS!$E:$E,A52)</f>
        <v>30</v>
      </c>
      <c r="C52" s="568">
        <f>SUMIFS(STATUS!$AA:$AA,STATUS!$E:$E,A52)</f>
        <v>0.39619212962963002</v>
      </c>
      <c r="D52" s="568">
        <f t="shared" si="13"/>
        <v>1.3206404320987667E-2</v>
      </c>
      <c r="E52" s="568">
        <f t="shared" si="14"/>
        <v>0.26412808641975333</v>
      </c>
      <c r="F52" s="569">
        <f>C52-E52</f>
        <v>0.13206404320987669</v>
      </c>
      <c r="G52" t="s">
        <v>6776</v>
      </c>
    </row>
    <row r="53" spans="1:7" x14ac:dyDescent="0.3">
      <c r="A53" s="561">
        <v>43978</v>
      </c>
      <c r="B53" s="7">
        <f>COUNTIF(STATUS!$E:$E,A53)</f>
        <v>26</v>
      </c>
      <c r="C53" s="568">
        <f>SUMIFS(STATUS!$AA:$AA,STATUS!$E:$E,A53)</f>
        <v>0.36734953703703793</v>
      </c>
      <c r="D53" s="568">
        <f t="shared" si="13"/>
        <v>1.4128828347578382E-2</v>
      </c>
      <c r="E53" s="568">
        <f t="shared" si="14"/>
        <v>0.28257656695156763</v>
      </c>
      <c r="F53" s="569">
        <f>C53-E53</f>
        <v>8.4772970085470301E-2</v>
      </c>
      <c r="G53" t="s">
        <v>6777</v>
      </c>
    </row>
    <row r="54" spans="1:7" x14ac:dyDescent="0.3">
      <c r="A54" s="561">
        <v>43979</v>
      </c>
      <c r="B54" s="7">
        <f>COUNTIF(STATUS!$E:$E,A54)</f>
        <v>22</v>
      </c>
      <c r="C54" s="568">
        <f>SUMIFS(STATUS!$AA:$AA,STATUS!$E:$E,A54)</f>
        <v>0.21883101851851833</v>
      </c>
      <c r="D54" s="568">
        <f t="shared" si="13"/>
        <v>9.9468644781144696E-3</v>
      </c>
      <c r="E54" s="568">
        <f t="shared" si="14"/>
        <v>0.1989372895622894</v>
      </c>
      <c r="F54" s="569">
        <f>C54-E54</f>
        <v>1.9893728956228929E-2</v>
      </c>
      <c r="G54" t="s">
        <v>6775</v>
      </c>
    </row>
    <row r="55" spans="1:7" x14ac:dyDescent="0.3">
      <c r="A55" s="561">
        <v>43980</v>
      </c>
      <c r="B55" s="7">
        <f>COUNTIF(STATUS!$E:$E,A55)</f>
        <v>10</v>
      </c>
      <c r="C55" s="568">
        <f>SUMIFS(STATUS!$AA:$AA,STATUS!$E:$E,A55)</f>
        <v>0.20837962962962953</v>
      </c>
      <c r="D55" s="568">
        <f t="shared" si="13"/>
        <v>2.0837962962962954E-2</v>
      </c>
      <c r="E55" s="568">
        <f t="shared" si="14"/>
        <v>0.41675925925925905</v>
      </c>
      <c r="F55" s="569">
        <f t="shared" si="15"/>
        <v>0.20837962962962953</v>
      </c>
      <c r="G55" t="s">
        <v>6776</v>
      </c>
    </row>
    <row r="56" spans="1:7" x14ac:dyDescent="0.3">
      <c r="A56" s="561">
        <v>43981</v>
      </c>
      <c r="B56" s="7">
        <f>COUNTIF(STATUS!$E:$E,A56)</f>
        <v>0</v>
      </c>
      <c r="C56" s="568">
        <f>SUMIFS(STATUS!$AA:$AA,STATUS!$E:$E,A56)</f>
        <v>0</v>
      </c>
      <c r="D56" s="568">
        <f t="shared" ref="D56:D87" si="16">IFERROR(C56/B56,0)</f>
        <v>0</v>
      </c>
      <c r="E56" s="568">
        <f t="shared" ref="E56:E87" si="17">D56*20</f>
        <v>0</v>
      </c>
      <c r="F56" s="569">
        <f t="shared" ref="F56:F87" si="18">E56-C56</f>
        <v>0</v>
      </c>
    </row>
    <row r="57" spans="1:7" x14ac:dyDescent="0.3">
      <c r="A57" s="561">
        <v>43982</v>
      </c>
      <c r="B57" s="7">
        <f>COUNTIF(STATUS!$E:$E,A57)</f>
        <v>0</v>
      </c>
      <c r="C57" s="568">
        <f>SUMIFS(STATUS!$AA:$AA,STATUS!$E:$E,A57)</f>
        <v>0</v>
      </c>
      <c r="D57" s="568">
        <f t="shared" si="16"/>
        <v>0</v>
      </c>
      <c r="E57" s="568">
        <f t="shared" si="17"/>
        <v>0</v>
      </c>
      <c r="F57" s="569">
        <f t="shared" si="18"/>
        <v>0</v>
      </c>
    </row>
    <row r="58" spans="1:7" x14ac:dyDescent="0.3">
      <c r="A58" s="561">
        <v>43983</v>
      </c>
      <c r="B58" s="7">
        <f>COUNTIF(STATUS!$E:$E,A58)</f>
        <v>25</v>
      </c>
      <c r="C58" s="568">
        <f>SUMIFS(STATUS!$AA:$AA,STATUS!$E:$E,A58)</f>
        <v>0.27202546296296298</v>
      </c>
      <c r="D58" s="568">
        <f t="shared" si="16"/>
        <v>1.0881018518518519E-2</v>
      </c>
      <c r="E58" s="568">
        <f t="shared" si="17"/>
        <v>0.21762037037037038</v>
      </c>
      <c r="F58" s="569">
        <f>C58-E58</f>
        <v>5.4405092592592602E-2</v>
      </c>
    </row>
    <row r="59" spans="1:7" x14ac:dyDescent="0.3">
      <c r="A59" s="561">
        <v>43984</v>
      </c>
      <c r="B59" s="7">
        <f>COUNTIF(STATUS!$E:$E,A59)</f>
        <v>22</v>
      </c>
      <c r="C59" s="568">
        <f>SUMIFS(STATUS!$AA:$AA,STATUS!$E:$E,A59)</f>
        <v>0.27171296296296327</v>
      </c>
      <c r="D59" s="568">
        <f t="shared" si="16"/>
        <v>1.2350589225589239E-2</v>
      </c>
      <c r="E59" s="568">
        <f t="shared" si="17"/>
        <v>0.24701178451178477</v>
      </c>
      <c r="F59" s="569">
        <f>C59-E59</f>
        <v>2.4701178451178502E-2</v>
      </c>
    </row>
    <row r="60" spans="1:7" x14ac:dyDescent="0.3">
      <c r="A60" s="561">
        <v>43985</v>
      </c>
      <c r="B60" s="7">
        <f>COUNTIF(STATUS!$E:$E,A60)</f>
        <v>20</v>
      </c>
      <c r="C60" s="568">
        <f>SUMIFS(STATUS!$AA:$AA,STATUS!$E:$E,A60)</f>
        <v>0.28628472222222212</v>
      </c>
      <c r="D60" s="568">
        <f t="shared" si="16"/>
        <v>1.4314236111111106E-2</v>
      </c>
      <c r="E60" s="568">
        <f t="shared" si="17"/>
        <v>0.28628472222222212</v>
      </c>
      <c r="F60" s="569">
        <f t="shared" si="18"/>
        <v>0</v>
      </c>
    </row>
    <row r="61" spans="1:7" x14ac:dyDescent="0.3">
      <c r="A61" s="561">
        <v>43986</v>
      </c>
      <c r="B61" s="7">
        <f>COUNTIF(STATUS!$E:$E,A61)</f>
        <v>19</v>
      </c>
      <c r="C61" s="568">
        <f>SUMIFS(STATUS!$AA:$AA,STATUS!$E:$E,A61)</f>
        <v>0.17498842592592623</v>
      </c>
      <c r="D61" s="568">
        <f t="shared" si="16"/>
        <v>9.2099171539961177E-3</v>
      </c>
      <c r="E61" s="568">
        <f t="shared" si="17"/>
        <v>0.18419834307992236</v>
      </c>
      <c r="F61" s="569">
        <f t="shared" si="18"/>
        <v>9.2099171539961333E-3</v>
      </c>
    </row>
    <row r="62" spans="1:7" x14ac:dyDescent="0.3">
      <c r="A62" s="561">
        <v>43987</v>
      </c>
      <c r="B62" s="7">
        <f>COUNTIF(STATUS!$E:$E,A62)</f>
        <v>20</v>
      </c>
      <c r="C62" s="568">
        <f>SUMIFS(STATUS!$AA:$AA,STATUS!$E:$E,A62)</f>
        <v>0.17614583333333333</v>
      </c>
      <c r="D62" s="568">
        <f t="shared" si="16"/>
        <v>8.8072916666666664E-3</v>
      </c>
      <c r="E62" s="568">
        <f t="shared" si="17"/>
        <v>0.17614583333333333</v>
      </c>
      <c r="F62" s="569">
        <f t="shared" si="18"/>
        <v>0</v>
      </c>
    </row>
    <row r="63" spans="1:7" x14ac:dyDescent="0.3">
      <c r="A63" s="561">
        <v>43988</v>
      </c>
      <c r="B63" s="7">
        <f>COUNTIF(STATUS!$E:$E,A63)</f>
        <v>0</v>
      </c>
      <c r="C63" s="568">
        <f>SUMIFS(STATUS!$AA:$AA,STATUS!$E:$E,A63)</f>
        <v>0</v>
      </c>
      <c r="D63" s="568">
        <f t="shared" si="16"/>
        <v>0</v>
      </c>
      <c r="E63" s="568">
        <f t="shared" si="17"/>
        <v>0</v>
      </c>
      <c r="F63" s="569">
        <f t="shared" si="18"/>
        <v>0</v>
      </c>
    </row>
    <row r="64" spans="1:7" x14ac:dyDescent="0.3">
      <c r="A64" s="561">
        <v>43989</v>
      </c>
      <c r="B64" s="7">
        <f>COUNTIF(STATUS!$E:$E,A64)</f>
        <v>0</v>
      </c>
      <c r="C64" s="568">
        <f>SUMIFS(STATUS!$AA:$AA,STATUS!$E:$E,A64)</f>
        <v>0</v>
      </c>
      <c r="D64" s="568">
        <f t="shared" si="16"/>
        <v>0</v>
      </c>
      <c r="E64" s="568">
        <f t="shared" si="17"/>
        <v>0</v>
      </c>
      <c r="F64" s="569">
        <f t="shared" si="18"/>
        <v>0</v>
      </c>
    </row>
    <row r="65" spans="1:6" x14ac:dyDescent="0.3">
      <c r="A65" s="561">
        <v>43990</v>
      </c>
      <c r="B65" s="7">
        <f>COUNTIF(STATUS!$E:$E,A65)</f>
        <v>32</v>
      </c>
      <c r="C65" s="568">
        <f>SUMIFS(STATUS!$AA:$AA,STATUS!$E:$E,A65)</f>
        <v>0.34380787037037058</v>
      </c>
      <c r="D65" s="568">
        <f t="shared" si="16"/>
        <v>1.0743995949074081E-2</v>
      </c>
      <c r="E65" s="568">
        <f t="shared" si="17"/>
        <v>0.21487991898148162</v>
      </c>
      <c r="F65" s="569">
        <f>C65-E65</f>
        <v>0.12892795138888896</v>
      </c>
    </row>
    <row r="66" spans="1:6" x14ac:dyDescent="0.3">
      <c r="A66" s="561">
        <v>43991</v>
      </c>
      <c r="B66" s="7">
        <f>COUNTIF(STATUS!$E:$E,A66)</f>
        <v>17</v>
      </c>
      <c r="C66" s="568">
        <f>SUMIFS(STATUS!$AA:$AA,STATUS!$E:$E,A66)</f>
        <v>0.22179398148148166</v>
      </c>
      <c r="D66" s="568">
        <f t="shared" si="16"/>
        <v>1.3046704793028333E-2</v>
      </c>
      <c r="E66" s="568">
        <f t="shared" si="17"/>
        <v>0.26093409586056665</v>
      </c>
      <c r="F66" s="569">
        <f t="shared" si="18"/>
        <v>3.9140114379084989E-2</v>
      </c>
    </row>
    <row r="67" spans="1:6" x14ac:dyDescent="0.3">
      <c r="A67" s="561">
        <v>43992</v>
      </c>
      <c r="B67" s="7">
        <f>COUNTIF(STATUS!$E:$E,A67)</f>
        <v>15</v>
      </c>
      <c r="C67" s="568">
        <f>SUMIFS(STATUS!$AA:$AA,STATUS!$E:$E,A67)</f>
        <v>0.23410879629629622</v>
      </c>
      <c r="D67" s="568">
        <f t="shared" si="16"/>
        <v>1.5607253086419748E-2</v>
      </c>
      <c r="E67" s="568">
        <f t="shared" si="17"/>
        <v>0.31214506172839496</v>
      </c>
      <c r="F67" s="569">
        <f t="shared" si="18"/>
        <v>7.8036265432098739E-2</v>
      </c>
    </row>
    <row r="68" spans="1:6" x14ac:dyDescent="0.3">
      <c r="A68" s="561">
        <v>43993</v>
      </c>
      <c r="B68" s="7">
        <f>COUNTIF(STATUS!$E:$E,A68)</f>
        <v>18</v>
      </c>
      <c r="C68" s="568">
        <f>SUMIFS(STATUS!$AA:$AA,STATUS!$E:$E,A68)</f>
        <v>0.15211805555555574</v>
      </c>
      <c r="D68" s="568">
        <f t="shared" si="16"/>
        <v>8.451003086419764E-3</v>
      </c>
      <c r="E68" s="568">
        <f t="shared" si="17"/>
        <v>0.16902006172839529</v>
      </c>
      <c r="F68" s="569">
        <f t="shared" si="18"/>
        <v>1.6902006172839545E-2</v>
      </c>
    </row>
    <row r="69" spans="1:6" x14ac:dyDescent="0.3">
      <c r="A69" s="561">
        <v>43994</v>
      </c>
      <c r="B69" s="7">
        <f>COUNTIF(STATUS!$E:$E,A69)</f>
        <v>12</v>
      </c>
      <c r="C69" s="568">
        <f>SUMIFS(STATUS!$AA:$AA,STATUS!$E:$E,A69)</f>
        <v>0.1548842592592593</v>
      </c>
      <c r="D69" s="568">
        <f t="shared" si="16"/>
        <v>1.2907021604938276E-2</v>
      </c>
      <c r="E69" s="568">
        <f t="shared" si="17"/>
        <v>0.25814043209876553</v>
      </c>
      <c r="F69" s="569">
        <f t="shared" si="18"/>
        <v>0.10325617283950622</v>
      </c>
    </row>
    <row r="70" spans="1:6" x14ac:dyDescent="0.3">
      <c r="A70" s="561">
        <v>43995</v>
      </c>
      <c r="B70" s="7">
        <f>COUNTIF(STATUS!$E:$E,A70)</f>
        <v>0</v>
      </c>
      <c r="C70" s="568">
        <f>SUMIFS(STATUS!$AA:$AA,STATUS!$E:$E,A70)</f>
        <v>0</v>
      </c>
      <c r="D70" s="568">
        <f t="shared" si="16"/>
        <v>0</v>
      </c>
      <c r="E70" s="568">
        <f t="shared" si="17"/>
        <v>0</v>
      </c>
      <c r="F70" s="569">
        <f t="shared" si="18"/>
        <v>0</v>
      </c>
    </row>
    <row r="71" spans="1:6" x14ac:dyDescent="0.3">
      <c r="A71" s="561">
        <v>43996</v>
      </c>
      <c r="B71" s="7">
        <f>COUNTIF(STATUS!$E:$E,A71)</f>
        <v>5</v>
      </c>
      <c r="C71" s="568">
        <f>SUMIFS(STATUS!$AA:$AA,STATUS!$E:$E,A71)</f>
        <v>2.4386574074074407E-2</v>
      </c>
      <c r="D71" s="568">
        <f t="shared" si="16"/>
        <v>4.8773148148148811E-3</v>
      </c>
      <c r="E71" s="568">
        <f t="shared" si="17"/>
        <v>9.754629629629763E-2</v>
      </c>
      <c r="F71" s="569">
        <f t="shared" si="18"/>
        <v>7.3159722222223222E-2</v>
      </c>
    </row>
    <row r="72" spans="1:6" x14ac:dyDescent="0.3">
      <c r="A72" s="561">
        <v>43997</v>
      </c>
      <c r="B72" s="7">
        <f>COUNTIF(STATUS!$E:$E,A72)</f>
        <v>9</v>
      </c>
      <c r="C72" s="568">
        <f>SUMIFS(STATUS!$AA:$AA,STATUS!$E:$E,A72)</f>
        <v>6.9502314814814947E-2</v>
      </c>
      <c r="D72" s="568">
        <f t="shared" si="16"/>
        <v>7.7224794238683276E-3</v>
      </c>
      <c r="E72" s="568">
        <f t="shared" si="17"/>
        <v>0.15444958847736656</v>
      </c>
      <c r="F72" s="569">
        <f t="shared" si="18"/>
        <v>8.4947273662551614E-2</v>
      </c>
    </row>
    <row r="73" spans="1:6" x14ac:dyDescent="0.3">
      <c r="A73" s="561">
        <v>43998</v>
      </c>
      <c r="B73" s="7">
        <f>COUNTIF(STATUS!$E:$E,A73)</f>
        <v>13</v>
      </c>
      <c r="C73" s="568">
        <f>SUMIFS(STATUS!$AA:$AA,STATUS!$E:$E,A73)</f>
        <v>0.12690972222222213</v>
      </c>
      <c r="D73" s="568">
        <f t="shared" si="16"/>
        <v>9.7622863247863179E-3</v>
      </c>
      <c r="E73" s="568">
        <f t="shared" si="17"/>
        <v>0.19524572649572636</v>
      </c>
      <c r="F73" s="569">
        <f t="shared" si="18"/>
        <v>6.8336004273504225E-2</v>
      </c>
    </row>
    <row r="74" spans="1:6" x14ac:dyDescent="0.3">
      <c r="A74" s="561">
        <v>43999</v>
      </c>
      <c r="B74" s="7">
        <f>COUNTIF(STATUS!$E:$E,A74)</f>
        <v>18</v>
      </c>
      <c r="C74" s="568">
        <f>SUMIFS(STATUS!$AA:$AA,STATUS!$E:$E,A74)</f>
        <v>0.14991898148148169</v>
      </c>
      <c r="D74" s="568">
        <f t="shared" si="16"/>
        <v>8.328832304526761E-3</v>
      </c>
      <c r="E74" s="568">
        <f t="shared" si="17"/>
        <v>0.16657664609053521</v>
      </c>
      <c r="F74" s="569">
        <f t="shared" si="18"/>
        <v>1.6657664609053519E-2</v>
      </c>
    </row>
    <row r="75" spans="1:6" x14ac:dyDescent="0.3">
      <c r="A75" s="561">
        <v>44000</v>
      </c>
      <c r="B75" s="7">
        <f>COUNTIF(STATUS!$E:$E,A75)</f>
        <v>23</v>
      </c>
      <c r="C75" s="568">
        <f>SUMIFS(STATUS!$AA:$AA,STATUS!$E:$E,A75)</f>
        <v>0.23337962962962966</v>
      </c>
      <c r="D75" s="568">
        <f t="shared" si="16"/>
        <v>1.0146940418679551E-2</v>
      </c>
      <c r="E75" s="568">
        <f t="shared" si="17"/>
        <v>0.20293880837359102</v>
      </c>
      <c r="F75" s="569">
        <f>C75-E75</f>
        <v>3.0440821256038642E-2</v>
      </c>
    </row>
    <row r="76" spans="1:6" x14ac:dyDescent="0.3">
      <c r="A76" s="561">
        <v>44001</v>
      </c>
      <c r="B76" s="7">
        <f>COUNTIF(STATUS!$E:$E,A76)</f>
        <v>10</v>
      </c>
      <c r="C76" s="568">
        <f>SUMIFS(STATUS!$AA:$AA,STATUS!$E:$E,A76)</f>
        <v>0.11287037037037012</v>
      </c>
      <c r="D76" s="568">
        <f t="shared" si="16"/>
        <v>1.1287037037037012E-2</v>
      </c>
      <c r="E76" s="568">
        <f t="shared" si="17"/>
        <v>0.22574074074074024</v>
      </c>
      <c r="F76" s="569">
        <f t="shared" si="18"/>
        <v>0.11287037037037012</v>
      </c>
    </row>
    <row r="77" spans="1:6" x14ac:dyDescent="0.3">
      <c r="A77" s="561">
        <v>44002</v>
      </c>
      <c r="B77" s="7">
        <f>COUNTIF(STATUS!$E:$E,A77)</f>
        <v>0</v>
      </c>
      <c r="C77" s="568">
        <f>SUMIFS(STATUS!$AA:$AA,STATUS!$E:$E,A77)</f>
        <v>0</v>
      </c>
      <c r="D77" s="568">
        <f t="shared" si="16"/>
        <v>0</v>
      </c>
      <c r="E77" s="568">
        <f t="shared" si="17"/>
        <v>0</v>
      </c>
      <c r="F77" s="569">
        <f t="shared" si="18"/>
        <v>0</v>
      </c>
    </row>
    <row r="78" spans="1:6" x14ac:dyDescent="0.3">
      <c r="A78" s="561">
        <v>44003</v>
      </c>
      <c r="B78" s="7">
        <f>COUNTIF(STATUS!$E:$E,A78)</f>
        <v>0</v>
      </c>
      <c r="C78" s="568">
        <f>SUMIFS(STATUS!$AA:$AA,STATUS!$E:$E,A78)</f>
        <v>0</v>
      </c>
      <c r="D78" s="568">
        <f t="shared" si="16"/>
        <v>0</v>
      </c>
      <c r="E78" s="568">
        <f t="shared" si="17"/>
        <v>0</v>
      </c>
      <c r="F78" s="569">
        <f t="shared" si="18"/>
        <v>0</v>
      </c>
    </row>
    <row r="79" spans="1:6" x14ac:dyDescent="0.3">
      <c r="A79" s="561">
        <v>44004</v>
      </c>
      <c r="B79" s="7">
        <f>COUNTIF(STATUS!$E:$E,A79)</f>
        <v>16</v>
      </c>
      <c r="C79" s="568">
        <f>SUMIFS(STATUS!$AA:$AA,STATUS!$E:$E,A79)</f>
        <v>0.22693287037037035</v>
      </c>
      <c r="D79" s="568">
        <f t="shared" si="16"/>
        <v>1.4183304398148147E-2</v>
      </c>
      <c r="E79" s="568">
        <f t="shared" si="17"/>
        <v>0.28366608796296294</v>
      </c>
      <c r="F79" s="569">
        <f t="shared" si="18"/>
        <v>5.6733217592592589E-2</v>
      </c>
    </row>
    <row r="80" spans="1:6" x14ac:dyDescent="0.3">
      <c r="A80" s="561">
        <v>44005</v>
      </c>
      <c r="B80" s="7">
        <f>COUNTIF(STATUS!$E:$E,A80)</f>
        <v>8</v>
      </c>
      <c r="C80" s="568">
        <f>SUMIFS(STATUS!$AA:$AA,STATUS!$E:$E,A80)</f>
        <v>9.5497685185185366E-2</v>
      </c>
      <c r="D80" s="568">
        <f t="shared" si="16"/>
        <v>1.1937210648148171E-2</v>
      </c>
      <c r="E80" s="568">
        <f t="shared" si="17"/>
        <v>0.23874421296296341</v>
      </c>
      <c r="F80" s="569">
        <f t="shared" si="18"/>
        <v>0.14324652777777805</v>
      </c>
    </row>
    <row r="81" spans="1:7" x14ac:dyDescent="0.3">
      <c r="A81" s="561">
        <v>44006</v>
      </c>
      <c r="B81" s="7">
        <f>COUNTIF(STATUS!$E:$E,A81)</f>
        <v>5</v>
      </c>
      <c r="C81" s="568">
        <f>SUMIFS(STATUS!$AA:$AA,STATUS!$E:$E,A81)</f>
        <v>7.0000000000000062E-2</v>
      </c>
      <c r="D81" s="568">
        <f t="shared" si="16"/>
        <v>1.4000000000000012E-2</v>
      </c>
      <c r="E81" s="568">
        <f t="shared" si="17"/>
        <v>0.28000000000000025</v>
      </c>
      <c r="F81" s="569">
        <f t="shared" si="18"/>
        <v>0.21000000000000019</v>
      </c>
    </row>
    <row r="82" spans="1:7" x14ac:dyDescent="0.3">
      <c r="A82" s="561">
        <v>44007</v>
      </c>
      <c r="B82" s="7">
        <f>COUNTIF(STATUS!$E:$E,A82)</f>
        <v>18</v>
      </c>
      <c r="C82" s="568">
        <f>SUMIFS(STATUS!$AA:$AA,STATUS!$E:$E,A82)</f>
        <v>0.19180555555555523</v>
      </c>
      <c r="D82" s="568">
        <f t="shared" si="16"/>
        <v>1.0655864197530847E-2</v>
      </c>
      <c r="E82" s="568">
        <f t="shared" si="17"/>
        <v>0.21311728395061694</v>
      </c>
      <c r="F82" s="569">
        <f t="shared" si="18"/>
        <v>2.1311728395061708E-2</v>
      </c>
    </row>
    <row r="83" spans="1:7" x14ac:dyDescent="0.3">
      <c r="A83" s="561">
        <v>44008</v>
      </c>
      <c r="B83" s="7">
        <f>COUNTIF(STATUS!$E:$E,A83)</f>
        <v>18</v>
      </c>
      <c r="C83" s="568">
        <f>SUMIFS(STATUS!$AA:$AA,STATUS!$E:$E,A83)</f>
        <v>0.12653935185185194</v>
      </c>
      <c r="D83" s="568">
        <f t="shared" si="16"/>
        <v>7.0299639917695521E-3</v>
      </c>
      <c r="E83" s="568">
        <f t="shared" si="17"/>
        <v>0.14059927983539106</v>
      </c>
      <c r="F83" s="569">
        <f t="shared" si="18"/>
        <v>1.4059927983539111E-2</v>
      </c>
      <c r="G83" t="s">
        <v>6776</v>
      </c>
    </row>
    <row r="84" spans="1:7" x14ac:dyDescent="0.3">
      <c r="A84" s="561">
        <v>44009</v>
      </c>
      <c r="B84" s="7">
        <f>COUNTIF(STATUS!$E:$E,A84)</f>
        <v>1</v>
      </c>
      <c r="C84" s="568">
        <f>SUMIFS(STATUS!$AA:$AA,STATUS!$E:$E,A84)</f>
        <v>5.4270833333333324E-2</v>
      </c>
      <c r="D84" s="568">
        <f t="shared" si="16"/>
        <v>5.4270833333333324E-2</v>
      </c>
      <c r="E84" s="568">
        <f t="shared" si="17"/>
        <v>1.0854166666666665</v>
      </c>
      <c r="F84" s="569">
        <f t="shared" si="18"/>
        <v>1.0311458333333332</v>
      </c>
      <c r="G84" t="s">
        <v>6776</v>
      </c>
    </row>
    <row r="85" spans="1:7" x14ac:dyDescent="0.3">
      <c r="A85" s="561">
        <v>44010</v>
      </c>
      <c r="B85" s="7">
        <f>COUNTIF(STATUS!$E:$E,A85)</f>
        <v>0</v>
      </c>
      <c r="C85" s="568">
        <f>SUMIFS(STATUS!$AA:$AA,STATUS!$E:$E,A85)</f>
        <v>0</v>
      </c>
      <c r="D85" s="568">
        <f t="shared" si="16"/>
        <v>0</v>
      </c>
      <c r="E85" s="568">
        <f t="shared" si="17"/>
        <v>0</v>
      </c>
      <c r="F85" s="569">
        <f t="shared" si="18"/>
        <v>0</v>
      </c>
      <c r="G85" t="s">
        <v>6776</v>
      </c>
    </row>
    <row r="86" spans="1:7" x14ac:dyDescent="0.3">
      <c r="A86" s="561">
        <v>44011</v>
      </c>
      <c r="B86" s="7">
        <f>COUNTIF(STATUS!$E:$E,A86)</f>
        <v>14</v>
      </c>
      <c r="C86" s="568">
        <f>SUMIFS(STATUS!$AA:$AA,STATUS!$E:$E,A86)</f>
        <v>0.26834490740740757</v>
      </c>
      <c r="D86" s="568">
        <f t="shared" si="16"/>
        <v>1.9167493386243399E-2</v>
      </c>
      <c r="E86" s="568">
        <f t="shared" si="17"/>
        <v>0.38334986772486801</v>
      </c>
      <c r="F86" s="569">
        <f t="shared" si="18"/>
        <v>0.11500496031746044</v>
      </c>
      <c r="G86" t="s">
        <v>6776</v>
      </c>
    </row>
    <row r="87" spans="1:7" x14ac:dyDescent="0.3">
      <c r="A87" s="561">
        <v>44012</v>
      </c>
      <c r="B87" s="7">
        <f>COUNTIF(STATUS!$E:$E,A87)</f>
        <v>4</v>
      </c>
      <c r="C87" s="568">
        <f>SUMIFS(STATUS!$AA:$AA,STATUS!$E:$E,A87)</f>
        <v>0.21834490740740731</v>
      </c>
      <c r="D87" s="568">
        <f t="shared" si="16"/>
        <v>5.4586226851851827E-2</v>
      </c>
      <c r="E87" s="568">
        <f t="shared" si="17"/>
        <v>1.0917245370370365</v>
      </c>
      <c r="F87" s="569">
        <f t="shared" si="18"/>
        <v>0.87337962962962923</v>
      </c>
      <c r="G87" t="s">
        <v>6776</v>
      </c>
    </row>
    <row r="88" spans="1:7" x14ac:dyDescent="0.3">
      <c r="A88" s="561">
        <v>44013</v>
      </c>
      <c r="B88" s="7">
        <f>COUNTIF(STATUS!$E:$E,A88)</f>
        <v>6</v>
      </c>
      <c r="C88" s="568">
        <f>SUMIFS(STATUS!$AA:$AA,STATUS!$E:$E,A88)</f>
        <v>0.12807870370370375</v>
      </c>
      <c r="D88" s="568">
        <f t="shared" ref="D88:D104" si="19">IFERROR(C88/B88,0)</f>
        <v>2.134645061728396E-2</v>
      </c>
      <c r="E88" s="568">
        <f t="shared" ref="E88:E104" si="20">D88*20</f>
        <v>0.4269290123456792</v>
      </c>
      <c r="F88" s="569">
        <f t="shared" ref="F88:F104" si="21">E88-C88</f>
        <v>0.29885030864197548</v>
      </c>
      <c r="G88" t="s">
        <v>6776</v>
      </c>
    </row>
    <row r="89" spans="1:7" x14ac:dyDescent="0.3">
      <c r="A89" s="561">
        <v>44014</v>
      </c>
      <c r="B89" s="7">
        <f>COUNTIF(STATUS!$E:$E,A89)</f>
        <v>26</v>
      </c>
      <c r="C89" s="568">
        <f>SUMIFS(STATUS!$AA:$AA,STATUS!$E:$E,A89)</f>
        <v>0.46170138888888895</v>
      </c>
      <c r="D89" s="568">
        <f t="shared" si="19"/>
        <v>1.775774572649573E-2</v>
      </c>
      <c r="E89" s="568">
        <f t="shared" si="20"/>
        <v>0.3551549145299146</v>
      </c>
      <c r="F89" s="569">
        <f>C89-E89</f>
        <v>0.10654647435897435</v>
      </c>
      <c r="G89" t="s">
        <v>6776</v>
      </c>
    </row>
    <row r="90" spans="1:7" x14ac:dyDescent="0.3">
      <c r="A90" s="561">
        <v>44015</v>
      </c>
      <c r="B90" s="7">
        <f>COUNTIF(STATUS!$E:$E,A90)</f>
        <v>12</v>
      </c>
      <c r="C90" s="568">
        <f>SUMIFS(STATUS!$AA:$AA,STATUS!$E:$E,A90)</f>
        <v>0.2955092592592593</v>
      </c>
      <c r="D90" s="568">
        <f t="shared" si="19"/>
        <v>2.4625771604938274E-2</v>
      </c>
      <c r="E90" s="568">
        <f t="shared" si="20"/>
        <v>0.49251543209876547</v>
      </c>
      <c r="F90" s="569">
        <f t="shared" si="21"/>
        <v>0.19700617283950617</v>
      </c>
      <c r="G90" t="s">
        <v>6777</v>
      </c>
    </row>
    <row r="91" spans="1:7" x14ac:dyDescent="0.3">
      <c r="A91" s="561">
        <v>44016</v>
      </c>
      <c r="B91" s="7">
        <f>COUNTIF(STATUS!$E:$E,A91)</f>
        <v>1</v>
      </c>
      <c r="C91" s="568">
        <f>SUMIFS(STATUS!$AA:$AA,STATUS!$E:$E,A91)</f>
        <v>8.5300925925925752E-3</v>
      </c>
      <c r="D91" s="568">
        <f t="shared" si="19"/>
        <v>8.5300925925925752E-3</v>
      </c>
      <c r="E91" s="568">
        <f t="shared" si="20"/>
        <v>0.1706018518518515</v>
      </c>
      <c r="F91" s="569">
        <f t="shared" si="21"/>
        <v>0.16207175925925893</v>
      </c>
      <c r="G91" t="s">
        <v>6777</v>
      </c>
    </row>
    <row r="92" spans="1:7" x14ac:dyDescent="0.3">
      <c r="A92" s="561">
        <v>44017</v>
      </c>
      <c r="B92" s="7">
        <f>COUNTIF(STATUS!$E:$E,A92)</f>
        <v>0</v>
      </c>
      <c r="C92" s="568">
        <f>SUMIFS(STATUS!$AA:$AA,STATUS!$E:$E,A92)</f>
        <v>0</v>
      </c>
      <c r="D92" s="568">
        <f t="shared" si="19"/>
        <v>0</v>
      </c>
      <c r="E92" s="568">
        <f t="shared" si="20"/>
        <v>0</v>
      </c>
      <c r="F92" s="569">
        <f t="shared" si="21"/>
        <v>0</v>
      </c>
      <c r="G92" t="s">
        <v>6777</v>
      </c>
    </row>
    <row r="93" spans="1:7" x14ac:dyDescent="0.3">
      <c r="A93" s="561">
        <v>44018</v>
      </c>
      <c r="B93" s="7">
        <f>COUNTIF(STATUS!$E:$E,A93)</f>
        <v>0</v>
      </c>
      <c r="C93" s="568">
        <f>SUMIFS(STATUS!$AA:$AA,STATUS!$E:$E,A93)</f>
        <v>0</v>
      </c>
      <c r="D93" s="568">
        <f t="shared" si="19"/>
        <v>0</v>
      </c>
      <c r="E93" s="568">
        <f t="shared" si="20"/>
        <v>0</v>
      </c>
      <c r="F93" s="569">
        <f t="shared" si="21"/>
        <v>0</v>
      </c>
      <c r="G93" t="s">
        <v>6777</v>
      </c>
    </row>
    <row r="94" spans="1:7" x14ac:dyDescent="0.3">
      <c r="A94" s="561">
        <v>44019</v>
      </c>
      <c r="B94" s="7">
        <f>COUNTIF(STATUS!$E:$E,A94)</f>
        <v>0</v>
      </c>
      <c r="C94" s="568">
        <f>SUMIFS(STATUS!$AA:$AA,STATUS!$E:$E,A94)</f>
        <v>0</v>
      </c>
      <c r="D94" s="568">
        <f t="shared" si="19"/>
        <v>0</v>
      </c>
      <c r="E94" s="568">
        <f t="shared" si="20"/>
        <v>0</v>
      </c>
      <c r="F94" s="569">
        <f t="shared" si="21"/>
        <v>0</v>
      </c>
      <c r="G94" t="s">
        <v>6777</v>
      </c>
    </row>
    <row r="95" spans="1:7" x14ac:dyDescent="0.3">
      <c r="A95" s="561">
        <v>44020</v>
      </c>
      <c r="B95" s="7">
        <f>COUNTIF(STATUS!$E:$E,A95)</f>
        <v>0</v>
      </c>
      <c r="C95" s="568">
        <f>SUMIFS(STATUS!$AA:$AA,STATUS!$E:$E,A95)</f>
        <v>0</v>
      </c>
      <c r="D95" s="568">
        <f t="shared" si="19"/>
        <v>0</v>
      </c>
      <c r="E95" s="568">
        <f t="shared" si="20"/>
        <v>0</v>
      </c>
      <c r="F95" s="569">
        <f t="shared" si="21"/>
        <v>0</v>
      </c>
      <c r="G95" t="s">
        <v>6777</v>
      </c>
    </row>
    <row r="96" spans="1:7" x14ac:dyDescent="0.3">
      <c r="A96" s="561">
        <v>44021</v>
      </c>
      <c r="B96" s="7">
        <f>COUNTIF(STATUS!$E:$E,A96)</f>
        <v>0</v>
      </c>
      <c r="C96" s="568">
        <f>SUMIFS(STATUS!$AA:$AA,STATUS!$E:$E,A96)</f>
        <v>0</v>
      </c>
      <c r="D96" s="568">
        <f t="shared" si="19"/>
        <v>0</v>
      </c>
      <c r="E96" s="568">
        <f t="shared" si="20"/>
        <v>0</v>
      </c>
      <c r="F96" s="569">
        <f t="shared" si="21"/>
        <v>0</v>
      </c>
      <c r="G96" t="s">
        <v>6777</v>
      </c>
    </row>
    <row r="97" spans="1:7" x14ac:dyDescent="0.3">
      <c r="A97" s="561">
        <v>44022</v>
      </c>
      <c r="B97" s="7">
        <f>COUNTIF(STATUS!$E:$E,A97)</f>
        <v>0</v>
      </c>
      <c r="C97" s="568">
        <f>SUMIFS(STATUS!$AA:$AA,STATUS!$E:$E,A97)</f>
        <v>0</v>
      </c>
      <c r="D97" s="568">
        <f t="shared" si="19"/>
        <v>0</v>
      </c>
      <c r="E97" s="568">
        <f t="shared" si="20"/>
        <v>0</v>
      </c>
      <c r="F97" s="569">
        <f t="shared" si="21"/>
        <v>0</v>
      </c>
      <c r="G97" t="s">
        <v>6775</v>
      </c>
    </row>
    <row r="98" spans="1:7" x14ac:dyDescent="0.3">
      <c r="A98" s="561">
        <v>44023</v>
      </c>
      <c r="B98" s="7">
        <f>COUNTIF(STATUS!$E:$E,A98)</f>
        <v>0</v>
      </c>
      <c r="C98" s="568">
        <f>SUMIFS(STATUS!$AA:$AA,STATUS!$E:$E,A98)</f>
        <v>0</v>
      </c>
      <c r="D98" s="568">
        <f t="shared" si="19"/>
        <v>0</v>
      </c>
      <c r="E98" s="568">
        <f t="shared" si="20"/>
        <v>0</v>
      </c>
      <c r="F98" s="569">
        <f t="shared" si="21"/>
        <v>0</v>
      </c>
      <c r="G98" t="s">
        <v>6775</v>
      </c>
    </row>
    <row r="99" spans="1:7" x14ac:dyDescent="0.3">
      <c r="A99" s="561">
        <v>44024</v>
      </c>
      <c r="B99" s="7">
        <f>COUNTIF(STATUS!$E:$E,A99)</f>
        <v>0</v>
      </c>
      <c r="C99" s="568">
        <f>SUMIFS(STATUS!$AA:$AA,STATUS!$E:$E,A99)</f>
        <v>0</v>
      </c>
      <c r="D99" s="568">
        <f t="shared" si="19"/>
        <v>0</v>
      </c>
      <c r="E99" s="568">
        <f t="shared" si="20"/>
        <v>0</v>
      </c>
      <c r="F99" s="569">
        <f t="shared" si="21"/>
        <v>0</v>
      </c>
      <c r="G99" t="s">
        <v>6775</v>
      </c>
    </row>
    <row r="100" spans="1:7" x14ac:dyDescent="0.3">
      <c r="A100" s="561">
        <v>44025</v>
      </c>
      <c r="B100" s="7">
        <f>COUNTIF(STATUS!$E:$E,A100)</f>
        <v>0</v>
      </c>
      <c r="C100" s="568">
        <f>SUMIFS(STATUS!$AA:$AA,STATUS!$E:$E,A100)</f>
        <v>0</v>
      </c>
      <c r="D100" s="568">
        <f t="shared" si="19"/>
        <v>0</v>
      </c>
      <c r="E100" s="568">
        <f t="shared" si="20"/>
        <v>0</v>
      </c>
      <c r="F100" s="569">
        <f t="shared" si="21"/>
        <v>0</v>
      </c>
      <c r="G100" t="s">
        <v>6775</v>
      </c>
    </row>
    <row r="101" spans="1:7" x14ac:dyDescent="0.3">
      <c r="A101" s="561">
        <v>44026</v>
      </c>
      <c r="B101" s="7">
        <f>COUNTIF(STATUS!$E:$E,A101)</f>
        <v>0</v>
      </c>
      <c r="C101" s="568">
        <f>SUMIFS(STATUS!$AA:$AA,STATUS!$E:$E,A101)</f>
        <v>0</v>
      </c>
      <c r="D101" s="568">
        <f t="shared" si="19"/>
        <v>0</v>
      </c>
      <c r="E101" s="568">
        <f t="shared" si="20"/>
        <v>0</v>
      </c>
      <c r="F101" s="569">
        <f t="shared" si="21"/>
        <v>0</v>
      </c>
      <c r="G101" t="s">
        <v>6775</v>
      </c>
    </row>
    <row r="102" spans="1:7" x14ac:dyDescent="0.3">
      <c r="A102" s="561">
        <v>44027</v>
      </c>
      <c r="B102" s="7">
        <f>COUNTIF(STATUS!$E:$E,A102)</f>
        <v>0</v>
      </c>
      <c r="C102" s="568">
        <f>SUMIFS(STATUS!$AA:$AA,STATUS!$E:$E,A102)</f>
        <v>0</v>
      </c>
      <c r="D102" s="568">
        <f t="shared" si="19"/>
        <v>0</v>
      </c>
      <c r="E102" s="568">
        <f t="shared" si="20"/>
        <v>0</v>
      </c>
      <c r="F102" s="569">
        <f t="shared" si="21"/>
        <v>0</v>
      </c>
      <c r="G102" t="s">
        <v>6775</v>
      </c>
    </row>
    <row r="103" spans="1:7" x14ac:dyDescent="0.3">
      <c r="A103" s="561">
        <v>44028</v>
      </c>
      <c r="B103" s="7">
        <f>COUNTIF(STATUS!$E:$E,A103)</f>
        <v>0</v>
      </c>
      <c r="C103" s="568">
        <f>SUMIFS(STATUS!$AA:$AA,STATUS!$E:$E,A103)</f>
        <v>0</v>
      </c>
      <c r="D103" s="568">
        <f t="shared" si="19"/>
        <v>0</v>
      </c>
      <c r="E103" s="568">
        <f t="shared" si="20"/>
        <v>0</v>
      </c>
      <c r="F103" s="569">
        <f t="shared" si="21"/>
        <v>0</v>
      </c>
      <c r="G103" t="s">
        <v>6775</v>
      </c>
    </row>
    <row r="104" spans="1:7" x14ac:dyDescent="0.3">
      <c r="A104" s="561">
        <v>44029</v>
      </c>
      <c r="B104" s="7">
        <f>COUNTIF(STATUS!$E:$E,A104)</f>
        <v>0</v>
      </c>
      <c r="C104" s="568">
        <f>SUMIFS(STATUS!$AA:$AA,STATUS!$E:$E,A104)</f>
        <v>0</v>
      </c>
      <c r="D104" s="568">
        <f t="shared" si="19"/>
        <v>0</v>
      </c>
      <c r="E104" s="568">
        <f t="shared" si="20"/>
        <v>0</v>
      </c>
      <c r="F104" s="569">
        <f t="shared" si="21"/>
        <v>0</v>
      </c>
      <c r="G104" t="s">
        <v>6776</v>
      </c>
    </row>
    <row r="105" spans="1:7" x14ac:dyDescent="0.3">
      <c r="A105" s="561">
        <v>44030</v>
      </c>
      <c r="B105" s="7">
        <f>COUNTIF(STATUS!$E:$E,A105)</f>
        <v>0</v>
      </c>
      <c r="C105" s="568">
        <f>SUMIFS(STATUS!$AA:$AA,STATUS!$E:$E,A105)</f>
        <v>0</v>
      </c>
      <c r="D105" s="568">
        <f t="shared" ref="D105:D112" si="22">IFERROR(C105/B105,0)</f>
        <v>0</v>
      </c>
      <c r="E105" s="568">
        <f t="shared" ref="E105:E112" si="23">D105*20</f>
        <v>0</v>
      </c>
      <c r="F105" s="569">
        <f t="shared" ref="F105:F112" si="24">E105-C105</f>
        <v>0</v>
      </c>
      <c r="G105" t="s">
        <v>6776</v>
      </c>
    </row>
    <row r="106" spans="1:7" x14ac:dyDescent="0.3">
      <c r="A106" s="561">
        <v>44031</v>
      </c>
      <c r="B106" s="7">
        <f>COUNTIF(STATUS!$E:$E,A106)</f>
        <v>1</v>
      </c>
      <c r="C106" s="568">
        <f>SUMIFS(STATUS!$AA:$AA,STATUS!$E:$E,A106)</f>
        <v>5.1805555555555549E-2</v>
      </c>
      <c r="D106" s="568">
        <f t="shared" si="22"/>
        <v>5.1805555555555549E-2</v>
      </c>
      <c r="E106" s="568">
        <f t="shared" si="23"/>
        <v>1.036111111111111</v>
      </c>
      <c r="F106" s="569">
        <f t="shared" si="24"/>
        <v>0.98430555555555543</v>
      </c>
      <c r="G106" t="s">
        <v>6776</v>
      </c>
    </row>
    <row r="107" spans="1:7" x14ac:dyDescent="0.3">
      <c r="A107" s="561">
        <v>44032</v>
      </c>
      <c r="B107" s="7">
        <f>COUNTIF(STATUS!$E:$E,A107)</f>
        <v>14</v>
      </c>
      <c r="C107" s="568">
        <f>SUMIFS(STATUS!$AA:$AA,STATUS!$E:$E,A107)</f>
        <v>0.36410879629629617</v>
      </c>
      <c r="D107" s="568">
        <f t="shared" si="22"/>
        <v>2.6007771164021153E-2</v>
      </c>
      <c r="E107" s="568">
        <f t="shared" si="23"/>
        <v>0.52015542328042308</v>
      </c>
      <c r="F107" s="569">
        <f t="shared" si="24"/>
        <v>0.15604662698412691</v>
      </c>
      <c r="G107" t="s">
        <v>6776</v>
      </c>
    </row>
    <row r="108" spans="1:7" x14ac:dyDescent="0.3">
      <c r="A108" s="561">
        <v>44033</v>
      </c>
      <c r="B108" s="7">
        <f>COUNTIF(STATUS!$E:$E,A108)</f>
        <v>9</v>
      </c>
      <c r="C108" s="568">
        <f>SUMIFS(STATUS!$AA:$AA,STATUS!$E:$E,A108)</f>
        <v>0.2020601851851852</v>
      </c>
      <c r="D108" s="568">
        <f t="shared" si="22"/>
        <v>2.24511316872428E-2</v>
      </c>
      <c r="E108" s="568">
        <f t="shared" si="23"/>
        <v>0.44902263374485601</v>
      </c>
      <c r="F108" s="569">
        <f t="shared" si="24"/>
        <v>0.24696244855967081</v>
      </c>
      <c r="G108" t="s">
        <v>6776</v>
      </c>
    </row>
    <row r="109" spans="1:7" x14ac:dyDescent="0.3">
      <c r="A109" s="561">
        <v>44034</v>
      </c>
      <c r="B109" s="7">
        <f>COUNTIF(STATUS!$E:$E,A109)</f>
        <v>14</v>
      </c>
      <c r="C109" s="568">
        <f>SUMIFS(STATUS!$AA:$AA,STATUS!$E:$E,A109)</f>
        <v>0.21399305555555553</v>
      </c>
      <c r="D109" s="568">
        <f t="shared" si="22"/>
        <v>1.5285218253968252E-2</v>
      </c>
      <c r="E109" s="568">
        <f t="shared" si="23"/>
        <v>0.30570436507936505</v>
      </c>
      <c r="F109" s="569">
        <f t="shared" si="24"/>
        <v>9.1711309523809514E-2</v>
      </c>
      <c r="G109" t="s">
        <v>6776</v>
      </c>
    </row>
    <row r="110" spans="1:7" x14ac:dyDescent="0.3">
      <c r="A110" s="561">
        <v>44035</v>
      </c>
      <c r="B110" s="7">
        <f>COUNTIF(STATUS!$E:$E,A110)</f>
        <v>11</v>
      </c>
      <c r="C110" s="568">
        <f>SUMIFS(STATUS!$AA:$AA,STATUS!$E:$E,A110)</f>
        <v>0.18900462962962961</v>
      </c>
      <c r="D110" s="568">
        <f t="shared" si="22"/>
        <v>1.7182239057239056E-2</v>
      </c>
      <c r="E110" s="568">
        <f t="shared" si="23"/>
        <v>0.34364478114478114</v>
      </c>
      <c r="F110" s="569">
        <f t="shared" si="24"/>
        <v>0.15464015151515154</v>
      </c>
      <c r="G110" t="s">
        <v>6776</v>
      </c>
    </row>
    <row r="111" spans="1:7" x14ac:dyDescent="0.3">
      <c r="A111" s="561">
        <v>44036</v>
      </c>
      <c r="B111" s="7">
        <f>COUNTIF(STATUS!$E:$E,A111)</f>
        <v>11</v>
      </c>
      <c r="C111" s="568">
        <f>SUMIFS(STATUS!$AA:$AA,STATUS!$E:$E,A111)</f>
        <v>0.10752314814814806</v>
      </c>
      <c r="D111" s="568">
        <f t="shared" si="22"/>
        <v>9.7748316498316428E-3</v>
      </c>
      <c r="E111" s="568">
        <f t="shared" si="23"/>
        <v>0.19549663299663286</v>
      </c>
      <c r="F111" s="569">
        <f t="shared" si="24"/>
        <v>8.7973484848484801E-2</v>
      </c>
      <c r="G111" t="s">
        <v>6777</v>
      </c>
    </row>
    <row r="112" spans="1:7" x14ac:dyDescent="0.3">
      <c r="A112" s="561">
        <v>44037</v>
      </c>
      <c r="B112" s="7">
        <f>COUNTIF(STATUS!$E:$E,A112)</f>
        <v>0</v>
      </c>
      <c r="C112" s="568">
        <f>SUMIFS(STATUS!$AA:$AA,STATUS!$E:$E,A112)</f>
        <v>0</v>
      </c>
      <c r="D112" s="568">
        <f t="shared" si="22"/>
        <v>0</v>
      </c>
      <c r="E112" s="568">
        <f t="shared" si="23"/>
        <v>0</v>
      </c>
      <c r="F112" s="569">
        <f t="shared" si="24"/>
        <v>0</v>
      </c>
      <c r="G112" t="s">
        <v>6777</v>
      </c>
    </row>
    <row r="113" spans="1:7" x14ac:dyDescent="0.3">
      <c r="A113" s="1114">
        <v>44038</v>
      </c>
      <c r="B113" s="1113">
        <f>COUNTIF(STATUS!$E:$E,A113)</f>
        <v>0</v>
      </c>
      <c r="C113" s="568">
        <f>SUMIFS(STATUS!$AA:$AA,STATUS!$E:$E,A113)</f>
        <v>0</v>
      </c>
      <c r="D113" s="568">
        <f t="shared" ref="D113:D149" si="25">IFERROR(C113/B113,0)</f>
        <v>0</v>
      </c>
      <c r="E113" s="568">
        <f t="shared" ref="E113:E149" si="26">D113*20</f>
        <v>0</v>
      </c>
      <c r="F113" s="569">
        <f t="shared" ref="F113:F149" si="27">E113-C113</f>
        <v>0</v>
      </c>
      <c r="G113" t="s">
        <v>6777</v>
      </c>
    </row>
    <row r="114" spans="1:7" x14ac:dyDescent="0.3">
      <c r="A114" s="1114">
        <v>44039</v>
      </c>
      <c r="B114" s="1113">
        <f>COUNTIF(STATUS!$E:$E,A114)</f>
        <v>19</v>
      </c>
      <c r="C114" s="568">
        <f>SUMIFS(STATUS!$AA:$AA,STATUS!$E:$E,A114)</f>
        <v>0.46796296296296264</v>
      </c>
      <c r="D114" s="568">
        <f t="shared" si="25"/>
        <v>2.4629629629629612E-2</v>
      </c>
      <c r="E114" s="568">
        <f t="shared" si="26"/>
        <v>0.49259259259259225</v>
      </c>
      <c r="F114" s="569">
        <f t="shared" si="27"/>
        <v>2.4629629629629612E-2</v>
      </c>
      <c r="G114" t="s">
        <v>6777</v>
      </c>
    </row>
    <row r="115" spans="1:7" x14ac:dyDescent="0.3">
      <c r="A115" s="1114">
        <v>44040</v>
      </c>
      <c r="B115" s="1113">
        <f>COUNTIF(STATUS!$E:$E,A115)</f>
        <v>15</v>
      </c>
      <c r="C115" s="568">
        <f>SUMIFS(STATUS!$AA:$AA,STATUS!$E:$E,A115)</f>
        <v>0.24857638888888911</v>
      </c>
      <c r="D115" s="568">
        <f t="shared" si="25"/>
        <v>1.6571759259259276E-2</v>
      </c>
      <c r="E115" s="568">
        <f t="shared" si="26"/>
        <v>0.3314351851851855</v>
      </c>
      <c r="F115" s="569">
        <f t="shared" si="27"/>
        <v>8.2858796296296389E-2</v>
      </c>
      <c r="G115" t="s">
        <v>6777</v>
      </c>
    </row>
    <row r="116" spans="1:7" x14ac:dyDescent="0.3">
      <c r="A116" s="1114">
        <v>44041</v>
      </c>
      <c r="B116" s="1113">
        <f>COUNTIF(STATUS!$E:$E,A116)</f>
        <v>15</v>
      </c>
      <c r="C116" s="568">
        <f>SUMIFS(STATUS!$AA:$AA,STATUS!$E:$E,A116)</f>
        <v>0.2729976851851853</v>
      </c>
      <c r="D116" s="568">
        <f t="shared" si="25"/>
        <v>1.8199845679012353E-2</v>
      </c>
      <c r="E116" s="568">
        <f t="shared" si="26"/>
        <v>0.36399691358024705</v>
      </c>
      <c r="F116" s="569">
        <f t="shared" si="27"/>
        <v>9.0999228395061749E-2</v>
      </c>
      <c r="G116" t="s">
        <v>6777</v>
      </c>
    </row>
    <row r="117" spans="1:7" x14ac:dyDescent="0.3">
      <c r="A117" s="1114">
        <v>44042</v>
      </c>
      <c r="B117" s="1113">
        <f>COUNTIF(STATUS!$E:$E,A117)</f>
        <v>17</v>
      </c>
      <c r="C117" s="568">
        <f>SUMIFS(STATUS!$AA:$AA,STATUS!$E:$E,A117)</f>
        <v>0.27321759259259271</v>
      </c>
      <c r="D117" s="568">
        <f t="shared" si="25"/>
        <v>1.6071623093681923E-2</v>
      </c>
      <c r="E117" s="568">
        <f t="shared" si="26"/>
        <v>0.3214324618736385</v>
      </c>
      <c r="F117" s="569">
        <f t="shared" si="27"/>
        <v>4.8214869281045791E-2</v>
      </c>
      <c r="G117" t="s">
        <v>6777</v>
      </c>
    </row>
    <row r="118" spans="1:7" x14ac:dyDescent="0.3">
      <c r="A118" s="1114">
        <v>44043</v>
      </c>
      <c r="B118" s="1113">
        <f>COUNTIF(STATUS!$E:$E,A118)</f>
        <v>12</v>
      </c>
      <c r="C118" s="568">
        <f>SUMIFS(STATUS!$AA:$AA,STATUS!$E:$E,A118)</f>
        <v>0.14850694444444451</v>
      </c>
      <c r="D118" s="568">
        <f t="shared" si="25"/>
        <v>1.237557870370371E-2</v>
      </c>
      <c r="E118" s="568">
        <f t="shared" si="26"/>
        <v>0.2475115740740742</v>
      </c>
      <c r="F118" s="569">
        <f t="shared" si="27"/>
        <v>9.9004629629629692E-2</v>
      </c>
      <c r="G118" t="s">
        <v>6776</v>
      </c>
    </row>
    <row r="119" spans="1:7" x14ac:dyDescent="0.3">
      <c r="A119" s="1114">
        <v>44044</v>
      </c>
      <c r="B119" s="1113">
        <f>COUNTIF(STATUS!$E:$E,A119)</f>
        <v>0</v>
      </c>
      <c r="C119" s="568">
        <f>SUMIFS(STATUS!$AA:$AA,STATUS!$E:$E,A119)</f>
        <v>0</v>
      </c>
      <c r="D119" s="568">
        <f t="shared" si="25"/>
        <v>0</v>
      </c>
      <c r="E119" s="568">
        <f t="shared" si="26"/>
        <v>0</v>
      </c>
      <c r="F119" s="569">
        <f t="shared" si="27"/>
        <v>0</v>
      </c>
      <c r="G119" t="s">
        <v>6776</v>
      </c>
    </row>
    <row r="120" spans="1:7" x14ac:dyDescent="0.3">
      <c r="A120" s="1114">
        <v>44045</v>
      </c>
      <c r="B120" s="1113">
        <f>COUNTIF(STATUS!$E:$E,A120)</f>
        <v>0</v>
      </c>
      <c r="C120" s="568">
        <f>SUMIFS(STATUS!$AA:$AA,STATUS!$E:$E,A120)</f>
        <v>0</v>
      </c>
      <c r="D120" s="568">
        <f t="shared" si="25"/>
        <v>0</v>
      </c>
      <c r="E120" s="568">
        <f t="shared" si="26"/>
        <v>0</v>
      </c>
      <c r="F120" s="569">
        <f t="shared" si="27"/>
        <v>0</v>
      </c>
      <c r="G120" t="s">
        <v>6776</v>
      </c>
    </row>
    <row r="121" spans="1:7" x14ac:dyDescent="0.3">
      <c r="A121" s="1114">
        <v>44046</v>
      </c>
      <c r="B121" s="1113">
        <f>COUNTIF(STATUS!$E:$E,A121)</f>
        <v>24</v>
      </c>
      <c r="C121" s="568">
        <f>SUMIFS(STATUS!$AA:$AA,STATUS!$E:$E,A121)</f>
        <v>0.43563657407407358</v>
      </c>
      <c r="D121" s="568">
        <f t="shared" si="25"/>
        <v>1.8151523919753065E-2</v>
      </c>
      <c r="E121" s="568">
        <f t="shared" si="26"/>
        <v>0.36303047839506131</v>
      </c>
      <c r="F121" s="569">
        <f>C121-E121</f>
        <v>7.2606095679012272E-2</v>
      </c>
      <c r="G121" t="s">
        <v>6776</v>
      </c>
    </row>
    <row r="122" spans="1:7" x14ac:dyDescent="0.3">
      <c r="A122" s="1114">
        <v>44047</v>
      </c>
      <c r="B122" s="1113">
        <f>COUNTIF(STATUS!$E:$E,A122)</f>
        <v>18</v>
      </c>
      <c r="C122" s="568">
        <f>SUMIFS(STATUS!$AA:$AA,STATUS!$E:$E,A122)</f>
        <v>0.18285879629629626</v>
      </c>
      <c r="D122" s="568">
        <f t="shared" si="25"/>
        <v>1.0158822016460903E-2</v>
      </c>
      <c r="E122" s="568">
        <f t="shared" si="26"/>
        <v>0.20317644032921806</v>
      </c>
      <c r="F122" s="569">
        <f t="shared" si="27"/>
        <v>2.03176440329218E-2</v>
      </c>
      <c r="G122" t="s">
        <v>6776</v>
      </c>
    </row>
    <row r="123" spans="1:7" x14ac:dyDescent="0.3">
      <c r="A123" s="1114">
        <v>44048</v>
      </c>
      <c r="B123" s="1113">
        <f>COUNTIF(STATUS!$E:$E,A123)</f>
        <v>17</v>
      </c>
      <c r="C123" s="568">
        <f>SUMIFS(STATUS!$AA:$AA,STATUS!$E:$E,A123)</f>
        <v>0.380428240740741</v>
      </c>
      <c r="D123" s="568">
        <f t="shared" si="25"/>
        <v>2.2378131808278884E-2</v>
      </c>
      <c r="E123" s="568">
        <f t="shared" si="26"/>
        <v>0.44756263616557768</v>
      </c>
      <c r="F123" s="569">
        <f t="shared" si="27"/>
        <v>6.7134395424836679E-2</v>
      </c>
      <c r="G123" t="s">
        <v>6776</v>
      </c>
    </row>
    <row r="124" spans="1:7" x14ac:dyDescent="0.3">
      <c r="A124" s="1114">
        <v>44049</v>
      </c>
      <c r="B124" s="1113">
        <f>COUNTIF(STATUS!$E:$E,A124)</f>
        <v>17</v>
      </c>
      <c r="C124" s="568">
        <f>SUMIFS(STATUS!$AA:$AA,STATUS!$E:$E,A124)</f>
        <v>0.23379629629629606</v>
      </c>
      <c r="D124" s="568">
        <f t="shared" si="25"/>
        <v>1.3752723311546826E-2</v>
      </c>
      <c r="E124" s="568">
        <f t="shared" si="26"/>
        <v>0.27505446623093655</v>
      </c>
      <c r="F124" s="569">
        <f t="shared" si="27"/>
        <v>4.1258169934640487E-2</v>
      </c>
      <c r="G124" t="s">
        <v>6776</v>
      </c>
    </row>
    <row r="125" spans="1:7" x14ac:dyDescent="0.3">
      <c r="A125" s="1114">
        <v>44050</v>
      </c>
      <c r="B125" s="1113">
        <f>COUNTIF(STATUS!$E:$E,A125)</f>
        <v>21</v>
      </c>
      <c r="C125" s="568">
        <f>SUMIFS(STATUS!$AA:$AA,STATUS!$E:$E,A125)</f>
        <v>0.27614583333333276</v>
      </c>
      <c r="D125" s="568">
        <f t="shared" si="25"/>
        <v>1.3149801587301561E-2</v>
      </c>
      <c r="E125" s="568">
        <f t="shared" si="26"/>
        <v>0.2629960317460312</v>
      </c>
      <c r="F125" s="569">
        <f>C125-E125</f>
        <v>1.3149801587301557E-2</v>
      </c>
      <c r="G125" t="s">
        <v>6775</v>
      </c>
    </row>
    <row r="126" spans="1:7" x14ac:dyDescent="0.3">
      <c r="A126" s="1114">
        <v>44051</v>
      </c>
      <c r="B126" s="1113">
        <f>COUNTIF(STATUS!$E:$E,A126)</f>
        <v>3</v>
      </c>
      <c r="C126" s="568">
        <f>SUMIFS(STATUS!$AA:$AA,STATUS!$E:$E,A126)</f>
        <v>1.6006944444444393E-2</v>
      </c>
      <c r="D126" s="568">
        <f t="shared" si="25"/>
        <v>5.335648148148131E-3</v>
      </c>
      <c r="E126" s="568">
        <f t="shared" si="26"/>
        <v>0.10671296296296262</v>
      </c>
      <c r="F126" s="569">
        <f t="shared" si="27"/>
        <v>9.0706018518518228E-2</v>
      </c>
      <c r="G126" t="s">
        <v>6775</v>
      </c>
    </row>
    <row r="127" spans="1:7" x14ac:dyDescent="0.3">
      <c r="A127" s="1114">
        <v>44052</v>
      </c>
      <c r="B127" s="1113">
        <f>COUNTIF(STATUS!$E:$E,A127)</f>
        <v>2</v>
      </c>
      <c r="C127" s="568">
        <f>SUMIFS(STATUS!$AA:$AA,STATUS!$E:$E,A127)</f>
        <v>2.8946759259259269E-2</v>
      </c>
      <c r="D127" s="568">
        <f t="shared" si="25"/>
        <v>1.4473379629629635E-2</v>
      </c>
      <c r="E127" s="568">
        <f t="shared" si="26"/>
        <v>0.28946759259259269</v>
      </c>
      <c r="F127" s="569">
        <f t="shared" si="27"/>
        <v>0.26052083333333342</v>
      </c>
      <c r="G127" t="s">
        <v>6775</v>
      </c>
    </row>
    <row r="128" spans="1:7" x14ac:dyDescent="0.3">
      <c r="A128" s="1114">
        <v>44053</v>
      </c>
      <c r="B128" s="1113">
        <f>COUNTIF(STATUS!$E:$E,A128)</f>
        <v>14</v>
      </c>
      <c r="C128" s="568">
        <f>SUMIFS(STATUS!$AA:$AA,STATUS!$E:$E,A128)</f>
        <v>0.16079861111111104</v>
      </c>
      <c r="D128" s="568">
        <f t="shared" si="25"/>
        <v>1.1485615079365075E-2</v>
      </c>
      <c r="E128" s="568">
        <f t="shared" si="26"/>
        <v>0.22971230158730149</v>
      </c>
      <c r="F128" s="569">
        <f t="shared" si="27"/>
        <v>6.8913690476190448E-2</v>
      </c>
      <c r="G128" t="s">
        <v>6775</v>
      </c>
    </row>
    <row r="129" spans="1:7" x14ac:dyDescent="0.3">
      <c r="A129" s="1114">
        <v>44054</v>
      </c>
      <c r="B129" s="1113">
        <f>COUNTIF(STATUS!$E:$E,A129)</f>
        <v>14</v>
      </c>
      <c r="C129" s="568">
        <f>SUMIFS(STATUS!$AA:$AA,STATUS!$E:$E,A129)</f>
        <v>0.17630787037037005</v>
      </c>
      <c r="D129" s="568">
        <f t="shared" si="25"/>
        <v>1.2593419312169288E-2</v>
      </c>
      <c r="E129" s="568">
        <f t="shared" si="26"/>
        <v>0.25186838624338576</v>
      </c>
      <c r="F129" s="569">
        <f t="shared" si="27"/>
        <v>7.556051587301571E-2</v>
      </c>
      <c r="G129" t="s">
        <v>6775</v>
      </c>
    </row>
    <row r="130" spans="1:7" x14ac:dyDescent="0.3">
      <c r="A130" s="1114">
        <v>44055</v>
      </c>
      <c r="B130" s="1113">
        <f>COUNTIF(STATUS!$E:$E,A130)</f>
        <v>11</v>
      </c>
      <c r="C130" s="568">
        <f>SUMIFS(STATUS!$AA:$AA,STATUS!$E:$E,A130)</f>
        <v>0.20435185185185178</v>
      </c>
      <c r="D130" s="568">
        <f t="shared" si="25"/>
        <v>1.8577441077441071E-2</v>
      </c>
      <c r="E130" s="568">
        <f t="shared" si="26"/>
        <v>0.37154882154882141</v>
      </c>
      <c r="F130" s="569">
        <f t="shared" si="27"/>
        <v>0.16719696969696962</v>
      </c>
      <c r="G130" t="s">
        <v>6775</v>
      </c>
    </row>
    <row r="131" spans="1:7" x14ac:dyDescent="0.3">
      <c r="A131" s="1114">
        <v>44056</v>
      </c>
      <c r="B131" s="1113">
        <f>COUNTIF(STATUS!$E:$E,A131)</f>
        <v>14</v>
      </c>
      <c r="C131" s="568">
        <f>SUMIFS(STATUS!$AA:$AA,STATUS!$E:$E,A131)</f>
        <v>0.82006944444444441</v>
      </c>
      <c r="D131" s="568">
        <f t="shared" si="25"/>
        <v>5.8576388888888886E-2</v>
      </c>
      <c r="E131" s="568">
        <f t="shared" si="26"/>
        <v>1.1715277777777777</v>
      </c>
      <c r="F131" s="569">
        <f t="shared" si="27"/>
        <v>0.35145833333333332</v>
      </c>
      <c r="G131" t="s">
        <v>6775</v>
      </c>
    </row>
    <row r="132" spans="1:7" x14ac:dyDescent="0.3">
      <c r="A132" s="1114">
        <v>44057</v>
      </c>
      <c r="B132" s="1113">
        <f>COUNTIF(STATUS!$E:$E,A132)</f>
        <v>8</v>
      </c>
      <c r="C132" s="568">
        <f>SUMIFS(STATUS!$AA:$AA,STATUS!$E:$E,A132)</f>
        <v>0.15684027777777787</v>
      </c>
      <c r="D132" s="568">
        <f t="shared" si="25"/>
        <v>1.9605034722222234E-2</v>
      </c>
      <c r="E132" s="568">
        <f t="shared" si="26"/>
        <v>0.39210069444444468</v>
      </c>
      <c r="F132" s="569">
        <f t="shared" si="27"/>
        <v>0.23526041666666681</v>
      </c>
      <c r="G132" t="s">
        <v>6775</v>
      </c>
    </row>
    <row r="133" spans="1:7" x14ac:dyDescent="0.3">
      <c r="A133" s="1114">
        <v>44058</v>
      </c>
      <c r="B133" s="1113">
        <f>COUNTIF(STATUS!$E:$E,A133)</f>
        <v>0</v>
      </c>
      <c r="C133" s="568">
        <f>SUMIFS(STATUS!$AA:$AA,STATUS!$E:$E,A133)</f>
        <v>0</v>
      </c>
      <c r="D133" s="568">
        <f t="shared" si="25"/>
        <v>0</v>
      </c>
      <c r="E133" s="568">
        <f t="shared" si="26"/>
        <v>0</v>
      </c>
      <c r="F133" s="569">
        <f t="shared" si="27"/>
        <v>0</v>
      </c>
      <c r="G133" t="s">
        <v>6775</v>
      </c>
    </row>
    <row r="134" spans="1:7" x14ac:dyDescent="0.3">
      <c r="A134" s="1114">
        <v>44059</v>
      </c>
      <c r="B134" s="1113">
        <f>COUNTIF(STATUS!$E:$E,A134)</f>
        <v>0</v>
      </c>
      <c r="C134" s="568">
        <f>SUMIFS(STATUS!$AA:$AA,STATUS!$E:$E,A134)</f>
        <v>0</v>
      </c>
      <c r="D134" s="568">
        <f t="shared" si="25"/>
        <v>0</v>
      </c>
      <c r="E134" s="568">
        <f t="shared" si="26"/>
        <v>0</v>
      </c>
      <c r="F134" s="569">
        <f t="shared" si="27"/>
        <v>0</v>
      </c>
      <c r="G134" t="s">
        <v>6775</v>
      </c>
    </row>
    <row r="135" spans="1:7" x14ac:dyDescent="0.3">
      <c r="A135" s="1114">
        <v>44060</v>
      </c>
      <c r="B135" s="1113">
        <f>COUNTIF(STATUS!$E:$E,A135)</f>
        <v>16</v>
      </c>
      <c r="C135" s="568">
        <f>SUMIFS(STATUS!$AA:$AA,STATUS!$E:$E,A135)</f>
        <v>0.16606481481481467</v>
      </c>
      <c r="D135" s="568">
        <f t="shared" si="25"/>
        <v>1.0379050925925917E-2</v>
      </c>
      <c r="E135" s="568">
        <f t="shared" si="26"/>
        <v>0.20758101851851835</v>
      </c>
      <c r="F135" s="569">
        <f t="shared" si="27"/>
        <v>4.151620370370368E-2</v>
      </c>
      <c r="G135" t="s">
        <v>6775</v>
      </c>
    </row>
    <row r="136" spans="1:7" x14ac:dyDescent="0.3">
      <c r="A136" s="1114">
        <v>44061</v>
      </c>
      <c r="B136" s="1113">
        <f>COUNTIF(STATUS!$E:$E,A136)</f>
        <v>12</v>
      </c>
      <c r="C136" s="568">
        <f>SUMIFS(STATUS!$AA:$AA,STATUS!$E:$E,A136)</f>
        <v>0.16228009259259274</v>
      </c>
      <c r="D136" s="568">
        <f t="shared" si="25"/>
        <v>1.3523341049382728E-2</v>
      </c>
      <c r="E136" s="568">
        <f t="shared" si="26"/>
        <v>0.27046682098765457</v>
      </c>
      <c r="F136" s="569">
        <f t="shared" si="27"/>
        <v>0.10818672839506183</v>
      </c>
      <c r="G136" t="s">
        <v>6775</v>
      </c>
    </row>
    <row r="137" spans="1:7" x14ac:dyDescent="0.3">
      <c r="A137" s="1114">
        <v>44062</v>
      </c>
      <c r="B137" s="1113">
        <f>COUNTIF(STATUS!$E:$E,A137)</f>
        <v>12</v>
      </c>
      <c r="C137" s="568">
        <f>SUMIFS(STATUS!$AA:$AA,STATUS!$E:$E,A137)</f>
        <v>0.13322916666666651</v>
      </c>
      <c r="D137" s="568">
        <f t="shared" si="25"/>
        <v>1.1102430555555542E-2</v>
      </c>
      <c r="E137" s="568">
        <f t="shared" si="26"/>
        <v>0.22204861111111085</v>
      </c>
      <c r="F137" s="569">
        <f t="shared" si="27"/>
        <v>8.881944444444434E-2</v>
      </c>
      <c r="G137" t="s">
        <v>6775</v>
      </c>
    </row>
    <row r="138" spans="1:7" x14ac:dyDescent="0.3">
      <c r="A138" s="1114">
        <v>44063</v>
      </c>
      <c r="B138" s="1113">
        <f>COUNTIF(STATUS!$E:$E,A138)</f>
        <v>14</v>
      </c>
      <c r="C138" s="568">
        <f>SUMIFS(STATUS!$AA:$AA,STATUS!$E:$E,A138)</f>
        <v>0.70515046296296324</v>
      </c>
      <c r="D138" s="568">
        <f t="shared" si="25"/>
        <v>5.0367890211640232E-2</v>
      </c>
      <c r="E138" s="568">
        <f t="shared" si="26"/>
        <v>1.0073578042328046</v>
      </c>
      <c r="F138" s="569">
        <f t="shared" si="27"/>
        <v>0.30220734126984139</v>
      </c>
      <c r="G138" t="s">
        <v>6775</v>
      </c>
    </row>
    <row r="139" spans="1:7" x14ac:dyDescent="0.3">
      <c r="A139" s="1114">
        <v>44064</v>
      </c>
      <c r="B139" s="1113">
        <f>COUNTIF(STATUS!$E:$E,A139)</f>
        <v>7</v>
      </c>
      <c r="C139" s="568">
        <f>SUMIFS(STATUS!$AA:$AA,STATUS!$E:$E,A139)</f>
        <v>0.23258101851851853</v>
      </c>
      <c r="D139" s="568">
        <f t="shared" si="25"/>
        <v>3.3225859788359791E-2</v>
      </c>
      <c r="E139" s="568">
        <f t="shared" si="26"/>
        <v>0.66451719576719581</v>
      </c>
      <c r="F139" s="569">
        <f t="shared" si="27"/>
        <v>0.43193617724867728</v>
      </c>
      <c r="G139" t="s">
        <v>6777</v>
      </c>
    </row>
    <row r="140" spans="1:7" x14ac:dyDescent="0.3">
      <c r="A140" s="1114">
        <v>44065</v>
      </c>
      <c r="B140" s="1113">
        <f>COUNTIF(STATUS!$E:$E,A140)</f>
        <v>0</v>
      </c>
      <c r="C140" s="568">
        <f>SUMIFS(STATUS!$AA:$AA,STATUS!$E:$E,A140)</f>
        <v>0</v>
      </c>
      <c r="D140" s="568">
        <f t="shared" si="25"/>
        <v>0</v>
      </c>
      <c r="E140" s="568">
        <f t="shared" si="26"/>
        <v>0</v>
      </c>
      <c r="F140" s="569">
        <f t="shared" si="27"/>
        <v>0</v>
      </c>
      <c r="G140" t="s">
        <v>6777</v>
      </c>
    </row>
    <row r="141" spans="1:7" x14ac:dyDescent="0.3">
      <c r="A141" s="1114">
        <v>44066</v>
      </c>
      <c r="B141" s="1113">
        <f>COUNTIF(STATUS!$E:$E,A141)</f>
        <v>0</v>
      </c>
      <c r="C141" s="568">
        <f>SUMIFS(STATUS!$AA:$AA,STATUS!$E:$E,A141)</f>
        <v>0</v>
      </c>
      <c r="D141" s="568">
        <f t="shared" si="25"/>
        <v>0</v>
      </c>
      <c r="E141" s="568">
        <f t="shared" si="26"/>
        <v>0</v>
      </c>
      <c r="F141" s="569">
        <f t="shared" si="27"/>
        <v>0</v>
      </c>
      <c r="G141" t="s">
        <v>6777</v>
      </c>
    </row>
    <row r="142" spans="1:7" x14ac:dyDescent="0.3">
      <c r="A142" s="1114">
        <v>44067</v>
      </c>
      <c r="B142" s="1113">
        <f>COUNTIF(STATUS!$E:$E,A142)</f>
        <v>13</v>
      </c>
      <c r="C142" s="568">
        <f>SUMIFS(STATUS!$AA:$AA,STATUS!$E:$E,A142)</f>
        <v>0.29928240740740719</v>
      </c>
      <c r="D142" s="568">
        <f t="shared" si="25"/>
        <v>2.302172364672363E-2</v>
      </c>
      <c r="E142" s="568">
        <f t="shared" si="26"/>
        <v>0.46043447293447259</v>
      </c>
      <c r="F142" s="569">
        <f t="shared" si="27"/>
        <v>0.1611520655270654</v>
      </c>
      <c r="G142" t="s">
        <v>6777</v>
      </c>
    </row>
    <row r="143" spans="1:7" x14ac:dyDescent="0.3">
      <c r="A143" s="1114">
        <v>44068</v>
      </c>
      <c r="B143" s="1113">
        <f>COUNTIF(STATUS!$E:$E,A143)</f>
        <v>14</v>
      </c>
      <c r="C143" s="568">
        <f>SUMIFS(STATUS!$AA:$AA,STATUS!$E:$E,A143)</f>
        <v>0.17723379629629665</v>
      </c>
      <c r="D143" s="568">
        <f t="shared" si="25"/>
        <v>1.2659556878306904E-2</v>
      </c>
      <c r="E143" s="568">
        <f t="shared" si="26"/>
        <v>0.25319113756613809</v>
      </c>
      <c r="F143" s="569">
        <f t="shared" si="27"/>
        <v>7.5957341269841439E-2</v>
      </c>
      <c r="G143" t="s">
        <v>6777</v>
      </c>
    </row>
    <row r="144" spans="1:7" x14ac:dyDescent="0.3">
      <c r="A144" s="1114">
        <v>44069</v>
      </c>
      <c r="B144" s="1113">
        <f>COUNTIF(STATUS!$E:$E,A144)</f>
        <v>3</v>
      </c>
      <c r="C144" s="568">
        <f>SUMIFS(STATUS!$AA:$AA,STATUS!$E:$E,A144)</f>
        <v>6.6817129629629601E-2</v>
      </c>
      <c r="D144" s="568">
        <f t="shared" si="25"/>
        <v>2.2272376543209866E-2</v>
      </c>
      <c r="E144" s="568">
        <f t="shared" si="26"/>
        <v>0.44544753086419731</v>
      </c>
      <c r="F144" s="569">
        <f t="shared" si="27"/>
        <v>0.3786304012345677</v>
      </c>
      <c r="G144" t="s">
        <v>6777</v>
      </c>
    </row>
    <row r="145" spans="1:7" x14ac:dyDescent="0.3">
      <c r="A145" s="1114">
        <v>44070</v>
      </c>
      <c r="B145" s="1113">
        <f>COUNTIF(STATUS!$E:$E,A145)</f>
        <v>14</v>
      </c>
      <c r="C145" s="568">
        <f>SUMIFS(STATUS!$AA:$AA,STATUS!$E:$E,A145)</f>
        <v>0.25429398148148125</v>
      </c>
      <c r="D145" s="568">
        <f t="shared" si="25"/>
        <v>1.8163855820105802E-2</v>
      </c>
      <c r="E145" s="568">
        <f t="shared" si="26"/>
        <v>0.36327711640211602</v>
      </c>
      <c r="F145" s="569">
        <f t="shared" si="27"/>
        <v>0.10898313492063477</v>
      </c>
      <c r="G145" t="s">
        <v>6777</v>
      </c>
    </row>
    <row r="146" spans="1:7" x14ac:dyDescent="0.3">
      <c r="A146" s="1114">
        <v>44071</v>
      </c>
      <c r="B146" s="1113">
        <f>COUNTIF(STATUS!$E:$E,A146)</f>
        <v>12</v>
      </c>
      <c r="C146" s="568">
        <f>SUMIFS(STATUS!$AA:$AA,STATUS!$E:$E,A146)</f>
        <v>0.23400462962962998</v>
      </c>
      <c r="D146" s="568">
        <f t="shared" si="25"/>
        <v>1.9500385802469166E-2</v>
      </c>
      <c r="E146" s="568">
        <f t="shared" si="26"/>
        <v>0.39000771604938334</v>
      </c>
      <c r="F146" s="569">
        <f t="shared" si="27"/>
        <v>0.15600308641975336</v>
      </c>
      <c r="G146" t="s">
        <v>6777</v>
      </c>
    </row>
    <row r="147" spans="1:7" x14ac:dyDescent="0.3">
      <c r="A147" s="1114">
        <v>44072</v>
      </c>
      <c r="B147" s="1113">
        <f>COUNTIF(STATUS!$E:$E,A147)</f>
        <v>0</v>
      </c>
      <c r="C147" s="568">
        <f>SUMIFS(STATUS!$AA:$AA,STATUS!$E:$E,A147)</f>
        <v>0</v>
      </c>
      <c r="D147" s="568">
        <f t="shared" si="25"/>
        <v>0</v>
      </c>
      <c r="E147" s="568">
        <f t="shared" si="26"/>
        <v>0</v>
      </c>
      <c r="F147" s="569">
        <f t="shared" si="27"/>
        <v>0</v>
      </c>
      <c r="G147" t="s">
        <v>6777</v>
      </c>
    </row>
    <row r="148" spans="1:7" x14ac:dyDescent="0.3">
      <c r="A148" s="1114">
        <v>44073</v>
      </c>
      <c r="B148" s="1113">
        <f>COUNTIF(STATUS!$E:$E,A148)</f>
        <v>0</v>
      </c>
      <c r="C148" s="568">
        <f>SUMIFS(STATUS!$AA:$AA,STATUS!$E:$E,A148)</f>
        <v>0</v>
      </c>
      <c r="D148" s="568">
        <f t="shared" si="25"/>
        <v>0</v>
      </c>
      <c r="E148" s="568">
        <f t="shared" si="26"/>
        <v>0</v>
      </c>
      <c r="F148" s="569">
        <f t="shared" si="27"/>
        <v>0</v>
      </c>
      <c r="G148" t="s">
        <v>6777</v>
      </c>
    </row>
    <row r="149" spans="1:7" x14ac:dyDescent="0.3">
      <c r="A149" s="1114">
        <v>44074</v>
      </c>
      <c r="B149" s="1113">
        <f>COUNTIF(STATUS!$E:$E,A149)</f>
        <v>10</v>
      </c>
      <c r="C149" s="568">
        <f>SUMIFS(STATUS!$AA:$AA,STATUS!$E:$E,A149)</f>
        <v>0.17965277777777783</v>
      </c>
      <c r="D149" s="568">
        <f t="shared" si="25"/>
        <v>1.7965277777777781E-2</v>
      </c>
      <c r="E149" s="568">
        <f t="shared" si="26"/>
        <v>0.35930555555555566</v>
      </c>
      <c r="F149" s="569">
        <f t="shared" si="27"/>
        <v>0.17965277777777783</v>
      </c>
      <c r="G149" t="s">
        <v>6777</v>
      </c>
    </row>
    <row r="150" spans="1:7" x14ac:dyDescent="0.3">
      <c r="A150" s="1114">
        <v>44075</v>
      </c>
      <c r="B150" s="1113">
        <f>COUNTIF(STATUS!$E:$E,A150)</f>
        <v>11</v>
      </c>
      <c r="C150" s="568">
        <f>SUMIFS(STATUS!$AA:$AA,STATUS!$E:$E,A150)</f>
        <v>0.14537037037037043</v>
      </c>
      <c r="D150" s="568">
        <f t="shared" ref="D150:D152" si="28">IFERROR(C150/B150,0)</f>
        <v>1.321548821548822E-2</v>
      </c>
      <c r="E150" s="568">
        <f t="shared" ref="E150:E152" si="29">D150*20</f>
        <v>0.26430976430976438</v>
      </c>
      <c r="F150" s="569">
        <f t="shared" ref="F150:F152" si="30">E150-C150</f>
        <v>0.11893939393939396</v>
      </c>
      <c r="G150" t="s">
        <v>6777</v>
      </c>
    </row>
    <row r="151" spans="1:7" x14ac:dyDescent="0.3">
      <c r="A151" s="1114">
        <v>44076</v>
      </c>
      <c r="B151" s="1113">
        <f>COUNTIF(STATUS!$E:$E,A151)</f>
        <v>13</v>
      </c>
      <c r="C151" s="568">
        <f>SUMIFS(STATUS!$AA:$AA,STATUS!$E:$E,A151)</f>
        <v>0.24960648148148135</v>
      </c>
      <c r="D151" s="568">
        <f t="shared" si="28"/>
        <v>1.9200498575498565E-2</v>
      </c>
      <c r="E151" s="568">
        <f t="shared" si="29"/>
        <v>0.38400997150997129</v>
      </c>
      <c r="F151" s="569">
        <f t="shared" si="30"/>
        <v>0.13440349002848995</v>
      </c>
      <c r="G151" t="s">
        <v>6777</v>
      </c>
    </row>
    <row r="152" spans="1:7" x14ac:dyDescent="0.3">
      <c r="A152" s="1114">
        <v>44077</v>
      </c>
      <c r="B152" s="1113">
        <f>COUNTIF(STATUS!$E:$E,A152)</f>
        <v>12</v>
      </c>
      <c r="C152" s="568">
        <f>SUMIFS(STATUS!$AA:$AA,STATUS!$E:$E,A152)</f>
        <v>0.12430555555555567</v>
      </c>
      <c r="D152" s="568">
        <f t="shared" si="28"/>
        <v>1.0358796296296305E-2</v>
      </c>
      <c r="E152" s="568">
        <f t="shared" si="29"/>
        <v>0.2071759259259261</v>
      </c>
      <c r="F152" s="569">
        <f t="shared" si="30"/>
        <v>8.2870370370370428E-2</v>
      </c>
      <c r="G152" t="s">
        <v>6777</v>
      </c>
    </row>
    <row r="153" spans="1:7" x14ac:dyDescent="0.3">
      <c r="A153" s="1279">
        <v>44078</v>
      </c>
      <c r="B153" s="1280">
        <f>COUNTIF(STATUS!$E:$E,A153)</f>
        <v>10</v>
      </c>
      <c r="C153" s="568">
        <f>SUMIFS(STATUS!$AA:$AA,STATUS!$E:$E,A153)</f>
        <v>0.24217592592592591</v>
      </c>
      <c r="D153" s="568">
        <f t="shared" ref="D153:D163" si="31">IFERROR(C153/B153,0)</f>
        <v>2.4217592592592589E-2</v>
      </c>
      <c r="E153" s="568">
        <f t="shared" ref="E153:E163" si="32">D153*20</f>
        <v>0.48435185185185181</v>
      </c>
      <c r="F153" s="569">
        <f t="shared" ref="F153:F160" si="33">E153-C153</f>
        <v>0.24217592592592591</v>
      </c>
      <c r="G153" t="s">
        <v>6777</v>
      </c>
    </row>
    <row r="154" spans="1:7" x14ac:dyDescent="0.3">
      <c r="A154" s="1279">
        <v>44081</v>
      </c>
      <c r="B154" s="1280">
        <f>COUNTIF(STATUS!$E:$E,A154)</f>
        <v>15</v>
      </c>
      <c r="C154" s="568">
        <f>SUMIFS(STATUS!$AA:$AA,STATUS!$E:$E,A154)</f>
        <v>0.24591435185185179</v>
      </c>
      <c r="D154" s="568">
        <f t="shared" si="31"/>
        <v>1.6394290123456785E-2</v>
      </c>
      <c r="E154" s="568">
        <f t="shared" si="32"/>
        <v>0.32788580246913568</v>
      </c>
      <c r="F154" s="569">
        <f t="shared" si="33"/>
        <v>8.1971450617283892E-2</v>
      </c>
      <c r="G154" t="s">
        <v>6777</v>
      </c>
    </row>
    <row r="155" spans="1:7" x14ac:dyDescent="0.3">
      <c r="A155" s="1279">
        <v>44082</v>
      </c>
      <c r="B155" s="1280">
        <f>COUNTIF(STATUS!$E:$E,A155)</f>
        <v>19</v>
      </c>
      <c r="C155" s="568">
        <f>SUMIFS(STATUS!$AA:$AA,STATUS!$E:$E,A155)</f>
        <v>0.2637731481481479</v>
      </c>
      <c r="D155" s="568">
        <f t="shared" si="31"/>
        <v>1.3882797270955153E-2</v>
      </c>
      <c r="E155" s="568">
        <f t="shared" si="32"/>
        <v>0.27765594541910305</v>
      </c>
      <c r="F155" s="569">
        <f t="shared" si="33"/>
        <v>1.3882797270955149E-2</v>
      </c>
      <c r="G155" t="s">
        <v>6777</v>
      </c>
    </row>
    <row r="156" spans="1:7" x14ac:dyDescent="0.3">
      <c r="A156" s="1279">
        <v>44083</v>
      </c>
      <c r="B156" s="1280">
        <f>COUNTIF(STATUS!$E:$E,A156)</f>
        <v>18</v>
      </c>
      <c r="C156" s="568">
        <f>SUMIFS(STATUS!$AA:$AA,STATUS!$E:$E,A156)</f>
        <v>0.29079861111111088</v>
      </c>
      <c r="D156" s="568">
        <f t="shared" si="31"/>
        <v>1.6155478395061717E-2</v>
      </c>
      <c r="E156" s="568">
        <f t="shared" si="32"/>
        <v>0.32310956790123435</v>
      </c>
      <c r="F156" s="569">
        <f t="shared" si="33"/>
        <v>3.2310956790123468E-2</v>
      </c>
      <c r="G156" t="s">
        <v>6777</v>
      </c>
    </row>
    <row r="157" spans="1:7" x14ac:dyDescent="0.3">
      <c r="A157" s="1279">
        <v>44084</v>
      </c>
      <c r="B157" s="1280">
        <f>COUNTIF(STATUS!$E:$E,A157)</f>
        <v>16</v>
      </c>
      <c r="C157" s="568">
        <f>SUMIFS(STATUS!$AA:$AA,STATUS!$E:$E,A157)</f>
        <v>0.323159722222222</v>
      </c>
      <c r="D157" s="568">
        <f t="shared" si="31"/>
        <v>2.0197482638888875E-2</v>
      </c>
      <c r="E157" s="568">
        <f t="shared" si="32"/>
        <v>0.4039496527777775</v>
      </c>
      <c r="F157" s="569">
        <f t="shared" si="33"/>
        <v>8.07899305555555E-2</v>
      </c>
      <c r="G157" t="s">
        <v>6777</v>
      </c>
    </row>
    <row r="158" spans="1:7" x14ac:dyDescent="0.3">
      <c r="A158" s="1279">
        <v>44085</v>
      </c>
      <c r="B158" s="1280">
        <f>COUNTIF(STATUS!$E:$E,A158)</f>
        <v>20</v>
      </c>
      <c r="C158" s="568">
        <f>SUMIFS(STATUS!$AA:$AA,STATUS!$E:$E,A158)</f>
        <v>0.31613425925925909</v>
      </c>
      <c r="D158" s="568">
        <f t="shared" si="31"/>
        <v>1.5806712962962953E-2</v>
      </c>
      <c r="E158" s="568">
        <f t="shared" si="32"/>
        <v>0.31613425925925909</v>
      </c>
      <c r="F158" s="569">
        <f t="shared" si="33"/>
        <v>0</v>
      </c>
      <c r="G158" t="s">
        <v>6776</v>
      </c>
    </row>
    <row r="159" spans="1:7" x14ac:dyDescent="0.3">
      <c r="A159" s="1289">
        <v>44087</v>
      </c>
      <c r="B159" s="1288">
        <f>COUNTIF(STATUS!$E:$E,A159)</f>
        <v>17</v>
      </c>
      <c r="C159" s="568">
        <f>SUMIFS(STATUS!$AA:$AA,STATUS!$E:$E,A159)</f>
        <v>0.24636574074074036</v>
      </c>
      <c r="D159" s="568">
        <f t="shared" ref="D159" si="34">IFERROR(C159/B159,0)</f>
        <v>1.4492102396514139E-2</v>
      </c>
      <c r="E159" s="568">
        <f t="shared" ref="E159" si="35">D159*20</f>
        <v>0.28984204793028279</v>
      </c>
      <c r="F159" s="569">
        <f t="shared" ref="F159" si="36">E159-C159</f>
        <v>4.3476307189542429E-2</v>
      </c>
      <c r="G159" t="s">
        <v>6776</v>
      </c>
    </row>
    <row r="160" spans="1:7" x14ac:dyDescent="0.3">
      <c r="A160" s="1279">
        <v>44088</v>
      </c>
      <c r="B160" s="1280">
        <f>COUNTIF(STATUS!$E:$E,A160)</f>
        <v>12</v>
      </c>
      <c r="C160" s="568">
        <f>SUMIFS(STATUS!$AA:$AA,STATUS!$E:$E,A160)</f>
        <v>0.1091782407407404</v>
      </c>
      <c r="D160" s="568">
        <f t="shared" si="31"/>
        <v>9.098186728395033E-3</v>
      </c>
      <c r="E160" s="568">
        <f t="shared" si="32"/>
        <v>0.18196373456790066</v>
      </c>
      <c r="F160" s="569">
        <f t="shared" si="33"/>
        <v>7.2785493827160264E-2</v>
      </c>
      <c r="G160" t="s">
        <v>6776</v>
      </c>
    </row>
    <row r="161" spans="1:7" x14ac:dyDescent="0.3">
      <c r="A161" s="1279">
        <v>44089</v>
      </c>
      <c r="B161" s="1280">
        <f>COUNTIF(STATUS!$E:$E,A161)</f>
        <v>24</v>
      </c>
      <c r="C161" s="568">
        <f>SUMIFS(STATUS!$AA:$AA,STATUS!$E:$E,A161)</f>
        <v>0.22586805555555567</v>
      </c>
      <c r="D161" s="568">
        <f t="shared" si="31"/>
        <v>9.4111689814814856E-3</v>
      </c>
      <c r="E161" s="568">
        <f t="shared" si="32"/>
        <v>0.18822337962962971</v>
      </c>
      <c r="F161" s="569">
        <f>C161-E161</f>
        <v>3.7644675925925963E-2</v>
      </c>
      <c r="G161" t="s">
        <v>6776</v>
      </c>
    </row>
    <row r="162" spans="1:7" x14ac:dyDescent="0.3">
      <c r="A162" s="1279">
        <v>44090</v>
      </c>
      <c r="B162" s="1280">
        <f>COUNTIF(STATUS!$E:$E,A162)</f>
        <v>25</v>
      </c>
      <c r="C162" s="568">
        <f>SUMIFS(STATUS!$AA:$AA,STATUS!$E:$E,A162)</f>
        <v>0.43317129629629625</v>
      </c>
      <c r="D162" s="568">
        <f t="shared" si="31"/>
        <v>1.732685185185185E-2</v>
      </c>
      <c r="E162" s="568">
        <f t="shared" si="32"/>
        <v>0.34653703703703698</v>
      </c>
      <c r="F162" s="569">
        <f>C162-E162</f>
        <v>8.6634259259259272E-2</v>
      </c>
      <c r="G162" t="s">
        <v>6776</v>
      </c>
    </row>
    <row r="163" spans="1:7" x14ac:dyDescent="0.3">
      <c r="A163" s="1279">
        <v>44091</v>
      </c>
      <c r="B163" s="1280">
        <f>COUNTIF(STATUS!$E:$E,A163)</f>
        <v>23</v>
      </c>
      <c r="C163" s="568">
        <f>SUMIFS(STATUS!$AA:$AA,STATUS!$E:$E,A163)</f>
        <v>0.34101851851851861</v>
      </c>
      <c r="D163" s="568">
        <f t="shared" si="31"/>
        <v>1.4826892109500809E-2</v>
      </c>
      <c r="E163" s="568">
        <f t="shared" si="32"/>
        <v>0.29653784219001617</v>
      </c>
      <c r="F163" s="569">
        <f>C163-E163</f>
        <v>4.4480676328502444E-2</v>
      </c>
      <c r="G163" t="s">
        <v>6776</v>
      </c>
    </row>
    <row r="164" spans="1:7" x14ac:dyDescent="0.3">
      <c r="A164" s="1279">
        <v>44092</v>
      </c>
      <c r="B164" s="1280">
        <f>COUNTIF(STATUS!$E:$E,A164)</f>
        <v>19</v>
      </c>
      <c r="C164" s="568">
        <f>SUMIFS(STATUS!$AA:$AA,STATUS!$E:$E,A164)</f>
        <v>0.34105324074074017</v>
      </c>
      <c r="D164" s="568">
        <f t="shared" ref="D164:D174" si="37">IFERROR(C164/B164,0)</f>
        <v>1.7950170565302116E-2</v>
      </c>
      <c r="E164" s="568">
        <f t="shared" ref="E164:E174" si="38">D164*20</f>
        <v>0.3590034113060423</v>
      </c>
      <c r="F164" s="569">
        <f t="shared" ref="F164:F174" si="39">E164-C164</f>
        <v>1.7950170565302126E-2</v>
      </c>
      <c r="G164" t="s">
        <v>6777</v>
      </c>
    </row>
    <row r="165" spans="1:7" x14ac:dyDescent="0.3">
      <c r="A165" s="1279">
        <v>44093</v>
      </c>
      <c r="B165" s="1280">
        <f>COUNTIF(STATUS!$E:$E,A165)</f>
        <v>0</v>
      </c>
      <c r="C165" s="568">
        <f>SUMIFS(STATUS!$AA:$AA,STATUS!$E:$E,A165)</f>
        <v>0</v>
      </c>
      <c r="D165" s="568">
        <f t="shared" si="37"/>
        <v>0</v>
      </c>
      <c r="E165" s="568">
        <f t="shared" si="38"/>
        <v>0</v>
      </c>
      <c r="F165" s="569">
        <f t="shared" si="39"/>
        <v>0</v>
      </c>
      <c r="G165" t="s">
        <v>6777</v>
      </c>
    </row>
    <row r="166" spans="1:7" x14ac:dyDescent="0.3">
      <c r="A166" s="1279">
        <v>44094</v>
      </c>
      <c r="B166" s="1280">
        <f>COUNTIF(STATUS!$E:$E,A166)</f>
        <v>0</v>
      </c>
      <c r="C166" s="568">
        <f>SUMIFS(STATUS!$AA:$AA,STATUS!$E:$E,A166)</f>
        <v>0</v>
      </c>
      <c r="D166" s="568">
        <f t="shared" si="37"/>
        <v>0</v>
      </c>
      <c r="E166" s="568">
        <f t="shared" si="38"/>
        <v>0</v>
      </c>
      <c r="F166" s="569">
        <f t="shared" si="39"/>
        <v>0</v>
      </c>
      <c r="G166" t="s">
        <v>6777</v>
      </c>
    </row>
    <row r="167" spans="1:7" x14ac:dyDescent="0.3">
      <c r="A167" s="1279">
        <v>44095</v>
      </c>
      <c r="B167" s="1280">
        <f>COUNTIF(STATUS!$E:$E,A167)</f>
        <v>26</v>
      </c>
      <c r="C167" s="568">
        <f>SUMIFS(STATUS!$AA:$AA,STATUS!$E:$E,A167)</f>
        <v>0.34284722222222241</v>
      </c>
      <c r="D167" s="568">
        <f t="shared" si="37"/>
        <v>1.3186431623931631E-2</v>
      </c>
      <c r="E167" s="568">
        <f t="shared" si="38"/>
        <v>0.2637286324786326</v>
      </c>
      <c r="F167" s="569">
        <f>C167-E167</f>
        <v>7.9118589743589818E-2</v>
      </c>
      <c r="G167" t="s">
        <v>6777</v>
      </c>
    </row>
    <row r="168" spans="1:7" x14ac:dyDescent="0.3">
      <c r="A168" s="1279">
        <v>44096</v>
      </c>
      <c r="B168" s="1280">
        <f>COUNTIF(STATUS!$E:$E,A168)</f>
        <v>20</v>
      </c>
      <c r="C168" s="568">
        <f>SUMIFS(STATUS!$AA:$AA,STATUS!$E:$E,A168)</f>
        <v>0.76659722222222226</v>
      </c>
      <c r="D168" s="568">
        <f t="shared" si="37"/>
        <v>3.8329861111111113E-2</v>
      </c>
      <c r="E168" s="568">
        <f t="shared" si="38"/>
        <v>0.76659722222222226</v>
      </c>
      <c r="F168" s="569">
        <f t="shared" si="39"/>
        <v>0</v>
      </c>
      <c r="G168" t="s">
        <v>6777</v>
      </c>
    </row>
    <row r="169" spans="1:7" x14ac:dyDescent="0.3">
      <c r="A169" s="1279">
        <v>44097</v>
      </c>
      <c r="B169" s="1280">
        <f>COUNTIF(STATUS!$E:$E,A169)</f>
        <v>11</v>
      </c>
      <c r="C169" s="568">
        <f>SUMIFS(STATUS!$AA:$AA,STATUS!$E:$E,A169)</f>
        <v>0.13085648148148149</v>
      </c>
      <c r="D169" s="568">
        <f t="shared" si="37"/>
        <v>1.1896043771043772E-2</v>
      </c>
      <c r="E169" s="568">
        <f t="shared" si="38"/>
        <v>0.23792087542087545</v>
      </c>
      <c r="F169" s="569">
        <f t="shared" si="39"/>
        <v>0.10706439393939396</v>
      </c>
      <c r="G169" t="s">
        <v>6777</v>
      </c>
    </row>
    <row r="170" spans="1:7" x14ac:dyDescent="0.3">
      <c r="A170" s="1279">
        <v>44098</v>
      </c>
      <c r="B170" s="1280">
        <f>COUNTIF(STATUS!$E:$E,A170)</f>
        <v>15</v>
      </c>
      <c r="C170" s="568">
        <f>SUMIFS(STATUS!$AA:$AA,STATUS!$E:$E,A170)</f>
        <v>0.22903935185185176</v>
      </c>
      <c r="D170" s="568">
        <f t="shared" si="37"/>
        <v>1.5269290123456784E-2</v>
      </c>
      <c r="E170" s="568">
        <f t="shared" si="38"/>
        <v>0.30538580246913571</v>
      </c>
      <c r="F170" s="569">
        <f t="shared" si="39"/>
        <v>7.6346450617283956E-2</v>
      </c>
      <c r="G170" t="s">
        <v>6777</v>
      </c>
    </row>
    <row r="171" spans="1:7" x14ac:dyDescent="0.3">
      <c r="A171" s="1279">
        <v>44099</v>
      </c>
      <c r="B171" s="1280">
        <f>COUNTIF(STATUS!$E:$E,A171)</f>
        <v>15</v>
      </c>
      <c r="C171" s="568">
        <f>SUMIFS(STATUS!$AA:$AA,STATUS!$E:$E,A171)</f>
        <v>0.33224537037037022</v>
      </c>
      <c r="D171" s="568">
        <f t="shared" si="37"/>
        <v>2.2149691358024682E-2</v>
      </c>
      <c r="E171" s="568">
        <f t="shared" si="38"/>
        <v>0.44299382716049363</v>
      </c>
      <c r="F171" s="569">
        <f t="shared" si="39"/>
        <v>0.11074845679012341</v>
      </c>
      <c r="G171" t="s">
        <v>6776</v>
      </c>
    </row>
    <row r="172" spans="1:7" x14ac:dyDescent="0.3">
      <c r="A172" s="1279">
        <v>44100</v>
      </c>
      <c r="B172" s="1280">
        <f>COUNTIF(STATUS!$E:$E,A172)</f>
        <v>0</v>
      </c>
      <c r="C172" s="568">
        <f>SUMIFS(STATUS!$AA:$AA,STATUS!$E:$E,A172)</f>
        <v>0</v>
      </c>
      <c r="D172" s="568">
        <f t="shared" si="37"/>
        <v>0</v>
      </c>
      <c r="E172" s="568">
        <f t="shared" si="38"/>
        <v>0</v>
      </c>
      <c r="F172" s="569">
        <f t="shared" si="39"/>
        <v>0</v>
      </c>
      <c r="G172" t="s">
        <v>6776</v>
      </c>
    </row>
    <row r="173" spans="1:7" x14ac:dyDescent="0.3">
      <c r="A173" s="1279">
        <v>44101</v>
      </c>
      <c r="B173" s="1280">
        <f>COUNTIF(STATUS!$E:$E,A173)</f>
        <v>5</v>
      </c>
      <c r="C173" s="568">
        <f>SUMIFS(STATUS!$AA:$AA,STATUS!$E:$E,A173)</f>
        <v>0.14216435185185183</v>
      </c>
      <c r="D173" s="568">
        <f t="shared" si="37"/>
        <v>2.8432870370370365E-2</v>
      </c>
      <c r="E173" s="568">
        <f t="shared" si="38"/>
        <v>0.56865740740740733</v>
      </c>
      <c r="F173" s="569">
        <f t="shared" si="39"/>
        <v>0.4264930555555555</v>
      </c>
      <c r="G173" t="s">
        <v>6776</v>
      </c>
    </row>
    <row r="174" spans="1:7" x14ac:dyDescent="0.3">
      <c r="A174" s="1279">
        <v>44102</v>
      </c>
      <c r="B174" s="1280">
        <f>COUNTIF(STATUS!$E:$E,A174)</f>
        <v>17</v>
      </c>
      <c r="C174" s="568">
        <f>SUMIFS(STATUS!$AA:$AA,STATUS!$E:$E,A174)</f>
        <v>0.17266203703703725</v>
      </c>
      <c r="D174" s="568">
        <f t="shared" si="37"/>
        <v>1.0156590413943367E-2</v>
      </c>
      <c r="E174" s="568">
        <f t="shared" si="38"/>
        <v>0.20313180827886734</v>
      </c>
      <c r="F174" s="569">
        <f t="shared" si="39"/>
        <v>3.046977124183009E-2</v>
      </c>
      <c r="G174" t="s">
        <v>6776</v>
      </c>
    </row>
    <row r="175" spans="1:7" x14ac:dyDescent="0.3">
      <c r="A175" s="1279">
        <v>44103</v>
      </c>
      <c r="B175" s="1280">
        <f>COUNTIF(STATUS!$E:$E,A175)</f>
        <v>18</v>
      </c>
      <c r="C175" s="568">
        <f>SUMIFS(STATUS!$AA:$AA,STATUS!$E:$E,A175)</f>
        <v>0.16693287037037008</v>
      </c>
      <c r="D175" s="568">
        <f t="shared" ref="D175:D177" si="40">IFERROR(C175/B175,0)</f>
        <v>9.2740483539094486E-3</v>
      </c>
      <c r="E175" s="568">
        <f t="shared" ref="E175:E177" si="41">D175*20</f>
        <v>0.18548096707818898</v>
      </c>
      <c r="F175" s="569">
        <f t="shared" ref="F175:F177" si="42">E175-C175</f>
        <v>1.8548096707818901E-2</v>
      </c>
      <c r="G175" t="s">
        <v>6776</v>
      </c>
    </row>
    <row r="176" spans="1:7" x14ac:dyDescent="0.3">
      <c r="A176" s="1279">
        <v>44104</v>
      </c>
      <c r="B176" s="1280">
        <f>COUNTIF(STATUS!$E:$E,A176)</f>
        <v>18</v>
      </c>
      <c r="C176" s="568">
        <f>SUMIFS(STATUS!$AA:$AA,STATUS!$E:$E,A176)</f>
        <v>0.26091435185185147</v>
      </c>
      <c r="D176" s="568">
        <f t="shared" si="40"/>
        <v>1.4495241769547303E-2</v>
      </c>
      <c r="E176" s="568">
        <f t="shared" si="41"/>
        <v>0.28990483539094608</v>
      </c>
      <c r="F176" s="569">
        <f t="shared" si="42"/>
        <v>2.8990483539094614E-2</v>
      </c>
      <c r="G176" t="s">
        <v>6776</v>
      </c>
    </row>
    <row r="177" spans="1:7" x14ac:dyDescent="0.3">
      <c r="A177" s="1279">
        <v>44105</v>
      </c>
      <c r="B177" s="1280">
        <f>COUNTIF(STATUS!$E:$E,A177)</f>
        <v>16</v>
      </c>
      <c r="C177" s="568">
        <f>SUMIFS(STATUS!$AA:$AA,STATUS!$E:$E,A177)</f>
        <v>0.3037384259259262</v>
      </c>
      <c r="D177" s="568">
        <f t="shared" si="40"/>
        <v>1.8983651620370388E-2</v>
      </c>
      <c r="E177" s="568">
        <f t="shared" si="41"/>
        <v>0.37967303240740774</v>
      </c>
      <c r="F177" s="569">
        <f t="shared" si="42"/>
        <v>7.5934606481481537E-2</v>
      </c>
      <c r="G177" t="s">
        <v>6776</v>
      </c>
    </row>
    <row r="178" spans="1:7" x14ac:dyDescent="0.3">
      <c r="A178" s="1279">
        <v>44106</v>
      </c>
      <c r="B178" s="1280">
        <f>COUNTIF(STATUS!$E:$E,A178)</f>
        <v>18</v>
      </c>
      <c r="C178" s="568">
        <f>SUMIFS(STATUS!$AA:$AA,STATUS!$E:$E,A178)</f>
        <v>0.17262731481481497</v>
      </c>
      <c r="D178" s="568">
        <f t="shared" ref="D178:D184" si="43">IFERROR(C178/B178,0)</f>
        <v>9.5904063786008322E-3</v>
      </c>
      <c r="E178" s="568">
        <f t="shared" ref="E178:E184" si="44">D178*20</f>
        <v>0.19180812757201665</v>
      </c>
      <c r="F178" s="569">
        <f t="shared" ref="F178:F184" si="45">E178-C178</f>
        <v>1.9180812757201682E-2</v>
      </c>
      <c r="G178" t="s">
        <v>6775</v>
      </c>
    </row>
    <row r="179" spans="1:7" x14ac:dyDescent="0.3">
      <c r="A179" s="1279">
        <v>44107</v>
      </c>
      <c r="B179" s="1280">
        <f>COUNTIF(STATUS!$E:$E,A179)</f>
        <v>0</v>
      </c>
      <c r="C179" s="568">
        <f>SUMIFS(STATUS!$AA:$AA,STATUS!$E:$E,A179)</f>
        <v>0</v>
      </c>
      <c r="D179" s="568">
        <f t="shared" si="43"/>
        <v>0</v>
      </c>
      <c r="E179" s="568">
        <f t="shared" si="44"/>
        <v>0</v>
      </c>
      <c r="F179" s="569">
        <f t="shared" si="45"/>
        <v>0</v>
      </c>
      <c r="G179" t="s">
        <v>6775</v>
      </c>
    </row>
    <row r="180" spans="1:7" x14ac:dyDescent="0.3">
      <c r="A180" s="1279">
        <v>44108</v>
      </c>
      <c r="B180" s="1280">
        <f>COUNTIF(STATUS!$E:$E,A180)</f>
        <v>0</v>
      </c>
      <c r="C180" s="568">
        <f>SUMIFS(STATUS!$AA:$AA,STATUS!$E:$E,A180)</f>
        <v>0</v>
      </c>
      <c r="D180" s="568">
        <f t="shared" si="43"/>
        <v>0</v>
      </c>
      <c r="E180" s="568">
        <f t="shared" si="44"/>
        <v>0</v>
      </c>
      <c r="F180" s="569">
        <f t="shared" si="45"/>
        <v>0</v>
      </c>
      <c r="G180" t="s">
        <v>6775</v>
      </c>
    </row>
    <row r="181" spans="1:7" x14ac:dyDescent="0.3">
      <c r="A181" s="1279">
        <v>44109</v>
      </c>
      <c r="B181" s="1280">
        <f>COUNTIF(STATUS!$E:$E,A181)</f>
        <v>18</v>
      </c>
      <c r="C181" s="568">
        <f>SUMIFS(STATUS!$AA:$AA,STATUS!$E:$E,A181)</f>
        <v>0.24449074074074073</v>
      </c>
      <c r="D181" s="568">
        <f t="shared" si="43"/>
        <v>1.3582818930041152E-2</v>
      </c>
      <c r="E181" s="568">
        <f t="shared" si="44"/>
        <v>0.27165637860082303</v>
      </c>
      <c r="F181" s="569">
        <f t="shared" si="45"/>
        <v>2.7165637860082303E-2</v>
      </c>
      <c r="G181" t="s">
        <v>6775</v>
      </c>
    </row>
    <row r="182" spans="1:7" x14ac:dyDescent="0.3">
      <c r="A182" s="1279">
        <v>44110</v>
      </c>
      <c r="B182" s="1280">
        <f>COUNTIF(STATUS!$E:$E,A182)</f>
        <v>22</v>
      </c>
      <c r="C182" s="568">
        <f>SUMIFS(STATUS!$AA:$AA,STATUS!$E:$E,A182)</f>
        <v>0.33067129629629693</v>
      </c>
      <c r="D182" s="568">
        <f t="shared" si="43"/>
        <v>1.5030513468013497E-2</v>
      </c>
      <c r="E182" s="568">
        <f t="shared" si="44"/>
        <v>0.30061026936026991</v>
      </c>
      <c r="F182" s="569">
        <f>C182-E182</f>
        <v>3.0061026936027024E-2</v>
      </c>
      <c r="G182" t="s">
        <v>6775</v>
      </c>
    </row>
    <row r="183" spans="1:7" x14ac:dyDescent="0.3">
      <c r="A183" s="1279">
        <v>44111</v>
      </c>
      <c r="B183" s="1280">
        <f>COUNTIF(STATUS!$E:$E,A183)</f>
        <v>18</v>
      </c>
      <c r="C183" s="568">
        <f>SUMIFS(STATUS!$AA:$AA,STATUS!$E:$E,A183)</f>
        <v>0.26571759259259276</v>
      </c>
      <c r="D183" s="568">
        <f t="shared" si="43"/>
        <v>1.4762088477366264E-2</v>
      </c>
      <c r="E183" s="568">
        <f t="shared" si="44"/>
        <v>0.29524176954732528</v>
      </c>
      <c r="F183" s="569">
        <f t="shared" si="45"/>
        <v>2.9524176954732528E-2</v>
      </c>
      <c r="G183" t="s">
        <v>6775</v>
      </c>
    </row>
    <row r="184" spans="1:7" x14ac:dyDescent="0.3">
      <c r="A184" s="1279">
        <v>44112</v>
      </c>
      <c r="B184" s="1280">
        <f>COUNTIF(STATUS!$E:$E,A184)</f>
        <v>20</v>
      </c>
      <c r="C184" s="568">
        <f>SUMIFS(STATUS!$AA:$AA,STATUS!$E:$E,A184)</f>
        <v>0.30791666666666645</v>
      </c>
      <c r="D184" s="568">
        <f t="shared" si="43"/>
        <v>1.5395833333333322E-2</v>
      </c>
      <c r="E184" s="568">
        <f t="shared" si="44"/>
        <v>0.30791666666666645</v>
      </c>
      <c r="F184" s="569">
        <f t="shared" si="45"/>
        <v>0</v>
      </c>
      <c r="G184" t="s">
        <v>6776</v>
      </c>
    </row>
    <row r="185" spans="1:7" x14ac:dyDescent="0.3">
      <c r="A185" s="1328">
        <v>44113</v>
      </c>
      <c r="B185" s="1329">
        <f>COUNTIF(STATUS!$E:$E,A185)</f>
        <v>17</v>
      </c>
      <c r="C185" s="568">
        <f>SUMIFS(STATUS!$AA:$AA,STATUS!$E:$E,A185)</f>
        <v>0.29541666666666677</v>
      </c>
      <c r="D185" s="568">
        <f t="shared" ref="D185:D242" si="46">IFERROR(C185/B185,0)</f>
        <v>1.7377450980392162E-2</v>
      </c>
      <c r="E185" s="568">
        <f t="shared" ref="E185:E242" si="47">D185*20</f>
        <v>0.34754901960784323</v>
      </c>
      <c r="F185" s="569">
        <f t="shared" ref="F185:F242" si="48">E185-C185</f>
        <v>5.2132352941176463E-2</v>
      </c>
      <c r="G185" t="s">
        <v>6776</v>
      </c>
    </row>
    <row r="186" spans="1:7" x14ac:dyDescent="0.3">
      <c r="A186" s="1328">
        <v>44114</v>
      </c>
      <c r="B186" s="1329">
        <f>COUNTIF(STATUS!$E:$E,A186)</f>
        <v>1</v>
      </c>
      <c r="C186" s="568">
        <f>SUMIFS(STATUS!$AA:$AA,STATUS!$E:$E,A186)</f>
        <v>5.1504629629630094E-3</v>
      </c>
      <c r="D186" s="568">
        <f t="shared" si="46"/>
        <v>5.1504629629630094E-3</v>
      </c>
      <c r="E186" s="568">
        <f t="shared" si="47"/>
        <v>0.10300925925926019</v>
      </c>
      <c r="F186" s="569">
        <f t="shared" si="48"/>
        <v>9.7858796296297179E-2</v>
      </c>
      <c r="G186" t="s">
        <v>6776</v>
      </c>
    </row>
    <row r="187" spans="1:7" x14ac:dyDescent="0.3">
      <c r="A187" s="1328">
        <v>44115</v>
      </c>
      <c r="B187" s="1329">
        <f>COUNTIF(STATUS!$E:$E,A187)</f>
        <v>0</v>
      </c>
      <c r="C187" s="568">
        <f>SUMIFS(STATUS!$AA:$AA,STATUS!$E:$E,A187)</f>
        <v>0</v>
      </c>
      <c r="D187" s="568">
        <f t="shared" si="46"/>
        <v>0</v>
      </c>
      <c r="E187" s="568">
        <f t="shared" si="47"/>
        <v>0</v>
      </c>
      <c r="F187" s="569">
        <f t="shared" si="48"/>
        <v>0</v>
      </c>
      <c r="G187" t="s">
        <v>6776</v>
      </c>
    </row>
    <row r="188" spans="1:7" x14ac:dyDescent="0.3">
      <c r="A188" s="1328">
        <v>44116</v>
      </c>
      <c r="B188" s="1329">
        <f>COUNTIF(STATUS!$E:$E,A188)</f>
        <v>3</v>
      </c>
      <c r="C188" s="568">
        <f>SUMIFS(STATUS!$AA:$AA,STATUS!$E:$E,A188)</f>
        <v>3.1898148148148286E-2</v>
      </c>
      <c r="D188" s="568">
        <f t="shared" si="46"/>
        <v>1.0632716049382762E-2</v>
      </c>
      <c r="E188" s="568">
        <f t="shared" si="47"/>
        <v>0.21265432098765524</v>
      </c>
      <c r="F188" s="569">
        <f t="shared" si="48"/>
        <v>0.18075617283950696</v>
      </c>
      <c r="G188" t="s">
        <v>6776</v>
      </c>
    </row>
    <row r="189" spans="1:7" x14ac:dyDescent="0.3">
      <c r="A189" s="1328">
        <v>44117</v>
      </c>
      <c r="B189" s="1329">
        <f>COUNTIF(STATUS!$E:$E,A189)</f>
        <v>2</v>
      </c>
      <c r="C189" s="568">
        <f>SUMIFS(STATUS!$AA:$AA,STATUS!$E:$E,A189)</f>
        <v>2.9502314814814856E-2</v>
      </c>
      <c r="D189" s="568">
        <f t="shared" si="46"/>
        <v>1.4751157407407428E-2</v>
      </c>
      <c r="E189" s="568">
        <f t="shared" si="47"/>
        <v>0.29502314814814856</v>
      </c>
      <c r="F189" s="569">
        <f t="shared" si="48"/>
        <v>0.26552083333333371</v>
      </c>
      <c r="G189" t="s">
        <v>6776</v>
      </c>
    </row>
    <row r="190" spans="1:7" x14ac:dyDescent="0.3">
      <c r="A190" s="1328">
        <v>44118</v>
      </c>
      <c r="B190" s="1329">
        <f>COUNTIF(STATUS!$E:$E,A190)</f>
        <v>0</v>
      </c>
      <c r="C190" s="568">
        <f>SUMIFS(STATUS!$AA:$AA,STATUS!$E:$E,A190)</f>
        <v>0</v>
      </c>
      <c r="D190" s="568">
        <f t="shared" si="46"/>
        <v>0</v>
      </c>
      <c r="E190" s="568">
        <f t="shared" si="47"/>
        <v>0</v>
      </c>
      <c r="F190" s="569">
        <f t="shared" si="48"/>
        <v>0</v>
      </c>
      <c r="G190" t="s">
        <v>6776</v>
      </c>
    </row>
    <row r="191" spans="1:7" x14ac:dyDescent="0.3">
      <c r="A191" s="1328">
        <v>44119</v>
      </c>
      <c r="B191" s="1329">
        <f>COUNTIF(STATUS!$E:$E,A191)</f>
        <v>0</v>
      </c>
      <c r="C191" s="568">
        <f>SUMIFS(STATUS!$AA:$AA,STATUS!$E:$E,A191)</f>
        <v>0</v>
      </c>
      <c r="D191" s="568">
        <f t="shared" si="46"/>
        <v>0</v>
      </c>
      <c r="E191" s="568">
        <f t="shared" si="47"/>
        <v>0</v>
      </c>
      <c r="F191" s="569">
        <f t="shared" si="48"/>
        <v>0</v>
      </c>
      <c r="G191" t="s">
        <v>6776</v>
      </c>
    </row>
    <row r="192" spans="1:7" x14ac:dyDescent="0.3">
      <c r="A192" s="1328">
        <v>44120</v>
      </c>
      <c r="B192" s="1329">
        <f>COUNTIF(STATUS!$E:$E,A192)</f>
        <v>0</v>
      </c>
      <c r="C192" s="568">
        <f>SUMIFS(STATUS!$AA:$AA,STATUS!$E:$E,A192)</f>
        <v>0</v>
      </c>
      <c r="D192" s="568">
        <f t="shared" si="46"/>
        <v>0</v>
      </c>
      <c r="E192" s="568">
        <f t="shared" si="47"/>
        <v>0</v>
      </c>
      <c r="F192" s="569">
        <f t="shared" si="48"/>
        <v>0</v>
      </c>
      <c r="G192" t="s">
        <v>6775</v>
      </c>
    </row>
    <row r="193" spans="1:7" x14ac:dyDescent="0.3">
      <c r="A193" s="1328">
        <v>44121</v>
      </c>
      <c r="B193" s="1329">
        <f>COUNTIF(STATUS!$E:$E,A193)</f>
        <v>0</v>
      </c>
      <c r="C193" s="568">
        <f>SUMIFS(STATUS!$AA:$AA,STATUS!$E:$E,A193)</f>
        <v>0</v>
      </c>
      <c r="D193" s="568">
        <f t="shared" si="46"/>
        <v>0</v>
      </c>
      <c r="E193" s="568">
        <f t="shared" si="47"/>
        <v>0</v>
      </c>
      <c r="F193" s="569">
        <f t="shared" si="48"/>
        <v>0</v>
      </c>
      <c r="G193" t="s">
        <v>6775</v>
      </c>
    </row>
    <row r="194" spans="1:7" x14ac:dyDescent="0.3">
      <c r="A194" s="1328">
        <v>44122</v>
      </c>
      <c r="B194" s="1329">
        <f>COUNTIF(STATUS!$E:$E,A194)</f>
        <v>0</v>
      </c>
      <c r="C194" s="568">
        <f>SUMIFS(STATUS!$AA:$AA,STATUS!$E:$E,A194)</f>
        <v>0</v>
      </c>
      <c r="D194" s="568">
        <f t="shared" si="46"/>
        <v>0</v>
      </c>
      <c r="E194" s="568">
        <f t="shared" si="47"/>
        <v>0</v>
      </c>
      <c r="F194" s="569">
        <f t="shared" si="48"/>
        <v>0</v>
      </c>
      <c r="G194" t="s">
        <v>6775</v>
      </c>
    </row>
    <row r="195" spans="1:7" x14ac:dyDescent="0.3">
      <c r="A195" s="1328">
        <v>44123</v>
      </c>
      <c r="B195" s="1329">
        <f>COUNTIF(STATUS!$E:$E,A195)</f>
        <v>0</v>
      </c>
      <c r="C195" s="568">
        <f>SUMIFS(STATUS!$AA:$AA,STATUS!$E:$E,A195)</f>
        <v>0</v>
      </c>
      <c r="D195" s="568">
        <f t="shared" si="46"/>
        <v>0</v>
      </c>
      <c r="E195" s="568">
        <f t="shared" si="47"/>
        <v>0</v>
      </c>
      <c r="F195" s="569">
        <f t="shared" si="48"/>
        <v>0</v>
      </c>
      <c r="G195" t="s">
        <v>6775</v>
      </c>
    </row>
    <row r="196" spans="1:7" x14ac:dyDescent="0.3">
      <c r="A196" s="1328">
        <v>44124</v>
      </c>
      <c r="B196" s="1329">
        <f>COUNTIF(STATUS!$E:$E,A196)</f>
        <v>0</v>
      </c>
      <c r="C196" s="568">
        <f>SUMIFS(STATUS!$AA:$AA,STATUS!$E:$E,A196)</f>
        <v>0</v>
      </c>
      <c r="D196" s="568">
        <f t="shared" si="46"/>
        <v>0</v>
      </c>
      <c r="E196" s="568">
        <f t="shared" si="47"/>
        <v>0</v>
      </c>
      <c r="F196" s="569">
        <f t="shared" si="48"/>
        <v>0</v>
      </c>
      <c r="G196" t="s">
        <v>6775</v>
      </c>
    </row>
    <row r="197" spans="1:7" x14ac:dyDescent="0.3">
      <c r="A197" s="1328">
        <v>44125</v>
      </c>
      <c r="B197" s="1329">
        <f>COUNTIF(STATUS!$E:$E,A197)</f>
        <v>0</v>
      </c>
      <c r="C197" s="568">
        <f>SUMIFS(STATUS!$AA:$AA,STATUS!$E:$E,A197)</f>
        <v>0</v>
      </c>
      <c r="D197" s="568">
        <f t="shared" si="46"/>
        <v>0</v>
      </c>
      <c r="E197" s="568">
        <f t="shared" si="47"/>
        <v>0</v>
      </c>
      <c r="F197" s="569">
        <f t="shared" si="48"/>
        <v>0</v>
      </c>
      <c r="G197" t="s">
        <v>6775</v>
      </c>
    </row>
    <row r="198" spans="1:7" x14ac:dyDescent="0.3">
      <c r="A198" s="1328">
        <v>44126</v>
      </c>
      <c r="B198" s="1329">
        <f>COUNTIF(STATUS!$E:$E,A198)</f>
        <v>0</v>
      </c>
      <c r="C198" s="568">
        <f>SUMIFS(STATUS!$AA:$AA,STATUS!$E:$E,A198)</f>
        <v>0</v>
      </c>
      <c r="D198" s="568">
        <f t="shared" si="46"/>
        <v>0</v>
      </c>
      <c r="E198" s="568">
        <f t="shared" si="47"/>
        <v>0</v>
      </c>
      <c r="F198" s="569">
        <f t="shared" si="48"/>
        <v>0</v>
      </c>
      <c r="G198" t="s">
        <v>6775</v>
      </c>
    </row>
    <row r="199" spans="1:7" x14ac:dyDescent="0.3">
      <c r="A199" s="1328">
        <v>44127</v>
      </c>
      <c r="B199" s="1329">
        <f>COUNTIF(STATUS!$E:$E,A199)</f>
        <v>0</v>
      </c>
      <c r="C199" s="568">
        <f>SUMIFS(STATUS!$AA:$AA,STATUS!$E:$E,A199)</f>
        <v>0</v>
      </c>
      <c r="D199" s="568">
        <f t="shared" si="46"/>
        <v>0</v>
      </c>
      <c r="E199" s="568">
        <f t="shared" si="47"/>
        <v>0</v>
      </c>
      <c r="F199" s="569">
        <f t="shared" si="48"/>
        <v>0</v>
      </c>
      <c r="G199" t="s">
        <v>6775</v>
      </c>
    </row>
    <row r="200" spans="1:7" x14ac:dyDescent="0.3">
      <c r="A200" s="1328">
        <v>44128</v>
      </c>
      <c r="B200" s="1329">
        <f>COUNTIF(STATUS!$E:$E,A200)</f>
        <v>0</v>
      </c>
      <c r="C200" s="568">
        <f>SUMIFS(STATUS!$AA:$AA,STATUS!$E:$E,A200)</f>
        <v>0</v>
      </c>
      <c r="D200" s="568">
        <f t="shared" si="46"/>
        <v>0</v>
      </c>
      <c r="E200" s="568">
        <f t="shared" si="47"/>
        <v>0</v>
      </c>
      <c r="F200" s="569">
        <f t="shared" si="48"/>
        <v>0</v>
      </c>
      <c r="G200" t="s">
        <v>6775</v>
      </c>
    </row>
    <row r="201" spans="1:7" x14ac:dyDescent="0.3">
      <c r="A201" s="1328">
        <v>44129</v>
      </c>
      <c r="B201" s="1329">
        <f>COUNTIF(STATUS!$E:$E,A201)</f>
        <v>0</v>
      </c>
      <c r="C201" s="568">
        <f>SUMIFS(STATUS!$AA:$AA,STATUS!$E:$E,A201)</f>
        <v>0</v>
      </c>
      <c r="D201" s="568">
        <f t="shared" si="46"/>
        <v>0</v>
      </c>
      <c r="E201" s="568">
        <f t="shared" si="47"/>
        <v>0</v>
      </c>
      <c r="F201" s="569">
        <f t="shared" si="48"/>
        <v>0</v>
      </c>
      <c r="G201" t="s">
        <v>6775</v>
      </c>
    </row>
    <row r="202" spans="1:7" x14ac:dyDescent="0.3">
      <c r="A202" s="1328">
        <v>44130</v>
      </c>
      <c r="B202" s="1329">
        <f>COUNTIF(STATUS!$E:$E,A202)</f>
        <v>5</v>
      </c>
      <c r="C202" s="568">
        <f>SUMIFS(STATUS!$AA:$AA,STATUS!$E:$E,A202)</f>
        <v>7.8715277777777759E-2</v>
      </c>
      <c r="D202" s="568">
        <f t="shared" si="46"/>
        <v>1.5743055555555552E-2</v>
      </c>
      <c r="E202" s="568">
        <f t="shared" si="47"/>
        <v>0.31486111111111104</v>
      </c>
      <c r="F202" s="569">
        <f t="shared" si="48"/>
        <v>0.23614583333333328</v>
      </c>
      <c r="G202" t="s">
        <v>6775</v>
      </c>
    </row>
    <row r="203" spans="1:7" x14ac:dyDescent="0.3">
      <c r="A203" s="1328">
        <v>44131</v>
      </c>
      <c r="B203" s="1329">
        <f>COUNTIF(STATUS!$E:$E,A203)</f>
        <v>9</v>
      </c>
      <c r="C203" s="568">
        <f>SUMIFS(STATUS!$AA:$AA,STATUS!$E:$E,A203)</f>
        <v>0.28611111111111137</v>
      </c>
      <c r="D203" s="568">
        <f t="shared" si="46"/>
        <v>3.1790123456790151E-2</v>
      </c>
      <c r="E203" s="568">
        <f t="shared" si="47"/>
        <v>0.63580246913580307</v>
      </c>
      <c r="F203" s="569">
        <f t="shared" si="48"/>
        <v>0.3496913580246917</v>
      </c>
      <c r="G203" t="s">
        <v>6775</v>
      </c>
    </row>
    <row r="204" spans="1:7" x14ac:dyDescent="0.3">
      <c r="A204" s="1328">
        <v>44132</v>
      </c>
      <c r="B204" s="1329">
        <f>COUNTIF(STATUS!$E:$E,A204)</f>
        <v>16</v>
      </c>
      <c r="C204" s="568">
        <f>SUMIFS(STATUS!$AA:$AA,STATUS!$E:$E,A204)</f>
        <v>0.5517245370370365</v>
      </c>
      <c r="D204" s="568">
        <f t="shared" si="46"/>
        <v>3.4482783564814781E-2</v>
      </c>
      <c r="E204" s="568">
        <f t="shared" si="47"/>
        <v>0.68965567129629557</v>
      </c>
      <c r="F204" s="569">
        <f t="shared" si="48"/>
        <v>0.13793113425925907</v>
      </c>
      <c r="G204" t="s">
        <v>6775</v>
      </c>
    </row>
    <row r="205" spans="1:7" x14ac:dyDescent="0.3">
      <c r="A205" s="1328">
        <v>44133</v>
      </c>
      <c r="B205" s="1329">
        <f>COUNTIF(STATUS!$E:$E,A205)</f>
        <v>16</v>
      </c>
      <c r="C205" s="568">
        <f>SUMIFS(STATUS!$AA:$AA,STATUS!$E:$E,A205)</f>
        <v>0.19145833333333306</v>
      </c>
      <c r="D205" s="568">
        <f t="shared" si="46"/>
        <v>1.1966145833333316E-2</v>
      </c>
      <c r="E205" s="568">
        <f t="shared" si="47"/>
        <v>0.23932291666666633</v>
      </c>
      <c r="F205" s="569">
        <f t="shared" si="48"/>
        <v>4.7864583333333266E-2</v>
      </c>
      <c r="G205" t="s">
        <v>6775</v>
      </c>
    </row>
    <row r="206" spans="1:7" x14ac:dyDescent="0.3">
      <c r="A206" s="1328">
        <v>44134</v>
      </c>
      <c r="B206" s="1329">
        <f>COUNTIF(STATUS!$E:$E,A206)</f>
        <v>12</v>
      </c>
      <c r="C206" s="568">
        <f>SUMIFS(STATUS!$AA:$AA,STATUS!$E:$E,A206)</f>
        <v>0.25662037037037039</v>
      </c>
      <c r="D206" s="568">
        <f t="shared" si="46"/>
        <v>2.1385030864197532E-2</v>
      </c>
      <c r="E206" s="568">
        <f t="shared" si="47"/>
        <v>0.42770061728395065</v>
      </c>
      <c r="F206" s="569">
        <f t="shared" si="48"/>
        <v>0.17108024691358026</v>
      </c>
      <c r="G206" t="s">
        <v>6776</v>
      </c>
    </row>
    <row r="207" spans="1:7" x14ac:dyDescent="0.3">
      <c r="A207" s="1328">
        <v>44135</v>
      </c>
      <c r="B207" s="1329">
        <f>COUNTIF(STATUS!$E:$E,A207)</f>
        <v>0</v>
      </c>
      <c r="C207" s="568">
        <f>SUMIFS(STATUS!$AA:$AA,STATUS!$E:$E,A207)</f>
        <v>0</v>
      </c>
      <c r="D207" s="568">
        <f t="shared" si="46"/>
        <v>0</v>
      </c>
      <c r="E207" s="568">
        <f t="shared" si="47"/>
        <v>0</v>
      </c>
      <c r="F207" s="569">
        <f t="shared" si="48"/>
        <v>0</v>
      </c>
      <c r="G207" t="s">
        <v>6776</v>
      </c>
    </row>
    <row r="208" spans="1:7" x14ac:dyDescent="0.3">
      <c r="A208" s="1328">
        <v>44136</v>
      </c>
      <c r="B208" s="1329">
        <f>COUNTIF(STATUS!$E:$E,A208)</f>
        <v>0</v>
      </c>
      <c r="C208" s="568">
        <f>SUMIFS(STATUS!$AA:$AA,STATUS!$E:$E,A208)</f>
        <v>0</v>
      </c>
      <c r="D208" s="568">
        <f t="shared" si="46"/>
        <v>0</v>
      </c>
      <c r="E208" s="568">
        <f t="shared" si="47"/>
        <v>0</v>
      </c>
      <c r="F208" s="569">
        <f t="shared" si="48"/>
        <v>0</v>
      </c>
      <c r="G208" t="s">
        <v>6776</v>
      </c>
    </row>
    <row r="209" spans="1:7" x14ac:dyDescent="0.3">
      <c r="A209" s="1328">
        <v>44137</v>
      </c>
      <c r="B209" s="1329">
        <f>COUNTIF(STATUS!$E:$E,A209)</f>
        <v>16</v>
      </c>
      <c r="C209" s="568">
        <f>SUMIFS(STATUS!$AA:$AA,STATUS!$E:$E,A209)</f>
        <v>0.2475694444444444</v>
      </c>
      <c r="D209" s="568">
        <f t="shared" si="46"/>
        <v>1.5473090277777775E-2</v>
      </c>
      <c r="E209" s="568">
        <f t="shared" si="47"/>
        <v>0.30946180555555547</v>
      </c>
      <c r="F209" s="569">
        <f t="shared" si="48"/>
        <v>6.1892361111111072E-2</v>
      </c>
      <c r="G209" t="s">
        <v>6776</v>
      </c>
    </row>
    <row r="210" spans="1:7" x14ac:dyDescent="0.3">
      <c r="A210" s="1328">
        <v>44138</v>
      </c>
      <c r="B210" s="1329">
        <f>COUNTIF(STATUS!$E:$E,A210)</f>
        <v>13</v>
      </c>
      <c r="C210" s="568">
        <f>SUMIFS(STATUS!$AA:$AA,STATUS!$E:$E,A210)</f>
        <v>0.29629629629629611</v>
      </c>
      <c r="D210" s="568">
        <f t="shared" si="46"/>
        <v>2.2792022792022779E-2</v>
      </c>
      <c r="E210" s="568">
        <f t="shared" si="47"/>
        <v>0.45584045584045557</v>
      </c>
      <c r="F210" s="569">
        <f t="shared" si="48"/>
        <v>0.15954415954415946</v>
      </c>
      <c r="G210" t="s">
        <v>6776</v>
      </c>
    </row>
    <row r="211" spans="1:7" x14ac:dyDescent="0.3">
      <c r="A211" s="1328">
        <v>44139</v>
      </c>
      <c r="B211" s="1329">
        <f>COUNTIF(STATUS!$E:$E,A211)</f>
        <v>0</v>
      </c>
      <c r="C211" s="568">
        <f>SUMIFS(STATUS!$AA:$AA,STATUS!$E:$E,A211)</f>
        <v>0</v>
      </c>
      <c r="D211" s="568">
        <f t="shared" si="46"/>
        <v>0</v>
      </c>
      <c r="E211" s="568">
        <f t="shared" si="47"/>
        <v>0</v>
      </c>
      <c r="F211" s="569">
        <f t="shared" si="48"/>
        <v>0</v>
      </c>
      <c r="G211" t="s">
        <v>6776</v>
      </c>
    </row>
    <row r="212" spans="1:7" x14ac:dyDescent="0.3">
      <c r="A212" s="1328">
        <v>44140</v>
      </c>
      <c r="B212" s="1329">
        <f>COUNTIF(STATUS!$E:$E,A212)</f>
        <v>14</v>
      </c>
      <c r="C212" s="568">
        <f>SUMIFS(STATUS!$AA:$AA,STATUS!$E:$E,A212)</f>
        <v>0.5184837962962966</v>
      </c>
      <c r="D212" s="568">
        <f t="shared" si="46"/>
        <v>3.7034556878306903E-2</v>
      </c>
      <c r="E212" s="568">
        <f t="shared" si="47"/>
        <v>0.74069113756613802</v>
      </c>
      <c r="F212" s="569">
        <f t="shared" si="48"/>
        <v>0.22220734126984143</v>
      </c>
      <c r="G212" t="s">
        <v>6776</v>
      </c>
    </row>
    <row r="213" spans="1:7" x14ac:dyDescent="0.3">
      <c r="A213" s="1328">
        <v>44141</v>
      </c>
      <c r="B213" s="1329">
        <f>COUNTIF(STATUS!$E:$E,A213)</f>
        <v>10</v>
      </c>
      <c r="C213" s="568">
        <f>SUMIFS(STATUS!$AA:$AA,STATUS!$E:$E,A213)</f>
        <v>0.16108796296296279</v>
      </c>
      <c r="D213" s="568">
        <f t="shared" si="46"/>
        <v>1.6108796296296281E-2</v>
      </c>
      <c r="E213" s="568">
        <f t="shared" si="47"/>
        <v>0.32217592592592559</v>
      </c>
      <c r="F213" s="569">
        <f t="shared" si="48"/>
        <v>0.16108796296296279</v>
      </c>
      <c r="G213" t="s">
        <v>6777</v>
      </c>
    </row>
    <row r="214" spans="1:7" x14ac:dyDescent="0.3">
      <c r="A214" s="1328">
        <v>44142</v>
      </c>
      <c r="B214" s="1329">
        <f>COUNTIF(STATUS!$E:$E,A214)</f>
        <v>0</v>
      </c>
      <c r="C214" s="568">
        <f>SUMIFS(STATUS!$AA:$AA,STATUS!$E:$E,A214)</f>
        <v>0</v>
      </c>
      <c r="D214" s="568">
        <f t="shared" si="46"/>
        <v>0</v>
      </c>
      <c r="E214" s="568">
        <f t="shared" si="47"/>
        <v>0</v>
      </c>
      <c r="F214" s="569">
        <f t="shared" si="48"/>
        <v>0</v>
      </c>
      <c r="G214" t="s">
        <v>6777</v>
      </c>
    </row>
    <row r="215" spans="1:7" x14ac:dyDescent="0.3">
      <c r="A215" s="1328">
        <v>44143</v>
      </c>
      <c r="B215" s="1329">
        <f>COUNTIF(STATUS!$E:$E,A215)</f>
        <v>0</v>
      </c>
      <c r="C215" s="568">
        <f>SUMIFS(STATUS!$AA:$AA,STATUS!$E:$E,A215)</f>
        <v>0</v>
      </c>
      <c r="D215" s="568">
        <f t="shared" si="46"/>
        <v>0</v>
      </c>
      <c r="E215" s="568">
        <f t="shared" si="47"/>
        <v>0</v>
      </c>
      <c r="F215" s="569">
        <f t="shared" si="48"/>
        <v>0</v>
      </c>
      <c r="G215" t="s">
        <v>6777</v>
      </c>
    </row>
    <row r="216" spans="1:7" x14ac:dyDescent="0.3">
      <c r="A216" s="1328">
        <v>44144</v>
      </c>
      <c r="B216" s="1329">
        <f>COUNTIF(STATUS!$E:$E,A216)</f>
        <v>16</v>
      </c>
      <c r="C216" s="568">
        <f>SUMIFS(STATUS!$AA:$AA,STATUS!$E:$E,A216)</f>
        <v>0.25074074074074099</v>
      </c>
      <c r="D216" s="568">
        <f t="shared" si="46"/>
        <v>1.5671296296296312E-2</v>
      </c>
      <c r="E216" s="568">
        <f t="shared" si="47"/>
        <v>0.31342592592592622</v>
      </c>
      <c r="F216" s="569">
        <f t="shared" si="48"/>
        <v>6.2685185185185233E-2</v>
      </c>
      <c r="G216" t="s">
        <v>6777</v>
      </c>
    </row>
    <row r="217" spans="1:7" x14ac:dyDescent="0.3">
      <c r="A217" s="1328">
        <v>44145</v>
      </c>
      <c r="B217" s="1329">
        <f>COUNTIF(STATUS!$E:$E,A217)</f>
        <v>16</v>
      </c>
      <c r="C217" s="568">
        <f>SUMIFS(STATUS!$AA:$AA,STATUS!$E:$E,A217)</f>
        <v>0.19506944444444457</v>
      </c>
      <c r="D217" s="568">
        <f t="shared" si="46"/>
        <v>1.2191840277777786E-2</v>
      </c>
      <c r="E217" s="568">
        <f t="shared" si="47"/>
        <v>0.2438368055555557</v>
      </c>
      <c r="F217" s="569">
        <f t="shared" si="48"/>
        <v>4.8767361111111129E-2</v>
      </c>
      <c r="G217" t="s">
        <v>6777</v>
      </c>
    </row>
    <row r="218" spans="1:7" x14ac:dyDescent="0.3">
      <c r="A218" s="1328">
        <v>44146</v>
      </c>
      <c r="B218" s="1329">
        <f>COUNTIF(STATUS!$E:$E,A218)</f>
        <v>16</v>
      </c>
      <c r="C218" s="568">
        <f>SUMIFS(STATUS!$AA:$AA,STATUS!$E:$E,A218)</f>
        <v>0.26317129629629643</v>
      </c>
      <c r="D218" s="568">
        <f t="shared" si="46"/>
        <v>1.6448206018518527E-2</v>
      </c>
      <c r="E218" s="568">
        <f t="shared" si="47"/>
        <v>0.32896412037037054</v>
      </c>
      <c r="F218" s="569">
        <f t="shared" si="48"/>
        <v>6.5792824074074108E-2</v>
      </c>
      <c r="G218" t="s">
        <v>6777</v>
      </c>
    </row>
    <row r="219" spans="1:7" x14ac:dyDescent="0.3">
      <c r="A219" s="1328">
        <v>44147</v>
      </c>
      <c r="B219" s="1329">
        <f>COUNTIF(STATUS!$E:$E,A219)</f>
        <v>16</v>
      </c>
      <c r="C219" s="568">
        <f>SUMIFS(STATUS!$AA:$AA,STATUS!$E:$E,A219)</f>
        <v>0.17158564814814797</v>
      </c>
      <c r="D219" s="568">
        <f t="shared" si="46"/>
        <v>1.0724103009259248E-2</v>
      </c>
      <c r="E219" s="568">
        <f t="shared" si="47"/>
        <v>0.21448206018518495</v>
      </c>
      <c r="F219" s="569">
        <f t="shared" si="48"/>
        <v>4.2896412037036979E-2</v>
      </c>
      <c r="G219" t="s">
        <v>6777</v>
      </c>
    </row>
    <row r="220" spans="1:7" x14ac:dyDescent="0.3">
      <c r="A220" s="1328">
        <v>44148</v>
      </c>
      <c r="B220" s="1329">
        <f>COUNTIF(STATUS!$E:$E,A220)</f>
        <v>10</v>
      </c>
      <c r="C220" s="568">
        <f>SUMIFS(STATUS!$AA:$AA,STATUS!$E:$E,A220)</f>
        <v>0.29401620370370357</v>
      </c>
      <c r="D220" s="568">
        <f t="shared" si="46"/>
        <v>2.9401620370370356E-2</v>
      </c>
      <c r="E220" s="568">
        <f t="shared" si="47"/>
        <v>0.58803240740740714</v>
      </c>
      <c r="F220" s="569">
        <f t="shared" si="48"/>
        <v>0.29401620370370357</v>
      </c>
      <c r="G220" t="s">
        <v>6775</v>
      </c>
    </row>
    <row r="221" spans="1:7" x14ac:dyDescent="0.3">
      <c r="A221" s="1328">
        <v>44149</v>
      </c>
      <c r="B221" s="1329">
        <f>COUNTIF(STATUS!$E:$E,A221)</f>
        <v>0</v>
      </c>
      <c r="C221" s="568">
        <f>SUMIFS(STATUS!$AA:$AA,STATUS!$E:$E,A221)</f>
        <v>0</v>
      </c>
      <c r="D221" s="568">
        <f t="shared" si="46"/>
        <v>0</v>
      </c>
      <c r="E221" s="568">
        <f t="shared" si="47"/>
        <v>0</v>
      </c>
      <c r="F221" s="569">
        <f t="shared" si="48"/>
        <v>0</v>
      </c>
      <c r="G221" t="s">
        <v>6775</v>
      </c>
    </row>
    <row r="222" spans="1:7" x14ac:dyDescent="0.3">
      <c r="A222" s="1328">
        <v>44150</v>
      </c>
      <c r="B222" s="1329">
        <f>COUNTIF(STATUS!$E:$E,A222)</f>
        <v>2</v>
      </c>
      <c r="C222" s="568">
        <f>SUMIFS(STATUS!$AA:$AA,STATUS!$E:$E,A222)</f>
        <v>1.5879629629629632E-2</v>
      </c>
      <c r="D222" s="568">
        <f t="shared" si="46"/>
        <v>7.9398148148148162E-3</v>
      </c>
      <c r="E222" s="568">
        <f t="shared" si="47"/>
        <v>0.15879629629629632</v>
      </c>
      <c r="F222" s="569">
        <f t="shared" si="48"/>
        <v>0.14291666666666669</v>
      </c>
      <c r="G222" t="s">
        <v>6775</v>
      </c>
    </row>
    <row r="223" spans="1:7" x14ac:dyDescent="0.3">
      <c r="A223" s="1328">
        <v>44151</v>
      </c>
      <c r="B223" s="1329">
        <f>COUNTIF(STATUS!$E:$E,A223)</f>
        <v>3</v>
      </c>
      <c r="C223" s="568">
        <f>SUMIFS(STATUS!$AA:$AA,STATUS!$E:$E,A223)</f>
        <v>5.1192129629629712E-2</v>
      </c>
      <c r="D223" s="568">
        <f t="shared" si="46"/>
        <v>1.7064043209876572E-2</v>
      </c>
      <c r="E223" s="568">
        <f t="shared" si="47"/>
        <v>0.34128086419753145</v>
      </c>
      <c r="F223" s="569">
        <f t="shared" si="48"/>
        <v>0.29008873456790174</v>
      </c>
      <c r="G223" t="s">
        <v>6775</v>
      </c>
    </row>
    <row r="224" spans="1:7" x14ac:dyDescent="0.3">
      <c r="A224" s="1328">
        <v>44152</v>
      </c>
      <c r="B224" s="1329">
        <f>COUNTIF(STATUS!$E:$E,A224)</f>
        <v>4</v>
      </c>
      <c r="C224" s="568">
        <f>SUMIFS(STATUS!$AA:$AA,STATUS!$E:$E,A224)</f>
        <v>0.11359953703703712</v>
      </c>
      <c r="D224" s="568">
        <f t="shared" si="46"/>
        <v>2.8399884259259281E-2</v>
      </c>
      <c r="E224" s="568">
        <f t="shared" si="47"/>
        <v>0.56799768518518556</v>
      </c>
      <c r="F224" s="569">
        <f t="shared" si="48"/>
        <v>0.45439814814814844</v>
      </c>
      <c r="G224" t="s">
        <v>6775</v>
      </c>
    </row>
    <row r="225" spans="1:7" x14ac:dyDescent="0.3">
      <c r="A225" s="1328">
        <v>44153</v>
      </c>
      <c r="B225" s="1329">
        <f>COUNTIF(STATUS!$E:$E,A225)</f>
        <v>2</v>
      </c>
      <c r="C225" s="568">
        <f>SUMIFS(STATUS!$AA:$AA,STATUS!$E:$E,A225)</f>
        <v>1.0370370370370419E-2</v>
      </c>
      <c r="D225" s="568">
        <f t="shared" si="46"/>
        <v>5.1851851851852093E-3</v>
      </c>
      <c r="E225" s="568">
        <f t="shared" si="47"/>
        <v>0.10370370370370419</v>
      </c>
      <c r="F225" s="569">
        <f t="shared" si="48"/>
        <v>9.3333333333333768E-2</v>
      </c>
      <c r="G225" t="s">
        <v>6775</v>
      </c>
    </row>
    <row r="226" spans="1:7" x14ac:dyDescent="0.3">
      <c r="A226" s="1328">
        <v>44154</v>
      </c>
      <c r="B226" s="1329">
        <f>COUNTIF(STATUS!$E:$E,A226)</f>
        <v>0</v>
      </c>
      <c r="C226" s="568">
        <f>SUMIFS(STATUS!$AA:$AA,STATUS!$E:$E,A226)</f>
        <v>0</v>
      </c>
      <c r="D226" s="568">
        <f t="shared" si="46"/>
        <v>0</v>
      </c>
      <c r="E226" s="568">
        <f t="shared" si="47"/>
        <v>0</v>
      </c>
      <c r="F226" s="569">
        <f t="shared" si="48"/>
        <v>0</v>
      </c>
      <c r="G226" t="s">
        <v>6775</v>
      </c>
    </row>
    <row r="227" spans="1:7" x14ac:dyDescent="0.3">
      <c r="A227" s="1328">
        <v>44155</v>
      </c>
      <c r="B227" s="1329">
        <f>COUNTIF(STATUS!$E:$E,A227)</f>
        <v>0</v>
      </c>
      <c r="C227" s="568">
        <f>SUMIFS(STATUS!$AA:$AA,STATUS!$E:$E,A227)</f>
        <v>0</v>
      </c>
      <c r="D227" s="568">
        <f t="shared" si="46"/>
        <v>0</v>
      </c>
      <c r="E227" s="568">
        <f t="shared" si="47"/>
        <v>0</v>
      </c>
      <c r="F227" s="569">
        <f t="shared" si="48"/>
        <v>0</v>
      </c>
      <c r="G227" t="s">
        <v>6777</v>
      </c>
    </row>
    <row r="228" spans="1:7" x14ac:dyDescent="0.3">
      <c r="A228" s="1328">
        <v>44156</v>
      </c>
      <c r="B228" s="1329">
        <f>COUNTIF(STATUS!$E:$E,A228)</f>
        <v>0</v>
      </c>
      <c r="C228" s="568">
        <f>SUMIFS(STATUS!$AA:$AA,STATUS!$E:$E,A228)</f>
        <v>0</v>
      </c>
      <c r="D228" s="568">
        <f t="shared" si="46"/>
        <v>0</v>
      </c>
      <c r="E228" s="568">
        <f t="shared" si="47"/>
        <v>0</v>
      </c>
      <c r="F228" s="569">
        <f t="shared" si="48"/>
        <v>0</v>
      </c>
      <c r="G228" t="s">
        <v>6777</v>
      </c>
    </row>
    <row r="229" spans="1:7" x14ac:dyDescent="0.3">
      <c r="A229" s="1328">
        <v>44157</v>
      </c>
      <c r="B229" s="1329">
        <f>COUNTIF(STATUS!$E:$E,A229)</f>
        <v>0</v>
      </c>
      <c r="C229" s="568">
        <f>SUMIFS(STATUS!$AA:$AA,STATUS!$E:$E,A229)</f>
        <v>0</v>
      </c>
      <c r="D229" s="568">
        <f t="shared" si="46"/>
        <v>0</v>
      </c>
      <c r="E229" s="568">
        <f t="shared" si="47"/>
        <v>0</v>
      </c>
      <c r="F229" s="569">
        <f t="shared" si="48"/>
        <v>0</v>
      </c>
      <c r="G229" t="s">
        <v>6777</v>
      </c>
    </row>
    <row r="230" spans="1:7" x14ac:dyDescent="0.3">
      <c r="A230" s="1328">
        <v>44158</v>
      </c>
      <c r="B230" s="1329">
        <f>COUNTIF(STATUS!$E:$E,A230)</f>
        <v>0</v>
      </c>
      <c r="C230" s="568">
        <f>SUMIFS(STATUS!$AA:$AA,STATUS!$E:$E,A230)</f>
        <v>0</v>
      </c>
      <c r="D230" s="568">
        <f t="shared" si="46"/>
        <v>0</v>
      </c>
      <c r="E230" s="568">
        <f t="shared" si="47"/>
        <v>0</v>
      </c>
      <c r="F230" s="569">
        <f t="shared" si="48"/>
        <v>0</v>
      </c>
      <c r="G230" t="s">
        <v>6777</v>
      </c>
    </row>
    <row r="231" spans="1:7" x14ac:dyDescent="0.3">
      <c r="A231" s="1328">
        <v>44159</v>
      </c>
      <c r="B231" s="1329">
        <f>COUNTIF(STATUS!$E:$E,A231)</f>
        <v>0</v>
      </c>
      <c r="C231" s="568">
        <f>SUMIFS(STATUS!$AA:$AA,STATUS!$E:$E,A231)</f>
        <v>0</v>
      </c>
      <c r="D231" s="568">
        <f t="shared" si="46"/>
        <v>0</v>
      </c>
      <c r="E231" s="568">
        <f t="shared" si="47"/>
        <v>0</v>
      </c>
      <c r="F231" s="569">
        <f t="shared" si="48"/>
        <v>0</v>
      </c>
      <c r="G231" t="s">
        <v>6777</v>
      </c>
    </row>
    <row r="232" spans="1:7" x14ac:dyDescent="0.3">
      <c r="A232" s="1328">
        <v>44160</v>
      </c>
      <c r="B232" s="1329">
        <f>COUNTIF(STATUS!$E:$E,A232)</f>
        <v>0</v>
      </c>
      <c r="C232" s="568">
        <f>SUMIFS(STATUS!$AA:$AA,STATUS!$E:$E,A232)</f>
        <v>0</v>
      </c>
      <c r="D232" s="568">
        <f t="shared" si="46"/>
        <v>0</v>
      </c>
      <c r="E232" s="568">
        <f t="shared" si="47"/>
        <v>0</v>
      </c>
      <c r="F232" s="569">
        <f t="shared" si="48"/>
        <v>0</v>
      </c>
      <c r="G232" t="s">
        <v>6777</v>
      </c>
    </row>
    <row r="233" spans="1:7" x14ac:dyDescent="0.3">
      <c r="A233" s="1328">
        <v>44161</v>
      </c>
      <c r="B233" s="1329">
        <f>COUNTIF(STATUS!$E:$E,A233)</f>
        <v>0</v>
      </c>
      <c r="C233" s="568">
        <f>SUMIFS(STATUS!$AA:$AA,STATUS!$E:$E,A233)</f>
        <v>0</v>
      </c>
      <c r="D233" s="568">
        <f t="shared" si="46"/>
        <v>0</v>
      </c>
      <c r="E233" s="568">
        <f t="shared" si="47"/>
        <v>0</v>
      </c>
      <c r="F233" s="569">
        <f t="shared" si="48"/>
        <v>0</v>
      </c>
      <c r="G233" t="s">
        <v>6777</v>
      </c>
    </row>
    <row r="234" spans="1:7" x14ac:dyDescent="0.3">
      <c r="A234" s="1328">
        <v>44162</v>
      </c>
      <c r="B234" s="1329">
        <f>COUNTIF(STATUS!$E:$E,A234)</f>
        <v>0</v>
      </c>
      <c r="C234" s="568">
        <f>SUMIFS(STATUS!$AA:$AA,STATUS!$E:$E,A234)</f>
        <v>0</v>
      </c>
      <c r="D234" s="568">
        <f t="shared" si="46"/>
        <v>0</v>
      </c>
      <c r="E234" s="568">
        <f t="shared" si="47"/>
        <v>0</v>
      </c>
      <c r="F234" s="569">
        <f t="shared" si="48"/>
        <v>0</v>
      </c>
      <c r="G234" t="s">
        <v>6775</v>
      </c>
    </row>
    <row r="235" spans="1:7" x14ac:dyDescent="0.3">
      <c r="A235" s="1328">
        <v>44163</v>
      </c>
      <c r="B235" s="1329">
        <f>COUNTIF(STATUS!$E:$E,A235)</f>
        <v>0</v>
      </c>
      <c r="C235" s="568">
        <f>SUMIFS(STATUS!$AA:$AA,STATUS!$E:$E,A235)</f>
        <v>0</v>
      </c>
      <c r="D235" s="568">
        <f t="shared" si="46"/>
        <v>0</v>
      </c>
      <c r="E235" s="568">
        <f t="shared" si="47"/>
        <v>0</v>
      </c>
      <c r="F235" s="569">
        <f t="shared" si="48"/>
        <v>0</v>
      </c>
      <c r="G235" t="s">
        <v>6775</v>
      </c>
    </row>
    <row r="236" spans="1:7" x14ac:dyDescent="0.3">
      <c r="A236" s="1328">
        <v>44164</v>
      </c>
      <c r="B236" s="1329">
        <f>COUNTIF(STATUS!$E:$E,A236)</f>
        <v>0</v>
      </c>
      <c r="C236" s="568">
        <f>SUMIFS(STATUS!$AA:$AA,STATUS!$E:$E,A236)</f>
        <v>0</v>
      </c>
      <c r="D236" s="568">
        <f t="shared" si="46"/>
        <v>0</v>
      </c>
      <c r="E236" s="568">
        <f t="shared" si="47"/>
        <v>0</v>
      </c>
      <c r="F236" s="569">
        <f t="shared" si="48"/>
        <v>0</v>
      </c>
      <c r="G236" t="s">
        <v>6775</v>
      </c>
    </row>
    <row r="237" spans="1:7" x14ac:dyDescent="0.3">
      <c r="A237" s="1328">
        <v>44165</v>
      </c>
      <c r="B237" s="1329">
        <f>COUNTIF(STATUS!$E:$E,A237)</f>
        <v>0</v>
      </c>
      <c r="C237" s="568">
        <f>SUMIFS(STATUS!$AA:$AA,STATUS!$E:$E,A237)</f>
        <v>0</v>
      </c>
      <c r="D237" s="568">
        <f t="shared" si="46"/>
        <v>0</v>
      </c>
      <c r="E237" s="568">
        <f t="shared" si="47"/>
        <v>0</v>
      </c>
      <c r="F237" s="569">
        <f t="shared" si="48"/>
        <v>0</v>
      </c>
      <c r="G237" t="s">
        <v>6775</v>
      </c>
    </row>
    <row r="238" spans="1:7" x14ac:dyDescent="0.3">
      <c r="A238" s="1328">
        <v>44166</v>
      </c>
      <c r="B238" s="1329">
        <f>COUNTIF(STATUS!$E:$E,A238)</f>
        <v>0</v>
      </c>
      <c r="C238" s="568">
        <f>SUMIFS(STATUS!$AA:$AA,STATUS!$E:$E,A238)</f>
        <v>0</v>
      </c>
      <c r="D238" s="568">
        <f t="shared" si="46"/>
        <v>0</v>
      </c>
      <c r="E238" s="568">
        <f t="shared" si="47"/>
        <v>0</v>
      </c>
      <c r="F238" s="569">
        <f t="shared" si="48"/>
        <v>0</v>
      </c>
      <c r="G238" t="s">
        <v>6775</v>
      </c>
    </row>
    <row r="239" spans="1:7" x14ac:dyDescent="0.3">
      <c r="A239" s="1328">
        <v>44167</v>
      </c>
      <c r="B239" s="1329">
        <f>COUNTIF(STATUS!$E:$E,A239)</f>
        <v>0</v>
      </c>
      <c r="C239" s="568">
        <f>SUMIFS(STATUS!$AA:$AA,STATUS!$E:$E,A239)</f>
        <v>0</v>
      </c>
      <c r="D239" s="568">
        <f t="shared" si="46"/>
        <v>0</v>
      </c>
      <c r="E239" s="568">
        <f t="shared" si="47"/>
        <v>0</v>
      </c>
      <c r="F239" s="569">
        <f t="shared" si="48"/>
        <v>0</v>
      </c>
      <c r="G239" t="s">
        <v>6775</v>
      </c>
    </row>
    <row r="240" spans="1:7" x14ac:dyDescent="0.3">
      <c r="A240" s="1328">
        <v>44168</v>
      </c>
      <c r="B240" s="1329">
        <f>COUNTIF(STATUS!$E:$E,A240)</f>
        <v>0</v>
      </c>
      <c r="C240" s="568">
        <f>SUMIFS(STATUS!$AA:$AA,STATUS!$E:$E,A240)</f>
        <v>0</v>
      </c>
      <c r="D240" s="568">
        <f t="shared" si="46"/>
        <v>0</v>
      </c>
      <c r="E240" s="568">
        <f t="shared" si="47"/>
        <v>0</v>
      </c>
      <c r="F240" s="569">
        <f t="shared" si="48"/>
        <v>0</v>
      </c>
      <c r="G240" t="s">
        <v>6775</v>
      </c>
    </row>
    <row r="241" spans="1:7" x14ac:dyDescent="0.3">
      <c r="A241" s="1328">
        <v>44169</v>
      </c>
      <c r="B241" s="1329">
        <f>COUNTIF(STATUS!$E:$E,A241)</f>
        <v>9</v>
      </c>
      <c r="C241" s="568">
        <f>SUMIFS(STATUS!$AA:$AA,STATUS!$E:$E,A241)</f>
        <v>0.24366898148148153</v>
      </c>
      <c r="D241" s="568">
        <f t="shared" si="46"/>
        <v>2.7074331275720169E-2</v>
      </c>
      <c r="E241" s="568">
        <f t="shared" si="47"/>
        <v>0.54148662551440341</v>
      </c>
      <c r="F241" s="569">
        <f t="shared" si="48"/>
        <v>0.29781764403292188</v>
      </c>
      <c r="G241" t="s">
        <v>6776</v>
      </c>
    </row>
    <row r="242" spans="1:7" x14ac:dyDescent="0.3">
      <c r="A242" s="1328">
        <v>44170</v>
      </c>
      <c r="B242" s="1329">
        <f>COUNTIF(STATUS!$E:$E,A242)</f>
        <v>0</v>
      </c>
      <c r="C242" s="568">
        <f>SUMIFS(STATUS!$AA:$AA,STATUS!$E:$E,A242)</f>
        <v>0</v>
      </c>
      <c r="D242" s="568">
        <f t="shared" si="46"/>
        <v>0</v>
      </c>
      <c r="E242" s="568">
        <f t="shared" si="47"/>
        <v>0</v>
      </c>
      <c r="F242" s="569">
        <f t="shared" si="48"/>
        <v>0</v>
      </c>
      <c r="G242" t="s">
        <v>6776</v>
      </c>
    </row>
    <row r="243" spans="1:7" x14ac:dyDescent="0.3">
      <c r="A243" s="1349">
        <v>44171</v>
      </c>
      <c r="B243" s="1348">
        <f>COUNTIF(STATUS!$E:$E,A243)</f>
        <v>5</v>
      </c>
      <c r="C243" s="568">
        <f>SUMIFS(STATUS!$AA:$AA,STATUS!$E:$E,A243)</f>
        <v>5.3449074074074177E-2</v>
      </c>
      <c r="D243" s="568">
        <f t="shared" ref="D243:D251" si="49">IFERROR(C243/B243,0)</f>
        <v>1.0689814814814836E-2</v>
      </c>
      <c r="E243" s="568">
        <f t="shared" ref="E243:E251" si="50">D243*20</f>
        <v>0.21379629629629671</v>
      </c>
      <c r="F243" s="569">
        <f t="shared" ref="F243:F251" si="51">E243-C243</f>
        <v>0.16034722222222253</v>
      </c>
      <c r="G243" t="s">
        <v>6776</v>
      </c>
    </row>
    <row r="244" spans="1:7" x14ac:dyDescent="0.3">
      <c r="A244" s="1349">
        <v>44172</v>
      </c>
      <c r="B244" s="1348">
        <f>COUNTIF(STATUS!$E:$E,A244)</f>
        <v>6</v>
      </c>
      <c r="C244" s="568">
        <f>SUMIFS(STATUS!$AA:$AA,STATUS!$E:$E,A244)</f>
        <v>0.11479166666666657</v>
      </c>
      <c r="D244" s="568">
        <f t="shared" si="49"/>
        <v>1.9131944444444427E-2</v>
      </c>
      <c r="E244" s="568">
        <f t="shared" si="50"/>
        <v>0.38263888888888853</v>
      </c>
      <c r="F244" s="569">
        <f t="shared" si="51"/>
        <v>0.26784722222222196</v>
      </c>
      <c r="G244" t="s">
        <v>6776</v>
      </c>
    </row>
    <row r="245" spans="1:7" x14ac:dyDescent="0.3">
      <c r="A245" s="1349">
        <v>44173</v>
      </c>
      <c r="B245" s="1348">
        <f>COUNTIF(STATUS!$E:$E,A245)</f>
        <v>7</v>
      </c>
      <c r="C245" s="568">
        <f>SUMIFS(STATUS!$AA:$AA,STATUS!$E:$E,A245)</f>
        <v>8.6886574074073963E-2</v>
      </c>
      <c r="D245" s="568">
        <f t="shared" si="49"/>
        <v>1.241236772486771E-2</v>
      </c>
      <c r="E245" s="568">
        <f t="shared" si="50"/>
        <v>0.24824735449735419</v>
      </c>
      <c r="F245" s="569">
        <f t="shared" si="51"/>
        <v>0.16136078042328023</v>
      </c>
      <c r="G245" t="s">
        <v>6776</v>
      </c>
    </row>
    <row r="246" spans="1:7" x14ac:dyDescent="0.3">
      <c r="A246" s="1349">
        <v>44174</v>
      </c>
      <c r="B246" s="1348">
        <f>COUNTIF(STATUS!$E:$E,A246)</f>
        <v>8</v>
      </c>
      <c r="C246" s="568">
        <f>SUMIFS(STATUS!$AA:$AA,STATUS!$E:$E,A246)</f>
        <v>0.1043981481481483</v>
      </c>
      <c r="D246" s="568">
        <f t="shared" si="49"/>
        <v>1.3049768518518537E-2</v>
      </c>
      <c r="E246" s="568">
        <f t="shared" si="50"/>
        <v>0.26099537037037074</v>
      </c>
      <c r="F246" s="569">
        <f t="shared" si="51"/>
        <v>0.15659722222222244</v>
      </c>
      <c r="G246" t="s">
        <v>6776</v>
      </c>
    </row>
    <row r="247" spans="1:7" x14ac:dyDescent="0.3">
      <c r="A247" s="1349">
        <v>44175</v>
      </c>
      <c r="B247" s="1348">
        <f>COUNTIF(STATUS!$E:$E,A247)</f>
        <v>9</v>
      </c>
      <c r="C247" s="568">
        <f>SUMIFS(STATUS!$AA:$AA,STATUS!$E:$E,A247)</f>
        <v>0.25114583333333301</v>
      </c>
      <c r="D247" s="568">
        <f t="shared" si="49"/>
        <v>2.7905092592592558E-2</v>
      </c>
      <c r="E247" s="568">
        <f t="shared" si="50"/>
        <v>0.55810185185185113</v>
      </c>
      <c r="F247" s="569">
        <f t="shared" si="51"/>
        <v>0.30695601851851811</v>
      </c>
      <c r="G247" t="s">
        <v>6776</v>
      </c>
    </row>
    <row r="248" spans="1:7" x14ac:dyDescent="0.3">
      <c r="A248" s="1349">
        <v>44176</v>
      </c>
      <c r="B248" s="1348">
        <f>COUNTIF(STATUS!$E:$E,A248)</f>
        <v>13</v>
      </c>
      <c r="C248" s="568">
        <f>SUMIFS(STATUS!$AA:$AA,STATUS!$E:$E,A248)</f>
        <v>0.18859953703703719</v>
      </c>
      <c r="D248" s="568">
        <f t="shared" si="49"/>
        <v>1.4507656695156707E-2</v>
      </c>
      <c r="E248" s="568">
        <f t="shared" si="50"/>
        <v>0.29015313390313413</v>
      </c>
      <c r="F248" s="569">
        <f t="shared" si="51"/>
        <v>0.10155359686609694</v>
      </c>
      <c r="G248" t="s">
        <v>6777</v>
      </c>
    </row>
    <row r="249" spans="1:7" x14ac:dyDescent="0.3">
      <c r="A249" s="1349">
        <v>44177</v>
      </c>
      <c r="B249" s="1348">
        <f>COUNTIF(STATUS!$E:$E,A249)</f>
        <v>0</v>
      </c>
      <c r="C249" s="568">
        <f>SUMIFS(STATUS!$AA:$AA,STATUS!$E:$E,A249)</f>
        <v>0</v>
      </c>
      <c r="D249" s="568">
        <f t="shared" si="49"/>
        <v>0</v>
      </c>
      <c r="E249" s="568">
        <f t="shared" si="50"/>
        <v>0</v>
      </c>
      <c r="F249" s="569">
        <f t="shared" si="51"/>
        <v>0</v>
      </c>
      <c r="G249" t="s">
        <v>6777</v>
      </c>
    </row>
    <row r="250" spans="1:7" x14ac:dyDescent="0.3">
      <c r="A250" s="1349">
        <v>44178</v>
      </c>
      <c r="B250" s="1348">
        <f>COUNTIF(STATUS!$E:$E,A250)</f>
        <v>4</v>
      </c>
      <c r="C250" s="568">
        <f>SUMIFS(STATUS!$AA:$AA,STATUS!$E:$E,A250)</f>
        <v>2.850694444444446E-2</v>
      </c>
      <c r="D250" s="568">
        <f t="shared" si="49"/>
        <v>7.1267361111111149E-3</v>
      </c>
      <c r="E250" s="568">
        <f t="shared" si="50"/>
        <v>0.1425347222222223</v>
      </c>
      <c r="F250" s="569">
        <f t="shared" si="51"/>
        <v>0.11402777777777784</v>
      </c>
      <c r="G250" t="s">
        <v>6777</v>
      </c>
    </row>
    <row r="251" spans="1:7" x14ac:dyDescent="0.3">
      <c r="A251" s="1349">
        <v>44179</v>
      </c>
      <c r="B251" s="1348">
        <f>COUNTIF(STATUS!$E:$E,A251)</f>
        <v>0</v>
      </c>
      <c r="C251" s="568">
        <f>SUMIFS(STATUS!$AA:$AA,STATUS!$E:$E,A251)</f>
        <v>0</v>
      </c>
      <c r="D251" s="568">
        <f t="shared" si="49"/>
        <v>0</v>
      </c>
      <c r="E251" s="568">
        <f t="shared" si="50"/>
        <v>0</v>
      </c>
      <c r="F251" s="569">
        <f t="shared" si="51"/>
        <v>0</v>
      </c>
      <c r="G251" t="s">
        <v>6777</v>
      </c>
    </row>
    <row r="252" spans="1:7" x14ac:dyDescent="0.3">
      <c r="A252" s="1349">
        <v>44180</v>
      </c>
      <c r="B252" s="1348">
        <f>COUNTIF(STATUS!$E:$E,A252)</f>
        <v>0</v>
      </c>
      <c r="C252" s="568">
        <f>SUMIFS(STATUS!$AA:$AA,STATUS!$E:$E,A252)</f>
        <v>0</v>
      </c>
      <c r="D252" s="568">
        <f t="shared" ref="D252:D254" si="52">IFERROR(C252/B252,0)</f>
        <v>0</v>
      </c>
      <c r="E252" s="568">
        <f t="shared" ref="E252:E254" si="53">D252*20</f>
        <v>0</v>
      </c>
      <c r="F252" s="569">
        <f t="shared" ref="F252:F254" si="54">E252-C252</f>
        <v>0</v>
      </c>
      <c r="G252" t="s">
        <v>6777</v>
      </c>
    </row>
    <row r="253" spans="1:7" x14ac:dyDescent="0.3">
      <c r="A253" s="1349">
        <v>44181</v>
      </c>
      <c r="B253" s="1348">
        <f>COUNTIF(STATUS!$E:$E,A253)</f>
        <v>0</v>
      </c>
      <c r="C253" s="568">
        <f>SUMIFS(STATUS!$AA:$AA,STATUS!$E:$E,A253)</f>
        <v>0</v>
      </c>
      <c r="D253" s="568">
        <f t="shared" si="52"/>
        <v>0</v>
      </c>
      <c r="E253" s="568">
        <f t="shared" si="53"/>
        <v>0</v>
      </c>
      <c r="F253" s="569">
        <f t="shared" si="54"/>
        <v>0</v>
      </c>
      <c r="G253" t="s">
        <v>6777</v>
      </c>
    </row>
    <row r="254" spans="1:7" x14ac:dyDescent="0.3">
      <c r="A254" s="1349">
        <v>44182</v>
      </c>
      <c r="B254" s="1348">
        <f>COUNTIF(STATUS!$E:$E,A254)</f>
        <v>0</v>
      </c>
      <c r="C254" s="568">
        <f>SUMIFS(STATUS!$AA:$AA,STATUS!$E:$E,A254)</f>
        <v>0</v>
      </c>
      <c r="D254" s="568">
        <f t="shared" si="52"/>
        <v>0</v>
      </c>
      <c r="E254" s="568">
        <f t="shared" si="53"/>
        <v>0</v>
      </c>
      <c r="F254" s="569">
        <f t="shared" si="54"/>
        <v>0</v>
      </c>
      <c r="G254" t="s">
        <v>6777</v>
      </c>
    </row>
    <row r="255" spans="1:7" x14ac:dyDescent="0.3">
      <c r="A255" s="1349">
        <v>44183</v>
      </c>
      <c r="B255" s="1348">
        <f>COUNTIF(STATUS!$E:$E,A255)</f>
        <v>0</v>
      </c>
      <c r="C255" s="568">
        <f>SUMIFS(STATUS!$AA:$AA,STATUS!$E:$E,A255)</f>
        <v>0</v>
      </c>
      <c r="D255" s="568">
        <f t="shared" ref="D255:D268" si="55">IFERROR(C255/B255,0)</f>
        <v>0</v>
      </c>
      <c r="E255" s="568">
        <f t="shared" ref="E255:E268" si="56">D255*20</f>
        <v>0</v>
      </c>
      <c r="F255" s="569">
        <f t="shared" ref="F255:F268" si="57">E255-C255</f>
        <v>0</v>
      </c>
      <c r="G255" t="s">
        <v>6775</v>
      </c>
    </row>
    <row r="256" spans="1:7" x14ac:dyDescent="0.3">
      <c r="A256" s="1349">
        <v>44184</v>
      </c>
      <c r="B256" s="1348">
        <f>COUNTIF(STATUS!$E:$E,A256)</f>
        <v>0</v>
      </c>
      <c r="C256" s="568">
        <f>SUMIFS(STATUS!$AA:$AA,STATUS!$E:$E,A256)</f>
        <v>0</v>
      </c>
      <c r="D256" s="568">
        <f t="shared" si="55"/>
        <v>0</v>
      </c>
      <c r="E256" s="568">
        <f t="shared" si="56"/>
        <v>0</v>
      </c>
      <c r="F256" s="569">
        <f t="shared" si="57"/>
        <v>0</v>
      </c>
      <c r="G256" t="s">
        <v>6775</v>
      </c>
    </row>
    <row r="257" spans="1:7" x14ac:dyDescent="0.3">
      <c r="A257" s="1349">
        <v>44185</v>
      </c>
      <c r="B257" s="1348">
        <f>COUNTIF(STATUS!$E:$E,A257)</f>
        <v>0</v>
      </c>
      <c r="C257" s="568">
        <f>SUMIFS(STATUS!$AA:$AA,STATUS!$E:$E,A257)</f>
        <v>0</v>
      </c>
      <c r="D257" s="568">
        <f t="shared" si="55"/>
        <v>0</v>
      </c>
      <c r="E257" s="568">
        <f t="shared" si="56"/>
        <v>0</v>
      </c>
      <c r="F257" s="569">
        <f t="shared" si="57"/>
        <v>0</v>
      </c>
      <c r="G257" t="s">
        <v>6775</v>
      </c>
    </row>
    <row r="258" spans="1:7" x14ac:dyDescent="0.3">
      <c r="A258" s="1349">
        <v>44186</v>
      </c>
      <c r="B258" s="1348">
        <f>COUNTIF(STATUS!$E:$E,A258)</f>
        <v>0</v>
      </c>
      <c r="C258" s="568">
        <f>SUMIFS(STATUS!$AA:$AA,STATUS!$E:$E,A258)</f>
        <v>0</v>
      </c>
      <c r="D258" s="568">
        <f t="shared" si="55"/>
        <v>0</v>
      </c>
      <c r="E258" s="568">
        <f t="shared" si="56"/>
        <v>0</v>
      </c>
      <c r="F258" s="569">
        <f t="shared" si="57"/>
        <v>0</v>
      </c>
      <c r="G258" t="s">
        <v>6775</v>
      </c>
    </row>
    <row r="259" spans="1:7" x14ac:dyDescent="0.3">
      <c r="A259" s="1349">
        <v>44187</v>
      </c>
      <c r="B259" s="1348">
        <f>COUNTIF(STATUS!$E:$E,A259)</f>
        <v>0</v>
      </c>
      <c r="C259" s="568">
        <f>SUMIFS(STATUS!$AA:$AA,STATUS!$E:$E,A259)</f>
        <v>0</v>
      </c>
      <c r="D259" s="568">
        <f t="shared" si="55"/>
        <v>0</v>
      </c>
      <c r="E259" s="568">
        <f t="shared" si="56"/>
        <v>0</v>
      </c>
      <c r="F259" s="569">
        <f t="shared" si="57"/>
        <v>0</v>
      </c>
      <c r="G259" t="s">
        <v>6775</v>
      </c>
    </row>
    <row r="260" spans="1:7" x14ac:dyDescent="0.3">
      <c r="A260" s="1349">
        <v>44188</v>
      </c>
      <c r="B260" s="1348">
        <f>COUNTIF(STATUS!$E:$E,A260)</f>
        <v>0</v>
      </c>
      <c r="C260" s="568">
        <f>SUMIFS(STATUS!$AA:$AA,STATUS!$E:$E,A260)</f>
        <v>0</v>
      </c>
      <c r="D260" s="568">
        <f t="shared" si="55"/>
        <v>0</v>
      </c>
      <c r="E260" s="568">
        <f t="shared" si="56"/>
        <v>0</v>
      </c>
      <c r="F260" s="569">
        <f t="shared" si="57"/>
        <v>0</v>
      </c>
      <c r="G260" t="s">
        <v>6775</v>
      </c>
    </row>
    <row r="261" spans="1:7" x14ac:dyDescent="0.3">
      <c r="A261" s="1349">
        <v>44189</v>
      </c>
      <c r="B261" s="1348">
        <f>COUNTIF(STATUS!$E:$E,A261)</f>
        <v>0</v>
      </c>
      <c r="C261" s="568">
        <f>SUMIFS(STATUS!$AA:$AA,STATUS!$E:$E,A261)</f>
        <v>0</v>
      </c>
      <c r="D261" s="568">
        <f t="shared" si="55"/>
        <v>0</v>
      </c>
      <c r="E261" s="568">
        <f t="shared" si="56"/>
        <v>0</v>
      </c>
      <c r="F261" s="569">
        <f t="shared" si="57"/>
        <v>0</v>
      </c>
      <c r="G261" t="s">
        <v>6775</v>
      </c>
    </row>
    <row r="262" spans="1:7" x14ac:dyDescent="0.3">
      <c r="A262" s="1349">
        <v>44190</v>
      </c>
      <c r="B262" s="1348">
        <f>COUNTIF(STATUS!$E:$E,A262)</f>
        <v>0</v>
      </c>
      <c r="C262" s="568">
        <f>SUMIFS(STATUS!$AA:$AA,STATUS!$E:$E,A262)</f>
        <v>0</v>
      </c>
      <c r="D262" s="568">
        <f t="shared" si="55"/>
        <v>0</v>
      </c>
      <c r="E262" s="568">
        <f t="shared" si="56"/>
        <v>0</v>
      </c>
      <c r="F262" s="569">
        <f t="shared" si="57"/>
        <v>0</v>
      </c>
      <c r="G262" t="s">
        <v>6776</v>
      </c>
    </row>
    <row r="263" spans="1:7" x14ac:dyDescent="0.3">
      <c r="A263" s="1349">
        <v>44191</v>
      </c>
      <c r="B263" s="1348">
        <f>COUNTIF(STATUS!$E:$E,A263)</f>
        <v>0</v>
      </c>
      <c r="C263" s="568">
        <f>SUMIFS(STATUS!$AA:$AA,STATUS!$E:$E,A263)</f>
        <v>0</v>
      </c>
      <c r="D263" s="568">
        <f t="shared" si="55"/>
        <v>0</v>
      </c>
      <c r="E263" s="568">
        <f t="shared" si="56"/>
        <v>0</v>
      </c>
      <c r="F263" s="569">
        <f t="shared" si="57"/>
        <v>0</v>
      </c>
      <c r="G263" t="s">
        <v>6776</v>
      </c>
    </row>
    <row r="264" spans="1:7" x14ac:dyDescent="0.3">
      <c r="A264" s="1349">
        <v>44192</v>
      </c>
      <c r="B264" s="1348">
        <f>COUNTIF(STATUS!$E:$E,A264)</f>
        <v>0</v>
      </c>
      <c r="C264" s="568">
        <f>SUMIFS(STATUS!$AA:$AA,STATUS!$E:$E,A264)</f>
        <v>0</v>
      </c>
      <c r="D264" s="568">
        <f t="shared" si="55"/>
        <v>0</v>
      </c>
      <c r="E264" s="568">
        <f t="shared" si="56"/>
        <v>0</v>
      </c>
      <c r="F264" s="569">
        <f t="shared" si="57"/>
        <v>0</v>
      </c>
      <c r="G264" t="s">
        <v>6776</v>
      </c>
    </row>
    <row r="265" spans="1:7" x14ac:dyDescent="0.3">
      <c r="A265" s="1349">
        <v>44193</v>
      </c>
      <c r="B265" s="1348">
        <f>COUNTIF(STATUS!$E:$E,A265)</f>
        <v>0</v>
      </c>
      <c r="C265" s="568">
        <f>SUMIFS(STATUS!$AA:$AA,STATUS!$E:$E,A265)</f>
        <v>0</v>
      </c>
      <c r="D265" s="568">
        <f t="shared" si="55"/>
        <v>0</v>
      </c>
      <c r="E265" s="568">
        <f t="shared" si="56"/>
        <v>0</v>
      </c>
      <c r="F265" s="569">
        <f t="shared" si="57"/>
        <v>0</v>
      </c>
      <c r="G265" t="s">
        <v>6776</v>
      </c>
    </row>
    <row r="266" spans="1:7" x14ac:dyDescent="0.3">
      <c r="A266" s="1349">
        <v>44194</v>
      </c>
      <c r="B266" s="1348">
        <f>COUNTIF(STATUS!$E:$E,A266)</f>
        <v>0</v>
      </c>
      <c r="C266" s="568">
        <f>SUMIFS(STATUS!$AA:$AA,STATUS!$E:$E,A266)</f>
        <v>0</v>
      </c>
      <c r="D266" s="568">
        <f t="shared" si="55"/>
        <v>0</v>
      </c>
      <c r="E266" s="568">
        <f t="shared" si="56"/>
        <v>0</v>
      </c>
      <c r="F266" s="569">
        <f t="shared" si="57"/>
        <v>0</v>
      </c>
      <c r="G266" t="s">
        <v>6776</v>
      </c>
    </row>
    <row r="267" spans="1:7" x14ac:dyDescent="0.3">
      <c r="A267" s="1349">
        <v>44195</v>
      </c>
      <c r="B267" s="1348">
        <f>COUNTIF(STATUS!$E:$E,A267)</f>
        <v>0</v>
      </c>
      <c r="C267" s="568">
        <f>SUMIFS(STATUS!$AA:$AA,STATUS!$E:$E,A267)</f>
        <v>0</v>
      </c>
      <c r="D267" s="568">
        <f t="shared" si="55"/>
        <v>0</v>
      </c>
      <c r="E267" s="568">
        <f t="shared" si="56"/>
        <v>0</v>
      </c>
      <c r="F267" s="569">
        <f t="shared" si="57"/>
        <v>0</v>
      </c>
      <c r="G267" t="s">
        <v>6776</v>
      </c>
    </row>
    <row r="268" spans="1:7" x14ac:dyDescent="0.3">
      <c r="A268" s="1349">
        <v>44196</v>
      </c>
      <c r="B268" s="1348">
        <f>COUNTIF(STATUS!$E:$E,A268)</f>
        <v>0</v>
      </c>
      <c r="C268" s="568">
        <f>SUMIFS(STATUS!$AA:$AA,STATUS!$E:$E,A268)</f>
        <v>0</v>
      </c>
      <c r="D268" s="568">
        <f t="shared" si="55"/>
        <v>0</v>
      </c>
      <c r="E268" s="568">
        <f t="shared" si="56"/>
        <v>0</v>
      </c>
      <c r="F268" s="569">
        <f t="shared" si="57"/>
        <v>0</v>
      </c>
      <c r="G268" t="s">
        <v>6776</v>
      </c>
    </row>
    <row r="269" spans="1:7" x14ac:dyDescent="0.3">
      <c r="A269" s="1349"/>
      <c r="B269" s="1348"/>
      <c r="C269" s="568"/>
      <c r="D269" s="568"/>
      <c r="E269" s="568"/>
      <c r="F269" s="569"/>
    </row>
  </sheetData>
  <autoFilter ref="A1:G1"/>
  <conditionalFormatting sqref="A1:A1048576">
    <cfRule type="timePeriod" dxfId="210" priority="2" timePeriod="today">
      <formula>FLOOR(A1,1)=TODAY()</formula>
    </cfRule>
  </conditionalFormatting>
  <conditionalFormatting sqref="B2:F269">
    <cfRule type="expression" dxfId="209" priority="1">
      <formula>$A2=TODAY()</formula>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tabColor rgb="FF990099"/>
  </sheetPr>
  <dimension ref="A1:QH14"/>
  <sheetViews>
    <sheetView zoomScale="80" zoomScaleNormal="80" workbookViewId="0">
      <pane xSplit="1" ySplit="2" topLeftCell="FV3" activePane="bottomRight" state="frozen"/>
      <selection activeCell="F156" sqref="F156"/>
      <selection pane="topRight" activeCell="F156" sqref="F156"/>
      <selection pane="bottomLeft" activeCell="F156" sqref="F156"/>
      <selection pane="bottomRight" activeCell="BX21" sqref="BX21"/>
    </sheetView>
  </sheetViews>
  <sheetFormatPr defaultRowHeight="14.4" outlineLevelCol="1" x14ac:dyDescent="0.3"/>
  <cols>
    <col min="1" max="1" width="34.5546875" customWidth="1"/>
    <col min="2" max="3" width="14.109375" customWidth="1"/>
    <col min="4" max="16" width="10.88671875" hidden="1" customWidth="1" outlineLevel="1"/>
    <col min="17" max="17" width="12.109375" hidden="1" customWidth="1" outlineLevel="1"/>
    <col min="18" max="19" width="10.33203125" hidden="1" customWidth="1" outlineLevel="1"/>
    <col min="20" max="20" width="9.88671875" hidden="1" customWidth="1" outlineLevel="1"/>
    <col min="21" max="21" width="9.88671875" customWidth="1" collapsed="1"/>
    <col min="22" max="22" width="9.88671875" hidden="1" customWidth="1" outlineLevel="1"/>
    <col min="23" max="30" width="8.6640625" hidden="1" customWidth="1" outlineLevel="1"/>
    <col min="31" max="31" width="8.6640625" collapsed="1"/>
    <col min="32" max="43" width="8.6640625" hidden="1" customWidth="1" outlineLevel="1"/>
    <col min="44" max="44" width="9.88671875" bestFit="1" customWidth="1" collapsed="1"/>
    <col min="45" max="59" width="8.6640625" hidden="1" customWidth="1" outlineLevel="1"/>
    <col min="60" max="60" width="8.6640625" collapsed="1"/>
    <col min="61" max="75" width="8.6640625" hidden="1" customWidth="1" outlineLevel="1"/>
    <col min="76" max="76" width="8.6640625" collapsed="1"/>
    <col min="77" max="91" width="8.6640625" hidden="1" customWidth="1" outlineLevel="1"/>
    <col min="92" max="92" width="8.6640625" customWidth="1" collapsed="1"/>
    <col min="93" max="93" width="8.6640625"/>
    <col min="94" max="108" width="8.6640625" hidden="1" customWidth="1" outlineLevel="1"/>
    <col min="109" max="109" width="8.6640625" customWidth="1" collapsed="1"/>
    <col min="110" max="110" width="8.6640625"/>
    <col min="111" max="125" width="8.6640625" hidden="1" customWidth="1" outlineLevel="1"/>
    <col min="126" max="126" width="8.6640625" customWidth="1" collapsed="1"/>
    <col min="127" max="127" width="8.6640625"/>
    <col min="128" max="142" width="8.6640625" hidden="1" customWidth="1" outlineLevel="1"/>
    <col min="143" max="143" width="8.6640625" customWidth="1" collapsed="1"/>
    <col min="145" max="159" width="8.6640625" hidden="1" customWidth="1" outlineLevel="1"/>
    <col min="160" max="160" width="8.6640625" customWidth="1" collapsed="1"/>
    <col min="162" max="176" width="8.6640625" hidden="1" customWidth="1" outlineLevel="1"/>
    <col min="177" max="177" width="8.6640625" customWidth="1" collapsed="1"/>
    <col min="178" max="178" width="8.6640625"/>
    <col min="179" max="193" width="8.6640625" hidden="1" customWidth="1" outlineLevel="1"/>
    <col min="194" max="194" width="8.6640625" customWidth="1" collapsed="1"/>
    <col min="195" max="195" width="8.6640625"/>
    <col min="196" max="210" width="8.6640625" hidden="1" customWidth="1" outlineLevel="1"/>
    <col min="211" max="211" width="8.6640625" customWidth="1" collapsed="1"/>
    <col min="212" max="212" width="8.6640625"/>
    <col min="213" max="227" width="8.6640625" hidden="1" customWidth="1" outlineLevel="1"/>
    <col min="228" max="228" width="8.6640625" customWidth="1" collapsed="1"/>
    <col min="230" max="244" width="8.6640625" hidden="1" customWidth="1" outlineLevel="1"/>
    <col min="245" max="245" width="8.6640625" customWidth="1" collapsed="1"/>
    <col min="247" max="261" width="8.6640625" hidden="1" customWidth="1" outlineLevel="1"/>
    <col min="262" max="262" width="8.6640625" customWidth="1" collapsed="1"/>
    <col min="264" max="278" width="8.6640625" hidden="1" customWidth="1" outlineLevel="1"/>
    <col min="279" max="279" width="8.6640625" customWidth="1" collapsed="1"/>
    <col min="281" max="295" width="8.6640625" hidden="1" customWidth="1" outlineLevel="1"/>
    <col min="296" max="296" width="8.6640625" customWidth="1" collapsed="1"/>
    <col min="298" max="312" width="8.6640625" hidden="1" customWidth="1" outlineLevel="1"/>
    <col min="313" max="313" width="8.6640625" customWidth="1" collapsed="1"/>
    <col min="315" max="329" width="8.6640625" hidden="1" customWidth="1" outlineLevel="1"/>
    <col min="330" max="330" width="8.6640625" customWidth="1" collapsed="1"/>
    <col min="332" max="346" width="8.6640625" hidden="1" customWidth="1" outlineLevel="1"/>
    <col min="347" max="347" width="8.6640625" customWidth="1" collapsed="1"/>
    <col min="349" max="363" width="8.6640625" hidden="1" customWidth="1" outlineLevel="1"/>
    <col min="364" max="364" width="8.6640625" customWidth="1" collapsed="1"/>
    <col min="366" max="380" width="8.6640625" hidden="1" customWidth="1" outlineLevel="1"/>
    <col min="381" max="381" width="8.6640625" customWidth="1" collapsed="1"/>
    <col min="383" max="397" width="8.6640625" hidden="1" customWidth="1" outlineLevel="1"/>
    <col min="398" max="398" width="8.6640625" customWidth="1" collapsed="1"/>
    <col min="400" max="414" width="8.6640625" hidden="1" customWidth="1" outlineLevel="1"/>
    <col min="415" max="415" width="8.6640625" customWidth="1" collapsed="1"/>
    <col min="417" max="431" width="8.6640625" hidden="1" customWidth="1" outlineLevel="1"/>
    <col min="432" max="432" width="8.6640625" customWidth="1" collapsed="1"/>
    <col min="434" max="448" width="8.6640625" hidden="1" customWidth="1" outlineLevel="1"/>
    <col min="449" max="449" width="8.6640625" customWidth="1" collapsed="1"/>
  </cols>
  <sheetData>
    <row r="1" spans="1:450" ht="15.6" customHeight="1" thickTop="1" thickBot="1" x14ac:dyDescent="0.35">
      <c r="A1" s="1452" t="s">
        <v>1969</v>
      </c>
      <c r="B1" s="1452" t="s">
        <v>5800</v>
      </c>
      <c r="C1" s="1452"/>
      <c r="D1" s="1455" t="s">
        <v>213</v>
      </c>
      <c r="E1" s="1456"/>
      <c r="F1" s="1457" t="s">
        <v>268</v>
      </c>
      <c r="G1" s="1458"/>
      <c r="H1" s="1457" t="s">
        <v>645</v>
      </c>
      <c r="I1" s="1458"/>
      <c r="J1" s="1457" t="s">
        <v>972</v>
      </c>
      <c r="K1" s="1458"/>
      <c r="L1" s="1455" t="s">
        <v>642</v>
      </c>
      <c r="M1" s="1456"/>
      <c r="N1" s="1455" t="s">
        <v>649</v>
      </c>
      <c r="O1" s="1456"/>
      <c r="P1" s="1390" t="s">
        <v>7901</v>
      </c>
      <c r="Q1" s="1455" t="s">
        <v>6694</v>
      </c>
      <c r="R1" s="1459"/>
      <c r="S1" s="1459"/>
      <c r="T1" s="1456"/>
      <c r="U1" s="1390" t="s">
        <v>7542</v>
      </c>
      <c r="V1" s="1450">
        <v>43957</v>
      </c>
      <c r="W1" s="1450"/>
      <c r="X1" s="1450"/>
      <c r="Y1" s="1449">
        <v>43958</v>
      </c>
      <c r="Z1" s="1450"/>
      <c r="AA1" s="1451"/>
      <c r="AB1" s="1450">
        <v>43959</v>
      </c>
      <c r="AC1" s="1450"/>
      <c r="AD1" s="1450"/>
      <c r="AE1" s="1453" t="s">
        <v>5974</v>
      </c>
      <c r="AF1" s="1449">
        <v>43963</v>
      </c>
      <c r="AG1" s="1450"/>
      <c r="AH1" s="1451"/>
      <c r="AI1" s="1450">
        <v>43964</v>
      </c>
      <c r="AJ1" s="1450"/>
      <c r="AK1" s="1450"/>
      <c r="AL1" s="1449">
        <v>43965</v>
      </c>
      <c r="AM1" s="1450"/>
      <c r="AN1" s="1451"/>
      <c r="AO1" s="1450">
        <v>43966</v>
      </c>
      <c r="AP1" s="1450"/>
      <c r="AQ1" s="1451"/>
      <c r="AR1" s="1453" t="s">
        <v>5973</v>
      </c>
      <c r="AS1" s="1449">
        <v>43969</v>
      </c>
      <c r="AT1" s="1450"/>
      <c r="AU1" s="1451"/>
      <c r="AV1" s="1450">
        <v>43970</v>
      </c>
      <c r="AW1" s="1450"/>
      <c r="AX1" s="1450"/>
      <c r="AY1" s="1449">
        <v>43971</v>
      </c>
      <c r="AZ1" s="1450"/>
      <c r="BA1" s="1450"/>
      <c r="BB1" s="1450">
        <v>43972</v>
      </c>
      <c r="BC1" s="1450"/>
      <c r="BD1" s="1450"/>
      <c r="BE1" s="1450">
        <v>43973</v>
      </c>
      <c r="BF1" s="1450"/>
      <c r="BG1" s="1450"/>
      <c r="BH1" s="1453" t="s">
        <v>5975</v>
      </c>
      <c r="BI1" s="1449">
        <v>43976</v>
      </c>
      <c r="BJ1" s="1450"/>
      <c r="BK1" s="1451"/>
      <c r="BL1" s="1450">
        <v>43977</v>
      </c>
      <c r="BM1" s="1450"/>
      <c r="BN1" s="1450"/>
      <c r="BO1" s="1449">
        <v>43978</v>
      </c>
      <c r="BP1" s="1450"/>
      <c r="BQ1" s="1450"/>
      <c r="BR1" s="1450">
        <v>43979</v>
      </c>
      <c r="BS1" s="1450"/>
      <c r="BT1" s="1450"/>
      <c r="BU1" s="1450">
        <v>43980</v>
      </c>
      <c r="BV1" s="1450"/>
      <c r="BW1" s="1450"/>
      <c r="BX1" s="1453" t="s">
        <v>6091</v>
      </c>
      <c r="BY1" s="1449">
        <v>43983</v>
      </c>
      <c r="BZ1" s="1450"/>
      <c r="CA1" s="1451"/>
      <c r="CB1" s="1450">
        <v>43984</v>
      </c>
      <c r="CC1" s="1450"/>
      <c r="CD1" s="1450"/>
      <c r="CE1" s="1449">
        <v>43985</v>
      </c>
      <c r="CF1" s="1450"/>
      <c r="CG1" s="1450"/>
      <c r="CH1" s="1450">
        <v>43986</v>
      </c>
      <c r="CI1" s="1450"/>
      <c r="CJ1" s="1450"/>
      <c r="CK1" s="1450">
        <v>43987</v>
      </c>
      <c r="CL1" s="1450"/>
      <c r="CM1" s="1450"/>
      <c r="CN1" s="1445" t="s">
        <v>6521</v>
      </c>
      <c r="CO1" s="1446"/>
      <c r="CP1" s="1449">
        <v>43990</v>
      </c>
      <c r="CQ1" s="1450"/>
      <c r="CR1" s="1451"/>
      <c r="CS1" s="1450">
        <v>43991</v>
      </c>
      <c r="CT1" s="1450"/>
      <c r="CU1" s="1450"/>
      <c r="CV1" s="1449">
        <v>43992</v>
      </c>
      <c r="CW1" s="1450"/>
      <c r="CX1" s="1450"/>
      <c r="CY1" s="1450">
        <v>43993</v>
      </c>
      <c r="CZ1" s="1450"/>
      <c r="DA1" s="1450"/>
      <c r="DB1" s="1450">
        <v>43994</v>
      </c>
      <c r="DC1" s="1450"/>
      <c r="DD1" s="1450"/>
      <c r="DE1" s="1445" t="s">
        <v>6522</v>
      </c>
      <c r="DF1" s="1446"/>
      <c r="DG1" s="1449">
        <v>43997</v>
      </c>
      <c r="DH1" s="1450"/>
      <c r="DI1" s="1451"/>
      <c r="DJ1" s="1450">
        <v>43998</v>
      </c>
      <c r="DK1" s="1450"/>
      <c r="DL1" s="1450"/>
      <c r="DM1" s="1449">
        <v>43999</v>
      </c>
      <c r="DN1" s="1450"/>
      <c r="DO1" s="1450"/>
      <c r="DP1" s="1450">
        <v>44000</v>
      </c>
      <c r="DQ1" s="1450"/>
      <c r="DR1" s="1450"/>
      <c r="DS1" s="1450">
        <v>44001</v>
      </c>
      <c r="DT1" s="1450"/>
      <c r="DU1" s="1450"/>
      <c r="DV1" s="1445" t="s">
        <v>6693</v>
      </c>
      <c r="DW1" s="1446"/>
      <c r="DX1" s="1449">
        <v>44004</v>
      </c>
      <c r="DY1" s="1450"/>
      <c r="DZ1" s="1451"/>
      <c r="EA1" s="1450">
        <v>44005</v>
      </c>
      <c r="EB1" s="1450"/>
      <c r="EC1" s="1450"/>
      <c r="ED1" s="1449">
        <v>44006</v>
      </c>
      <c r="EE1" s="1450"/>
      <c r="EF1" s="1450"/>
      <c r="EG1" s="1450">
        <v>44007</v>
      </c>
      <c r="EH1" s="1450"/>
      <c r="EI1" s="1450"/>
      <c r="EJ1" s="1450">
        <v>44008</v>
      </c>
      <c r="EK1" s="1450"/>
      <c r="EL1" s="1450"/>
      <c r="EM1" s="1445" t="s">
        <v>7541</v>
      </c>
      <c r="EN1" s="1446"/>
      <c r="EO1" s="1449">
        <v>44011</v>
      </c>
      <c r="EP1" s="1450"/>
      <c r="EQ1" s="1451"/>
      <c r="ER1" s="1450">
        <v>44012</v>
      </c>
      <c r="ES1" s="1450"/>
      <c r="ET1" s="1450"/>
      <c r="EU1" s="1449">
        <v>44013</v>
      </c>
      <c r="EV1" s="1450"/>
      <c r="EW1" s="1450"/>
      <c r="EX1" s="1450">
        <v>44014</v>
      </c>
      <c r="EY1" s="1450"/>
      <c r="EZ1" s="1450"/>
      <c r="FA1" s="1450">
        <v>44015</v>
      </c>
      <c r="FB1" s="1450"/>
      <c r="FC1" s="1450"/>
      <c r="FD1" s="1445" t="s">
        <v>7581</v>
      </c>
      <c r="FE1" s="1446"/>
      <c r="FF1" s="1449">
        <v>44018</v>
      </c>
      <c r="FG1" s="1450"/>
      <c r="FH1" s="1451"/>
      <c r="FI1" s="1450">
        <v>44019</v>
      </c>
      <c r="FJ1" s="1450"/>
      <c r="FK1" s="1450"/>
      <c r="FL1" s="1449">
        <v>44020</v>
      </c>
      <c r="FM1" s="1450"/>
      <c r="FN1" s="1450"/>
      <c r="FO1" s="1450">
        <v>44021</v>
      </c>
      <c r="FP1" s="1450"/>
      <c r="FQ1" s="1450"/>
      <c r="FR1" s="1450">
        <v>44022</v>
      </c>
      <c r="FS1" s="1450"/>
      <c r="FT1" s="1450"/>
      <c r="FU1" s="1445" t="s">
        <v>7738</v>
      </c>
      <c r="FV1" s="1446"/>
      <c r="FW1" s="1449">
        <v>44025</v>
      </c>
      <c r="FX1" s="1450"/>
      <c r="FY1" s="1451"/>
      <c r="FZ1" s="1450">
        <v>44026</v>
      </c>
      <c r="GA1" s="1450"/>
      <c r="GB1" s="1450"/>
      <c r="GC1" s="1449">
        <v>44027</v>
      </c>
      <c r="GD1" s="1450"/>
      <c r="GE1" s="1450"/>
      <c r="GF1" s="1450">
        <v>44028</v>
      </c>
      <c r="GG1" s="1450"/>
      <c r="GH1" s="1450"/>
      <c r="GI1" s="1450">
        <v>44029</v>
      </c>
      <c r="GJ1" s="1450"/>
      <c r="GK1" s="1450"/>
      <c r="GL1" s="1445" t="s">
        <v>7739</v>
      </c>
      <c r="GM1" s="1446"/>
      <c r="GN1" s="1449">
        <v>44032</v>
      </c>
      <c r="GO1" s="1450"/>
      <c r="GP1" s="1451"/>
      <c r="GQ1" s="1450">
        <v>44033</v>
      </c>
      <c r="GR1" s="1450"/>
      <c r="GS1" s="1450"/>
      <c r="GT1" s="1449">
        <v>44034</v>
      </c>
      <c r="GU1" s="1450"/>
      <c r="GV1" s="1450"/>
      <c r="GW1" s="1450">
        <v>44035</v>
      </c>
      <c r="GX1" s="1450"/>
      <c r="GY1" s="1450"/>
      <c r="GZ1" s="1450">
        <v>44036</v>
      </c>
      <c r="HA1" s="1450"/>
      <c r="HB1" s="1450"/>
      <c r="HC1" s="1445" t="s">
        <v>8954</v>
      </c>
      <c r="HD1" s="1446"/>
      <c r="HE1" s="1449">
        <v>44039</v>
      </c>
      <c r="HF1" s="1450"/>
      <c r="HG1" s="1451"/>
      <c r="HH1" s="1450">
        <v>44040</v>
      </c>
      <c r="HI1" s="1450"/>
      <c r="HJ1" s="1450"/>
      <c r="HK1" s="1449">
        <v>44041</v>
      </c>
      <c r="HL1" s="1450"/>
      <c r="HM1" s="1450"/>
      <c r="HN1" s="1450">
        <v>44042</v>
      </c>
      <c r="HO1" s="1450"/>
      <c r="HP1" s="1450"/>
      <c r="HQ1" s="1450">
        <v>44043</v>
      </c>
      <c r="HR1" s="1450"/>
      <c r="HS1" s="1450"/>
      <c r="HT1" s="1445" t="s">
        <v>8955</v>
      </c>
      <c r="HU1" s="1446"/>
      <c r="HV1" s="1449">
        <v>44046</v>
      </c>
      <c r="HW1" s="1450"/>
      <c r="HX1" s="1451"/>
      <c r="HY1" s="1450">
        <v>44047</v>
      </c>
      <c r="HZ1" s="1450"/>
      <c r="IA1" s="1450"/>
      <c r="IB1" s="1449">
        <v>44048</v>
      </c>
      <c r="IC1" s="1450"/>
      <c r="ID1" s="1450"/>
      <c r="IE1" s="1450">
        <v>44049</v>
      </c>
      <c r="IF1" s="1450"/>
      <c r="IG1" s="1450"/>
      <c r="IH1" s="1450">
        <v>44050</v>
      </c>
      <c r="II1" s="1450"/>
      <c r="IJ1" s="1450"/>
      <c r="IK1" s="1445" t="s">
        <v>9222</v>
      </c>
      <c r="IL1" s="1446"/>
      <c r="IM1" s="1449">
        <v>44053</v>
      </c>
      <c r="IN1" s="1450"/>
      <c r="IO1" s="1451"/>
      <c r="IP1" s="1450">
        <v>44054</v>
      </c>
      <c r="IQ1" s="1450"/>
      <c r="IR1" s="1450"/>
      <c r="IS1" s="1449">
        <v>44055</v>
      </c>
      <c r="IT1" s="1450"/>
      <c r="IU1" s="1450"/>
      <c r="IV1" s="1450">
        <v>44056</v>
      </c>
      <c r="IW1" s="1450"/>
      <c r="IX1" s="1450"/>
      <c r="IY1" s="1450">
        <v>44057</v>
      </c>
      <c r="IZ1" s="1450"/>
      <c r="JA1" s="1450"/>
      <c r="JB1" s="1445" t="s">
        <v>9794</v>
      </c>
      <c r="JC1" s="1446"/>
      <c r="JD1" s="1449">
        <v>44060</v>
      </c>
      <c r="JE1" s="1450"/>
      <c r="JF1" s="1451"/>
      <c r="JG1" s="1450">
        <v>44061</v>
      </c>
      <c r="JH1" s="1450"/>
      <c r="JI1" s="1450"/>
      <c r="JJ1" s="1449">
        <v>44062</v>
      </c>
      <c r="JK1" s="1450"/>
      <c r="JL1" s="1450"/>
      <c r="JM1" s="1450">
        <v>44063</v>
      </c>
      <c r="JN1" s="1450"/>
      <c r="JO1" s="1450"/>
      <c r="JP1" s="1450">
        <v>44064</v>
      </c>
      <c r="JQ1" s="1450"/>
      <c r="JR1" s="1450"/>
      <c r="JS1" s="1445" t="s">
        <v>10044</v>
      </c>
      <c r="JT1" s="1446"/>
      <c r="JU1" s="1449">
        <v>44067</v>
      </c>
      <c r="JV1" s="1450"/>
      <c r="JW1" s="1451"/>
      <c r="JX1" s="1450">
        <v>44068</v>
      </c>
      <c r="JY1" s="1450"/>
      <c r="JZ1" s="1450"/>
      <c r="KA1" s="1449">
        <v>44069</v>
      </c>
      <c r="KB1" s="1450"/>
      <c r="KC1" s="1450"/>
      <c r="KD1" s="1450">
        <v>44070</v>
      </c>
      <c r="KE1" s="1450"/>
      <c r="KF1" s="1450"/>
      <c r="KG1" s="1450">
        <v>44071</v>
      </c>
      <c r="KH1" s="1450"/>
      <c r="KI1" s="1450"/>
      <c r="KJ1" s="1445" t="s">
        <v>10045</v>
      </c>
      <c r="KK1" s="1446"/>
      <c r="KL1" s="1449">
        <v>44074</v>
      </c>
      <c r="KM1" s="1450"/>
      <c r="KN1" s="1451"/>
      <c r="KO1" s="1450">
        <v>44075</v>
      </c>
      <c r="KP1" s="1450"/>
      <c r="KQ1" s="1450"/>
      <c r="KR1" s="1449">
        <v>44076</v>
      </c>
      <c r="KS1" s="1450"/>
      <c r="KT1" s="1450"/>
      <c r="KU1" s="1450">
        <v>44077</v>
      </c>
      <c r="KV1" s="1450"/>
      <c r="KW1" s="1450"/>
      <c r="KX1" s="1450">
        <v>44078</v>
      </c>
      <c r="KY1" s="1450"/>
      <c r="KZ1" s="1450"/>
      <c r="LA1" s="1445" t="s">
        <v>10212</v>
      </c>
      <c r="LB1" s="1446"/>
      <c r="LC1" s="1450">
        <v>44081</v>
      </c>
      <c r="LD1" s="1450"/>
      <c r="LE1" s="1450"/>
      <c r="LF1" s="1450">
        <v>44082</v>
      </c>
      <c r="LG1" s="1450"/>
      <c r="LH1" s="1450"/>
      <c r="LI1" s="1449">
        <v>44083</v>
      </c>
      <c r="LJ1" s="1450"/>
      <c r="LK1" s="1450"/>
      <c r="LL1" s="1450">
        <v>44084</v>
      </c>
      <c r="LM1" s="1450"/>
      <c r="LN1" s="1450"/>
      <c r="LO1" s="1450">
        <v>44085</v>
      </c>
      <c r="LP1" s="1450"/>
      <c r="LQ1" s="1450"/>
      <c r="LR1" s="1445" t="s">
        <v>10386</v>
      </c>
      <c r="LS1" s="1446"/>
      <c r="LT1" s="1450">
        <v>44088</v>
      </c>
      <c r="LU1" s="1450"/>
      <c r="LV1" s="1450"/>
      <c r="LW1" s="1450">
        <v>44089</v>
      </c>
      <c r="LX1" s="1450"/>
      <c r="LY1" s="1450"/>
      <c r="LZ1" s="1449">
        <v>44090</v>
      </c>
      <c r="MA1" s="1450"/>
      <c r="MB1" s="1450"/>
      <c r="MC1" s="1450">
        <v>44091</v>
      </c>
      <c r="MD1" s="1450"/>
      <c r="ME1" s="1450"/>
      <c r="MF1" s="1450">
        <v>44092</v>
      </c>
      <c r="MG1" s="1450"/>
      <c r="MH1" s="1450"/>
      <c r="MI1" s="1445" t="s">
        <v>10618</v>
      </c>
      <c r="MJ1" s="1446"/>
      <c r="MK1" s="1450">
        <v>44095</v>
      </c>
      <c r="ML1" s="1450"/>
      <c r="MM1" s="1450"/>
      <c r="MN1" s="1450">
        <v>44096</v>
      </c>
      <c r="MO1" s="1450"/>
      <c r="MP1" s="1450"/>
      <c r="MQ1" s="1449">
        <v>44097</v>
      </c>
      <c r="MR1" s="1450"/>
      <c r="MS1" s="1450"/>
      <c r="MT1" s="1450">
        <v>44098</v>
      </c>
      <c r="MU1" s="1450"/>
      <c r="MV1" s="1450"/>
      <c r="MW1" s="1450">
        <v>44099</v>
      </c>
      <c r="MX1" s="1450"/>
      <c r="MY1" s="1450"/>
      <c r="MZ1" s="1445" t="s">
        <v>10671</v>
      </c>
      <c r="NA1" s="1446"/>
      <c r="NB1" s="1450">
        <v>44102</v>
      </c>
      <c r="NC1" s="1450"/>
      <c r="ND1" s="1450"/>
      <c r="NE1" s="1450">
        <v>44103</v>
      </c>
      <c r="NF1" s="1450"/>
      <c r="NG1" s="1450"/>
      <c r="NH1" s="1449">
        <v>44104</v>
      </c>
      <c r="NI1" s="1450"/>
      <c r="NJ1" s="1450"/>
      <c r="NK1" s="1450">
        <v>44105</v>
      </c>
      <c r="NL1" s="1450"/>
      <c r="NM1" s="1450"/>
      <c r="NN1" s="1450">
        <v>44106</v>
      </c>
      <c r="NO1" s="1450"/>
      <c r="NP1" s="1450"/>
      <c r="NQ1" s="1445" t="s">
        <v>11343</v>
      </c>
      <c r="NR1" s="1446"/>
      <c r="NS1" s="1450">
        <v>44109</v>
      </c>
      <c r="NT1" s="1450"/>
      <c r="NU1" s="1450"/>
      <c r="NV1" s="1450">
        <v>44110</v>
      </c>
      <c r="NW1" s="1450"/>
      <c r="NX1" s="1450"/>
      <c r="NY1" s="1449">
        <v>44111</v>
      </c>
      <c r="NZ1" s="1450"/>
      <c r="OA1" s="1450"/>
      <c r="OB1" s="1450">
        <v>44112</v>
      </c>
      <c r="OC1" s="1450"/>
      <c r="OD1" s="1450"/>
      <c r="OE1" s="1450">
        <v>44113</v>
      </c>
      <c r="OF1" s="1450"/>
      <c r="OG1" s="1450"/>
      <c r="OH1" s="1445" t="s">
        <v>11344</v>
      </c>
      <c r="OI1" s="1446"/>
      <c r="OJ1" s="1450">
        <v>44116</v>
      </c>
      <c r="OK1" s="1450"/>
      <c r="OL1" s="1450"/>
      <c r="OM1" s="1450">
        <v>44117</v>
      </c>
      <c r="ON1" s="1450"/>
      <c r="OO1" s="1450"/>
      <c r="OP1" s="1449">
        <v>44118</v>
      </c>
      <c r="OQ1" s="1450"/>
      <c r="OR1" s="1450"/>
      <c r="OS1" s="1450">
        <v>44119</v>
      </c>
      <c r="OT1" s="1450"/>
      <c r="OU1" s="1450"/>
      <c r="OV1" s="1450">
        <v>44120</v>
      </c>
      <c r="OW1" s="1450"/>
      <c r="OX1" s="1450"/>
      <c r="OY1" s="1445" t="s">
        <v>11617</v>
      </c>
      <c r="OZ1" s="1446"/>
      <c r="PA1" s="1450">
        <v>44137</v>
      </c>
      <c r="PB1" s="1450"/>
      <c r="PC1" s="1450"/>
      <c r="PD1" s="1450">
        <v>44138</v>
      </c>
      <c r="PE1" s="1450"/>
      <c r="PF1" s="1450"/>
      <c r="PG1" s="1449">
        <v>44139</v>
      </c>
      <c r="PH1" s="1450"/>
      <c r="PI1" s="1450"/>
      <c r="PJ1" s="1450">
        <v>44140</v>
      </c>
      <c r="PK1" s="1450"/>
      <c r="PL1" s="1450"/>
      <c r="PM1" s="1450">
        <v>44141</v>
      </c>
      <c r="PN1" s="1450"/>
      <c r="PO1" s="1450"/>
      <c r="PP1" s="1445" t="s">
        <v>11752</v>
      </c>
      <c r="PQ1" s="1446"/>
      <c r="PR1" s="1450">
        <v>44144</v>
      </c>
      <c r="PS1" s="1450"/>
      <c r="PT1" s="1450"/>
      <c r="PU1" s="1450">
        <v>44145</v>
      </c>
      <c r="PV1" s="1450"/>
      <c r="PW1" s="1450"/>
      <c r="PX1" s="1449">
        <v>44146</v>
      </c>
      <c r="PY1" s="1450"/>
      <c r="PZ1" s="1450"/>
      <c r="QA1" s="1450">
        <v>44147</v>
      </c>
      <c r="QB1" s="1450"/>
      <c r="QC1" s="1450"/>
      <c r="QD1" s="1450">
        <v>44148</v>
      </c>
      <c r="QE1" s="1450"/>
      <c r="QF1" s="1450"/>
      <c r="QG1" s="1445" t="s">
        <v>12504</v>
      </c>
      <c r="QH1" s="1446"/>
    </row>
    <row r="2" spans="1:450" ht="15.6" thickTop="1" thickBot="1" x14ac:dyDescent="0.35">
      <c r="A2" s="1452"/>
      <c r="B2" s="1322" t="s">
        <v>45</v>
      </c>
      <c r="C2" s="1322" t="s">
        <v>11615</v>
      </c>
      <c r="D2" s="665"/>
      <c r="E2" s="665" t="s">
        <v>5728</v>
      </c>
      <c r="F2" s="738"/>
      <c r="G2" s="738" t="s">
        <v>5728</v>
      </c>
      <c r="H2" s="738"/>
      <c r="I2" s="738" t="s">
        <v>5728</v>
      </c>
      <c r="J2" s="738"/>
      <c r="K2" s="738" t="s">
        <v>5728</v>
      </c>
      <c r="L2" s="732"/>
      <c r="M2" s="732" t="s">
        <v>5728</v>
      </c>
      <c r="N2" s="732"/>
      <c r="O2" s="732" t="s">
        <v>5728</v>
      </c>
      <c r="P2" s="1391"/>
      <c r="Q2" s="633" t="s">
        <v>5968</v>
      </c>
      <c r="R2" s="633" t="s">
        <v>5969</v>
      </c>
      <c r="S2" s="633" t="s">
        <v>6692</v>
      </c>
      <c r="T2" s="633" t="s">
        <v>5728</v>
      </c>
      <c r="U2" s="1391"/>
      <c r="V2" s="584" t="s">
        <v>5968</v>
      </c>
      <c r="W2" s="584" t="s">
        <v>5969</v>
      </c>
      <c r="X2" s="584" t="s">
        <v>5728</v>
      </c>
      <c r="Y2" s="585" t="s">
        <v>5968</v>
      </c>
      <c r="Z2" s="584" t="s">
        <v>5969</v>
      </c>
      <c r="AA2" s="587" t="s">
        <v>5728</v>
      </c>
      <c r="AB2" s="584" t="s">
        <v>5968</v>
      </c>
      <c r="AC2" s="584" t="s">
        <v>5969</v>
      </c>
      <c r="AD2" s="584" t="s">
        <v>5728</v>
      </c>
      <c r="AE2" s="1454"/>
      <c r="AF2" s="585" t="s">
        <v>5968</v>
      </c>
      <c r="AG2" s="584" t="s">
        <v>5969</v>
      </c>
      <c r="AH2" s="587" t="s">
        <v>5728</v>
      </c>
      <c r="AI2" s="584" t="s">
        <v>5968</v>
      </c>
      <c r="AJ2" s="584" t="s">
        <v>5969</v>
      </c>
      <c r="AK2" s="584" t="s">
        <v>5728</v>
      </c>
      <c r="AL2" s="585" t="s">
        <v>5968</v>
      </c>
      <c r="AM2" s="584" t="s">
        <v>5969</v>
      </c>
      <c r="AN2" s="587" t="s">
        <v>5728</v>
      </c>
      <c r="AO2" s="584" t="s">
        <v>5968</v>
      </c>
      <c r="AP2" s="584" t="s">
        <v>5969</v>
      </c>
      <c r="AQ2" s="598" t="s">
        <v>5728</v>
      </c>
      <c r="AR2" s="1454"/>
      <c r="AS2" s="585" t="s">
        <v>5968</v>
      </c>
      <c r="AT2" s="584" t="s">
        <v>5969</v>
      </c>
      <c r="AU2" s="587" t="s">
        <v>5728</v>
      </c>
      <c r="AV2" s="584" t="s">
        <v>5968</v>
      </c>
      <c r="AW2" s="584" t="s">
        <v>5969</v>
      </c>
      <c r="AX2" s="584" t="s">
        <v>5728</v>
      </c>
      <c r="AY2" s="585" t="s">
        <v>5968</v>
      </c>
      <c r="AZ2" s="584" t="s">
        <v>5969</v>
      </c>
      <c r="BA2" s="584" t="s">
        <v>5728</v>
      </c>
      <c r="BB2" s="584" t="s">
        <v>5968</v>
      </c>
      <c r="BC2" s="584" t="s">
        <v>5969</v>
      </c>
      <c r="BD2" s="584" t="s">
        <v>5728</v>
      </c>
      <c r="BE2" s="584" t="s">
        <v>5968</v>
      </c>
      <c r="BF2" s="584" t="s">
        <v>5969</v>
      </c>
      <c r="BG2" s="584" t="s">
        <v>5728</v>
      </c>
      <c r="BH2" s="1454"/>
      <c r="BI2" s="612" t="s">
        <v>5968</v>
      </c>
      <c r="BJ2" s="611" t="s">
        <v>5969</v>
      </c>
      <c r="BK2" s="613" t="s">
        <v>5728</v>
      </c>
      <c r="BL2" s="611" t="s">
        <v>5968</v>
      </c>
      <c r="BM2" s="611" t="s">
        <v>5969</v>
      </c>
      <c r="BN2" s="611" t="s">
        <v>5728</v>
      </c>
      <c r="BO2" s="612" t="s">
        <v>5968</v>
      </c>
      <c r="BP2" s="611" t="s">
        <v>5969</v>
      </c>
      <c r="BQ2" s="611" t="s">
        <v>5728</v>
      </c>
      <c r="BR2" s="611" t="s">
        <v>5968</v>
      </c>
      <c r="BS2" s="611" t="s">
        <v>5969</v>
      </c>
      <c r="BT2" s="611" t="s">
        <v>5728</v>
      </c>
      <c r="BU2" s="611" t="s">
        <v>5968</v>
      </c>
      <c r="BV2" s="611" t="s">
        <v>5969</v>
      </c>
      <c r="BW2" s="611" t="s">
        <v>5728</v>
      </c>
      <c r="BX2" s="1454"/>
      <c r="BY2" s="627" t="s">
        <v>5968</v>
      </c>
      <c r="BZ2" s="626" t="s">
        <v>5969</v>
      </c>
      <c r="CA2" s="628" t="s">
        <v>5728</v>
      </c>
      <c r="CB2" s="626" t="s">
        <v>5968</v>
      </c>
      <c r="CC2" s="626" t="s">
        <v>5969</v>
      </c>
      <c r="CD2" s="626" t="s">
        <v>5728</v>
      </c>
      <c r="CE2" s="627" t="s">
        <v>5968</v>
      </c>
      <c r="CF2" s="626" t="s">
        <v>5969</v>
      </c>
      <c r="CG2" s="626" t="s">
        <v>5728</v>
      </c>
      <c r="CH2" s="626" t="s">
        <v>5968</v>
      </c>
      <c r="CI2" s="626" t="s">
        <v>5969</v>
      </c>
      <c r="CJ2" s="626" t="s">
        <v>5728</v>
      </c>
      <c r="CK2" s="626" t="s">
        <v>5968</v>
      </c>
      <c r="CL2" s="626" t="s">
        <v>5969</v>
      </c>
      <c r="CM2" s="626" t="s">
        <v>5728</v>
      </c>
      <c r="CN2" s="1447"/>
      <c r="CO2" s="1448"/>
      <c r="CP2" s="627" t="s">
        <v>5968</v>
      </c>
      <c r="CQ2" s="626" t="s">
        <v>5969</v>
      </c>
      <c r="CR2" s="628" t="s">
        <v>5728</v>
      </c>
      <c r="CS2" s="626" t="s">
        <v>5968</v>
      </c>
      <c r="CT2" s="626" t="s">
        <v>5969</v>
      </c>
      <c r="CU2" s="626" t="s">
        <v>5728</v>
      </c>
      <c r="CV2" s="627" t="s">
        <v>5968</v>
      </c>
      <c r="CW2" s="626" t="s">
        <v>5969</v>
      </c>
      <c r="CX2" s="626" t="s">
        <v>5728</v>
      </c>
      <c r="CY2" s="626" t="s">
        <v>5968</v>
      </c>
      <c r="CZ2" s="626" t="s">
        <v>5969</v>
      </c>
      <c r="DA2" s="626" t="s">
        <v>5728</v>
      </c>
      <c r="DB2" s="626" t="s">
        <v>5968</v>
      </c>
      <c r="DC2" s="626" t="s">
        <v>5969</v>
      </c>
      <c r="DD2" s="626" t="s">
        <v>5728</v>
      </c>
      <c r="DE2" s="1447"/>
      <c r="DF2" s="1448"/>
      <c r="DG2" s="630" t="s">
        <v>5968</v>
      </c>
      <c r="DH2" s="631" t="s">
        <v>5969</v>
      </c>
      <c r="DI2" s="632" t="s">
        <v>5728</v>
      </c>
      <c r="DJ2" s="631" t="s">
        <v>5968</v>
      </c>
      <c r="DK2" s="631" t="s">
        <v>5969</v>
      </c>
      <c r="DL2" s="631" t="s">
        <v>5728</v>
      </c>
      <c r="DM2" s="630" t="s">
        <v>5968</v>
      </c>
      <c r="DN2" s="631" t="s">
        <v>5969</v>
      </c>
      <c r="DO2" s="631" t="s">
        <v>5728</v>
      </c>
      <c r="DP2" s="631" t="s">
        <v>5968</v>
      </c>
      <c r="DQ2" s="631" t="s">
        <v>5969</v>
      </c>
      <c r="DR2" s="631" t="s">
        <v>5728</v>
      </c>
      <c r="DS2" s="631" t="s">
        <v>5968</v>
      </c>
      <c r="DT2" s="631" t="s">
        <v>5969</v>
      </c>
      <c r="DU2" s="631" t="s">
        <v>5728</v>
      </c>
      <c r="DV2" s="1447"/>
      <c r="DW2" s="1448"/>
      <c r="DX2" s="701" t="s">
        <v>5968</v>
      </c>
      <c r="DY2" s="700" t="s">
        <v>5969</v>
      </c>
      <c r="DZ2" s="702" t="s">
        <v>5728</v>
      </c>
      <c r="EA2" s="700" t="s">
        <v>5968</v>
      </c>
      <c r="EB2" s="700" t="s">
        <v>5969</v>
      </c>
      <c r="EC2" s="700" t="s">
        <v>5728</v>
      </c>
      <c r="ED2" s="701" t="s">
        <v>5968</v>
      </c>
      <c r="EE2" s="700" t="s">
        <v>5969</v>
      </c>
      <c r="EF2" s="700" t="s">
        <v>5728</v>
      </c>
      <c r="EG2" s="700" t="s">
        <v>5968</v>
      </c>
      <c r="EH2" s="700" t="s">
        <v>5969</v>
      </c>
      <c r="EI2" s="700" t="s">
        <v>5728</v>
      </c>
      <c r="EJ2" s="700" t="s">
        <v>5968</v>
      </c>
      <c r="EK2" s="700" t="s">
        <v>5969</v>
      </c>
      <c r="EL2" s="700" t="s">
        <v>5728</v>
      </c>
      <c r="EM2" s="1447"/>
      <c r="EN2" s="1448"/>
      <c r="EO2" s="703" t="s">
        <v>5968</v>
      </c>
      <c r="EP2" s="704" t="s">
        <v>5969</v>
      </c>
      <c r="EQ2" s="705" t="s">
        <v>5728</v>
      </c>
      <c r="ER2" s="704" t="s">
        <v>5968</v>
      </c>
      <c r="ES2" s="704" t="s">
        <v>5969</v>
      </c>
      <c r="ET2" s="704" t="s">
        <v>5728</v>
      </c>
      <c r="EU2" s="703" t="s">
        <v>5968</v>
      </c>
      <c r="EV2" s="704" t="s">
        <v>5969</v>
      </c>
      <c r="EW2" s="704" t="s">
        <v>5728</v>
      </c>
      <c r="EX2" s="704" t="s">
        <v>5968</v>
      </c>
      <c r="EY2" s="704" t="s">
        <v>5969</v>
      </c>
      <c r="EZ2" s="704" t="s">
        <v>5728</v>
      </c>
      <c r="FA2" s="704" t="s">
        <v>5968</v>
      </c>
      <c r="FB2" s="704" t="s">
        <v>5969</v>
      </c>
      <c r="FC2" s="704" t="s">
        <v>5728</v>
      </c>
      <c r="FD2" s="1447"/>
      <c r="FE2" s="1448"/>
      <c r="FF2" s="706" t="s">
        <v>5968</v>
      </c>
      <c r="FG2" s="707" t="s">
        <v>5969</v>
      </c>
      <c r="FH2" s="708" t="s">
        <v>5728</v>
      </c>
      <c r="FI2" s="707" t="s">
        <v>5968</v>
      </c>
      <c r="FJ2" s="707" t="s">
        <v>5969</v>
      </c>
      <c r="FK2" s="707" t="s">
        <v>5728</v>
      </c>
      <c r="FL2" s="706" t="s">
        <v>5968</v>
      </c>
      <c r="FM2" s="707" t="s">
        <v>5969</v>
      </c>
      <c r="FN2" s="707" t="s">
        <v>5728</v>
      </c>
      <c r="FO2" s="707" t="s">
        <v>5968</v>
      </c>
      <c r="FP2" s="707" t="s">
        <v>5969</v>
      </c>
      <c r="FQ2" s="707" t="s">
        <v>5728</v>
      </c>
      <c r="FR2" s="707" t="s">
        <v>5968</v>
      </c>
      <c r="FS2" s="707" t="s">
        <v>5969</v>
      </c>
      <c r="FT2" s="707" t="s">
        <v>5728</v>
      </c>
      <c r="FU2" s="1447"/>
      <c r="FV2" s="1448"/>
      <c r="FW2" s="710" t="s">
        <v>5968</v>
      </c>
      <c r="FX2" s="711" t="s">
        <v>5969</v>
      </c>
      <c r="FY2" s="712" t="s">
        <v>5728</v>
      </c>
      <c r="FZ2" s="711" t="s">
        <v>5968</v>
      </c>
      <c r="GA2" s="711" t="s">
        <v>5969</v>
      </c>
      <c r="GB2" s="711" t="s">
        <v>5728</v>
      </c>
      <c r="GC2" s="710" t="s">
        <v>5968</v>
      </c>
      <c r="GD2" s="711" t="s">
        <v>5969</v>
      </c>
      <c r="GE2" s="711" t="s">
        <v>5728</v>
      </c>
      <c r="GF2" s="711" t="s">
        <v>5968</v>
      </c>
      <c r="GG2" s="711" t="s">
        <v>5969</v>
      </c>
      <c r="GH2" s="711" t="s">
        <v>5728</v>
      </c>
      <c r="GI2" s="711" t="s">
        <v>5968</v>
      </c>
      <c r="GJ2" s="711" t="s">
        <v>5969</v>
      </c>
      <c r="GK2" s="711" t="s">
        <v>5728</v>
      </c>
      <c r="GL2" s="1447"/>
      <c r="GM2" s="1448"/>
      <c r="GN2" s="1115" t="s">
        <v>5968</v>
      </c>
      <c r="GO2" s="1116" t="s">
        <v>5969</v>
      </c>
      <c r="GP2" s="1117" t="s">
        <v>5728</v>
      </c>
      <c r="GQ2" s="1116" t="s">
        <v>5968</v>
      </c>
      <c r="GR2" s="1116" t="s">
        <v>5969</v>
      </c>
      <c r="GS2" s="1116" t="s">
        <v>5728</v>
      </c>
      <c r="GT2" s="1115" t="s">
        <v>5968</v>
      </c>
      <c r="GU2" s="1116" t="s">
        <v>5969</v>
      </c>
      <c r="GV2" s="1116" t="s">
        <v>5728</v>
      </c>
      <c r="GW2" s="1116" t="s">
        <v>5968</v>
      </c>
      <c r="GX2" s="1116" t="s">
        <v>5969</v>
      </c>
      <c r="GY2" s="1116" t="s">
        <v>5728</v>
      </c>
      <c r="GZ2" s="1116" t="s">
        <v>5968</v>
      </c>
      <c r="HA2" s="1116" t="s">
        <v>5969</v>
      </c>
      <c r="HB2" s="1116" t="s">
        <v>5728</v>
      </c>
      <c r="HC2" s="1447"/>
      <c r="HD2" s="1448"/>
      <c r="HE2" s="1115" t="s">
        <v>5968</v>
      </c>
      <c r="HF2" s="1116" t="s">
        <v>5969</v>
      </c>
      <c r="HG2" s="1117" t="s">
        <v>5728</v>
      </c>
      <c r="HH2" s="1116" t="s">
        <v>5968</v>
      </c>
      <c r="HI2" s="1116" t="s">
        <v>5969</v>
      </c>
      <c r="HJ2" s="1116" t="s">
        <v>5728</v>
      </c>
      <c r="HK2" s="1115" t="s">
        <v>5968</v>
      </c>
      <c r="HL2" s="1116" t="s">
        <v>5969</v>
      </c>
      <c r="HM2" s="1116" t="s">
        <v>5728</v>
      </c>
      <c r="HN2" s="1116" t="s">
        <v>5968</v>
      </c>
      <c r="HO2" s="1116" t="s">
        <v>5969</v>
      </c>
      <c r="HP2" s="1116" t="s">
        <v>5728</v>
      </c>
      <c r="HQ2" s="1116" t="s">
        <v>5968</v>
      </c>
      <c r="HR2" s="1116" t="s">
        <v>5969</v>
      </c>
      <c r="HS2" s="1116" t="s">
        <v>5728</v>
      </c>
      <c r="HT2" s="1447"/>
      <c r="HU2" s="1448"/>
      <c r="HV2" s="1159" t="s">
        <v>5968</v>
      </c>
      <c r="HW2" s="1160" t="s">
        <v>5969</v>
      </c>
      <c r="HX2" s="1161" t="s">
        <v>5728</v>
      </c>
      <c r="HY2" s="1160" t="s">
        <v>5968</v>
      </c>
      <c r="HZ2" s="1160" t="s">
        <v>5969</v>
      </c>
      <c r="IA2" s="1160" t="s">
        <v>5728</v>
      </c>
      <c r="IB2" s="1159" t="s">
        <v>5968</v>
      </c>
      <c r="IC2" s="1160" t="s">
        <v>5969</v>
      </c>
      <c r="ID2" s="1160" t="s">
        <v>5728</v>
      </c>
      <c r="IE2" s="1160" t="s">
        <v>5968</v>
      </c>
      <c r="IF2" s="1160" t="s">
        <v>5969</v>
      </c>
      <c r="IG2" s="1160" t="s">
        <v>5728</v>
      </c>
      <c r="IH2" s="1160" t="s">
        <v>5968</v>
      </c>
      <c r="II2" s="1160" t="s">
        <v>5969</v>
      </c>
      <c r="IJ2" s="1160" t="s">
        <v>5728</v>
      </c>
      <c r="IK2" s="1447"/>
      <c r="IL2" s="1448"/>
      <c r="IM2" s="1165" t="s">
        <v>5968</v>
      </c>
      <c r="IN2" s="1164" t="s">
        <v>5969</v>
      </c>
      <c r="IO2" s="1166" t="s">
        <v>5728</v>
      </c>
      <c r="IP2" s="1164" t="s">
        <v>5968</v>
      </c>
      <c r="IQ2" s="1164" t="s">
        <v>5969</v>
      </c>
      <c r="IR2" s="1164" t="s">
        <v>5728</v>
      </c>
      <c r="IS2" s="1165" t="s">
        <v>5968</v>
      </c>
      <c r="IT2" s="1164" t="s">
        <v>5969</v>
      </c>
      <c r="IU2" s="1164" t="s">
        <v>5728</v>
      </c>
      <c r="IV2" s="1164" t="s">
        <v>5968</v>
      </c>
      <c r="IW2" s="1164" t="s">
        <v>5969</v>
      </c>
      <c r="IX2" s="1164" t="s">
        <v>5728</v>
      </c>
      <c r="IY2" s="1164" t="s">
        <v>5968</v>
      </c>
      <c r="IZ2" s="1164" t="s">
        <v>5969</v>
      </c>
      <c r="JA2" s="1164" t="s">
        <v>5728</v>
      </c>
      <c r="JB2" s="1447"/>
      <c r="JC2" s="1448"/>
      <c r="JD2" s="1229" t="s">
        <v>5968</v>
      </c>
      <c r="JE2" s="1230" t="s">
        <v>5969</v>
      </c>
      <c r="JF2" s="1231" t="s">
        <v>5728</v>
      </c>
      <c r="JG2" s="1230" t="s">
        <v>5968</v>
      </c>
      <c r="JH2" s="1230" t="s">
        <v>5969</v>
      </c>
      <c r="JI2" s="1230" t="s">
        <v>5728</v>
      </c>
      <c r="JJ2" s="1229" t="s">
        <v>5968</v>
      </c>
      <c r="JK2" s="1230" t="s">
        <v>5969</v>
      </c>
      <c r="JL2" s="1230" t="s">
        <v>5728</v>
      </c>
      <c r="JM2" s="1230" t="s">
        <v>5968</v>
      </c>
      <c r="JN2" s="1230" t="s">
        <v>5969</v>
      </c>
      <c r="JO2" s="1230" t="s">
        <v>5728</v>
      </c>
      <c r="JP2" s="1230" t="s">
        <v>5968</v>
      </c>
      <c r="JQ2" s="1230" t="s">
        <v>5969</v>
      </c>
      <c r="JR2" s="1230" t="s">
        <v>5728</v>
      </c>
      <c r="JS2" s="1447"/>
      <c r="JT2" s="1448"/>
      <c r="JU2" s="1250" t="s">
        <v>5968</v>
      </c>
      <c r="JV2" s="1251" t="s">
        <v>5969</v>
      </c>
      <c r="JW2" s="1252" t="s">
        <v>5728</v>
      </c>
      <c r="JX2" s="1251" t="s">
        <v>5968</v>
      </c>
      <c r="JY2" s="1251" t="s">
        <v>5969</v>
      </c>
      <c r="JZ2" s="1251" t="s">
        <v>5728</v>
      </c>
      <c r="KA2" s="1250" t="s">
        <v>5968</v>
      </c>
      <c r="KB2" s="1251" t="s">
        <v>5969</v>
      </c>
      <c r="KC2" s="1251" t="s">
        <v>5728</v>
      </c>
      <c r="KD2" s="1251" t="s">
        <v>5968</v>
      </c>
      <c r="KE2" s="1251" t="s">
        <v>5969</v>
      </c>
      <c r="KF2" s="1251" t="s">
        <v>5728</v>
      </c>
      <c r="KG2" s="1251" t="s">
        <v>5968</v>
      </c>
      <c r="KH2" s="1251" t="s">
        <v>5969</v>
      </c>
      <c r="KI2" s="1251" t="s">
        <v>5728</v>
      </c>
      <c r="KJ2" s="1447"/>
      <c r="KK2" s="1448"/>
      <c r="KL2" s="1272" t="s">
        <v>5968</v>
      </c>
      <c r="KM2" s="1273" t="s">
        <v>5969</v>
      </c>
      <c r="KN2" s="1274" t="s">
        <v>5728</v>
      </c>
      <c r="KO2" s="1273" t="s">
        <v>5968</v>
      </c>
      <c r="KP2" s="1273" t="s">
        <v>5969</v>
      </c>
      <c r="KQ2" s="1273" t="s">
        <v>5728</v>
      </c>
      <c r="KR2" s="1272" t="s">
        <v>5968</v>
      </c>
      <c r="KS2" s="1273" t="s">
        <v>5969</v>
      </c>
      <c r="KT2" s="1273" t="s">
        <v>5728</v>
      </c>
      <c r="KU2" s="1273" t="s">
        <v>5968</v>
      </c>
      <c r="KV2" s="1273" t="s">
        <v>5969</v>
      </c>
      <c r="KW2" s="1273" t="s">
        <v>5728</v>
      </c>
      <c r="KX2" s="1273" t="s">
        <v>5968</v>
      </c>
      <c r="KY2" s="1273" t="s">
        <v>5969</v>
      </c>
      <c r="KZ2" s="1273" t="s">
        <v>5728</v>
      </c>
      <c r="LA2" s="1447"/>
      <c r="LB2" s="1448"/>
      <c r="LC2" s="1276" t="s">
        <v>5968</v>
      </c>
      <c r="LD2" s="1277" t="s">
        <v>5969</v>
      </c>
      <c r="LE2" s="1278" t="s">
        <v>5728</v>
      </c>
      <c r="LF2" s="1277" t="s">
        <v>5968</v>
      </c>
      <c r="LG2" s="1277" t="s">
        <v>5969</v>
      </c>
      <c r="LH2" s="1277" t="s">
        <v>5728</v>
      </c>
      <c r="LI2" s="1276" t="s">
        <v>5968</v>
      </c>
      <c r="LJ2" s="1277" t="s">
        <v>5969</v>
      </c>
      <c r="LK2" s="1277" t="s">
        <v>5728</v>
      </c>
      <c r="LL2" s="1277" t="s">
        <v>5968</v>
      </c>
      <c r="LM2" s="1277" t="s">
        <v>5969</v>
      </c>
      <c r="LN2" s="1277" t="s">
        <v>5728</v>
      </c>
      <c r="LO2" s="1277" t="s">
        <v>5968</v>
      </c>
      <c r="LP2" s="1277" t="s">
        <v>5969</v>
      </c>
      <c r="LQ2" s="1277" t="s">
        <v>5728</v>
      </c>
      <c r="LR2" s="1447"/>
      <c r="LS2" s="1448"/>
      <c r="LT2" s="1282" t="s">
        <v>5968</v>
      </c>
      <c r="LU2" s="1281" t="s">
        <v>5969</v>
      </c>
      <c r="LV2" s="1283" t="s">
        <v>5728</v>
      </c>
      <c r="LW2" s="1281" t="s">
        <v>5968</v>
      </c>
      <c r="LX2" s="1281" t="s">
        <v>5969</v>
      </c>
      <c r="LY2" s="1281" t="s">
        <v>5728</v>
      </c>
      <c r="LZ2" s="1282" t="s">
        <v>5968</v>
      </c>
      <c r="MA2" s="1281" t="s">
        <v>5969</v>
      </c>
      <c r="MB2" s="1281" t="s">
        <v>5728</v>
      </c>
      <c r="MC2" s="1281" t="s">
        <v>5968</v>
      </c>
      <c r="MD2" s="1281" t="s">
        <v>5969</v>
      </c>
      <c r="ME2" s="1281" t="s">
        <v>5728</v>
      </c>
      <c r="MF2" s="1281" t="s">
        <v>5968</v>
      </c>
      <c r="MG2" s="1281" t="s">
        <v>5969</v>
      </c>
      <c r="MH2" s="1281" t="s">
        <v>5728</v>
      </c>
      <c r="MI2" s="1447"/>
      <c r="MJ2" s="1448"/>
      <c r="MK2" s="1286" t="s">
        <v>5968</v>
      </c>
      <c r="ML2" s="1285" t="s">
        <v>5969</v>
      </c>
      <c r="MM2" s="1287" t="s">
        <v>5728</v>
      </c>
      <c r="MN2" s="1285" t="s">
        <v>5968</v>
      </c>
      <c r="MO2" s="1285" t="s">
        <v>5969</v>
      </c>
      <c r="MP2" s="1285" t="s">
        <v>5728</v>
      </c>
      <c r="MQ2" s="1286" t="s">
        <v>5968</v>
      </c>
      <c r="MR2" s="1285" t="s">
        <v>5969</v>
      </c>
      <c r="MS2" s="1285" t="s">
        <v>5728</v>
      </c>
      <c r="MT2" s="1285" t="s">
        <v>5968</v>
      </c>
      <c r="MU2" s="1285" t="s">
        <v>5969</v>
      </c>
      <c r="MV2" s="1285" t="s">
        <v>5728</v>
      </c>
      <c r="MW2" s="1285" t="s">
        <v>5968</v>
      </c>
      <c r="MX2" s="1285" t="s">
        <v>5969</v>
      </c>
      <c r="MY2" s="1285" t="s">
        <v>5728</v>
      </c>
      <c r="MZ2" s="1447"/>
      <c r="NA2" s="1448"/>
      <c r="NB2" s="1309" t="s">
        <v>5968</v>
      </c>
      <c r="NC2" s="1310" t="s">
        <v>5969</v>
      </c>
      <c r="ND2" s="1311" t="s">
        <v>5728</v>
      </c>
      <c r="NE2" s="1310" t="s">
        <v>5968</v>
      </c>
      <c r="NF2" s="1310" t="s">
        <v>5969</v>
      </c>
      <c r="NG2" s="1310" t="s">
        <v>5728</v>
      </c>
      <c r="NH2" s="1309" t="s">
        <v>5968</v>
      </c>
      <c r="NI2" s="1310" t="s">
        <v>5969</v>
      </c>
      <c r="NJ2" s="1310" t="s">
        <v>5728</v>
      </c>
      <c r="NK2" s="1310" t="s">
        <v>5968</v>
      </c>
      <c r="NL2" s="1310" t="s">
        <v>5969</v>
      </c>
      <c r="NM2" s="1310" t="s">
        <v>5728</v>
      </c>
      <c r="NN2" s="1310" t="s">
        <v>5968</v>
      </c>
      <c r="NO2" s="1310" t="s">
        <v>5969</v>
      </c>
      <c r="NP2" s="1310" t="s">
        <v>5728</v>
      </c>
      <c r="NQ2" s="1447"/>
      <c r="NR2" s="1448"/>
      <c r="NS2" s="1309" t="s">
        <v>5968</v>
      </c>
      <c r="NT2" s="1310" t="s">
        <v>5969</v>
      </c>
      <c r="NU2" s="1311" t="s">
        <v>5728</v>
      </c>
      <c r="NV2" s="1310" t="s">
        <v>5968</v>
      </c>
      <c r="NW2" s="1310" t="s">
        <v>5969</v>
      </c>
      <c r="NX2" s="1310" t="s">
        <v>5728</v>
      </c>
      <c r="NY2" s="1309" t="s">
        <v>5968</v>
      </c>
      <c r="NZ2" s="1310" t="s">
        <v>5969</v>
      </c>
      <c r="OA2" s="1310" t="s">
        <v>5728</v>
      </c>
      <c r="OB2" s="1310" t="s">
        <v>5968</v>
      </c>
      <c r="OC2" s="1310" t="s">
        <v>5969</v>
      </c>
      <c r="OD2" s="1310" t="s">
        <v>5728</v>
      </c>
      <c r="OE2" s="1310" t="s">
        <v>5968</v>
      </c>
      <c r="OF2" s="1310" t="s">
        <v>5969</v>
      </c>
      <c r="OG2" s="1310" t="s">
        <v>5728</v>
      </c>
      <c r="OH2" s="1447"/>
      <c r="OI2" s="1448"/>
      <c r="OJ2" s="1313" t="s">
        <v>5968</v>
      </c>
      <c r="OK2" s="1312" t="s">
        <v>5969</v>
      </c>
      <c r="OL2" s="1314" t="s">
        <v>5728</v>
      </c>
      <c r="OM2" s="1312" t="s">
        <v>5968</v>
      </c>
      <c r="ON2" s="1312" t="s">
        <v>5969</v>
      </c>
      <c r="OO2" s="1312" t="s">
        <v>5728</v>
      </c>
      <c r="OP2" s="1313" t="s">
        <v>5968</v>
      </c>
      <c r="OQ2" s="1312" t="s">
        <v>5969</v>
      </c>
      <c r="OR2" s="1312" t="s">
        <v>5728</v>
      </c>
      <c r="OS2" s="1312" t="s">
        <v>5968</v>
      </c>
      <c r="OT2" s="1312" t="s">
        <v>5969</v>
      </c>
      <c r="OU2" s="1312" t="s">
        <v>5728</v>
      </c>
      <c r="OV2" s="1312" t="s">
        <v>5968</v>
      </c>
      <c r="OW2" s="1312" t="s">
        <v>5969</v>
      </c>
      <c r="OX2" s="1312" t="s">
        <v>5728</v>
      </c>
      <c r="OY2" s="1447"/>
      <c r="OZ2" s="1448"/>
      <c r="PA2" s="1326" t="s">
        <v>5968</v>
      </c>
      <c r="PB2" s="1325" t="s">
        <v>5969</v>
      </c>
      <c r="PC2" s="1327" t="s">
        <v>5728</v>
      </c>
      <c r="PD2" s="1325" t="s">
        <v>5968</v>
      </c>
      <c r="PE2" s="1325" t="s">
        <v>5969</v>
      </c>
      <c r="PF2" s="1325" t="s">
        <v>5728</v>
      </c>
      <c r="PG2" s="1326" t="s">
        <v>5968</v>
      </c>
      <c r="PH2" s="1325" t="s">
        <v>5969</v>
      </c>
      <c r="PI2" s="1325" t="s">
        <v>5728</v>
      </c>
      <c r="PJ2" s="1325" t="s">
        <v>5968</v>
      </c>
      <c r="PK2" s="1325" t="s">
        <v>5969</v>
      </c>
      <c r="PL2" s="1325" t="s">
        <v>5728</v>
      </c>
      <c r="PM2" s="1325" t="s">
        <v>5968</v>
      </c>
      <c r="PN2" s="1325" t="s">
        <v>5969</v>
      </c>
      <c r="PO2" s="1325" t="s">
        <v>5728</v>
      </c>
      <c r="PP2" s="1447"/>
      <c r="PQ2" s="1448"/>
      <c r="PR2" s="1326" t="s">
        <v>5968</v>
      </c>
      <c r="PS2" s="1325" t="s">
        <v>5969</v>
      </c>
      <c r="PT2" s="1327" t="s">
        <v>5728</v>
      </c>
      <c r="PU2" s="1325" t="s">
        <v>5968</v>
      </c>
      <c r="PV2" s="1325" t="s">
        <v>5969</v>
      </c>
      <c r="PW2" s="1325" t="s">
        <v>5728</v>
      </c>
      <c r="PX2" s="1326" t="s">
        <v>5968</v>
      </c>
      <c r="PY2" s="1325" t="s">
        <v>5969</v>
      </c>
      <c r="PZ2" s="1325" t="s">
        <v>5728</v>
      </c>
      <c r="QA2" s="1325" t="s">
        <v>5968</v>
      </c>
      <c r="QB2" s="1325" t="s">
        <v>5969</v>
      </c>
      <c r="QC2" s="1325" t="s">
        <v>5728</v>
      </c>
      <c r="QD2" s="1325" t="s">
        <v>5968</v>
      </c>
      <c r="QE2" s="1325" t="s">
        <v>5969</v>
      </c>
      <c r="QF2" s="1325" t="s">
        <v>5728</v>
      </c>
      <c r="QG2" s="1447"/>
      <c r="QH2" s="1448"/>
    </row>
    <row r="3" spans="1:450" ht="15" thickTop="1" x14ac:dyDescent="0.3">
      <c r="A3" s="1317" t="s">
        <v>2037</v>
      </c>
      <c r="B3" s="1321">
        <f>SUMIFS(STATUS!AA:AA,STATUS!Q:Q,A3)</f>
        <v>5.2330439814814778</v>
      </c>
      <c r="C3" s="1321">
        <f>B3/COUNTIFS(STATUS!Q:Q,ДЕЛА!A3,STATUS!AA:AA,"&lt;&gt;0")</f>
        <v>1.3522077471528367E-2</v>
      </c>
      <c r="D3" s="658">
        <f>COUNTIFS(STATUS!$Q:$Q,ДЕЛА!$A3,STATUS!$H:$H,ДЕЛА!D$1)</f>
        <v>634</v>
      </c>
      <c r="E3" s="735">
        <f>D3/$R3</f>
        <v>0.96060606060606057</v>
      </c>
      <c r="F3" s="658">
        <f>COUNTIFS(STATUS!$Q:$Q,ДЕЛА!$A3,STATUS!$H:$H,ДЕЛА!F$1)</f>
        <v>25</v>
      </c>
      <c r="G3" s="735">
        <f t="shared" ref="G3:G13" si="0">F3/$R3</f>
        <v>3.787878787878788E-2</v>
      </c>
      <c r="H3" s="658">
        <f>COUNTIFS(STATUS!$Q:$Q,ДЕЛА!$A3,STATUS!$I:$I,ДЕЛА!H$1)</f>
        <v>20</v>
      </c>
      <c r="I3" s="735">
        <f t="shared" ref="I3:I13" si="1">H3/$R3</f>
        <v>3.0303030303030304E-2</v>
      </c>
      <c r="J3" s="658">
        <f>COUNTIFS(STATUS!$Q:$Q,ДЕЛА!$A3,STATUS!$I:$I,ДЕЛА!J$1)</f>
        <v>8</v>
      </c>
      <c r="K3" s="735">
        <f t="shared" ref="K3:K13" si="2">J3/$R3</f>
        <v>1.2121212121212121E-2</v>
      </c>
      <c r="L3" s="658">
        <f>COUNTIFS(STATUS!$Q:$Q,ДЕЛА!$A3,STATUS!$I:$I,ДЕЛА!L$1)</f>
        <v>85</v>
      </c>
      <c r="M3" s="735">
        <f t="shared" ref="M3:M12" si="3">L3/$R3</f>
        <v>0.12878787878787878</v>
      </c>
      <c r="N3" s="658">
        <f>COUNTIFS(STATUS!$Q:$Q,ДЕЛА!$A3,STATUS!$I:$I,ДЕЛА!N$1)</f>
        <v>83</v>
      </c>
      <c r="O3" s="735">
        <f t="shared" ref="O3:O13" si="4">N3/$R3</f>
        <v>0.12575757575757576</v>
      </c>
      <c r="P3" s="658">
        <f>COUNTIFS(STATUS!$Q:$Q,ДЕЛА!$A3,STATUS!$S:$S,"На доработку")</f>
        <v>0</v>
      </c>
      <c r="Q3" s="658">
        <f>COUNTIFS(STATUS!Q:Q,ДЕЛА!A3,STATUS!$S:$S,"Согласовано")</f>
        <v>660</v>
      </c>
      <c r="R3" s="658">
        <f>COUNTIFS(STATUS!$Q:$Q,ДЕЛА!$A3)</f>
        <v>660</v>
      </c>
      <c r="S3" s="658">
        <f>R3-Q3</f>
        <v>0</v>
      </c>
      <c r="T3" s="659">
        <f>Q3/R3</f>
        <v>1</v>
      </c>
      <c r="U3" s="658">
        <f>S3</f>
        <v>0</v>
      </c>
      <c r="V3" s="590">
        <f>COUNTIFS(STATUS!$Q:$Q,ДЕЛА!$A3,STATUS!$D:$D,ДЕЛА!V$1,STATUS!$S:$S,"Согласовано")</f>
        <v>2</v>
      </c>
      <c r="W3" s="398">
        <f>COUNTIFS(STATUS!$Q:$Q,ДЕЛА!$A3,STATUS!$D:$D,ДЕЛА!V$1)</f>
        <v>2</v>
      </c>
      <c r="X3" s="591">
        <f>IFERROR(V3/W3,1)</f>
        <v>1</v>
      </c>
      <c r="Y3" s="400">
        <f>COUNTIFS(STATUS!$Q:$Q,ДЕЛА!$A3,STATUS!$D:$D,ДЕЛА!Y$1,STATUS!$S:$S,"Согласовано")</f>
        <v>0</v>
      </c>
      <c r="Z3" s="398">
        <f>COUNTIFS(STATUS!$Q:$Q,ДЕЛА!$A3,STATUS!$D:$D,ДЕЛА!Y$1)</f>
        <v>0</v>
      </c>
      <c r="AA3" s="588">
        <f>IFERROR(Y3/Z3,1)</f>
        <v>1</v>
      </c>
      <c r="AB3" s="590">
        <f>COUNTIFS(STATUS!$Q:$Q,ДЕЛА!$A3,STATUS!$D:$D,ДЕЛА!AB$1,STATUS!$S:$S,"Согласовано")</f>
        <v>0</v>
      </c>
      <c r="AC3" s="398">
        <f>COUNTIFS(STATUS!$Q:$Q,ДЕЛА!$A3,STATUS!$D:$D,ДЕЛА!AB$1)</f>
        <v>0</v>
      </c>
      <c r="AD3" s="591">
        <f>IFERROR(AB3/AC3,1)</f>
        <v>1</v>
      </c>
      <c r="AE3" s="600">
        <f>SUM(W3,Z3,AC3)-SUM(V3,Y3,AB3)</f>
        <v>0</v>
      </c>
      <c r="AF3" s="400">
        <f>COUNTIFS(STATUS!$Q:$Q,ДЕЛА!$A3,STATUS!$D:$D,ДЕЛА!AF$1,STATUS!$S:$S,"Согласовано")</f>
        <v>3</v>
      </c>
      <c r="AG3" s="398">
        <f>COUNTIFS(STATUS!$Q:$Q,ДЕЛА!$A3,STATUS!$D:$D,ДЕЛА!AF$1)</f>
        <v>3</v>
      </c>
      <c r="AH3" s="588">
        <f>IFERROR(AF3/AG3,1)</f>
        <v>1</v>
      </c>
      <c r="AI3" s="590">
        <f>COUNTIFS(STATUS!$Q:$Q,ДЕЛА!$A3,STATUS!$D:$D,ДЕЛА!AI$1,STATUS!$S:$S,"Согласовано")</f>
        <v>6</v>
      </c>
      <c r="AJ3" s="398">
        <f>COUNTIFS(STATUS!$Q:$Q,ДЕЛА!$A3,STATUS!$D:$D,ДЕЛА!AI$1)</f>
        <v>6</v>
      </c>
      <c r="AK3" s="588">
        <f>IFERROR(AI3/AJ3,1)</f>
        <v>1</v>
      </c>
      <c r="AL3" s="400">
        <f>COUNTIFS(STATUS!$Q:$Q,ДЕЛА!$A3,STATUS!$D:$D,ДЕЛА!AL$1,STATUS!$S:$S,"Согласовано")</f>
        <v>3</v>
      </c>
      <c r="AM3" s="398">
        <f>COUNTIFS(STATUS!$Q:$Q,ДЕЛА!$A3,STATUS!$D:$D,ДЕЛА!AL$1)</f>
        <v>3</v>
      </c>
      <c r="AN3" s="588">
        <f>IFERROR(AL3/AM3,1)</f>
        <v>1</v>
      </c>
      <c r="AO3" s="590">
        <f>COUNTIFS(STATUS!$Q:$Q,ДЕЛА!$A3,STATUS!$D:$D,ДЕЛА!AO$1,STATUS!$S:$S,"Согласовано")</f>
        <v>3</v>
      </c>
      <c r="AP3" s="398">
        <f>COUNTIFS(STATUS!$Q:$Q,ДЕЛА!$A3,STATUS!$D:$D,ДЕЛА!AO$1)</f>
        <v>3</v>
      </c>
      <c r="AQ3" s="588">
        <f>IFERROR(AO3/AP3,1)</f>
        <v>1</v>
      </c>
      <c r="AR3" s="600">
        <f t="shared" ref="AR3:AR8" si="5">SUM(AG3,AJ3,AM3,AP3)-SUM(AF3,AI3,AL3,AO3)</f>
        <v>0</v>
      </c>
      <c r="AS3" s="590">
        <f>COUNTIFS(STATUS!$Q:$Q,ДЕЛА!$A3,STATUS!$D:$D,ДЕЛА!AS$1,STATUS!$S:$S,"Согласовано")</f>
        <v>5</v>
      </c>
      <c r="AT3" s="398">
        <f>COUNTIFS(STATUS!$Q:$Q,ДЕЛА!$A3,STATUS!$D:$D,ДЕЛА!AS$1)</f>
        <v>5</v>
      </c>
      <c r="AU3" s="588">
        <f>IFERROR(AS3/AT3,1)</f>
        <v>1</v>
      </c>
      <c r="AV3" s="590">
        <f>COUNTIFS(STATUS!$Q:$Q,ДЕЛА!$A3,STATUS!$D:$D,ДЕЛА!AV$1,STATUS!$S:$S,"Согласовано")</f>
        <v>5</v>
      </c>
      <c r="AW3" s="398">
        <f>COUNTIFS(STATUS!$Q:$Q,ДЕЛА!$A3,STATUS!$D:$D,ДЕЛА!AV$1)</f>
        <v>5</v>
      </c>
      <c r="AX3" s="588">
        <f>IFERROR(AV3/AW3,1)</f>
        <v>1</v>
      </c>
      <c r="AY3" s="590">
        <f>COUNTIFS(STATUS!$Q:$Q,ДЕЛА!$A3,STATUS!$D:$D,ДЕЛА!AY$1,STATUS!$S:$S,"Согласовано")</f>
        <v>5</v>
      </c>
      <c r="AZ3" s="398">
        <f>COUNTIFS(STATUS!$Q:$Q,ДЕЛА!$A3,STATUS!$D:$D,ДЕЛА!AY$1)</f>
        <v>5</v>
      </c>
      <c r="BA3" s="588">
        <f>IFERROR(AY3/AZ3,1)</f>
        <v>1</v>
      </c>
      <c r="BB3" s="590">
        <f>COUNTIFS(STATUS!$Q:$Q,ДЕЛА!$A3,STATUS!$D:$D,ДЕЛА!BB$1,STATUS!$S:$S,"Согласовано")</f>
        <v>5</v>
      </c>
      <c r="BC3" s="398">
        <f>COUNTIFS(STATUS!$Q:$Q,ДЕЛА!$A3,STATUS!$D:$D,ДЕЛА!BB$1)</f>
        <v>5</v>
      </c>
      <c r="BD3" s="588">
        <f>IFERROR(BB3/BC3,1)</f>
        <v>1</v>
      </c>
      <c r="BE3" s="590">
        <f>COUNTIFS(STATUS!$Q:$Q,ДЕЛА!$A3,STATUS!$D:$D,ДЕЛА!BE$1,STATUS!$S:$S,"Согласовано")</f>
        <v>4</v>
      </c>
      <c r="BF3" s="398">
        <f>COUNTIFS(STATUS!$Q:$Q,ДЕЛА!$A3,STATUS!$D:$D,ДЕЛА!BE$1)</f>
        <v>4</v>
      </c>
      <c r="BG3" s="588">
        <f>IFERROR(BE3/BF3,1)</f>
        <v>1</v>
      </c>
      <c r="BH3" s="600">
        <f>SUM(AT3,AW3,AZ3,BC3,BF3)-SUM(AS3,AV3,AY3,BB3,BE3)</f>
        <v>0</v>
      </c>
      <c r="BI3" s="590">
        <f>COUNTIFS(STATUS!$Q:$Q,ДЕЛА!$A3,STATUS!$D:$D,ДЕЛА!BI$1,STATUS!$S:$S,"Согласовано")</f>
        <v>3</v>
      </c>
      <c r="BJ3" s="398">
        <f>COUNTIFS(STATUS!$Q:$Q,ДЕЛА!$A3,STATUS!$D:$D,ДЕЛА!BI$1)</f>
        <v>3</v>
      </c>
      <c r="BK3" s="588">
        <f>IFERROR(BI3/BJ3,1)</f>
        <v>1</v>
      </c>
      <c r="BL3" s="590">
        <f>COUNTIFS(STATUS!$Q:$Q,ДЕЛА!$A3,STATUS!$D:$D,ДЕЛА!BL$1,STATUS!$S:$S,"Согласовано")</f>
        <v>3</v>
      </c>
      <c r="BM3" s="398">
        <f>COUNTIFS(STATUS!$Q:$Q,ДЕЛА!$A3,STATUS!$D:$D,ДЕЛА!BL$1)</f>
        <v>3</v>
      </c>
      <c r="BN3" s="588">
        <f>IFERROR(BL3/BM3,1)</f>
        <v>1</v>
      </c>
      <c r="BO3" s="590">
        <f>COUNTIFS(STATUS!$Q:$Q,ДЕЛА!$A3,STATUS!$D:$D,ДЕЛА!BO$1,STATUS!$S:$S,"Согласовано")</f>
        <v>11</v>
      </c>
      <c r="BP3" s="398">
        <f>COUNTIFS(STATUS!$Q:$Q,ДЕЛА!$A3,STATUS!$D:$D,ДЕЛА!BO$1)</f>
        <v>11</v>
      </c>
      <c r="BQ3" s="588">
        <f>IFERROR(BO3/BP3,1)</f>
        <v>1</v>
      </c>
      <c r="BR3" s="590">
        <f>COUNTIFS(STATUS!$Q:$Q,ДЕЛА!$A3,STATUS!$D:$D,ДЕЛА!BR$1,STATUS!$S:$S,"Согласовано")</f>
        <v>0</v>
      </c>
      <c r="BS3" s="398">
        <f>COUNTIFS(STATUS!$Q:$Q,ДЕЛА!$A3,STATUS!$D:$D,ДЕЛА!BR$1)</f>
        <v>0</v>
      </c>
      <c r="BT3" s="588">
        <f>IFERROR(BR3/BS3,1)</f>
        <v>1</v>
      </c>
      <c r="BU3" s="590">
        <f>COUNTIFS(STATUS!$Q:$Q,ДЕЛА!$A3,STATUS!$D:$D,ДЕЛА!BU$1,STATUS!$S:$S,"Согласовано")</f>
        <v>0</v>
      </c>
      <c r="BV3" s="398">
        <f>COUNTIFS(STATUS!$Q:$Q,ДЕЛА!$A3,STATUS!$D:$D,ДЕЛА!BU$1)</f>
        <v>0</v>
      </c>
      <c r="BW3" s="588">
        <f>IFERROR(BU3/BV3,1)</f>
        <v>1</v>
      </c>
      <c r="BX3" s="600">
        <f>SUM(BJ3,BM3,BP3,BS3,BV3)-SUM(BI3,BL3,BO3,BR3,BU3)</f>
        <v>0</v>
      </c>
      <c r="BY3" s="590">
        <f>COUNTIFS(STATUS!$Q:$Q,ДЕЛА!$A3,STATUS!$D:$D,ДЕЛА!BY$1,STATUS!$S:$S,"Согласовано")</f>
        <v>17</v>
      </c>
      <c r="BZ3" s="398">
        <f>COUNTIFS(STATUS!$Q:$Q,ДЕЛА!$A3,STATUS!$D:$D,ДЕЛА!BY$1)</f>
        <v>17</v>
      </c>
      <c r="CA3" s="588">
        <f>IFERROR(BY3/BZ3,1)</f>
        <v>1</v>
      </c>
      <c r="CB3" s="590">
        <f>COUNTIFS(STATUS!$Q:$Q,ДЕЛА!$A3,STATUS!$D:$D,ДЕЛА!CB$1,STATUS!$S:$S,"Согласовано")</f>
        <v>2</v>
      </c>
      <c r="CC3" s="398">
        <f>COUNTIFS(STATUS!$Q:$Q,ДЕЛА!$A3,STATUS!$D:$D,ДЕЛА!CB$1)</f>
        <v>2</v>
      </c>
      <c r="CD3" s="588">
        <f>IFERROR(CB3/CC3,1)</f>
        <v>1</v>
      </c>
      <c r="CE3" s="590">
        <f>COUNTIFS(STATUS!$Q:$Q,ДЕЛА!$A3,STATUS!$D:$D,ДЕЛА!CE$1,STATUS!$S:$S,"Согласовано")</f>
        <v>1</v>
      </c>
      <c r="CF3" s="398">
        <f>COUNTIFS(STATUS!$Q:$Q,ДЕЛА!$A3,STATUS!$D:$D,ДЕЛА!CE$1)</f>
        <v>1</v>
      </c>
      <c r="CG3" s="588">
        <f>IFERROR(CE3/CF3,1)</f>
        <v>1</v>
      </c>
      <c r="CH3" s="590">
        <f>COUNTIFS(STATUS!$Q:$Q,ДЕЛА!$A3,STATUS!$D:$D,ДЕЛА!CH$1,STATUS!$S:$S,"Согласовано")</f>
        <v>3</v>
      </c>
      <c r="CI3" s="398">
        <f>COUNTIFS(STATUS!$Q:$Q,ДЕЛА!$A3,STATUS!$D:$D,ДЕЛА!CH$1)</f>
        <v>3</v>
      </c>
      <c r="CJ3" s="588">
        <f>IFERROR(CH3/CI3,1)</f>
        <v>1</v>
      </c>
      <c r="CK3" s="590">
        <f>COUNTIFS(STATUS!$Q:$Q,ДЕЛА!$A3,STATUS!$D:$D,ДЕЛА!CK$1,STATUS!$S:$S,"Согласовано")</f>
        <v>3</v>
      </c>
      <c r="CL3" s="398">
        <f>COUNTIFS(STATUS!$Q:$Q,ДЕЛА!$A3,STATUS!$D:$D,ДЕЛА!CK$1)</f>
        <v>3</v>
      </c>
      <c r="CM3" s="588">
        <f>IFERROR(CK3/CL3,1)</f>
        <v>1</v>
      </c>
      <c r="CN3" s="807">
        <f t="shared" ref="CN3:CN8" si="6">SUM(BZ3,CC3,CF3,CI3,CL3)</f>
        <v>26</v>
      </c>
      <c r="CO3" s="600">
        <f>SUM(BZ3,CC3,CF3,CI3,CL3)-SUM(BY3,CB3,CE3,CH3,CK3)</f>
        <v>0</v>
      </c>
      <c r="CP3" s="590">
        <f>COUNTIFS(STATUS!$Q:$Q,ДЕЛА!$A3,STATUS!$D:$D,ДЕЛА!CP$1,STATUS!$S:$S,"Согласовано")</f>
        <v>3</v>
      </c>
      <c r="CQ3" s="398">
        <f>COUNTIFS(STATUS!$Q:$Q,ДЕЛА!$A3,STATUS!$D:$D,ДЕЛА!CP$1)</f>
        <v>3</v>
      </c>
      <c r="CR3" s="588">
        <f>IFERROR(CP3/CQ3,1)</f>
        <v>1</v>
      </c>
      <c r="CS3" s="590">
        <f>COUNTIFS(STATUS!$Q:$Q,ДЕЛА!$A3,STATUS!$D:$D,ДЕЛА!CS$1,STATUS!$S:$S,"Согласовано")</f>
        <v>5</v>
      </c>
      <c r="CT3" s="398">
        <f>COUNTIFS(STATUS!$Q:$Q,ДЕЛА!$A3,STATUS!$D:$D,ДЕЛА!CS$1)</f>
        <v>5</v>
      </c>
      <c r="CU3" s="588">
        <f>IFERROR(CS3/CT3,1)</f>
        <v>1</v>
      </c>
      <c r="CV3" s="590">
        <f>COUNTIFS(STATUS!$Q:$Q,ДЕЛА!$A3,STATUS!$D:$D,ДЕЛА!CV$1,STATUS!$S:$S,"Согласовано")</f>
        <v>3</v>
      </c>
      <c r="CW3" s="398">
        <f>COUNTIFS(STATUS!$Q:$Q,ДЕЛА!$A3,STATUS!$D:$D,ДЕЛА!CV$1)</f>
        <v>3</v>
      </c>
      <c r="CX3" s="588">
        <f>IFERROR(CV3/CW3,1)</f>
        <v>1</v>
      </c>
      <c r="CY3" s="590">
        <f>COUNTIFS(STATUS!$Q:$Q,ДЕЛА!$A3,STATUS!$D:$D,ДЕЛА!CY$1,STATUS!$S:$S,"Согласовано")</f>
        <v>4</v>
      </c>
      <c r="CZ3" s="398">
        <f>COUNTIFS(STATUS!$Q:$Q,ДЕЛА!$A3,STATUS!$D:$D,ДЕЛА!CY$1)</f>
        <v>4</v>
      </c>
      <c r="DA3" s="588">
        <f>IFERROR(CY3/CZ3,1)</f>
        <v>1</v>
      </c>
      <c r="DB3" s="590">
        <f>COUNTIFS(STATUS!$Q:$Q,ДЕЛА!$A3,STATUS!$D:$D,ДЕЛА!DB$1,STATUS!$S:$S,"Согласовано")</f>
        <v>0</v>
      </c>
      <c r="DC3" s="398">
        <f>COUNTIFS(STATUS!$Q:$Q,ДЕЛА!$A3,STATUS!$D:$D,ДЕЛА!DB$1)</f>
        <v>0</v>
      </c>
      <c r="DD3" s="588">
        <f>IFERROR(DB3/DC3,1)</f>
        <v>1</v>
      </c>
      <c r="DE3" s="807">
        <f t="shared" ref="DE3:DE8" si="7">SUM(CQ3,CT3,CW3,CZ3,DC3)</f>
        <v>15</v>
      </c>
      <c r="DF3" s="600">
        <f>SUM(CQ3,CT3,CW3,CZ3,DC3)-SUM(CP3,CS3,CV3,CY3,DB3)</f>
        <v>0</v>
      </c>
      <c r="DG3" s="590">
        <f>COUNTIFS(STATUS!$Q:$Q,ДЕЛА!$A3,STATUS!$D:$D,ДЕЛА!DG$1,STATUS!$S:$S,"Согласовано")</f>
        <v>2</v>
      </c>
      <c r="DH3" s="398">
        <f>COUNTIFS(STATUS!$Q:$Q,ДЕЛА!$A3,STATUS!$D:$D,ДЕЛА!DG$1)</f>
        <v>2</v>
      </c>
      <c r="DI3" s="588">
        <f>IFERROR(DG3/DH3,1)</f>
        <v>1</v>
      </c>
      <c r="DJ3" s="590">
        <f>COUNTIFS(STATUS!$Q:$Q,ДЕЛА!$A3,STATUS!$D:$D,ДЕЛА!DJ$1,STATUS!$S:$S,"Согласовано")</f>
        <v>42</v>
      </c>
      <c r="DK3" s="398">
        <f>COUNTIFS(STATUS!$Q:$Q,ДЕЛА!$A3,STATUS!$D:$D,ДЕЛА!DJ$1)</f>
        <v>42</v>
      </c>
      <c r="DL3" s="588">
        <f>IFERROR(DJ3/DK3,1)</f>
        <v>1</v>
      </c>
      <c r="DM3" s="590">
        <f>COUNTIFS(STATUS!$Q:$Q,ДЕЛА!$A3,STATUS!$D:$D,ДЕЛА!DM$1,STATUS!$S:$S,"Согласовано")</f>
        <v>3</v>
      </c>
      <c r="DN3" s="398">
        <f>COUNTIFS(STATUS!$Q:$Q,ДЕЛА!$A3,STATUS!$D:$D,ДЕЛА!DM$1)</f>
        <v>3</v>
      </c>
      <c r="DO3" s="588">
        <f>IFERROR(DM3/DN3,1)</f>
        <v>1</v>
      </c>
      <c r="DP3" s="590">
        <f>COUNTIFS(STATUS!$Q:$Q,ДЕЛА!$A3,STATUS!$D:$D,ДЕЛА!DP$1,STATUS!$S:$S,"Согласовано")</f>
        <v>2</v>
      </c>
      <c r="DQ3" s="398">
        <f>COUNTIFS(STATUS!$Q:$Q,ДЕЛА!$A3,STATUS!$D:$D,ДЕЛА!DP$1)</f>
        <v>2</v>
      </c>
      <c r="DR3" s="588">
        <f>IFERROR(DP3/DQ3,1)</f>
        <v>1</v>
      </c>
      <c r="DS3" s="590">
        <f>COUNTIFS(STATUS!$Q:$Q,ДЕЛА!$A3,STATUS!$D:$D,ДЕЛА!DS$1,STATUS!$S:$S,"Согласовано")</f>
        <v>4</v>
      </c>
      <c r="DT3" s="398">
        <f>COUNTIFS(STATUS!$Q:$Q,ДЕЛА!$A3,STATUS!$D:$D,ДЕЛА!DS$1)</f>
        <v>4</v>
      </c>
      <c r="DU3" s="588">
        <f>IFERROR(DS3/DT3,1)</f>
        <v>1</v>
      </c>
      <c r="DV3" s="807">
        <f t="shared" ref="DV3:DV8" si="8">SUM(DH3,DK3,DN3,DQ3,DT3)</f>
        <v>53</v>
      </c>
      <c r="DW3" s="600">
        <f>SUM(DH3,DK3,DN3,DQ3,DT3)-SUM(DG3,DJ3,DM3,DP3,DS3)</f>
        <v>0</v>
      </c>
      <c r="DX3" s="590">
        <f>COUNTIFS(STATUS!$Q:$Q,ДЕЛА!$A3,STATUS!$D:$D,ДЕЛА!DX$1,STATUS!$S:$S,"Согласовано")</f>
        <v>3</v>
      </c>
      <c r="DY3" s="398">
        <f>COUNTIFS(STATUS!$Q:$Q,ДЕЛА!$A3,STATUS!$D:$D,ДЕЛА!DX$1)</f>
        <v>3</v>
      </c>
      <c r="DZ3" s="588">
        <f>IFERROR(DX3/DY3,1)</f>
        <v>1</v>
      </c>
      <c r="EA3" s="590">
        <f>COUNTIFS(STATUS!$Q:$Q,ДЕЛА!$A3,STATUS!$D:$D,ДЕЛА!EA$1,STATUS!$S:$S,"Согласовано")</f>
        <v>7</v>
      </c>
      <c r="EB3" s="398">
        <f>COUNTIFS(STATUS!$Q:$Q,ДЕЛА!$A3,STATUS!$D:$D,ДЕЛА!EA$1)</f>
        <v>7</v>
      </c>
      <c r="EC3" s="588">
        <f>IFERROR(EA3/EB3,1)</f>
        <v>1</v>
      </c>
      <c r="ED3" s="590">
        <f>COUNTIFS(STATUS!$Q:$Q,ДЕЛА!$A3,STATUS!$D:$D,ДЕЛА!ED$1,STATUS!$S:$S,"Согласовано")</f>
        <v>0</v>
      </c>
      <c r="EE3" s="398">
        <f>COUNTIFS(STATUS!$Q:$Q,ДЕЛА!$A3,STATUS!$D:$D,ДЕЛА!ED$1)</f>
        <v>0</v>
      </c>
      <c r="EF3" s="588">
        <f>IFERROR(ED3/EE3,1)</f>
        <v>1</v>
      </c>
      <c r="EG3" s="590">
        <f>COUNTIFS(STATUS!$Q:$Q,ДЕЛА!$A3,STATUS!$D:$D,ДЕЛА!EG$1,STATUS!$S:$S,"Согласовано")</f>
        <v>7</v>
      </c>
      <c r="EH3" s="398">
        <f>COUNTIFS(STATUS!$Q:$Q,ДЕЛА!$A3,STATUS!$D:$D,ДЕЛА!EG$1)</f>
        <v>7</v>
      </c>
      <c r="EI3" s="588">
        <f>IFERROR(EG3/EH3,1)</f>
        <v>1</v>
      </c>
      <c r="EJ3" s="590">
        <f>COUNTIFS(STATUS!$Q:$Q,ДЕЛА!$A3,STATUS!$D:$D,ДЕЛА!EJ$1,STATUS!$S:$S,"Согласовано")</f>
        <v>2</v>
      </c>
      <c r="EK3" s="398">
        <f>COUNTIFS(STATUS!$Q:$Q,ДЕЛА!$A3,STATUS!$D:$D,ДЕЛА!EJ$1)</f>
        <v>2</v>
      </c>
      <c r="EL3" s="588">
        <f>IFERROR(EJ3/EK3,1)</f>
        <v>1</v>
      </c>
      <c r="EM3" s="807">
        <f t="shared" ref="EM3:EM8" si="9">SUM(DY3,EB3,EE3,EH3,EK3)</f>
        <v>19</v>
      </c>
      <c r="EN3" s="600">
        <f>SUM(DY3,EB3,EE3,EH3,EK3)-SUM(DX3,EA3,ED3,EG3,EJ3)</f>
        <v>0</v>
      </c>
      <c r="EO3" s="590">
        <f>COUNTIFS(STATUS!$Q:$Q,ДЕЛА!$A3,STATUS!$D:$D,ДЕЛА!EO$1,STATUS!$S:$S,"Согласовано")</f>
        <v>5</v>
      </c>
      <c r="EP3" s="398">
        <f>COUNTIFS(STATUS!$Q:$Q,ДЕЛА!$A3,STATUS!$D:$D,ДЕЛА!EO$1)</f>
        <v>5</v>
      </c>
      <c r="EQ3" s="588">
        <f>IFERROR(EO3/EP3,1)</f>
        <v>1</v>
      </c>
      <c r="ER3" s="590">
        <f>COUNTIFS(STATUS!$Q:$Q,ДЕЛА!$A3,STATUS!$D:$D,ДЕЛА!ER$1,STATUS!$S:$S,"Согласовано")</f>
        <v>0</v>
      </c>
      <c r="ES3" s="398">
        <f>COUNTIFS(STATUS!$Q:$Q,ДЕЛА!$A3,STATUS!$D:$D,ДЕЛА!ER$1)</f>
        <v>0</v>
      </c>
      <c r="ET3" s="588">
        <f>IFERROR(ER3/ES3,1)</f>
        <v>1</v>
      </c>
      <c r="EU3" s="590">
        <f>COUNTIFS(STATUS!$Q:$Q,ДЕЛА!$A3,STATUS!$D:$D,ДЕЛА!EU$1,STATUS!$S:$S,"Согласовано")</f>
        <v>0</v>
      </c>
      <c r="EV3" s="398">
        <f>COUNTIFS(STATUS!$Q:$Q,ДЕЛА!$A3,STATUS!$D:$D,ДЕЛА!EU$1)</f>
        <v>0</v>
      </c>
      <c r="EW3" s="588">
        <f>IFERROR(EU3/EV3,1)</f>
        <v>1</v>
      </c>
      <c r="EX3" s="590">
        <f>COUNTIFS(STATUS!$Q:$Q,ДЕЛА!$A3,STATUS!$D:$D,ДЕЛА!EX$1,STATUS!$S:$S,"Согласовано")</f>
        <v>0</v>
      </c>
      <c r="EY3" s="398">
        <f>COUNTIFS(STATUS!$Q:$Q,ДЕЛА!$A3,STATUS!$D:$D,ДЕЛА!EX$1)</f>
        <v>0</v>
      </c>
      <c r="EZ3" s="588">
        <f>IFERROR(EX3/EY3,1)</f>
        <v>1</v>
      </c>
      <c r="FA3" s="590">
        <f>COUNTIFS(STATUS!$Q:$Q,ДЕЛА!$A3,STATUS!$D:$D,ДЕЛА!FA$1,STATUS!$S:$S,"Согласовано")</f>
        <v>0</v>
      </c>
      <c r="FB3" s="398">
        <f>COUNTIFS(STATUS!$Q:$Q,ДЕЛА!$A3,STATUS!$D:$D,ДЕЛА!FA$1)</f>
        <v>0</v>
      </c>
      <c r="FC3" s="588">
        <f>IFERROR(FA3/FB3,1)</f>
        <v>1</v>
      </c>
      <c r="FD3" s="807">
        <f t="shared" ref="FD3:FD8" si="10">SUM(EP3,ES3,EV3,EY3,FB3)</f>
        <v>5</v>
      </c>
      <c r="FE3" s="600">
        <f>SUM(EP3,ES3,EV3,EY3,FB3)-SUM(EO3,ER3,EU3,EX3,FA3)</f>
        <v>0</v>
      </c>
      <c r="FF3" s="590">
        <f>COUNTIFS(STATUS!$Q:$Q,ДЕЛА!$A3,STATUS!$D:$D,ДЕЛА!FF$1,STATUS!$S:$S,"Согласовано")</f>
        <v>0</v>
      </c>
      <c r="FG3" s="398">
        <f>COUNTIFS(STATUS!$Q:$Q,ДЕЛА!$A3,STATUS!$D:$D,ДЕЛА!FF$1)</f>
        <v>0</v>
      </c>
      <c r="FH3" s="588">
        <f>IFERROR(FF3/FG3,1)</f>
        <v>1</v>
      </c>
      <c r="FI3" s="590">
        <f>COUNTIFS(STATUS!$Q:$Q,ДЕЛА!$A3,STATUS!$D:$D,ДЕЛА!FI$1,STATUS!$S:$S,"Согласовано")</f>
        <v>0</v>
      </c>
      <c r="FJ3" s="398">
        <f>COUNTIFS(STATUS!$Q:$Q,ДЕЛА!$A3,STATUS!$D:$D,ДЕЛА!FI$1)</f>
        <v>0</v>
      </c>
      <c r="FK3" s="588">
        <f>IFERROR(FI3/FJ3,1)</f>
        <v>1</v>
      </c>
      <c r="FL3" s="590">
        <f>COUNTIFS(STATUS!$Q:$Q,ДЕЛА!$A3,STATUS!$D:$D,ДЕЛА!FL$1,STATUS!$S:$S,"Согласовано")</f>
        <v>0</v>
      </c>
      <c r="FM3" s="398">
        <f>COUNTIFS(STATUS!$Q:$Q,ДЕЛА!$A3,STATUS!$D:$D,ДЕЛА!FL$1)</f>
        <v>0</v>
      </c>
      <c r="FN3" s="588">
        <f>IFERROR(FL3/FM3,1)</f>
        <v>1</v>
      </c>
      <c r="FO3" s="590">
        <f>COUNTIFS(STATUS!$Q:$Q,ДЕЛА!$A3,STATUS!$D:$D,ДЕЛА!FO$1,STATUS!$S:$S,"Согласовано")</f>
        <v>0</v>
      </c>
      <c r="FP3" s="398">
        <f>COUNTIFS(STATUS!$Q:$Q,ДЕЛА!$A3,STATUS!$D:$D,ДЕЛА!FO$1)</f>
        <v>0</v>
      </c>
      <c r="FQ3" s="588">
        <f>IFERROR(FO3/FP3,1)</f>
        <v>1</v>
      </c>
      <c r="FR3" s="590">
        <f>COUNTIFS(STATUS!$Q:$Q,ДЕЛА!$A3,STATUS!$D:$D,ДЕЛА!FR$1,STATUS!$S:$S,"Согласовано")</f>
        <v>0</v>
      </c>
      <c r="FS3" s="398">
        <f>COUNTIFS(STATUS!$Q:$Q,ДЕЛА!$A3,STATUS!$D:$D,ДЕЛА!FR$1)</f>
        <v>0</v>
      </c>
      <c r="FT3" s="588">
        <f>IFERROR(FR3/FS3,1)</f>
        <v>1</v>
      </c>
      <c r="FU3" s="807">
        <f t="shared" ref="FU3:FU12" si="11">SUM(FG3,FJ3,FM3,FP3,FS3)</f>
        <v>0</v>
      </c>
      <c r="FV3" s="600">
        <f>SUM(FG3,FJ3,FM3,FP3,FS3)-SUM(FF3,FI3,FL3,FO3,FR3)</f>
        <v>0</v>
      </c>
      <c r="FW3" s="590">
        <f>COUNTIFS(STATUS!$Q:$Q,ДЕЛА!$A3,STATUS!$D:$D,ДЕЛА!FW$1,STATUS!$S:$S,"Согласовано")</f>
        <v>3</v>
      </c>
      <c r="FX3" s="398">
        <f>COUNTIFS(STATUS!$Q:$Q,ДЕЛА!$A3,STATUS!$D:$D,ДЕЛА!FW$1)</f>
        <v>3</v>
      </c>
      <c r="FY3" s="588">
        <f>IFERROR(FW3/FX3,1)</f>
        <v>1</v>
      </c>
      <c r="FZ3" s="590">
        <f>COUNTIFS(STATUS!$Q:$Q,ДЕЛА!$A3,STATUS!$D:$D,ДЕЛА!FZ$1,STATUS!$S:$S,"Согласовано")</f>
        <v>0</v>
      </c>
      <c r="GA3" s="398">
        <f>COUNTIFS(STATUS!$Q:$Q,ДЕЛА!$A3,STATUS!$D:$D,ДЕЛА!FZ$1)</f>
        <v>0</v>
      </c>
      <c r="GB3" s="588">
        <f>IFERROR(FZ3/GA3,1)</f>
        <v>1</v>
      </c>
      <c r="GC3" s="590">
        <f>COUNTIFS(STATUS!$Q:$Q,ДЕЛА!$A3,STATUS!$D:$D,ДЕЛА!GC$1,STATUS!$S:$S,"Согласовано")</f>
        <v>0</v>
      </c>
      <c r="GD3" s="398">
        <f>COUNTIFS(STATUS!$Q:$Q,ДЕЛА!$A3,STATUS!$D:$D,ДЕЛА!GC$1)</f>
        <v>0</v>
      </c>
      <c r="GE3" s="588">
        <f>IFERROR(GC3/GD3,1)</f>
        <v>1</v>
      </c>
      <c r="GF3" s="590">
        <f>COUNTIFS(STATUS!$Q:$Q,ДЕЛА!$A3,STATUS!$D:$D,ДЕЛА!GF$1,STATUS!$S:$S,"Согласовано")</f>
        <v>0</v>
      </c>
      <c r="GG3" s="398">
        <f>COUNTIFS(STATUS!$Q:$Q,ДЕЛА!$A3,STATUS!$D:$D,ДЕЛА!GF$1)</f>
        <v>0</v>
      </c>
      <c r="GH3" s="588">
        <f>IFERROR(GF3/GG3,1)</f>
        <v>1</v>
      </c>
      <c r="GI3" s="590">
        <f>COUNTIFS(STATUS!$Q:$Q,ДЕЛА!$A3,STATUS!$D:$D,ДЕЛА!GI$1,STATUS!$S:$S,"Согласовано")</f>
        <v>0</v>
      </c>
      <c r="GJ3" s="398">
        <f>COUNTIFS(STATUS!$Q:$Q,ДЕЛА!$A3,STATUS!$D:$D,ДЕЛА!GI$1)</f>
        <v>0</v>
      </c>
      <c r="GK3" s="588">
        <f>IFERROR(GI3/GJ3,1)</f>
        <v>1</v>
      </c>
      <c r="GL3" s="807">
        <f t="shared" ref="GL3:GL12" si="12">SUM(FX3,GA3,GD3,GG3,GJ3)</f>
        <v>3</v>
      </c>
      <c r="GM3" s="600">
        <f>SUM(FX3,GA3,GD3,GG3,GJ3)-SUM(FW3,FZ3,GC3,GF3,GI3)</f>
        <v>0</v>
      </c>
      <c r="GN3" s="590">
        <f>COUNTIFS(STATUS!$Q:$Q,ДЕЛА!$A3,STATUS!$D:$D,ДЕЛА!GN$1,STATUS!$S:$S,"Согласовано")</f>
        <v>0</v>
      </c>
      <c r="GO3" s="398">
        <f>COUNTIFS(STATUS!$Q:$Q,ДЕЛА!$A3,STATUS!$D:$D,ДЕЛА!GN$1)</f>
        <v>0</v>
      </c>
      <c r="GP3" s="588">
        <f>IFERROR(GN3/GO3,1)</f>
        <v>1</v>
      </c>
      <c r="GQ3" s="590">
        <f>COUNTIFS(STATUS!$Q:$Q,ДЕЛА!$A3,STATUS!$D:$D,ДЕЛА!GQ$1,STATUS!$S:$S,"Согласовано")</f>
        <v>0</v>
      </c>
      <c r="GR3" s="398">
        <f>COUNTIFS(STATUS!$Q:$Q,ДЕЛА!$A3,STATUS!$D:$D,ДЕЛА!GQ$1)</f>
        <v>0</v>
      </c>
      <c r="GS3" s="588">
        <f>IFERROR(GQ3/GR3,1)</f>
        <v>1</v>
      </c>
      <c r="GT3" s="590">
        <f>COUNTIFS(STATUS!$Q:$Q,ДЕЛА!$A3,STATUS!$D:$D,ДЕЛА!GT$1,STATUS!$S:$S,"Согласовано")</f>
        <v>0</v>
      </c>
      <c r="GU3" s="398">
        <f>COUNTIFS(STATUS!$Q:$Q,ДЕЛА!$A3,STATUS!$D:$D,ДЕЛА!GT$1)</f>
        <v>0</v>
      </c>
      <c r="GV3" s="588">
        <f>IFERROR(GT3/GU3,1)</f>
        <v>1</v>
      </c>
      <c r="GW3" s="590">
        <f>COUNTIFS(STATUS!$Q:$Q,ДЕЛА!$A3,STATUS!$D:$D,ДЕЛА!GW$1,STATUS!$S:$S,"Согласовано")</f>
        <v>0</v>
      </c>
      <c r="GX3" s="398">
        <f>COUNTIFS(STATUS!$Q:$Q,ДЕЛА!$A3,STATUS!$D:$D,ДЕЛА!GW$1)</f>
        <v>0</v>
      </c>
      <c r="GY3" s="588">
        <f>IFERROR(GW3/GX3,1)</f>
        <v>1</v>
      </c>
      <c r="GZ3" s="590">
        <f>COUNTIFS(STATUS!$Q:$Q,ДЕЛА!$A3,STATUS!$D:$D,ДЕЛА!GZ$1,STATUS!$S:$S,"Согласовано")</f>
        <v>0</v>
      </c>
      <c r="HA3" s="398">
        <f>COUNTIFS(STATUS!$Q:$Q,ДЕЛА!$A3,STATUS!$D:$D,ДЕЛА!GZ$1)</f>
        <v>0</v>
      </c>
      <c r="HB3" s="588">
        <f>IFERROR(GZ3/HA3,1)</f>
        <v>1</v>
      </c>
      <c r="HC3" s="807">
        <f t="shared" ref="HC3:HC12" si="13">SUM(GO3,GR3,GU3,GX3,HA3)</f>
        <v>0</v>
      </c>
      <c r="HD3" s="600">
        <f>SUM(GO3,GR3,GU3,GX3,HA3)-SUM(GN3,GQ3,GT3,GW3,GZ3)</f>
        <v>0</v>
      </c>
      <c r="HE3" s="590">
        <f>COUNTIFS(STATUS!$Q:$Q,ДЕЛА!$A3,STATUS!$D:$D,ДЕЛА!HE$1,STATUS!$S:$S,"Согласовано")</f>
        <v>0</v>
      </c>
      <c r="HF3" s="398">
        <f>COUNTIFS(STATUS!$Q:$Q,ДЕЛА!$A3,STATUS!$D:$D,ДЕЛА!HE$1)</f>
        <v>0</v>
      </c>
      <c r="HG3" s="588">
        <f>IFERROR(HE3/HF3,1)</f>
        <v>1</v>
      </c>
      <c r="HH3" s="590">
        <f>COUNTIFS(STATUS!$Q:$Q,ДЕЛА!$A3,STATUS!$D:$D,ДЕЛА!HH$1,STATUS!$S:$S,"Согласовано")</f>
        <v>0</v>
      </c>
      <c r="HI3" s="398">
        <f>COUNTIFS(STATUS!$Q:$Q,ДЕЛА!$A3,STATUS!$D:$D,ДЕЛА!HH$1)</f>
        <v>0</v>
      </c>
      <c r="HJ3" s="588">
        <f>IFERROR(HH3/HI3,1)</f>
        <v>1</v>
      </c>
      <c r="HK3" s="590">
        <f>COUNTIFS(STATUS!$Q:$Q,ДЕЛА!$A3,STATUS!$D:$D,ДЕЛА!HK$1,STATUS!$S:$S,"Согласовано")</f>
        <v>0</v>
      </c>
      <c r="HL3" s="398">
        <f>COUNTIFS(STATUS!$Q:$Q,ДЕЛА!$A3,STATUS!$D:$D,ДЕЛА!HK$1)</f>
        <v>0</v>
      </c>
      <c r="HM3" s="588">
        <f>IFERROR(HK3/HL3,1)</f>
        <v>1</v>
      </c>
      <c r="HN3" s="590">
        <f>COUNTIFS(STATUS!$Q:$Q,ДЕЛА!$A3,STATUS!$D:$D,ДЕЛА!HN$1,STATUS!$S:$S,"Согласовано")</f>
        <v>0</v>
      </c>
      <c r="HO3" s="398">
        <f>COUNTIFS(STATUS!$Q:$Q,ДЕЛА!$A3,STATUS!$D:$D,ДЕЛА!HN$1)</f>
        <v>0</v>
      </c>
      <c r="HP3" s="588">
        <f>IFERROR(HN3/HO3,1)</f>
        <v>1</v>
      </c>
      <c r="HQ3" s="590">
        <f>COUNTIFS(STATUS!$Q:$Q,ДЕЛА!$A3,STATUS!$D:$D,ДЕЛА!HQ$1,STATUS!$S:$S,"Согласовано")</f>
        <v>0</v>
      </c>
      <c r="HR3" s="398">
        <f>COUNTIFS(STATUS!$Q:$Q,ДЕЛА!$A3,STATUS!$D:$D,ДЕЛА!HQ$1)</f>
        <v>0</v>
      </c>
      <c r="HS3" s="588">
        <f>IFERROR(HQ3/HR3,1)</f>
        <v>1</v>
      </c>
      <c r="HT3" s="807">
        <f t="shared" ref="HT3:HT12" si="14">SUM(HF3,HI3,HL3,HO3,HR3)</f>
        <v>0</v>
      </c>
      <c r="HU3" s="600">
        <f>SUM(HF3,HI3,HL3,HO3,HR3)-SUM(HE3,HH3,HK3,HN3,HQ3)</f>
        <v>0</v>
      </c>
      <c r="HV3" s="590">
        <f>COUNTIFS(STATUS!$Q:$Q,ДЕЛА!$A3,STATUS!$D:$D,ДЕЛА!HV$1,STATUS!$S:$S,"Согласовано")</f>
        <v>4</v>
      </c>
      <c r="HW3" s="398">
        <f>COUNTIFS(STATUS!$Q:$Q,ДЕЛА!$A3,STATUS!$D:$D,ДЕЛА!HV$1)</f>
        <v>4</v>
      </c>
      <c r="HX3" s="588">
        <f>IFERROR(HV3/HW3,1)</f>
        <v>1</v>
      </c>
      <c r="HY3" s="590">
        <f>COUNTIFS(STATUS!$Q:$Q,ДЕЛА!$A3,STATUS!$D:$D,ДЕЛА!HY$1,STATUS!$S:$S,"Согласовано")</f>
        <v>6</v>
      </c>
      <c r="HZ3" s="398">
        <f>COUNTIFS(STATUS!$Q:$Q,ДЕЛА!$A3,STATUS!$D:$D,ДЕЛА!HY$1)</f>
        <v>6</v>
      </c>
      <c r="IA3" s="588">
        <f>IFERROR(HY3/HZ3,1)</f>
        <v>1</v>
      </c>
      <c r="IB3" s="590">
        <f>COUNTIFS(STATUS!$Q:$Q,ДЕЛА!$A3,STATUS!$D:$D,ДЕЛА!IB$1,STATUS!$S:$S,"Согласовано")</f>
        <v>3</v>
      </c>
      <c r="IC3" s="398">
        <f>COUNTIFS(STATUS!$Q:$Q,ДЕЛА!$A3,STATUS!$D:$D,ДЕЛА!IB$1)</f>
        <v>3</v>
      </c>
      <c r="ID3" s="588">
        <f>IFERROR(IB3/IC3,1)</f>
        <v>1</v>
      </c>
      <c r="IE3" s="590">
        <f>COUNTIFS(STATUS!$Q:$Q,ДЕЛА!$A3,STATUS!$D:$D,ДЕЛА!IE$1,STATUS!$S:$S,"Согласовано")</f>
        <v>5</v>
      </c>
      <c r="IF3" s="398">
        <f>COUNTIFS(STATUS!$Q:$Q,ДЕЛА!$A3,STATUS!$D:$D,ДЕЛА!IE$1)</f>
        <v>5</v>
      </c>
      <c r="IG3" s="588">
        <f>IFERROR(IE3/IF3,1)</f>
        <v>1</v>
      </c>
      <c r="IH3" s="590">
        <f>COUNTIFS(STATUS!$Q:$Q,ДЕЛА!$A3,STATUS!$D:$D,ДЕЛА!IH$1,STATUS!$S:$S,"Согласовано")</f>
        <v>5</v>
      </c>
      <c r="II3" s="398">
        <f>COUNTIFS(STATUS!$Q:$Q,ДЕЛА!$A3,STATUS!$D:$D,ДЕЛА!IH$1)</f>
        <v>5</v>
      </c>
      <c r="IJ3" s="588">
        <f>IFERROR(IH3/II3,1)</f>
        <v>1</v>
      </c>
      <c r="IK3" s="807">
        <f t="shared" ref="IK3:IK12" si="15">SUM(HW3,HZ3,IC3,IF3,II3)</f>
        <v>23</v>
      </c>
      <c r="IL3" s="600">
        <f>SUM(HW3,HZ3,IC3,IF3,II3)-SUM(HV3,HY3,IB3,IE3,IH3)</f>
        <v>0</v>
      </c>
      <c r="IM3" s="590">
        <f>COUNTIFS(STATUS!$Q:$Q,ДЕЛА!$A3,STATUS!$D:$D,ДЕЛА!IM$1,STATUS!$S:$S,"Согласовано")</f>
        <v>4</v>
      </c>
      <c r="IN3" s="398">
        <f>COUNTIFS(STATUS!$Q:$Q,ДЕЛА!$A3,STATUS!$D:$D,ДЕЛА!IM$1)</f>
        <v>4</v>
      </c>
      <c r="IO3" s="588">
        <f>IFERROR(IM3/IN3,1)</f>
        <v>1</v>
      </c>
      <c r="IP3" s="590">
        <f>COUNTIFS(STATUS!$Q:$Q,ДЕЛА!$A3,STATUS!$D:$D,ДЕЛА!IP$1,STATUS!$S:$S,"Согласовано")</f>
        <v>3</v>
      </c>
      <c r="IQ3" s="398">
        <f>COUNTIFS(STATUS!$Q:$Q,ДЕЛА!$A3,STATUS!$D:$D,ДЕЛА!IP$1)</f>
        <v>3</v>
      </c>
      <c r="IR3" s="588">
        <f>IFERROR(IP3/IQ3,1)</f>
        <v>1</v>
      </c>
      <c r="IS3" s="590">
        <f>COUNTIFS(STATUS!$Q:$Q,ДЕЛА!$A3,STATUS!$D:$D,ДЕЛА!IS$1,STATUS!$S:$S,"Согласовано")</f>
        <v>3</v>
      </c>
      <c r="IT3" s="398">
        <f>COUNTIFS(STATUS!$Q:$Q,ДЕЛА!$A3,STATUS!$D:$D,ДЕЛА!IS$1)</f>
        <v>3</v>
      </c>
      <c r="IU3" s="588">
        <f>IFERROR(IS3/IT3,1)</f>
        <v>1</v>
      </c>
      <c r="IV3" s="590">
        <f>COUNTIFS(STATUS!$Q:$Q,ДЕЛА!$A3,STATUS!$D:$D,ДЕЛА!IV$1,STATUS!$S:$S,"Согласовано")</f>
        <v>6</v>
      </c>
      <c r="IW3" s="398">
        <f>COUNTIFS(STATUS!$Q:$Q,ДЕЛА!$A3,STATUS!$D:$D,ДЕЛА!IV$1)</f>
        <v>6</v>
      </c>
      <c r="IX3" s="588">
        <f>IFERROR(IV3/IW3,1)</f>
        <v>1</v>
      </c>
      <c r="IY3" s="590">
        <f>COUNTIFS(STATUS!$Q:$Q,ДЕЛА!$A3,STATUS!$D:$D,ДЕЛА!IY$1,STATUS!$S:$S,"Согласовано")</f>
        <v>4</v>
      </c>
      <c r="IZ3" s="398">
        <f>COUNTIFS(STATUS!$Q:$Q,ДЕЛА!$A3,STATUS!$D:$D,ДЕЛА!IY$1)</f>
        <v>4</v>
      </c>
      <c r="JA3" s="588">
        <f>IFERROR(IY3/IZ3,1)</f>
        <v>1</v>
      </c>
      <c r="JB3" s="807">
        <f t="shared" ref="JB3:JB12" si="16">SUM(IN3,IQ3,IT3,IW3,IZ3)</f>
        <v>20</v>
      </c>
      <c r="JC3" s="600">
        <f>SUM(IN3,IQ3,IT3,IW3,IZ3)-SUM(IM3,IP3,IS3,IV3,IY3)</f>
        <v>0</v>
      </c>
      <c r="JD3" s="590">
        <f>COUNTIFS(STATUS!$Q:$Q,ДЕЛА!$A3,STATUS!$D:$D,ДЕЛА!JD$1,STATUS!$S:$S,"Согласовано")</f>
        <v>4</v>
      </c>
      <c r="JE3" s="398">
        <f>COUNTIFS(STATUS!$Q:$Q,ДЕЛА!$A3,STATUS!$D:$D,ДЕЛА!JD$1)</f>
        <v>4</v>
      </c>
      <c r="JF3" s="588">
        <f>IFERROR(JD3/JE3,1)</f>
        <v>1</v>
      </c>
      <c r="JG3" s="590">
        <f>COUNTIFS(STATUS!$Q:$Q,ДЕЛА!$A3,STATUS!$D:$D,ДЕЛА!JG$1,STATUS!$S:$S,"Согласовано")</f>
        <v>4</v>
      </c>
      <c r="JH3" s="398">
        <f>COUNTIFS(STATUS!$Q:$Q,ДЕЛА!$A3,STATUS!$D:$D,ДЕЛА!JG$1)</f>
        <v>4</v>
      </c>
      <c r="JI3" s="588">
        <f>IFERROR(JG3/JH3,1)</f>
        <v>1</v>
      </c>
      <c r="JJ3" s="590">
        <f>COUNTIFS(STATUS!$Q:$Q,ДЕЛА!$A3,STATUS!$D:$D,ДЕЛА!JJ$1,STATUS!$S:$S,"Согласовано")</f>
        <v>3</v>
      </c>
      <c r="JK3" s="398">
        <f>COUNTIFS(STATUS!$Q:$Q,ДЕЛА!$A3,STATUS!$D:$D,ДЕЛА!JJ$1)</f>
        <v>3</v>
      </c>
      <c r="JL3" s="588">
        <f>IFERROR(JJ3/JK3,1)</f>
        <v>1</v>
      </c>
      <c r="JM3" s="590">
        <f>COUNTIFS(STATUS!$Q:$Q,ДЕЛА!$A3,STATUS!$D:$D,ДЕЛА!JM$1,STATUS!$S:$S,"Согласовано")</f>
        <v>3</v>
      </c>
      <c r="JN3" s="398">
        <f>COUNTIFS(STATUS!$Q:$Q,ДЕЛА!$A3,STATUS!$D:$D,ДЕЛА!JM$1)</f>
        <v>3</v>
      </c>
      <c r="JO3" s="588">
        <f>IFERROR(JM3/JN3,1)</f>
        <v>1</v>
      </c>
      <c r="JP3" s="590">
        <f>COUNTIFS(STATUS!$Q:$Q,ДЕЛА!$A3,STATUS!$D:$D,ДЕЛА!JP$1,STATUS!$S:$S,"Согласовано")</f>
        <v>2</v>
      </c>
      <c r="JQ3" s="398">
        <f>COUNTIFS(STATUS!$Q:$Q,ДЕЛА!$A3,STATUS!$D:$D,ДЕЛА!JP$1)</f>
        <v>2</v>
      </c>
      <c r="JR3" s="588">
        <f>IFERROR(JP3/JQ3,1)</f>
        <v>1</v>
      </c>
      <c r="JS3" s="807">
        <f t="shared" ref="JS3:JS12" si="17">SUM(JE3,JH3,JK3,JN3,JQ3)</f>
        <v>16</v>
      </c>
      <c r="JT3" s="600">
        <f>SUM(JE3,JH3,JK3,JN3,JQ3)-SUM(JD3,JG3,JJ3,JM3,JP3)</f>
        <v>0</v>
      </c>
      <c r="JU3" s="590">
        <f>COUNTIFS(STATUS!$Q:$Q,ДЕЛА!$A3,STATUS!$D:$D,ДЕЛА!JU$1,STATUS!$S:$S,"Согласовано")</f>
        <v>0</v>
      </c>
      <c r="JV3" s="398">
        <f>COUNTIFS(STATUS!$Q:$Q,ДЕЛА!$A3,STATUS!$D:$D,ДЕЛА!JU$1)</f>
        <v>0</v>
      </c>
      <c r="JW3" s="588">
        <f>IFERROR(JU3/JV3,1)</f>
        <v>1</v>
      </c>
      <c r="JX3" s="590">
        <f>COUNTIFS(STATUS!$Q:$Q,ДЕЛА!$A3,STATUS!$D:$D,ДЕЛА!JX$1,STATUS!$S:$S,"Согласовано")</f>
        <v>0</v>
      </c>
      <c r="JY3" s="398">
        <f>COUNTIFS(STATUS!$Q:$Q,ДЕЛА!$A3,STATUS!$D:$D,ДЕЛА!JX$1)</f>
        <v>0</v>
      </c>
      <c r="JZ3" s="588">
        <f>IFERROR(JX3/JY3,1)</f>
        <v>1</v>
      </c>
      <c r="KA3" s="590">
        <f>COUNTIFS(STATUS!$Q:$Q,ДЕЛА!$A3,STATUS!$D:$D,ДЕЛА!KA$1,STATUS!$S:$S,"Согласовано")</f>
        <v>0</v>
      </c>
      <c r="KB3" s="398">
        <f>COUNTIFS(STATUS!$Q:$Q,ДЕЛА!$A3,STATUS!$D:$D,ДЕЛА!KA$1)</f>
        <v>0</v>
      </c>
      <c r="KC3" s="588">
        <f>IFERROR(KA3/KB3,1)</f>
        <v>1</v>
      </c>
      <c r="KD3" s="590">
        <f>COUNTIFS(STATUS!$Q:$Q,ДЕЛА!$A3,STATUS!$D:$D,ДЕЛА!KD$1,STATUS!$S:$S,"Согласовано")</f>
        <v>0</v>
      </c>
      <c r="KE3" s="398">
        <f>COUNTIFS(STATUS!$Q:$Q,ДЕЛА!$A3,STATUS!$D:$D,ДЕЛА!KD$1)</f>
        <v>0</v>
      </c>
      <c r="KF3" s="588">
        <f>IFERROR(KD3/KE3,1)</f>
        <v>1</v>
      </c>
      <c r="KG3" s="590">
        <f>COUNTIFS(STATUS!$Q:$Q,ДЕЛА!$A3,STATUS!$D:$D,ДЕЛА!KG$1,STATUS!$S:$S,"Согласовано")</f>
        <v>0</v>
      </c>
      <c r="KH3" s="398">
        <f>COUNTIFS(STATUS!$Q:$Q,ДЕЛА!$A3,STATUS!$D:$D,ДЕЛА!KG$1)</f>
        <v>0</v>
      </c>
      <c r="KI3" s="588">
        <f>IFERROR(KG3/KH3,1)</f>
        <v>1</v>
      </c>
      <c r="KJ3" s="807">
        <f t="shared" ref="KJ3:KJ12" si="18">SUM(JV3,JY3,KB3,KE3,KH3)</f>
        <v>0</v>
      </c>
      <c r="KK3" s="600">
        <f>SUM(JV3,JY3,KB3,KE3,KH3)-SUM(JU3,JX3,KA3,KD3,KG3)</f>
        <v>0</v>
      </c>
      <c r="KL3" s="590">
        <f>COUNTIFS(STATUS!$Q:$Q,ДЕЛА!$A3,STATUS!$D:$D,ДЕЛА!KL$1,STATUS!$S:$S,"Согласовано")</f>
        <v>0</v>
      </c>
      <c r="KM3" s="398">
        <f>COUNTIFS(STATUS!$Q:$Q,ДЕЛА!$A3,STATUS!$D:$D,ДЕЛА!KL$1)</f>
        <v>0</v>
      </c>
      <c r="KN3" s="588">
        <f>IFERROR(KL3/KM3,1)</f>
        <v>1</v>
      </c>
      <c r="KO3" s="590">
        <f>COUNTIFS(STATUS!$Q:$Q,ДЕЛА!$A3,STATUS!$D:$D,ДЕЛА!KO$1,STATUS!$S:$S,"Согласовано")</f>
        <v>0</v>
      </c>
      <c r="KP3" s="398">
        <f>COUNTIFS(STATUS!$Q:$Q,ДЕЛА!$A3,STATUS!$D:$D,ДЕЛА!KO$1)</f>
        <v>0</v>
      </c>
      <c r="KQ3" s="588">
        <f>IFERROR(KO3/KP3,1)</f>
        <v>1</v>
      </c>
      <c r="KR3" s="590">
        <f>COUNTIFS(STATUS!$Q:$Q,ДЕЛА!$A3,STATUS!$D:$D,ДЕЛА!KR$1,STATUS!$S:$S,"Согласовано")</f>
        <v>0</v>
      </c>
      <c r="KS3" s="398">
        <f>COUNTIFS(STATUS!$Q:$Q,ДЕЛА!$A3,STATUS!$D:$D,ДЕЛА!KR$1)</f>
        <v>0</v>
      </c>
      <c r="KT3" s="588">
        <f>IFERROR(KR3/KS3,1)</f>
        <v>1</v>
      </c>
      <c r="KU3" s="590">
        <f>COUNTIFS(STATUS!$Q:$Q,ДЕЛА!$A3,STATUS!$D:$D,ДЕЛА!KU$1,STATUS!$S:$S,"Согласовано")</f>
        <v>0</v>
      </c>
      <c r="KV3" s="398">
        <f>COUNTIFS(STATUS!$Q:$Q,ДЕЛА!$A3,STATUS!$D:$D,ДЕЛА!KU$1)</f>
        <v>0</v>
      </c>
      <c r="KW3" s="588">
        <f>IFERROR(KU3/KV3,1)</f>
        <v>1</v>
      </c>
      <c r="KX3" s="590">
        <f>COUNTIFS(STATUS!$Q:$Q,ДЕЛА!$A3,STATUS!$D:$D,ДЕЛА!KX$1,STATUS!$S:$S,"Согласовано")</f>
        <v>0</v>
      </c>
      <c r="KY3" s="398">
        <f>COUNTIFS(STATUS!$Q:$Q,ДЕЛА!$A3,STATUS!$D:$D,ДЕЛА!KX$1)</f>
        <v>0</v>
      </c>
      <c r="KZ3" s="588">
        <f>IFERROR(KX3/KY3,1)</f>
        <v>1</v>
      </c>
      <c r="LA3" s="807">
        <f t="shared" ref="LA3:LA12" si="19">SUM(KM3,KP3,KS3,KV3,KY3)</f>
        <v>0</v>
      </c>
      <c r="LB3" s="600">
        <f>SUM(KM3,KP3,KS3,KV3,KY3)-SUM(KL3,KO3,KR3,KU3,KX3)</f>
        <v>0</v>
      </c>
      <c r="LC3" s="590">
        <f>COUNTIFS(STATUS!$Q:$Q,ДЕЛА!$A3,STATUS!$D:$D,ДЕЛА!LC$1,STATUS!$S:$S,"Согласовано")</f>
        <v>3</v>
      </c>
      <c r="LD3" s="398">
        <f>COUNTIFS(STATUS!$Q:$Q,ДЕЛА!$A3,STATUS!$D:$D,ДЕЛА!LC$1)</f>
        <v>3</v>
      </c>
      <c r="LE3" s="588">
        <f>IFERROR(LC3/LD3,1)</f>
        <v>1</v>
      </c>
      <c r="LF3" s="590">
        <f>COUNTIFS(STATUS!$Q:$Q,ДЕЛА!$A3,STATUS!$D:$D,ДЕЛА!LF$1,STATUS!$S:$S,"Согласовано")</f>
        <v>6</v>
      </c>
      <c r="LG3" s="398">
        <f>COUNTIFS(STATUS!$Q:$Q,ДЕЛА!$A3,STATUS!$D:$D,ДЕЛА!LF$1)</f>
        <v>6</v>
      </c>
      <c r="LH3" s="588">
        <f>IFERROR(LF3/LG3,1)</f>
        <v>1</v>
      </c>
      <c r="LI3" s="590">
        <f>COUNTIFS(STATUS!$Q:$Q,ДЕЛА!$A3,STATUS!$D:$D,ДЕЛА!LI$1,STATUS!$S:$S,"Согласовано")</f>
        <v>5</v>
      </c>
      <c r="LJ3" s="398">
        <f>COUNTIFS(STATUS!$Q:$Q,ДЕЛА!$A3,STATUS!$D:$D,ДЕЛА!LI$1)</f>
        <v>5</v>
      </c>
      <c r="LK3" s="588">
        <f>IFERROR(LI3/LJ3,1)</f>
        <v>1</v>
      </c>
      <c r="LL3" s="590">
        <f>COUNTIFS(STATUS!$Q:$Q,ДЕЛА!$A3,STATUS!$D:$D,ДЕЛА!LL$1,STATUS!$S:$S,"Согласовано")</f>
        <v>2</v>
      </c>
      <c r="LM3" s="398">
        <f>COUNTIFS(STATUS!$Q:$Q,ДЕЛА!$A3,STATUS!$D:$D,ДЕЛА!LL$1)</f>
        <v>2</v>
      </c>
      <c r="LN3" s="588">
        <f>IFERROR(LL3/LM3,1)</f>
        <v>1</v>
      </c>
      <c r="LO3" s="590">
        <f>COUNTIFS(STATUS!$Q:$Q,ДЕЛА!$A3,STATUS!$D:$D,ДЕЛА!LO$1,STATUS!$S:$S,"Согласовано")</f>
        <v>5</v>
      </c>
      <c r="LP3" s="398">
        <f>COUNTIFS(STATUS!$Q:$Q,ДЕЛА!$A3,STATUS!$D:$D,ДЕЛА!LO$1)</f>
        <v>5</v>
      </c>
      <c r="LQ3" s="588">
        <f>IFERROR(LO3/LP3,1)</f>
        <v>1</v>
      </c>
      <c r="LR3" s="807">
        <f t="shared" ref="LR3:LR12" si="20">SUM(LD3,LG3,LJ3,LM3,LP3)</f>
        <v>21</v>
      </c>
      <c r="LS3" s="600">
        <f>SUM(LD3,LG3,LJ3,LM3,LP3)-SUM(LC3,LF3,LI3,LL3,LO3)</f>
        <v>0</v>
      </c>
      <c r="LT3" s="590">
        <f>COUNTIFS(STATUS!$Q:$Q,ДЕЛА!$A3,STATUS!$D:$D,ДЕЛА!LT$1,STATUS!$S:$S,"Согласовано")</f>
        <v>3</v>
      </c>
      <c r="LU3" s="398">
        <f>COUNTIFS(STATUS!$Q:$Q,ДЕЛА!$A3,STATUS!$D:$D,ДЕЛА!LT$1)</f>
        <v>3</v>
      </c>
      <c r="LV3" s="588">
        <f>IFERROR(LT3/LU3,1)</f>
        <v>1</v>
      </c>
      <c r="LW3" s="590">
        <f>COUNTIFS(STATUS!$Q:$Q,ДЕЛА!$A3,STATUS!$D:$D,ДЕЛА!LW$1,STATUS!$S:$S,"Согласовано")</f>
        <v>4</v>
      </c>
      <c r="LX3" s="398">
        <f>COUNTIFS(STATUS!$Q:$Q,ДЕЛА!$A3,STATUS!$D:$D,ДЕЛА!LW$1)</f>
        <v>4</v>
      </c>
      <c r="LY3" s="588">
        <f>IFERROR(LW3/LX3,1)</f>
        <v>1</v>
      </c>
      <c r="LZ3" s="590">
        <f>COUNTIFS(STATUS!$Q:$Q,ДЕЛА!$A3,STATUS!$D:$D,ДЕЛА!LZ$1,STATUS!$S:$S,"Согласовано")</f>
        <v>4</v>
      </c>
      <c r="MA3" s="398">
        <f>COUNTIFS(STATUS!$Q:$Q,ДЕЛА!$A3,STATUS!$D:$D,ДЕЛА!LZ$1)</f>
        <v>4</v>
      </c>
      <c r="MB3" s="588">
        <f>IFERROR(LZ3/MA3,1)</f>
        <v>1</v>
      </c>
      <c r="MC3" s="590">
        <f>COUNTIFS(STATUS!$Q:$Q,ДЕЛА!$A3,STATUS!$D:$D,ДЕЛА!MC$1,STATUS!$S:$S,"Согласовано")</f>
        <v>5</v>
      </c>
      <c r="MD3" s="398">
        <f>COUNTIFS(STATUS!$Q:$Q,ДЕЛА!$A3,STATUS!$D:$D,ДЕЛА!MC$1)</f>
        <v>5</v>
      </c>
      <c r="ME3" s="588">
        <f>IFERROR(MC3/MD3,1)</f>
        <v>1</v>
      </c>
      <c r="MF3" s="590">
        <f>COUNTIFS(STATUS!$Q:$Q,ДЕЛА!$A3,STATUS!$D:$D,ДЕЛА!MF$1,STATUS!$S:$S,"Согласовано")</f>
        <v>2</v>
      </c>
      <c r="MG3" s="398">
        <f>COUNTIFS(STATUS!$Q:$Q,ДЕЛА!$A3,STATUS!$D:$D,ДЕЛА!MF$1)</f>
        <v>2</v>
      </c>
      <c r="MH3" s="588">
        <f>IFERROR(MF3/MG3,1)</f>
        <v>1</v>
      </c>
      <c r="MI3" s="807">
        <f t="shared" ref="MI3:MI12" si="21">SUM(LU3,LX3,MA3,MD3,MG3)</f>
        <v>18</v>
      </c>
      <c r="MJ3" s="600">
        <f>SUM(LU3,LX3,MA3,MD3,MG3)-SUM(LT3,LW3,LZ3,MC3,MF3)</f>
        <v>0</v>
      </c>
      <c r="MK3" s="590">
        <f>COUNTIFS(STATUS!$Q:$Q,ДЕЛА!$A3,STATUS!$D:$D,ДЕЛА!MK$1,STATUS!$S:$S,"Согласовано")</f>
        <v>4</v>
      </c>
      <c r="ML3" s="398">
        <f>COUNTIFS(STATUS!$Q:$Q,ДЕЛА!$A3,STATUS!$D:$D,ДЕЛА!MK$1)</f>
        <v>4</v>
      </c>
      <c r="MM3" s="588">
        <f>IFERROR(MK3/ML3,1)</f>
        <v>1</v>
      </c>
      <c r="MN3" s="590">
        <f>COUNTIFS(STATUS!$Q:$Q,ДЕЛА!$A3,STATUS!$D:$D,ДЕЛА!MN$1,STATUS!$S:$S,"Согласовано")</f>
        <v>9</v>
      </c>
      <c r="MO3" s="398">
        <f>COUNTIFS(STATUS!$Q:$Q,ДЕЛА!$A3,STATUS!$D:$D,ДЕЛА!MN$1)</f>
        <v>9</v>
      </c>
      <c r="MP3" s="588">
        <f>IFERROR(MN3/MO3,1)</f>
        <v>1</v>
      </c>
      <c r="MQ3" s="590">
        <f>COUNTIFS(STATUS!$Q:$Q,ДЕЛА!$A3,STATUS!$D:$D,ДЕЛА!MQ$1,STATUS!$S:$S,"Согласовано")</f>
        <v>4</v>
      </c>
      <c r="MR3" s="398">
        <f>COUNTIFS(STATUS!$Q:$Q,ДЕЛА!$A3,STATUS!$D:$D,ДЕЛА!MQ$1)</f>
        <v>4</v>
      </c>
      <c r="MS3" s="588">
        <f>IFERROR(MQ3/MR3,1)</f>
        <v>1</v>
      </c>
      <c r="MT3" s="590">
        <f>COUNTIFS(STATUS!$Q:$Q,ДЕЛА!$A3,STATUS!$D:$D,ДЕЛА!MT$1,STATUS!$S:$S,"Согласовано")</f>
        <v>3</v>
      </c>
      <c r="MU3" s="398">
        <f>COUNTIFS(STATUS!$Q:$Q,ДЕЛА!$A3,STATUS!$D:$D,ДЕЛА!MT$1)</f>
        <v>3</v>
      </c>
      <c r="MV3" s="588">
        <f>IFERROR(MT3/MU3,1)</f>
        <v>1</v>
      </c>
      <c r="MW3" s="590">
        <f>COUNTIFS(STATUS!$Q:$Q,ДЕЛА!$A3,STATUS!$D:$D,ДЕЛА!MW$1,STATUS!$S:$S,"Согласовано")</f>
        <v>3</v>
      </c>
      <c r="MX3" s="398">
        <f>COUNTIFS(STATUS!$Q:$Q,ДЕЛА!$A3,STATUS!$D:$D,ДЕЛА!MW$1)</f>
        <v>3</v>
      </c>
      <c r="MY3" s="588">
        <f>IFERROR(MW3/MX3,1)</f>
        <v>1</v>
      </c>
      <c r="MZ3" s="807">
        <f t="shared" ref="MZ3:MZ12" si="22">SUM(ML3,MO3,MR3,MU3,MX3)</f>
        <v>23</v>
      </c>
      <c r="NA3" s="600">
        <f>SUM(ML3,MO3,MR3,MU3,MX3)-SUM(MK3,MN3,MQ3,MT3,MW3)</f>
        <v>0</v>
      </c>
      <c r="NB3" s="590">
        <f>COUNTIFS(STATUS!$Q:$Q,ДЕЛА!$A3,STATUS!$D:$D,ДЕЛА!NB$1,STATUS!$S:$S,"Согласовано")</f>
        <v>6</v>
      </c>
      <c r="NC3" s="398">
        <f>COUNTIFS(STATUS!$Q:$Q,ДЕЛА!$A3,STATUS!$D:$D,ДЕЛА!NB$1)</f>
        <v>6</v>
      </c>
      <c r="ND3" s="588">
        <f>IFERROR(NB3/NC3,1)</f>
        <v>1</v>
      </c>
      <c r="NE3" s="590">
        <f>COUNTIFS(STATUS!$Q:$Q,ДЕЛА!$A3,STATUS!$D:$D,ДЕЛА!NE$1,STATUS!$S:$S,"Согласовано")</f>
        <v>5</v>
      </c>
      <c r="NF3" s="398">
        <f>COUNTIFS(STATUS!$Q:$Q,ДЕЛА!$A3,STATUS!$D:$D,ДЕЛА!NE$1)</f>
        <v>5</v>
      </c>
      <c r="NG3" s="588">
        <f>IFERROR(NE3/NF3,1)</f>
        <v>1</v>
      </c>
      <c r="NH3" s="590">
        <f>COUNTIFS(STATUS!$Q:$Q,ДЕЛА!$A3,STATUS!$D:$D,ДЕЛА!NH$1,STATUS!$S:$S,"Согласовано")</f>
        <v>3</v>
      </c>
      <c r="NI3" s="398">
        <f>COUNTIFS(STATUS!$Q:$Q,ДЕЛА!$A3,STATUS!$D:$D,ДЕЛА!NH$1)</f>
        <v>3</v>
      </c>
      <c r="NJ3" s="588">
        <f>IFERROR(NH3/NI3,1)</f>
        <v>1</v>
      </c>
      <c r="NK3" s="590">
        <f>COUNTIFS(STATUS!$Q:$Q,ДЕЛА!$A3,STATUS!$D:$D,ДЕЛА!NK$1,STATUS!$S:$S,"Согласовано")</f>
        <v>3</v>
      </c>
      <c r="NL3" s="398">
        <f>COUNTIFS(STATUS!$Q:$Q,ДЕЛА!$A3,STATUS!$D:$D,ДЕЛА!NK$1)</f>
        <v>3</v>
      </c>
      <c r="NM3" s="588">
        <f>IFERROR(NK3/NL3,1)</f>
        <v>1</v>
      </c>
      <c r="NN3" s="590">
        <f>COUNTIFS(STATUS!$Q:$Q,ДЕЛА!$A3,STATUS!$D:$D,ДЕЛА!NN$1,STATUS!$S:$S,"Согласовано")</f>
        <v>3</v>
      </c>
      <c r="NO3" s="398">
        <f>COUNTIFS(STATUS!$Q:$Q,ДЕЛА!$A3,STATUS!$D:$D,ДЕЛА!NN$1)</f>
        <v>3</v>
      </c>
      <c r="NP3" s="588">
        <f>IFERROR(NN3/NO3,1)</f>
        <v>1</v>
      </c>
      <c r="NQ3" s="807">
        <f t="shared" ref="NQ3:NQ12" si="23">SUM(NC3,NF3,NI3,NL3,NO3)</f>
        <v>20</v>
      </c>
      <c r="NR3" s="600">
        <f>SUM(NC3,NF3,NI3,NL3,NO3)-SUM(NB3,NE3,NH3,NK3,NN3)</f>
        <v>0</v>
      </c>
      <c r="NS3" s="590">
        <f>COUNTIFS(STATUS!$Q:$Q,ДЕЛА!$A3,STATUS!$D:$D,ДЕЛА!NS$1,STATUS!$S:$S,"Согласовано")</f>
        <v>4</v>
      </c>
      <c r="NT3" s="398">
        <f>COUNTIFS(STATUS!$Q:$Q,ДЕЛА!$A3,STATUS!$D:$D,ДЕЛА!NS$1)</f>
        <v>4</v>
      </c>
      <c r="NU3" s="588">
        <f>IFERROR(NS3/NT3,1)</f>
        <v>1</v>
      </c>
      <c r="NV3" s="590">
        <f>COUNTIFS(STATUS!$Q:$Q,ДЕЛА!$A3,STATUS!$D:$D,ДЕЛА!NV$1,STATUS!$S:$S,"Согласовано")</f>
        <v>3</v>
      </c>
      <c r="NW3" s="398">
        <f>COUNTIFS(STATUS!$Q:$Q,ДЕЛА!$A3,STATUS!$D:$D,ДЕЛА!NV$1)</f>
        <v>3</v>
      </c>
      <c r="NX3" s="588">
        <f>IFERROR(NV3/NW3,1)</f>
        <v>1</v>
      </c>
      <c r="NY3" s="590">
        <f>COUNTIFS(STATUS!$Q:$Q,ДЕЛА!$A3,STATUS!$D:$D,ДЕЛА!NY$1,STATUS!$S:$S,"Согласовано")</f>
        <v>3</v>
      </c>
      <c r="NZ3" s="398">
        <f>COUNTIFS(STATUS!$Q:$Q,ДЕЛА!$A3,STATUS!$D:$D,ДЕЛА!NY$1)</f>
        <v>3</v>
      </c>
      <c r="OA3" s="588">
        <f>IFERROR(NY3/NZ3,1)</f>
        <v>1</v>
      </c>
      <c r="OB3" s="590">
        <f>COUNTIFS(STATUS!$Q:$Q,ДЕЛА!$A3,STATUS!$D:$D,ДЕЛА!OB$1,STATUS!$S:$S,"Согласовано")</f>
        <v>4</v>
      </c>
      <c r="OC3" s="398">
        <f>COUNTIFS(STATUS!$Q:$Q,ДЕЛА!$A3,STATUS!$D:$D,ДЕЛА!OB$1)</f>
        <v>4</v>
      </c>
      <c r="OD3" s="588">
        <f>IFERROR(OB3/OC3,1)</f>
        <v>1</v>
      </c>
      <c r="OE3" s="590">
        <f>COUNTIFS(STATUS!$Q:$Q,ДЕЛА!$A3,STATUS!$D:$D,ДЕЛА!OE$1,STATUS!$S:$S,"Согласовано")</f>
        <v>5</v>
      </c>
      <c r="OF3" s="398">
        <f>COUNTIFS(STATUS!$Q:$Q,ДЕЛА!$A3,STATUS!$D:$D,ДЕЛА!OE$1)</f>
        <v>5</v>
      </c>
      <c r="OG3" s="588">
        <f>IFERROR(OE3/OF3,1)</f>
        <v>1</v>
      </c>
      <c r="OH3" s="807">
        <f t="shared" ref="OH3:OH12" si="24">SUM(NT3,NW3,NZ3,OC3,OF3)</f>
        <v>19</v>
      </c>
      <c r="OI3" s="600">
        <f>SUM(NT3,NW3,NZ3,OC3,OF3)-SUM(NS3,NV3,NY3,OB3,OE3)</f>
        <v>0</v>
      </c>
      <c r="OJ3" s="590">
        <f>COUNTIFS(STATUS!$Q:$Q,ДЕЛА!$A3,STATUS!$D:$D,ДЕЛА!OJ$1,STATUS!$S:$S,"Согласовано")</f>
        <v>6</v>
      </c>
      <c r="OK3" s="398">
        <f>COUNTIFS(STATUS!$Q:$Q,ДЕЛА!$A3,STATUS!$D:$D,ДЕЛА!OJ$1)</f>
        <v>6</v>
      </c>
      <c r="OL3" s="588">
        <f>IFERROR(OJ3/OK3,1)</f>
        <v>1</v>
      </c>
      <c r="OM3" s="590">
        <f>COUNTIFS(STATUS!$Q:$Q,ДЕЛА!$A3,STATUS!$D:$D,ДЕЛА!OM$1,STATUS!$S:$S,"Согласовано")</f>
        <v>4</v>
      </c>
      <c r="ON3" s="398">
        <f>COUNTIFS(STATUS!$Q:$Q,ДЕЛА!$A3,STATUS!$D:$D,ДЕЛА!OM$1)</f>
        <v>4</v>
      </c>
      <c r="OO3" s="588">
        <f>IFERROR(OM3/ON3,1)</f>
        <v>1</v>
      </c>
      <c r="OP3" s="590">
        <f>COUNTIFS(STATUS!$Q:$Q,ДЕЛА!$A3,STATUS!$D:$D,ДЕЛА!OP$1,STATUS!$S:$S,"Согласовано")</f>
        <v>3</v>
      </c>
      <c r="OQ3" s="398">
        <f>COUNTIFS(STATUS!$Q:$Q,ДЕЛА!$A3,STATUS!$D:$D,ДЕЛА!OP$1)</f>
        <v>3</v>
      </c>
      <c r="OR3" s="588">
        <f>IFERROR(OP3/OQ3,1)</f>
        <v>1</v>
      </c>
      <c r="OS3" s="590">
        <f>COUNTIFS(STATUS!$Q:$Q,ДЕЛА!$A3,STATUS!$D:$D,ДЕЛА!OS$1,STATUS!$S:$S,"Согласовано")</f>
        <v>3</v>
      </c>
      <c r="OT3" s="398">
        <f>COUNTIFS(STATUS!$Q:$Q,ДЕЛА!$A3,STATUS!$D:$D,ДЕЛА!OS$1)</f>
        <v>3</v>
      </c>
      <c r="OU3" s="588">
        <f>IFERROR(OS3/OT3,1)</f>
        <v>1</v>
      </c>
      <c r="OV3" s="590">
        <f>COUNTIFS(STATUS!$Q:$Q,ДЕЛА!$A3,STATUS!$D:$D,ДЕЛА!OV$1,STATUS!$S:$S,"Согласовано")</f>
        <v>2</v>
      </c>
      <c r="OW3" s="398">
        <f>COUNTIFS(STATUS!$Q:$Q,ДЕЛА!$A3,STATUS!$D:$D,ДЕЛА!OV$1)</f>
        <v>2</v>
      </c>
      <c r="OX3" s="588">
        <f>IFERROR(OV3/OW3,1)</f>
        <v>1</v>
      </c>
      <c r="OY3" s="807">
        <f t="shared" ref="OY3:OY12" si="25">SUM(OK3,ON3,OQ3,OT3,OW3)</f>
        <v>18</v>
      </c>
      <c r="OZ3" s="600">
        <f>SUM(OK3,ON3,OQ3,OT3,OW3)-SUM(OJ3,OM3,OP3,OS3,OV3)</f>
        <v>0</v>
      </c>
      <c r="PA3" s="590">
        <f>COUNTIFS(STATUS!$Q:$Q,ДЕЛА!$A3,STATUS!$D:$D,ДЕЛА!PA$1,STATUS!$S:$S,"Согласовано")</f>
        <v>0</v>
      </c>
      <c r="PB3" s="398">
        <f>COUNTIFS(STATUS!$Q:$Q,ДЕЛА!$A3,STATUS!$D:$D,ДЕЛА!PA$1)</f>
        <v>0</v>
      </c>
      <c r="PC3" s="588">
        <f>IFERROR(PA3/PB3,1)</f>
        <v>1</v>
      </c>
      <c r="PD3" s="590">
        <f>COUNTIFS(STATUS!$Q:$Q,ДЕЛА!$A3,STATUS!$D:$D,ДЕЛА!PD$1,STATUS!$S:$S,"Согласовано")</f>
        <v>0</v>
      </c>
      <c r="PE3" s="398">
        <f>COUNTIFS(STATUS!$Q:$Q,ДЕЛА!$A3,STATUS!$D:$D,ДЕЛА!PD$1)</f>
        <v>0</v>
      </c>
      <c r="PF3" s="588">
        <f>IFERROR(PD3/PE3,1)</f>
        <v>1</v>
      </c>
      <c r="PG3" s="590">
        <f>COUNTIFS(STATUS!$Q:$Q,ДЕЛА!$A3,STATUS!$D:$D,ДЕЛА!PG$1,STATUS!$S:$S,"Согласовано")</f>
        <v>0</v>
      </c>
      <c r="PH3" s="398">
        <f>COUNTIFS(STATUS!$Q:$Q,ДЕЛА!$A3,STATUS!$D:$D,ДЕЛА!PG$1)</f>
        <v>0</v>
      </c>
      <c r="PI3" s="588">
        <f>IFERROR(PG3/PH3,1)</f>
        <v>1</v>
      </c>
      <c r="PJ3" s="590">
        <f>COUNTIFS(STATUS!$Q:$Q,ДЕЛА!$A3,STATUS!$D:$D,ДЕЛА!PJ$1,STATUS!$S:$S,"Согласовано")</f>
        <v>0</v>
      </c>
      <c r="PK3" s="398">
        <f>COUNTIFS(STATUS!$Q:$Q,ДЕЛА!$A3,STATUS!$D:$D,ДЕЛА!PJ$1)</f>
        <v>0</v>
      </c>
      <c r="PL3" s="588">
        <f>IFERROR(PJ3/PK3,1)</f>
        <v>1</v>
      </c>
      <c r="PM3" s="590">
        <f>COUNTIFS(STATUS!$Q:$Q,ДЕЛА!$A3,STATUS!$D:$D,ДЕЛА!PM$1,STATUS!$S:$S,"Согласовано")</f>
        <v>0</v>
      </c>
      <c r="PN3" s="398">
        <f>COUNTIFS(STATUS!$Q:$Q,ДЕЛА!$A3,STATUS!$D:$D,ДЕЛА!PM$1)</f>
        <v>0</v>
      </c>
      <c r="PO3" s="588">
        <f>IFERROR(PM3/PN3,1)</f>
        <v>1</v>
      </c>
      <c r="PP3" s="807">
        <f t="shared" ref="PP3:PP8" si="26">SUM(PB3,PE3,PH3,PK3,PN3)</f>
        <v>0</v>
      </c>
      <c r="PQ3" s="600">
        <f>SUM(PB3,PE3,PH3,PK3,PN3)-SUM(PA3,PD3,PG3,PJ3,PM3)</f>
        <v>0</v>
      </c>
      <c r="PR3" s="590">
        <f>COUNTIFS(STATUS!$Q:$Q,ДЕЛА!$A3,STATUS!$D:$D,ДЕЛА!PR$1,STATUS!$S:$S,"Согласовано")</f>
        <v>0</v>
      </c>
      <c r="PS3" s="398">
        <f>COUNTIFS(STATUS!$Q:$Q,ДЕЛА!$A3,STATUS!$D:$D,ДЕЛА!PR$1)</f>
        <v>0</v>
      </c>
      <c r="PT3" s="588">
        <f>IFERROR(PR3/PS3,1)</f>
        <v>1</v>
      </c>
      <c r="PU3" s="590">
        <f>COUNTIFS(STATUS!$Q:$Q,ДЕЛА!$A3,STATUS!$D:$D,ДЕЛА!PU$1,STATUS!$S:$S,"Согласовано")</f>
        <v>3</v>
      </c>
      <c r="PV3" s="398">
        <f>COUNTIFS(STATUS!$Q:$Q,ДЕЛА!$A3,STATUS!$D:$D,ДЕЛА!PU$1)</f>
        <v>3</v>
      </c>
      <c r="PW3" s="588">
        <f>IFERROR(PU3/PV3,1)</f>
        <v>1</v>
      </c>
      <c r="PX3" s="590">
        <f>COUNTIFS(STATUS!$Q:$Q,ДЕЛА!$A3,STATUS!$D:$D,ДЕЛА!PX$1,STATUS!$S:$S,"Согласовано")</f>
        <v>6</v>
      </c>
      <c r="PY3" s="398">
        <f>COUNTIFS(STATUS!$Q:$Q,ДЕЛА!$A3,STATUS!$D:$D,ДЕЛА!PX$1)</f>
        <v>6</v>
      </c>
      <c r="PZ3" s="588">
        <f>IFERROR(PX3/PY3,1)</f>
        <v>1</v>
      </c>
      <c r="QA3" s="590">
        <f>COUNTIFS(STATUS!$Q:$Q,ДЕЛА!$A3,STATUS!$D:$D,ДЕЛА!QA$1,STATUS!$S:$S,"Согласовано")</f>
        <v>5</v>
      </c>
      <c r="QB3" s="398">
        <f>COUNTIFS(STATUS!$Q:$Q,ДЕЛА!$A3,STATUS!$D:$D,ДЕЛА!QA$1)</f>
        <v>5</v>
      </c>
      <c r="QC3" s="588">
        <f>IFERROR(QA3/QB3,1)</f>
        <v>1</v>
      </c>
      <c r="QD3" s="590">
        <f>COUNTIFS(STATUS!$Q:$Q,ДЕЛА!$A3,STATUS!$D:$D,ДЕЛА!QD$1,STATUS!$S:$S,"Согласовано")</f>
        <v>6</v>
      </c>
      <c r="QE3" s="398">
        <f>COUNTIFS(STATUS!$Q:$Q,ДЕЛА!$A3,STATUS!$D:$D,ДЕЛА!QD$1)</f>
        <v>6</v>
      </c>
      <c r="QF3" s="588">
        <f>IFERROR(QD3/QE3,1)</f>
        <v>1</v>
      </c>
      <c r="QG3" s="807">
        <f t="shared" ref="QG3:QG8" si="27">SUM(PS3,PV3,PY3,QB3,QE3)</f>
        <v>20</v>
      </c>
      <c r="QH3" s="600">
        <f>SUM(PS3,PV3,PY3,QB3,QE3)-SUM(PR3,PU3,PX3,QA3,QD3)</f>
        <v>0</v>
      </c>
    </row>
    <row r="4" spans="1:450" x14ac:dyDescent="0.3">
      <c r="A4" s="662" t="s">
        <v>2076</v>
      </c>
      <c r="B4" s="1321">
        <f>SUMIFS(STATUS!AA:AA,STATUS!Q:Q,A4)</f>
        <v>7.045636574074079</v>
      </c>
      <c r="C4" s="1321">
        <f>B4/COUNTIFS(STATUS!Q:Q,ДЕЛА!A4,STATUS!AA:AA,"&lt;&gt;0")</f>
        <v>1.7268717093318821E-2</v>
      </c>
      <c r="D4" s="658">
        <f>COUNTIFS(STATUS!$Q:$Q,ДЕЛА!$A4,STATUS!$H:$H,ДЕЛА!D$1)</f>
        <v>686</v>
      </c>
      <c r="E4" s="735">
        <f t="shared" ref="E4:E13" si="28">D4/$R4</f>
        <v>0.97443181818181823</v>
      </c>
      <c r="F4" s="658">
        <f>COUNTIFS(STATUS!$Q:$Q,ДЕЛА!$A4,STATUS!$H:$H,ДЕЛА!F$1)</f>
        <v>18</v>
      </c>
      <c r="G4" s="735">
        <f t="shared" si="0"/>
        <v>2.556818181818182E-2</v>
      </c>
      <c r="H4" s="658">
        <f>COUNTIFS(STATUS!$Q:$Q,ДЕЛА!$A4,STATUS!$I:$I,ДЕЛА!H$1)</f>
        <v>16</v>
      </c>
      <c r="I4" s="735">
        <f t="shared" si="1"/>
        <v>2.2727272727272728E-2</v>
      </c>
      <c r="J4" s="658">
        <f>COUNTIFS(STATUS!$Q:$Q,ДЕЛА!$A4,STATUS!$I:$I,ДЕЛА!J$1)</f>
        <v>8</v>
      </c>
      <c r="K4" s="735">
        <f t="shared" si="2"/>
        <v>1.1363636363636364E-2</v>
      </c>
      <c r="L4" s="658">
        <f>COUNTIFS(STATUS!$Q:$Q,ДЕЛА!$A4,STATUS!$I:$I,ДЕЛА!L$1)</f>
        <v>115</v>
      </c>
      <c r="M4" s="735">
        <f t="shared" si="3"/>
        <v>0.16335227272727273</v>
      </c>
      <c r="N4" s="658">
        <f>COUNTIFS(STATUS!$Q:$Q,ДЕЛА!$A4,STATUS!$I:$I,ДЕЛА!N$1)</f>
        <v>91</v>
      </c>
      <c r="O4" s="735">
        <f t="shared" si="4"/>
        <v>0.12926136363636365</v>
      </c>
      <c r="P4" s="658">
        <f>COUNTIFS(STATUS!$Q:$Q,ДЕЛА!$A4,STATUS!$S:$S,"На доработку")</f>
        <v>0</v>
      </c>
      <c r="Q4" s="658">
        <f>COUNTIFS(STATUS!Q:Q,ДЕЛА!A4,STATUS!$S:$S,"Согласовано")</f>
        <v>704</v>
      </c>
      <c r="R4" s="658">
        <f>COUNTIFS(STATUS!$Q:$Q,ДЕЛА!$A4)</f>
        <v>704</v>
      </c>
      <c r="S4" s="658">
        <f t="shared" ref="S4:S12" si="29">R4-Q4</f>
        <v>0</v>
      </c>
      <c r="T4" s="659">
        <f t="shared" ref="T4:T12" si="30">Q4/R4</f>
        <v>1</v>
      </c>
      <c r="U4" s="658">
        <f t="shared" ref="U4:U13" si="31">S4</f>
        <v>0</v>
      </c>
      <c r="V4" s="592">
        <f>COUNTIFS(STATUS!$Q:$Q,ДЕЛА!$A4,STATUS!$D:$D,ДЕЛА!V$1,STATUS!$S:$S,"Согласовано")</f>
        <v>1</v>
      </c>
      <c r="W4" s="306">
        <f>COUNTIFS(STATUS!$Q:$Q,ДЕЛА!$A4,STATUS!$D:$D,ДЕЛА!V$1)</f>
        <v>1</v>
      </c>
      <c r="X4" s="593">
        <f t="shared" ref="X4:X13" si="32">IFERROR(V4/W4,1)</f>
        <v>1</v>
      </c>
      <c r="Y4" s="401">
        <f>COUNTIFS(STATUS!$Q:$Q,ДЕЛА!$A4,STATUS!$D:$D,ДЕЛА!Y$1,STATUS!$S:$S,"Согласовано")</f>
        <v>1</v>
      </c>
      <c r="Z4" s="306">
        <f>COUNTIFS(STATUS!$Q:$Q,ДЕЛА!$A4,STATUS!$D:$D,ДЕЛА!Y$1)</f>
        <v>1</v>
      </c>
      <c r="AA4" s="589">
        <f t="shared" ref="AA4:AA13" si="33">IFERROR(Y4/Z4,1)</f>
        <v>1</v>
      </c>
      <c r="AB4" s="592">
        <f>COUNTIFS(STATUS!$Q:$Q,ДЕЛА!$A4,STATUS!$D:$D,ДЕЛА!AB$1,STATUS!$S:$S,"Согласовано")</f>
        <v>3</v>
      </c>
      <c r="AC4" s="306">
        <f>COUNTIFS(STATUS!$Q:$Q,ДЕЛА!$A4,STATUS!$D:$D,ДЕЛА!AB$1)</f>
        <v>3</v>
      </c>
      <c r="AD4" s="593">
        <f t="shared" ref="AD4:AD13" si="34">IFERROR(AB4/AC4,1)</f>
        <v>1</v>
      </c>
      <c r="AE4" s="600">
        <f>SUM(W4,Z4,AC4)-SUM(V4,Y4,AB4)</f>
        <v>0</v>
      </c>
      <c r="AF4" s="401">
        <f>COUNTIFS(STATUS!$Q:$Q,ДЕЛА!$A4,STATUS!$D:$D,ДЕЛА!AF$1,STATUS!$S:$S,"Согласовано")</f>
        <v>5</v>
      </c>
      <c r="AG4" s="306">
        <f>COUNTIFS(STATUS!$Q:$Q,ДЕЛА!$A4,STATUS!$D:$D,ДЕЛА!AF$1)</f>
        <v>5</v>
      </c>
      <c r="AH4" s="589">
        <f t="shared" ref="AH4:AH13" si="35">IFERROR(AF4/AG4,1)</f>
        <v>1</v>
      </c>
      <c r="AI4" s="592">
        <f>COUNTIFS(STATUS!$Q:$Q,ДЕЛА!$A4,STATUS!$D:$D,ДЕЛА!AI$1,STATUS!$S:$S,"Согласовано")</f>
        <v>2</v>
      </c>
      <c r="AJ4" s="306">
        <f>COUNTIFS(STATUS!$Q:$Q,ДЕЛА!$A4,STATUS!$D:$D,ДЕЛА!AI$1)</f>
        <v>2</v>
      </c>
      <c r="AK4" s="589">
        <f t="shared" ref="AK4:AK13" si="36">IFERROR(AI4/AJ4,1)</f>
        <v>1</v>
      </c>
      <c r="AL4" s="401">
        <f>COUNTIFS(STATUS!$Q:$Q,ДЕЛА!$A4,STATUS!$D:$D,ДЕЛА!AL$1,STATUS!$S:$S,"Согласовано")</f>
        <v>4</v>
      </c>
      <c r="AM4" s="306">
        <f>COUNTIFS(STATUS!$Q:$Q,ДЕЛА!$A4,STATUS!$D:$D,ДЕЛА!AL$1)</f>
        <v>4</v>
      </c>
      <c r="AN4" s="589">
        <f t="shared" ref="AN4:AN13" si="37">IFERROR(AL4/AM4,1)</f>
        <v>1</v>
      </c>
      <c r="AO4" s="592">
        <f>COUNTIFS(STATUS!$Q:$Q,ДЕЛА!$A4,STATUS!$D:$D,ДЕЛА!AO$1,STATUS!$S:$S,"Согласовано")</f>
        <v>4</v>
      </c>
      <c r="AP4" s="306">
        <f>COUNTIFS(STATUS!$Q:$Q,ДЕЛА!$A4,STATUS!$D:$D,ДЕЛА!AO$1)</f>
        <v>4</v>
      </c>
      <c r="AQ4" s="589">
        <f t="shared" ref="AQ4:AQ13" si="38">IFERROR(AO4/AP4,1)</f>
        <v>1</v>
      </c>
      <c r="AR4" s="600">
        <f t="shared" si="5"/>
        <v>0</v>
      </c>
      <c r="AS4" s="592">
        <f>COUNTIFS(STATUS!$Q:$Q,ДЕЛА!$A4,STATUS!$D:$D,ДЕЛА!AS$1,STATUS!$S:$S,"Согласовано")</f>
        <v>3</v>
      </c>
      <c r="AT4" s="306">
        <f>COUNTIFS(STATUS!$Q:$Q,ДЕЛА!$A4,STATUS!$D:$D,ДЕЛА!AS$1)</f>
        <v>3</v>
      </c>
      <c r="AU4" s="589">
        <f t="shared" ref="AU4:AU13" si="39">IFERROR(AS4/AT4,1)</f>
        <v>1</v>
      </c>
      <c r="AV4" s="592">
        <f>COUNTIFS(STATUS!$Q:$Q,ДЕЛА!$A4,STATUS!$D:$D,ДЕЛА!AV$1,STATUS!$S:$S,"Согласовано")</f>
        <v>5</v>
      </c>
      <c r="AW4" s="306">
        <f>COUNTIFS(STATUS!$Q:$Q,ДЕЛА!$A4,STATUS!$D:$D,ДЕЛА!AV$1)</f>
        <v>5</v>
      </c>
      <c r="AX4" s="589">
        <f t="shared" ref="AX4:AX13" si="40">IFERROR(AV4/AW4,1)</f>
        <v>1</v>
      </c>
      <c r="AY4" s="592">
        <f>COUNTIFS(STATUS!$Q:$Q,ДЕЛА!$A4,STATUS!$D:$D,ДЕЛА!AY$1,STATUS!$S:$S,"Согласовано")</f>
        <v>6</v>
      </c>
      <c r="AZ4" s="306">
        <f>COUNTIFS(STATUS!$Q:$Q,ДЕЛА!$A4,STATUS!$D:$D,ДЕЛА!AY$1)</f>
        <v>6</v>
      </c>
      <c r="BA4" s="589">
        <f t="shared" ref="BA4:BA13" si="41">IFERROR(AY4/AZ4,1)</f>
        <v>1</v>
      </c>
      <c r="BB4" s="592">
        <f>COUNTIFS(STATUS!$Q:$Q,ДЕЛА!$A4,STATUS!$D:$D,ДЕЛА!BB$1,STATUS!$S:$S,"Согласовано")</f>
        <v>5</v>
      </c>
      <c r="BC4" s="306">
        <f>COUNTIFS(STATUS!$Q:$Q,ДЕЛА!$A4,STATUS!$D:$D,ДЕЛА!BB$1)</f>
        <v>5</v>
      </c>
      <c r="BD4" s="589">
        <f t="shared" ref="BD4:BD13" si="42">IFERROR(BB4/BC4,1)</f>
        <v>1</v>
      </c>
      <c r="BE4" s="592">
        <f>COUNTIFS(STATUS!$Q:$Q,ДЕЛА!$A4,STATUS!$D:$D,ДЕЛА!BE$1,STATUS!$S:$S,"Согласовано")</f>
        <v>5</v>
      </c>
      <c r="BF4" s="306">
        <f>COUNTIFS(STATUS!$Q:$Q,ДЕЛА!$A4,STATUS!$D:$D,ДЕЛА!BE$1)</f>
        <v>5</v>
      </c>
      <c r="BG4" s="589">
        <f t="shared" ref="BG4:BG13" si="43">IFERROR(BE4/BF4,1)</f>
        <v>1</v>
      </c>
      <c r="BH4" s="600">
        <f t="shared" ref="BH4:BH12" si="44">SUM(AT4,AW4,AZ4,BC4,BF4)-SUM(AS4,AV4,AY4,BB4,BE4)</f>
        <v>0</v>
      </c>
      <c r="BI4" s="592">
        <f>COUNTIFS(STATUS!$Q:$Q,ДЕЛА!$A4,STATUS!$D:$D,ДЕЛА!BI$1,STATUS!$S:$S,"Согласовано")</f>
        <v>6</v>
      </c>
      <c r="BJ4" s="306">
        <f>COUNTIFS(STATUS!$Q:$Q,ДЕЛА!$A4,STATUS!$D:$D,ДЕЛА!BI$1)</f>
        <v>6</v>
      </c>
      <c r="BK4" s="589">
        <f t="shared" ref="BK4:BK13" si="45">IFERROR(BI4/BJ4,1)</f>
        <v>1</v>
      </c>
      <c r="BL4" s="592">
        <f>COUNTIFS(STATUS!$Q:$Q,ДЕЛА!$A4,STATUS!$D:$D,ДЕЛА!BL$1,STATUS!$S:$S,"Согласовано")</f>
        <v>2</v>
      </c>
      <c r="BM4" s="306">
        <f>COUNTIFS(STATUS!$Q:$Q,ДЕЛА!$A4,STATUS!$D:$D,ДЕЛА!BL$1)</f>
        <v>2</v>
      </c>
      <c r="BN4" s="589">
        <f t="shared" ref="BN4:BN13" si="46">IFERROR(BL4/BM4,1)</f>
        <v>1</v>
      </c>
      <c r="BO4" s="592">
        <f>COUNTIFS(STATUS!$Q:$Q,ДЕЛА!$A4,STATUS!$D:$D,ДЕЛА!BO$1,STATUS!$S:$S,"Согласовано")</f>
        <v>17</v>
      </c>
      <c r="BP4" s="306">
        <f>COUNTIFS(STATUS!$Q:$Q,ДЕЛА!$A4,STATUS!$D:$D,ДЕЛА!BO$1)</f>
        <v>17</v>
      </c>
      <c r="BQ4" s="589">
        <f t="shared" ref="BQ4:BQ13" si="47">IFERROR(BO4/BP4,1)</f>
        <v>1</v>
      </c>
      <c r="BR4" s="592">
        <f>COUNTIFS(STATUS!$Q:$Q,ДЕЛА!$A4,STATUS!$D:$D,ДЕЛА!BR$1,STATUS!$S:$S,"Согласовано")</f>
        <v>0</v>
      </c>
      <c r="BS4" s="306">
        <f>COUNTIFS(STATUS!$Q:$Q,ДЕЛА!$A4,STATUS!$D:$D,ДЕЛА!BR$1)</f>
        <v>0</v>
      </c>
      <c r="BT4" s="589">
        <f t="shared" ref="BT4:BT13" si="48">IFERROR(BR4/BS4,1)</f>
        <v>1</v>
      </c>
      <c r="BU4" s="592">
        <f>COUNTIFS(STATUS!$Q:$Q,ДЕЛА!$A4,STATUS!$D:$D,ДЕЛА!BU$1,STATUS!$S:$S,"Согласовано")</f>
        <v>0</v>
      </c>
      <c r="BV4" s="306">
        <f>COUNTIFS(STATUS!$Q:$Q,ДЕЛА!$A4,STATUS!$D:$D,ДЕЛА!BU$1)</f>
        <v>0</v>
      </c>
      <c r="BW4" s="589">
        <f t="shared" ref="BW4:BW13" si="49">IFERROR(BU4/BV4,1)</f>
        <v>1</v>
      </c>
      <c r="BX4" s="600">
        <f t="shared" ref="BX4:BX12" si="50">SUM(BJ4,BM4,BP4,BS4,BV4)-SUM(BI4,BL4,BO4,BR4,BU4)</f>
        <v>0</v>
      </c>
      <c r="BY4" s="592">
        <f>COUNTIFS(STATUS!$Q:$Q,ДЕЛА!$A4,STATUS!$D:$D,ДЕЛА!BY$1,STATUS!$S:$S,"Согласовано")</f>
        <v>15</v>
      </c>
      <c r="BZ4" s="306">
        <f>COUNTIFS(STATUS!$Q:$Q,ДЕЛА!$A4,STATUS!$D:$D,ДЕЛА!BY$1)</f>
        <v>15</v>
      </c>
      <c r="CA4" s="589">
        <f t="shared" ref="CA4:CA13" si="51">IFERROR(BY4/BZ4,1)</f>
        <v>1</v>
      </c>
      <c r="CB4" s="592">
        <f>COUNTIFS(STATUS!$Q:$Q,ДЕЛА!$A4,STATUS!$D:$D,ДЕЛА!CB$1,STATUS!$S:$S,"Согласовано")</f>
        <v>5</v>
      </c>
      <c r="CC4" s="306">
        <f>COUNTIFS(STATUS!$Q:$Q,ДЕЛА!$A4,STATUS!$D:$D,ДЕЛА!CB$1)</f>
        <v>5</v>
      </c>
      <c r="CD4" s="589">
        <f t="shared" ref="CD4:CD13" si="52">IFERROR(CB4/CC4,1)</f>
        <v>1</v>
      </c>
      <c r="CE4" s="592">
        <f>COUNTIFS(STATUS!$Q:$Q,ДЕЛА!$A4,STATUS!$D:$D,ДЕЛА!CE$1,STATUS!$S:$S,"Согласовано")</f>
        <v>5</v>
      </c>
      <c r="CF4" s="306">
        <f>COUNTIFS(STATUS!$Q:$Q,ДЕЛА!$A4,STATUS!$D:$D,ДЕЛА!CE$1)</f>
        <v>5</v>
      </c>
      <c r="CG4" s="589">
        <f t="shared" ref="CG4:CG13" si="53">IFERROR(CE4/CF4,1)</f>
        <v>1</v>
      </c>
      <c r="CH4" s="592">
        <f>COUNTIFS(STATUS!$Q:$Q,ДЕЛА!$A4,STATUS!$D:$D,ДЕЛА!CH$1,STATUS!$S:$S,"Согласовано")</f>
        <v>3</v>
      </c>
      <c r="CI4" s="306">
        <f>COUNTIFS(STATUS!$Q:$Q,ДЕЛА!$A4,STATUS!$D:$D,ДЕЛА!CH$1)</f>
        <v>3</v>
      </c>
      <c r="CJ4" s="589">
        <f t="shared" ref="CJ4:CJ13" si="54">IFERROR(CH4/CI4,1)</f>
        <v>1</v>
      </c>
      <c r="CK4" s="592">
        <f>COUNTIFS(STATUS!$Q:$Q,ДЕЛА!$A4,STATUS!$D:$D,ДЕЛА!CK$1,STATUS!$S:$S,"Согласовано")</f>
        <v>3</v>
      </c>
      <c r="CL4" s="306">
        <f>COUNTIFS(STATUS!$Q:$Q,ДЕЛА!$A4,STATUS!$D:$D,ДЕЛА!CK$1)</f>
        <v>3</v>
      </c>
      <c r="CM4" s="589">
        <f t="shared" ref="CM4:CM13" si="55">IFERROR(CK4/CL4,1)</f>
        <v>1</v>
      </c>
      <c r="CN4" s="808">
        <f t="shared" si="6"/>
        <v>31</v>
      </c>
      <c r="CO4" s="600">
        <f t="shared" ref="CO4:CO12" si="56">SUM(BZ4,CC4,CF4,CI4,CL4)-SUM(BY4,CB4,CE4,CH4,CK4)</f>
        <v>0</v>
      </c>
      <c r="CP4" s="592">
        <f>COUNTIFS(STATUS!$Q:$Q,ДЕЛА!$A4,STATUS!$D:$D,ДЕЛА!CP$1,STATUS!$S:$S,"Согласовано")</f>
        <v>1</v>
      </c>
      <c r="CQ4" s="306">
        <f>COUNTIFS(STATUS!$Q:$Q,ДЕЛА!$A4,STATUS!$D:$D,ДЕЛА!CP$1)</f>
        <v>1</v>
      </c>
      <c r="CR4" s="589">
        <f t="shared" ref="CR4:CR13" si="57">IFERROR(CP4/CQ4,1)</f>
        <v>1</v>
      </c>
      <c r="CS4" s="592">
        <f>COUNTIFS(STATUS!$Q:$Q,ДЕЛА!$A4,STATUS!$D:$D,ДЕЛА!CS$1,STATUS!$S:$S,"Согласовано")</f>
        <v>5</v>
      </c>
      <c r="CT4" s="306">
        <f>COUNTIFS(STATUS!$Q:$Q,ДЕЛА!$A4,STATUS!$D:$D,ДЕЛА!CS$1)</f>
        <v>5</v>
      </c>
      <c r="CU4" s="589">
        <f t="shared" ref="CU4:CU13" si="58">IFERROR(CS4/CT4,1)</f>
        <v>1</v>
      </c>
      <c r="CV4" s="592">
        <f>COUNTIFS(STATUS!$Q:$Q,ДЕЛА!$A4,STATUS!$D:$D,ДЕЛА!CV$1,STATUS!$S:$S,"Согласовано")</f>
        <v>5</v>
      </c>
      <c r="CW4" s="306">
        <f>COUNTIFS(STATUS!$Q:$Q,ДЕЛА!$A4,STATUS!$D:$D,ДЕЛА!CV$1)</f>
        <v>5</v>
      </c>
      <c r="CX4" s="589">
        <f t="shared" ref="CX4:CX13" si="59">IFERROR(CV4/CW4,1)</f>
        <v>1</v>
      </c>
      <c r="CY4" s="592">
        <f>COUNTIFS(STATUS!$Q:$Q,ДЕЛА!$A4,STATUS!$D:$D,ДЕЛА!CY$1,STATUS!$S:$S,"Согласовано")</f>
        <v>4</v>
      </c>
      <c r="CZ4" s="306">
        <f>COUNTIFS(STATUS!$Q:$Q,ДЕЛА!$A4,STATUS!$D:$D,ДЕЛА!CY$1)</f>
        <v>4</v>
      </c>
      <c r="DA4" s="589">
        <f t="shared" ref="DA4:DA13" si="60">IFERROR(CY4/CZ4,1)</f>
        <v>1</v>
      </c>
      <c r="DB4" s="592">
        <f>COUNTIFS(STATUS!$Q:$Q,ДЕЛА!$A4,STATUS!$D:$D,ДЕЛА!DB$1,STATUS!$S:$S,"Согласовано")</f>
        <v>0</v>
      </c>
      <c r="DC4" s="306">
        <f>COUNTIFS(STATUS!$Q:$Q,ДЕЛА!$A4,STATUS!$D:$D,ДЕЛА!DB$1)</f>
        <v>0</v>
      </c>
      <c r="DD4" s="589">
        <f t="shared" ref="DD4:DD13" si="61">IFERROR(DB4/DC4,1)</f>
        <v>1</v>
      </c>
      <c r="DE4" s="808">
        <f t="shared" si="7"/>
        <v>15</v>
      </c>
      <c r="DF4" s="600">
        <f t="shared" ref="DF4:DF12" si="62">SUM(CQ4,CT4,CW4,CZ4,DC4)-SUM(CP4,CS4,CV4,CY4,DB4)</f>
        <v>0</v>
      </c>
      <c r="DG4" s="592">
        <f>COUNTIFS(STATUS!$Q:$Q,ДЕЛА!$A4,STATUS!$D:$D,ДЕЛА!DG$1,STATUS!$S:$S,"Согласовано")</f>
        <v>3</v>
      </c>
      <c r="DH4" s="306">
        <f>COUNTIFS(STATUS!$Q:$Q,ДЕЛА!$A4,STATUS!$D:$D,ДЕЛА!DG$1)</f>
        <v>3</v>
      </c>
      <c r="DI4" s="589">
        <f t="shared" ref="DI4:DI13" si="63">IFERROR(DG4/DH4,1)</f>
        <v>1</v>
      </c>
      <c r="DJ4" s="592">
        <f>COUNTIFS(STATUS!$Q:$Q,ДЕЛА!$A4,STATUS!$D:$D,ДЕЛА!DJ$1,STATUS!$S:$S,"Согласовано")</f>
        <v>37</v>
      </c>
      <c r="DK4" s="306">
        <f>COUNTIFS(STATUS!$Q:$Q,ДЕЛА!$A4,STATUS!$D:$D,ДЕЛА!DJ$1)</f>
        <v>37</v>
      </c>
      <c r="DL4" s="589">
        <f t="shared" ref="DL4:DL13" si="64">IFERROR(DJ4/DK4,1)</f>
        <v>1</v>
      </c>
      <c r="DM4" s="592">
        <f>COUNTIFS(STATUS!$Q:$Q,ДЕЛА!$A4,STATUS!$D:$D,ДЕЛА!DM$1,STATUS!$S:$S,"Согласовано")</f>
        <v>2</v>
      </c>
      <c r="DN4" s="306">
        <f>COUNTIFS(STATUS!$Q:$Q,ДЕЛА!$A4,STATUS!$D:$D,ДЕЛА!DM$1)</f>
        <v>2</v>
      </c>
      <c r="DO4" s="589">
        <f t="shared" ref="DO4:DO13" si="65">IFERROR(DM4/DN4,1)</f>
        <v>1</v>
      </c>
      <c r="DP4" s="592">
        <f>COUNTIFS(STATUS!$Q:$Q,ДЕЛА!$A4,STATUS!$D:$D,ДЕЛА!DP$1,STATUS!$S:$S,"Согласовано")</f>
        <v>3</v>
      </c>
      <c r="DQ4" s="306">
        <f>COUNTIFS(STATUS!$Q:$Q,ДЕЛА!$A4,STATUS!$D:$D,ДЕЛА!DP$1)</f>
        <v>3</v>
      </c>
      <c r="DR4" s="589">
        <f t="shared" ref="DR4:DR13" si="66">IFERROR(DP4/DQ4,1)</f>
        <v>1</v>
      </c>
      <c r="DS4" s="592">
        <f>COUNTIFS(STATUS!$Q:$Q,ДЕЛА!$A4,STATUS!$D:$D,ДЕЛА!DS$1,STATUS!$S:$S,"Согласовано")</f>
        <v>1</v>
      </c>
      <c r="DT4" s="306">
        <f>COUNTIFS(STATUS!$Q:$Q,ДЕЛА!$A4,STATUS!$D:$D,ДЕЛА!DS$1)</f>
        <v>1</v>
      </c>
      <c r="DU4" s="589">
        <f t="shared" ref="DU4:DU13" si="67">IFERROR(DS4/DT4,1)</f>
        <v>1</v>
      </c>
      <c r="DV4" s="808">
        <f t="shared" si="8"/>
        <v>46</v>
      </c>
      <c r="DW4" s="600">
        <f t="shared" ref="DW4:DW12" si="68">SUM(DH4,DK4,DN4,DQ4,DT4)-SUM(DG4,DJ4,DM4,DP4,DS4)</f>
        <v>0</v>
      </c>
      <c r="DX4" s="592">
        <f>COUNTIFS(STATUS!$Q:$Q,ДЕЛА!$A4,STATUS!$D:$D,ДЕЛА!DX$1,STATUS!$S:$S,"Согласовано")</f>
        <v>2</v>
      </c>
      <c r="DY4" s="306">
        <f>COUNTIFS(STATUS!$Q:$Q,ДЕЛА!$A4,STATUS!$D:$D,ДЕЛА!DX$1)</f>
        <v>2</v>
      </c>
      <c r="DZ4" s="589">
        <f t="shared" ref="DZ4:DZ13" si="69">IFERROR(DX4/DY4,1)</f>
        <v>1</v>
      </c>
      <c r="EA4" s="592">
        <f>COUNTIFS(STATUS!$Q:$Q,ДЕЛА!$A4,STATUS!$D:$D,ДЕЛА!EA$1,STATUS!$S:$S,"Согласовано")</f>
        <v>3</v>
      </c>
      <c r="EB4" s="306">
        <f>COUNTIFS(STATUS!$Q:$Q,ДЕЛА!$A4,STATUS!$D:$D,ДЕЛА!EA$1)</f>
        <v>3</v>
      </c>
      <c r="EC4" s="589">
        <f t="shared" ref="EC4:EC13" si="70">IFERROR(EA4/EB4,1)</f>
        <v>1</v>
      </c>
      <c r="ED4" s="592">
        <f>COUNTIFS(STATUS!$Q:$Q,ДЕЛА!$A4,STATUS!$D:$D,ДЕЛА!ED$1,STATUS!$S:$S,"Согласовано")</f>
        <v>0</v>
      </c>
      <c r="EE4" s="306">
        <f>COUNTIFS(STATUS!$Q:$Q,ДЕЛА!$A4,STATUS!$D:$D,ДЕЛА!ED$1)</f>
        <v>0</v>
      </c>
      <c r="EF4" s="589">
        <f t="shared" ref="EF4:EF13" si="71">IFERROR(ED4/EE4,1)</f>
        <v>1</v>
      </c>
      <c r="EG4" s="592">
        <f>COUNTIFS(STATUS!$Q:$Q,ДЕЛА!$A4,STATUS!$D:$D,ДЕЛА!EG$1,STATUS!$S:$S,"Согласовано")</f>
        <v>6</v>
      </c>
      <c r="EH4" s="306">
        <f>COUNTIFS(STATUS!$Q:$Q,ДЕЛА!$A4,STATUS!$D:$D,ДЕЛА!EG$1)</f>
        <v>6</v>
      </c>
      <c r="EI4" s="589">
        <f t="shared" ref="EI4:EI13" si="72">IFERROR(EG4/EH4,1)</f>
        <v>1</v>
      </c>
      <c r="EJ4" s="592">
        <f>COUNTIFS(STATUS!$Q:$Q,ДЕЛА!$A4,STATUS!$D:$D,ДЕЛА!EJ$1,STATUS!$S:$S,"Согласовано")</f>
        <v>4</v>
      </c>
      <c r="EK4" s="306">
        <f>COUNTIFS(STATUS!$Q:$Q,ДЕЛА!$A4,STATUS!$D:$D,ДЕЛА!EJ$1)</f>
        <v>4</v>
      </c>
      <c r="EL4" s="589">
        <f t="shared" ref="EL4:EL13" si="73">IFERROR(EJ4/EK4,1)</f>
        <v>1</v>
      </c>
      <c r="EM4" s="808">
        <f t="shared" si="9"/>
        <v>15</v>
      </c>
      <c r="EN4" s="600">
        <f t="shared" ref="EN4:EN12" si="74">SUM(DY4,EB4,EE4,EH4,EK4)-SUM(DX4,EA4,ED4,EG4,EJ4)</f>
        <v>0</v>
      </c>
      <c r="EO4" s="592">
        <f>COUNTIFS(STATUS!$Q:$Q,ДЕЛА!$A4,STATUS!$D:$D,ДЕЛА!EO$1,STATUS!$S:$S,"Согласовано")</f>
        <v>2</v>
      </c>
      <c r="EP4" s="306">
        <f>COUNTIFS(STATUS!$Q:$Q,ДЕЛА!$A4,STATUS!$D:$D,ДЕЛА!EO$1)</f>
        <v>2</v>
      </c>
      <c r="EQ4" s="589">
        <f t="shared" ref="EQ4:EQ13" si="75">IFERROR(EO4/EP4,1)</f>
        <v>1</v>
      </c>
      <c r="ER4" s="592">
        <f>COUNTIFS(STATUS!$Q:$Q,ДЕЛА!$A4,STATUS!$D:$D,ДЕЛА!ER$1,STATUS!$S:$S,"Согласовано")</f>
        <v>2</v>
      </c>
      <c r="ES4" s="306">
        <f>COUNTIFS(STATUS!$Q:$Q,ДЕЛА!$A4,STATUS!$D:$D,ДЕЛА!ER$1)</f>
        <v>2</v>
      </c>
      <c r="ET4" s="589">
        <f t="shared" ref="ET4:ET13" si="76">IFERROR(ER4/ES4,1)</f>
        <v>1</v>
      </c>
      <c r="EU4" s="592">
        <f>COUNTIFS(STATUS!$Q:$Q,ДЕЛА!$A4,STATUS!$D:$D,ДЕЛА!EU$1,STATUS!$S:$S,"Согласовано")</f>
        <v>0</v>
      </c>
      <c r="EV4" s="306">
        <f>COUNTIFS(STATUS!$Q:$Q,ДЕЛА!$A4,STATUS!$D:$D,ДЕЛА!EU$1)</f>
        <v>0</v>
      </c>
      <c r="EW4" s="589">
        <f t="shared" ref="EW4:EW13" si="77">IFERROR(EU4/EV4,1)</f>
        <v>1</v>
      </c>
      <c r="EX4" s="592">
        <f>COUNTIFS(STATUS!$Q:$Q,ДЕЛА!$A4,STATUS!$D:$D,ДЕЛА!EX$1,STATUS!$S:$S,"Согласовано")</f>
        <v>6</v>
      </c>
      <c r="EY4" s="306">
        <f>COUNTIFS(STATUS!$Q:$Q,ДЕЛА!$A4,STATUS!$D:$D,ДЕЛА!EX$1)</f>
        <v>6</v>
      </c>
      <c r="EZ4" s="589">
        <f t="shared" ref="EZ4:EZ13" si="78">IFERROR(EX4/EY4,1)</f>
        <v>1</v>
      </c>
      <c r="FA4" s="592">
        <f>COUNTIFS(STATUS!$Q:$Q,ДЕЛА!$A4,STATUS!$D:$D,ДЕЛА!FA$1,STATUS!$S:$S,"Согласовано")</f>
        <v>2</v>
      </c>
      <c r="FB4" s="306">
        <f>COUNTIFS(STATUS!$Q:$Q,ДЕЛА!$A4,STATUS!$D:$D,ДЕЛА!FA$1)</f>
        <v>2</v>
      </c>
      <c r="FC4" s="589">
        <f t="shared" ref="FC4:FC13" si="79">IFERROR(FA4/FB4,1)</f>
        <v>1</v>
      </c>
      <c r="FD4" s="808">
        <f t="shared" si="10"/>
        <v>12</v>
      </c>
      <c r="FE4" s="600">
        <f t="shared" ref="FE4:FE12" si="80">SUM(EP4,ES4,EV4,EY4,FB4)-SUM(EO4,ER4,EU4,EX4,FA4)</f>
        <v>0</v>
      </c>
      <c r="FF4" s="592">
        <f>COUNTIFS(STATUS!$Q:$Q,ДЕЛА!$A4,STATUS!$D:$D,ДЕЛА!FF$1,STATUS!$S:$S,"Согласовано")</f>
        <v>3</v>
      </c>
      <c r="FG4" s="306">
        <f>COUNTIFS(STATUS!$Q:$Q,ДЕЛА!$A4,STATUS!$D:$D,ДЕЛА!FF$1)</f>
        <v>3</v>
      </c>
      <c r="FH4" s="589">
        <f t="shared" ref="FH4:FH13" si="81">IFERROR(FF4/FG4,1)</f>
        <v>1</v>
      </c>
      <c r="FI4" s="592">
        <f>COUNTIFS(STATUS!$Q:$Q,ДЕЛА!$A4,STATUS!$D:$D,ДЕЛА!FI$1,STATUS!$S:$S,"Согласовано")</f>
        <v>2</v>
      </c>
      <c r="FJ4" s="306">
        <f>COUNTIFS(STATUS!$Q:$Q,ДЕЛА!$A4,STATUS!$D:$D,ДЕЛА!FI$1)</f>
        <v>2</v>
      </c>
      <c r="FK4" s="589">
        <f t="shared" ref="FK4:FK13" si="82">IFERROR(FI4/FJ4,1)</f>
        <v>1</v>
      </c>
      <c r="FL4" s="592">
        <f>COUNTIFS(STATUS!$Q:$Q,ДЕЛА!$A4,STATUS!$D:$D,ДЕЛА!FL$1,STATUS!$S:$S,"Согласовано")</f>
        <v>2</v>
      </c>
      <c r="FM4" s="306">
        <f>COUNTIFS(STATUS!$Q:$Q,ДЕЛА!$A4,STATUS!$D:$D,ДЕЛА!FL$1)</f>
        <v>2</v>
      </c>
      <c r="FN4" s="589">
        <f t="shared" ref="FN4:FN13" si="83">IFERROR(FL4/FM4,1)</f>
        <v>1</v>
      </c>
      <c r="FO4" s="592">
        <f>COUNTIFS(STATUS!$Q:$Q,ДЕЛА!$A4,STATUS!$D:$D,ДЕЛА!FO$1,STATUS!$S:$S,"Согласовано")</f>
        <v>6</v>
      </c>
      <c r="FP4" s="306">
        <f>COUNTIFS(STATUS!$Q:$Q,ДЕЛА!$A4,STATUS!$D:$D,ДЕЛА!FO$1)</f>
        <v>6</v>
      </c>
      <c r="FQ4" s="589">
        <f t="shared" ref="FQ4:FQ13" si="84">IFERROR(FO4/FP4,1)</f>
        <v>1</v>
      </c>
      <c r="FR4" s="592">
        <f>COUNTIFS(STATUS!$Q:$Q,ДЕЛА!$A4,STATUS!$D:$D,ДЕЛА!FR$1,STATUS!$S:$S,"Согласовано")</f>
        <v>6</v>
      </c>
      <c r="FS4" s="306">
        <f>COUNTIFS(STATUS!$Q:$Q,ДЕЛА!$A4,STATUS!$D:$D,ДЕЛА!FR$1)</f>
        <v>6</v>
      </c>
      <c r="FT4" s="589">
        <f t="shared" ref="FT4:FT13" si="85">IFERROR(FR4/FS4,1)</f>
        <v>1</v>
      </c>
      <c r="FU4" s="808">
        <f t="shared" si="11"/>
        <v>19</v>
      </c>
      <c r="FV4" s="600">
        <f t="shared" ref="FV4:FV12" si="86">SUM(FG4,FJ4,FM4,FP4,FS4)-SUM(FF4,FI4,FL4,FO4,FR4)</f>
        <v>0</v>
      </c>
      <c r="FW4" s="592">
        <f>COUNTIFS(STATUS!$Q:$Q,ДЕЛА!$A4,STATUS!$D:$D,ДЕЛА!FW$1,STATUS!$S:$S,"Согласовано")</f>
        <v>1</v>
      </c>
      <c r="FX4" s="306">
        <f>COUNTIFS(STATUS!$Q:$Q,ДЕЛА!$A4,STATUS!$D:$D,ДЕЛА!FW$1)</f>
        <v>1</v>
      </c>
      <c r="FY4" s="589">
        <f t="shared" ref="FY4:FY13" si="87">IFERROR(FW4/FX4,1)</f>
        <v>1</v>
      </c>
      <c r="FZ4" s="592">
        <f>COUNTIFS(STATUS!$Q:$Q,ДЕЛА!$A4,STATUS!$D:$D,ДЕЛА!FZ$1,STATUS!$S:$S,"Согласовано")</f>
        <v>3</v>
      </c>
      <c r="GA4" s="306">
        <f>COUNTIFS(STATUS!$Q:$Q,ДЕЛА!$A4,STATUS!$D:$D,ДЕЛА!FZ$1)</f>
        <v>3</v>
      </c>
      <c r="GB4" s="589">
        <f t="shared" ref="GB4:GB13" si="88">IFERROR(FZ4/GA4,1)</f>
        <v>1</v>
      </c>
      <c r="GC4" s="592">
        <f>COUNTIFS(STATUS!$Q:$Q,ДЕЛА!$A4,STATUS!$D:$D,ДЕЛА!GC$1,STATUS!$S:$S,"Согласовано")</f>
        <v>3</v>
      </c>
      <c r="GD4" s="306">
        <f>COUNTIFS(STATUS!$Q:$Q,ДЕЛА!$A4,STATUS!$D:$D,ДЕЛА!GC$1)</f>
        <v>3</v>
      </c>
      <c r="GE4" s="589">
        <f t="shared" ref="GE4:GE13" si="89">IFERROR(GC4/GD4,1)</f>
        <v>1</v>
      </c>
      <c r="GF4" s="592">
        <f>COUNTIFS(STATUS!$Q:$Q,ДЕЛА!$A4,STATUS!$D:$D,ДЕЛА!GF$1,STATUS!$S:$S,"Согласовано")</f>
        <v>4</v>
      </c>
      <c r="GG4" s="306">
        <f>COUNTIFS(STATUS!$Q:$Q,ДЕЛА!$A4,STATUS!$D:$D,ДЕЛА!GF$1)</f>
        <v>4</v>
      </c>
      <c r="GH4" s="589">
        <f t="shared" ref="GH4:GH13" si="90">IFERROR(GF4/GG4,1)</f>
        <v>1</v>
      </c>
      <c r="GI4" s="592">
        <f>COUNTIFS(STATUS!$Q:$Q,ДЕЛА!$A4,STATUS!$D:$D,ДЕЛА!GI$1,STATUS!$S:$S,"Согласовано")</f>
        <v>3</v>
      </c>
      <c r="GJ4" s="306">
        <f>COUNTIFS(STATUS!$Q:$Q,ДЕЛА!$A4,STATUS!$D:$D,ДЕЛА!GI$1)</f>
        <v>3</v>
      </c>
      <c r="GK4" s="589">
        <f t="shared" ref="GK4:GK13" si="91">IFERROR(GI4/GJ4,1)</f>
        <v>1</v>
      </c>
      <c r="GL4" s="808">
        <f t="shared" si="12"/>
        <v>14</v>
      </c>
      <c r="GM4" s="600">
        <f t="shared" ref="GM4:GM12" si="92">SUM(FX4,GA4,GD4,GG4,GJ4)-SUM(FW4,FZ4,GC4,GF4,GI4)</f>
        <v>0</v>
      </c>
      <c r="GN4" s="592">
        <f>COUNTIFS(STATUS!$Q:$Q,ДЕЛА!$A4,STATUS!$D:$D,ДЕЛА!GN$1,STATUS!$S:$S,"Согласовано")</f>
        <v>2</v>
      </c>
      <c r="GO4" s="306">
        <f>COUNTIFS(STATUS!$Q:$Q,ДЕЛА!$A4,STATUS!$D:$D,ДЕЛА!GN$1)</f>
        <v>2</v>
      </c>
      <c r="GP4" s="589">
        <f t="shared" ref="GP4:GP13" si="93">IFERROR(GN4/GO4,1)</f>
        <v>1</v>
      </c>
      <c r="GQ4" s="592">
        <f>COUNTIFS(STATUS!$Q:$Q,ДЕЛА!$A4,STATUS!$D:$D,ДЕЛА!GQ$1,STATUS!$S:$S,"Согласовано")</f>
        <v>0</v>
      </c>
      <c r="GR4" s="306">
        <f>COUNTIFS(STATUS!$Q:$Q,ДЕЛА!$A4,STATUS!$D:$D,ДЕЛА!GQ$1)</f>
        <v>0</v>
      </c>
      <c r="GS4" s="589">
        <f t="shared" ref="GS4:GS13" si="94">IFERROR(GQ4/GR4,1)</f>
        <v>1</v>
      </c>
      <c r="GT4" s="592">
        <f>COUNTIFS(STATUS!$Q:$Q,ДЕЛА!$A4,STATUS!$D:$D,ДЕЛА!GT$1,STATUS!$S:$S,"Согласовано")</f>
        <v>3</v>
      </c>
      <c r="GU4" s="306">
        <f>COUNTIFS(STATUS!$Q:$Q,ДЕЛА!$A4,STATUS!$D:$D,ДЕЛА!GT$1)</f>
        <v>3</v>
      </c>
      <c r="GV4" s="589">
        <f t="shared" ref="GV4:GV13" si="95">IFERROR(GT4/GU4,1)</f>
        <v>1</v>
      </c>
      <c r="GW4" s="592">
        <f>COUNTIFS(STATUS!$Q:$Q,ДЕЛА!$A4,STATUS!$D:$D,ДЕЛА!GW$1,STATUS!$S:$S,"Согласовано")</f>
        <v>5</v>
      </c>
      <c r="GX4" s="306">
        <f>COUNTIFS(STATUS!$Q:$Q,ДЕЛА!$A4,STATUS!$D:$D,ДЕЛА!GW$1)</f>
        <v>5</v>
      </c>
      <c r="GY4" s="589">
        <f t="shared" ref="GY4:GY13" si="96">IFERROR(GW4/GX4,1)</f>
        <v>1</v>
      </c>
      <c r="GZ4" s="592">
        <f>COUNTIFS(STATUS!$Q:$Q,ДЕЛА!$A4,STATUS!$D:$D,ДЕЛА!GZ$1,STATUS!$S:$S,"Согласовано")</f>
        <v>4</v>
      </c>
      <c r="HA4" s="306">
        <f>COUNTIFS(STATUS!$Q:$Q,ДЕЛА!$A4,STATUS!$D:$D,ДЕЛА!GZ$1)</f>
        <v>4</v>
      </c>
      <c r="HB4" s="589">
        <f t="shared" ref="HB4:HB13" si="97">IFERROR(GZ4/HA4,1)</f>
        <v>1</v>
      </c>
      <c r="HC4" s="808">
        <f t="shared" si="13"/>
        <v>14</v>
      </c>
      <c r="HD4" s="600">
        <f t="shared" ref="HD4:HD12" si="98">SUM(GO4,GR4,GU4,GX4,HA4)-SUM(GN4,GQ4,GT4,GW4,GZ4)</f>
        <v>0</v>
      </c>
      <c r="HE4" s="592">
        <f>COUNTIFS(STATUS!$Q:$Q,ДЕЛА!$A4,STATUS!$D:$D,ДЕЛА!HE$1,STATUS!$S:$S,"Согласовано")</f>
        <v>0</v>
      </c>
      <c r="HF4" s="306">
        <f>COUNTIFS(STATUS!$Q:$Q,ДЕЛА!$A4,STATUS!$D:$D,ДЕЛА!HE$1)</f>
        <v>0</v>
      </c>
      <c r="HG4" s="589">
        <f t="shared" ref="HG4:HG13" si="99">IFERROR(HE4/HF4,1)</f>
        <v>1</v>
      </c>
      <c r="HH4" s="592">
        <f>COUNTIFS(STATUS!$Q:$Q,ДЕЛА!$A4,STATUS!$D:$D,ДЕЛА!HH$1,STATUS!$S:$S,"Согласовано")</f>
        <v>0</v>
      </c>
      <c r="HI4" s="306">
        <f>COUNTIFS(STATUS!$Q:$Q,ДЕЛА!$A4,STATUS!$D:$D,ДЕЛА!HH$1)</f>
        <v>0</v>
      </c>
      <c r="HJ4" s="589">
        <f t="shared" ref="HJ4:HJ13" si="100">IFERROR(HH4/HI4,1)</f>
        <v>1</v>
      </c>
      <c r="HK4" s="592">
        <f>COUNTIFS(STATUS!$Q:$Q,ДЕЛА!$A4,STATUS!$D:$D,ДЕЛА!HK$1,STATUS!$S:$S,"Согласовано")</f>
        <v>0</v>
      </c>
      <c r="HL4" s="306">
        <f>COUNTIFS(STATUS!$Q:$Q,ДЕЛА!$A4,STATUS!$D:$D,ДЕЛА!HK$1)</f>
        <v>0</v>
      </c>
      <c r="HM4" s="589">
        <f t="shared" ref="HM4:HM13" si="101">IFERROR(HK4/HL4,1)</f>
        <v>1</v>
      </c>
      <c r="HN4" s="592">
        <f>COUNTIFS(STATUS!$Q:$Q,ДЕЛА!$A4,STATUS!$D:$D,ДЕЛА!HN$1,STATUS!$S:$S,"Согласовано")</f>
        <v>0</v>
      </c>
      <c r="HO4" s="306">
        <f>COUNTIFS(STATUS!$Q:$Q,ДЕЛА!$A4,STATUS!$D:$D,ДЕЛА!HN$1)</f>
        <v>0</v>
      </c>
      <c r="HP4" s="589">
        <f t="shared" ref="HP4:HP13" si="102">IFERROR(HN4/HO4,1)</f>
        <v>1</v>
      </c>
      <c r="HQ4" s="592">
        <f>COUNTIFS(STATUS!$Q:$Q,ДЕЛА!$A4,STATUS!$D:$D,ДЕЛА!HQ$1,STATUS!$S:$S,"Согласовано")</f>
        <v>0</v>
      </c>
      <c r="HR4" s="306">
        <f>COUNTIFS(STATUS!$Q:$Q,ДЕЛА!$A4,STATUS!$D:$D,ДЕЛА!HQ$1)</f>
        <v>0</v>
      </c>
      <c r="HS4" s="589">
        <f t="shared" ref="HS4:HS13" si="103">IFERROR(HQ4/HR4,1)</f>
        <v>1</v>
      </c>
      <c r="HT4" s="808">
        <f t="shared" si="14"/>
        <v>0</v>
      </c>
      <c r="HU4" s="600">
        <f t="shared" ref="HU4:HU12" si="104">SUM(HF4,HI4,HL4,HO4,HR4)-SUM(HE4,HH4,HK4,HN4,HQ4)</f>
        <v>0</v>
      </c>
      <c r="HV4" s="592">
        <f>COUNTIFS(STATUS!$Q:$Q,ДЕЛА!$A4,STATUS!$D:$D,ДЕЛА!HV$1,STATUS!$S:$S,"Согласовано")</f>
        <v>0</v>
      </c>
      <c r="HW4" s="306">
        <f>COUNTIFS(STATUS!$Q:$Q,ДЕЛА!$A4,STATUS!$D:$D,ДЕЛА!HV$1)</f>
        <v>0</v>
      </c>
      <c r="HX4" s="589">
        <f t="shared" ref="HX4:HX13" si="105">IFERROR(HV4/HW4,1)</f>
        <v>1</v>
      </c>
      <c r="HY4" s="592">
        <f>COUNTIFS(STATUS!$Q:$Q,ДЕЛА!$A4,STATUS!$D:$D,ДЕЛА!HY$1,STATUS!$S:$S,"Согласовано")</f>
        <v>0</v>
      </c>
      <c r="HZ4" s="306">
        <f>COUNTIFS(STATUS!$Q:$Q,ДЕЛА!$A4,STATUS!$D:$D,ДЕЛА!HY$1)</f>
        <v>0</v>
      </c>
      <c r="IA4" s="589">
        <f t="shared" ref="IA4:IA13" si="106">IFERROR(HY4/HZ4,1)</f>
        <v>1</v>
      </c>
      <c r="IB4" s="592">
        <f>COUNTIFS(STATUS!$Q:$Q,ДЕЛА!$A4,STATUS!$D:$D,ДЕЛА!IB$1,STATUS!$S:$S,"Согласовано")</f>
        <v>0</v>
      </c>
      <c r="IC4" s="306">
        <f>COUNTIFS(STATUS!$Q:$Q,ДЕЛА!$A4,STATUS!$D:$D,ДЕЛА!IB$1)</f>
        <v>0</v>
      </c>
      <c r="ID4" s="589">
        <f t="shared" ref="ID4:ID13" si="107">IFERROR(IB4/IC4,1)</f>
        <v>1</v>
      </c>
      <c r="IE4" s="592">
        <f>COUNTIFS(STATUS!$Q:$Q,ДЕЛА!$A4,STATUS!$D:$D,ДЕЛА!IE$1,STATUS!$S:$S,"Согласовано")</f>
        <v>0</v>
      </c>
      <c r="IF4" s="306">
        <f>COUNTIFS(STATUS!$Q:$Q,ДЕЛА!$A4,STATUS!$D:$D,ДЕЛА!IE$1)</f>
        <v>0</v>
      </c>
      <c r="IG4" s="589">
        <f t="shared" ref="IG4:IG13" si="108">IFERROR(IE4/IF4,1)</f>
        <v>1</v>
      </c>
      <c r="IH4" s="592">
        <f>COUNTIFS(STATUS!$Q:$Q,ДЕЛА!$A4,STATUS!$D:$D,ДЕЛА!IH$1,STATUS!$S:$S,"Согласовано")</f>
        <v>0</v>
      </c>
      <c r="II4" s="306">
        <f>COUNTIFS(STATUS!$Q:$Q,ДЕЛА!$A4,STATUS!$D:$D,ДЕЛА!IH$1)</f>
        <v>0</v>
      </c>
      <c r="IJ4" s="589">
        <f t="shared" ref="IJ4:IJ13" si="109">IFERROR(IH4/II4,1)</f>
        <v>1</v>
      </c>
      <c r="IK4" s="808">
        <f t="shared" si="15"/>
        <v>0</v>
      </c>
      <c r="IL4" s="600">
        <f t="shared" ref="IL4:IL12" si="110">SUM(HW4,HZ4,IC4,IF4,II4)-SUM(HV4,HY4,IB4,IE4,IH4)</f>
        <v>0</v>
      </c>
      <c r="IM4" s="592">
        <f>COUNTIFS(STATUS!$Q:$Q,ДЕЛА!$A4,STATUS!$D:$D,ДЕЛА!IM$1,STATUS!$S:$S,"Согласовано")</f>
        <v>0</v>
      </c>
      <c r="IN4" s="306">
        <f>COUNTIFS(STATUS!$Q:$Q,ДЕЛА!$A4,STATUS!$D:$D,ДЕЛА!IM$1)</f>
        <v>0</v>
      </c>
      <c r="IO4" s="589">
        <f t="shared" ref="IO4:IO13" si="111">IFERROR(IM4/IN4,1)</f>
        <v>1</v>
      </c>
      <c r="IP4" s="592">
        <f>COUNTIFS(STATUS!$Q:$Q,ДЕЛА!$A4,STATUS!$D:$D,ДЕЛА!IP$1,STATUS!$S:$S,"Согласовано")</f>
        <v>0</v>
      </c>
      <c r="IQ4" s="306">
        <f>COUNTIFS(STATUS!$Q:$Q,ДЕЛА!$A4,STATUS!$D:$D,ДЕЛА!IP$1)</f>
        <v>0</v>
      </c>
      <c r="IR4" s="589">
        <f t="shared" ref="IR4:IR13" si="112">IFERROR(IP4/IQ4,1)</f>
        <v>1</v>
      </c>
      <c r="IS4" s="592">
        <f>COUNTIFS(STATUS!$Q:$Q,ДЕЛА!$A4,STATUS!$D:$D,ДЕЛА!IS$1,STATUS!$S:$S,"Согласовано")</f>
        <v>0</v>
      </c>
      <c r="IT4" s="306">
        <f>COUNTIFS(STATUS!$Q:$Q,ДЕЛА!$A4,STATUS!$D:$D,ДЕЛА!IS$1)</f>
        <v>0</v>
      </c>
      <c r="IU4" s="589">
        <f t="shared" ref="IU4:IU13" si="113">IFERROR(IS4/IT4,1)</f>
        <v>1</v>
      </c>
      <c r="IV4" s="592">
        <f>COUNTIFS(STATUS!$Q:$Q,ДЕЛА!$A4,STATUS!$D:$D,ДЕЛА!IV$1,STATUS!$S:$S,"Согласовано")</f>
        <v>0</v>
      </c>
      <c r="IW4" s="306">
        <f>COUNTIFS(STATUS!$Q:$Q,ДЕЛА!$A4,STATUS!$D:$D,ДЕЛА!IV$1)</f>
        <v>0</v>
      </c>
      <c r="IX4" s="589">
        <f t="shared" ref="IX4:IX13" si="114">IFERROR(IV4/IW4,1)</f>
        <v>1</v>
      </c>
      <c r="IY4" s="592">
        <f>COUNTIFS(STATUS!$Q:$Q,ДЕЛА!$A4,STATUS!$D:$D,ДЕЛА!IY$1,STATUS!$S:$S,"Согласовано")</f>
        <v>0</v>
      </c>
      <c r="IZ4" s="306">
        <f>COUNTIFS(STATUS!$Q:$Q,ДЕЛА!$A4,STATUS!$D:$D,ДЕЛА!IY$1)</f>
        <v>0</v>
      </c>
      <c r="JA4" s="589">
        <f t="shared" ref="JA4:JA13" si="115">IFERROR(IY4/IZ4,1)</f>
        <v>1</v>
      </c>
      <c r="JB4" s="808">
        <f t="shared" si="16"/>
        <v>0</v>
      </c>
      <c r="JC4" s="600">
        <f t="shared" ref="JC4:JC12" si="116">SUM(IN4,IQ4,IT4,IW4,IZ4)-SUM(IM4,IP4,IS4,IV4,IY4)</f>
        <v>0</v>
      </c>
      <c r="JD4" s="592">
        <f>COUNTIFS(STATUS!$Q:$Q,ДЕЛА!$A4,STATUS!$D:$D,ДЕЛА!JD$1,STATUS!$S:$S,"Согласовано")</f>
        <v>0</v>
      </c>
      <c r="JE4" s="306">
        <f>COUNTIFS(STATUS!$Q:$Q,ДЕЛА!$A4,STATUS!$D:$D,ДЕЛА!JD$1)</f>
        <v>0</v>
      </c>
      <c r="JF4" s="589">
        <f t="shared" ref="JF4:JF13" si="117">IFERROR(JD4/JE4,1)</f>
        <v>1</v>
      </c>
      <c r="JG4" s="592">
        <f>COUNTIFS(STATUS!$Q:$Q,ДЕЛА!$A4,STATUS!$D:$D,ДЕЛА!JG$1,STATUS!$S:$S,"Согласовано")</f>
        <v>0</v>
      </c>
      <c r="JH4" s="306">
        <f>COUNTIFS(STATUS!$Q:$Q,ДЕЛА!$A4,STATUS!$D:$D,ДЕЛА!JG$1)</f>
        <v>0</v>
      </c>
      <c r="JI4" s="589">
        <f t="shared" ref="JI4:JI13" si="118">IFERROR(JG4/JH4,1)</f>
        <v>1</v>
      </c>
      <c r="JJ4" s="592">
        <f>COUNTIFS(STATUS!$Q:$Q,ДЕЛА!$A4,STATUS!$D:$D,ДЕЛА!JJ$1,STATUS!$S:$S,"Согласовано")</f>
        <v>0</v>
      </c>
      <c r="JK4" s="306">
        <f>COUNTIFS(STATUS!$Q:$Q,ДЕЛА!$A4,STATUS!$D:$D,ДЕЛА!JJ$1)</f>
        <v>0</v>
      </c>
      <c r="JL4" s="589">
        <f t="shared" ref="JL4:JL13" si="119">IFERROR(JJ4/JK4,1)</f>
        <v>1</v>
      </c>
      <c r="JM4" s="592">
        <f>COUNTIFS(STATUS!$Q:$Q,ДЕЛА!$A4,STATUS!$D:$D,ДЕЛА!JM$1,STATUS!$S:$S,"Согласовано")</f>
        <v>0</v>
      </c>
      <c r="JN4" s="306">
        <f>COUNTIFS(STATUS!$Q:$Q,ДЕЛА!$A4,STATUS!$D:$D,ДЕЛА!JM$1)</f>
        <v>0</v>
      </c>
      <c r="JO4" s="589">
        <f t="shared" ref="JO4:JO13" si="120">IFERROR(JM4/JN4,1)</f>
        <v>1</v>
      </c>
      <c r="JP4" s="592">
        <f>COUNTIFS(STATUS!$Q:$Q,ДЕЛА!$A4,STATUS!$D:$D,ДЕЛА!JP$1,STATUS!$S:$S,"Согласовано")</f>
        <v>0</v>
      </c>
      <c r="JQ4" s="306">
        <f>COUNTIFS(STATUS!$Q:$Q,ДЕЛА!$A4,STATUS!$D:$D,ДЕЛА!JP$1)</f>
        <v>0</v>
      </c>
      <c r="JR4" s="589">
        <f t="shared" ref="JR4:JR13" si="121">IFERROR(JP4/JQ4,1)</f>
        <v>1</v>
      </c>
      <c r="JS4" s="808">
        <f t="shared" si="17"/>
        <v>0</v>
      </c>
      <c r="JT4" s="600">
        <f t="shared" ref="JT4:JT12" si="122">SUM(JE4,JH4,JK4,JN4,JQ4)-SUM(JD4,JG4,JJ4,JM4,JP4)</f>
        <v>0</v>
      </c>
      <c r="JU4" s="592">
        <f>COUNTIFS(STATUS!$Q:$Q,ДЕЛА!$A4,STATUS!$D:$D,ДЕЛА!JU$1,STATUS!$S:$S,"Согласовано")</f>
        <v>2</v>
      </c>
      <c r="JV4" s="306">
        <f>COUNTIFS(STATUS!$Q:$Q,ДЕЛА!$A4,STATUS!$D:$D,ДЕЛА!JU$1)</f>
        <v>2</v>
      </c>
      <c r="JW4" s="589">
        <f t="shared" ref="JW4:JW13" si="123">IFERROR(JU4/JV4,1)</f>
        <v>1</v>
      </c>
      <c r="JX4" s="592">
        <f>COUNTIFS(STATUS!$Q:$Q,ДЕЛА!$A4,STATUS!$D:$D,ДЕЛА!JX$1,STATUS!$S:$S,"Согласовано")</f>
        <v>4</v>
      </c>
      <c r="JY4" s="306">
        <f>COUNTIFS(STATUS!$Q:$Q,ДЕЛА!$A4,STATUS!$D:$D,ДЕЛА!JX$1)</f>
        <v>4</v>
      </c>
      <c r="JZ4" s="589">
        <f t="shared" ref="JZ4:JZ13" si="124">IFERROR(JX4/JY4,1)</f>
        <v>1</v>
      </c>
      <c r="KA4" s="592">
        <f>COUNTIFS(STATUS!$Q:$Q,ДЕЛА!$A4,STATUS!$D:$D,ДЕЛА!KA$1,STATUS!$S:$S,"Согласовано")</f>
        <v>3</v>
      </c>
      <c r="KB4" s="306">
        <f>COUNTIFS(STATUS!$Q:$Q,ДЕЛА!$A4,STATUS!$D:$D,ДЕЛА!KA$1)</f>
        <v>3</v>
      </c>
      <c r="KC4" s="589">
        <f t="shared" ref="KC4:KC13" si="125">IFERROR(KA4/KB4,1)</f>
        <v>1</v>
      </c>
      <c r="KD4" s="592">
        <f>COUNTIFS(STATUS!$Q:$Q,ДЕЛА!$A4,STATUS!$D:$D,ДЕЛА!KD$1,STATUS!$S:$S,"Согласовано")</f>
        <v>3</v>
      </c>
      <c r="KE4" s="306">
        <f>COUNTIFS(STATUS!$Q:$Q,ДЕЛА!$A4,STATUS!$D:$D,ДЕЛА!KD$1)</f>
        <v>3</v>
      </c>
      <c r="KF4" s="589">
        <f t="shared" ref="KF4:KF13" si="126">IFERROR(KD4/KE4,1)</f>
        <v>1</v>
      </c>
      <c r="KG4" s="592">
        <f>COUNTIFS(STATUS!$Q:$Q,ДЕЛА!$A4,STATUS!$D:$D,ДЕЛА!KG$1,STATUS!$S:$S,"Согласовано")</f>
        <v>5</v>
      </c>
      <c r="KH4" s="306">
        <f>COUNTIFS(STATUS!$Q:$Q,ДЕЛА!$A4,STATUS!$D:$D,ДЕЛА!KG$1)</f>
        <v>5</v>
      </c>
      <c r="KI4" s="589">
        <f t="shared" ref="KI4:KI13" si="127">IFERROR(KG4/KH4,1)</f>
        <v>1</v>
      </c>
      <c r="KJ4" s="808">
        <f t="shared" si="18"/>
        <v>17</v>
      </c>
      <c r="KK4" s="600">
        <f t="shared" ref="KK4:KK12" si="128">SUM(JV4,JY4,KB4,KE4,KH4)-SUM(JU4,JX4,KA4,KD4,KG4)</f>
        <v>0</v>
      </c>
      <c r="KL4" s="592">
        <f>COUNTIFS(STATUS!$Q:$Q,ДЕЛА!$A4,STATUS!$D:$D,ДЕЛА!KL$1,STATUS!$S:$S,"Согласовано")</f>
        <v>6</v>
      </c>
      <c r="KM4" s="306">
        <f>COUNTIFS(STATUS!$Q:$Q,ДЕЛА!$A4,STATUS!$D:$D,ДЕЛА!KL$1)</f>
        <v>6</v>
      </c>
      <c r="KN4" s="589">
        <f t="shared" ref="KN4:KN13" si="129">IFERROR(KL4/KM4,1)</f>
        <v>1</v>
      </c>
      <c r="KO4" s="592">
        <f>COUNTIFS(STATUS!$Q:$Q,ДЕЛА!$A4,STATUS!$D:$D,ДЕЛА!KO$1,STATUS!$S:$S,"Согласовано")</f>
        <v>4</v>
      </c>
      <c r="KP4" s="306">
        <f>COUNTIFS(STATUS!$Q:$Q,ДЕЛА!$A4,STATUS!$D:$D,ДЕЛА!KO$1)</f>
        <v>4</v>
      </c>
      <c r="KQ4" s="589">
        <f t="shared" ref="KQ4:KQ13" si="130">IFERROR(KO4/KP4,1)</f>
        <v>1</v>
      </c>
      <c r="KR4" s="592">
        <f>COUNTIFS(STATUS!$Q:$Q,ДЕЛА!$A4,STATUS!$D:$D,ДЕЛА!KR$1,STATUS!$S:$S,"Согласовано")</f>
        <v>3</v>
      </c>
      <c r="KS4" s="306">
        <f>COUNTIFS(STATUS!$Q:$Q,ДЕЛА!$A4,STATUS!$D:$D,ДЕЛА!KR$1)</f>
        <v>3</v>
      </c>
      <c r="KT4" s="589">
        <f t="shared" ref="KT4:KT13" si="131">IFERROR(KR4/KS4,1)</f>
        <v>1</v>
      </c>
      <c r="KU4" s="592">
        <f>COUNTIFS(STATUS!$Q:$Q,ДЕЛА!$A4,STATUS!$D:$D,ДЕЛА!KU$1,STATUS!$S:$S,"Согласовано")</f>
        <v>5</v>
      </c>
      <c r="KV4" s="306">
        <f>COUNTIFS(STATUS!$Q:$Q,ДЕЛА!$A4,STATUS!$D:$D,ДЕЛА!KU$1)</f>
        <v>5</v>
      </c>
      <c r="KW4" s="589">
        <f t="shared" ref="KW4:KW13" si="132">IFERROR(KU4/KV4,1)</f>
        <v>1</v>
      </c>
      <c r="KX4" s="592">
        <f>COUNTIFS(STATUS!$Q:$Q,ДЕЛА!$A4,STATUS!$D:$D,ДЕЛА!KX$1,STATUS!$S:$S,"Согласовано")</f>
        <v>4</v>
      </c>
      <c r="KY4" s="306">
        <f>COUNTIFS(STATUS!$Q:$Q,ДЕЛА!$A4,STATUS!$D:$D,ДЕЛА!KX$1)</f>
        <v>4</v>
      </c>
      <c r="KZ4" s="589">
        <f t="shared" ref="KZ4:KZ13" si="133">IFERROR(KX4/KY4,1)</f>
        <v>1</v>
      </c>
      <c r="LA4" s="808">
        <f t="shared" si="19"/>
        <v>22</v>
      </c>
      <c r="LB4" s="600">
        <f t="shared" ref="LB4:LB12" si="134">SUM(KM4,KP4,KS4,KV4,KY4)-SUM(KL4,KO4,KR4,KU4,KX4)</f>
        <v>0</v>
      </c>
      <c r="LC4" s="592">
        <f>COUNTIFS(STATUS!$Q:$Q,ДЕЛА!$A4,STATUS!$D:$D,ДЕЛА!LC$1,STATUS!$S:$S,"Согласовано")</f>
        <v>2</v>
      </c>
      <c r="LD4" s="306">
        <f>COUNTIFS(STATUS!$Q:$Q,ДЕЛА!$A4,STATUS!$D:$D,ДЕЛА!LC$1)</f>
        <v>2</v>
      </c>
      <c r="LE4" s="589">
        <f t="shared" ref="LE4:LE13" si="135">IFERROR(LC4/LD4,1)</f>
        <v>1</v>
      </c>
      <c r="LF4" s="592">
        <f>COUNTIFS(STATUS!$Q:$Q,ДЕЛА!$A4,STATUS!$D:$D,ДЕЛА!LF$1,STATUS!$S:$S,"Согласовано")</f>
        <v>5</v>
      </c>
      <c r="LG4" s="306">
        <f>COUNTIFS(STATUS!$Q:$Q,ДЕЛА!$A4,STATUS!$D:$D,ДЕЛА!LF$1)</f>
        <v>5</v>
      </c>
      <c r="LH4" s="589">
        <f t="shared" ref="LH4:LH13" si="136">IFERROR(LF4/LG4,1)</f>
        <v>1</v>
      </c>
      <c r="LI4" s="592">
        <f>COUNTIFS(STATUS!$Q:$Q,ДЕЛА!$A4,STATUS!$D:$D,ДЕЛА!LI$1,STATUS!$S:$S,"Согласовано")</f>
        <v>3</v>
      </c>
      <c r="LJ4" s="306">
        <f>COUNTIFS(STATUS!$Q:$Q,ДЕЛА!$A4,STATUS!$D:$D,ДЕЛА!LI$1)</f>
        <v>3</v>
      </c>
      <c r="LK4" s="589">
        <f t="shared" ref="LK4:LK13" si="137">IFERROR(LI4/LJ4,1)</f>
        <v>1</v>
      </c>
      <c r="LL4" s="592">
        <f>COUNTIFS(STATUS!$Q:$Q,ДЕЛА!$A4,STATUS!$D:$D,ДЕЛА!LL$1,STATUS!$S:$S,"Согласовано")</f>
        <v>4</v>
      </c>
      <c r="LM4" s="306">
        <f>COUNTIFS(STATUS!$Q:$Q,ДЕЛА!$A4,STATUS!$D:$D,ДЕЛА!LL$1)</f>
        <v>4</v>
      </c>
      <c r="LN4" s="589">
        <f t="shared" ref="LN4:LN13" si="138">IFERROR(LL4/LM4,1)</f>
        <v>1</v>
      </c>
      <c r="LO4" s="592">
        <f>COUNTIFS(STATUS!$Q:$Q,ДЕЛА!$A4,STATUS!$D:$D,ДЕЛА!LO$1,STATUS!$S:$S,"Согласовано")</f>
        <v>4</v>
      </c>
      <c r="LP4" s="306">
        <f>COUNTIFS(STATUS!$Q:$Q,ДЕЛА!$A4,STATUS!$D:$D,ДЕЛА!LO$1)</f>
        <v>4</v>
      </c>
      <c r="LQ4" s="589">
        <f t="shared" ref="LQ4:LQ13" si="139">IFERROR(LO4/LP4,1)</f>
        <v>1</v>
      </c>
      <c r="LR4" s="808">
        <f t="shared" si="20"/>
        <v>18</v>
      </c>
      <c r="LS4" s="600">
        <f t="shared" ref="LS4:LS12" si="140">SUM(LD4,LG4,LJ4,LM4,LP4)-SUM(LC4,LF4,LI4,LL4,LO4)</f>
        <v>0</v>
      </c>
      <c r="LT4" s="592">
        <f>COUNTIFS(STATUS!$Q:$Q,ДЕЛА!$A4,STATUS!$D:$D,ДЕЛА!LT$1,STATUS!$S:$S,"Согласовано")</f>
        <v>4</v>
      </c>
      <c r="LU4" s="306">
        <f>COUNTIFS(STATUS!$Q:$Q,ДЕЛА!$A4,STATUS!$D:$D,ДЕЛА!LT$1)</f>
        <v>4</v>
      </c>
      <c r="LV4" s="589">
        <f t="shared" ref="LV4:LV13" si="141">IFERROR(LT4/LU4,1)</f>
        <v>1</v>
      </c>
      <c r="LW4" s="592">
        <f>COUNTIFS(STATUS!$Q:$Q,ДЕЛА!$A4,STATUS!$D:$D,ДЕЛА!LW$1,STATUS!$S:$S,"Согласовано")</f>
        <v>4</v>
      </c>
      <c r="LX4" s="306">
        <f>COUNTIFS(STATUS!$Q:$Q,ДЕЛА!$A4,STATUS!$D:$D,ДЕЛА!LW$1)</f>
        <v>4</v>
      </c>
      <c r="LY4" s="589">
        <f t="shared" ref="LY4:LY13" si="142">IFERROR(LW4/LX4,1)</f>
        <v>1</v>
      </c>
      <c r="LZ4" s="592">
        <f>COUNTIFS(STATUS!$Q:$Q,ДЕЛА!$A4,STATUS!$D:$D,ДЕЛА!LZ$1,STATUS!$S:$S,"Согласовано")</f>
        <v>3</v>
      </c>
      <c r="MA4" s="306">
        <f>COUNTIFS(STATUS!$Q:$Q,ДЕЛА!$A4,STATUS!$D:$D,ДЕЛА!LZ$1)</f>
        <v>3</v>
      </c>
      <c r="MB4" s="589">
        <f t="shared" ref="MB4:MB13" si="143">IFERROR(LZ4/MA4,1)</f>
        <v>1</v>
      </c>
      <c r="MC4" s="592">
        <f>COUNTIFS(STATUS!$Q:$Q,ДЕЛА!$A4,STATUS!$D:$D,ДЕЛА!MC$1,STATUS!$S:$S,"Согласовано")</f>
        <v>7</v>
      </c>
      <c r="MD4" s="306">
        <f>COUNTIFS(STATUS!$Q:$Q,ДЕЛА!$A4,STATUS!$D:$D,ДЕЛА!MC$1)</f>
        <v>7</v>
      </c>
      <c r="ME4" s="589">
        <f t="shared" ref="ME4:ME13" si="144">IFERROR(MC4/MD4,1)</f>
        <v>1</v>
      </c>
      <c r="MF4" s="592">
        <f>COUNTIFS(STATUS!$Q:$Q,ДЕЛА!$A4,STATUS!$D:$D,ДЕЛА!MF$1,STATUS!$S:$S,"Согласовано")</f>
        <v>4</v>
      </c>
      <c r="MG4" s="306">
        <f>COUNTIFS(STATUS!$Q:$Q,ДЕЛА!$A4,STATUS!$D:$D,ДЕЛА!MF$1)</f>
        <v>4</v>
      </c>
      <c r="MH4" s="589">
        <f t="shared" ref="MH4:MH13" si="145">IFERROR(MF4/MG4,1)</f>
        <v>1</v>
      </c>
      <c r="MI4" s="808">
        <f t="shared" si="21"/>
        <v>22</v>
      </c>
      <c r="MJ4" s="600">
        <f t="shared" ref="MJ4:MJ12" si="146">SUM(LU4,LX4,MA4,MD4,MG4)-SUM(LT4,LW4,LZ4,MC4,MF4)</f>
        <v>0</v>
      </c>
      <c r="MK4" s="592">
        <f>COUNTIFS(STATUS!$Q:$Q,ДЕЛА!$A4,STATUS!$D:$D,ДЕЛА!MK$1,STATUS!$S:$S,"Согласовано")</f>
        <v>2</v>
      </c>
      <c r="ML4" s="306">
        <f>COUNTIFS(STATUS!$Q:$Q,ДЕЛА!$A4,STATUS!$D:$D,ДЕЛА!MK$1)</f>
        <v>2</v>
      </c>
      <c r="MM4" s="589">
        <f t="shared" ref="MM4:MM13" si="147">IFERROR(MK4/ML4,1)</f>
        <v>1</v>
      </c>
      <c r="MN4" s="592">
        <f>COUNTIFS(STATUS!$Q:$Q,ДЕЛА!$A4,STATUS!$D:$D,ДЕЛА!MN$1,STATUS!$S:$S,"Согласовано")</f>
        <v>6</v>
      </c>
      <c r="MO4" s="306">
        <f>COUNTIFS(STATUS!$Q:$Q,ДЕЛА!$A4,STATUS!$D:$D,ДЕЛА!MN$1)</f>
        <v>6</v>
      </c>
      <c r="MP4" s="589">
        <f t="shared" ref="MP4:MP13" si="148">IFERROR(MN4/MO4,1)</f>
        <v>1</v>
      </c>
      <c r="MQ4" s="592">
        <f>COUNTIFS(STATUS!$Q:$Q,ДЕЛА!$A4,STATUS!$D:$D,ДЕЛА!MQ$1,STATUS!$S:$S,"Согласовано")</f>
        <v>6</v>
      </c>
      <c r="MR4" s="306">
        <f>COUNTIFS(STATUS!$Q:$Q,ДЕЛА!$A4,STATUS!$D:$D,ДЕЛА!MQ$1)</f>
        <v>6</v>
      </c>
      <c r="MS4" s="589">
        <f t="shared" ref="MS4:MS13" si="149">IFERROR(MQ4/MR4,1)</f>
        <v>1</v>
      </c>
      <c r="MT4" s="592">
        <f>COUNTIFS(STATUS!$Q:$Q,ДЕЛА!$A4,STATUS!$D:$D,ДЕЛА!MT$1,STATUS!$S:$S,"Согласовано")</f>
        <v>5</v>
      </c>
      <c r="MU4" s="306">
        <f>COUNTIFS(STATUS!$Q:$Q,ДЕЛА!$A4,STATUS!$D:$D,ДЕЛА!MT$1)</f>
        <v>5</v>
      </c>
      <c r="MV4" s="589">
        <f t="shared" ref="MV4:MV13" si="150">IFERROR(MT4/MU4,1)</f>
        <v>1</v>
      </c>
      <c r="MW4" s="592">
        <f>COUNTIFS(STATUS!$Q:$Q,ДЕЛА!$A4,STATUS!$D:$D,ДЕЛА!MW$1,STATUS!$S:$S,"Согласовано")</f>
        <v>4</v>
      </c>
      <c r="MX4" s="306">
        <f>COUNTIFS(STATUS!$Q:$Q,ДЕЛА!$A4,STATUS!$D:$D,ДЕЛА!MW$1)</f>
        <v>4</v>
      </c>
      <c r="MY4" s="589">
        <f t="shared" ref="MY4:MY13" si="151">IFERROR(MW4/MX4,1)</f>
        <v>1</v>
      </c>
      <c r="MZ4" s="808">
        <f t="shared" si="22"/>
        <v>23</v>
      </c>
      <c r="NA4" s="600">
        <f t="shared" ref="NA4:NA12" si="152">SUM(ML4,MO4,MR4,MU4,MX4)-SUM(MK4,MN4,MQ4,MT4,MW4)</f>
        <v>0</v>
      </c>
      <c r="NB4" s="592">
        <f>COUNTIFS(STATUS!$Q:$Q,ДЕЛА!$A4,STATUS!$D:$D,ДЕЛА!NB$1,STATUS!$S:$S,"Согласовано")</f>
        <v>2</v>
      </c>
      <c r="NC4" s="306">
        <f>COUNTIFS(STATUS!$Q:$Q,ДЕЛА!$A4,STATUS!$D:$D,ДЕЛА!NB$1)</f>
        <v>2</v>
      </c>
      <c r="ND4" s="589">
        <f t="shared" ref="ND4:ND13" si="153">IFERROR(NB4/NC4,1)</f>
        <v>1</v>
      </c>
      <c r="NE4" s="592">
        <f>COUNTIFS(STATUS!$Q:$Q,ДЕЛА!$A4,STATUS!$D:$D,ДЕЛА!NE$1,STATUS!$S:$S,"Согласовано")</f>
        <v>5</v>
      </c>
      <c r="NF4" s="306">
        <f>COUNTIFS(STATUS!$Q:$Q,ДЕЛА!$A4,STATUS!$D:$D,ДЕЛА!NE$1)</f>
        <v>5</v>
      </c>
      <c r="NG4" s="589">
        <f t="shared" ref="NG4:NG13" si="154">IFERROR(NE4/NF4,1)</f>
        <v>1</v>
      </c>
      <c r="NH4" s="592">
        <f>COUNTIFS(STATUS!$Q:$Q,ДЕЛА!$A4,STATUS!$D:$D,ДЕЛА!NH$1,STATUS!$S:$S,"Согласовано")</f>
        <v>4</v>
      </c>
      <c r="NI4" s="306">
        <f>COUNTIFS(STATUS!$Q:$Q,ДЕЛА!$A4,STATUS!$D:$D,ДЕЛА!NH$1)</f>
        <v>4</v>
      </c>
      <c r="NJ4" s="589">
        <f t="shared" ref="NJ4:NJ13" si="155">IFERROR(NH4/NI4,1)</f>
        <v>1</v>
      </c>
      <c r="NK4" s="592">
        <f>COUNTIFS(STATUS!$Q:$Q,ДЕЛА!$A4,STATUS!$D:$D,ДЕЛА!NK$1,STATUS!$S:$S,"Согласовано")</f>
        <v>7</v>
      </c>
      <c r="NL4" s="306">
        <f>COUNTIFS(STATUS!$Q:$Q,ДЕЛА!$A4,STATUS!$D:$D,ДЕЛА!NK$1)</f>
        <v>7</v>
      </c>
      <c r="NM4" s="589">
        <f t="shared" ref="NM4:NM13" si="156">IFERROR(NK4/NL4,1)</f>
        <v>1</v>
      </c>
      <c r="NN4" s="592">
        <f>COUNTIFS(STATUS!$Q:$Q,ДЕЛА!$A4,STATUS!$D:$D,ДЕЛА!NN$1,STATUS!$S:$S,"Согласовано")</f>
        <v>6</v>
      </c>
      <c r="NO4" s="306">
        <f>COUNTIFS(STATUS!$Q:$Q,ДЕЛА!$A4,STATUS!$D:$D,ДЕЛА!NN$1)</f>
        <v>6</v>
      </c>
      <c r="NP4" s="589">
        <f t="shared" ref="NP4:NP13" si="157">IFERROR(NN4/NO4,1)</f>
        <v>1</v>
      </c>
      <c r="NQ4" s="808">
        <f t="shared" si="23"/>
        <v>24</v>
      </c>
      <c r="NR4" s="600">
        <f t="shared" ref="NR4:NR12" si="158">SUM(NC4,NF4,NI4,NL4,NO4)-SUM(NB4,NE4,NH4,NK4,NN4)</f>
        <v>0</v>
      </c>
      <c r="NS4" s="592">
        <f>COUNTIFS(STATUS!$Q:$Q,ДЕЛА!$A4,STATUS!$D:$D,ДЕЛА!NS$1,STATUS!$S:$S,"Согласовано")</f>
        <v>4</v>
      </c>
      <c r="NT4" s="306">
        <f>COUNTIFS(STATUS!$Q:$Q,ДЕЛА!$A4,STATUS!$D:$D,ДЕЛА!NS$1)</f>
        <v>4</v>
      </c>
      <c r="NU4" s="589">
        <f t="shared" ref="NU4:NU7" si="159">IFERROR(NS4/NT4,1)</f>
        <v>1</v>
      </c>
      <c r="NV4" s="592">
        <f>COUNTIFS(STATUS!$Q:$Q,ДЕЛА!$A4,STATUS!$D:$D,ДЕЛА!NV$1,STATUS!$S:$S,"Согласовано")</f>
        <v>3</v>
      </c>
      <c r="NW4" s="306">
        <f>COUNTIFS(STATUS!$Q:$Q,ДЕЛА!$A4,STATUS!$D:$D,ДЕЛА!NV$1)</f>
        <v>3</v>
      </c>
      <c r="NX4" s="589">
        <f t="shared" ref="NX4:NX7" si="160">IFERROR(NV4/NW4,1)</f>
        <v>1</v>
      </c>
      <c r="NY4" s="592">
        <f>COUNTIFS(STATUS!$Q:$Q,ДЕЛА!$A4,STATUS!$D:$D,ДЕЛА!NY$1,STATUS!$S:$S,"Согласовано")</f>
        <v>5</v>
      </c>
      <c r="NZ4" s="306">
        <f>COUNTIFS(STATUS!$Q:$Q,ДЕЛА!$A4,STATUS!$D:$D,ДЕЛА!NY$1)</f>
        <v>5</v>
      </c>
      <c r="OA4" s="589">
        <f t="shared" ref="OA4:OA7" si="161">IFERROR(NY4/NZ4,1)</f>
        <v>1</v>
      </c>
      <c r="OB4" s="592">
        <f>COUNTIFS(STATUS!$Q:$Q,ДЕЛА!$A4,STATUS!$D:$D,ДЕЛА!OB$1,STATUS!$S:$S,"Согласовано")</f>
        <v>4</v>
      </c>
      <c r="OC4" s="306">
        <f>COUNTIFS(STATUS!$Q:$Q,ДЕЛА!$A4,STATUS!$D:$D,ДЕЛА!OB$1)</f>
        <v>4</v>
      </c>
      <c r="OD4" s="589">
        <f t="shared" ref="OD4:OD7" si="162">IFERROR(OB4/OC4,1)</f>
        <v>1</v>
      </c>
      <c r="OE4" s="592">
        <f>COUNTIFS(STATUS!$Q:$Q,ДЕЛА!$A4,STATUS!$D:$D,ДЕЛА!OE$1,STATUS!$S:$S,"Согласовано")</f>
        <v>5</v>
      </c>
      <c r="OF4" s="306">
        <f>COUNTIFS(STATUS!$Q:$Q,ДЕЛА!$A4,STATUS!$D:$D,ДЕЛА!OE$1)</f>
        <v>5</v>
      </c>
      <c r="OG4" s="589">
        <f t="shared" ref="OG4:OG7" si="163">IFERROR(OE4/OF4,1)</f>
        <v>1</v>
      </c>
      <c r="OH4" s="808">
        <f t="shared" si="24"/>
        <v>21</v>
      </c>
      <c r="OI4" s="600">
        <f t="shared" ref="OI4:OI7" si="164">SUM(NT4,NW4,NZ4,OC4,OF4)-SUM(NS4,NV4,NY4,OB4,OE4)</f>
        <v>0</v>
      </c>
      <c r="OJ4" s="592">
        <f>COUNTIFS(STATUS!$Q:$Q,ДЕЛА!$A4,STATUS!$D:$D,ДЕЛА!OJ$1,STATUS!$S:$S,"Согласовано")</f>
        <v>5</v>
      </c>
      <c r="OK4" s="306">
        <f>COUNTIFS(STATUS!$Q:$Q,ДЕЛА!$A4,STATUS!$D:$D,ДЕЛА!OJ$1)</f>
        <v>5</v>
      </c>
      <c r="OL4" s="589">
        <f t="shared" ref="OL4:OL7" si="165">IFERROR(OJ4/OK4,1)</f>
        <v>1</v>
      </c>
      <c r="OM4" s="592">
        <f>COUNTIFS(STATUS!$Q:$Q,ДЕЛА!$A4,STATUS!$D:$D,ДЕЛА!OM$1,STATUS!$S:$S,"Согласовано")</f>
        <v>4</v>
      </c>
      <c r="ON4" s="306">
        <f>COUNTIFS(STATUS!$Q:$Q,ДЕЛА!$A4,STATUS!$D:$D,ДЕЛА!OM$1)</f>
        <v>4</v>
      </c>
      <c r="OO4" s="589">
        <f t="shared" ref="OO4:OO7" si="166">IFERROR(OM4/ON4,1)</f>
        <v>1</v>
      </c>
      <c r="OP4" s="592">
        <f>COUNTIFS(STATUS!$Q:$Q,ДЕЛА!$A4,STATUS!$D:$D,ДЕЛА!OP$1,STATUS!$S:$S,"Согласовано")</f>
        <v>4</v>
      </c>
      <c r="OQ4" s="306">
        <f>COUNTIFS(STATUS!$Q:$Q,ДЕЛА!$A4,STATUS!$D:$D,ДЕЛА!OP$1)</f>
        <v>4</v>
      </c>
      <c r="OR4" s="589">
        <f t="shared" ref="OR4:OR7" si="167">IFERROR(OP4/OQ4,1)</f>
        <v>1</v>
      </c>
      <c r="OS4" s="592">
        <f>COUNTIFS(STATUS!$Q:$Q,ДЕЛА!$A4,STATUS!$D:$D,ДЕЛА!OS$1,STATUS!$S:$S,"Согласовано")</f>
        <v>4</v>
      </c>
      <c r="OT4" s="306">
        <f>COUNTIFS(STATUS!$Q:$Q,ДЕЛА!$A4,STATUS!$D:$D,ДЕЛА!OS$1)</f>
        <v>4</v>
      </c>
      <c r="OU4" s="589">
        <f t="shared" ref="OU4:OU7" si="168">IFERROR(OS4/OT4,1)</f>
        <v>1</v>
      </c>
      <c r="OV4" s="592">
        <f>COUNTIFS(STATUS!$Q:$Q,ДЕЛА!$A4,STATUS!$D:$D,ДЕЛА!OV$1,STATUS!$S:$S,"Согласовано")</f>
        <v>5</v>
      </c>
      <c r="OW4" s="306">
        <f>COUNTIFS(STATUS!$Q:$Q,ДЕЛА!$A4,STATUS!$D:$D,ДЕЛА!OV$1)</f>
        <v>5</v>
      </c>
      <c r="OX4" s="589">
        <f t="shared" ref="OX4:OX7" si="169">IFERROR(OV4/OW4,1)</f>
        <v>1</v>
      </c>
      <c r="OY4" s="808">
        <f t="shared" si="25"/>
        <v>22</v>
      </c>
      <c r="OZ4" s="600">
        <f t="shared" ref="OZ4:OZ7" si="170">SUM(OK4,ON4,OQ4,OT4,OW4)-SUM(OJ4,OM4,OP4,OS4,OV4)</f>
        <v>0</v>
      </c>
      <c r="PA4" s="592">
        <f>COUNTIFS(STATUS!$Q:$Q,ДЕЛА!$A4,STATUS!$D:$D,ДЕЛА!PA$1,STATUS!$S:$S,"Согласовано")</f>
        <v>0</v>
      </c>
      <c r="PB4" s="306">
        <f>COUNTIFS(STATUS!$Q:$Q,ДЕЛА!$A4,STATUS!$D:$D,ДЕЛА!PA$1)</f>
        <v>0</v>
      </c>
      <c r="PC4" s="589">
        <f t="shared" ref="PC4:PC7" si="171">IFERROR(PA4/PB4,1)</f>
        <v>1</v>
      </c>
      <c r="PD4" s="592">
        <f>COUNTIFS(STATUS!$Q:$Q,ДЕЛА!$A4,STATUS!$D:$D,ДЕЛА!PD$1,STATUS!$S:$S,"Согласовано")</f>
        <v>0</v>
      </c>
      <c r="PE4" s="306">
        <f>COUNTIFS(STATUS!$Q:$Q,ДЕЛА!$A4,STATUS!$D:$D,ДЕЛА!PD$1)</f>
        <v>0</v>
      </c>
      <c r="PF4" s="589">
        <f t="shared" ref="PF4:PF7" si="172">IFERROR(PD4/PE4,1)</f>
        <v>1</v>
      </c>
      <c r="PG4" s="592">
        <f>COUNTIFS(STATUS!$Q:$Q,ДЕЛА!$A4,STATUS!$D:$D,ДЕЛА!PG$1,STATUS!$S:$S,"Согласовано")</f>
        <v>0</v>
      </c>
      <c r="PH4" s="306">
        <f>COUNTIFS(STATUS!$Q:$Q,ДЕЛА!$A4,STATUS!$D:$D,ДЕЛА!PG$1)</f>
        <v>0</v>
      </c>
      <c r="PI4" s="589">
        <f t="shared" ref="PI4:PI7" si="173">IFERROR(PG4/PH4,1)</f>
        <v>1</v>
      </c>
      <c r="PJ4" s="592">
        <f>COUNTIFS(STATUS!$Q:$Q,ДЕЛА!$A4,STATUS!$D:$D,ДЕЛА!PJ$1,STATUS!$S:$S,"Согласовано")</f>
        <v>0</v>
      </c>
      <c r="PK4" s="306">
        <f>COUNTIFS(STATUS!$Q:$Q,ДЕЛА!$A4,STATUS!$D:$D,ДЕЛА!PJ$1)</f>
        <v>0</v>
      </c>
      <c r="PL4" s="589">
        <f t="shared" ref="PL4:PL7" si="174">IFERROR(PJ4/PK4,1)</f>
        <v>1</v>
      </c>
      <c r="PM4" s="592">
        <f>COUNTIFS(STATUS!$Q:$Q,ДЕЛА!$A4,STATUS!$D:$D,ДЕЛА!PM$1,STATUS!$S:$S,"Согласовано")</f>
        <v>2</v>
      </c>
      <c r="PN4" s="306">
        <f>COUNTIFS(STATUS!$Q:$Q,ДЕЛА!$A4,STATUS!$D:$D,ДЕЛА!PM$1)</f>
        <v>2</v>
      </c>
      <c r="PO4" s="589">
        <f t="shared" ref="PO4:PO7" si="175">IFERROR(PM4/PN4,1)</f>
        <v>1</v>
      </c>
      <c r="PP4" s="808">
        <f t="shared" si="26"/>
        <v>2</v>
      </c>
      <c r="PQ4" s="600">
        <f t="shared" ref="PQ4:PQ7" si="176">SUM(PB4,PE4,PH4,PK4,PN4)-SUM(PA4,PD4,PG4,PJ4,PM4)</f>
        <v>0</v>
      </c>
      <c r="PR4" s="592">
        <f>COUNTIFS(STATUS!$Q:$Q,ДЕЛА!$A4,STATUS!$D:$D,ДЕЛА!PR$1,STATUS!$S:$S,"Согласовано")</f>
        <v>2</v>
      </c>
      <c r="PS4" s="306">
        <f>COUNTIFS(STATUS!$Q:$Q,ДЕЛА!$A4,STATUS!$D:$D,ДЕЛА!PR$1)</f>
        <v>2</v>
      </c>
      <c r="PT4" s="589">
        <f t="shared" ref="PT4:PT7" si="177">IFERROR(PR4/PS4,1)</f>
        <v>1</v>
      </c>
      <c r="PU4" s="592">
        <f>COUNTIFS(STATUS!$Q:$Q,ДЕЛА!$A4,STATUS!$D:$D,ДЕЛА!PU$1,STATUS!$S:$S,"Согласовано")</f>
        <v>3</v>
      </c>
      <c r="PV4" s="306">
        <f>COUNTIFS(STATUS!$Q:$Q,ДЕЛА!$A4,STATUS!$D:$D,ДЕЛА!PU$1)</f>
        <v>3</v>
      </c>
      <c r="PW4" s="589">
        <f t="shared" ref="PW4:PW7" si="178">IFERROR(PU4/PV4,1)</f>
        <v>1</v>
      </c>
      <c r="PX4" s="592">
        <f>COUNTIFS(STATUS!$Q:$Q,ДЕЛА!$A4,STATUS!$D:$D,ДЕЛА!PX$1,STATUS!$S:$S,"Согласовано")</f>
        <v>4</v>
      </c>
      <c r="PY4" s="306">
        <f>COUNTIFS(STATUS!$Q:$Q,ДЕЛА!$A4,STATUS!$D:$D,ДЕЛА!PX$1)</f>
        <v>4</v>
      </c>
      <c r="PZ4" s="589">
        <f t="shared" ref="PZ4:PZ7" si="179">IFERROR(PX4/PY4,1)</f>
        <v>1</v>
      </c>
      <c r="QA4" s="592">
        <f>COUNTIFS(STATUS!$Q:$Q,ДЕЛА!$A4,STATUS!$D:$D,ДЕЛА!QA$1,STATUS!$S:$S,"Согласовано")</f>
        <v>2</v>
      </c>
      <c r="QB4" s="306">
        <f>COUNTIFS(STATUS!$Q:$Q,ДЕЛА!$A4,STATUS!$D:$D,ДЕЛА!QA$1)</f>
        <v>2</v>
      </c>
      <c r="QC4" s="589">
        <f t="shared" ref="QC4:QC7" si="180">IFERROR(QA4/QB4,1)</f>
        <v>1</v>
      </c>
      <c r="QD4" s="592">
        <f>COUNTIFS(STATUS!$Q:$Q,ДЕЛА!$A4,STATUS!$D:$D,ДЕЛА!QD$1,STATUS!$S:$S,"Согласовано")</f>
        <v>5</v>
      </c>
      <c r="QE4" s="306">
        <f>COUNTIFS(STATUS!$Q:$Q,ДЕЛА!$A4,STATUS!$D:$D,ДЕЛА!QD$1)</f>
        <v>5</v>
      </c>
      <c r="QF4" s="589">
        <f t="shared" ref="QF4:QF7" si="181">IFERROR(QD4/QE4,1)</f>
        <v>1</v>
      </c>
      <c r="QG4" s="808">
        <f t="shared" si="27"/>
        <v>16</v>
      </c>
      <c r="QH4" s="600">
        <f t="shared" ref="QH4:QH7" si="182">SUM(PS4,PV4,PY4,QB4,QE4)-SUM(PR4,PU4,PX4,QA4,QD4)</f>
        <v>0</v>
      </c>
    </row>
    <row r="5" spans="1:450" x14ac:dyDescent="0.3">
      <c r="A5" s="662" t="s">
        <v>2109</v>
      </c>
      <c r="B5" s="1321">
        <f>SUMIFS(STATUS!AA:AA,STATUS!Q:Q,A5)</f>
        <v>4.9179282407407383</v>
      </c>
      <c r="C5" s="1321">
        <f>B5/COUNTIFS(STATUS!Q:Q,ДЕЛА!A5,STATUS!AA:AA,"&lt;&gt;0")</f>
        <v>1.9061737367212166E-2</v>
      </c>
      <c r="D5" s="658">
        <f>COUNTIFS(STATUS!$Q:$Q,ДЕЛА!$A5,STATUS!$H:$H,ДЕЛА!D$1)</f>
        <v>527</v>
      </c>
      <c r="E5" s="735">
        <f t="shared" si="28"/>
        <v>0.97412199630314233</v>
      </c>
      <c r="F5" s="658">
        <f>COUNTIFS(STATUS!$Q:$Q,ДЕЛА!$A5,STATUS!$H:$H,ДЕЛА!F$1)</f>
        <v>13</v>
      </c>
      <c r="G5" s="735">
        <f t="shared" si="0"/>
        <v>2.4029574861367836E-2</v>
      </c>
      <c r="H5" s="658">
        <f>COUNTIFS(STATUS!$Q:$Q,ДЕЛА!$A5,STATUS!$I:$I,ДЕЛА!H$1)</f>
        <v>17</v>
      </c>
      <c r="I5" s="735">
        <f t="shared" si="1"/>
        <v>3.1423290203327174E-2</v>
      </c>
      <c r="J5" s="658">
        <f>COUNTIFS(STATUS!$Q:$Q,ДЕЛА!$A5,STATUS!$I:$I,ДЕЛА!J$1)</f>
        <v>13</v>
      </c>
      <c r="K5" s="735">
        <f t="shared" si="2"/>
        <v>2.4029574861367836E-2</v>
      </c>
      <c r="L5" s="658">
        <f>COUNTIFS(STATUS!$Q:$Q,ДЕЛА!$A5,STATUS!$I:$I,ДЕЛА!L$1)</f>
        <v>72</v>
      </c>
      <c r="M5" s="735">
        <f t="shared" si="3"/>
        <v>0.13308687615526801</v>
      </c>
      <c r="N5" s="658">
        <f>COUNTIFS(STATUS!$Q:$Q,ДЕЛА!$A5,STATUS!$I:$I,ДЕЛА!N$1)</f>
        <v>53</v>
      </c>
      <c r="O5" s="735">
        <f t="shared" si="4"/>
        <v>9.7966728280961188E-2</v>
      </c>
      <c r="P5" s="658">
        <f>COUNTIFS(STATUS!$Q:$Q,ДЕЛА!$A5,STATUS!$S:$S,"На доработку")</f>
        <v>0</v>
      </c>
      <c r="Q5" s="658">
        <f>COUNTIFS(STATUS!Q:Q,ДЕЛА!A5,STATUS!$S:$S,"Согласовано")</f>
        <v>541</v>
      </c>
      <c r="R5" s="658">
        <f>COUNTIFS(STATUS!$Q:$Q,ДЕЛА!$A5)</f>
        <v>541</v>
      </c>
      <c r="S5" s="658">
        <f t="shared" si="29"/>
        <v>0</v>
      </c>
      <c r="T5" s="659">
        <f t="shared" si="30"/>
        <v>1</v>
      </c>
      <c r="U5" s="658">
        <f t="shared" si="31"/>
        <v>0</v>
      </c>
      <c r="V5" s="592">
        <f>COUNTIFS(STATUS!$Q:$Q,ДЕЛА!$A5,STATUS!$D:$D,ДЕЛА!V$1,STATUS!$S:$S,"Согласовано")</f>
        <v>2</v>
      </c>
      <c r="W5" s="306">
        <f>COUNTIFS(STATUS!$Q:$Q,ДЕЛА!$A5,STATUS!$D:$D,ДЕЛА!V$1)</f>
        <v>2</v>
      </c>
      <c r="X5" s="593">
        <f t="shared" si="32"/>
        <v>1</v>
      </c>
      <c r="Y5" s="401">
        <f>COUNTIFS(STATUS!$Q:$Q,ДЕЛА!$A5,STATUS!$D:$D,ДЕЛА!Y$1,STATUS!$S:$S,"Согласовано")</f>
        <v>1</v>
      </c>
      <c r="Z5" s="306">
        <f>COUNTIFS(STATUS!$Q:$Q,ДЕЛА!$A5,STATUS!$D:$D,ДЕЛА!Y$1)</f>
        <v>1</v>
      </c>
      <c r="AA5" s="589">
        <f t="shared" si="33"/>
        <v>1</v>
      </c>
      <c r="AB5" s="592">
        <f>COUNTIFS(STATUS!$Q:$Q,ДЕЛА!$A5,STATUS!$D:$D,ДЕЛА!AB$1,STATUS!$S:$S,"Согласовано")</f>
        <v>2</v>
      </c>
      <c r="AC5" s="306">
        <f>COUNTIFS(STATUS!$Q:$Q,ДЕЛА!$A5,STATUS!$D:$D,ДЕЛА!AB$1)</f>
        <v>2</v>
      </c>
      <c r="AD5" s="593">
        <f t="shared" si="34"/>
        <v>1</v>
      </c>
      <c r="AE5" s="600">
        <f t="shared" ref="AE5:AE12" si="183">SUM(W5,Z5,AC5)-SUM(V5,Y5,AB5)</f>
        <v>0</v>
      </c>
      <c r="AF5" s="401">
        <f>COUNTIFS(STATUS!$Q:$Q,ДЕЛА!$A5,STATUS!$D:$D,ДЕЛА!AF$1,STATUS!$S:$S,"Согласовано")</f>
        <v>3</v>
      </c>
      <c r="AG5" s="306">
        <f>COUNTIFS(STATUS!$Q:$Q,ДЕЛА!$A5,STATUS!$D:$D,ДЕЛА!AF$1)</f>
        <v>3</v>
      </c>
      <c r="AH5" s="589">
        <f t="shared" si="35"/>
        <v>1</v>
      </c>
      <c r="AI5" s="592">
        <f>COUNTIFS(STATUS!$Q:$Q,ДЕЛА!$A5,STATUS!$D:$D,ДЕЛА!AI$1,STATUS!$S:$S,"Согласовано")</f>
        <v>6</v>
      </c>
      <c r="AJ5" s="306">
        <f>COUNTIFS(STATUS!$Q:$Q,ДЕЛА!$A5,STATUS!$D:$D,ДЕЛА!AI$1)</f>
        <v>6</v>
      </c>
      <c r="AK5" s="589">
        <f t="shared" si="36"/>
        <v>1</v>
      </c>
      <c r="AL5" s="401">
        <f>COUNTIFS(STATUS!$Q:$Q,ДЕЛА!$A5,STATUS!$D:$D,ДЕЛА!AL$1,STATUS!$S:$S,"Согласовано")</f>
        <v>4</v>
      </c>
      <c r="AM5" s="306">
        <f>COUNTIFS(STATUS!$Q:$Q,ДЕЛА!$A5,STATUS!$D:$D,ДЕЛА!AL$1)</f>
        <v>4</v>
      </c>
      <c r="AN5" s="589">
        <f t="shared" si="37"/>
        <v>1</v>
      </c>
      <c r="AO5" s="592">
        <f>COUNTIFS(STATUS!$Q:$Q,ДЕЛА!$A5,STATUS!$D:$D,ДЕЛА!AO$1,STATUS!$S:$S,"Согласовано")</f>
        <v>3</v>
      </c>
      <c r="AP5" s="306">
        <f>COUNTIFS(STATUS!$Q:$Q,ДЕЛА!$A5,STATUS!$D:$D,ДЕЛА!AO$1)</f>
        <v>3</v>
      </c>
      <c r="AQ5" s="589">
        <f t="shared" si="38"/>
        <v>1</v>
      </c>
      <c r="AR5" s="600">
        <f t="shared" si="5"/>
        <v>0</v>
      </c>
      <c r="AS5" s="592">
        <f>COUNTIFS(STATUS!$Q:$Q,ДЕЛА!$A5,STATUS!$D:$D,ДЕЛА!AS$1,STATUS!$S:$S,"Согласовано")</f>
        <v>6</v>
      </c>
      <c r="AT5" s="306">
        <f>COUNTIFS(STATUS!$Q:$Q,ДЕЛА!$A5,STATUS!$D:$D,ДЕЛА!AS$1)</f>
        <v>6</v>
      </c>
      <c r="AU5" s="589">
        <f t="shared" si="39"/>
        <v>1</v>
      </c>
      <c r="AV5" s="592">
        <f>COUNTIFS(STATUS!$Q:$Q,ДЕЛА!$A5,STATUS!$D:$D,ДЕЛА!AV$1,STATUS!$S:$S,"Согласовано")</f>
        <v>5</v>
      </c>
      <c r="AW5" s="306">
        <f>COUNTIFS(STATUS!$Q:$Q,ДЕЛА!$A5,STATUS!$D:$D,ДЕЛА!AV$1)</f>
        <v>5</v>
      </c>
      <c r="AX5" s="589">
        <f t="shared" si="40"/>
        <v>1</v>
      </c>
      <c r="AY5" s="592">
        <f>COUNTIFS(STATUS!$Q:$Q,ДЕЛА!$A5,STATUS!$D:$D,ДЕЛА!AY$1,STATUS!$S:$S,"Согласовано")</f>
        <v>3</v>
      </c>
      <c r="AZ5" s="306">
        <f>COUNTIFS(STATUS!$Q:$Q,ДЕЛА!$A5,STATUS!$D:$D,ДЕЛА!AY$1)</f>
        <v>3</v>
      </c>
      <c r="BA5" s="589">
        <f t="shared" si="41"/>
        <v>1</v>
      </c>
      <c r="BB5" s="592">
        <f>COUNTIFS(STATUS!$Q:$Q,ДЕЛА!$A5,STATUS!$D:$D,ДЕЛА!BB$1,STATUS!$S:$S,"Согласовано")</f>
        <v>4</v>
      </c>
      <c r="BC5" s="306">
        <f>COUNTIFS(STATUS!$Q:$Q,ДЕЛА!$A5,STATUS!$D:$D,ДЕЛА!BB$1)</f>
        <v>4</v>
      </c>
      <c r="BD5" s="589">
        <f t="shared" si="42"/>
        <v>1</v>
      </c>
      <c r="BE5" s="592">
        <f>COUNTIFS(STATUS!$Q:$Q,ДЕЛА!$A5,STATUS!$D:$D,ДЕЛА!BE$1,STATUS!$S:$S,"Согласовано")</f>
        <v>4</v>
      </c>
      <c r="BF5" s="306">
        <f>COUNTIFS(STATUS!$Q:$Q,ДЕЛА!$A5,STATUS!$D:$D,ДЕЛА!BE$1)</f>
        <v>4</v>
      </c>
      <c r="BG5" s="589">
        <f t="shared" si="43"/>
        <v>1</v>
      </c>
      <c r="BH5" s="600">
        <f t="shared" si="44"/>
        <v>0</v>
      </c>
      <c r="BI5" s="592">
        <f>COUNTIFS(STATUS!$Q:$Q,ДЕЛА!$A5,STATUS!$D:$D,ДЕЛА!BI$1,STATUS!$S:$S,"Согласовано")</f>
        <v>1</v>
      </c>
      <c r="BJ5" s="306">
        <f>COUNTIFS(STATUS!$Q:$Q,ДЕЛА!$A5,STATUS!$D:$D,ДЕЛА!BI$1)</f>
        <v>1</v>
      </c>
      <c r="BK5" s="589">
        <f t="shared" si="45"/>
        <v>1</v>
      </c>
      <c r="BL5" s="592">
        <f>COUNTIFS(STATUS!$Q:$Q,ДЕЛА!$A5,STATUS!$D:$D,ДЕЛА!BL$1,STATUS!$S:$S,"Согласовано")</f>
        <v>5</v>
      </c>
      <c r="BM5" s="306">
        <f>COUNTIFS(STATUS!$Q:$Q,ДЕЛА!$A5,STATUS!$D:$D,ДЕЛА!BL$1)</f>
        <v>5</v>
      </c>
      <c r="BN5" s="589">
        <f t="shared" si="46"/>
        <v>1</v>
      </c>
      <c r="BO5" s="592">
        <f>COUNTIFS(STATUS!$Q:$Q,ДЕЛА!$A5,STATUS!$D:$D,ДЕЛА!BO$1,STATUS!$S:$S,"Согласовано")</f>
        <v>4</v>
      </c>
      <c r="BP5" s="306">
        <f>COUNTIFS(STATUS!$Q:$Q,ДЕЛА!$A5,STATUS!$D:$D,ДЕЛА!BO$1)</f>
        <v>4</v>
      </c>
      <c r="BQ5" s="589">
        <f t="shared" si="47"/>
        <v>1</v>
      </c>
      <c r="BR5" s="592">
        <f>COUNTIFS(STATUS!$Q:$Q,ДЕЛА!$A5,STATUS!$D:$D,ДЕЛА!BR$1,STATUS!$S:$S,"Согласовано")</f>
        <v>3</v>
      </c>
      <c r="BS5" s="306">
        <f>COUNTIFS(STATUS!$Q:$Q,ДЕЛА!$A5,STATUS!$D:$D,ДЕЛА!BR$1)</f>
        <v>3</v>
      </c>
      <c r="BT5" s="589">
        <f t="shared" si="48"/>
        <v>1</v>
      </c>
      <c r="BU5" s="592">
        <f>COUNTIFS(STATUS!$Q:$Q,ДЕЛА!$A5,STATUS!$D:$D,ДЕЛА!BU$1,STATUS!$S:$S,"Согласовано")</f>
        <v>0</v>
      </c>
      <c r="BV5" s="306">
        <f>COUNTIFS(STATUS!$Q:$Q,ДЕЛА!$A5,STATUS!$D:$D,ДЕЛА!BU$1)</f>
        <v>0</v>
      </c>
      <c r="BW5" s="589">
        <f t="shared" si="49"/>
        <v>1</v>
      </c>
      <c r="BX5" s="600">
        <f t="shared" si="50"/>
        <v>0</v>
      </c>
      <c r="BY5" s="592">
        <f>COUNTIFS(STATUS!$Q:$Q,ДЕЛА!$A5,STATUS!$D:$D,ДЕЛА!BY$1,STATUS!$S:$S,"Согласовано")</f>
        <v>16</v>
      </c>
      <c r="BZ5" s="306">
        <f>COUNTIFS(STATUS!$Q:$Q,ДЕЛА!$A5,STATUS!$D:$D,ДЕЛА!BY$1)</f>
        <v>16</v>
      </c>
      <c r="CA5" s="589">
        <f t="shared" si="51"/>
        <v>1</v>
      </c>
      <c r="CB5" s="592">
        <f>COUNTIFS(STATUS!$Q:$Q,ДЕЛА!$A5,STATUS!$D:$D,ДЕЛА!CB$1,STATUS!$S:$S,"Согласовано")</f>
        <v>4</v>
      </c>
      <c r="CC5" s="306">
        <f>COUNTIFS(STATUS!$Q:$Q,ДЕЛА!$A5,STATUS!$D:$D,ДЕЛА!CB$1)</f>
        <v>4</v>
      </c>
      <c r="CD5" s="589">
        <f t="shared" si="52"/>
        <v>1</v>
      </c>
      <c r="CE5" s="592">
        <f>COUNTIFS(STATUS!$Q:$Q,ДЕЛА!$A5,STATUS!$D:$D,ДЕЛА!CE$1,STATUS!$S:$S,"Согласовано")</f>
        <v>1</v>
      </c>
      <c r="CF5" s="306">
        <f>COUNTIFS(STATUS!$Q:$Q,ДЕЛА!$A5,STATUS!$D:$D,ДЕЛА!CE$1)</f>
        <v>1</v>
      </c>
      <c r="CG5" s="589">
        <f t="shared" si="53"/>
        <v>1</v>
      </c>
      <c r="CH5" s="592">
        <f>COUNTIFS(STATUS!$Q:$Q,ДЕЛА!$A5,STATUS!$D:$D,ДЕЛА!CH$1,STATUS!$S:$S,"Согласовано")</f>
        <v>3</v>
      </c>
      <c r="CI5" s="306">
        <f>COUNTIFS(STATUS!$Q:$Q,ДЕЛА!$A5,STATUS!$D:$D,ДЕЛА!CH$1)</f>
        <v>3</v>
      </c>
      <c r="CJ5" s="589">
        <f t="shared" si="54"/>
        <v>1</v>
      </c>
      <c r="CK5" s="592">
        <f>COUNTIFS(STATUS!$Q:$Q,ДЕЛА!$A5,STATUS!$D:$D,ДЕЛА!CK$1,STATUS!$S:$S,"Согласовано")</f>
        <v>2</v>
      </c>
      <c r="CL5" s="306">
        <f>COUNTIFS(STATUS!$Q:$Q,ДЕЛА!$A5,STATUS!$D:$D,ДЕЛА!CK$1)</f>
        <v>2</v>
      </c>
      <c r="CM5" s="589">
        <f t="shared" si="55"/>
        <v>1</v>
      </c>
      <c r="CN5" s="808">
        <f t="shared" si="6"/>
        <v>26</v>
      </c>
      <c r="CO5" s="600">
        <f t="shared" si="56"/>
        <v>0</v>
      </c>
      <c r="CP5" s="592">
        <f>COUNTIFS(STATUS!$Q:$Q,ДЕЛА!$A5,STATUS!$D:$D,ДЕЛА!CP$1,STATUS!$S:$S,"Согласовано")</f>
        <v>5</v>
      </c>
      <c r="CQ5" s="306">
        <f>COUNTIFS(STATUS!$Q:$Q,ДЕЛА!$A5,STATUS!$D:$D,ДЕЛА!CP$1)</f>
        <v>5</v>
      </c>
      <c r="CR5" s="589">
        <f t="shared" si="57"/>
        <v>1</v>
      </c>
      <c r="CS5" s="592">
        <f>COUNTIFS(STATUS!$Q:$Q,ДЕЛА!$A5,STATUS!$D:$D,ДЕЛА!CS$1,STATUS!$S:$S,"Согласовано")</f>
        <v>3</v>
      </c>
      <c r="CT5" s="306">
        <f>COUNTIFS(STATUS!$Q:$Q,ДЕЛА!$A5,STATUS!$D:$D,ДЕЛА!CS$1)</f>
        <v>3</v>
      </c>
      <c r="CU5" s="589">
        <f t="shared" si="58"/>
        <v>1</v>
      </c>
      <c r="CV5" s="592">
        <f>COUNTIFS(STATUS!$Q:$Q,ДЕЛА!$A5,STATUS!$D:$D,ДЕЛА!CV$1,STATUS!$S:$S,"Согласовано")</f>
        <v>3</v>
      </c>
      <c r="CW5" s="306">
        <f>COUNTIFS(STATUS!$Q:$Q,ДЕЛА!$A5,STATUS!$D:$D,ДЕЛА!CV$1)</f>
        <v>3</v>
      </c>
      <c r="CX5" s="589">
        <f t="shared" si="59"/>
        <v>1</v>
      </c>
      <c r="CY5" s="592">
        <f>COUNTIFS(STATUS!$Q:$Q,ДЕЛА!$A5,STATUS!$D:$D,ДЕЛА!CY$1,STATUS!$S:$S,"Согласовано")</f>
        <v>2</v>
      </c>
      <c r="CZ5" s="306">
        <f>COUNTIFS(STATUS!$Q:$Q,ДЕЛА!$A5,STATUS!$D:$D,ДЕЛА!CY$1)</f>
        <v>2</v>
      </c>
      <c r="DA5" s="589">
        <f t="shared" si="60"/>
        <v>1</v>
      </c>
      <c r="DB5" s="592">
        <f>COUNTIFS(STATUS!$Q:$Q,ДЕЛА!$A5,STATUS!$D:$D,ДЕЛА!DB$1,STATUS!$S:$S,"Согласовано")</f>
        <v>0</v>
      </c>
      <c r="DC5" s="306">
        <f>COUNTIFS(STATUS!$Q:$Q,ДЕЛА!$A5,STATUS!$D:$D,ДЕЛА!DB$1)</f>
        <v>0</v>
      </c>
      <c r="DD5" s="589">
        <f t="shared" si="61"/>
        <v>1</v>
      </c>
      <c r="DE5" s="808">
        <f t="shared" si="7"/>
        <v>13</v>
      </c>
      <c r="DF5" s="600">
        <f t="shared" si="62"/>
        <v>0</v>
      </c>
      <c r="DG5" s="592">
        <f>COUNTIFS(STATUS!$Q:$Q,ДЕЛА!$A5,STATUS!$D:$D,ДЕЛА!DG$1,STATUS!$S:$S,"Согласовано")</f>
        <v>3</v>
      </c>
      <c r="DH5" s="306">
        <f>COUNTIFS(STATUS!$Q:$Q,ДЕЛА!$A5,STATUS!$D:$D,ДЕЛА!DG$1)</f>
        <v>3</v>
      </c>
      <c r="DI5" s="589">
        <f t="shared" si="63"/>
        <v>1</v>
      </c>
      <c r="DJ5" s="592">
        <f>COUNTIFS(STATUS!$Q:$Q,ДЕЛА!$A5,STATUS!$D:$D,ДЕЛА!DJ$1,STATUS!$S:$S,"Согласовано")</f>
        <v>41</v>
      </c>
      <c r="DK5" s="306">
        <f>COUNTIFS(STATUS!$Q:$Q,ДЕЛА!$A5,STATUS!$D:$D,ДЕЛА!DJ$1)</f>
        <v>41</v>
      </c>
      <c r="DL5" s="589">
        <f t="shared" si="64"/>
        <v>1</v>
      </c>
      <c r="DM5" s="592">
        <f>COUNTIFS(STATUS!$Q:$Q,ДЕЛА!$A5,STATUS!$D:$D,ДЕЛА!DM$1,STATUS!$S:$S,"Согласовано")</f>
        <v>1</v>
      </c>
      <c r="DN5" s="306">
        <f>COUNTIFS(STATUS!$Q:$Q,ДЕЛА!$A5,STATUS!$D:$D,ДЕЛА!DM$1)</f>
        <v>1</v>
      </c>
      <c r="DO5" s="589">
        <f t="shared" si="65"/>
        <v>1</v>
      </c>
      <c r="DP5" s="592">
        <f>COUNTIFS(STATUS!$Q:$Q,ДЕЛА!$A5,STATUS!$D:$D,ДЕЛА!DP$1,STATUS!$S:$S,"Согласовано")</f>
        <v>2</v>
      </c>
      <c r="DQ5" s="306">
        <f>COUNTIFS(STATUS!$Q:$Q,ДЕЛА!$A5,STATUS!$D:$D,ДЕЛА!DP$1)</f>
        <v>2</v>
      </c>
      <c r="DR5" s="589">
        <f t="shared" si="66"/>
        <v>1</v>
      </c>
      <c r="DS5" s="592">
        <f>COUNTIFS(STATUS!$Q:$Q,ДЕЛА!$A5,STATUS!$D:$D,ДЕЛА!DS$1,STATUS!$S:$S,"Согласовано")</f>
        <v>4</v>
      </c>
      <c r="DT5" s="306">
        <f>COUNTIFS(STATUS!$Q:$Q,ДЕЛА!$A5,STATUS!$D:$D,ДЕЛА!DS$1)</f>
        <v>4</v>
      </c>
      <c r="DU5" s="589">
        <f t="shared" si="67"/>
        <v>1</v>
      </c>
      <c r="DV5" s="808">
        <f t="shared" si="8"/>
        <v>51</v>
      </c>
      <c r="DW5" s="600">
        <f t="shared" si="68"/>
        <v>0</v>
      </c>
      <c r="DX5" s="592">
        <f>COUNTIFS(STATUS!$Q:$Q,ДЕЛА!$A5,STATUS!$D:$D,ДЕЛА!DX$1,STATUS!$S:$S,"Согласовано")</f>
        <v>2</v>
      </c>
      <c r="DY5" s="306">
        <f>COUNTIFS(STATUS!$Q:$Q,ДЕЛА!$A5,STATUS!$D:$D,ДЕЛА!DX$1)</f>
        <v>2</v>
      </c>
      <c r="DZ5" s="589">
        <f t="shared" si="69"/>
        <v>1</v>
      </c>
      <c r="EA5" s="592">
        <f>COUNTIFS(STATUS!$Q:$Q,ДЕЛА!$A5,STATUS!$D:$D,ДЕЛА!EA$1,STATUS!$S:$S,"Согласовано")</f>
        <v>4</v>
      </c>
      <c r="EB5" s="306">
        <f>COUNTIFS(STATUS!$Q:$Q,ДЕЛА!$A5,STATUS!$D:$D,ДЕЛА!EA$1)</f>
        <v>4</v>
      </c>
      <c r="EC5" s="589">
        <f t="shared" si="70"/>
        <v>1</v>
      </c>
      <c r="ED5" s="592">
        <f>COUNTIFS(STATUS!$Q:$Q,ДЕЛА!$A5,STATUS!$D:$D,ДЕЛА!ED$1,STATUS!$S:$S,"Согласовано")</f>
        <v>0</v>
      </c>
      <c r="EE5" s="306">
        <f>COUNTIFS(STATUS!$Q:$Q,ДЕЛА!$A5,STATUS!$D:$D,ДЕЛА!ED$1)</f>
        <v>0</v>
      </c>
      <c r="EF5" s="589">
        <f t="shared" si="71"/>
        <v>1</v>
      </c>
      <c r="EG5" s="592">
        <f>COUNTIFS(STATUS!$Q:$Q,ДЕЛА!$A5,STATUS!$D:$D,ДЕЛА!EG$1,STATUS!$S:$S,"Согласовано")</f>
        <v>6</v>
      </c>
      <c r="EH5" s="306">
        <f>COUNTIFS(STATUS!$Q:$Q,ДЕЛА!$A5,STATUS!$D:$D,ДЕЛА!EG$1)</f>
        <v>6</v>
      </c>
      <c r="EI5" s="589">
        <f t="shared" si="72"/>
        <v>1</v>
      </c>
      <c r="EJ5" s="592">
        <f>COUNTIFS(STATUS!$Q:$Q,ДЕЛА!$A5,STATUS!$D:$D,ДЕЛА!EJ$1,STATUS!$S:$S,"Согласовано")</f>
        <v>4</v>
      </c>
      <c r="EK5" s="306">
        <f>COUNTIFS(STATUS!$Q:$Q,ДЕЛА!$A5,STATUS!$D:$D,ДЕЛА!EJ$1)</f>
        <v>4</v>
      </c>
      <c r="EL5" s="589">
        <f t="shared" si="73"/>
        <v>1</v>
      </c>
      <c r="EM5" s="808">
        <f t="shared" si="9"/>
        <v>16</v>
      </c>
      <c r="EN5" s="600">
        <f t="shared" si="74"/>
        <v>0</v>
      </c>
      <c r="EO5" s="592">
        <f>COUNTIFS(STATUS!$Q:$Q,ДЕЛА!$A5,STATUS!$D:$D,ДЕЛА!EO$1,STATUS!$S:$S,"Согласовано")</f>
        <v>3</v>
      </c>
      <c r="EP5" s="306">
        <f>COUNTIFS(STATUS!$Q:$Q,ДЕЛА!$A5,STATUS!$D:$D,ДЕЛА!EO$1)</f>
        <v>3</v>
      </c>
      <c r="EQ5" s="589">
        <f t="shared" si="75"/>
        <v>1</v>
      </c>
      <c r="ER5" s="592">
        <f>COUNTIFS(STATUS!$Q:$Q,ДЕЛА!$A5,STATUS!$D:$D,ДЕЛА!ER$1,STATUS!$S:$S,"Согласовано")</f>
        <v>2</v>
      </c>
      <c r="ES5" s="306">
        <f>COUNTIFS(STATUS!$Q:$Q,ДЕЛА!$A5,STATUS!$D:$D,ДЕЛА!ER$1)</f>
        <v>2</v>
      </c>
      <c r="ET5" s="589">
        <f t="shared" si="76"/>
        <v>1</v>
      </c>
      <c r="EU5" s="592">
        <f>COUNTIFS(STATUS!$Q:$Q,ДЕЛА!$A5,STATUS!$D:$D,ДЕЛА!EU$1,STATUS!$S:$S,"Согласовано")</f>
        <v>0</v>
      </c>
      <c r="EV5" s="306">
        <f>COUNTIFS(STATUS!$Q:$Q,ДЕЛА!$A5,STATUS!$D:$D,ДЕЛА!EU$1)</f>
        <v>0</v>
      </c>
      <c r="EW5" s="589">
        <f t="shared" si="77"/>
        <v>1</v>
      </c>
      <c r="EX5" s="592">
        <f>COUNTIFS(STATUS!$Q:$Q,ДЕЛА!$A5,STATUS!$D:$D,ДЕЛА!EX$1,STATUS!$S:$S,"Согласовано")</f>
        <v>5</v>
      </c>
      <c r="EY5" s="306">
        <f>COUNTIFS(STATUS!$Q:$Q,ДЕЛА!$A5,STATUS!$D:$D,ДЕЛА!EX$1)</f>
        <v>5</v>
      </c>
      <c r="EZ5" s="589">
        <f t="shared" si="78"/>
        <v>1</v>
      </c>
      <c r="FA5" s="592">
        <f>COUNTIFS(STATUS!$Q:$Q,ДЕЛА!$A5,STATUS!$D:$D,ДЕЛА!FA$1,STATUS!$S:$S,"Согласовано")</f>
        <v>4</v>
      </c>
      <c r="FB5" s="306">
        <f>COUNTIFS(STATUS!$Q:$Q,ДЕЛА!$A5,STATUS!$D:$D,ДЕЛА!FA$1)</f>
        <v>4</v>
      </c>
      <c r="FC5" s="589">
        <f t="shared" si="79"/>
        <v>1</v>
      </c>
      <c r="FD5" s="808">
        <f t="shared" si="10"/>
        <v>14</v>
      </c>
      <c r="FE5" s="600">
        <f t="shared" si="80"/>
        <v>0</v>
      </c>
      <c r="FF5" s="592">
        <f>COUNTIFS(STATUS!$Q:$Q,ДЕЛА!$A5,STATUS!$D:$D,ДЕЛА!FF$1,STATUS!$S:$S,"Согласовано")</f>
        <v>2</v>
      </c>
      <c r="FG5" s="306">
        <f>COUNTIFS(STATUS!$Q:$Q,ДЕЛА!$A5,STATUS!$D:$D,ДЕЛА!FF$1)</f>
        <v>2</v>
      </c>
      <c r="FH5" s="589">
        <f t="shared" si="81"/>
        <v>1</v>
      </c>
      <c r="FI5" s="592">
        <f>COUNTIFS(STATUS!$Q:$Q,ДЕЛА!$A5,STATUS!$D:$D,ДЕЛА!FI$1,STATUS!$S:$S,"Согласовано")</f>
        <v>1</v>
      </c>
      <c r="FJ5" s="306">
        <f>COUNTIFS(STATUS!$Q:$Q,ДЕЛА!$A5,STATUS!$D:$D,ДЕЛА!FI$1)</f>
        <v>1</v>
      </c>
      <c r="FK5" s="589">
        <f t="shared" si="82"/>
        <v>1</v>
      </c>
      <c r="FL5" s="592">
        <f>COUNTIFS(STATUS!$Q:$Q,ДЕЛА!$A5,STATUS!$D:$D,ДЕЛА!FL$1,STATUS!$S:$S,"Согласовано")</f>
        <v>3</v>
      </c>
      <c r="FM5" s="306">
        <f>COUNTIFS(STATUS!$Q:$Q,ДЕЛА!$A5,STATUS!$D:$D,ДЕЛА!FL$1)</f>
        <v>3</v>
      </c>
      <c r="FN5" s="589">
        <f t="shared" si="83"/>
        <v>1</v>
      </c>
      <c r="FO5" s="592">
        <f>COUNTIFS(STATUS!$Q:$Q,ДЕЛА!$A5,STATUS!$D:$D,ДЕЛА!FO$1,STATUS!$S:$S,"Согласовано")</f>
        <v>4</v>
      </c>
      <c r="FP5" s="306">
        <f>COUNTIFS(STATUS!$Q:$Q,ДЕЛА!$A5,STATUS!$D:$D,ДЕЛА!FO$1)</f>
        <v>4</v>
      </c>
      <c r="FQ5" s="589">
        <f t="shared" si="84"/>
        <v>1</v>
      </c>
      <c r="FR5" s="592">
        <f>COUNTIFS(STATUS!$Q:$Q,ДЕЛА!$A5,STATUS!$D:$D,ДЕЛА!FR$1,STATUS!$S:$S,"Согласовано")</f>
        <v>4</v>
      </c>
      <c r="FS5" s="306">
        <f>COUNTIFS(STATUS!$Q:$Q,ДЕЛА!$A5,STATUS!$D:$D,ДЕЛА!FR$1)</f>
        <v>4</v>
      </c>
      <c r="FT5" s="589">
        <f t="shared" si="85"/>
        <v>1</v>
      </c>
      <c r="FU5" s="808">
        <f t="shared" si="11"/>
        <v>14</v>
      </c>
      <c r="FV5" s="600">
        <f t="shared" si="86"/>
        <v>0</v>
      </c>
      <c r="FW5" s="592">
        <f>COUNTIFS(STATUS!$Q:$Q,ДЕЛА!$A5,STATUS!$D:$D,ДЕЛА!FW$1,STATUS!$S:$S,"Согласовано")</f>
        <v>1</v>
      </c>
      <c r="FX5" s="306">
        <f>COUNTIFS(STATUS!$Q:$Q,ДЕЛА!$A5,STATUS!$D:$D,ДЕЛА!FW$1)</f>
        <v>1</v>
      </c>
      <c r="FY5" s="589">
        <f t="shared" si="87"/>
        <v>1</v>
      </c>
      <c r="FZ5" s="592">
        <f>COUNTIFS(STATUS!$Q:$Q,ДЕЛА!$A5,STATUS!$D:$D,ДЕЛА!FZ$1,STATUS!$S:$S,"Согласовано")</f>
        <v>1</v>
      </c>
      <c r="GA5" s="306">
        <f>COUNTIFS(STATUS!$Q:$Q,ДЕЛА!$A5,STATUS!$D:$D,ДЕЛА!FZ$1)</f>
        <v>1</v>
      </c>
      <c r="GB5" s="589">
        <f t="shared" si="88"/>
        <v>1</v>
      </c>
      <c r="GC5" s="592">
        <f>COUNTIFS(STATUS!$Q:$Q,ДЕЛА!$A5,STATUS!$D:$D,ДЕЛА!GC$1,STATUS!$S:$S,"Согласовано")</f>
        <v>2</v>
      </c>
      <c r="GD5" s="306">
        <f>COUNTIFS(STATUS!$Q:$Q,ДЕЛА!$A5,STATUS!$D:$D,ДЕЛА!GC$1)</f>
        <v>2</v>
      </c>
      <c r="GE5" s="589">
        <f t="shared" si="89"/>
        <v>1</v>
      </c>
      <c r="GF5" s="592">
        <f>COUNTIFS(STATUS!$Q:$Q,ДЕЛА!$A5,STATUS!$D:$D,ДЕЛА!GF$1,STATUS!$S:$S,"Согласовано")</f>
        <v>5</v>
      </c>
      <c r="GG5" s="306">
        <f>COUNTIFS(STATUS!$Q:$Q,ДЕЛА!$A5,STATUS!$D:$D,ДЕЛА!GF$1)</f>
        <v>5</v>
      </c>
      <c r="GH5" s="589">
        <f t="shared" si="90"/>
        <v>1</v>
      </c>
      <c r="GI5" s="592">
        <f>COUNTIFS(STATUS!$Q:$Q,ДЕЛА!$A5,STATUS!$D:$D,ДЕЛА!GI$1,STATUS!$S:$S,"Согласовано")</f>
        <v>0</v>
      </c>
      <c r="GJ5" s="306">
        <f>COUNTIFS(STATUS!$Q:$Q,ДЕЛА!$A5,STATUS!$D:$D,ДЕЛА!GI$1)</f>
        <v>0</v>
      </c>
      <c r="GK5" s="589">
        <f t="shared" si="91"/>
        <v>1</v>
      </c>
      <c r="GL5" s="808">
        <f t="shared" si="12"/>
        <v>9</v>
      </c>
      <c r="GM5" s="600">
        <f t="shared" si="92"/>
        <v>0</v>
      </c>
      <c r="GN5" s="592">
        <f>COUNTIFS(STATUS!$Q:$Q,ДЕЛА!$A5,STATUS!$D:$D,ДЕЛА!GN$1,STATUS!$S:$S,"Согласовано")</f>
        <v>0</v>
      </c>
      <c r="GO5" s="306">
        <f>COUNTIFS(STATUS!$Q:$Q,ДЕЛА!$A5,STATUS!$D:$D,ДЕЛА!GN$1)</f>
        <v>0</v>
      </c>
      <c r="GP5" s="589">
        <f t="shared" si="93"/>
        <v>1</v>
      </c>
      <c r="GQ5" s="592">
        <f>COUNTIFS(STATUS!$Q:$Q,ДЕЛА!$A5,STATUS!$D:$D,ДЕЛА!GQ$1,STATUS!$S:$S,"Согласовано")</f>
        <v>1</v>
      </c>
      <c r="GR5" s="306">
        <f>COUNTIFS(STATUS!$Q:$Q,ДЕЛА!$A5,STATUS!$D:$D,ДЕЛА!GQ$1)</f>
        <v>1</v>
      </c>
      <c r="GS5" s="589">
        <f t="shared" si="94"/>
        <v>1</v>
      </c>
      <c r="GT5" s="592">
        <f>COUNTIFS(STATUS!$Q:$Q,ДЕЛА!$A5,STATUS!$D:$D,ДЕЛА!GT$1,STATUS!$S:$S,"Согласовано")</f>
        <v>1</v>
      </c>
      <c r="GU5" s="306">
        <f>COUNTIFS(STATUS!$Q:$Q,ДЕЛА!$A5,STATUS!$D:$D,ДЕЛА!GT$1)</f>
        <v>1</v>
      </c>
      <c r="GV5" s="589">
        <f t="shared" si="95"/>
        <v>1</v>
      </c>
      <c r="GW5" s="592">
        <f>COUNTIFS(STATUS!$Q:$Q,ДЕЛА!$A5,STATUS!$D:$D,ДЕЛА!GW$1,STATUS!$S:$S,"Согласовано")</f>
        <v>4</v>
      </c>
      <c r="GX5" s="306">
        <f>COUNTIFS(STATUS!$Q:$Q,ДЕЛА!$A5,STATUS!$D:$D,ДЕЛА!GW$1)</f>
        <v>4</v>
      </c>
      <c r="GY5" s="589">
        <f t="shared" si="96"/>
        <v>1</v>
      </c>
      <c r="GZ5" s="592">
        <f>COUNTIFS(STATUS!$Q:$Q,ДЕЛА!$A5,STATUS!$D:$D,ДЕЛА!GZ$1,STATUS!$S:$S,"Согласовано")</f>
        <v>4</v>
      </c>
      <c r="HA5" s="306">
        <f>COUNTIFS(STATUS!$Q:$Q,ДЕЛА!$A5,STATUS!$D:$D,ДЕЛА!GZ$1)</f>
        <v>4</v>
      </c>
      <c r="HB5" s="589">
        <f t="shared" si="97"/>
        <v>1</v>
      </c>
      <c r="HC5" s="808">
        <f t="shared" si="13"/>
        <v>10</v>
      </c>
      <c r="HD5" s="600">
        <f t="shared" si="98"/>
        <v>0</v>
      </c>
      <c r="HE5" s="592">
        <f>COUNTIFS(STATUS!$Q:$Q,ДЕЛА!$A5,STATUS!$D:$D,ДЕЛА!HE$1,STATUS!$S:$S,"Согласовано")</f>
        <v>3</v>
      </c>
      <c r="HF5" s="306">
        <f>COUNTIFS(STATUS!$Q:$Q,ДЕЛА!$A5,STATUS!$D:$D,ДЕЛА!HE$1)</f>
        <v>3</v>
      </c>
      <c r="HG5" s="589">
        <f t="shared" si="99"/>
        <v>1</v>
      </c>
      <c r="HH5" s="592">
        <f>COUNTIFS(STATUS!$Q:$Q,ДЕЛА!$A5,STATUS!$D:$D,ДЕЛА!HH$1,STATUS!$S:$S,"Согласовано")</f>
        <v>3</v>
      </c>
      <c r="HI5" s="306">
        <f>COUNTIFS(STATUS!$Q:$Q,ДЕЛА!$A5,STATUS!$D:$D,ДЕЛА!HH$1)</f>
        <v>3</v>
      </c>
      <c r="HJ5" s="589">
        <f t="shared" si="100"/>
        <v>1</v>
      </c>
      <c r="HK5" s="592">
        <f>COUNTIFS(STATUS!$Q:$Q,ДЕЛА!$A5,STATUS!$D:$D,ДЕЛА!HK$1,STATUS!$S:$S,"Согласовано")</f>
        <v>6</v>
      </c>
      <c r="HL5" s="306">
        <f>COUNTIFS(STATUS!$Q:$Q,ДЕЛА!$A5,STATUS!$D:$D,ДЕЛА!HK$1)</f>
        <v>6</v>
      </c>
      <c r="HM5" s="589">
        <f t="shared" si="101"/>
        <v>1</v>
      </c>
      <c r="HN5" s="592">
        <f>COUNTIFS(STATUS!$Q:$Q,ДЕЛА!$A5,STATUS!$D:$D,ДЕЛА!HN$1,STATUS!$S:$S,"Согласовано")</f>
        <v>4</v>
      </c>
      <c r="HO5" s="306">
        <f>COUNTIFS(STATUS!$Q:$Q,ДЕЛА!$A5,STATUS!$D:$D,ДЕЛА!HN$1)</f>
        <v>4</v>
      </c>
      <c r="HP5" s="589">
        <f t="shared" si="102"/>
        <v>1</v>
      </c>
      <c r="HQ5" s="592">
        <f>COUNTIFS(STATUS!$Q:$Q,ДЕЛА!$A5,STATUS!$D:$D,ДЕЛА!HQ$1,STATUS!$S:$S,"Согласовано")</f>
        <v>4</v>
      </c>
      <c r="HR5" s="306">
        <f>COUNTIFS(STATUS!$Q:$Q,ДЕЛА!$A5,STATUS!$D:$D,ДЕЛА!HQ$1)</f>
        <v>4</v>
      </c>
      <c r="HS5" s="589">
        <f t="shared" si="103"/>
        <v>1</v>
      </c>
      <c r="HT5" s="808">
        <f t="shared" si="14"/>
        <v>20</v>
      </c>
      <c r="HU5" s="600">
        <f t="shared" si="104"/>
        <v>0</v>
      </c>
      <c r="HV5" s="592">
        <f>COUNTIFS(STATUS!$Q:$Q,ДЕЛА!$A5,STATUS!$D:$D,ДЕЛА!HV$1,STATUS!$S:$S,"Согласовано")</f>
        <v>0</v>
      </c>
      <c r="HW5" s="306">
        <f>COUNTIFS(STATUS!$Q:$Q,ДЕЛА!$A5,STATUS!$D:$D,ДЕЛА!HV$1)</f>
        <v>0</v>
      </c>
      <c r="HX5" s="589">
        <f t="shared" si="105"/>
        <v>1</v>
      </c>
      <c r="HY5" s="592">
        <f>COUNTIFS(STATUS!$Q:$Q,ДЕЛА!$A5,STATUS!$D:$D,ДЕЛА!HY$1,STATUS!$S:$S,"Согласовано")</f>
        <v>0</v>
      </c>
      <c r="HZ5" s="306">
        <f>COUNTIFS(STATUS!$Q:$Q,ДЕЛА!$A5,STATUS!$D:$D,ДЕЛА!HY$1)</f>
        <v>0</v>
      </c>
      <c r="IA5" s="589">
        <f t="shared" si="106"/>
        <v>1</v>
      </c>
      <c r="IB5" s="592">
        <f>COUNTIFS(STATUS!$Q:$Q,ДЕЛА!$A5,STATUS!$D:$D,ДЕЛА!IB$1,STATUS!$S:$S,"Согласовано")</f>
        <v>0</v>
      </c>
      <c r="IC5" s="306">
        <f>COUNTIFS(STATUS!$Q:$Q,ДЕЛА!$A5,STATUS!$D:$D,ДЕЛА!IB$1)</f>
        <v>0</v>
      </c>
      <c r="ID5" s="589">
        <f t="shared" si="107"/>
        <v>1</v>
      </c>
      <c r="IE5" s="592">
        <f>COUNTIFS(STATUS!$Q:$Q,ДЕЛА!$A5,STATUS!$D:$D,ДЕЛА!IE$1,STATUS!$S:$S,"Согласовано")</f>
        <v>0</v>
      </c>
      <c r="IF5" s="306">
        <f>COUNTIFS(STATUS!$Q:$Q,ДЕЛА!$A5,STATUS!$D:$D,ДЕЛА!IE$1)</f>
        <v>0</v>
      </c>
      <c r="IG5" s="589">
        <f t="shared" si="108"/>
        <v>1</v>
      </c>
      <c r="IH5" s="592">
        <f>COUNTIFS(STATUS!$Q:$Q,ДЕЛА!$A5,STATUS!$D:$D,ДЕЛА!IH$1,STATUS!$S:$S,"Согласовано")</f>
        <v>0</v>
      </c>
      <c r="II5" s="306">
        <f>COUNTIFS(STATUS!$Q:$Q,ДЕЛА!$A5,STATUS!$D:$D,ДЕЛА!IH$1)</f>
        <v>0</v>
      </c>
      <c r="IJ5" s="589">
        <f t="shared" si="109"/>
        <v>1</v>
      </c>
      <c r="IK5" s="808">
        <f t="shared" si="15"/>
        <v>0</v>
      </c>
      <c r="IL5" s="600">
        <f t="shared" si="110"/>
        <v>0</v>
      </c>
      <c r="IM5" s="592">
        <f>COUNTIFS(STATUS!$Q:$Q,ДЕЛА!$A5,STATUS!$D:$D,ДЕЛА!IM$1,STATUS!$S:$S,"Согласовано")</f>
        <v>0</v>
      </c>
      <c r="IN5" s="306">
        <f>COUNTIFS(STATUS!$Q:$Q,ДЕЛА!$A5,STATUS!$D:$D,ДЕЛА!IM$1)</f>
        <v>0</v>
      </c>
      <c r="IO5" s="589">
        <f t="shared" si="111"/>
        <v>1</v>
      </c>
      <c r="IP5" s="592">
        <f>COUNTIFS(STATUS!$Q:$Q,ДЕЛА!$A5,STATUS!$D:$D,ДЕЛА!IP$1,STATUS!$S:$S,"Согласовано")</f>
        <v>0</v>
      </c>
      <c r="IQ5" s="306">
        <f>COUNTIFS(STATUS!$Q:$Q,ДЕЛА!$A5,STATUS!$D:$D,ДЕЛА!IP$1)</f>
        <v>0</v>
      </c>
      <c r="IR5" s="589">
        <f t="shared" si="112"/>
        <v>1</v>
      </c>
      <c r="IS5" s="592">
        <f>COUNTIFS(STATUS!$Q:$Q,ДЕЛА!$A5,STATUS!$D:$D,ДЕЛА!IS$1,STATUS!$S:$S,"Согласовано")</f>
        <v>0</v>
      </c>
      <c r="IT5" s="306">
        <f>COUNTIFS(STATUS!$Q:$Q,ДЕЛА!$A5,STATUS!$D:$D,ДЕЛА!IS$1)</f>
        <v>0</v>
      </c>
      <c r="IU5" s="589">
        <f t="shared" si="113"/>
        <v>1</v>
      </c>
      <c r="IV5" s="592">
        <f>COUNTIFS(STATUS!$Q:$Q,ДЕЛА!$A5,STATUS!$D:$D,ДЕЛА!IV$1,STATUS!$S:$S,"Согласовано")</f>
        <v>0</v>
      </c>
      <c r="IW5" s="306">
        <f>COUNTIFS(STATUS!$Q:$Q,ДЕЛА!$A5,STATUS!$D:$D,ДЕЛА!IV$1)</f>
        <v>0</v>
      </c>
      <c r="IX5" s="589">
        <f t="shared" si="114"/>
        <v>1</v>
      </c>
      <c r="IY5" s="592">
        <f>COUNTIFS(STATUS!$Q:$Q,ДЕЛА!$A5,STATUS!$D:$D,ДЕЛА!IY$1,STATUS!$S:$S,"Согласовано")</f>
        <v>0</v>
      </c>
      <c r="IZ5" s="306">
        <f>COUNTIFS(STATUS!$Q:$Q,ДЕЛА!$A5,STATUS!$D:$D,ДЕЛА!IY$1)</f>
        <v>0</v>
      </c>
      <c r="JA5" s="589">
        <f t="shared" si="115"/>
        <v>1</v>
      </c>
      <c r="JB5" s="808">
        <f t="shared" si="16"/>
        <v>0</v>
      </c>
      <c r="JC5" s="600">
        <f t="shared" si="116"/>
        <v>0</v>
      </c>
      <c r="JD5" s="592">
        <f>COUNTIFS(STATUS!$Q:$Q,ДЕЛА!$A5,STATUS!$D:$D,ДЕЛА!JD$1,STATUS!$S:$S,"Согласовано")</f>
        <v>0</v>
      </c>
      <c r="JE5" s="306">
        <f>COUNTIFS(STATUS!$Q:$Q,ДЕЛА!$A5,STATUS!$D:$D,ДЕЛА!JD$1)</f>
        <v>0</v>
      </c>
      <c r="JF5" s="589">
        <f t="shared" si="117"/>
        <v>1</v>
      </c>
      <c r="JG5" s="592">
        <f>COUNTIFS(STATUS!$Q:$Q,ДЕЛА!$A5,STATUS!$D:$D,ДЕЛА!JG$1,STATUS!$S:$S,"Согласовано")</f>
        <v>4</v>
      </c>
      <c r="JH5" s="306">
        <f>COUNTIFS(STATUS!$Q:$Q,ДЕЛА!$A5,STATUS!$D:$D,ДЕЛА!JG$1)</f>
        <v>4</v>
      </c>
      <c r="JI5" s="589">
        <f t="shared" si="118"/>
        <v>1</v>
      </c>
      <c r="JJ5" s="592">
        <f>COUNTIFS(STATUS!$Q:$Q,ДЕЛА!$A5,STATUS!$D:$D,ДЕЛА!JJ$1,STATUS!$S:$S,"Согласовано")</f>
        <v>3</v>
      </c>
      <c r="JK5" s="306">
        <f>COUNTIFS(STATUS!$Q:$Q,ДЕЛА!$A5,STATUS!$D:$D,ДЕЛА!JJ$1)</f>
        <v>3</v>
      </c>
      <c r="JL5" s="589">
        <f t="shared" si="119"/>
        <v>1</v>
      </c>
      <c r="JM5" s="592">
        <f>COUNTIFS(STATUS!$Q:$Q,ДЕЛА!$A5,STATUS!$D:$D,ДЕЛА!JM$1,STATUS!$S:$S,"Согласовано")</f>
        <v>3</v>
      </c>
      <c r="JN5" s="306">
        <f>COUNTIFS(STATUS!$Q:$Q,ДЕЛА!$A5,STATUS!$D:$D,ДЕЛА!JM$1)</f>
        <v>3</v>
      </c>
      <c r="JO5" s="589">
        <f t="shared" si="120"/>
        <v>1</v>
      </c>
      <c r="JP5" s="592">
        <f>COUNTIFS(STATUS!$Q:$Q,ДЕЛА!$A5,STATUS!$D:$D,ДЕЛА!JP$1,STATUS!$S:$S,"Согласовано")</f>
        <v>3</v>
      </c>
      <c r="JQ5" s="306">
        <f>COUNTIFS(STATUS!$Q:$Q,ДЕЛА!$A5,STATUS!$D:$D,ДЕЛА!JP$1)</f>
        <v>3</v>
      </c>
      <c r="JR5" s="589">
        <f t="shared" si="121"/>
        <v>1</v>
      </c>
      <c r="JS5" s="808">
        <f t="shared" si="17"/>
        <v>13</v>
      </c>
      <c r="JT5" s="600">
        <f t="shared" si="122"/>
        <v>0</v>
      </c>
      <c r="JU5" s="592">
        <f>COUNTIFS(STATUS!$Q:$Q,ДЕЛА!$A5,STATUS!$D:$D,ДЕЛА!JU$1,STATUS!$S:$S,"Согласовано")</f>
        <v>3</v>
      </c>
      <c r="JV5" s="306">
        <f>COUNTIFS(STATUS!$Q:$Q,ДЕЛА!$A5,STATUS!$D:$D,ДЕЛА!JU$1)</f>
        <v>3</v>
      </c>
      <c r="JW5" s="589">
        <f t="shared" si="123"/>
        <v>1</v>
      </c>
      <c r="JX5" s="592">
        <f>COUNTIFS(STATUS!$Q:$Q,ДЕЛА!$A5,STATUS!$D:$D,ДЕЛА!JX$1,STATUS!$S:$S,"Согласовано")</f>
        <v>3</v>
      </c>
      <c r="JY5" s="306">
        <f>COUNTIFS(STATUS!$Q:$Q,ДЕЛА!$A5,STATUS!$D:$D,ДЕЛА!JX$1)</f>
        <v>3</v>
      </c>
      <c r="JZ5" s="589">
        <f t="shared" si="124"/>
        <v>1</v>
      </c>
      <c r="KA5" s="592">
        <f>COUNTIFS(STATUS!$Q:$Q,ДЕЛА!$A5,STATUS!$D:$D,ДЕЛА!KA$1,STATUS!$S:$S,"Согласовано")</f>
        <v>2</v>
      </c>
      <c r="KB5" s="306">
        <f>COUNTIFS(STATUS!$Q:$Q,ДЕЛА!$A5,STATUS!$D:$D,ДЕЛА!KA$1)</f>
        <v>2</v>
      </c>
      <c r="KC5" s="589">
        <f t="shared" si="125"/>
        <v>1</v>
      </c>
      <c r="KD5" s="592">
        <f>COUNTIFS(STATUS!$Q:$Q,ДЕЛА!$A5,STATUS!$D:$D,ДЕЛА!KD$1,STATUS!$S:$S,"Согласовано")</f>
        <v>5</v>
      </c>
      <c r="KE5" s="306">
        <f>COUNTIFS(STATUS!$Q:$Q,ДЕЛА!$A5,STATUS!$D:$D,ДЕЛА!KD$1)</f>
        <v>5</v>
      </c>
      <c r="KF5" s="589">
        <f t="shared" si="126"/>
        <v>1</v>
      </c>
      <c r="KG5" s="592">
        <f>COUNTIFS(STATUS!$Q:$Q,ДЕЛА!$A5,STATUS!$D:$D,ДЕЛА!KG$1,STATUS!$S:$S,"Согласовано")</f>
        <v>2</v>
      </c>
      <c r="KH5" s="306">
        <f>COUNTIFS(STATUS!$Q:$Q,ДЕЛА!$A5,STATUS!$D:$D,ДЕЛА!KG$1)</f>
        <v>2</v>
      </c>
      <c r="KI5" s="589">
        <f t="shared" si="127"/>
        <v>1</v>
      </c>
      <c r="KJ5" s="808">
        <f t="shared" si="18"/>
        <v>15</v>
      </c>
      <c r="KK5" s="600">
        <f t="shared" si="128"/>
        <v>0</v>
      </c>
      <c r="KL5" s="592">
        <f>COUNTIFS(STATUS!$Q:$Q,ДЕЛА!$A5,STATUS!$D:$D,ДЕЛА!KL$1,STATUS!$S:$S,"Согласовано")</f>
        <v>3</v>
      </c>
      <c r="KM5" s="306">
        <f>COUNTIFS(STATUS!$Q:$Q,ДЕЛА!$A5,STATUS!$D:$D,ДЕЛА!KL$1)</f>
        <v>3</v>
      </c>
      <c r="KN5" s="589">
        <f t="shared" si="129"/>
        <v>1</v>
      </c>
      <c r="KO5" s="592">
        <f>COUNTIFS(STATUS!$Q:$Q,ДЕЛА!$A5,STATUS!$D:$D,ДЕЛА!KO$1,STATUS!$S:$S,"Согласовано")</f>
        <v>3</v>
      </c>
      <c r="KP5" s="306">
        <f>COUNTIFS(STATUS!$Q:$Q,ДЕЛА!$A5,STATUS!$D:$D,ДЕЛА!KO$1)</f>
        <v>3</v>
      </c>
      <c r="KQ5" s="589">
        <f t="shared" si="130"/>
        <v>1</v>
      </c>
      <c r="KR5" s="592">
        <f>COUNTIFS(STATUS!$Q:$Q,ДЕЛА!$A5,STATUS!$D:$D,ДЕЛА!KR$1,STATUS!$S:$S,"Согласовано")</f>
        <v>4</v>
      </c>
      <c r="KS5" s="306">
        <f>COUNTIFS(STATUS!$Q:$Q,ДЕЛА!$A5,STATUS!$D:$D,ДЕЛА!KR$1)</f>
        <v>4</v>
      </c>
      <c r="KT5" s="589">
        <f t="shared" si="131"/>
        <v>1</v>
      </c>
      <c r="KU5" s="592">
        <f>COUNTIFS(STATUS!$Q:$Q,ДЕЛА!$A5,STATUS!$D:$D,ДЕЛА!KU$1,STATUS!$S:$S,"Согласовано")</f>
        <v>3</v>
      </c>
      <c r="KV5" s="306">
        <f>COUNTIFS(STATUS!$Q:$Q,ДЕЛА!$A5,STATUS!$D:$D,ДЕЛА!KU$1)</f>
        <v>3</v>
      </c>
      <c r="KW5" s="589">
        <f t="shared" si="132"/>
        <v>1</v>
      </c>
      <c r="KX5" s="592">
        <f>COUNTIFS(STATUS!$Q:$Q,ДЕЛА!$A5,STATUS!$D:$D,ДЕЛА!KX$1,STATUS!$S:$S,"Согласовано")</f>
        <v>2</v>
      </c>
      <c r="KY5" s="306">
        <f>COUNTIFS(STATUS!$Q:$Q,ДЕЛА!$A5,STATUS!$D:$D,ДЕЛА!KX$1)</f>
        <v>2</v>
      </c>
      <c r="KZ5" s="589">
        <f t="shared" si="133"/>
        <v>1</v>
      </c>
      <c r="LA5" s="808">
        <f t="shared" si="19"/>
        <v>15</v>
      </c>
      <c r="LB5" s="600">
        <f t="shared" si="134"/>
        <v>0</v>
      </c>
      <c r="LC5" s="592">
        <f>COUNTIFS(STATUS!$Q:$Q,ДЕЛА!$A5,STATUS!$D:$D,ДЕЛА!LC$1,STATUS!$S:$S,"Согласовано")</f>
        <v>0</v>
      </c>
      <c r="LD5" s="306">
        <f>COUNTIFS(STATUS!$Q:$Q,ДЕЛА!$A5,STATUS!$D:$D,ДЕЛА!LC$1)</f>
        <v>0</v>
      </c>
      <c r="LE5" s="589">
        <f t="shared" si="135"/>
        <v>1</v>
      </c>
      <c r="LF5" s="592">
        <f>COUNTIFS(STATUS!$Q:$Q,ДЕЛА!$A5,STATUS!$D:$D,ДЕЛА!LF$1,STATUS!$S:$S,"Согласовано")</f>
        <v>0</v>
      </c>
      <c r="LG5" s="306">
        <f>COUNTIFS(STATUS!$Q:$Q,ДЕЛА!$A5,STATUS!$D:$D,ДЕЛА!LF$1)</f>
        <v>0</v>
      </c>
      <c r="LH5" s="589">
        <f t="shared" si="136"/>
        <v>1</v>
      </c>
      <c r="LI5" s="592">
        <f>COUNTIFS(STATUS!$Q:$Q,ДЕЛА!$A5,STATUS!$D:$D,ДЕЛА!LI$1,STATUS!$S:$S,"Согласовано")</f>
        <v>0</v>
      </c>
      <c r="LJ5" s="306">
        <f>COUNTIFS(STATUS!$Q:$Q,ДЕЛА!$A5,STATUS!$D:$D,ДЕЛА!LI$1)</f>
        <v>0</v>
      </c>
      <c r="LK5" s="589">
        <f t="shared" si="137"/>
        <v>1</v>
      </c>
      <c r="LL5" s="592">
        <f>COUNTIFS(STATUS!$Q:$Q,ДЕЛА!$A5,STATUS!$D:$D,ДЕЛА!LL$1,STATUS!$S:$S,"Согласовано")</f>
        <v>0</v>
      </c>
      <c r="LM5" s="306">
        <f>COUNTIFS(STATUS!$Q:$Q,ДЕЛА!$A5,STATUS!$D:$D,ДЕЛА!LL$1)</f>
        <v>0</v>
      </c>
      <c r="LN5" s="589">
        <f t="shared" si="138"/>
        <v>1</v>
      </c>
      <c r="LO5" s="592">
        <f>COUNTIFS(STATUS!$Q:$Q,ДЕЛА!$A5,STATUS!$D:$D,ДЕЛА!LO$1,STATUS!$S:$S,"Согласовано")</f>
        <v>0</v>
      </c>
      <c r="LP5" s="306">
        <f>COUNTIFS(STATUS!$Q:$Q,ДЕЛА!$A5,STATUS!$D:$D,ДЕЛА!LO$1)</f>
        <v>0</v>
      </c>
      <c r="LQ5" s="589">
        <f t="shared" si="139"/>
        <v>1</v>
      </c>
      <c r="LR5" s="808">
        <f t="shared" si="20"/>
        <v>0</v>
      </c>
      <c r="LS5" s="600">
        <f t="shared" si="140"/>
        <v>0</v>
      </c>
      <c r="LT5" s="592">
        <f>COUNTIFS(STATUS!$Q:$Q,ДЕЛА!$A5,STATUS!$D:$D,ДЕЛА!LT$1,STATUS!$S:$S,"Согласовано")</f>
        <v>0</v>
      </c>
      <c r="LU5" s="306">
        <f>COUNTIFS(STATUS!$Q:$Q,ДЕЛА!$A5,STATUS!$D:$D,ДЕЛА!LT$1)</f>
        <v>0</v>
      </c>
      <c r="LV5" s="589">
        <f t="shared" si="141"/>
        <v>1</v>
      </c>
      <c r="LW5" s="592">
        <f>COUNTIFS(STATUS!$Q:$Q,ДЕЛА!$A5,STATUS!$D:$D,ДЕЛА!LW$1,STATUS!$S:$S,"Согласовано")</f>
        <v>0</v>
      </c>
      <c r="LX5" s="306">
        <f>COUNTIFS(STATUS!$Q:$Q,ДЕЛА!$A5,STATUS!$D:$D,ДЕЛА!LW$1)</f>
        <v>0</v>
      </c>
      <c r="LY5" s="589">
        <f t="shared" si="142"/>
        <v>1</v>
      </c>
      <c r="LZ5" s="592">
        <f>COUNTIFS(STATUS!$Q:$Q,ДЕЛА!$A5,STATUS!$D:$D,ДЕЛА!LZ$1,STATUS!$S:$S,"Согласовано")</f>
        <v>0</v>
      </c>
      <c r="MA5" s="306">
        <f>COUNTIFS(STATUS!$Q:$Q,ДЕЛА!$A5,STATUS!$D:$D,ДЕЛА!LZ$1)</f>
        <v>0</v>
      </c>
      <c r="MB5" s="589">
        <f t="shared" si="143"/>
        <v>1</v>
      </c>
      <c r="MC5" s="592">
        <f>COUNTIFS(STATUS!$Q:$Q,ДЕЛА!$A5,STATUS!$D:$D,ДЕЛА!MC$1,STATUS!$S:$S,"Согласовано")</f>
        <v>0</v>
      </c>
      <c r="MD5" s="306">
        <f>COUNTIFS(STATUS!$Q:$Q,ДЕЛА!$A5,STATUS!$D:$D,ДЕЛА!MC$1)</f>
        <v>0</v>
      </c>
      <c r="ME5" s="589">
        <f t="shared" si="144"/>
        <v>1</v>
      </c>
      <c r="MF5" s="592">
        <f>COUNTIFS(STATUS!$Q:$Q,ДЕЛА!$A5,STATUS!$D:$D,ДЕЛА!MF$1,STATUS!$S:$S,"Согласовано")</f>
        <v>0</v>
      </c>
      <c r="MG5" s="306">
        <f>COUNTIFS(STATUS!$Q:$Q,ДЕЛА!$A5,STATUS!$D:$D,ДЕЛА!MF$1)</f>
        <v>0</v>
      </c>
      <c r="MH5" s="589">
        <f t="shared" si="145"/>
        <v>1</v>
      </c>
      <c r="MI5" s="808">
        <f t="shared" si="21"/>
        <v>0</v>
      </c>
      <c r="MJ5" s="600">
        <f t="shared" si="146"/>
        <v>0</v>
      </c>
      <c r="MK5" s="592">
        <f>COUNTIFS(STATUS!$Q:$Q,ДЕЛА!$A5,STATUS!$D:$D,ДЕЛА!MK$1,STATUS!$S:$S,"Согласовано")</f>
        <v>0</v>
      </c>
      <c r="ML5" s="306">
        <f>COUNTIFS(STATUS!$Q:$Q,ДЕЛА!$A5,STATUS!$D:$D,ДЕЛА!MK$1)</f>
        <v>0</v>
      </c>
      <c r="MM5" s="589">
        <f t="shared" si="147"/>
        <v>1</v>
      </c>
      <c r="MN5" s="592">
        <f>COUNTIFS(STATUS!$Q:$Q,ДЕЛА!$A5,STATUS!$D:$D,ДЕЛА!MN$1,STATUS!$S:$S,"Согласовано")</f>
        <v>0</v>
      </c>
      <c r="MO5" s="306">
        <f>COUNTIFS(STATUS!$Q:$Q,ДЕЛА!$A5,STATUS!$D:$D,ДЕЛА!MN$1)</f>
        <v>0</v>
      </c>
      <c r="MP5" s="589">
        <f t="shared" si="148"/>
        <v>1</v>
      </c>
      <c r="MQ5" s="592">
        <f>COUNTIFS(STATUS!$Q:$Q,ДЕЛА!$A5,STATUS!$D:$D,ДЕЛА!MQ$1,STATUS!$S:$S,"Согласовано")</f>
        <v>0</v>
      </c>
      <c r="MR5" s="306">
        <f>COUNTIFS(STATUS!$Q:$Q,ДЕЛА!$A5,STATUS!$D:$D,ДЕЛА!MQ$1)</f>
        <v>0</v>
      </c>
      <c r="MS5" s="589">
        <f t="shared" si="149"/>
        <v>1</v>
      </c>
      <c r="MT5" s="592">
        <f>COUNTIFS(STATUS!$Q:$Q,ДЕЛА!$A5,STATUS!$D:$D,ДЕЛА!MT$1,STATUS!$S:$S,"Согласовано")</f>
        <v>0</v>
      </c>
      <c r="MU5" s="306">
        <f>COUNTIFS(STATUS!$Q:$Q,ДЕЛА!$A5,STATUS!$D:$D,ДЕЛА!MT$1)</f>
        <v>0</v>
      </c>
      <c r="MV5" s="589">
        <f t="shared" si="150"/>
        <v>1</v>
      </c>
      <c r="MW5" s="592">
        <f>COUNTIFS(STATUS!$Q:$Q,ДЕЛА!$A5,STATUS!$D:$D,ДЕЛА!MW$1,STATUS!$S:$S,"Согласовано")</f>
        <v>0</v>
      </c>
      <c r="MX5" s="306">
        <f>COUNTIFS(STATUS!$Q:$Q,ДЕЛА!$A5,STATUS!$D:$D,ДЕЛА!MW$1)</f>
        <v>0</v>
      </c>
      <c r="MY5" s="589">
        <f t="shared" si="151"/>
        <v>1</v>
      </c>
      <c r="MZ5" s="808">
        <f t="shared" si="22"/>
        <v>0</v>
      </c>
      <c r="NA5" s="600">
        <f t="shared" si="152"/>
        <v>0</v>
      </c>
      <c r="NB5" s="592">
        <f>COUNTIFS(STATUS!$Q:$Q,ДЕЛА!$A5,STATUS!$D:$D,ДЕЛА!NB$1,STATUS!$S:$S,"Согласовано")</f>
        <v>0</v>
      </c>
      <c r="NC5" s="306">
        <f>COUNTIFS(STATUS!$Q:$Q,ДЕЛА!$A5,STATUS!$D:$D,ДЕЛА!NB$1)</f>
        <v>0</v>
      </c>
      <c r="ND5" s="589">
        <f t="shared" si="153"/>
        <v>1</v>
      </c>
      <c r="NE5" s="592">
        <f>COUNTIFS(STATUS!$Q:$Q,ДЕЛА!$A5,STATUS!$D:$D,ДЕЛА!NE$1,STATUS!$S:$S,"Согласовано")</f>
        <v>0</v>
      </c>
      <c r="NF5" s="306">
        <f>COUNTIFS(STATUS!$Q:$Q,ДЕЛА!$A5,STATUS!$D:$D,ДЕЛА!NE$1)</f>
        <v>0</v>
      </c>
      <c r="NG5" s="589">
        <f t="shared" si="154"/>
        <v>1</v>
      </c>
      <c r="NH5" s="592">
        <f>COUNTIFS(STATUS!$Q:$Q,ДЕЛА!$A5,STATUS!$D:$D,ДЕЛА!NH$1,STATUS!$S:$S,"Согласовано")</f>
        <v>0</v>
      </c>
      <c r="NI5" s="306">
        <f>COUNTIFS(STATUS!$Q:$Q,ДЕЛА!$A5,STATUS!$D:$D,ДЕЛА!NH$1)</f>
        <v>0</v>
      </c>
      <c r="NJ5" s="589">
        <f t="shared" si="155"/>
        <v>1</v>
      </c>
      <c r="NK5" s="592">
        <f>COUNTIFS(STATUS!$Q:$Q,ДЕЛА!$A5,STATUS!$D:$D,ДЕЛА!NK$1,STATUS!$S:$S,"Согласовано")</f>
        <v>0</v>
      </c>
      <c r="NL5" s="306">
        <f>COUNTIFS(STATUS!$Q:$Q,ДЕЛА!$A5,STATUS!$D:$D,ДЕЛА!NK$1)</f>
        <v>0</v>
      </c>
      <c r="NM5" s="589">
        <f t="shared" si="156"/>
        <v>1</v>
      </c>
      <c r="NN5" s="592">
        <f>COUNTIFS(STATUS!$Q:$Q,ДЕЛА!$A5,STATUS!$D:$D,ДЕЛА!NN$1,STATUS!$S:$S,"Согласовано")</f>
        <v>0</v>
      </c>
      <c r="NO5" s="306">
        <f>COUNTIFS(STATUS!$Q:$Q,ДЕЛА!$A5,STATUS!$D:$D,ДЕЛА!NN$1)</f>
        <v>0</v>
      </c>
      <c r="NP5" s="589">
        <f t="shared" si="157"/>
        <v>1</v>
      </c>
      <c r="NQ5" s="808">
        <f t="shared" si="23"/>
        <v>0</v>
      </c>
      <c r="NR5" s="600">
        <f t="shared" si="158"/>
        <v>0</v>
      </c>
      <c r="NS5" s="592">
        <f>COUNTIFS(STATUS!$Q:$Q,ДЕЛА!$A5,STATUS!$D:$D,ДЕЛА!NS$1,STATUS!$S:$S,"Согласовано")</f>
        <v>0</v>
      </c>
      <c r="NT5" s="306">
        <f>COUNTIFS(STATUS!$Q:$Q,ДЕЛА!$A5,STATUS!$D:$D,ДЕЛА!NS$1)</f>
        <v>0</v>
      </c>
      <c r="NU5" s="589">
        <f t="shared" si="159"/>
        <v>1</v>
      </c>
      <c r="NV5" s="592">
        <f>COUNTIFS(STATUS!$Q:$Q,ДЕЛА!$A5,STATUS!$D:$D,ДЕЛА!NV$1,STATUS!$S:$S,"Согласовано")</f>
        <v>0</v>
      </c>
      <c r="NW5" s="306">
        <f>COUNTIFS(STATUS!$Q:$Q,ДЕЛА!$A5,STATUS!$D:$D,ДЕЛА!NV$1)</f>
        <v>0</v>
      </c>
      <c r="NX5" s="589">
        <f t="shared" si="160"/>
        <v>1</v>
      </c>
      <c r="NY5" s="592">
        <f>COUNTIFS(STATUS!$Q:$Q,ДЕЛА!$A5,STATUS!$D:$D,ДЕЛА!NY$1,STATUS!$S:$S,"Согласовано")</f>
        <v>0</v>
      </c>
      <c r="NZ5" s="306">
        <f>COUNTIFS(STATUS!$Q:$Q,ДЕЛА!$A5,STATUS!$D:$D,ДЕЛА!NY$1)</f>
        <v>0</v>
      </c>
      <c r="OA5" s="589">
        <f t="shared" si="161"/>
        <v>1</v>
      </c>
      <c r="OB5" s="592">
        <f>COUNTIFS(STATUS!$Q:$Q,ДЕЛА!$A5,STATUS!$D:$D,ДЕЛА!OB$1,STATUS!$S:$S,"Согласовано")</f>
        <v>0</v>
      </c>
      <c r="OC5" s="306">
        <f>COUNTIFS(STATUS!$Q:$Q,ДЕЛА!$A5,STATUS!$D:$D,ДЕЛА!OB$1)</f>
        <v>0</v>
      </c>
      <c r="OD5" s="589">
        <f t="shared" si="162"/>
        <v>1</v>
      </c>
      <c r="OE5" s="592">
        <f>COUNTIFS(STATUS!$Q:$Q,ДЕЛА!$A5,STATUS!$D:$D,ДЕЛА!OE$1,STATUS!$S:$S,"Согласовано")</f>
        <v>0</v>
      </c>
      <c r="OF5" s="306">
        <f>COUNTIFS(STATUS!$Q:$Q,ДЕЛА!$A5,STATUS!$D:$D,ДЕЛА!OE$1)</f>
        <v>0</v>
      </c>
      <c r="OG5" s="589">
        <f t="shared" si="163"/>
        <v>1</v>
      </c>
      <c r="OH5" s="808">
        <f t="shared" si="24"/>
        <v>0</v>
      </c>
      <c r="OI5" s="600">
        <f t="shared" si="164"/>
        <v>0</v>
      </c>
      <c r="OJ5" s="592">
        <f>COUNTIFS(STATUS!$Q:$Q,ДЕЛА!$A5,STATUS!$D:$D,ДЕЛА!OJ$1,STATUS!$S:$S,"Согласовано")</f>
        <v>0</v>
      </c>
      <c r="OK5" s="306">
        <f>COUNTIFS(STATUS!$Q:$Q,ДЕЛА!$A5,STATUS!$D:$D,ДЕЛА!OJ$1)</f>
        <v>0</v>
      </c>
      <c r="OL5" s="589">
        <f t="shared" si="165"/>
        <v>1</v>
      </c>
      <c r="OM5" s="592">
        <f>COUNTIFS(STATUS!$Q:$Q,ДЕЛА!$A5,STATUS!$D:$D,ДЕЛА!OM$1,STATUS!$S:$S,"Согласовано")</f>
        <v>0</v>
      </c>
      <c r="ON5" s="306">
        <f>COUNTIFS(STATUS!$Q:$Q,ДЕЛА!$A5,STATUS!$D:$D,ДЕЛА!OM$1)</f>
        <v>0</v>
      </c>
      <c r="OO5" s="589">
        <f t="shared" si="166"/>
        <v>1</v>
      </c>
      <c r="OP5" s="592">
        <f>COUNTIFS(STATUS!$Q:$Q,ДЕЛА!$A5,STATUS!$D:$D,ДЕЛА!OP$1,STATUS!$S:$S,"Согласовано")</f>
        <v>0</v>
      </c>
      <c r="OQ5" s="306">
        <f>COUNTIFS(STATUS!$Q:$Q,ДЕЛА!$A5,STATUS!$D:$D,ДЕЛА!OP$1)</f>
        <v>0</v>
      </c>
      <c r="OR5" s="589">
        <f t="shared" si="167"/>
        <v>1</v>
      </c>
      <c r="OS5" s="592">
        <f>COUNTIFS(STATUS!$Q:$Q,ДЕЛА!$A5,STATUS!$D:$D,ДЕЛА!OS$1,STATUS!$S:$S,"Согласовано")</f>
        <v>0</v>
      </c>
      <c r="OT5" s="306">
        <f>COUNTIFS(STATUS!$Q:$Q,ДЕЛА!$A5,STATUS!$D:$D,ДЕЛА!OS$1)</f>
        <v>0</v>
      </c>
      <c r="OU5" s="589">
        <f t="shared" si="168"/>
        <v>1</v>
      </c>
      <c r="OV5" s="592">
        <f>COUNTIFS(STATUS!$Q:$Q,ДЕЛА!$A5,STATUS!$D:$D,ДЕЛА!OV$1,STATUS!$S:$S,"Согласовано")</f>
        <v>0</v>
      </c>
      <c r="OW5" s="306">
        <f>COUNTIFS(STATUS!$Q:$Q,ДЕЛА!$A5,STATUS!$D:$D,ДЕЛА!OV$1)</f>
        <v>0</v>
      </c>
      <c r="OX5" s="589">
        <f t="shared" si="169"/>
        <v>1</v>
      </c>
      <c r="OY5" s="808">
        <f t="shared" si="25"/>
        <v>0</v>
      </c>
      <c r="OZ5" s="600">
        <f t="shared" si="170"/>
        <v>0</v>
      </c>
      <c r="PA5" s="592">
        <f>COUNTIFS(STATUS!$Q:$Q,ДЕЛА!$A5,STATUS!$D:$D,ДЕЛА!PA$1,STATUS!$S:$S,"Согласовано")</f>
        <v>0</v>
      </c>
      <c r="PB5" s="306">
        <f>COUNTIFS(STATUS!$Q:$Q,ДЕЛА!$A5,STATUS!$D:$D,ДЕЛА!PA$1)</f>
        <v>0</v>
      </c>
      <c r="PC5" s="589">
        <f t="shared" si="171"/>
        <v>1</v>
      </c>
      <c r="PD5" s="592">
        <f>COUNTIFS(STATUS!$Q:$Q,ДЕЛА!$A5,STATUS!$D:$D,ДЕЛА!PD$1,STATUS!$S:$S,"Согласовано")</f>
        <v>0</v>
      </c>
      <c r="PE5" s="306">
        <f>COUNTIFS(STATUS!$Q:$Q,ДЕЛА!$A5,STATUS!$D:$D,ДЕЛА!PD$1)</f>
        <v>0</v>
      </c>
      <c r="PF5" s="589">
        <f t="shared" si="172"/>
        <v>1</v>
      </c>
      <c r="PG5" s="592">
        <f>COUNTIFS(STATUS!$Q:$Q,ДЕЛА!$A5,STATUS!$D:$D,ДЕЛА!PG$1,STATUS!$S:$S,"Согласовано")</f>
        <v>0</v>
      </c>
      <c r="PH5" s="306">
        <f>COUNTIFS(STATUS!$Q:$Q,ДЕЛА!$A5,STATUS!$D:$D,ДЕЛА!PG$1)</f>
        <v>0</v>
      </c>
      <c r="PI5" s="589">
        <f t="shared" si="173"/>
        <v>1</v>
      </c>
      <c r="PJ5" s="592">
        <f>COUNTIFS(STATUS!$Q:$Q,ДЕЛА!$A5,STATUS!$D:$D,ДЕЛА!PJ$1,STATUS!$S:$S,"Согласовано")</f>
        <v>0</v>
      </c>
      <c r="PK5" s="306">
        <f>COUNTIFS(STATUS!$Q:$Q,ДЕЛА!$A5,STATUS!$D:$D,ДЕЛА!PJ$1)</f>
        <v>0</v>
      </c>
      <c r="PL5" s="589">
        <f t="shared" si="174"/>
        <v>1</v>
      </c>
      <c r="PM5" s="592">
        <f>COUNTIFS(STATUS!$Q:$Q,ДЕЛА!$A5,STATUS!$D:$D,ДЕЛА!PM$1,STATUS!$S:$S,"Согласовано")</f>
        <v>0</v>
      </c>
      <c r="PN5" s="306">
        <f>COUNTIFS(STATUS!$Q:$Q,ДЕЛА!$A5,STATUS!$D:$D,ДЕЛА!PM$1)</f>
        <v>0</v>
      </c>
      <c r="PO5" s="589">
        <f t="shared" si="175"/>
        <v>1</v>
      </c>
      <c r="PP5" s="808">
        <f t="shared" si="26"/>
        <v>0</v>
      </c>
      <c r="PQ5" s="600">
        <f t="shared" si="176"/>
        <v>0</v>
      </c>
      <c r="PR5" s="592">
        <f>COUNTIFS(STATUS!$Q:$Q,ДЕЛА!$A5,STATUS!$D:$D,ДЕЛА!PR$1,STATUS!$S:$S,"Согласовано")</f>
        <v>0</v>
      </c>
      <c r="PS5" s="306">
        <f>COUNTIFS(STATUS!$Q:$Q,ДЕЛА!$A5,STATUS!$D:$D,ДЕЛА!PR$1)</f>
        <v>0</v>
      </c>
      <c r="PT5" s="589">
        <f t="shared" si="177"/>
        <v>1</v>
      </c>
      <c r="PU5" s="592">
        <f>COUNTIFS(STATUS!$Q:$Q,ДЕЛА!$A5,STATUS!$D:$D,ДЕЛА!PU$1,STATUS!$S:$S,"Согласовано")</f>
        <v>0</v>
      </c>
      <c r="PV5" s="306">
        <f>COUNTIFS(STATUS!$Q:$Q,ДЕЛА!$A5,STATUS!$D:$D,ДЕЛА!PU$1)</f>
        <v>0</v>
      </c>
      <c r="PW5" s="589">
        <f t="shared" si="178"/>
        <v>1</v>
      </c>
      <c r="PX5" s="592">
        <f>COUNTIFS(STATUS!$Q:$Q,ДЕЛА!$A5,STATUS!$D:$D,ДЕЛА!PX$1,STATUS!$S:$S,"Согласовано")</f>
        <v>0</v>
      </c>
      <c r="PY5" s="306">
        <f>COUNTIFS(STATUS!$Q:$Q,ДЕЛА!$A5,STATUS!$D:$D,ДЕЛА!PX$1)</f>
        <v>0</v>
      </c>
      <c r="PZ5" s="589">
        <f t="shared" si="179"/>
        <v>1</v>
      </c>
      <c r="QA5" s="592">
        <f>COUNTIFS(STATUS!$Q:$Q,ДЕЛА!$A5,STATUS!$D:$D,ДЕЛА!QA$1,STATUS!$S:$S,"Согласовано")</f>
        <v>0</v>
      </c>
      <c r="QB5" s="306">
        <f>COUNTIFS(STATUS!$Q:$Q,ДЕЛА!$A5,STATUS!$D:$D,ДЕЛА!QA$1)</f>
        <v>0</v>
      </c>
      <c r="QC5" s="589">
        <f t="shared" si="180"/>
        <v>1</v>
      </c>
      <c r="QD5" s="592">
        <f>COUNTIFS(STATUS!$Q:$Q,ДЕЛА!$A5,STATUS!$D:$D,ДЕЛА!QD$1,STATUS!$S:$S,"Согласовано")</f>
        <v>0</v>
      </c>
      <c r="QE5" s="306">
        <f>COUNTIFS(STATUS!$Q:$Q,ДЕЛА!$A5,STATUS!$D:$D,ДЕЛА!QD$1)</f>
        <v>0</v>
      </c>
      <c r="QF5" s="589">
        <f t="shared" si="181"/>
        <v>1</v>
      </c>
      <c r="QG5" s="808">
        <f t="shared" si="27"/>
        <v>0</v>
      </c>
      <c r="QH5" s="600">
        <f t="shared" si="182"/>
        <v>0</v>
      </c>
    </row>
    <row r="6" spans="1:450" x14ac:dyDescent="0.3">
      <c r="A6" s="662" t="s">
        <v>2142</v>
      </c>
      <c r="B6" s="1321">
        <f>SUMIFS(STATUS!AA:AA,STATUS!Q:Q,A6)</f>
        <v>7.1840509259259244</v>
      </c>
      <c r="C6" s="1321">
        <f>B6/COUNTIFS(STATUS!Q:Q,ДЕЛА!A6,STATUS!AA:AA,"&lt;&gt;0")</f>
        <v>1.389564976001146E-2</v>
      </c>
      <c r="D6" s="658">
        <f>COUNTIFS(STATUS!$Q:$Q,ДЕЛА!$A6,STATUS!$H:$H,ДЕЛА!D$1)</f>
        <v>800</v>
      </c>
      <c r="E6" s="735">
        <f t="shared" si="28"/>
        <v>0.95923261390887293</v>
      </c>
      <c r="F6" s="658">
        <f>COUNTIFS(STATUS!$Q:$Q,ДЕЛА!$A6,STATUS!$H:$H,ДЕЛА!F$1)</f>
        <v>32</v>
      </c>
      <c r="G6" s="735">
        <f t="shared" si="0"/>
        <v>3.8369304556354913E-2</v>
      </c>
      <c r="H6" s="658">
        <f>COUNTIFS(STATUS!$Q:$Q,ДЕЛА!$A6,STATUS!$I:$I,ДЕЛА!H$1)</f>
        <v>38</v>
      </c>
      <c r="I6" s="735">
        <f t="shared" si="1"/>
        <v>4.5563549160671464E-2</v>
      </c>
      <c r="J6" s="658">
        <f>COUNTIFS(STATUS!$Q:$Q,ДЕЛА!$A6,STATUS!$I:$I,ДЕЛА!J$1)</f>
        <v>9</v>
      </c>
      <c r="K6" s="735">
        <f t="shared" si="2"/>
        <v>1.0791366906474821E-2</v>
      </c>
      <c r="L6" s="658">
        <f>COUNTIFS(STATUS!$Q:$Q,ДЕЛА!$A6,STATUS!$I:$I,ДЕЛА!L$1)</f>
        <v>100</v>
      </c>
      <c r="M6" s="735">
        <f t="shared" si="3"/>
        <v>0.11990407673860912</v>
      </c>
      <c r="N6" s="658">
        <f>COUNTIFS(STATUS!$Q:$Q,ДЕЛА!$A6,STATUS!$I:$I,ДЕЛА!N$1)</f>
        <v>89</v>
      </c>
      <c r="O6" s="735">
        <f t="shared" si="4"/>
        <v>0.10671462829736211</v>
      </c>
      <c r="P6" s="658">
        <f>COUNTIFS(STATUS!$Q:$Q,ДЕЛА!$A6,STATUS!$S:$S,"На доработку")</f>
        <v>0</v>
      </c>
      <c r="Q6" s="658">
        <f>COUNTIFS(STATUS!Q:Q,ДЕЛА!A6,STATUS!$S:$S,"Согласовано")</f>
        <v>829</v>
      </c>
      <c r="R6" s="658">
        <f>COUNTIFS(STATUS!$Q:$Q,ДЕЛА!$A6)</f>
        <v>834</v>
      </c>
      <c r="S6" s="658">
        <f t="shared" si="29"/>
        <v>5</v>
      </c>
      <c r="T6" s="659">
        <f t="shared" si="30"/>
        <v>0.99400479616306958</v>
      </c>
      <c r="U6" s="658">
        <f t="shared" si="31"/>
        <v>5</v>
      </c>
      <c r="V6" s="592">
        <f>COUNTIFS(STATUS!$Q:$Q,ДЕЛА!$A6,STATUS!$D:$D,ДЕЛА!V$1,STATUS!$S:$S,"Согласовано")</f>
        <v>0</v>
      </c>
      <c r="W6" s="306">
        <f>COUNTIFS(STATUS!$Q:$Q,ДЕЛА!$A6,STATUS!$D:$D,ДЕЛА!V$1)</f>
        <v>0</v>
      </c>
      <c r="X6" s="593">
        <f t="shared" si="32"/>
        <v>1</v>
      </c>
      <c r="Y6" s="401">
        <f>COUNTIFS(STATUS!$Q:$Q,ДЕЛА!$A6,STATUS!$D:$D,ДЕЛА!Y$1,STATUS!$S:$S,"Согласовано")</f>
        <v>0</v>
      </c>
      <c r="Z6" s="306">
        <f>COUNTIFS(STATUS!$Q:$Q,ДЕЛА!$A6,STATUS!$D:$D,ДЕЛА!Y$1)</f>
        <v>0</v>
      </c>
      <c r="AA6" s="589">
        <f t="shared" si="33"/>
        <v>1</v>
      </c>
      <c r="AB6" s="592">
        <f>COUNTIFS(STATUS!$Q:$Q,ДЕЛА!$A6,STATUS!$D:$D,ДЕЛА!AB$1,STATUS!$S:$S,"Согласовано")</f>
        <v>0</v>
      </c>
      <c r="AC6" s="306">
        <f>COUNTIFS(STATUS!$Q:$Q,ДЕЛА!$A6,STATUS!$D:$D,ДЕЛА!AB$1)</f>
        <v>0</v>
      </c>
      <c r="AD6" s="593">
        <f t="shared" si="34"/>
        <v>1</v>
      </c>
      <c r="AE6" s="600">
        <f t="shared" si="183"/>
        <v>0</v>
      </c>
      <c r="AF6" s="401">
        <f>COUNTIFS(STATUS!$Q:$Q,ДЕЛА!$A6,STATUS!$D:$D,ДЕЛА!AF$1,STATUS!$S:$S,"Согласовано")</f>
        <v>5</v>
      </c>
      <c r="AG6" s="306">
        <f>COUNTIFS(STATUS!$Q:$Q,ДЕЛА!$A6,STATUS!$D:$D,ДЕЛА!AF$1)</f>
        <v>5</v>
      </c>
      <c r="AH6" s="589">
        <f t="shared" si="35"/>
        <v>1</v>
      </c>
      <c r="AI6" s="592">
        <f>COUNTIFS(STATUS!$Q:$Q,ДЕЛА!$A6,STATUS!$D:$D,ДЕЛА!AI$1,STATUS!$S:$S,"Согласовано")</f>
        <v>7</v>
      </c>
      <c r="AJ6" s="306">
        <f>COUNTIFS(STATUS!$Q:$Q,ДЕЛА!$A6,STATUS!$D:$D,ДЕЛА!AI$1)</f>
        <v>7</v>
      </c>
      <c r="AK6" s="589">
        <f t="shared" si="36"/>
        <v>1</v>
      </c>
      <c r="AL6" s="401">
        <f>COUNTIFS(STATUS!$Q:$Q,ДЕЛА!$A6,STATUS!$D:$D,ДЕЛА!AL$1,STATUS!$S:$S,"Согласовано")</f>
        <v>5</v>
      </c>
      <c r="AM6" s="306">
        <f>COUNTIFS(STATUS!$Q:$Q,ДЕЛА!$A6,STATUS!$D:$D,ДЕЛА!AL$1)</f>
        <v>5</v>
      </c>
      <c r="AN6" s="589">
        <f t="shared" si="37"/>
        <v>1</v>
      </c>
      <c r="AO6" s="592">
        <f>COUNTIFS(STATUS!$Q:$Q,ДЕЛА!$A6,STATUS!$D:$D,ДЕЛА!AO$1,STATUS!$S:$S,"Согласовано")</f>
        <v>3</v>
      </c>
      <c r="AP6" s="306">
        <f>COUNTIFS(STATUS!$Q:$Q,ДЕЛА!$A6,STATUS!$D:$D,ДЕЛА!AO$1)</f>
        <v>3</v>
      </c>
      <c r="AQ6" s="589">
        <f t="shared" si="38"/>
        <v>1</v>
      </c>
      <c r="AR6" s="600">
        <f t="shared" si="5"/>
        <v>0</v>
      </c>
      <c r="AS6" s="592">
        <f>COUNTIFS(STATUS!$Q:$Q,ДЕЛА!$A6,STATUS!$D:$D,ДЕЛА!AS$1,STATUS!$S:$S,"Согласовано")</f>
        <v>6</v>
      </c>
      <c r="AT6" s="306">
        <f>COUNTIFS(STATUS!$Q:$Q,ДЕЛА!$A6,STATUS!$D:$D,ДЕЛА!AS$1)</f>
        <v>6</v>
      </c>
      <c r="AU6" s="589">
        <f t="shared" si="39"/>
        <v>1</v>
      </c>
      <c r="AV6" s="592">
        <f>COUNTIFS(STATUS!$Q:$Q,ДЕЛА!$A6,STATUS!$D:$D,ДЕЛА!AV$1,STATUS!$S:$S,"Согласовано")</f>
        <v>7</v>
      </c>
      <c r="AW6" s="306">
        <f>COUNTIFS(STATUS!$Q:$Q,ДЕЛА!$A6,STATUS!$D:$D,ДЕЛА!AV$1)</f>
        <v>7</v>
      </c>
      <c r="AX6" s="589">
        <f t="shared" si="40"/>
        <v>1</v>
      </c>
      <c r="AY6" s="592">
        <f>COUNTIFS(STATUS!$Q:$Q,ДЕЛА!$A6,STATUS!$D:$D,ДЕЛА!AY$1,STATUS!$S:$S,"Согласовано")</f>
        <v>5</v>
      </c>
      <c r="AZ6" s="306">
        <f>COUNTIFS(STATUS!$Q:$Q,ДЕЛА!$A6,STATUS!$D:$D,ДЕЛА!AY$1)</f>
        <v>5</v>
      </c>
      <c r="BA6" s="589">
        <f t="shared" si="41"/>
        <v>1</v>
      </c>
      <c r="BB6" s="592">
        <f>COUNTIFS(STATUS!$Q:$Q,ДЕЛА!$A6,STATUS!$D:$D,ДЕЛА!BB$1,STATUS!$S:$S,"Согласовано")</f>
        <v>6</v>
      </c>
      <c r="BC6" s="306">
        <f>COUNTIFS(STATUS!$Q:$Q,ДЕЛА!$A6,STATUS!$D:$D,ДЕЛА!BB$1)</f>
        <v>6</v>
      </c>
      <c r="BD6" s="589">
        <f t="shared" si="42"/>
        <v>1</v>
      </c>
      <c r="BE6" s="592">
        <f>COUNTIFS(STATUS!$Q:$Q,ДЕЛА!$A6,STATUS!$D:$D,ДЕЛА!BE$1,STATUS!$S:$S,"Согласовано")</f>
        <v>4</v>
      </c>
      <c r="BF6" s="306">
        <f>COUNTIFS(STATUS!$Q:$Q,ДЕЛА!$A6,STATUS!$D:$D,ДЕЛА!BE$1)</f>
        <v>4</v>
      </c>
      <c r="BG6" s="589">
        <f t="shared" si="43"/>
        <v>1</v>
      </c>
      <c r="BH6" s="600">
        <f t="shared" si="44"/>
        <v>0</v>
      </c>
      <c r="BI6" s="592">
        <f>COUNTIFS(STATUS!$Q:$Q,ДЕЛА!$A6,STATUS!$D:$D,ДЕЛА!BI$1,STATUS!$S:$S,"Согласовано")</f>
        <v>3</v>
      </c>
      <c r="BJ6" s="306">
        <f>COUNTIFS(STATUS!$Q:$Q,ДЕЛА!$A6,STATUS!$D:$D,ДЕЛА!BI$1)</f>
        <v>3</v>
      </c>
      <c r="BK6" s="589">
        <f t="shared" si="45"/>
        <v>1</v>
      </c>
      <c r="BL6" s="592">
        <f>COUNTIFS(STATUS!$Q:$Q,ДЕЛА!$A6,STATUS!$D:$D,ДЕЛА!BL$1,STATUS!$S:$S,"Согласовано")</f>
        <v>3</v>
      </c>
      <c r="BM6" s="306">
        <f>COUNTIFS(STATUS!$Q:$Q,ДЕЛА!$A6,STATUS!$D:$D,ДЕЛА!BL$1)</f>
        <v>3</v>
      </c>
      <c r="BN6" s="589">
        <f t="shared" si="46"/>
        <v>1</v>
      </c>
      <c r="BO6" s="592">
        <f>COUNTIFS(STATUS!$Q:$Q,ДЕЛА!$A6,STATUS!$D:$D,ДЕЛА!BO$1,STATUS!$S:$S,"Согласовано")</f>
        <v>12</v>
      </c>
      <c r="BP6" s="306">
        <f>COUNTIFS(STATUS!$Q:$Q,ДЕЛА!$A6,STATUS!$D:$D,ДЕЛА!BO$1)</f>
        <v>12</v>
      </c>
      <c r="BQ6" s="589">
        <f t="shared" si="47"/>
        <v>1</v>
      </c>
      <c r="BR6" s="592">
        <f>COUNTIFS(STATUS!$Q:$Q,ДЕЛА!$A6,STATUS!$D:$D,ДЕЛА!BR$1,STATUS!$S:$S,"Согласовано")</f>
        <v>1</v>
      </c>
      <c r="BS6" s="306">
        <f>COUNTIFS(STATUS!$Q:$Q,ДЕЛА!$A6,STATUS!$D:$D,ДЕЛА!BR$1)</f>
        <v>1</v>
      </c>
      <c r="BT6" s="589">
        <f t="shared" si="48"/>
        <v>1</v>
      </c>
      <c r="BU6" s="592">
        <f>COUNTIFS(STATUS!$Q:$Q,ДЕЛА!$A6,STATUS!$D:$D,ДЕЛА!BU$1,STATUS!$S:$S,"Согласовано")</f>
        <v>1</v>
      </c>
      <c r="BV6" s="306">
        <f>COUNTIFS(STATUS!$Q:$Q,ДЕЛА!$A6,STATUS!$D:$D,ДЕЛА!BU$1)</f>
        <v>1</v>
      </c>
      <c r="BW6" s="589">
        <f t="shared" si="49"/>
        <v>1</v>
      </c>
      <c r="BX6" s="600">
        <f t="shared" si="50"/>
        <v>0</v>
      </c>
      <c r="BY6" s="592">
        <f>COUNTIFS(STATUS!$Q:$Q,ДЕЛА!$A6,STATUS!$D:$D,ДЕЛА!BY$1,STATUS!$S:$S,"Согласовано")</f>
        <v>21</v>
      </c>
      <c r="BZ6" s="306">
        <f>COUNTIFS(STATUS!$Q:$Q,ДЕЛА!$A6,STATUS!$D:$D,ДЕЛА!BY$1)</f>
        <v>21</v>
      </c>
      <c r="CA6" s="589">
        <f t="shared" si="51"/>
        <v>1</v>
      </c>
      <c r="CB6" s="592">
        <f>COUNTIFS(STATUS!$Q:$Q,ДЕЛА!$A6,STATUS!$D:$D,ДЕЛА!CB$1,STATUS!$S:$S,"Согласовано")</f>
        <v>1</v>
      </c>
      <c r="CC6" s="306">
        <f>COUNTIFS(STATUS!$Q:$Q,ДЕЛА!$A6,STATUS!$D:$D,ДЕЛА!CB$1)</f>
        <v>1</v>
      </c>
      <c r="CD6" s="589">
        <f t="shared" si="52"/>
        <v>1</v>
      </c>
      <c r="CE6" s="592">
        <f>COUNTIFS(STATUS!$Q:$Q,ДЕЛА!$A6,STATUS!$D:$D,ДЕЛА!CE$1,STATUS!$S:$S,"Согласовано")</f>
        <v>2</v>
      </c>
      <c r="CF6" s="306">
        <f>COUNTIFS(STATUS!$Q:$Q,ДЕЛА!$A6,STATUS!$D:$D,ДЕЛА!CE$1)</f>
        <v>2</v>
      </c>
      <c r="CG6" s="589">
        <f t="shared" si="53"/>
        <v>1</v>
      </c>
      <c r="CH6" s="592">
        <f>COUNTIFS(STATUS!$Q:$Q,ДЕЛА!$A6,STATUS!$D:$D,ДЕЛА!CH$1,STATUS!$S:$S,"Согласовано")</f>
        <v>4</v>
      </c>
      <c r="CI6" s="306">
        <f>COUNTIFS(STATUS!$Q:$Q,ДЕЛА!$A6,STATUS!$D:$D,ДЕЛА!CH$1)</f>
        <v>4</v>
      </c>
      <c r="CJ6" s="589">
        <f t="shared" si="54"/>
        <v>1</v>
      </c>
      <c r="CK6" s="592">
        <f>COUNTIFS(STATUS!$Q:$Q,ДЕЛА!$A6,STATUS!$D:$D,ДЕЛА!CK$1,STATUS!$S:$S,"Согласовано")</f>
        <v>3</v>
      </c>
      <c r="CL6" s="306">
        <f>COUNTIFS(STATUS!$Q:$Q,ДЕЛА!$A6,STATUS!$D:$D,ДЕЛА!CK$1)</f>
        <v>3</v>
      </c>
      <c r="CM6" s="589">
        <f t="shared" si="55"/>
        <v>1</v>
      </c>
      <c r="CN6" s="808">
        <f t="shared" si="6"/>
        <v>31</v>
      </c>
      <c r="CO6" s="600">
        <f t="shared" si="56"/>
        <v>0</v>
      </c>
      <c r="CP6" s="592">
        <f>COUNTIFS(STATUS!$Q:$Q,ДЕЛА!$A6,STATUS!$D:$D,ДЕЛА!CP$1,STATUS!$S:$S,"Согласовано")</f>
        <v>7</v>
      </c>
      <c r="CQ6" s="306">
        <f>COUNTIFS(STATUS!$Q:$Q,ДЕЛА!$A6,STATUS!$D:$D,ДЕЛА!CP$1)</f>
        <v>7</v>
      </c>
      <c r="CR6" s="589">
        <f t="shared" si="57"/>
        <v>1</v>
      </c>
      <c r="CS6" s="592">
        <f>COUNTIFS(STATUS!$Q:$Q,ДЕЛА!$A6,STATUS!$D:$D,ДЕЛА!CS$1,STATUS!$S:$S,"Согласовано")</f>
        <v>3</v>
      </c>
      <c r="CT6" s="306">
        <f>COUNTIFS(STATUS!$Q:$Q,ДЕЛА!$A6,STATUS!$D:$D,ДЕЛА!CS$1)</f>
        <v>3</v>
      </c>
      <c r="CU6" s="589">
        <f t="shared" si="58"/>
        <v>1</v>
      </c>
      <c r="CV6" s="592">
        <f>COUNTIFS(STATUS!$Q:$Q,ДЕЛА!$A6,STATUS!$D:$D,ДЕЛА!CV$1,STATUS!$S:$S,"Согласовано")</f>
        <v>3</v>
      </c>
      <c r="CW6" s="306">
        <f>COUNTIFS(STATUS!$Q:$Q,ДЕЛА!$A6,STATUS!$D:$D,ДЕЛА!CV$1)</f>
        <v>3</v>
      </c>
      <c r="CX6" s="589">
        <f t="shared" si="59"/>
        <v>1</v>
      </c>
      <c r="CY6" s="592">
        <f>COUNTIFS(STATUS!$Q:$Q,ДЕЛА!$A6,STATUS!$D:$D,ДЕЛА!CY$1,STATUS!$S:$S,"Согласовано")</f>
        <v>2</v>
      </c>
      <c r="CZ6" s="306">
        <f>COUNTIFS(STATUS!$Q:$Q,ДЕЛА!$A6,STATUS!$D:$D,ДЕЛА!CY$1)</f>
        <v>2</v>
      </c>
      <c r="DA6" s="589">
        <f t="shared" si="60"/>
        <v>1</v>
      </c>
      <c r="DB6" s="592">
        <f>COUNTIFS(STATUS!$Q:$Q,ДЕЛА!$A6,STATUS!$D:$D,ДЕЛА!DB$1,STATUS!$S:$S,"Согласовано")</f>
        <v>0</v>
      </c>
      <c r="DC6" s="306">
        <f>COUNTIFS(STATUS!$Q:$Q,ДЕЛА!$A6,STATUS!$D:$D,ДЕЛА!DB$1)</f>
        <v>0</v>
      </c>
      <c r="DD6" s="589">
        <f t="shared" si="61"/>
        <v>1</v>
      </c>
      <c r="DE6" s="808">
        <f t="shared" si="7"/>
        <v>15</v>
      </c>
      <c r="DF6" s="600">
        <f t="shared" si="62"/>
        <v>0</v>
      </c>
      <c r="DG6" s="592">
        <f>COUNTIFS(STATUS!$Q:$Q,ДЕЛА!$A6,STATUS!$D:$D,ДЕЛА!DG$1,STATUS!$S:$S,"Согласовано")</f>
        <v>3</v>
      </c>
      <c r="DH6" s="306">
        <f>COUNTIFS(STATUS!$Q:$Q,ДЕЛА!$A6,STATUS!$D:$D,ДЕЛА!DG$1)</f>
        <v>3</v>
      </c>
      <c r="DI6" s="589">
        <f t="shared" si="63"/>
        <v>1</v>
      </c>
      <c r="DJ6" s="592">
        <f>COUNTIFS(STATUS!$Q:$Q,ДЕЛА!$A6,STATUS!$D:$D,ДЕЛА!DJ$1,STATUS!$S:$S,"Согласовано")</f>
        <v>41</v>
      </c>
      <c r="DK6" s="306">
        <f>COUNTIFS(STATUS!$Q:$Q,ДЕЛА!$A6,STATUS!$D:$D,ДЕЛА!DJ$1)</f>
        <v>41</v>
      </c>
      <c r="DL6" s="589">
        <f t="shared" si="64"/>
        <v>1</v>
      </c>
      <c r="DM6" s="592">
        <f>COUNTIFS(STATUS!$Q:$Q,ДЕЛА!$A6,STATUS!$D:$D,ДЕЛА!DM$1,STATUS!$S:$S,"Согласовано")</f>
        <v>3</v>
      </c>
      <c r="DN6" s="306">
        <f>COUNTIFS(STATUS!$Q:$Q,ДЕЛА!$A6,STATUS!$D:$D,ДЕЛА!DM$1)</f>
        <v>3</v>
      </c>
      <c r="DO6" s="589">
        <f t="shared" si="65"/>
        <v>1</v>
      </c>
      <c r="DP6" s="592">
        <f>COUNTIFS(STATUS!$Q:$Q,ДЕЛА!$A6,STATUS!$D:$D,ДЕЛА!DP$1,STATUS!$S:$S,"Согласовано")</f>
        <v>1</v>
      </c>
      <c r="DQ6" s="306">
        <f>COUNTIFS(STATUS!$Q:$Q,ДЕЛА!$A6,STATUS!$D:$D,ДЕЛА!DP$1)</f>
        <v>1</v>
      </c>
      <c r="DR6" s="589">
        <f t="shared" si="66"/>
        <v>1</v>
      </c>
      <c r="DS6" s="592">
        <f>COUNTIFS(STATUS!$Q:$Q,ДЕЛА!$A6,STATUS!$D:$D,ДЕЛА!DS$1,STATUS!$S:$S,"Согласовано")</f>
        <v>4</v>
      </c>
      <c r="DT6" s="306">
        <f>COUNTIFS(STATUS!$Q:$Q,ДЕЛА!$A6,STATUS!$D:$D,ДЕЛА!DS$1)</f>
        <v>4</v>
      </c>
      <c r="DU6" s="589">
        <f t="shared" si="67"/>
        <v>1</v>
      </c>
      <c r="DV6" s="808">
        <f t="shared" si="8"/>
        <v>52</v>
      </c>
      <c r="DW6" s="600">
        <f t="shared" si="68"/>
        <v>0</v>
      </c>
      <c r="DX6" s="592">
        <f>COUNTIFS(STATUS!$Q:$Q,ДЕЛА!$A6,STATUS!$D:$D,ДЕЛА!DX$1,STATUS!$S:$S,"Согласовано")</f>
        <v>3</v>
      </c>
      <c r="DY6" s="306">
        <f>COUNTIFS(STATUS!$Q:$Q,ДЕЛА!$A6,STATUS!$D:$D,ДЕЛА!DX$1)</f>
        <v>3</v>
      </c>
      <c r="DZ6" s="589">
        <f t="shared" si="69"/>
        <v>1</v>
      </c>
      <c r="EA6" s="592">
        <f>COUNTIFS(STATUS!$Q:$Q,ДЕЛА!$A6,STATUS!$D:$D,ДЕЛА!EA$1,STATUS!$S:$S,"Согласовано")</f>
        <v>10</v>
      </c>
      <c r="EB6" s="306">
        <f>COUNTIFS(STATUS!$Q:$Q,ДЕЛА!$A6,STATUS!$D:$D,ДЕЛА!EA$1)</f>
        <v>10</v>
      </c>
      <c r="EC6" s="589">
        <f t="shared" si="70"/>
        <v>1</v>
      </c>
      <c r="ED6" s="592">
        <f>COUNTIFS(STATUS!$Q:$Q,ДЕЛА!$A6,STATUS!$D:$D,ДЕЛА!ED$1,STATUS!$S:$S,"Согласовано")</f>
        <v>0</v>
      </c>
      <c r="EE6" s="306">
        <f>COUNTIFS(STATUS!$Q:$Q,ДЕЛА!$A6,STATUS!$D:$D,ДЕЛА!ED$1)</f>
        <v>0</v>
      </c>
      <c r="EF6" s="589">
        <f t="shared" si="71"/>
        <v>1</v>
      </c>
      <c r="EG6" s="592">
        <f>COUNTIFS(STATUS!$Q:$Q,ДЕЛА!$A6,STATUS!$D:$D,ДЕЛА!EG$1,STATUS!$S:$S,"Согласовано")</f>
        <v>7</v>
      </c>
      <c r="EH6" s="306">
        <f>COUNTIFS(STATUS!$Q:$Q,ДЕЛА!$A6,STATUS!$D:$D,ДЕЛА!EG$1)</f>
        <v>7</v>
      </c>
      <c r="EI6" s="589">
        <f t="shared" si="72"/>
        <v>1</v>
      </c>
      <c r="EJ6" s="592">
        <f>COUNTIFS(STATUS!$Q:$Q,ДЕЛА!$A6,STATUS!$D:$D,ДЕЛА!EJ$1,STATUS!$S:$S,"Согласовано")</f>
        <v>4</v>
      </c>
      <c r="EK6" s="306">
        <f>COUNTIFS(STATUS!$Q:$Q,ДЕЛА!$A6,STATUS!$D:$D,ДЕЛА!EJ$1)</f>
        <v>4</v>
      </c>
      <c r="EL6" s="589">
        <f t="shared" si="73"/>
        <v>1</v>
      </c>
      <c r="EM6" s="808">
        <f t="shared" si="9"/>
        <v>24</v>
      </c>
      <c r="EN6" s="600">
        <f t="shared" si="74"/>
        <v>0</v>
      </c>
      <c r="EO6" s="592">
        <f>COUNTIFS(STATUS!$Q:$Q,ДЕЛА!$A6,STATUS!$D:$D,ДЕЛА!EO$1,STATUS!$S:$S,"Согласовано")</f>
        <v>2</v>
      </c>
      <c r="EP6" s="306">
        <f>COUNTIFS(STATUS!$Q:$Q,ДЕЛА!$A6,STATUS!$D:$D,ДЕЛА!EO$1)</f>
        <v>2</v>
      </c>
      <c r="EQ6" s="589">
        <f t="shared" si="75"/>
        <v>1</v>
      </c>
      <c r="ER6" s="592">
        <f>COUNTIFS(STATUS!$Q:$Q,ДЕЛА!$A6,STATUS!$D:$D,ДЕЛА!ER$1,STATUS!$S:$S,"Согласовано")</f>
        <v>4</v>
      </c>
      <c r="ES6" s="306">
        <f>COUNTIFS(STATUS!$Q:$Q,ДЕЛА!$A6,STATUS!$D:$D,ДЕЛА!ER$1)</f>
        <v>4</v>
      </c>
      <c r="ET6" s="589">
        <f t="shared" si="76"/>
        <v>1</v>
      </c>
      <c r="EU6" s="592">
        <f>COUNTIFS(STATUS!$Q:$Q,ДЕЛА!$A6,STATUS!$D:$D,ДЕЛА!EU$1,STATUS!$S:$S,"Согласовано")</f>
        <v>0</v>
      </c>
      <c r="EV6" s="306">
        <f>COUNTIFS(STATUS!$Q:$Q,ДЕЛА!$A6,STATUS!$D:$D,ДЕЛА!EU$1)</f>
        <v>0</v>
      </c>
      <c r="EW6" s="589">
        <f t="shared" si="77"/>
        <v>1</v>
      </c>
      <c r="EX6" s="592">
        <f>COUNTIFS(STATUS!$Q:$Q,ДЕЛА!$A6,STATUS!$D:$D,ДЕЛА!EX$1,STATUS!$S:$S,"Согласовано")</f>
        <v>8</v>
      </c>
      <c r="EY6" s="306">
        <f>COUNTIFS(STATUS!$Q:$Q,ДЕЛА!$A6,STATUS!$D:$D,ДЕЛА!EX$1)</f>
        <v>8</v>
      </c>
      <c r="EZ6" s="589">
        <f t="shared" si="78"/>
        <v>1</v>
      </c>
      <c r="FA6" s="592">
        <f>COUNTIFS(STATUS!$Q:$Q,ДЕЛА!$A6,STATUS!$D:$D,ДЕЛА!FA$1,STATUS!$S:$S,"Согласовано")</f>
        <v>4</v>
      </c>
      <c r="FB6" s="306">
        <f>COUNTIFS(STATUS!$Q:$Q,ДЕЛА!$A6,STATUS!$D:$D,ДЕЛА!FA$1)</f>
        <v>4</v>
      </c>
      <c r="FC6" s="589">
        <f t="shared" si="79"/>
        <v>1</v>
      </c>
      <c r="FD6" s="808">
        <f t="shared" si="10"/>
        <v>18</v>
      </c>
      <c r="FE6" s="600">
        <f t="shared" si="80"/>
        <v>0</v>
      </c>
      <c r="FF6" s="592">
        <f>COUNTIFS(STATUS!$Q:$Q,ДЕЛА!$A6,STATUS!$D:$D,ДЕЛА!FF$1,STATUS!$S:$S,"Согласовано")</f>
        <v>4</v>
      </c>
      <c r="FG6" s="306">
        <f>COUNTIFS(STATUS!$Q:$Q,ДЕЛА!$A6,STATUS!$D:$D,ДЕЛА!FF$1)</f>
        <v>4</v>
      </c>
      <c r="FH6" s="589">
        <f t="shared" si="81"/>
        <v>1</v>
      </c>
      <c r="FI6" s="592">
        <f>COUNTIFS(STATUS!$Q:$Q,ДЕЛА!$A6,STATUS!$D:$D,ДЕЛА!FI$1,STATUS!$S:$S,"Согласовано")</f>
        <v>2</v>
      </c>
      <c r="FJ6" s="306">
        <f>COUNTIFS(STATUS!$Q:$Q,ДЕЛА!$A6,STATUS!$D:$D,ДЕЛА!FI$1)</f>
        <v>2</v>
      </c>
      <c r="FK6" s="589">
        <f t="shared" si="82"/>
        <v>1</v>
      </c>
      <c r="FL6" s="592">
        <f>COUNTIFS(STATUS!$Q:$Q,ДЕЛА!$A6,STATUS!$D:$D,ДЕЛА!FL$1,STATUS!$S:$S,"Согласовано")</f>
        <v>2</v>
      </c>
      <c r="FM6" s="306">
        <f>COUNTIFS(STATUS!$Q:$Q,ДЕЛА!$A6,STATUS!$D:$D,ДЕЛА!FL$1)</f>
        <v>2</v>
      </c>
      <c r="FN6" s="589">
        <f t="shared" si="83"/>
        <v>1</v>
      </c>
      <c r="FO6" s="592">
        <f>COUNTIFS(STATUS!$Q:$Q,ДЕЛА!$A6,STATUS!$D:$D,ДЕЛА!FO$1,STATUS!$S:$S,"Согласовано")</f>
        <v>6</v>
      </c>
      <c r="FP6" s="306">
        <f>COUNTIFS(STATUS!$Q:$Q,ДЕЛА!$A6,STATUS!$D:$D,ДЕЛА!FO$1)</f>
        <v>6</v>
      </c>
      <c r="FQ6" s="589">
        <f t="shared" si="84"/>
        <v>1</v>
      </c>
      <c r="FR6" s="592">
        <f>COUNTIFS(STATUS!$Q:$Q,ДЕЛА!$A6,STATUS!$D:$D,ДЕЛА!FR$1,STATUS!$S:$S,"Согласовано")</f>
        <v>4</v>
      </c>
      <c r="FS6" s="306">
        <f>COUNTIFS(STATUS!$Q:$Q,ДЕЛА!$A6,STATUS!$D:$D,ДЕЛА!FR$1)</f>
        <v>4</v>
      </c>
      <c r="FT6" s="589">
        <f t="shared" si="85"/>
        <v>1</v>
      </c>
      <c r="FU6" s="808">
        <f t="shared" si="11"/>
        <v>18</v>
      </c>
      <c r="FV6" s="600">
        <f t="shared" si="86"/>
        <v>0</v>
      </c>
      <c r="FW6" s="592">
        <f>COUNTIFS(STATUS!$Q:$Q,ДЕЛА!$A6,STATUS!$D:$D,ДЕЛА!FW$1,STATUS!$S:$S,"Согласовано")</f>
        <v>1</v>
      </c>
      <c r="FX6" s="306">
        <f>COUNTIFS(STATUS!$Q:$Q,ДЕЛА!$A6,STATUS!$D:$D,ДЕЛА!FW$1)</f>
        <v>1</v>
      </c>
      <c r="FY6" s="589">
        <f t="shared" si="87"/>
        <v>1</v>
      </c>
      <c r="FZ6" s="592">
        <f>COUNTIFS(STATUS!$Q:$Q,ДЕЛА!$A6,STATUS!$D:$D,ДЕЛА!FZ$1,STATUS!$S:$S,"Согласовано")</f>
        <v>2</v>
      </c>
      <c r="GA6" s="306">
        <f>COUNTIFS(STATUS!$Q:$Q,ДЕЛА!$A6,STATUS!$D:$D,ДЕЛА!FZ$1)</f>
        <v>2</v>
      </c>
      <c r="GB6" s="589">
        <f t="shared" si="88"/>
        <v>1</v>
      </c>
      <c r="GC6" s="592">
        <f>COUNTIFS(STATUS!$Q:$Q,ДЕЛА!$A6,STATUS!$D:$D,ДЕЛА!GC$1,STATUS!$S:$S,"Согласовано")</f>
        <v>1</v>
      </c>
      <c r="GD6" s="306">
        <f>COUNTIFS(STATUS!$Q:$Q,ДЕЛА!$A6,STATUS!$D:$D,ДЕЛА!GC$1)</f>
        <v>1</v>
      </c>
      <c r="GE6" s="589">
        <f t="shared" si="89"/>
        <v>1</v>
      </c>
      <c r="GF6" s="592">
        <f>COUNTIFS(STATUS!$Q:$Q,ДЕЛА!$A6,STATUS!$D:$D,ДЕЛА!GF$1,STATUS!$S:$S,"Согласовано")</f>
        <v>1</v>
      </c>
      <c r="GG6" s="306">
        <f>COUNTIFS(STATUS!$Q:$Q,ДЕЛА!$A6,STATUS!$D:$D,ДЕЛА!GF$1)</f>
        <v>1</v>
      </c>
      <c r="GH6" s="589">
        <f t="shared" si="90"/>
        <v>1</v>
      </c>
      <c r="GI6" s="592">
        <f>COUNTIFS(STATUS!$Q:$Q,ДЕЛА!$A6,STATUS!$D:$D,ДЕЛА!GI$1,STATUS!$S:$S,"Согласовано")</f>
        <v>0</v>
      </c>
      <c r="GJ6" s="306">
        <f>COUNTIFS(STATUS!$Q:$Q,ДЕЛА!$A6,STATUS!$D:$D,ДЕЛА!GI$1)</f>
        <v>0</v>
      </c>
      <c r="GK6" s="589">
        <f t="shared" si="91"/>
        <v>1</v>
      </c>
      <c r="GL6" s="808">
        <f t="shared" si="12"/>
        <v>5</v>
      </c>
      <c r="GM6" s="600">
        <f t="shared" si="92"/>
        <v>0</v>
      </c>
      <c r="GN6" s="592">
        <f>COUNTIFS(STATUS!$Q:$Q,ДЕЛА!$A6,STATUS!$D:$D,ДЕЛА!GN$1,STATUS!$S:$S,"Согласовано")</f>
        <v>0</v>
      </c>
      <c r="GO6" s="306">
        <f>COUNTIFS(STATUS!$Q:$Q,ДЕЛА!$A6,STATUS!$D:$D,ДЕЛА!GN$1)</f>
        <v>0</v>
      </c>
      <c r="GP6" s="589">
        <f t="shared" si="93"/>
        <v>1</v>
      </c>
      <c r="GQ6" s="592">
        <f>COUNTIFS(STATUS!$Q:$Q,ДЕЛА!$A6,STATUS!$D:$D,ДЕЛА!GQ$1,STATUS!$S:$S,"Согласовано")</f>
        <v>0</v>
      </c>
      <c r="GR6" s="306">
        <f>COUNTIFS(STATUS!$Q:$Q,ДЕЛА!$A6,STATUS!$D:$D,ДЕЛА!GQ$1)</f>
        <v>0</v>
      </c>
      <c r="GS6" s="589">
        <f t="shared" si="94"/>
        <v>1</v>
      </c>
      <c r="GT6" s="592">
        <f>COUNTIFS(STATUS!$Q:$Q,ДЕЛА!$A6,STATUS!$D:$D,ДЕЛА!GT$1,STATUS!$S:$S,"Согласовано")</f>
        <v>0</v>
      </c>
      <c r="GU6" s="306">
        <f>COUNTIFS(STATUS!$Q:$Q,ДЕЛА!$A6,STATUS!$D:$D,ДЕЛА!GT$1)</f>
        <v>0</v>
      </c>
      <c r="GV6" s="589">
        <f t="shared" si="95"/>
        <v>1</v>
      </c>
      <c r="GW6" s="592">
        <f>COUNTIFS(STATUS!$Q:$Q,ДЕЛА!$A6,STATUS!$D:$D,ДЕЛА!GW$1,STATUS!$S:$S,"Согласовано")</f>
        <v>7</v>
      </c>
      <c r="GX6" s="306">
        <f>COUNTIFS(STATUS!$Q:$Q,ДЕЛА!$A6,STATUS!$D:$D,ДЕЛА!GW$1)</f>
        <v>7</v>
      </c>
      <c r="GY6" s="589">
        <f t="shared" si="96"/>
        <v>1</v>
      </c>
      <c r="GZ6" s="592">
        <f>COUNTIFS(STATUS!$Q:$Q,ДЕЛА!$A6,STATUS!$D:$D,ДЕЛА!GZ$1,STATUS!$S:$S,"Согласовано")</f>
        <v>5</v>
      </c>
      <c r="HA6" s="306">
        <f>COUNTIFS(STATUS!$Q:$Q,ДЕЛА!$A6,STATUS!$D:$D,ДЕЛА!GZ$1)</f>
        <v>5</v>
      </c>
      <c r="HB6" s="589">
        <f t="shared" si="97"/>
        <v>1</v>
      </c>
      <c r="HC6" s="808">
        <f t="shared" si="13"/>
        <v>12</v>
      </c>
      <c r="HD6" s="600">
        <f t="shared" si="98"/>
        <v>0</v>
      </c>
      <c r="HE6" s="592">
        <f>COUNTIFS(STATUS!$Q:$Q,ДЕЛА!$A6,STATUS!$D:$D,ДЕЛА!HE$1,STATUS!$S:$S,"Согласовано")</f>
        <v>5</v>
      </c>
      <c r="HF6" s="306">
        <f>COUNTIFS(STATUS!$Q:$Q,ДЕЛА!$A6,STATUS!$D:$D,ДЕЛА!HE$1)</f>
        <v>5</v>
      </c>
      <c r="HG6" s="589">
        <f t="shared" si="99"/>
        <v>1</v>
      </c>
      <c r="HH6" s="592">
        <f>COUNTIFS(STATUS!$Q:$Q,ДЕЛА!$A6,STATUS!$D:$D,ДЕЛА!HH$1,STATUS!$S:$S,"Согласовано")</f>
        <v>2</v>
      </c>
      <c r="HI6" s="306">
        <f>COUNTIFS(STATUS!$Q:$Q,ДЕЛА!$A6,STATUS!$D:$D,ДЕЛА!HH$1)</f>
        <v>2</v>
      </c>
      <c r="HJ6" s="589">
        <f t="shared" si="100"/>
        <v>1</v>
      </c>
      <c r="HK6" s="592">
        <f>COUNTIFS(STATUS!$Q:$Q,ДЕЛА!$A6,STATUS!$D:$D,ДЕЛА!HK$1,STATUS!$S:$S,"Согласовано")</f>
        <v>4</v>
      </c>
      <c r="HL6" s="306">
        <f>COUNTIFS(STATUS!$Q:$Q,ДЕЛА!$A6,STATUS!$D:$D,ДЕЛА!HK$1)</f>
        <v>4</v>
      </c>
      <c r="HM6" s="589">
        <f t="shared" si="101"/>
        <v>1</v>
      </c>
      <c r="HN6" s="592">
        <f>COUNTIFS(STATUS!$Q:$Q,ДЕЛА!$A6,STATUS!$D:$D,ДЕЛА!HN$1,STATUS!$S:$S,"Согласовано")</f>
        <v>5</v>
      </c>
      <c r="HO6" s="306">
        <f>COUNTIFS(STATUS!$Q:$Q,ДЕЛА!$A6,STATUS!$D:$D,ДЕЛА!HN$1)</f>
        <v>5</v>
      </c>
      <c r="HP6" s="589">
        <f t="shared" si="102"/>
        <v>1</v>
      </c>
      <c r="HQ6" s="592">
        <f>COUNTIFS(STATUS!$Q:$Q,ДЕЛА!$A6,STATUS!$D:$D,ДЕЛА!HQ$1,STATUS!$S:$S,"Согласовано")</f>
        <v>4</v>
      </c>
      <c r="HR6" s="306">
        <f>COUNTIFS(STATUS!$Q:$Q,ДЕЛА!$A6,STATUS!$D:$D,ДЕЛА!HQ$1)</f>
        <v>4</v>
      </c>
      <c r="HS6" s="589">
        <f t="shared" si="103"/>
        <v>1</v>
      </c>
      <c r="HT6" s="808">
        <f t="shared" si="14"/>
        <v>20</v>
      </c>
      <c r="HU6" s="600">
        <f t="shared" si="104"/>
        <v>0</v>
      </c>
      <c r="HV6" s="592">
        <f>COUNTIFS(STATUS!$Q:$Q,ДЕЛА!$A6,STATUS!$D:$D,ДЕЛА!HV$1,STATUS!$S:$S,"Согласовано")</f>
        <v>6</v>
      </c>
      <c r="HW6" s="306">
        <f>COUNTIFS(STATUS!$Q:$Q,ДЕЛА!$A6,STATUS!$D:$D,ДЕЛА!HV$1)</f>
        <v>6</v>
      </c>
      <c r="HX6" s="589">
        <f t="shared" si="105"/>
        <v>1</v>
      </c>
      <c r="HY6" s="592">
        <f>COUNTIFS(STATUS!$Q:$Q,ДЕЛА!$A6,STATUS!$D:$D,ДЕЛА!HY$1,STATUS!$S:$S,"Согласовано")</f>
        <v>6</v>
      </c>
      <c r="HZ6" s="306">
        <f>COUNTIFS(STATUS!$Q:$Q,ДЕЛА!$A6,STATUS!$D:$D,ДЕЛА!HY$1)</f>
        <v>6</v>
      </c>
      <c r="IA6" s="589">
        <f t="shared" si="106"/>
        <v>1</v>
      </c>
      <c r="IB6" s="592">
        <f>COUNTIFS(STATUS!$Q:$Q,ДЕЛА!$A6,STATUS!$D:$D,ДЕЛА!IB$1,STATUS!$S:$S,"Согласовано")</f>
        <v>6</v>
      </c>
      <c r="IC6" s="306">
        <f>COUNTIFS(STATUS!$Q:$Q,ДЕЛА!$A6,STATUS!$D:$D,ДЕЛА!IB$1)</f>
        <v>6</v>
      </c>
      <c r="ID6" s="589">
        <f t="shared" si="107"/>
        <v>1</v>
      </c>
      <c r="IE6" s="592">
        <f>COUNTIFS(STATUS!$Q:$Q,ДЕЛА!$A6,STATUS!$D:$D,ДЕЛА!IE$1,STATUS!$S:$S,"Согласовано")</f>
        <v>6</v>
      </c>
      <c r="IF6" s="306">
        <f>COUNTIFS(STATUS!$Q:$Q,ДЕЛА!$A6,STATUS!$D:$D,ДЕЛА!IE$1)</f>
        <v>6</v>
      </c>
      <c r="IG6" s="589">
        <f t="shared" si="108"/>
        <v>1</v>
      </c>
      <c r="IH6" s="592">
        <f>COUNTIFS(STATUS!$Q:$Q,ДЕЛА!$A6,STATUS!$D:$D,ДЕЛА!IH$1,STATUS!$S:$S,"Согласовано")</f>
        <v>4</v>
      </c>
      <c r="II6" s="306">
        <f>COUNTIFS(STATUS!$Q:$Q,ДЕЛА!$A6,STATUS!$D:$D,ДЕЛА!IH$1)</f>
        <v>4</v>
      </c>
      <c r="IJ6" s="589">
        <f t="shared" si="109"/>
        <v>1</v>
      </c>
      <c r="IK6" s="808">
        <f t="shared" si="15"/>
        <v>28</v>
      </c>
      <c r="IL6" s="600">
        <f t="shared" si="110"/>
        <v>0</v>
      </c>
      <c r="IM6" s="592">
        <f>COUNTIFS(STATUS!$Q:$Q,ДЕЛА!$A6,STATUS!$D:$D,ДЕЛА!IM$1,STATUS!$S:$S,"Согласовано")</f>
        <v>5</v>
      </c>
      <c r="IN6" s="306">
        <f>COUNTIFS(STATUS!$Q:$Q,ДЕЛА!$A6,STATUS!$D:$D,ДЕЛА!IM$1)</f>
        <v>5</v>
      </c>
      <c r="IO6" s="589">
        <f t="shared" si="111"/>
        <v>1</v>
      </c>
      <c r="IP6" s="592">
        <f>COUNTIFS(STATUS!$Q:$Q,ДЕЛА!$A6,STATUS!$D:$D,ДЕЛА!IP$1,STATUS!$S:$S,"Согласовано")</f>
        <v>6</v>
      </c>
      <c r="IQ6" s="306">
        <f>COUNTIFS(STATUS!$Q:$Q,ДЕЛА!$A6,STATUS!$D:$D,ДЕЛА!IP$1)</f>
        <v>6</v>
      </c>
      <c r="IR6" s="589">
        <f t="shared" si="112"/>
        <v>1</v>
      </c>
      <c r="IS6" s="592">
        <f>COUNTIFS(STATUS!$Q:$Q,ДЕЛА!$A6,STATUS!$D:$D,ДЕЛА!IS$1,STATUS!$S:$S,"Согласовано")</f>
        <v>3</v>
      </c>
      <c r="IT6" s="306">
        <f>COUNTIFS(STATUS!$Q:$Q,ДЕЛА!$A6,STATUS!$D:$D,ДЕЛА!IS$1)</f>
        <v>3</v>
      </c>
      <c r="IU6" s="589">
        <f t="shared" si="113"/>
        <v>1</v>
      </c>
      <c r="IV6" s="592">
        <f>COUNTIFS(STATUS!$Q:$Q,ДЕЛА!$A6,STATUS!$D:$D,ДЕЛА!IV$1,STATUS!$S:$S,"Согласовано")</f>
        <v>4</v>
      </c>
      <c r="IW6" s="306">
        <f>COUNTIFS(STATUS!$Q:$Q,ДЕЛА!$A6,STATUS!$D:$D,ДЕЛА!IV$1)</f>
        <v>4</v>
      </c>
      <c r="IX6" s="589">
        <f t="shared" si="114"/>
        <v>1</v>
      </c>
      <c r="IY6" s="592">
        <f>COUNTIFS(STATUS!$Q:$Q,ДЕЛА!$A6,STATUS!$D:$D,ДЕЛА!IY$1,STATUS!$S:$S,"Согласовано")</f>
        <v>5</v>
      </c>
      <c r="IZ6" s="306">
        <f>COUNTIFS(STATUS!$Q:$Q,ДЕЛА!$A6,STATUS!$D:$D,ДЕЛА!IY$1)</f>
        <v>5</v>
      </c>
      <c r="JA6" s="589">
        <f t="shared" si="115"/>
        <v>1</v>
      </c>
      <c r="JB6" s="808">
        <f t="shared" si="16"/>
        <v>23</v>
      </c>
      <c r="JC6" s="600">
        <f t="shared" si="116"/>
        <v>0</v>
      </c>
      <c r="JD6" s="592">
        <f>COUNTIFS(STATUS!$Q:$Q,ДЕЛА!$A6,STATUS!$D:$D,ДЕЛА!JD$1,STATUS!$S:$S,"Согласовано")</f>
        <v>3</v>
      </c>
      <c r="JE6" s="306">
        <f>COUNTIFS(STATUS!$Q:$Q,ДЕЛА!$A6,STATUS!$D:$D,ДЕЛА!JD$1)</f>
        <v>3</v>
      </c>
      <c r="JF6" s="589">
        <f t="shared" si="117"/>
        <v>1</v>
      </c>
      <c r="JG6" s="592">
        <f>COUNTIFS(STATUS!$Q:$Q,ДЕЛА!$A6,STATUS!$D:$D,ДЕЛА!JG$1,STATUS!$S:$S,"Согласовано")</f>
        <v>6</v>
      </c>
      <c r="JH6" s="306">
        <f>COUNTIFS(STATUS!$Q:$Q,ДЕЛА!$A6,STATUS!$D:$D,ДЕЛА!JG$1)</f>
        <v>6</v>
      </c>
      <c r="JI6" s="589">
        <f t="shared" si="118"/>
        <v>1</v>
      </c>
      <c r="JJ6" s="592">
        <f>COUNTIFS(STATUS!$Q:$Q,ДЕЛА!$A6,STATUS!$D:$D,ДЕЛА!JJ$1,STATUS!$S:$S,"Согласовано")</f>
        <v>4</v>
      </c>
      <c r="JK6" s="306">
        <f>COUNTIFS(STATUS!$Q:$Q,ДЕЛА!$A6,STATUS!$D:$D,ДЕЛА!JJ$1)</f>
        <v>4</v>
      </c>
      <c r="JL6" s="589">
        <f t="shared" si="119"/>
        <v>1</v>
      </c>
      <c r="JM6" s="592">
        <f>COUNTIFS(STATUS!$Q:$Q,ДЕЛА!$A6,STATUS!$D:$D,ДЕЛА!JM$1,STATUS!$S:$S,"Согласовано")</f>
        <v>4</v>
      </c>
      <c r="JN6" s="306">
        <f>COUNTIFS(STATUS!$Q:$Q,ДЕЛА!$A6,STATUS!$D:$D,ДЕЛА!JM$1)</f>
        <v>4</v>
      </c>
      <c r="JO6" s="589">
        <f t="shared" si="120"/>
        <v>1</v>
      </c>
      <c r="JP6" s="592">
        <f>COUNTIFS(STATUS!$Q:$Q,ДЕЛА!$A6,STATUS!$D:$D,ДЕЛА!JP$1,STATUS!$S:$S,"Согласовано")</f>
        <v>2</v>
      </c>
      <c r="JQ6" s="306">
        <f>COUNTIFS(STATUS!$Q:$Q,ДЕЛА!$A6,STATUS!$D:$D,ДЕЛА!JP$1)</f>
        <v>2</v>
      </c>
      <c r="JR6" s="589">
        <f t="shared" si="121"/>
        <v>1</v>
      </c>
      <c r="JS6" s="808">
        <f t="shared" si="17"/>
        <v>19</v>
      </c>
      <c r="JT6" s="600">
        <f t="shared" si="122"/>
        <v>0</v>
      </c>
      <c r="JU6" s="592">
        <f>COUNTIFS(STATUS!$Q:$Q,ДЕЛА!$A6,STATUS!$D:$D,ДЕЛА!JU$1,STATUS!$S:$S,"Согласовано")</f>
        <v>3</v>
      </c>
      <c r="JV6" s="306">
        <f>COUNTIFS(STATUS!$Q:$Q,ДЕЛА!$A6,STATUS!$D:$D,ДЕЛА!JU$1)</f>
        <v>3</v>
      </c>
      <c r="JW6" s="589">
        <f t="shared" si="123"/>
        <v>1</v>
      </c>
      <c r="JX6" s="592">
        <f>COUNTIFS(STATUS!$Q:$Q,ДЕЛА!$A6,STATUS!$D:$D,ДЕЛА!JX$1,STATUS!$S:$S,"Согласовано")</f>
        <v>5</v>
      </c>
      <c r="JY6" s="306">
        <f>COUNTIFS(STATUS!$Q:$Q,ДЕЛА!$A6,STATUS!$D:$D,ДЕЛА!JX$1)</f>
        <v>5</v>
      </c>
      <c r="JZ6" s="589">
        <f t="shared" si="124"/>
        <v>1</v>
      </c>
      <c r="KA6" s="592">
        <f>COUNTIFS(STATUS!$Q:$Q,ДЕЛА!$A6,STATUS!$D:$D,ДЕЛА!KA$1,STATUS!$S:$S,"Согласовано")</f>
        <v>3</v>
      </c>
      <c r="KB6" s="306">
        <f>COUNTIFS(STATUS!$Q:$Q,ДЕЛА!$A6,STATUS!$D:$D,ДЕЛА!KA$1)</f>
        <v>3</v>
      </c>
      <c r="KC6" s="589">
        <f t="shared" si="125"/>
        <v>1</v>
      </c>
      <c r="KD6" s="592">
        <f>COUNTIFS(STATUS!$Q:$Q,ДЕЛА!$A6,STATUS!$D:$D,ДЕЛА!KD$1,STATUS!$S:$S,"Согласовано")</f>
        <v>3</v>
      </c>
      <c r="KE6" s="306">
        <f>COUNTIFS(STATUS!$Q:$Q,ДЕЛА!$A6,STATUS!$D:$D,ДЕЛА!KD$1)</f>
        <v>3</v>
      </c>
      <c r="KF6" s="589">
        <f t="shared" si="126"/>
        <v>1</v>
      </c>
      <c r="KG6" s="592">
        <f>COUNTIFS(STATUS!$Q:$Q,ДЕЛА!$A6,STATUS!$D:$D,ДЕЛА!KG$1,STATUS!$S:$S,"Согласовано")</f>
        <v>3</v>
      </c>
      <c r="KH6" s="306">
        <f>COUNTIFS(STATUS!$Q:$Q,ДЕЛА!$A6,STATUS!$D:$D,ДЕЛА!KG$1)</f>
        <v>3</v>
      </c>
      <c r="KI6" s="589">
        <f t="shared" si="127"/>
        <v>1</v>
      </c>
      <c r="KJ6" s="808">
        <f t="shared" si="18"/>
        <v>17</v>
      </c>
      <c r="KK6" s="600">
        <f t="shared" si="128"/>
        <v>0</v>
      </c>
      <c r="KL6" s="592">
        <f>COUNTIFS(STATUS!$Q:$Q,ДЕЛА!$A6,STATUS!$D:$D,ДЕЛА!KL$1,STATUS!$S:$S,"Согласовано")</f>
        <v>0</v>
      </c>
      <c r="KM6" s="306">
        <f>COUNTIFS(STATUS!$Q:$Q,ДЕЛА!$A6,STATUS!$D:$D,ДЕЛА!KL$1)</f>
        <v>0</v>
      </c>
      <c r="KN6" s="589">
        <f t="shared" si="129"/>
        <v>1</v>
      </c>
      <c r="KO6" s="592">
        <f>COUNTIFS(STATUS!$Q:$Q,ДЕЛА!$A6,STATUS!$D:$D,ДЕЛА!KO$1,STATUS!$S:$S,"Согласовано")</f>
        <v>0</v>
      </c>
      <c r="KP6" s="306">
        <f>COUNTIFS(STATUS!$Q:$Q,ДЕЛА!$A6,STATUS!$D:$D,ДЕЛА!KO$1)</f>
        <v>0</v>
      </c>
      <c r="KQ6" s="589">
        <f t="shared" si="130"/>
        <v>1</v>
      </c>
      <c r="KR6" s="592">
        <f>COUNTIFS(STATUS!$Q:$Q,ДЕЛА!$A6,STATUS!$D:$D,ДЕЛА!KR$1,STATUS!$S:$S,"Согласовано")</f>
        <v>0</v>
      </c>
      <c r="KS6" s="306">
        <f>COUNTIFS(STATUS!$Q:$Q,ДЕЛА!$A6,STATUS!$D:$D,ДЕЛА!KR$1)</f>
        <v>0</v>
      </c>
      <c r="KT6" s="589">
        <f t="shared" si="131"/>
        <v>1</v>
      </c>
      <c r="KU6" s="592">
        <f>COUNTIFS(STATUS!$Q:$Q,ДЕЛА!$A6,STATUS!$D:$D,ДЕЛА!KU$1,STATUS!$S:$S,"Согласовано")</f>
        <v>0</v>
      </c>
      <c r="KV6" s="306">
        <f>COUNTIFS(STATUS!$Q:$Q,ДЕЛА!$A6,STATUS!$D:$D,ДЕЛА!KU$1)</f>
        <v>0</v>
      </c>
      <c r="KW6" s="589">
        <f t="shared" si="132"/>
        <v>1</v>
      </c>
      <c r="KX6" s="592">
        <f>COUNTIFS(STATUS!$Q:$Q,ДЕЛА!$A6,STATUS!$D:$D,ДЕЛА!KX$1,STATUS!$S:$S,"Согласовано")</f>
        <v>0</v>
      </c>
      <c r="KY6" s="306">
        <f>COUNTIFS(STATUS!$Q:$Q,ДЕЛА!$A6,STATUS!$D:$D,ДЕЛА!KX$1)</f>
        <v>0</v>
      </c>
      <c r="KZ6" s="589">
        <f t="shared" si="133"/>
        <v>1</v>
      </c>
      <c r="LA6" s="808">
        <f t="shared" si="19"/>
        <v>0</v>
      </c>
      <c r="LB6" s="600">
        <f t="shared" si="134"/>
        <v>0</v>
      </c>
      <c r="LC6" s="592">
        <f>COUNTIFS(STATUS!$Q:$Q,ДЕЛА!$A6,STATUS!$D:$D,ДЕЛА!LC$1,STATUS!$S:$S,"Согласовано")</f>
        <v>0</v>
      </c>
      <c r="LD6" s="306">
        <f>COUNTIFS(STATUS!$Q:$Q,ДЕЛА!$A6,STATUS!$D:$D,ДЕЛА!LC$1)</f>
        <v>0</v>
      </c>
      <c r="LE6" s="589">
        <f t="shared" si="135"/>
        <v>1</v>
      </c>
      <c r="LF6" s="592">
        <f>COUNTIFS(STATUS!$Q:$Q,ДЕЛА!$A6,STATUS!$D:$D,ДЕЛА!LF$1,STATUS!$S:$S,"Согласовано")</f>
        <v>0</v>
      </c>
      <c r="LG6" s="306">
        <f>COUNTIFS(STATUS!$Q:$Q,ДЕЛА!$A6,STATUS!$D:$D,ДЕЛА!LF$1)</f>
        <v>0</v>
      </c>
      <c r="LH6" s="589">
        <f t="shared" si="136"/>
        <v>1</v>
      </c>
      <c r="LI6" s="592">
        <f>COUNTIFS(STATUS!$Q:$Q,ДЕЛА!$A6,STATUS!$D:$D,ДЕЛА!LI$1,STATUS!$S:$S,"Согласовано")</f>
        <v>0</v>
      </c>
      <c r="LJ6" s="306">
        <f>COUNTIFS(STATUS!$Q:$Q,ДЕЛА!$A6,STATUS!$D:$D,ДЕЛА!LI$1)</f>
        <v>0</v>
      </c>
      <c r="LK6" s="589">
        <f t="shared" si="137"/>
        <v>1</v>
      </c>
      <c r="LL6" s="592">
        <f>COUNTIFS(STATUS!$Q:$Q,ДЕЛА!$A6,STATUS!$D:$D,ДЕЛА!LL$1,STATUS!$S:$S,"Согласовано")</f>
        <v>0</v>
      </c>
      <c r="LM6" s="306">
        <f>COUNTIFS(STATUS!$Q:$Q,ДЕЛА!$A6,STATUS!$D:$D,ДЕЛА!LL$1)</f>
        <v>0</v>
      </c>
      <c r="LN6" s="589">
        <f t="shared" si="138"/>
        <v>1</v>
      </c>
      <c r="LO6" s="592">
        <f>COUNTIFS(STATUS!$Q:$Q,ДЕЛА!$A6,STATUS!$D:$D,ДЕЛА!LO$1,STATUS!$S:$S,"Согласовано")</f>
        <v>0</v>
      </c>
      <c r="LP6" s="306">
        <f>COUNTIFS(STATUS!$Q:$Q,ДЕЛА!$A6,STATUS!$D:$D,ДЕЛА!LO$1)</f>
        <v>0</v>
      </c>
      <c r="LQ6" s="589">
        <f t="shared" si="139"/>
        <v>1</v>
      </c>
      <c r="LR6" s="808">
        <f t="shared" si="20"/>
        <v>0</v>
      </c>
      <c r="LS6" s="600">
        <f t="shared" si="140"/>
        <v>0</v>
      </c>
      <c r="LT6" s="592">
        <f>COUNTIFS(STATUS!$Q:$Q,ДЕЛА!$A6,STATUS!$D:$D,ДЕЛА!LT$1,STATUS!$S:$S,"Согласовано")</f>
        <v>3</v>
      </c>
      <c r="LU6" s="306">
        <f>COUNTIFS(STATUS!$Q:$Q,ДЕЛА!$A6,STATUS!$D:$D,ДЕЛА!LT$1)</f>
        <v>3</v>
      </c>
      <c r="LV6" s="589">
        <f t="shared" si="141"/>
        <v>1</v>
      </c>
      <c r="LW6" s="592">
        <f>COUNTIFS(STATUS!$Q:$Q,ДЕЛА!$A6,STATUS!$D:$D,ДЕЛА!LW$1,STATUS!$S:$S,"Согласовано")</f>
        <v>6</v>
      </c>
      <c r="LX6" s="306">
        <f>COUNTIFS(STATUS!$Q:$Q,ДЕЛА!$A6,STATUS!$D:$D,ДЕЛА!LW$1)</f>
        <v>6</v>
      </c>
      <c r="LY6" s="589">
        <f t="shared" si="142"/>
        <v>1</v>
      </c>
      <c r="LZ6" s="592">
        <f>COUNTIFS(STATUS!$Q:$Q,ДЕЛА!$A6,STATUS!$D:$D,ДЕЛА!LZ$1,STATUS!$S:$S,"Согласовано")</f>
        <v>3</v>
      </c>
      <c r="MA6" s="306">
        <f>COUNTIFS(STATUS!$Q:$Q,ДЕЛА!$A6,STATUS!$D:$D,ДЕЛА!LZ$1)</f>
        <v>3</v>
      </c>
      <c r="MB6" s="589">
        <f t="shared" si="143"/>
        <v>1</v>
      </c>
      <c r="MC6" s="592">
        <f>COUNTIFS(STATUS!$Q:$Q,ДЕЛА!$A6,STATUS!$D:$D,ДЕЛА!MC$1,STATUS!$S:$S,"Согласовано")</f>
        <v>3</v>
      </c>
      <c r="MD6" s="306">
        <f>COUNTIFS(STATUS!$Q:$Q,ДЕЛА!$A6,STATUS!$D:$D,ДЕЛА!MC$1)</f>
        <v>3</v>
      </c>
      <c r="ME6" s="589">
        <f t="shared" si="144"/>
        <v>1</v>
      </c>
      <c r="MF6" s="592">
        <f>COUNTIFS(STATUS!$Q:$Q,ДЕЛА!$A6,STATUS!$D:$D,ДЕЛА!MF$1,STATUS!$S:$S,"Согласовано")</f>
        <v>5</v>
      </c>
      <c r="MG6" s="306">
        <f>COUNTIFS(STATUS!$Q:$Q,ДЕЛА!$A6,STATUS!$D:$D,ДЕЛА!MF$1)</f>
        <v>5</v>
      </c>
      <c r="MH6" s="589">
        <f t="shared" si="145"/>
        <v>1</v>
      </c>
      <c r="MI6" s="808">
        <f t="shared" si="21"/>
        <v>20</v>
      </c>
      <c r="MJ6" s="600">
        <f t="shared" si="146"/>
        <v>0</v>
      </c>
      <c r="MK6" s="592">
        <f>COUNTIFS(STATUS!$Q:$Q,ДЕЛА!$A6,STATUS!$D:$D,ДЕЛА!MK$1,STATUS!$S:$S,"Согласовано")</f>
        <v>4</v>
      </c>
      <c r="ML6" s="306">
        <f>COUNTIFS(STATUS!$Q:$Q,ДЕЛА!$A6,STATUS!$D:$D,ДЕЛА!MK$1)</f>
        <v>4</v>
      </c>
      <c r="MM6" s="589">
        <f t="shared" si="147"/>
        <v>1</v>
      </c>
      <c r="MN6" s="592">
        <f>COUNTIFS(STATUS!$Q:$Q,ДЕЛА!$A6,STATUS!$D:$D,ДЕЛА!MN$1,STATUS!$S:$S,"Согласовано")</f>
        <v>8</v>
      </c>
      <c r="MO6" s="306">
        <f>COUNTIFS(STATUS!$Q:$Q,ДЕЛА!$A6,STATUS!$D:$D,ДЕЛА!MN$1)</f>
        <v>8</v>
      </c>
      <c r="MP6" s="589">
        <f t="shared" si="148"/>
        <v>1</v>
      </c>
      <c r="MQ6" s="592">
        <f>COUNTIFS(STATUS!$Q:$Q,ДЕЛА!$A6,STATUS!$D:$D,ДЕЛА!MQ$1,STATUS!$S:$S,"Согласовано")</f>
        <v>6</v>
      </c>
      <c r="MR6" s="306">
        <f>COUNTIFS(STATUS!$Q:$Q,ДЕЛА!$A6,STATUS!$D:$D,ДЕЛА!MQ$1)</f>
        <v>6</v>
      </c>
      <c r="MS6" s="589">
        <f t="shared" si="149"/>
        <v>1</v>
      </c>
      <c r="MT6" s="592">
        <f>COUNTIFS(STATUS!$Q:$Q,ДЕЛА!$A6,STATUS!$D:$D,ДЕЛА!MT$1,STATUS!$S:$S,"Согласовано")</f>
        <v>5</v>
      </c>
      <c r="MU6" s="306">
        <f>COUNTIFS(STATUS!$Q:$Q,ДЕЛА!$A6,STATUS!$D:$D,ДЕЛА!MT$1)</f>
        <v>5</v>
      </c>
      <c r="MV6" s="589">
        <f t="shared" si="150"/>
        <v>1</v>
      </c>
      <c r="MW6" s="592">
        <f>COUNTIFS(STATUS!$Q:$Q,ДЕЛА!$A6,STATUS!$D:$D,ДЕЛА!MW$1,STATUS!$S:$S,"Согласовано")</f>
        <v>2</v>
      </c>
      <c r="MX6" s="306">
        <f>COUNTIFS(STATUS!$Q:$Q,ДЕЛА!$A6,STATUS!$D:$D,ДЕЛА!MW$1)</f>
        <v>2</v>
      </c>
      <c r="MY6" s="589">
        <f t="shared" si="151"/>
        <v>1</v>
      </c>
      <c r="MZ6" s="808">
        <f t="shared" si="22"/>
        <v>25</v>
      </c>
      <c r="NA6" s="600">
        <f t="shared" si="152"/>
        <v>0</v>
      </c>
      <c r="NB6" s="592">
        <f>COUNTIFS(STATUS!$Q:$Q,ДЕЛА!$A6,STATUS!$D:$D,ДЕЛА!NB$1,STATUS!$S:$S,"Согласовано")</f>
        <v>5</v>
      </c>
      <c r="NC6" s="306">
        <f>COUNTIFS(STATUS!$Q:$Q,ДЕЛА!$A6,STATUS!$D:$D,ДЕЛА!NB$1)</f>
        <v>5</v>
      </c>
      <c r="ND6" s="589">
        <f t="shared" si="153"/>
        <v>1</v>
      </c>
      <c r="NE6" s="592">
        <f>COUNTIFS(STATUS!$Q:$Q,ДЕЛА!$A6,STATUS!$D:$D,ДЕЛА!NE$1,STATUS!$S:$S,"Согласовано")</f>
        <v>2</v>
      </c>
      <c r="NF6" s="306">
        <f>COUNTIFS(STATUS!$Q:$Q,ДЕЛА!$A6,STATUS!$D:$D,ДЕЛА!NE$1)</f>
        <v>2</v>
      </c>
      <c r="NG6" s="589">
        <f t="shared" si="154"/>
        <v>1</v>
      </c>
      <c r="NH6" s="592">
        <f>COUNTIFS(STATUS!$Q:$Q,ДЕЛА!$A6,STATUS!$D:$D,ДЕЛА!NH$1,STATUS!$S:$S,"Согласовано")</f>
        <v>3</v>
      </c>
      <c r="NI6" s="306">
        <f>COUNTIFS(STATUS!$Q:$Q,ДЕЛА!$A6,STATUS!$D:$D,ДЕЛА!NH$1)</f>
        <v>3</v>
      </c>
      <c r="NJ6" s="589">
        <f t="shared" si="155"/>
        <v>1</v>
      </c>
      <c r="NK6" s="592">
        <f>COUNTIFS(STATUS!$Q:$Q,ДЕЛА!$A6,STATUS!$D:$D,ДЕЛА!NK$1,STATUS!$S:$S,"Согласовано")</f>
        <v>5</v>
      </c>
      <c r="NL6" s="306">
        <f>COUNTIFS(STATUS!$Q:$Q,ДЕЛА!$A6,STATUS!$D:$D,ДЕЛА!NK$1)</f>
        <v>5</v>
      </c>
      <c r="NM6" s="589">
        <f t="shared" si="156"/>
        <v>1</v>
      </c>
      <c r="NN6" s="592">
        <f>COUNTIFS(STATUS!$Q:$Q,ДЕЛА!$A6,STATUS!$D:$D,ДЕЛА!NN$1,STATUS!$S:$S,"Согласовано")</f>
        <v>4</v>
      </c>
      <c r="NO6" s="306">
        <f>COUNTIFS(STATUS!$Q:$Q,ДЕЛА!$A6,STATUS!$D:$D,ДЕЛА!NN$1)</f>
        <v>4</v>
      </c>
      <c r="NP6" s="589">
        <f t="shared" si="157"/>
        <v>1</v>
      </c>
      <c r="NQ6" s="808">
        <f t="shared" si="23"/>
        <v>19</v>
      </c>
      <c r="NR6" s="600">
        <f t="shared" si="158"/>
        <v>0</v>
      </c>
      <c r="NS6" s="592">
        <f>COUNTIFS(STATUS!$Q:$Q,ДЕЛА!$A6,STATUS!$D:$D,ДЕЛА!NS$1,STATUS!$S:$S,"Согласовано")</f>
        <v>4</v>
      </c>
      <c r="NT6" s="306">
        <f>COUNTIFS(STATUS!$Q:$Q,ДЕЛА!$A6,STATUS!$D:$D,ДЕЛА!NS$1)</f>
        <v>4</v>
      </c>
      <c r="NU6" s="589">
        <f t="shared" si="159"/>
        <v>1</v>
      </c>
      <c r="NV6" s="592">
        <f>COUNTIFS(STATUS!$Q:$Q,ДЕЛА!$A6,STATUS!$D:$D,ДЕЛА!NV$1,STATUS!$S:$S,"Согласовано")</f>
        <v>3</v>
      </c>
      <c r="NW6" s="306">
        <f>COUNTIFS(STATUS!$Q:$Q,ДЕЛА!$A6,STATUS!$D:$D,ДЕЛА!NV$1)</f>
        <v>3</v>
      </c>
      <c r="NX6" s="589">
        <f t="shared" si="160"/>
        <v>1</v>
      </c>
      <c r="NY6" s="592">
        <f>COUNTIFS(STATUS!$Q:$Q,ДЕЛА!$A6,STATUS!$D:$D,ДЕЛА!NY$1,STATUS!$S:$S,"Согласовано")</f>
        <v>5</v>
      </c>
      <c r="NZ6" s="306">
        <f>COUNTIFS(STATUS!$Q:$Q,ДЕЛА!$A6,STATUS!$D:$D,ДЕЛА!NY$1)</f>
        <v>5</v>
      </c>
      <c r="OA6" s="589">
        <f t="shared" si="161"/>
        <v>1</v>
      </c>
      <c r="OB6" s="592">
        <f>COUNTIFS(STATUS!$Q:$Q,ДЕЛА!$A6,STATUS!$D:$D,ДЕЛА!OB$1,STATUS!$S:$S,"Согласовано")</f>
        <v>5</v>
      </c>
      <c r="OC6" s="306">
        <f>COUNTIFS(STATUS!$Q:$Q,ДЕЛА!$A6,STATUS!$D:$D,ДЕЛА!OB$1)</f>
        <v>5</v>
      </c>
      <c r="OD6" s="589">
        <f t="shared" si="162"/>
        <v>1</v>
      </c>
      <c r="OE6" s="592">
        <f>COUNTIFS(STATUS!$Q:$Q,ДЕЛА!$A6,STATUS!$D:$D,ДЕЛА!OE$1,STATUS!$S:$S,"Согласовано")</f>
        <v>7</v>
      </c>
      <c r="OF6" s="306">
        <f>COUNTIFS(STATUS!$Q:$Q,ДЕЛА!$A6,STATUS!$D:$D,ДЕЛА!OE$1)</f>
        <v>7</v>
      </c>
      <c r="OG6" s="589">
        <f t="shared" si="163"/>
        <v>1</v>
      </c>
      <c r="OH6" s="808">
        <f t="shared" si="24"/>
        <v>24</v>
      </c>
      <c r="OI6" s="600">
        <f t="shared" si="164"/>
        <v>0</v>
      </c>
      <c r="OJ6" s="592">
        <f>COUNTIFS(STATUS!$Q:$Q,ДЕЛА!$A6,STATUS!$D:$D,ДЕЛА!OJ$1,STATUS!$S:$S,"Согласовано")</f>
        <v>4</v>
      </c>
      <c r="OK6" s="306">
        <f>COUNTIFS(STATUS!$Q:$Q,ДЕЛА!$A6,STATUS!$D:$D,ДЕЛА!OJ$1)</f>
        <v>4</v>
      </c>
      <c r="OL6" s="589">
        <f t="shared" si="165"/>
        <v>1</v>
      </c>
      <c r="OM6" s="592">
        <f>COUNTIFS(STATUS!$Q:$Q,ДЕЛА!$A6,STATUS!$D:$D,ДЕЛА!OM$1,STATUS!$S:$S,"Согласовано")</f>
        <v>7</v>
      </c>
      <c r="ON6" s="306">
        <f>COUNTIFS(STATUS!$Q:$Q,ДЕЛА!$A6,STATUS!$D:$D,ДЕЛА!OM$1)</f>
        <v>7</v>
      </c>
      <c r="OO6" s="589">
        <f t="shared" si="166"/>
        <v>1</v>
      </c>
      <c r="OP6" s="592">
        <f>COUNTIFS(STATUS!$Q:$Q,ДЕЛА!$A6,STATUS!$D:$D,ДЕЛА!OP$1,STATUS!$S:$S,"Согласовано")</f>
        <v>3</v>
      </c>
      <c r="OQ6" s="306">
        <f>COUNTIFS(STATUS!$Q:$Q,ДЕЛА!$A6,STATUS!$D:$D,ДЕЛА!OP$1)</f>
        <v>3</v>
      </c>
      <c r="OR6" s="589">
        <f t="shared" si="167"/>
        <v>1</v>
      </c>
      <c r="OS6" s="592">
        <f>COUNTIFS(STATUS!$Q:$Q,ДЕЛА!$A6,STATUS!$D:$D,ДЕЛА!OS$1,STATUS!$S:$S,"Согласовано")</f>
        <v>1</v>
      </c>
      <c r="OT6" s="306">
        <f>COUNTIFS(STATUS!$Q:$Q,ДЕЛА!$A6,STATUS!$D:$D,ДЕЛА!OS$1)</f>
        <v>1</v>
      </c>
      <c r="OU6" s="589">
        <f t="shared" si="168"/>
        <v>1</v>
      </c>
      <c r="OV6" s="592">
        <f>COUNTIFS(STATUS!$Q:$Q,ДЕЛА!$A6,STATUS!$D:$D,ДЕЛА!OV$1,STATUS!$S:$S,"Согласовано")</f>
        <v>2</v>
      </c>
      <c r="OW6" s="306">
        <f>COUNTIFS(STATUS!$Q:$Q,ДЕЛА!$A6,STATUS!$D:$D,ДЕЛА!OV$1)</f>
        <v>2</v>
      </c>
      <c r="OX6" s="589">
        <f t="shared" si="169"/>
        <v>1</v>
      </c>
      <c r="OY6" s="808">
        <f t="shared" si="25"/>
        <v>17</v>
      </c>
      <c r="OZ6" s="600">
        <f t="shared" si="170"/>
        <v>0</v>
      </c>
      <c r="PA6" s="592">
        <f>COUNTIFS(STATUS!$Q:$Q,ДЕЛА!$A6,STATUS!$D:$D,ДЕЛА!PA$1,STATUS!$S:$S,"Согласовано")</f>
        <v>6</v>
      </c>
      <c r="PB6" s="306">
        <f>COUNTIFS(STATUS!$Q:$Q,ДЕЛА!$A6,STATUS!$D:$D,ДЕЛА!PA$1)</f>
        <v>6</v>
      </c>
      <c r="PC6" s="589">
        <f t="shared" si="171"/>
        <v>1</v>
      </c>
      <c r="PD6" s="592">
        <f>COUNTIFS(STATUS!$Q:$Q,ДЕЛА!$A6,STATUS!$D:$D,ДЕЛА!PD$1,STATUS!$S:$S,"Согласовано")</f>
        <v>4</v>
      </c>
      <c r="PE6" s="306">
        <f>COUNTIFS(STATUS!$Q:$Q,ДЕЛА!$A6,STATUS!$D:$D,ДЕЛА!PD$1)</f>
        <v>4</v>
      </c>
      <c r="PF6" s="589">
        <f t="shared" si="172"/>
        <v>1</v>
      </c>
      <c r="PG6" s="592">
        <f>COUNTIFS(STATUS!$Q:$Q,ДЕЛА!$A6,STATUS!$D:$D,ДЕЛА!PG$1,STATUS!$S:$S,"Согласовано")</f>
        <v>0</v>
      </c>
      <c r="PH6" s="306">
        <f>COUNTIFS(STATUS!$Q:$Q,ДЕЛА!$A6,STATUS!$D:$D,ДЕЛА!PG$1)</f>
        <v>0</v>
      </c>
      <c r="PI6" s="589">
        <f t="shared" si="173"/>
        <v>1</v>
      </c>
      <c r="PJ6" s="592">
        <f>COUNTIFS(STATUS!$Q:$Q,ДЕЛА!$A6,STATUS!$D:$D,ДЕЛА!PJ$1,STATUS!$S:$S,"Согласовано")</f>
        <v>4</v>
      </c>
      <c r="PK6" s="306">
        <f>COUNTIFS(STATUS!$Q:$Q,ДЕЛА!$A6,STATUS!$D:$D,ДЕЛА!PJ$1)</f>
        <v>4</v>
      </c>
      <c r="PL6" s="589">
        <f t="shared" si="174"/>
        <v>1</v>
      </c>
      <c r="PM6" s="592">
        <f>COUNTIFS(STATUS!$Q:$Q,ДЕЛА!$A6,STATUS!$D:$D,ДЕЛА!PM$1,STATUS!$S:$S,"Согласовано")</f>
        <v>5</v>
      </c>
      <c r="PN6" s="306">
        <f>COUNTIFS(STATUS!$Q:$Q,ДЕЛА!$A6,STATUS!$D:$D,ДЕЛА!PM$1)</f>
        <v>5</v>
      </c>
      <c r="PO6" s="589">
        <f t="shared" si="175"/>
        <v>1</v>
      </c>
      <c r="PP6" s="808">
        <f t="shared" si="26"/>
        <v>19</v>
      </c>
      <c r="PQ6" s="600">
        <f t="shared" si="176"/>
        <v>0</v>
      </c>
      <c r="PR6" s="592">
        <f>COUNTIFS(STATUS!$Q:$Q,ДЕЛА!$A6,STATUS!$D:$D,ДЕЛА!PR$1,STATUS!$S:$S,"Согласовано")</f>
        <v>3</v>
      </c>
      <c r="PS6" s="306">
        <f>COUNTIFS(STATUS!$Q:$Q,ДЕЛА!$A6,STATUS!$D:$D,ДЕЛА!PR$1)</f>
        <v>3</v>
      </c>
      <c r="PT6" s="589">
        <f t="shared" si="177"/>
        <v>1</v>
      </c>
      <c r="PU6" s="592">
        <f>COUNTIFS(STATUS!$Q:$Q,ДЕЛА!$A6,STATUS!$D:$D,ДЕЛА!PU$1,STATUS!$S:$S,"Согласовано")</f>
        <v>4</v>
      </c>
      <c r="PV6" s="306">
        <f>COUNTIFS(STATUS!$Q:$Q,ДЕЛА!$A6,STATUS!$D:$D,ДЕЛА!PU$1)</f>
        <v>4</v>
      </c>
      <c r="PW6" s="589">
        <f t="shared" si="178"/>
        <v>1</v>
      </c>
      <c r="PX6" s="592">
        <f>COUNTIFS(STATUS!$Q:$Q,ДЕЛА!$A6,STATUS!$D:$D,ДЕЛА!PX$1,STATUS!$S:$S,"Согласовано")</f>
        <v>4</v>
      </c>
      <c r="PY6" s="306">
        <f>COUNTIFS(STATUS!$Q:$Q,ДЕЛА!$A6,STATUS!$D:$D,ДЕЛА!PX$1)</f>
        <v>4</v>
      </c>
      <c r="PZ6" s="589">
        <f t="shared" si="179"/>
        <v>1</v>
      </c>
      <c r="QA6" s="592">
        <f>COUNTIFS(STATUS!$Q:$Q,ДЕЛА!$A6,STATUS!$D:$D,ДЕЛА!QA$1,STATUS!$S:$S,"Согласовано")</f>
        <v>0</v>
      </c>
      <c r="QB6" s="306">
        <f>COUNTIFS(STATUS!$Q:$Q,ДЕЛА!$A6,STATUS!$D:$D,ДЕЛА!QA$1)</f>
        <v>0</v>
      </c>
      <c r="QC6" s="589">
        <f t="shared" si="180"/>
        <v>1</v>
      </c>
      <c r="QD6" s="592">
        <f>COUNTIFS(STATUS!$Q:$Q,ДЕЛА!$A6,STATUS!$D:$D,ДЕЛА!QD$1,STATUS!$S:$S,"Согласовано")</f>
        <v>0</v>
      </c>
      <c r="QE6" s="306">
        <f>COUNTIFS(STATUS!$Q:$Q,ДЕЛА!$A6,STATUS!$D:$D,ДЕЛА!QD$1)</f>
        <v>0</v>
      </c>
      <c r="QF6" s="589">
        <f t="shared" si="181"/>
        <v>1</v>
      </c>
      <c r="QG6" s="808">
        <f t="shared" si="27"/>
        <v>11</v>
      </c>
      <c r="QH6" s="600">
        <f t="shared" si="182"/>
        <v>0</v>
      </c>
    </row>
    <row r="7" spans="1:450" x14ac:dyDescent="0.3">
      <c r="A7" s="662" t="s">
        <v>5193</v>
      </c>
      <c r="B7" s="1321">
        <f>SUMIFS(STATUS!AA:AA,STATUS!Q:Q,A7)</f>
        <v>3.1155324074074087</v>
      </c>
      <c r="C7" s="1321">
        <f>B7/COUNTIFS(STATUS!Q:Q,ДЕЛА!A7,STATUS!AA:AA,"&lt;&gt;0")</f>
        <v>1.5655941745765872E-2</v>
      </c>
      <c r="D7" s="658">
        <f>COUNTIFS(STATUS!$Q:$Q,ДЕЛА!$A7,STATUS!$H:$H,ДЕЛА!D$1)</f>
        <v>226</v>
      </c>
      <c r="E7" s="735">
        <f t="shared" si="28"/>
        <v>0.96995708154506433</v>
      </c>
      <c r="F7" s="658">
        <f>COUNTIFS(STATUS!$Q:$Q,ДЕЛА!$A7,STATUS!$H:$H,ДЕЛА!F$1)</f>
        <v>4</v>
      </c>
      <c r="G7" s="735">
        <f t="shared" si="0"/>
        <v>1.7167381974248927E-2</v>
      </c>
      <c r="H7" s="658">
        <f>COUNTIFS(STATUS!$Q:$Q,ДЕЛА!$A7,STATUS!$I:$I,ДЕЛА!H$1)</f>
        <v>6</v>
      </c>
      <c r="I7" s="735">
        <f t="shared" si="1"/>
        <v>2.575107296137339E-2</v>
      </c>
      <c r="J7" s="658">
        <f>COUNTIFS(STATUS!$Q:$Q,ДЕЛА!$A7,STATUS!$I:$I,ДЕЛА!J$1)</f>
        <v>1</v>
      </c>
      <c r="K7" s="735">
        <f t="shared" si="2"/>
        <v>4.2918454935622317E-3</v>
      </c>
      <c r="L7" s="658">
        <f>COUNTIFS(STATUS!$Q:$Q,ДЕЛА!$A7,STATUS!$I:$I,ДЕЛА!L$1)</f>
        <v>34</v>
      </c>
      <c r="M7" s="735">
        <f t="shared" si="3"/>
        <v>0.14592274678111589</v>
      </c>
      <c r="N7" s="658">
        <f>COUNTIFS(STATUS!$Q:$Q,ДЕЛА!$A7,STATUS!$I:$I,ДЕЛА!N$1)</f>
        <v>37</v>
      </c>
      <c r="O7" s="735">
        <f t="shared" si="4"/>
        <v>0.15879828326180256</v>
      </c>
      <c r="P7" s="658">
        <f>COUNTIFS(STATUS!$Q:$Q,ДЕЛА!$A7,STATUS!$S:$S,"На доработку")</f>
        <v>0</v>
      </c>
      <c r="Q7" s="658">
        <f>COUNTIFS(STATUS!Q:Q,ДЕЛА!A7,STATUS!$S:$S,"Согласовано")</f>
        <v>232</v>
      </c>
      <c r="R7" s="658">
        <f>COUNTIFS(STATUS!$Q:$Q,ДЕЛА!$A7)</f>
        <v>233</v>
      </c>
      <c r="S7" s="658">
        <f t="shared" si="29"/>
        <v>1</v>
      </c>
      <c r="T7" s="659">
        <f t="shared" si="30"/>
        <v>0.99570815450643779</v>
      </c>
      <c r="U7" s="658">
        <f t="shared" si="31"/>
        <v>1</v>
      </c>
      <c r="V7" s="592">
        <f>COUNTIFS(STATUS!$Q:$Q,ДЕЛА!$A7,STATUS!$D:$D,ДЕЛА!V$1,STATUS!$S:$S,"Согласовано")</f>
        <v>0</v>
      </c>
      <c r="W7" s="306">
        <f>COUNTIFS(STATUS!$Q:$Q,ДЕЛА!$A7,STATUS!$D:$D,ДЕЛА!V$1)</f>
        <v>0</v>
      </c>
      <c r="X7" s="593">
        <f t="shared" si="32"/>
        <v>1</v>
      </c>
      <c r="Y7" s="401">
        <f>COUNTIFS(STATUS!$Q:$Q,ДЕЛА!$A7,STATUS!$D:$D,ДЕЛА!Y$1,STATUS!$S:$S,"Согласовано")</f>
        <v>0</v>
      </c>
      <c r="Z7" s="306">
        <f>COUNTIFS(STATUS!$Q:$Q,ДЕЛА!$A7,STATUS!$D:$D,ДЕЛА!Y$1)</f>
        <v>0</v>
      </c>
      <c r="AA7" s="589">
        <f t="shared" si="33"/>
        <v>1</v>
      </c>
      <c r="AB7" s="592">
        <f>COUNTIFS(STATUS!$Q:$Q,ДЕЛА!$A7,STATUS!$D:$D,ДЕЛА!AB$1,STATUS!$S:$S,"Согласовано")</f>
        <v>0</v>
      </c>
      <c r="AC7" s="306">
        <f>COUNTIFS(STATUS!$Q:$Q,ДЕЛА!$A7,STATUS!$D:$D,ДЕЛА!AB$1)</f>
        <v>0</v>
      </c>
      <c r="AD7" s="593">
        <f t="shared" si="34"/>
        <v>1</v>
      </c>
      <c r="AE7" s="600">
        <f>SUM(W7,Z7,AC7)-SUM(V7,Y7,AB7)</f>
        <v>0</v>
      </c>
      <c r="AF7" s="401">
        <f>COUNTIFS(STATUS!$Q:$Q,ДЕЛА!$A7,STATUS!$D:$D,ДЕЛА!AF$1,STATUS!$S:$S,"Согласовано")</f>
        <v>0</v>
      </c>
      <c r="AG7" s="306">
        <f>COUNTIFS(STATUS!$Q:$Q,ДЕЛА!$A7,STATUS!$D:$D,ДЕЛА!AF$1)</f>
        <v>0</v>
      </c>
      <c r="AH7" s="589">
        <f t="shared" si="35"/>
        <v>1</v>
      </c>
      <c r="AI7" s="592">
        <f>COUNTIFS(STATUS!$Q:$Q,ДЕЛА!$A7,STATUS!$D:$D,ДЕЛА!AI$1,STATUS!$S:$S,"Согласовано")</f>
        <v>0</v>
      </c>
      <c r="AJ7" s="306">
        <f>COUNTIFS(STATUS!$Q:$Q,ДЕЛА!$A7,STATUS!$D:$D,ДЕЛА!AI$1)</f>
        <v>0</v>
      </c>
      <c r="AK7" s="589">
        <f t="shared" si="36"/>
        <v>1</v>
      </c>
      <c r="AL7" s="401">
        <f>COUNTIFS(STATUS!$Q:$Q,ДЕЛА!$A7,STATUS!$D:$D,ДЕЛА!AL$1,STATUS!$S:$S,"Согласовано")</f>
        <v>0</v>
      </c>
      <c r="AM7" s="306">
        <f>COUNTIFS(STATUS!$Q:$Q,ДЕЛА!$A7,STATUS!$D:$D,ДЕЛА!AL$1)</f>
        <v>0</v>
      </c>
      <c r="AN7" s="589">
        <f t="shared" si="37"/>
        <v>1</v>
      </c>
      <c r="AO7" s="592">
        <f>COUNTIFS(STATUS!$Q:$Q,ДЕЛА!$A7,STATUS!$D:$D,ДЕЛА!AO$1,STATUS!$S:$S,"Согласовано")</f>
        <v>0</v>
      </c>
      <c r="AP7" s="306">
        <f>COUNTIFS(STATUS!$Q:$Q,ДЕЛА!$A7,STATUS!$D:$D,ДЕЛА!AO$1)</f>
        <v>0</v>
      </c>
      <c r="AQ7" s="589">
        <f t="shared" si="38"/>
        <v>1</v>
      </c>
      <c r="AR7" s="600">
        <f t="shared" si="5"/>
        <v>0</v>
      </c>
      <c r="AS7" s="592">
        <f>COUNTIFS(STATUS!$Q:$Q,ДЕЛА!$A7,STATUS!$D:$D,ДЕЛА!AS$1,STATUS!$S:$S,"Согласовано")</f>
        <v>0</v>
      </c>
      <c r="AT7" s="306">
        <f>COUNTIFS(STATUS!$Q:$Q,ДЕЛА!$A7,STATUS!$D:$D,ДЕЛА!AS$1)</f>
        <v>0</v>
      </c>
      <c r="AU7" s="589">
        <f t="shared" si="39"/>
        <v>1</v>
      </c>
      <c r="AV7" s="592">
        <f>COUNTIFS(STATUS!$Q:$Q,ДЕЛА!$A7,STATUS!$D:$D,ДЕЛА!AV$1,STATUS!$S:$S,"Согласовано")</f>
        <v>0</v>
      </c>
      <c r="AW7" s="306">
        <f>COUNTIFS(STATUS!$Q:$Q,ДЕЛА!$A7,STATUS!$D:$D,ДЕЛА!AV$1)</f>
        <v>0</v>
      </c>
      <c r="AX7" s="589">
        <f t="shared" si="40"/>
        <v>1</v>
      </c>
      <c r="AY7" s="592">
        <f>COUNTIFS(STATUS!$Q:$Q,ДЕЛА!$A7,STATUS!$D:$D,ДЕЛА!AY$1,STATUS!$S:$S,"Согласовано")</f>
        <v>0</v>
      </c>
      <c r="AZ7" s="306">
        <f>COUNTIFS(STATUS!$Q:$Q,ДЕЛА!$A7,STATUS!$D:$D,ДЕЛА!AY$1)</f>
        <v>0</v>
      </c>
      <c r="BA7" s="589">
        <f t="shared" si="41"/>
        <v>1</v>
      </c>
      <c r="BB7" s="592">
        <f>COUNTIFS(STATUS!$Q:$Q,ДЕЛА!$A7,STATUS!$D:$D,ДЕЛА!BB$1,STATUS!$S:$S,"Согласовано")</f>
        <v>0</v>
      </c>
      <c r="BC7" s="306">
        <f>COUNTIFS(STATUS!$Q:$Q,ДЕЛА!$A7,STATUS!$D:$D,ДЕЛА!BB$1)</f>
        <v>0</v>
      </c>
      <c r="BD7" s="589">
        <f t="shared" si="42"/>
        <v>1</v>
      </c>
      <c r="BE7" s="592">
        <f>COUNTIFS(STATUS!$Q:$Q,ДЕЛА!$A7,STATUS!$D:$D,ДЕЛА!BE$1,STATUS!$S:$S,"Согласовано")</f>
        <v>0</v>
      </c>
      <c r="BF7" s="306">
        <f>COUNTIFS(STATUS!$Q:$Q,ДЕЛА!$A7,STATUS!$D:$D,ДЕЛА!BE$1)</f>
        <v>0</v>
      </c>
      <c r="BG7" s="589">
        <f t="shared" si="43"/>
        <v>1</v>
      </c>
      <c r="BH7" s="600">
        <f t="shared" si="44"/>
        <v>0</v>
      </c>
      <c r="BI7" s="592">
        <f>COUNTIFS(STATUS!$Q:$Q,ДЕЛА!$A7,STATUS!$D:$D,ДЕЛА!BI$1,STATUS!$S:$S,"Согласовано")</f>
        <v>0</v>
      </c>
      <c r="BJ7" s="306">
        <f>COUNTIFS(STATUS!$Q:$Q,ДЕЛА!$A7,STATUS!$D:$D,ДЕЛА!BI$1)</f>
        <v>0</v>
      </c>
      <c r="BK7" s="589">
        <f t="shared" si="45"/>
        <v>1</v>
      </c>
      <c r="BL7" s="592">
        <f>COUNTIFS(STATUS!$Q:$Q,ДЕЛА!$A7,STATUS!$D:$D,ДЕЛА!BL$1,STATUS!$S:$S,"Согласовано")</f>
        <v>0</v>
      </c>
      <c r="BM7" s="306">
        <f>COUNTIFS(STATUS!$Q:$Q,ДЕЛА!$A7,STATUS!$D:$D,ДЕЛА!BL$1)</f>
        <v>0</v>
      </c>
      <c r="BN7" s="589">
        <f t="shared" si="46"/>
        <v>1</v>
      </c>
      <c r="BO7" s="592">
        <f>COUNTIFS(STATUS!$Q:$Q,ДЕЛА!$A7,STATUS!$D:$D,ДЕЛА!BO$1,STATUS!$S:$S,"Согласовано")</f>
        <v>0</v>
      </c>
      <c r="BP7" s="306">
        <f>COUNTIFS(STATUS!$Q:$Q,ДЕЛА!$A7,STATUS!$D:$D,ДЕЛА!BO$1)</f>
        <v>0</v>
      </c>
      <c r="BQ7" s="589">
        <f t="shared" si="47"/>
        <v>1</v>
      </c>
      <c r="BR7" s="592">
        <f>COUNTIFS(STATUS!$Q:$Q,ДЕЛА!$A7,STATUS!$D:$D,ДЕЛА!BR$1,STATUS!$S:$S,"Согласовано")</f>
        <v>0</v>
      </c>
      <c r="BS7" s="306">
        <f>COUNTIFS(STATUS!$Q:$Q,ДЕЛА!$A7,STATUS!$D:$D,ДЕЛА!BR$1)</f>
        <v>0</v>
      </c>
      <c r="BT7" s="589">
        <f t="shared" si="48"/>
        <v>1</v>
      </c>
      <c r="BU7" s="592">
        <f>COUNTIFS(STATUS!$Q:$Q,ДЕЛА!$A7,STATUS!$D:$D,ДЕЛА!BU$1,STATUS!$S:$S,"Согласовано")</f>
        <v>0</v>
      </c>
      <c r="BV7" s="306">
        <f>COUNTIFS(STATUS!$Q:$Q,ДЕЛА!$A7,STATUS!$D:$D,ДЕЛА!BU$1)</f>
        <v>0</v>
      </c>
      <c r="BW7" s="589">
        <f t="shared" si="49"/>
        <v>1</v>
      </c>
      <c r="BX7" s="600">
        <f t="shared" si="50"/>
        <v>0</v>
      </c>
      <c r="BY7" s="592">
        <f>COUNTIFS(STATUS!$Q:$Q,ДЕЛА!$A7,STATUS!$D:$D,ДЕЛА!BY$1,STATUS!$S:$S,"Согласовано")</f>
        <v>0</v>
      </c>
      <c r="BZ7" s="306">
        <f>COUNTIFS(STATUS!$Q:$Q,ДЕЛА!$A7,STATUS!$D:$D,ДЕЛА!BY$1)</f>
        <v>0</v>
      </c>
      <c r="CA7" s="589">
        <f t="shared" si="51"/>
        <v>1</v>
      </c>
      <c r="CB7" s="592">
        <f>COUNTIFS(STATUS!$Q:$Q,ДЕЛА!$A7,STATUS!$D:$D,ДЕЛА!CB$1,STATUS!$S:$S,"Согласовано")</f>
        <v>0</v>
      </c>
      <c r="CC7" s="306">
        <f>COUNTIFS(STATUS!$Q:$Q,ДЕЛА!$A7,STATUS!$D:$D,ДЕЛА!CB$1)</f>
        <v>0</v>
      </c>
      <c r="CD7" s="589">
        <f t="shared" si="52"/>
        <v>1</v>
      </c>
      <c r="CE7" s="592">
        <f>COUNTIFS(STATUS!$Q:$Q,ДЕЛА!$A7,STATUS!$D:$D,ДЕЛА!CE$1,STATUS!$S:$S,"Согласовано")</f>
        <v>0</v>
      </c>
      <c r="CF7" s="306">
        <f>COUNTIFS(STATUS!$Q:$Q,ДЕЛА!$A7,STATUS!$D:$D,ДЕЛА!CE$1)</f>
        <v>0</v>
      </c>
      <c r="CG7" s="589">
        <f t="shared" si="53"/>
        <v>1</v>
      </c>
      <c r="CH7" s="592">
        <f>COUNTIFS(STATUS!$Q:$Q,ДЕЛА!$A7,STATUS!$D:$D,ДЕЛА!CH$1,STATUS!$S:$S,"Согласовано")</f>
        <v>0</v>
      </c>
      <c r="CI7" s="306">
        <f>COUNTIFS(STATUS!$Q:$Q,ДЕЛА!$A7,STATUS!$D:$D,ДЕЛА!CH$1)</f>
        <v>0</v>
      </c>
      <c r="CJ7" s="589">
        <f t="shared" si="54"/>
        <v>1</v>
      </c>
      <c r="CK7" s="592">
        <f>COUNTIFS(STATUS!$Q:$Q,ДЕЛА!$A7,STATUS!$D:$D,ДЕЛА!CK$1,STATUS!$S:$S,"Согласовано")</f>
        <v>0</v>
      </c>
      <c r="CL7" s="306">
        <f>COUNTIFS(STATUS!$Q:$Q,ДЕЛА!$A7,STATUS!$D:$D,ДЕЛА!CK$1)</f>
        <v>0</v>
      </c>
      <c r="CM7" s="589">
        <f t="shared" si="55"/>
        <v>1</v>
      </c>
      <c r="CN7" s="808">
        <f t="shared" si="6"/>
        <v>0</v>
      </c>
      <c r="CO7" s="600">
        <f t="shared" si="56"/>
        <v>0</v>
      </c>
      <c r="CP7" s="592">
        <f>COUNTIFS(STATUS!$Q:$Q,ДЕЛА!$A7,STATUS!$D:$D,ДЕЛА!CP$1,STATUS!$S:$S,"Согласовано")</f>
        <v>0</v>
      </c>
      <c r="CQ7" s="306">
        <f>COUNTIFS(STATUS!$Q:$Q,ДЕЛА!$A7,STATUS!$D:$D,ДЕЛА!CP$1)</f>
        <v>0</v>
      </c>
      <c r="CR7" s="589">
        <f t="shared" si="57"/>
        <v>1</v>
      </c>
      <c r="CS7" s="592">
        <f>COUNTIFS(STATUS!$Q:$Q,ДЕЛА!$A7,STATUS!$D:$D,ДЕЛА!CS$1,STATUS!$S:$S,"Согласовано")</f>
        <v>0</v>
      </c>
      <c r="CT7" s="306">
        <f>COUNTIFS(STATUS!$Q:$Q,ДЕЛА!$A7,STATUS!$D:$D,ДЕЛА!CS$1)</f>
        <v>0</v>
      </c>
      <c r="CU7" s="589">
        <f t="shared" si="58"/>
        <v>1</v>
      </c>
      <c r="CV7" s="592">
        <f>COUNTIFS(STATUS!$Q:$Q,ДЕЛА!$A7,STATUS!$D:$D,ДЕЛА!CV$1,STATUS!$S:$S,"Согласовано")</f>
        <v>0</v>
      </c>
      <c r="CW7" s="306">
        <f>COUNTIFS(STATUS!$Q:$Q,ДЕЛА!$A7,STATUS!$D:$D,ДЕЛА!CV$1)</f>
        <v>0</v>
      </c>
      <c r="CX7" s="589">
        <f t="shared" si="59"/>
        <v>1</v>
      </c>
      <c r="CY7" s="592">
        <f>COUNTIFS(STATUS!$Q:$Q,ДЕЛА!$A7,STATUS!$D:$D,ДЕЛА!CY$1,STATUS!$S:$S,"Согласовано")</f>
        <v>0</v>
      </c>
      <c r="CZ7" s="306">
        <f>COUNTIFS(STATUS!$Q:$Q,ДЕЛА!$A7,STATUS!$D:$D,ДЕЛА!CY$1)</f>
        <v>0</v>
      </c>
      <c r="DA7" s="589">
        <f t="shared" si="60"/>
        <v>1</v>
      </c>
      <c r="DB7" s="592">
        <f>COUNTIFS(STATUS!$Q:$Q,ДЕЛА!$A7,STATUS!$D:$D,ДЕЛА!DB$1,STATUS!$S:$S,"Согласовано")</f>
        <v>0</v>
      </c>
      <c r="DC7" s="306">
        <f>COUNTIFS(STATUS!$Q:$Q,ДЕЛА!$A7,STATUS!$D:$D,ДЕЛА!DB$1)</f>
        <v>0</v>
      </c>
      <c r="DD7" s="589">
        <f t="shared" si="61"/>
        <v>1</v>
      </c>
      <c r="DE7" s="808">
        <f t="shared" si="7"/>
        <v>0</v>
      </c>
      <c r="DF7" s="600">
        <f t="shared" si="62"/>
        <v>0</v>
      </c>
      <c r="DG7" s="592">
        <f>COUNTIFS(STATUS!$Q:$Q,ДЕЛА!$A7,STATUS!$D:$D,ДЕЛА!DG$1,STATUS!$S:$S,"Согласовано")</f>
        <v>0</v>
      </c>
      <c r="DH7" s="306">
        <f>COUNTIFS(STATUS!$Q:$Q,ДЕЛА!$A7,STATUS!$D:$D,ДЕЛА!DG$1)</f>
        <v>0</v>
      </c>
      <c r="DI7" s="589">
        <f t="shared" si="63"/>
        <v>1</v>
      </c>
      <c r="DJ7" s="592">
        <f>COUNTIFS(STATUS!$Q:$Q,ДЕЛА!$A7,STATUS!$D:$D,ДЕЛА!DJ$1,STATUS!$S:$S,"Согласовано")</f>
        <v>0</v>
      </c>
      <c r="DK7" s="306">
        <f>COUNTIFS(STATUS!$Q:$Q,ДЕЛА!$A7,STATUS!$D:$D,ДЕЛА!DJ$1)</f>
        <v>0</v>
      </c>
      <c r="DL7" s="589">
        <f t="shared" si="64"/>
        <v>1</v>
      </c>
      <c r="DM7" s="592">
        <f>COUNTIFS(STATUS!$Q:$Q,ДЕЛА!$A7,STATUS!$D:$D,ДЕЛА!DM$1,STATUS!$S:$S,"Согласовано")</f>
        <v>0</v>
      </c>
      <c r="DN7" s="306">
        <f>COUNTIFS(STATUS!$Q:$Q,ДЕЛА!$A7,STATUS!$D:$D,ДЕЛА!DM$1)</f>
        <v>0</v>
      </c>
      <c r="DO7" s="589">
        <f t="shared" si="65"/>
        <v>1</v>
      </c>
      <c r="DP7" s="592">
        <f>COUNTIFS(STATUS!$Q:$Q,ДЕЛА!$A7,STATUS!$D:$D,ДЕЛА!DP$1,STATUS!$S:$S,"Согласовано")</f>
        <v>0</v>
      </c>
      <c r="DQ7" s="306">
        <f>COUNTIFS(STATUS!$Q:$Q,ДЕЛА!$A7,STATUS!$D:$D,ДЕЛА!DP$1)</f>
        <v>0</v>
      </c>
      <c r="DR7" s="589">
        <f t="shared" si="66"/>
        <v>1</v>
      </c>
      <c r="DS7" s="592">
        <f>COUNTIFS(STATUS!$Q:$Q,ДЕЛА!$A7,STATUS!$D:$D,ДЕЛА!DS$1,STATUS!$S:$S,"Согласовано")</f>
        <v>0</v>
      </c>
      <c r="DT7" s="306">
        <f>COUNTIFS(STATUS!$Q:$Q,ДЕЛА!$A7,STATUS!$D:$D,ДЕЛА!DS$1)</f>
        <v>0</v>
      </c>
      <c r="DU7" s="589">
        <f t="shared" si="67"/>
        <v>1</v>
      </c>
      <c r="DV7" s="808">
        <f t="shared" si="8"/>
        <v>0</v>
      </c>
      <c r="DW7" s="600">
        <f t="shared" si="68"/>
        <v>0</v>
      </c>
      <c r="DX7" s="592">
        <f>COUNTIFS(STATUS!$Q:$Q,ДЕЛА!$A7,STATUS!$D:$D,ДЕЛА!DX$1,STATUS!$S:$S,"Согласовано")</f>
        <v>0</v>
      </c>
      <c r="DY7" s="306">
        <f>COUNTIFS(STATUS!$Q:$Q,ДЕЛА!$A7,STATUS!$D:$D,ДЕЛА!DX$1)</f>
        <v>0</v>
      </c>
      <c r="DZ7" s="589">
        <f t="shared" si="69"/>
        <v>1</v>
      </c>
      <c r="EA7" s="592">
        <f>COUNTIFS(STATUS!$Q:$Q,ДЕЛА!$A7,STATUS!$D:$D,ДЕЛА!EA$1,STATUS!$S:$S,"Согласовано")</f>
        <v>0</v>
      </c>
      <c r="EB7" s="306">
        <f>COUNTIFS(STATUS!$Q:$Q,ДЕЛА!$A7,STATUS!$D:$D,ДЕЛА!EA$1)</f>
        <v>0</v>
      </c>
      <c r="EC7" s="589">
        <f t="shared" si="70"/>
        <v>1</v>
      </c>
      <c r="ED7" s="592">
        <f>COUNTIFS(STATUS!$Q:$Q,ДЕЛА!$A7,STATUS!$D:$D,ДЕЛА!ED$1,STATUS!$S:$S,"Согласовано")</f>
        <v>0</v>
      </c>
      <c r="EE7" s="306">
        <f>COUNTIFS(STATUS!$Q:$Q,ДЕЛА!$A7,STATUS!$D:$D,ДЕЛА!ED$1)</f>
        <v>0</v>
      </c>
      <c r="EF7" s="589">
        <f t="shared" si="71"/>
        <v>1</v>
      </c>
      <c r="EG7" s="592">
        <f>COUNTIFS(STATUS!$Q:$Q,ДЕЛА!$A7,STATUS!$D:$D,ДЕЛА!EG$1,STATUS!$S:$S,"Согласовано")</f>
        <v>0</v>
      </c>
      <c r="EH7" s="306">
        <f>COUNTIFS(STATUS!$Q:$Q,ДЕЛА!$A7,STATUS!$D:$D,ДЕЛА!EG$1)</f>
        <v>0</v>
      </c>
      <c r="EI7" s="589">
        <f t="shared" si="72"/>
        <v>1</v>
      </c>
      <c r="EJ7" s="592">
        <f>COUNTIFS(STATUS!$Q:$Q,ДЕЛА!$A7,STATUS!$D:$D,ДЕЛА!EJ$1,STATUS!$S:$S,"Согласовано")</f>
        <v>0</v>
      </c>
      <c r="EK7" s="306">
        <f>COUNTIFS(STATUS!$Q:$Q,ДЕЛА!$A7,STATUS!$D:$D,ДЕЛА!EJ$1)</f>
        <v>0</v>
      </c>
      <c r="EL7" s="589">
        <f t="shared" si="73"/>
        <v>1</v>
      </c>
      <c r="EM7" s="808">
        <f t="shared" si="9"/>
        <v>0</v>
      </c>
      <c r="EN7" s="600">
        <f t="shared" si="74"/>
        <v>0</v>
      </c>
      <c r="EO7" s="592">
        <f>COUNTIFS(STATUS!$Q:$Q,ДЕЛА!$A7,STATUS!$D:$D,ДЕЛА!EO$1,STATUS!$S:$S,"Согласовано")</f>
        <v>0</v>
      </c>
      <c r="EP7" s="306">
        <f>COUNTIFS(STATUS!$Q:$Q,ДЕЛА!$A7,STATUS!$D:$D,ДЕЛА!EO$1)</f>
        <v>0</v>
      </c>
      <c r="EQ7" s="589">
        <f t="shared" si="75"/>
        <v>1</v>
      </c>
      <c r="ER7" s="592">
        <f>COUNTIFS(STATUS!$Q:$Q,ДЕЛА!$A7,STATUS!$D:$D,ДЕЛА!ER$1,STATUS!$S:$S,"Согласовано")</f>
        <v>0</v>
      </c>
      <c r="ES7" s="306">
        <f>COUNTIFS(STATUS!$Q:$Q,ДЕЛА!$A7,STATUS!$D:$D,ДЕЛА!ER$1)</f>
        <v>0</v>
      </c>
      <c r="ET7" s="589">
        <f t="shared" si="76"/>
        <v>1</v>
      </c>
      <c r="EU7" s="592">
        <f>COUNTIFS(STATUS!$Q:$Q,ДЕЛА!$A7,STATUS!$D:$D,ДЕЛА!EU$1,STATUS!$S:$S,"Согласовано")</f>
        <v>0</v>
      </c>
      <c r="EV7" s="306">
        <f>COUNTIFS(STATUS!$Q:$Q,ДЕЛА!$A7,STATUS!$D:$D,ДЕЛА!EU$1)</f>
        <v>0</v>
      </c>
      <c r="EW7" s="589">
        <f t="shared" si="77"/>
        <v>1</v>
      </c>
      <c r="EX7" s="592">
        <f>COUNTIFS(STATUS!$Q:$Q,ДЕЛА!$A7,STATUS!$D:$D,ДЕЛА!EX$1,STATUS!$S:$S,"Согласовано")</f>
        <v>0</v>
      </c>
      <c r="EY7" s="306">
        <f>COUNTIFS(STATUS!$Q:$Q,ДЕЛА!$A7,STATUS!$D:$D,ДЕЛА!EX$1)</f>
        <v>0</v>
      </c>
      <c r="EZ7" s="589">
        <f t="shared" si="78"/>
        <v>1</v>
      </c>
      <c r="FA7" s="592">
        <f>COUNTIFS(STATUS!$Q:$Q,ДЕЛА!$A7,STATUS!$D:$D,ДЕЛА!FA$1,STATUS!$S:$S,"Согласовано")</f>
        <v>0</v>
      </c>
      <c r="FB7" s="306">
        <f>COUNTIFS(STATUS!$Q:$Q,ДЕЛА!$A7,STATUS!$D:$D,ДЕЛА!FA$1)</f>
        <v>0</v>
      </c>
      <c r="FC7" s="589">
        <f t="shared" si="79"/>
        <v>1</v>
      </c>
      <c r="FD7" s="808">
        <f t="shared" si="10"/>
        <v>0</v>
      </c>
      <c r="FE7" s="600">
        <f t="shared" si="80"/>
        <v>0</v>
      </c>
      <c r="FF7" s="592">
        <f>COUNTIFS(STATUS!$Q:$Q,ДЕЛА!$A7,STATUS!$D:$D,ДЕЛА!FF$1,STATUS!$S:$S,"Согласовано")</f>
        <v>0</v>
      </c>
      <c r="FG7" s="306">
        <f>COUNTIFS(STATUS!$Q:$Q,ДЕЛА!$A7,STATUS!$D:$D,ДЕЛА!FF$1)</f>
        <v>0</v>
      </c>
      <c r="FH7" s="589">
        <f t="shared" si="81"/>
        <v>1</v>
      </c>
      <c r="FI7" s="592">
        <f>COUNTIFS(STATUS!$Q:$Q,ДЕЛА!$A7,STATUS!$D:$D,ДЕЛА!FI$1,STATUS!$S:$S,"Согласовано")</f>
        <v>0</v>
      </c>
      <c r="FJ7" s="306">
        <f>COUNTIFS(STATUS!$Q:$Q,ДЕЛА!$A7,STATUS!$D:$D,ДЕЛА!FI$1)</f>
        <v>0</v>
      </c>
      <c r="FK7" s="589">
        <f t="shared" si="82"/>
        <v>1</v>
      </c>
      <c r="FL7" s="592">
        <f>COUNTIFS(STATUS!$Q:$Q,ДЕЛА!$A7,STATUS!$D:$D,ДЕЛА!FL$1,STATUS!$S:$S,"Согласовано")</f>
        <v>0</v>
      </c>
      <c r="FM7" s="306">
        <f>COUNTIFS(STATUS!$Q:$Q,ДЕЛА!$A7,STATUS!$D:$D,ДЕЛА!FL$1)</f>
        <v>0</v>
      </c>
      <c r="FN7" s="589">
        <f t="shared" si="83"/>
        <v>1</v>
      </c>
      <c r="FO7" s="592">
        <f>COUNTIFS(STATUS!$Q:$Q,ДЕЛА!$A7,STATUS!$D:$D,ДЕЛА!FO$1,STATUS!$S:$S,"Согласовано")</f>
        <v>0</v>
      </c>
      <c r="FP7" s="306">
        <f>COUNTIFS(STATUS!$Q:$Q,ДЕЛА!$A7,STATUS!$D:$D,ДЕЛА!FO$1)</f>
        <v>0</v>
      </c>
      <c r="FQ7" s="589">
        <f t="shared" si="84"/>
        <v>1</v>
      </c>
      <c r="FR7" s="592">
        <f>COUNTIFS(STATUS!$Q:$Q,ДЕЛА!$A7,STATUS!$D:$D,ДЕЛА!FR$1,STATUS!$S:$S,"Согласовано")</f>
        <v>0</v>
      </c>
      <c r="FS7" s="306">
        <f>COUNTIFS(STATUS!$Q:$Q,ДЕЛА!$A7,STATUS!$D:$D,ДЕЛА!FR$1)</f>
        <v>0</v>
      </c>
      <c r="FT7" s="589">
        <f t="shared" si="85"/>
        <v>1</v>
      </c>
      <c r="FU7" s="808">
        <f t="shared" si="11"/>
        <v>0</v>
      </c>
      <c r="FV7" s="600">
        <f t="shared" si="86"/>
        <v>0</v>
      </c>
      <c r="FW7" s="592">
        <f>COUNTIFS(STATUS!$Q:$Q,ДЕЛА!$A7,STATUS!$D:$D,ДЕЛА!FW$1,STATUS!$S:$S,"Согласовано")</f>
        <v>0</v>
      </c>
      <c r="FX7" s="306">
        <f>COUNTIFS(STATUS!$Q:$Q,ДЕЛА!$A7,STATUS!$D:$D,ДЕЛА!FW$1)</f>
        <v>0</v>
      </c>
      <c r="FY7" s="589">
        <f t="shared" si="87"/>
        <v>1</v>
      </c>
      <c r="FZ7" s="592">
        <f>COUNTIFS(STATUS!$Q:$Q,ДЕЛА!$A7,STATUS!$D:$D,ДЕЛА!FZ$1,STATUS!$S:$S,"Согласовано")</f>
        <v>0</v>
      </c>
      <c r="GA7" s="306">
        <f>COUNTIFS(STATUS!$Q:$Q,ДЕЛА!$A7,STATUS!$D:$D,ДЕЛА!FZ$1)</f>
        <v>0</v>
      </c>
      <c r="GB7" s="589">
        <f t="shared" si="88"/>
        <v>1</v>
      </c>
      <c r="GC7" s="592">
        <f>COUNTIFS(STATUS!$Q:$Q,ДЕЛА!$A7,STATUS!$D:$D,ДЕЛА!GC$1,STATUS!$S:$S,"Согласовано")</f>
        <v>0</v>
      </c>
      <c r="GD7" s="306">
        <f>COUNTIFS(STATUS!$Q:$Q,ДЕЛА!$A7,STATUS!$D:$D,ДЕЛА!GC$1)</f>
        <v>0</v>
      </c>
      <c r="GE7" s="589">
        <f t="shared" si="89"/>
        <v>1</v>
      </c>
      <c r="GF7" s="592">
        <f>COUNTIFS(STATUS!$Q:$Q,ДЕЛА!$A7,STATUS!$D:$D,ДЕЛА!GF$1,STATUS!$S:$S,"Согласовано")</f>
        <v>0</v>
      </c>
      <c r="GG7" s="306">
        <f>COUNTIFS(STATUS!$Q:$Q,ДЕЛА!$A7,STATUS!$D:$D,ДЕЛА!GF$1)</f>
        <v>0</v>
      </c>
      <c r="GH7" s="589">
        <f t="shared" si="90"/>
        <v>1</v>
      </c>
      <c r="GI7" s="592">
        <f>COUNTIFS(STATUS!$Q:$Q,ДЕЛА!$A7,STATUS!$D:$D,ДЕЛА!GI$1,STATUS!$S:$S,"Согласовано")</f>
        <v>0</v>
      </c>
      <c r="GJ7" s="306">
        <f>COUNTIFS(STATUS!$Q:$Q,ДЕЛА!$A7,STATUS!$D:$D,ДЕЛА!GI$1)</f>
        <v>0</v>
      </c>
      <c r="GK7" s="589">
        <f t="shared" si="91"/>
        <v>1</v>
      </c>
      <c r="GL7" s="808">
        <f t="shared" si="12"/>
        <v>0</v>
      </c>
      <c r="GM7" s="600">
        <f t="shared" si="92"/>
        <v>0</v>
      </c>
      <c r="GN7" s="592">
        <f>COUNTIFS(STATUS!$Q:$Q,ДЕЛА!$A7,STATUS!$D:$D,ДЕЛА!GN$1,STATUS!$S:$S,"Согласовано")</f>
        <v>0</v>
      </c>
      <c r="GO7" s="306">
        <f>COUNTIFS(STATUS!$Q:$Q,ДЕЛА!$A7,STATUS!$D:$D,ДЕЛА!GN$1)</f>
        <v>0</v>
      </c>
      <c r="GP7" s="589">
        <f t="shared" si="93"/>
        <v>1</v>
      </c>
      <c r="GQ7" s="592">
        <f>COUNTIFS(STATUS!$Q:$Q,ДЕЛА!$A7,STATUS!$D:$D,ДЕЛА!GQ$1,STATUS!$S:$S,"Согласовано")</f>
        <v>0</v>
      </c>
      <c r="GR7" s="306">
        <f>COUNTIFS(STATUS!$Q:$Q,ДЕЛА!$A7,STATUS!$D:$D,ДЕЛА!GQ$1)</f>
        <v>0</v>
      </c>
      <c r="GS7" s="589">
        <f t="shared" si="94"/>
        <v>1</v>
      </c>
      <c r="GT7" s="592">
        <f>COUNTIFS(STATUS!$Q:$Q,ДЕЛА!$A7,STATUS!$D:$D,ДЕЛА!GT$1,STATUS!$S:$S,"Согласовано")</f>
        <v>0</v>
      </c>
      <c r="GU7" s="306">
        <f>COUNTIFS(STATUS!$Q:$Q,ДЕЛА!$A7,STATUS!$D:$D,ДЕЛА!GT$1)</f>
        <v>0</v>
      </c>
      <c r="GV7" s="589">
        <f t="shared" si="95"/>
        <v>1</v>
      </c>
      <c r="GW7" s="592">
        <f>COUNTIFS(STATUS!$Q:$Q,ДЕЛА!$A7,STATUS!$D:$D,ДЕЛА!GW$1,STATUS!$S:$S,"Согласовано")</f>
        <v>0</v>
      </c>
      <c r="GX7" s="306">
        <f>COUNTIFS(STATUS!$Q:$Q,ДЕЛА!$A7,STATUS!$D:$D,ДЕЛА!GW$1)</f>
        <v>0</v>
      </c>
      <c r="GY7" s="589">
        <f t="shared" si="96"/>
        <v>1</v>
      </c>
      <c r="GZ7" s="592">
        <f>COUNTIFS(STATUS!$Q:$Q,ДЕЛА!$A7,STATUS!$D:$D,ДЕЛА!GZ$1,STATUS!$S:$S,"Согласовано")</f>
        <v>0</v>
      </c>
      <c r="HA7" s="306">
        <f>COUNTIFS(STATUS!$Q:$Q,ДЕЛА!$A7,STATUS!$D:$D,ДЕЛА!GZ$1)</f>
        <v>0</v>
      </c>
      <c r="HB7" s="589">
        <f t="shared" si="97"/>
        <v>1</v>
      </c>
      <c r="HC7" s="808">
        <f t="shared" si="13"/>
        <v>0</v>
      </c>
      <c r="HD7" s="600">
        <f t="shared" si="98"/>
        <v>0</v>
      </c>
      <c r="HE7" s="592">
        <f>COUNTIFS(STATUS!$Q:$Q,ДЕЛА!$A7,STATUS!$D:$D,ДЕЛА!HE$1,STATUS!$S:$S,"Согласовано")</f>
        <v>0</v>
      </c>
      <c r="HF7" s="306">
        <f>COUNTIFS(STATUS!$Q:$Q,ДЕЛА!$A7,STATUS!$D:$D,ДЕЛА!HE$1)</f>
        <v>0</v>
      </c>
      <c r="HG7" s="589">
        <f t="shared" si="99"/>
        <v>1</v>
      </c>
      <c r="HH7" s="592">
        <f>COUNTIFS(STATUS!$Q:$Q,ДЕЛА!$A7,STATUS!$D:$D,ДЕЛА!HH$1,STATUS!$S:$S,"Согласовано")</f>
        <v>0</v>
      </c>
      <c r="HI7" s="306">
        <f>COUNTIFS(STATUS!$Q:$Q,ДЕЛА!$A7,STATUS!$D:$D,ДЕЛА!HH$1)</f>
        <v>0</v>
      </c>
      <c r="HJ7" s="589">
        <f t="shared" si="100"/>
        <v>1</v>
      </c>
      <c r="HK7" s="592">
        <f>COUNTIFS(STATUS!$Q:$Q,ДЕЛА!$A7,STATUS!$D:$D,ДЕЛА!HK$1,STATUS!$S:$S,"Согласовано")</f>
        <v>0</v>
      </c>
      <c r="HL7" s="306">
        <f>COUNTIFS(STATUS!$Q:$Q,ДЕЛА!$A7,STATUS!$D:$D,ДЕЛА!HK$1)</f>
        <v>0</v>
      </c>
      <c r="HM7" s="589">
        <f t="shared" si="101"/>
        <v>1</v>
      </c>
      <c r="HN7" s="592">
        <f>COUNTIFS(STATUS!$Q:$Q,ДЕЛА!$A7,STATUS!$D:$D,ДЕЛА!HN$1,STATUS!$S:$S,"Согласовано")</f>
        <v>0</v>
      </c>
      <c r="HO7" s="306">
        <f>COUNTIFS(STATUS!$Q:$Q,ДЕЛА!$A7,STATUS!$D:$D,ДЕЛА!HN$1)</f>
        <v>0</v>
      </c>
      <c r="HP7" s="589">
        <f t="shared" si="102"/>
        <v>1</v>
      </c>
      <c r="HQ7" s="592">
        <f>COUNTIFS(STATUS!$Q:$Q,ДЕЛА!$A7,STATUS!$D:$D,ДЕЛА!HQ$1,STATUS!$S:$S,"Согласовано")</f>
        <v>0</v>
      </c>
      <c r="HR7" s="306">
        <f>COUNTIFS(STATUS!$Q:$Q,ДЕЛА!$A7,STATUS!$D:$D,ДЕЛА!HQ$1)</f>
        <v>0</v>
      </c>
      <c r="HS7" s="589">
        <f t="shared" si="103"/>
        <v>1</v>
      </c>
      <c r="HT7" s="808">
        <f t="shared" si="14"/>
        <v>0</v>
      </c>
      <c r="HU7" s="600">
        <f t="shared" si="104"/>
        <v>0</v>
      </c>
      <c r="HV7" s="592">
        <f>COUNTIFS(STATUS!$Q:$Q,ДЕЛА!$A7,STATUS!$D:$D,ДЕЛА!HV$1,STATUS!$S:$S,"Согласовано")</f>
        <v>0</v>
      </c>
      <c r="HW7" s="306">
        <f>COUNTIFS(STATUS!$Q:$Q,ДЕЛА!$A7,STATUS!$D:$D,ДЕЛА!HV$1)</f>
        <v>0</v>
      </c>
      <c r="HX7" s="589">
        <f t="shared" si="105"/>
        <v>1</v>
      </c>
      <c r="HY7" s="592">
        <f>COUNTIFS(STATUS!$Q:$Q,ДЕЛА!$A7,STATUS!$D:$D,ДЕЛА!HY$1,STATUS!$S:$S,"Согласовано")</f>
        <v>0</v>
      </c>
      <c r="HZ7" s="306">
        <f>COUNTIFS(STATUS!$Q:$Q,ДЕЛА!$A7,STATUS!$D:$D,ДЕЛА!HY$1)</f>
        <v>0</v>
      </c>
      <c r="IA7" s="589">
        <f t="shared" si="106"/>
        <v>1</v>
      </c>
      <c r="IB7" s="592">
        <f>COUNTIFS(STATUS!$Q:$Q,ДЕЛА!$A7,STATUS!$D:$D,ДЕЛА!IB$1,STATUS!$S:$S,"Согласовано")</f>
        <v>0</v>
      </c>
      <c r="IC7" s="306">
        <f>COUNTIFS(STATUS!$Q:$Q,ДЕЛА!$A7,STATUS!$D:$D,ДЕЛА!IB$1)</f>
        <v>0</v>
      </c>
      <c r="ID7" s="589">
        <f t="shared" si="107"/>
        <v>1</v>
      </c>
      <c r="IE7" s="592">
        <f>COUNTIFS(STATUS!$Q:$Q,ДЕЛА!$A7,STATUS!$D:$D,ДЕЛА!IE$1,STATUS!$S:$S,"Согласовано")</f>
        <v>0</v>
      </c>
      <c r="IF7" s="306">
        <f>COUNTIFS(STATUS!$Q:$Q,ДЕЛА!$A7,STATUS!$D:$D,ДЕЛА!IE$1)</f>
        <v>0</v>
      </c>
      <c r="IG7" s="589">
        <f t="shared" si="108"/>
        <v>1</v>
      </c>
      <c r="IH7" s="592">
        <f>COUNTIFS(STATUS!$Q:$Q,ДЕЛА!$A7,STATUS!$D:$D,ДЕЛА!IH$1,STATUS!$S:$S,"Согласовано")</f>
        <v>0</v>
      </c>
      <c r="II7" s="306">
        <f>COUNTIFS(STATUS!$Q:$Q,ДЕЛА!$A7,STATUS!$D:$D,ДЕЛА!IH$1)</f>
        <v>0</v>
      </c>
      <c r="IJ7" s="589">
        <f t="shared" si="109"/>
        <v>1</v>
      </c>
      <c r="IK7" s="808">
        <f t="shared" si="15"/>
        <v>0</v>
      </c>
      <c r="IL7" s="600">
        <f t="shared" si="110"/>
        <v>0</v>
      </c>
      <c r="IM7" s="592">
        <f>COUNTIFS(STATUS!$Q:$Q,ДЕЛА!$A7,STATUS!$D:$D,ДЕЛА!IM$1,STATUS!$S:$S,"Согласовано")</f>
        <v>0</v>
      </c>
      <c r="IN7" s="306">
        <f>COUNTIFS(STATUS!$Q:$Q,ДЕЛА!$A7,STATUS!$D:$D,ДЕЛА!IM$1)</f>
        <v>0</v>
      </c>
      <c r="IO7" s="589">
        <f t="shared" si="111"/>
        <v>1</v>
      </c>
      <c r="IP7" s="592">
        <f>COUNTIFS(STATUS!$Q:$Q,ДЕЛА!$A7,STATUS!$D:$D,ДЕЛА!IP$1,STATUS!$S:$S,"Согласовано")</f>
        <v>0</v>
      </c>
      <c r="IQ7" s="306">
        <f>COUNTIFS(STATUS!$Q:$Q,ДЕЛА!$A7,STATUS!$D:$D,ДЕЛА!IP$1)</f>
        <v>0</v>
      </c>
      <c r="IR7" s="589">
        <f t="shared" si="112"/>
        <v>1</v>
      </c>
      <c r="IS7" s="592">
        <f>COUNTIFS(STATUS!$Q:$Q,ДЕЛА!$A7,STATUS!$D:$D,ДЕЛА!IS$1,STATUS!$S:$S,"Согласовано")</f>
        <v>0</v>
      </c>
      <c r="IT7" s="306">
        <f>COUNTIFS(STATUS!$Q:$Q,ДЕЛА!$A7,STATUS!$D:$D,ДЕЛА!IS$1)</f>
        <v>0</v>
      </c>
      <c r="IU7" s="589">
        <f t="shared" si="113"/>
        <v>1</v>
      </c>
      <c r="IV7" s="592">
        <f>COUNTIFS(STATUS!$Q:$Q,ДЕЛА!$A7,STATUS!$D:$D,ДЕЛА!IV$1,STATUS!$S:$S,"Согласовано")</f>
        <v>0</v>
      </c>
      <c r="IW7" s="306">
        <f>COUNTIFS(STATUS!$Q:$Q,ДЕЛА!$A7,STATUS!$D:$D,ДЕЛА!IV$1)</f>
        <v>0</v>
      </c>
      <c r="IX7" s="589">
        <f t="shared" si="114"/>
        <v>1</v>
      </c>
      <c r="IY7" s="592">
        <f>COUNTIFS(STATUS!$Q:$Q,ДЕЛА!$A7,STATUS!$D:$D,ДЕЛА!IY$1,STATUS!$S:$S,"Согласовано")</f>
        <v>0</v>
      </c>
      <c r="IZ7" s="306">
        <f>COUNTIFS(STATUS!$Q:$Q,ДЕЛА!$A7,STATUS!$D:$D,ДЕЛА!IY$1)</f>
        <v>0</v>
      </c>
      <c r="JA7" s="589">
        <f t="shared" si="115"/>
        <v>1</v>
      </c>
      <c r="JB7" s="808">
        <f t="shared" si="16"/>
        <v>0</v>
      </c>
      <c r="JC7" s="600">
        <f t="shared" si="116"/>
        <v>0</v>
      </c>
      <c r="JD7" s="592">
        <f>COUNTIFS(STATUS!$Q:$Q,ДЕЛА!$A7,STATUS!$D:$D,ДЕЛА!JD$1,STATUS!$S:$S,"Согласовано")</f>
        <v>0</v>
      </c>
      <c r="JE7" s="306">
        <f>COUNTIFS(STATUS!$Q:$Q,ДЕЛА!$A7,STATUS!$D:$D,ДЕЛА!JD$1)</f>
        <v>0</v>
      </c>
      <c r="JF7" s="589">
        <f t="shared" si="117"/>
        <v>1</v>
      </c>
      <c r="JG7" s="592">
        <f>COUNTIFS(STATUS!$Q:$Q,ДЕЛА!$A7,STATUS!$D:$D,ДЕЛА!JG$1,STATUS!$S:$S,"Согласовано")</f>
        <v>0</v>
      </c>
      <c r="JH7" s="306">
        <f>COUNTIFS(STATUS!$Q:$Q,ДЕЛА!$A7,STATUS!$D:$D,ДЕЛА!JG$1)</f>
        <v>0</v>
      </c>
      <c r="JI7" s="589">
        <f t="shared" si="118"/>
        <v>1</v>
      </c>
      <c r="JJ7" s="592">
        <f>COUNTIFS(STATUS!$Q:$Q,ДЕЛА!$A7,STATUS!$D:$D,ДЕЛА!JJ$1,STATUS!$S:$S,"Согласовано")</f>
        <v>0</v>
      </c>
      <c r="JK7" s="306">
        <f>COUNTIFS(STATUS!$Q:$Q,ДЕЛА!$A7,STATUS!$D:$D,ДЕЛА!JJ$1)</f>
        <v>0</v>
      </c>
      <c r="JL7" s="589">
        <f t="shared" si="119"/>
        <v>1</v>
      </c>
      <c r="JM7" s="592">
        <f>COUNTIFS(STATUS!$Q:$Q,ДЕЛА!$A7,STATUS!$D:$D,ДЕЛА!JM$1,STATUS!$S:$S,"Согласовано")</f>
        <v>0</v>
      </c>
      <c r="JN7" s="306">
        <f>COUNTIFS(STATUS!$Q:$Q,ДЕЛА!$A7,STATUS!$D:$D,ДЕЛА!JM$1)</f>
        <v>0</v>
      </c>
      <c r="JO7" s="589">
        <f t="shared" si="120"/>
        <v>1</v>
      </c>
      <c r="JP7" s="592">
        <f>COUNTIFS(STATUS!$Q:$Q,ДЕЛА!$A7,STATUS!$D:$D,ДЕЛА!JP$1,STATUS!$S:$S,"Согласовано")</f>
        <v>0</v>
      </c>
      <c r="JQ7" s="306">
        <f>COUNTIFS(STATUS!$Q:$Q,ДЕЛА!$A7,STATUS!$D:$D,ДЕЛА!JP$1)</f>
        <v>0</v>
      </c>
      <c r="JR7" s="589">
        <f t="shared" si="121"/>
        <v>1</v>
      </c>
      <c r="JS7" s="808">
        <f t="shared" si="17"/>
        <v>0</v>
      </c>
      <c r="JT7" s="600">
        <f t="shared" si="122"/>
        <v>0</v>
      </c>
      <c r="JU7" s="592">
        <f>COUNTIFS(STATUS!$Q:$Q,ДЕЛА!$A7,STATUS!$D:$D,ДЕЛА!JU$1,STATUS!$S:$S,"Согласовано")</f>
        <v>0</v>
      </c>
      <c r="JV7" s="306">
        <f>COUNTIFS(STATUS!$Q:$Q,ДЕЛА!$A7,STATUS!$D:$D,ДЕЛА!JU$1)</f>
        <v>0</v>
      </c>
      <c r="JW7" s="589">
        <f t="shared" si="123"/>
        <v>1</v>
      </c>
      <c r="JX7" s="592">
        <f>COUNTIFS(STATUS!$Q:$Q,ДЕЛА!$A7,STATUS!$D:$D,ДЕЛА!JX$1,STATUS!$S:$S,"Согласовано")</f>
        <v>5</v>
      </c>
      <c r="JY7" s="306">
        <f>COUNTIFS(STATUS!$Q:$Q,ДЕЛА!$A7,STATUS!$D:$D,ДЕЛА!JX$1)</f>
        <v>5</v>
      </c>
      <c r="JZ7" s="589">
        <f t="shared" si="124"/>
        <v>1</v>
      </c>
      <c r="KA7" s="592">
        <f>COUNTIFS(STATUS!$Q:$Q,ДЕЛА!$A7,STATUS!$D:$D,ДЕЛА!KA$1,STATUS!$S:$S,"Согласовано")</f>
        <v>6</v>
      </c>
      <c r="KB7" s="306">
        <f>COUNTIFS(STATUS!$Q:$Q,ДЕЛА!$A7,STATUS!$D:$D,ДЕЛА!KA$1)</f>
        <v>6</v>
      </c>
      <c r="KC7" s="589">
        <f t="shared" si="125"/>
        <v>1</v>
      </c>
      <c r="KD7" s="592">
        <f>COUNTIFS(STATUS!$Q:$Q,ДЕЛА!$A7,STATUS!$D:$D,ДЕЛА!KD$1,STATUS!$S:$S,"Согласовано")</f>
        <v>2</v>
      </c>
      <c r="KE7" s="306">
        <f>COUNTIFS(STATUS!$Q:$Q,ДЕЛА!$A7,STATUS!$D:$D,ДЕЛА!KD$1)</f>
        <v>2</v>
      </c>
      <c r="KF7" s="589">
        <f t="shared" si="126"/>
        <v>1</v>
      </c>
      <c r="KG7" s="592">
        <f>COUNTIFS(STATUS!$Q:$Q,ДЕЛА!$A7,STATUS!$D:$D,ДЕЛА!KG$1,STATUS!$S:$S,"Согласовано")</f>
        <v>3</v>
      </c>
      <c r="KH7" s="306">
        <f>COUNTIFS(STATUS!$Q:$Q,ДЕЛА!$A7,STATUS!$D:$D,ДЕЛА!KG$1)</f>
        <v>3</v>
      </c>
      <c r="KI7" s="589">
        <f t="shared" si="127"/>
        <v>1</v>
      </c>
      <c r="KJ7" s="808">
        <f t="shared" si="18"/>
        <v>16</v>
      </c>
      <c r="KK7" s="600">
        <f t="shared" si="128"/>
        <v>0</v>
      </c>
      <c r="KL7" s="592">
        <f>COUNTIFS(STATUS!$Q:$Q,ДЕЛА!$A7,STATUS!$D:$D,ДЕЛА!KL$1,STATUS!$S:$S,"Согласовано")</f>
        <v>2</v>
      </c>
      <c r="KM7" s="306">
        <f>COUNTIFS(STATUS!$Q:$Q,ДЕЛА!$A7,STATUS!$D:$D,ДЕЛА!KL$1)</f>
        <v>2</v>
      </c>
      <c r="KN7" s="589">
        <f t="shared" si="129"/>
        <v>1</v>
      </c>
      <c r="KO7" s="592">
        <f>COUNTIFS(STATUS!$Q:$Q,ДЕЛА!$A7,STATUS!$D:$D,ДЕЛА!KO$1,STATUS!$S:$S,"Согласовано")</f>
        <v>5</v>
      </c>
      <c r="KP7" s="306">
        <f>COUNTIFS(STATUS!$Q:$Q,ДЕЛА!$A7,STATUS!$D:$D,ДЕЛА!KO$1)</f>
        <v>5</v>
      </c>
      <c r="KQ7" s="589">
        <f t="shared" si="130"/>
        <v>1</v>
      </c>
      <c r="KR7" s="592">
        <f>COUNTIFS(STATUS!$Q:$Q,ДЕЛА!$A7,STATUS!$D:$D,ДЕЛА!KR$1,STATUS!$S:$S,"Согласовано")</f>
        <v>2</v>
      </c>
      <c r="KS7" s="306">
        <f>COUNTIFS(STATUS!$Q:$Q,ДЕЛА!$A7,STATUS!$D:$D,ДЕЛА!KR$1)</f>
        <v>2</v>
      </c>
      <c r="KT7" s="589">
        <f t="shared" si="131"/>
        <v>1</v>
      </c>
      <c r="KU7" s="592">
        <f>COUNTIFS(STATUS!$Q:$Q,ДЕЛА!$A7,STATUS!$D:$D,ДЕЛА!KU$1,STATUS!$S:$S,"Согласовано")</f>
        <v>6</v>
      </c>
      <c r="KV7" s="306">
        <f>COUNTIFS(STATUS!$Q:$Q,ДЕЛА!$A7,STATUS!$D:$D,ДЕЛА!KU$1)</f>
        <v>6</v>
      </c>
      <c r="KW7" s="589">
        <f t="shared" si="132"/>
        <v>1</v>
      </c>
      <c r="KX7" s="592">
        <f>COUNTIFS(STATUS!$Q:$Q,ДЕЛА!$A7,STATUS!$D:$D,ДЕЛА!KX$1,STATUS!$S:$S,"Согласовано")</f>
        <v>2</v>
      </c>
      <c r="KY7" s="306">
        <f>COUNTIFS(STATUS!$Q:$Q,ДЕЛА!$A7,STATUS!$D:$D,ДЕЛА!KX$1)</f>
        <v>2</v>
      </c>
      <c r="KZ7" s="589">
        <f t="shared" si="133"/>
        <v>1</v>
      </c>
      <c r="LA7" s="808">
        <f t="shared" si="19"/>
        <v>17</v>
      </c>
      <c r="LB7" s="600">
        <f t="shared" si="134"/>
        <v>0</v>
      </c>
      <c r="LC7" s="592">
        <f>COUNTIFS(STATUS!$Q:$Q,ДЕЛА!$A7,STATUS!$D:$D,ДЕЛА!LC$1,STATUS!$S:$S,"Согласовано")</f>
        <v>2</v>
      </c>
      <c r="LD7" s="306">
        <f>COUNTIFS(STATUS!$Q:$Q,ДЕЛА!$A7,STATUS!$D:$D,ДЕЛА!LC$1)</f>
        <v>2</v>
      </c>
      <c r="LE7" s="589">
        <f t="shared" si="135"/>
        <v>1</v>
      </c>
      <c r="LF7" s="592">
        <f>COUNTIFS(STATUS!$Q:$Q,ДЕЛА!$A7,STATUS!$D:$D,ДЕЛА!LF$1,STATUS!$S:$S,"Согласовано")</f>
        <v>5</v>
      </c>
      <c r="LG7" s="306">
        <f>COUNTIFS(STATUS!$Q:$Q,ДЕЛА!$A7,STATUS!$D:$D,ДЕЛА!LF$1)</f>
        <v>5</v>
      </c>
      <c r="LH7" s="589">
        <f t="shared" si="136"/>
        <v>1</v>
      </c>
      <c r="LI7" s="592">
        <f>COUNTIFS(STATUS!$Q:$Q,ДЕЛА!$A7,STATUS!$D:$D,ДЕЛА!LI$1,STATUS!$S:$S,"Согласовано")</f>
        <v>5</v>
      </c>
      <c r="LJ7" s="306">
        <f>COUNTIFS(STATUS!$Q:$Q,ДЕЛА!$A7,STATUS!$D:$D,ДЕЛА!LI$1)</f>
        <v>5</v>
      </c>
      <c r="LK7" s="589">
        <f t="shared" si="137"/>
        <v>1</v>
      </c>
      <c r="LL7" s="592">
        <f>COUNTIFS(STATUS!$Q:$Q,ДЕЛА!$A7,STATUS!$D:$D,ДЕЛА!LL$1,STATUS!$S:$S,"Согласовано")</f>
        <v>3</v>
      </c>
      <c r="LM7" s="306">
        <f>COUNTIFS(STATUS!$Q:$Q,ДЕЛА!$A7,STATUS!$D:$D,ДЕЛА!LL$1)</f>
        <v>3</v>
      </c>
      <c r="LN7" s="589">
        <f t="shared" si="138"/>
        <v>1</v>
      </c>
      <c r="LO7" s="592">
        <f>COUNTIFS(STATUS!$Q:$Q,ДЕЛА!$A7,STATUS!$D:$D,ДЕЛА!LO$1,STATUS!$S:$S,"Согласовано")</f>
        <v>4</v>
      </c>
      <c r="LP7" s="306">
        <f>COUNTIFS(STATUS!$Q:$Q,ДЕЛА!$A7,STATUS!$D:$D,ДЕЛА!LO$1)</f>
        <v>4</v>
      </c>
      <c r="LQ7" s="589">
        <f t="shared" si="139"/>
        <v>1</v>
      </c>
      <c r="LR7" s="808">
        <f t="shared" si="20"/>
        <v>19</v>
      </c>
      <c r="LS7" s="600">
        <f t="shared" si="140"/>
        <v>0</v>
      </c>
      <c r="LT7" s="592">
        <f>COUNTIFS(STATUS!$Q:$Q,ДЕЛА!$A7,STATUS!$D:$D,ДЕЛА!LT$1,STATUS!$S:$S,"Согласовано")</f>
        <v>2</v>
      </c>
      <c r="LU7" s="306">
        <f>COUNTIFS(STATUS!$Q:$Q,ДЕЛА!$A7,STATUS!$D:$D,ДЕЛА!LT$1)</f>
        <v>2</v>
      </c>
      <c r="LV7" s="589">
        <f t="shared" si="141"/>
        <v>1</v>
      </c>
      <c r="LW7" s="592">
        <f>COUNTIFS(STATUS!$Q:$Q,ДЕЛА!$A7,STATUS!$D:$D,ДЕЛА!LW$1,STATUS!$S:$S,"Согласовано")</f>
        <v>3</v>
      </c>
      <c r="LX7" s="306">
        <f>COUNTIFS(STATUS!$Q:$Q,ДЕЛА!$A7,STATUS!$D:$D,ДЕЛА!LW$1)</f>
        <v>3</v>
      </c>
      <c r="LY7" s="589">
        <f t="shared" si="142"/>
        <v>1</v>
      </c>
      <c r="LZ7" s="592">
        <f>COUNTIFS(STATUS!$Q:$Q,ДЕЛА!$A7,STATUS!$D:$D,ДЕЛА!LZ$1,STATUS!$S:$S,"Согласовано")</f>
        <v>2</v>
      </c>
      <c r="MA7" s="306">
        <f>COUNTIFS(STATUS!$Q:$Q,ДЕЛА!$A7,STATUS!$D:$D,ДЕЛА!LZ$1)</f>
        <v>2</v>
      </c>
      <c r="MB7" s="589">
        <f t="shared" si="143"/>
        <v>1</v>
      </c>
      <c r="MC7" s="592">
        <f>COUNTIFS(STATUS!$Q:$Q,ДЕЛА!$A7,STATUS!$D:$D,ДЕЛА!MC$1,STATUS!$S:$S,"Согласовано")</f>
        <v>6</v>
      </c>
      <c r="MD7" s="306">
        <f>COUNTIFS(STATUS!$Q:$Q,ДЕЛА!$A7,STATUS!$D:$D,ДЕЛА!MC$1)</f>
        <v>6</v>
      </c>
      <c r="ME7" s="589">
        <f t="shared" si="144"/>
        <v>1</v>
      </c>
      <c r="MF7" s="592">
        <f>COUNTIFS(STATUS!$Q:$Q,ДЕЛА!$A7,STATUS!$D:$D,ДЕЛА!MF$1,STATUS!$S:$S,"Согласовано")</f>
        <v>6</v>
      </c>
      <c r="MG7" s="306">
        <f>COUNTIFS(STATUS!$Q:$Q,ДЕЛА!$A7,STATUS!$D:$D,ДЕЛА!MF$1)</f>
        <v>6</v>
      </c>
      <c r="MH7" s="589">
        <f t="shared" si="145"/>
        <v>1</v>
      </c>
      <c r="MI7" s="808">
        <f t="shared" si="21"/>
        <v>19</v>
      </c>
      <c r="MJ7" s="600">
        <f t="shared" si="146"/>
        <v>0</v>
      </c>
      <c r="MK7" s="592">
        <f>COUNTIFS(STATUS!$Q:$Q,ДЕЛА!$A7,STATUS!$D:$D,ДЕЛА!MK$1,STATUS!$S:$S,"Согласовано")</f>
        <v>4</v>
      </c>
      <c r="ML7" s="306">
        <f>COUNTIFS(STATUS!$Q:$Q,ДЕЛА!$A7,STATUS!$D:$D,ДЕЛА!MK$1)</f>
        <v>4</v>
      </c>
      <c r="MM7" s="589">
        <f t="shared" si="147"/>
        <v>1</v>
      </c>
      <c r="MN7" s="592">
        <f>COUNTIFS(STATUS!$Q:$Q,ДЕЛА!$A7,STATUS!$D:$D,ДЕЛА!MN$1,STATUS!$S:$S,"Согласовано")</f>
        <v>5</v>
      </c>
      <c r="MO7" s="306">
        <f>COUNTIFS(STATUS!$Q:$Q,ДЕЛА!$A7,STATUS!$D:$D,ДЕЛА!MN$1)</f>
        <v>5</v>
      </c>
      <c r="MP7" s="589">
        <f t="shared" si="148"/>
        <v>1</v>
      </c>
      <c r="MQ7" s="592">
        <f>COUNTIFS(STATUS!$Q:$Q,ДЕЛА!$A7,STATUS!$D:$D,ДЕЛА!MQ$1,STATUS!$S:$S,"Согласовано")</f>
        <v>4</v>
      </c>
      <c r="MR7" s="306">
        <f>COUNTIFS(STATUS!$Q:$Q,ДЕЛА!$A7,STATUS!$D:$D,ДЕЛА!MQ$1)</f>
        <v>4</v>
      </c>
      <c r="MS7" s="589">
        <f t="shared" si="149"/>
        <v>1</v>
      </c>
      <c r="MT7" s="592">
        <f>COUNTIFS(STATUS!$Q:$Q,ДЕЛА!$A7,STATUS!$D:$D,ДЕЛА!MT$1,STATUS!$S:$S,"Согласовано")</f>
        <v>5</v>
      </c>
      <c r="MU7" s="306">
        <f>COUNTIFS(STATUS!$Q:$Q,ДЕЛА!$A7,STATUS!$D:$D,ДЕЛА!MT$1)</f>
        <v>5</v>
      </c>
      <c r="MV7" s="589">
        <f t="shared" si="150"/>
        <v>1</v>
      </c>
      <c r="MW7" s="592">
        <f>COUNTIFS(STATUS!$Q:$Q,ДЕЛА!$A7,STATUS!$D:$D,ДЕЛА!MW$1,STATUS!$S:$S,"Согласовано")</f>
        <v>3</v>
      </c>
      <c r="MX7" s="306">
        <f>COUNTIFS(STATUS!$Q:$Q,ДЕЛА!$A7,STATUS!$D:$D,ДЕЛА!MW$1)</f>
        <v>3</v>
      </c>
      <c r="MY7" s="589">
        <f t="shared" si="151"/>
        <v>1</v>
      </c>
      <c r="MZ7" s="808">
        <f t="shared" si="22"/>
        <v>21</v>
      </c>
      <c r="NA7" s="600">
        <f t="shared" si="152"/>
        <v>0</v>
      </c>
      <c r="NB7" s="592">
        <f>COUNTIFS(STATUS!$Q:$Q,ДЕЛА!$A7,STATUS!$D:$D,ДЕЛА!NB$1,STATUS!$S:$S,"Согласовано")</f>
        <v>3</v>
      </c>
      <c r="NC7" s="306">
        <f>COUNTIFS(STATUS!$Q:$Q,ДЕЛА!$A7,STATUS!$D:$D,ДЕЛА!NB$1)</f>
        <v>3</v>
      </c>
      <c r="ND7" s="589">
        <f t="shared" si="153"/>
        <v>1</v>
      </c>
      <c r="NE7" s="592">
        <f>COUNTIFS(STATUS!$Q:$Q,ДЕЛА!$A7,STATUS!$D:$D,ДЕЛА!NE$1,STATUS!$S:$S,"Согласовано")</f>
        <v>3</v>
      </c>
      <c r="NF7" s="306">
        <f>COUNTIFS(STATUS!$Q:$Q,ДЕЛА!$A7,STATUS!$D:$D,ДЕЛА!NE$1)</f>
        <v>3</v>
      </c>
      <c r="NG7" s="589">
        <f t="shared" si="154"/>
        <v>1</v>
      </c>
      <c r="NH7" s="592">
        <f>COUNTIFS(STATUS!$Q:$Q,ДЕЛА!$A7,STATUS!$D:$D,ДЕЛА!NH$1,STATUS!$S:$S,"Согласовано")</f>
        <v>3</v>
      </c>
      <c r="NI7" s="306">
        <f>COUNTIFS(STATUS!$Q:$Q,ДЕЛА!$A7,STATUS!$D:$D,ДЕЛА!NH$1)</f>
        <v>3</v>
      </c>
      <c r="NJ7" s="589">
        <f t="shared" si="155"/>
        <v>1</v>
      </c>
      <c r="NK7" s="592">
        <f>COUNTIFS(STATUS!$Q:$Q,ДЕЛА!$A7,STATUS!$D:$D,ДЕЛА!NK$1,STATUS!$S:$S,"Согласовано")</f>
        <v>6</v>
      </c>
      <c r="NL7" s="306">
        <f>COUNTIFS(STATUS!$Q:$Q,ДЕЛА!$A7,STATUS!$D:$D,ДЕЛА!NK$1)</f>
        <v>6</v>
      </c>
      <c r="NM7" s="589">
        <f t="shared" si="156"/>
        <v>1</v>
      </c>
      <c r="NN7" s="592">
        <f>COUNTIFS(STATUS!$Q:$Q,ДЕЛА!$A7,STATUS!$D:$D,ДЕЛА!NN$1,STATUS!$S:$S,"Согласовано")</f>
        <v>5</v>
      </c>
      <c r="NO7" s="306">
        <f>COUNTIFS(STATUS!$Q:$Q,ДЕЛА!$A7,STATUS!$D:$D,ДЕЛА!NN$1)</f>
        <v>5</v>
      </c>
      <c r="NP7" s="589">
        <f t="shared" si="157"/>
        <v>1</v>
      </c>
      <c r="NQ7" s="808">
        <f t="shared" si="23"/>
        <v>20</v>
      </c>
      <c r="NR7" s="600">
        <f t="shared" si="158"/>
        <v>0</v>
      </c>
      <c r="NS7" s="592">
        <f>COUNTIFS(STATUS!$Q:$Q,ДЕЛА!$A7,STATUS!$D:$D,ДЕЛА!NS$1,STATUS!$S:$S,"Согласовано")</f>
        <v>4</v>
      </c>
      <c r="NT7" s="306">
        <f>COUNTIFS(STATUS!$Q:$Q,ДЕЛА!$A7,STATUS!$D:$D,ДЕЛА!NS$1)</f>
        <v>4</v>
      </c>
      <c r="NU7" s="589">
        <f t="shared" si="159"/>
        <v>1</v>
      </c>
      <c r="NV7" s="592">
        <f>COUNTIFS(STATUS!$Q:$Q,ДЕЛА!$A7,STATUS!$D:$D,ДЕЛА!NV$1,STATUS!$S:$S,"Согласовано")</f>
        <v>3</v>
      </c>
      <c r="NW7" s="306">
        <f>COUNTIFS(STATUS!$Q:$Q,ДЕЛА!$A7,STATUS!$D:$D,ДЕЛА!NV$1)</f>
        <v>3</v>
      </c>
      <c r="NX7" s="589">
        <f t="shared" si="160"/>
        <v>1</v>
      </c>
      <c r="NY7" s="592">
        <f>COUNTIFS(STATUS!$Q:$Q,ДЕЛА!$A7,STATUS!$D:$D,ДЕЛА!NY$1,STATUS!$S:$S,"Согласовано")</f>
        <v>4</v>
      </c>
      <c r="NZ7" s="306">
        <f>COUNTIFS(STATUS!$Q:$Q,ДЕЛА!$A7,STATUS!$D:$D,ДЕЛА!NY$1)</f>
        <v>4</v>
      </c>
      <c r="OA7" s="589">
        <f t="shared" si="161"/>
        <v>1</v>
      </c>
      <c r="OB7" s="592">
        <f>COUNTIFS(STATUS!$Q:$Q,ДЕЛА!$A7,STATUS!$D:$D,ДЕЛА!OB$1,STATUS!$S:$S,"Согласовано")</f>
        <v>3</v>
      </c>
      <c r="OC7" s="306">
        <f>COUNTIFS(STATUS!$Q:$Q,ДЕЛА!$A7,STATUS!$D:$D,ДЕЛА!OB$1)</f>
        <v>3</v>
      </c>
      <c r="OD7" s="589">
        <f t="shared" si="162"/>
        <v>1</v>
      </c>
      <c r="OE7" s="592">
        <f>COUNTIFS(STATUS!$Q:$Q,ДЕЛА!$A7,STATUS!$D:$D,ДЕЛА!OE$1,STATUS!$S:$S,"Согласовано")</f>
        <v>3</v>
      </c>
      <c r="OF7" s="306">
        <f>COUNTIFS(STATUS!$Q:$Q,ДЕЛА!$A7,STATUS!$D:$D,ДЕЛА!OE$1)</f>
        <v>3</v>
      </c>
      <c r="OG7" s="589">
        <f t="shared" si="163"/>
        <v>1</v>
      </c>
      <c r="OH7" s="808">
        <f t="shared" si="24"/>
        <v>17</v>
      </c>
      <c r="OI7" s="600">
        <f t="shared" si="164"/>
        <v>0</v>
      </c>
      <c r="OJ7" s="592">
        <f>COUNTIFS(STATUS!$Q:$Q,ДЕЛА!$A7,STATUS!$D:$D,ДЕЛА!OJ$1,STATUS!$S:$S,"Согласовано")</f>
        <v>4</v>
      </c>
      <c r="OK7" s="306">
        <f>COUNTIFS(STATUS!$Q:$Q,ДЕЛА!$A7,STATUS!$D:$D,ДЕЛА!OJ$1)</f>
        <v>4</v>
      </c>
      <c r="OL7" s="589">
        <f t="shared" si="165"/>
        <v>1</v>
      </c>
      <c r="OM7" s="592">
        <f>COUNTIFS(STATUS!$Q:$Q,ДЕЛА!$A7,STATUS!$D:$D,ДЕЛА!OM$1,STATUS!$S:$S,"Согласовано")</f>
        <v>3</v>
      </c>
      <c r="ON7" s="306">
        <f>COUNTIFS(STATUS!$Q:$Q,ДЕЛА!$A7,STATUS!$D:$D,ДЕЛА!OM$1)</f>
        <v>3</v>
      </c>
      <c r="OO7" s="589">
        <f t="shared" si="166"/>
        <v>1</v>
      </c>
      <c r="OP7" s="592">
        <f>COUNTIFS(STATUS!$Q:$Q,ДЕЛА!$A7,STATUS!$D:$D,ДЕЛА!OP$1,STATUS!$S:$S,"Согласовано")</f>
        <v>6</v>
      </c>
      <c r="OQ7" s="306">
        <f>COUNTIFS(STATUS!$Q:$Q,ДЕЛА!$A7,STATUS!$D:$D,ДЕЛА!OP$1)</f>
        <v>6</v>
      </c>
      <c r="OR7" s="589">
        <f t="shared" si="167"/>
        <v>1</v>
      </c>
      <c r="OS7" s="592">
        <f>COUNTIFS(STATUS!$Q:$Q,ДЕЛА!$A7,STATUS!$D:$D,ДЕЛА!OS$1,STATUS!$S:$S,"Согласовано")</f>
        <v>3</v>
      </c>
      <c r="OT7" s="306">
        <f>COUNTIFS(STATUS!$Q:$Q,ДЕЛА!$A7,STATUS!$D:$D,ДЕЛА!OS$1)</f>
        <v>3</v>
      </c>
      <c r="OU7" s="589">
        <f t="shared" si="168"/>
        <v>1</v>
      </c>
      <c r="OV7" s="592">
        <f>COUNTIFS(STATUS!$Q:$Q,ДЕЛА!$A7,STATUS!$D:$D,ДЕЛА!OV$1,STATUS!$S:$S,"Согласовано")</f>
        <v>4</v>
      </c>
      <c r="OW7" s="306">
        <f>COUNTIFS(STATUS!$Q:$Q,ДЕЛА!$A7,STATUS!$D:$D,ДЕЛА!OV$1)</f>
        <v>4</v>
      </c>
      <c r="OX7" s="589">
        <f t="shared" si="169"/>
        <v>1</v>
      </c>
      <c r="OY7" s="808">
        <f t="shared" si="25"/>
        <v>20</v>
      </c>
      <c r="OZ7" s="600">
        <f t="shared" si="170"/>
        <v>0</v>
      </c>
      <c r="PA7" s="592">
        <f>COUNTIFS(STATUS!$Q:$Q,ДЕЛА!$A7,STATUS!$D:$D,ДЕЛА!PA$1,STATUS!$S:$S,"Согласовано")</f>
        <v>4</v>
      </c>
      <c r="PB7" s="306">
        <f>COUNTIFS(STATUS!$Q:$Q,ДЕЛА!$A7,STATUS!$D:$D,ДЕЛА!PA$1)</f>
        <v>4</v>
      </c>
      <c r="PC7" s="589">
        <f t="shared" si="171"/>
        <v>1</v>
      </c>
      <c r="PD7" s="592">
        <f>COUNTIFS(STATUS!$Q:$Q,ДЕЛА!$A7,STATUS!$D:$D,ДЕЛА!PD$1,STATUS!$S:$S,"Согласовано")</f>
        <v>3</v>
      </c>
      <c r="PE7" s="306">
        <f>COUNTIFS(STATUS!$Q:$Q,ДЕЛА!$A7,STATUS!$D:$D,ДЕЛА!PD$1)</f>
        <v>3</v>
      </c>
      <c r="PF7" s="589">
        <f t="shared" si="172"/>
        <v>1</v>
      </c>
      <c r="PG7" s="592">
        <f>COUNTIFS(STATUS!$Q:$Q,ДЕЛА!$A7,STATUS!$D:$D,ДЕЛА!PG$1,STATUS!$S:$S,"Согласовано")</f>
        <v>0</v>
      </c>
      <c r="PH7" s="306">
        <f>COUNTIFS(STATUS!$Q:$Q,ДЕЛА!$A7,STATUS!$D:$D,ДЕЛА!PG$1)</f>
        <v>0</v>
      </c>
      <c r="PI7" s="589">
        <f t="shared" si="173"/>
        <v>1</v>
      </c>
      <c r="PJ7" s="592">
        <f>COUNTIFS(STATUS!$Q:$Q,ДЕЛА!$A7,STATUS!$D:$D,ДЕЛА!PJ$1,STATUS!$S:$S,"Согласовано")</f>
        <v>3</v>
      </c>
      <c r="PK7" s="306">
        <f>COUNTIFS(STATUS!$Q:$Q,ДЕЛА!$A7,STATUS!$D:$D,ДЕЛА!PJ$1)</f>
        <v>3</v>
      </c>
      <c r="PL7" s="589">
        <f t="shared" si="174"/>
        <v>1</v>
      </c>
      <c r="PM7" s="592">
        <f>COUNTIFS(STATUS!$Q:$Q,ДЕЛА!$A7,STATUS!$D:$D,ДЕЛА!PM$1,STATUS!$S:$S,"Согласовано")</f>
        <v>6</v>
      </c>
      <c r="PN7" s="306">
        <f>COUNTIFS(STATUS!$Q:$Q,ДЕЛА!$A7,STATUS!$D:$D,ДЕЛА!PM$1)</f>
        <v>6</v>
      </c>
      <c r="PO7" s="589">
        <f t="shared" si="175"/>
        <v>1</v>
      </c>
      <c r="PP7" s="808">
        <f t="shared" si="26"/>
        <v>16</v>
      </c>
      <c r="PQ7" s="600">
        <f t="shared" si="176"/>
        <v>0</v>
      </c>
      <c r="PR7" s="592">
        <f>COUNTIFS(STATUS!$Q:$Q,ДЕЛА!$A7,STATUS!$D:$D,ДЕЛА!PR$1,STATUS!$S:$S,"Согласовано")</f>
        <v>4</v>
      </c>
      <c r="PS7" s="306">
        <f>COUNTIFS(STATUS!$Q:$Q,ДЕЛА!$A7,STATUS!$D:$D,ДЕЛА!PR$1)</f>
        <v>4</v>
      </c>
      <c r="PT7" s="589">
        <f t="shared" si="177"/>
        <v>1</v>
      </c>
      <c r="PU7" s="592">
        <f>COUNTIFS(STATUS!$Q:$Q,ДЕЛА!$A7,STATUS!$D:$D,ДЕЛА!PU$1,STATUS!$S:$S,"Согласовано")</f>
        <v>0</v>
      </c>
      <c r="PV7" s="306">
        <f>COUNTIFS(STATUS!$Q:$Q,ДЕЛА!$A7,STATUS!$D:$D,ДЕЛА!PU$1)</f>
        <v>0</v>
      </c>
      <c r="PW7" s="589">
        <f t="shared" si="178"/>
        <v>1</v>
      </c>
      <c r="PX7" s="592">
        <f>COUNTIFS(STATUS!$Q:$Q,ДЕЛА!$A7,STATUS!$D:$D,ДЕЛА!PX$1,STATUS!$S:$S,"Согласовано")</f>
        <v>0</v>
      </c>
      <c r="PY7" s="306">
        <f>COUNTIFS(STATUS!$Q:$Q,ДЕЛА!$A7,STATUS!$D:$D,ДЕЛА!PX$1)</f>
        <v>0</v>
      </c>
      <c r="PZ7" s="589">
        <f t="shared" si="179"/>
        <v>1</v>
      </c>
      <c r="QA7" s="592">
        <f>COUNTIFS(STATUS!$Q:$Q,ДЕЛА!$A7,STATUS!$D:$D,ДЕЛА!QA$1,STATUS!$S:$S,"Согласовано")</f>
        <v>0</v>
      </c>
      <c r="QB7" s="306">
        <f>COUNTIFS(STATUS!$Q:$Q,ДЕЛА!$A7,STATUS!$D:$D,ДЕЛА!QA$1)</f>
        <v>0</v>
      </c>
      <c r="QC7" s="589">
        <f t="shared" si="180"/>
        <v>1</v>
      </c>
      <c r="QD7" s="592">
        <f>COUNTIFS(STATUS!$Q:$Q,ДЕЛА!$A7,STATUS!$D:$D,ДЕЛА!QD$1,STATUS!$S:$S,"Согласовано")</f>
        <v>0</v>
      </c>
      <c r="QE7" s="306">
        <f>COUNTIFS(STATUS!$Q:$Q,ДЕЛА!$A7,STATUS!$D:$D,ДЕЛА!QD$1)</f>
        <v>0</v>
      </c>
      <c r="QF7" s="589">
        <f t="shared" si="181"/>
        <v>1</v>
      </c>
      <c r="QG7" s="808">
        <f t="shared" si="27"/>
        <v>4</v>
      </c>
      <c r="QH7" s="600">
        <f t="shared" si="182"/>
        <v>0</v>
      </c>
    </row>
    <row r="8" spans="1:450" x14ac:dyDescent="0.3">
      <c r="A8" s="662" t="s">
        <v>9187</v>
      </c>
      <c r="B8" s="1321">
        <f>SUMIFS(STATUS!AA:AA,STATUS!Q:Q,A8)</f>
        <v>1.6494675925925928</v>
      </c>
      <c r="C8" s="1321">
        <f>B8/COUNTIFS(STATUS!Q:Q,ДЕЛА!A8,STATUS!AA:AA,"&lt;&gt;0")</f>
        <v>2.142165704665705E-2</v>
      </c>
      <c r="D8" s="658">
        <f>COUNTIFS(STATUS!$Q:$Q,ДЕЛА!$A8,STATUS!$H:$H,ДЕЛА!D$1)</f>
        <v>73</v>
      </c>
      <c r="E8" s="735">
        <f>D8/$R8</f>
        <v>0.94805194805194803</v>
      </c>
      <c r="F8" s="658">
        <f>COUNTIFS(STATUS!$Q:$Q,ДЕЛА!$A8,STATUS!$H:$H,ДЕЛА!F$1)</f>
        <v>4</v>
      </c>
      <c r="G8" s="735">
        <f>F8/$R8</f>
        <v>5.1948051948051951E-2</v>
      </c>
      <c r="H8" s="658">
        <f>COUNTIFS(STATUS!$Q:$Q,ДЕЛА!$A8,STATUS!$I:$I,ДЕЛА!H$1)</f>
        <v>3</v>
      </c>
      <c r="I8" s="735">
        <f>H8/$R8</f>
        <v>3.896103896103896E-2</v>
      </c>
      <c r="J8" s="658">
        <f>COUNTIFS(STATUS!$Q:$Q,ДЕЛА!$A8,STATUS!$I:$I,ДЕЛА!J$1)</f>
        <v>0</v>
      </c>
      <c r="K8" s="735">
        <f>J8/$R8</f>
        <v>0</v>
      </c>
      <c r="L8" s="658">
        <f>COUNTIFS(STATUS!$Q:$Q,ДЕЛА!$A8,STATUS!$I:$I,ДЕЛА!L$1)</f>
        <v>12</v>
      </c>
      <c r="M8" s="735">
        <f>L8/$R8</f>
        <v>0.15584415584415584</v>
      </c>
      <c r="N8" s="658">
        <f>COUNTIFS(STATUS!$Q:$Q,ДЕЛА!$A8,STATUS!$I:$I,ДЕЛА!N$1)</f>
        <v>8</v>
      </c>
      <c r="O8" s="735">
        <f>N8/$R8</f>
        <v>0.1038961038961039</v>
      </c>
      <c r="P8" s="658">
        <f>COUNTIFS(STATUS!$Q:$Q,ДЕЛА!$A8,STATUS!$S:$S,"На доработку")</f>
        <v>0</v>
      </c>
      <c r="Q8" s="658">
        <f>COUNTIFS(STATUS!Q:Q,ДЕЛА!A8,STATUS!$S:$S,"Согласовано")</f>
        <v>77</v>
      </c>
      <c r="R8" s="658">
        <f>COUNTIFS(STATUS!$Q:$Q,ДЕЛА!$A8)</f>
        <v>77</v>
      </c>
      <c r="S8" s="658">
        <f t="shared" ref="S8" si="184">R8-Q8</f>
        <v>0</v>
      </c>
      <c r="T8" s="659">
        <f t="shared" ref="T8" si="185">Q8/R8</f>
        <v>1</v>
      </c>
      <c r="U8" s="658">
        <f t="shared" ref="U8" si="186">S8</f>
        <v>0</v>
      </c>
      <c r="V8" s="592">
        <f>COUNTIFS(STATUS!$Q:$Q,ДЕЛА!$A8,STATUS!$D:$D,ДЕЛА!V$1,STATUS!$S:$S,"Согласовано")</f>
        <v>0</v>
      </c>
      <c r="W8" s="306">
        <f>COUNTIFS(STATUS!$Q:$Q,ДЕЛА!$A8,STATUS!$D:$D,ДЕЛА!V$1)</f>
        <v>0</v>
      </c>
      <c r="X8" s="593">
        <f t="shared" ref="X8" si="187">IFERROR(V8/W8,1)</f>
        <v>1</v>
      </c>
      <c r="Y8" s="401">
        <f>COUNTIFS(STATUS!$Q:$Q,ДЕЛА!$A8,STATUS!$D:$D,ДЕЛА!Y$1,STATUS!$S:$S,"Согласовано")</f>
        <v>0</v>
      </c>
      <c r="Z8" s="306">
        <f>COUNTIFS(STATUS!$Q:$Q,ДЕЛА!$A8,STATUS!$D:$D,ДЕЛА!Y$1)</f>
        <v>0</v>
      </c>
      <c r="AA8" s="589">
        <f t="shared" ref="AA8" si="188">IFERROR(Y8/Z8,1)</f>
        <v>1</v>
      </c>
      <c r="AB8" s="592">
        <f>COUNTIFS(STATUS!$Q:$Q,ДЕЛА!$A8,STATUS!$D:$D,ДЕЛА!AB$1,STATUS!$S:$S,"Согласовано")</f>
        <v>0</v>
      </c>
      <c r="AC8" s="306">
        <f>COUNTIFS(STATUS!$Q:$Q,ДЕЛА!$A8,STATUS!$D:$D,ДЕЛА!AB$1)</f>
        <v>0</v>
      </c>
      <c r="AD8" s="593">
        <f t="shared" ref="AD8" si="189">IFERROR(AB8/AC8,1)</f>
        <v>1</v>
      </c>
      <c r="AE8" s="600">
        <f>SUM(W8,Z8,AC8)-SUM(V8,Y8,AB8)</f>
        <v>0</v>
      </c>
      <c r="AF8" s="401">
        <f>COUNTIFS(STATUS!$Q:$Q,ДЕЛА!$A8,STATUS!$D:$D,ДЕЛА!AF$1,STATUS!$S:$S,"Согласовано")</f>
        <v>0</v>
      </c>
      <c r="AG8" s="306">
        <f>COUNTIFS(STATUS!$Q:$Q,ДЕЛА!$A8,STATUS!$D:$D,ДЕЛА!AF$1)</f>
        <v>0</v>
      </c>
      <c r="AH8" s="589">
        <f t="shared" ref="AH8" si="190">IFERROR(AF8/AG8,1)</f>
        <v>1</v>
      </c>
      <c r="AI8" s="592">
        <f>COUNTIFS(STATUS!$Q:$Q,ДЕЛА!$A8,STATUS!$D:$D,ДЕЛА!AI$1,STATUS!$S:$S,"Согласовано")</f>
        <v>0</v>
      </c>
      <c r="AJ8" s="306">
        <f>COUNTIFS(STATUS!$Q:$Q,ДЕЛА!$A8,STATUS!$D:$D,ДЕЛА!AI$1)</f>
        <v>0</v>
      </c>
      <c r="AK8" s="589">
        <f t="shared" ref="AK8" si="191">IFERROR(AI8/AJ8,1)</f>
        <v>1</v>
      </c>
      <c r="AL8" s="401">
        <f>COUNTIFS(STATUS!$Q:$Q,ДЕЛА!$A8,STATUS!$D:$D,ДЕЛА!AL$1,STATUS!$S:$S,"Согласовано")</f>
        <v>0</v>
      </c>
      <c r="AM8" s="306">
        <f>COUNTIFS(STATUS!$Q:$Q,ДЕЛА!$A8,STATUS!$D:$D,ДЕЛА!AL$1)</f>
        <v>0</v>
      </c>
      <c r="AN8" s="589">
        <f t="shared" ref="AN8" si="192">IFERROR(AL8/AM8,1)</f>
        <v>1</v>
      </c>
      <c r="AO8" s="592">
        <f>COUNTIFS(STATUS!$Q:$Q,ДЕЛА!$A8,STATUS!$D:$D,ДЕЛА!AO$1,STATUS!$S:$S,"Согласовано")</f>
        <v>0</v>
      </c>
      <c r="AP8" s="306">
        <f>COUNTIFS(STATUS!$Q:$Q,ДЕЛА!$A8,STATUS!$D:$D,ДЕЛА!AO$1)</f>
        <v>0</v>
      </c>
      <c r="AQ8" s="589">
        <f t="shared" ref="AQ8" si="193">IFERROR(AO8/AP8,1)</f>
        <v>1</v>
      </c>
      <c r="AR8" s="600">
        <f t="shared" si="5"/>
        <v>0</v>
      </c>
      <c r="AS8" s="592">
        <f>COUNTIFS(STATUS!$Q:$Q,ДЕЛА!$A8,STATUS!$D:$D,ДЕЛА!AS$1,STATUS!$S:$S,"Согласовано")</f>
        <v>0</v>
      </c>
      <c r="AT8" s="306">
        <f>COUNTIFS(STATUS!$Q:$Q,ДЕЛА!$A8,STATUS!$D:$D,ДЕЛА!AS$1)</f>
        <v>0</v>
      </c>
      <c r="AU8" s="589">
        <f t="shared" ref="AU8" si="194">IFERROR(AS8/AT8,1)</f>
        <v>1</v>
      </c>
      <c r="AV8" s="592">
        <f>COUNTIFS(STATUS!$Q:$Q,ДЕЛА!$A8,STATUS!$D:$D,ДЕЛА!AV$1,STATUS!$S:$S,"Согласовано")</f>
        <v>0</v>
      </c>
      <c r="AW8" s="306">
        <f>COUNTIFS(STATUS!$Q:$Q,ДЕЛА!$A8,STATUS!$D:$D,ДЕЛА!AV$1)</f>
        <v>0</v>
      </c>
      <c r="AX8" s="589">
        <f t="shared" ref="AX8" si="195">IFERROR(AV8/AW8,1)</f>
        <v>1</v>
      </c>
      <c r="AY8" s="592">
        <f>COUNTIFS(STATUS!$Q:$Q,ДЕЛА!$A8,STATUS!$D:$D,ДЕЛА!AY$1,STATUS!$S:$S,"Согласовано")</f>
        <v>0</v>
      </c>
      <c r="AZ8" s="306">
        <f>COUNTIFS(STATUS!$Q:$Q,ДЕЛА!$A8,STATUS!$D:$D,ДЕЛА!AY$1)</f>
        <v>0</v>
      </c>
      <c r="BA8" s="589">
        <f t="shared" ref="BA8" si="196">IFERROR(AY8/AZ8,1)</f>
        <v>1</v>
      </c>
      <c r="BB8" s="592">
        <f>COUNTIFS(STATUS!$Q:$Q,ДЕЛА!$A8,STATUS!$D:$D,ДЕЛА!BB$1,STATUS!$S:$S,"Согласовано")</f>
        <v>0</v>
      </c>
      <c r="BC8" s="306">
        <f>COUNTIFS(STATUS!$Q:$Q,ДЕЛА!$A8,STATUS!$D:$D,ДЕЛА!BB$1)</f>
        <v>0</v>
      </c>
      <c r="BD8" s="589">
        <f t="shared" ref="BD8" si="197">IFERROR(BB8/BC8,1)</f>
        <v>1</v>
      </c>
      <c r="BE8" s="592">
        <f>COUNTIFS(STATUS!$Q:$Q,ДЕЛА!$A8,STATUS!$D:$D,ДЕЛА!BE$1,STATUS!$S:$S,"Согласовано")</f>
        <v>0</v>
      </c>
      <c r="BF8" s="306">
        <f>COUNTIFS(STATUS!$Q:$Q,ДЕЛА!$A8,STATUS!$D:$D,ДЕЛА!BE$1)</f>
        <v>0</v>
      </c>
      <c r="BG8" s="589">
        <f t="shared" ref="BG8" si="198">IFERROR(BE8/BF8,1)</f>
        <v>1</v>
      </c>
      <c r="BH8" s="600">
        <f t="shared" ref="BH8" si="199">SUM(AT8,AW8,AZ8,BC8,BF8)-SUM(AS8,AV8,AY8,BB8,BE8)</f>
        <v>0</v>
      </c>
      <c r="BI8" s="592">
        <f>COUNTIFS(STATUS!$Q:$Q,ДЕЛА!$A8,STATUS!$D:$D,ДЕЛА!BI$1,STATUS!$S:$S,"Согласовано")</f>
        <v>0</v>
      </c>
      <c r="BJ8" s="306">
        <f>COUNTIFS(STATUS!$Q:$Q,ДЕЛА!$A8,STATUS!$D:$D,ДЕЛА!BI$1)</f>
        <v>0</v>
      </c>
      <c r="BK8" s="589">
        <f t="shared" ref="BK8" si="200">IFERROR(BI8/BJ8,1)</f>
        <v>1</v>
      </c>
      <c r="BL8" s="592">
        <f>COUNTIFS(STATUS!$Q:$Q,ДЕЛА!$A8,STATUS!$D:$D,ДЕЛА!BL$1,STATUS!$S:$S,"Согласовано")</f>
        <v>0</v>
      </c>
      <c r="BM8" s="306">
        <f>COUNTIFS(STATUS!$Q:$Q,ДЕЛА!$A8,STATUS!$D:$D,ДЕЛА!BL$1)</f>
        <v>0</v>
      </c>
      <c r="BN8" s="589">
        <f t="shared" ref="BN8" si="201">IFERROR(BL8/BM8,1)</f>
        <v>1</v>
      </c>
      <c r="BO8" s="592">
        <f>COUNTIFS(STATUS!$Q:$Q,ДЕЛА!$A8,STATUS!$D:$D,ДЕЛА!BO$1,STATUS!$S:$S,"Согласовано")</f>
        <v>0</v>
      </c>
      <c r="BP8" s="306">
        <f>COUNTIFS(STATUS!$Q:$Q,ДЕЛА!$A8,STATUS!$D:$D,ДЕЛА!BO$1)</f>
        <v>0</v>
      </c>
      <c r="BQ8" s="589">
        <f t="shared" ref="BQ8" si="202">IFERROR(BO8/BP8,1)</f>
        <v>1</v>
      </c>
      <c r="BR8" s="592">
        <f>COUNTIFS(STATUS!$Q:$Q,ДЕЛА!$A8,STATUS!$D:$D,ДЕЛА!BR$1,STATUS!$S:$S,"Согласовано")</f>
        <v>0</v>
      </c>
      <c r="BS8" s="306">
        <f>COUNTIFS(STATUS!$Q:$Q,ДЕЛА!$A8,STATUS!$D:$D,ДЕЛА!BR$1)</f>
        <v>0</v>
      </c>
      <c r="BT8" s="589">
        <f t="shared" ref="BT8" si="203">IFERROR(BR8/BS8,1)</f>
        <v>1</v>
      </c>
      <c r="BU8" s="592">
        <f>COUNTIFS(STATUS!$Q:$Q,ДЕЛА!$A8,STATUS!$D:$D,ДЕЛА!BU$1,STATUS!$S:$S,"Согласовано")</f>
        <v>0</v>
      </c>
      <c r="BV8" s="306">
        <f>COUNTIFS(STATUS!$Q:$Q,ДЕЛА!$A8,STATUS!$D:$D,ДЕЛА!BU$1)</f>
        <v>0</v>
      </c>
      <c r="BW8" s="589">
        <f t="shared" ref="BW8" si="204">IFERROR(BU8/BV8,1)</f>
        <v>1</v>
      </c>
      <c r="BX8" s="600">
        <f t="shared" ref="BX8" si="205">SUM(BJ8,BM8,BP8,BS8,BV8)-SUM(BI8,BL8,BO8,BR8,BU8)</f>
        <v>0</v>
      </c>
      <c r="BY8" s="592">
        <f>COUNTIFS(STATUS!$Q:$Q,ДЕЛА!$A8,STATUS!$D:$D,ДЕЛА!BY$1,STATUS!$S:$S,"Согласовано")</f>
        <v>0</v>
      </c>
      <c r="BZ8" s="306">
        <f>COUNTIFS(STATUS!$Q:$Q,ДЕЛА!$A8,STATUS!$D:$D,ДЕЛА!BY$1)</f>
        <v>0</v>
      </c>
      <c r="CA8" s="589">
        <f t="shared" ref="CA8" si="206">IFERROR(BY8/BZ8,1)</f>
        <v>1</v>
      </c>
      <c r="CB8" s="592">
        <f>COUNTIFS(STATUS!$Q:$Q,ДЕЛА!$A8,STATUS!$D:$D,ДЕЛА!CB$1,STATUS!$S:$S,"Согласовано")</f>
        <v>0</v>
      </c>
      <c r="CC8" s="306">
        <f>COUNTIFS(STATUS!$Q:$Q,ДЕЛА!$A8,STATUS!$D:$D,ДЕЛА!CB$1)</f>
        <v>0</v>
      </c>
      <c r="CD8" s="589">
        <f t="shared" ref="CD8" si="207">IFERROR(CB8/CC8,1)</f>
        <v>1</v>
      </c>
      <c r="CE8" s="592">
        <f>COUNTIFS(STATUS!$Q:$Q,ДЕЛА!$A8,STATUS!$D:$D,ДЕЛА!CE$1,STATUS!$S:$S,"Согласовано")</f>
        <v>0</v>
      </c>
      <c r="CF8" s="306">
        <f>COUNTIFS(STATUS!$Q:$Q,ДЕЛА!$A8,STATUS!$D:$D,ДЕЛА!CE$1)</f>
        <v>0</v>
      </c>
      <c r="CG8" s="589">
        <f t="shared" ref="CG8" si="208">IFERROR(CE8/CF8,1)</f>
        <v>1</v>
      </c>
      <c r="CH8" s="592">
        <f>COUNTIFS(STATUS!$Q:$Q,ДЕЛА!$A8,STATUS!$D:$D,ДЕЛА!CH$1,STATUS!$S:$S,"Согласовано")</f>
        <v>0</v>
      </c>
      <c r="CI8" s="306">
        <f>COUNTIFS(STATUS!$Q:$Q,ДЕЛА!$A8,STATUS!$D:$D,ДЕЛА!CH$1)</f>
        <v>0</v>
      </c>
      <c r="CJ8" s="589">
        <f t="shared" ref="CJ8" si="209">IFERROR(CH8/CI8,1)</f>
        <v>1</v>
      </c>
      <c r="CK8" s="592">
        <f>COUNTIFS(STATUS!$Q:$Q,ДЕЛА!$A8,STATUS!$D:$D,ДЕЛА!CK$1,STATUS!$S:$S,"Согласовано")</f>
        <v>0</v>
      </c>
      <c r="CL8" s="306">
        <f>COUNTIFS(STATUS!$Q:$Q,ДЕЛА!$A8,STATUS!$D:$D,ДЕЛА!CK$1)</f>
        <v>0</v>
      </c>
      <c r="CM8" s="589">
        <f t="shared" ref="CM8" si="210">IFERROR(CK8/CL8,1)</f>
        <v>1</v>
      </c>
      <c r="CN8" s="808">
        <f t="shared" si="6"/>
        <v>0</v>
      </c>
      <c r="CO8" s="600">
        <f t="shared" ref="CO8" si="211">SUM(BZ8,CC8,CF8,CI8,CL8)-SUM(BY8,CB8,CE8,CH8,CK8)</f>
        <v>0</v>
      </c>
      <c r="CP8" s="592">
        <f>COUNTIFS(STATUS!$Q:$Q,ДЕЛА!$A8,STATUS!$D:$D,ДЕЛА!CP$1,STATUS!$S:$S,"Согласовано")</f>
        <v>0</v>
      </c>
      <c r="CQ8" s="306">
        <f>COUNTIFS(STATUS!$Q:$Q,ДЕЛА!$A8,STATUS!$D:$D,ДЕЛА!CP$1)</f>
        <v>0</v>
      </c>
      <c r="CR8" s="589">
        <f t="shared" ref="CR8" si="212">IFERROR(CP8/CQ8,1)</f>
        <v>1</v>
      </c>
      <c r="CS8" s="592">
        <f>COUNTIFS(STATUS!$Q:$Q,ДЕЛА!$A8,STATUS!$D:$D,ДЕЛА!CS$1,STATUS!$S:$S,"Согласовано")</f>
        <v>0</v>
      </c>
      <c r="CT8" s="306">
        <f>COUNTIFS(STATUS!$Q:$Q,ДЕЛА!$A8,STATUS!$D:$D,ДЕЛА!CS$1)</f>
        <v>0</v>
      </c>
      <c r="CU8" s="589">
        <f t="shared" ref="CU8" si="213">IFERROR(CS8/CT8,1)</f>
        <v>1</v>
      </c>
      <c r="CV8" s="592">
        <f>COUNTIFS(STATUS!$Q:$Q,ДЕЛА!$A8,STATUS!$D:$D,ДЕЛА!CV$1,STATUS!$S:$S,"Согласовано")</f>
        <v>0</v>
      </c>
      <c r="CW8" s="306">
        <f>COUNTIFS(STATUS!$Q:$Q,ДЕЛА!$A8,STATUS!$D:$D,ДЕЛА!CV$1)</f>
        <v>0</v>
      </c>
      <c r="CX8" s="589">
        <f t="shared" ref="CX8" si="214">IFERROR(CV8/CW8,1)</f>
        <v>1</v>
      </c>
      <c r="CY8" s="592">
        <f>COUNTIFS(STATUS!$Q:$Q,ДЕЛА!$A8,STATUS!$D:$D,ДЕЛА!CY$1,STATUS!$S:$S,"Согласовано")</f>
        <v>0</v>
      </c>
      <c r="CZ8" s="306">
        <f>COUNTIFS(STATUS!$Q:$Q,ДЕЛА!$A8,STATUS!$D:$D,ДЕЛА!CY$1)</f>
        <v>0</v>
      </c>
      <c r="DA8" s="589">
        <f t="shared" ref="DA8" si="215">IFERROR(CY8/CZ8,1)</f>
        <v>1</v>
      </c>
      <c r="DB8" s="592">
        <f>COUNTIFS(STATUS!$Q:$Q,ДЕЛА!$A8,STATUS!$D:$D,ДЕЛА!DB$1,STATUS!$S:$S,"Согласовано")</f>
        <v>0</v>
      </c>
      <c r="DC8" s="306">
        <f>COUNTIFS(STATUS!$Q:$Q,ДЕЛА!$A8,STATUS!$D:$D,ДЕЛА!DB$1)</f>
        <v>0</v>
      </c>
      <c r="DD8" s="589">
        <f t="shared" ref="DD8" si="216">IFERROR(DB8/DC8,1)</f>
        <v>1</v>
      </c>
      <c r="DE8" s="808">
        <f t="shared" si="7"/>
        <v>0</v>
      </c>
      <c r="DF8" s="600">
        <f t="shared" ref="DF8" si="217">SUM(CQ8,CT8,CW8,CZ8,DC8)-SUM(CP8,CS8,CV8,CY8,DB8)</f>
        <v>0</v>
      </c>
      <c r="DG8" s="592">
        <f>COUNTIFS(STATUS!$Q:$Q,ДЕЛА!$A8,STATUS!$D:$D,ДЕЛА!DG$1,STATUS!$S:$S,"Согласовано")</f>
        <v>0</v>
      </c>
      <c r="DH8" s="306">
        <f>COUNTIFS(STATUS!$Q:$Q,ДЕЛА!$A8,STATUS!$D:$D,ДЕЛА!DG$1)</f>
        <v>0</v>
      </c>
      <c r="DI8" s="589">
        <f t="shared" ref="DI8" si="218">IFERROR(DG8/DH8,1)</f>
        <v>1</v>
      </c>
      <c r="DJ8" s="592">
        <f>COUNTIFS(STATUS!$Q:$Q,ДЕЛА!$A8,STATUS!$D:$D,ДЕЛА!DJ$1,STATUS!$S:$S,"Согласовано")</f>
        <v>0</v>
      </c>
      <c r="DK8" s="306">
        <f>COUNTIFS(STATUS!$Q:$Q,ДЕЛА!$A8,STATUS!$D:$D,ДЕЛА!DJ$1)</f>
        <v>0</v>
      </c>
      <c r="DL8" s="589">
        <f t="shared" ref="DL8" si="219">IFERROR(DJ8/DK8,1)</f>
        <v>1</v>
      </c>
      <c r="DM8" s="592">
        <f>COUNTIFS(STATUS!$Q:$Q,ДЕЛА!$A8,STATUS!$D:$D,ДЕЛА!DM$1,STATUS!$S:$S,"Согласовано")</f>
        <v>0</v>
      </c>
      <c r="DN8" s="306">
        <f>COUNTIFS(STATUS!$Q:$Q,ДЕЛА!$A8,STATUS!$D:$D,ДЕЛА!DM$1)</f>
        <v>0</v>
      </c>
      <c r="DO8" s="589">
        <f t="shared" ref="DO8" si="220">IFERROR(DM8/DN8,1)</f>
        <v>1</v>
      </c>
      <c r="DP8" s="592">
        <f>COUNTIFS(STATUS!$Q:$Q,ДЕЛА!$A8,STATUS!$D:$D,ДЕЛА!DP$1,STATUS!$S:$S,"Согласовано")</f>
        <v>0</v>
      </c>
      <c r="DQ8" s="306">
        <f>COUNTIFS(STATUS!$Q:$Q,ДЕЛА!$A8,STATUS!$D:$D,ДЕЛА!DP$1)</f>
        <v>0</v>
      </c>
      <c r="DR8" s="589">
        <f t="shared" ref="DR8" si="221">IFERROR(DP8/DQ8,1)</f>
        <v>1</v>
      </c>
      <c r="DS8" s="592">
        <f>COUNTIFS(STATUS!$Q:$Q,ДЕЛА!$A8,STATUS!$D:$D,ДЕЛА!DS$1,STATUS!$S:$S,"Согласовано")</f>
        <v>0</v>
      </c>
      <c r="DT8" s="306">
        <f>COUNTIFS(STATUS!$Q:$Q,ДЕЛА!$A8,STATUS!$D:$D,ДЕЛА!DS$1)</f>
        <v>0</v>
      </c>
      <c r="DU8" s="589">
        <f t="shared" ref="DU8" si="222">IFERROR(DS8/DT8,1)</f>
        <v>1</v>
      </c>
      <c r="DV8" s="808">
        <f t="shared" si="8"/>
        <v>0</v>
      </c>
      <c r="DW8" s="600">
        <f t="shared" ref="DW8" si="223">SUM(DH8,DK8,DN8,DQ8,DT8)-SUM(DG8,DJ8,DM8,DP8,DS8)</f>
        <v>0</v>
      </c>
      <c r="DX8" s="592">
        <f>COUNTIFS(STATUS!$Q:$Q,ДЕЛА!$A8,STATUS!$D:$D,ДЕЛА!DX$1,STATUS!$S:$S,"Согласовано")</f>
        <v>0</v>
      </c>
      <c r="DY8" s="306">
        <f>COUNTIFS(STATUS!$Q:$Q,ДЕЛА!$A8,STATUS!$D:$D,ДЕЛА!DX$1)</f>
        <v>0</v>
      </c>
      <c r="DZ8" s="589">
        <f t="shared" ref="DZ8" si="224">IFERROR(DX8/DY8,1)</f>
        <v>1</v>
      </c>
      <c r="EA8" s="592">
        <f>COUNTIFS(STATUS!$Q:$Q,ДЕЛА!$A8,STATUS!$D:$D,ДЕЛА!EA$1,STATUS!$S:$S,"Согласовано")</f>
        <v>0</v>
      </c>
      <c r="EB8" s="306">
        <f>COUNTIFS(STATUS!$Q:$Q,ДЕЛА!$A8,STATUS!$D:$D,ДЕЛА!EA$1)</f>
        <v>0</v>
      </c>
      <c r="EC8" s="589">
        <f t="shared" ref="EC8" si="225">IFERROR(EA8/EB8,1)</f>
        <v>1</v>
      </c>
      <c r="ED8" s="592">
        <f>COUNTIFS(STATUS!$Q:$Q,ДЕЛА!$A8,STATUS!$D:$D,ДЕЛА!ED$1,STATUS!$S:$S,"Согласовано")</f>
        <v>0</v>
      </c>
      <c r="EE8" s="306">
        <f>COUNTIFS(STATUS!$Q:$Q,ДЕЛА!$A8,STATUS!$D:$D,ДЕЛА!ED$1)</f>
        <v>0</v>
      </c>
      <c r="EF8" s="589">
        <f t="shared" ref="EF8" si="226">IFERROR(ED8/EE8,1)</f>
        <v>1</v>
      </c>
      <c r="EG8" s="592">
        <f>COUNTIFS(STATUS!$Q:$Q,ДЕЛА!$A8,STATUS!$D:$D,ДЕЛА!EG$1,STATUS!$S:$S,"Согласовано")</f>
        <v>0</v>
      </c>
      <c r="EH8" s="306">
        <f>COUNTIFS(STATUS!$Q:$Q,ДЕЛА!$A8,STATUS!$D:$D,ДЕЛА!EG$1)</f>
        <v>0</v>
      </c>
      <c r="EI8" s="589">
        <f t="shared" ref="EI8" si="227">IFERROR(EG8/EH8,1)</f>
        <v>1</v>
      </c>
      <c r="EJ8" s="592">
        <f>COUNTIFS(STATUS!$Q:$Q,ДЕЛА!$A8,STATUS!$D:$D,ДЕЛА!EJ$1,STATUS!$S:$S,"Согласовано")</f>
        <v>0</v>
      </c>
      <c r="EK8" s="306">
        <f>COUNTIFS(STATUS!$Q:$Q,ДЕЛА!$A8,STATUS!$D:$D,ДЕЛА!EJ$1)</f>
        <v>0</v>
      </c>
      <c r="EL8" s="589">
        <f t="shared" ref="EL8" si="228">IFERROR(EJ8/EK8,1)</f>
        <v>1</v>
      </c>
      <c r="EM8" s="808">
        <f t="shared" si="9"/>
        <v>0</v>
      </c>
      <c r="EN8" s="600">
        <f t="shared" ref="EN8" si="229">SUM(DY8,EB8,EE8,EH8,EK8)-SUM(DX8,EA8,ED8,EG8,EJ8)</f>
        <v>0</v>
      </c>
      <c r="EO8" s="592">
        <f>COUNTIFS(STATUS!$Q:$Q,ДЕЛА!$A8,STATUS!$D:$D,ДЕЛА!EO$1,STATUS!$S:$S,"Согласовано")</f>
        <v>0</v>
      </c>
      <c r="EP8" s="306">
        <f>COUNTIFS(STATUS!$Q:$Q,ДЕЛА!$A8,STATUS!$D:$D,ДЕЛА!EO$1)</f>
        <v>0</v>
      </c>
      <c r="EQ8" s="589">
        <f t="shared" ref="EQ8" si="230">IFERROR(EO8/EP8,1)</f>
        <v>1</v>
      </c>
      <c r="ER8" s="592">
        <f>COUNTIFS(STATUS!$Q:$Q,ДЕЛА!$A8,STATUS!$D:$D,ДЕЛА!ER$1,STATUS!$S:$S,"Согласовано")</f>
        <v>0</v>
      </c>
      <c r="ES8" s="306">
        <f>COUNTIFS(STATUS!$Q:$Q,ДЕЛА!$A8,STATUS!$D:$D,ДЕЛА!ER$1)</f>
        <v>0</v>
      </c>
      <c r="ET8" s="589">
        <f t="shared" ref="ET8" si="231">IFERROR(ER8/ES8,1)</f>
        <v>1</v>
      </c>
      <c r="EU8" s="592">
        <f>COUNTIFS(STATUS!$Q:$Q,ДЕЛА!$A8,STATUS!$D:$D,ДЕЛА!EU$1,STATUS!$S:$S,"Согласовано")</f>
        <v>0</v>
      </c>
      <c r="EV8" s="306">
        <f>COUNTIFS(STATUS!$Q:$Q,ДЕЛА!$A8,STATUS!$D:$D,ДЕЛА!EU$1)</f>
        <v>0</v>
      </c>
      <c r="EW8" s="589">
        <f t="shared" ref="EW8" si="232">IFERROR(EU8/EV8,1)</f>
        <v>1</v>
      </c>
      <c r="EX8" s="592">
        <f>COUNTIFS(STATUS!$Q:$Q,ДЕЛА!$A8,STATUS!$D:$D,ДЕЛА!EX$1,STATUS!$S:$S,"Согласовано")</f>
        <v>0</v>
      </c>
      <c r="EY8" s="306">
        <f>COUNTIFS(STATUS!$Q:$Q,ДЕЛА!$A8,STATUS!$D:$D,ДЕЛА!EX$1)</f>
        <v>0</v>
      </c>
      <c r="EZ8" s="589">
        <f t="shared" ref="EZ8" si="233">IFERROR(EX8/EY8,1)</f>
        <v>1</v>
      </c>
      <c r="FA8" s="592">
        <f>COUNTIFS(STATUS!$Q:$Q,ДЕЛА!$A8,STATUS!$D:$D,ДЕЛА!FA$1,STATUS!$S:$S,"Согласовано")</f>
        <v>0</v>
      </c>
      <c r="FB8" s="306">
        <f>COUNTIFS(STATUS!$Q:$Q,ДЕЛА!$A8,STATUS!$D:$D,ДЕЛА!FA$1)</f>
        <v>0</v>
      </c>
      <c r="FC8" s="589">
        <f t="shared" ref="FC8" si="234">IFERROR(FA8/FB8,1)</f>
        <v>1</v>
      </c>
      <c r="FD8" s="808">
        <f t="shared" si="10"/>
        <v>0</v>
      </c>
      <c r="FE8" s="600">
        <f t="shared" ref="FE8" si="235">SUM(EP8,ES8,EV8,EY8,FB8)-SUM(EO8,ER8,EU8,EX8,FA8)</f>
        <v>0</v>
      </c>
      <c r="FF8" s="592">
        <f>COUNTIFS(STATUS!$Q:$Q,ДЕЛА!$A8,STATUS!$D:$D,ДЕЛА!FF$1,STATUS!$S:$S,"Согласовано")</f>
        <v>0</v>
      </c>
      <c r="FG8" s="306">
        <f>COUNTIFS(STATUS!$Q:$Q,ДЕЛА!$A8,STATUS!$D:$D,ДЕЛА!FF$1)</f>
        <v>0</v>
      </c>
      <c r="FH8" s="589">
        <f t="shared" ref="FH8" si="236">IFERROR(FF8/FG8,1)</f>
        <v>1</v>
      </c>
      <c r="FI8" s="592">
        <f>COUNTIFS(STATUS!$Q:$Q,ДЕЛА!$A8,STATUS!$D:$D,ДЕЛА!FI$1,STATUS!$S:$S,"Согласовано")</f>
        <v>0</v>
      </c>
      <c r="FJ8" s="306">
        <f>COUNTIFS(STATUS!$Q:$Q,ДЕЛА!$A8,STATUS!$D:$D,ДЕЛА!FI$1)</f>
        <v>0</v>
      </c>
      <c r="FK8" s="589">
        <f t="shared" ref="FK8" si="237">IFERROR(FI8/FJ8,1)</f>
        <v>1</v>
      </c>
      <c r="FL8" s="592">
        <f>COUNTIFS(STATUS!$Q:$Q,ДЕЛА!$A8,STATUS!$D:$D,ДЕЛА!FL$1,STATUS!$S:$S,"Согласовано")</f>
        <v>0</v>
      </c>
      <c r="FM8" s="306">
        <f>COUNTIFS(STATUS!$Q:$Q,ДЕЛА!$A8,STATUS!$D:$D,ДЕЛА!FL$1)</f>
        <v>0</v>
      </c>
      <c r="FN8" s="589">
        <f t="shared" ref="FN8" si="238">IFERROR(FL8/FM8,1)</f>
        <v>1</v>
      </c>
      <c r="FO8" s="592">
        <f>COUNTIFS(STATUS!$Q:$Q,ДЕЛА!$A8,STATUS!$D:$D,ДЕЛА!FO$1,STATUS!$S:$S,"Согласовано")</f>
        <v>0</v>
      </c>
      <c r="FP8" s="306">
        <f>COUNTIFS(STATUS!$Q:$Q,ДЕЛА!$A8,STATUS!$D:$D,ДЕЛА!FO$1)</f>
        <v>0</v>
      </c>
      <c r="FQ8" s="589">
        <f t="shared" ref="FQ8" si="239">IFERROR(FO8/FP8,1)</f>
        <v>1</v>
      </c>
      <c r="FR8" s="592">
        <f>COUNTIFS(STATUS!$Q:$Q,ДЕЛА!$A8,STATUS!$D:$D,ДЕЛА!FR$1,STATUS!$S:$S,"Согласовано")</f>
        <v>0</v>
      </c>
      <c r="FS8" s="306">
        <f>COUNTIFS(STATUS!$Q:$Q,ДЕЛА!$A8,STATUS!$D:$D,ДЕЛА!FR$1)</f>
        <v>0</v>
      </c>
      <c r="FT8" s="589">
        <f t="shared" ref="FT8" si="240">IFERROR(FR8/FS8,1)</f>
        <v>1</v>
      </c>
      <c r="FU8" s="808">
        <f t="shared" si="11"/>
        <v>0</v>
      </c>
      <c r="FV8" s="600">
        <f t="shared" ref="FV8" si="241">SUM(FG8,FJ8,FM8,FP8,FS8)-SUM(FF8,FI8,FL8,FO8,FR8)</f>
        <v>0</v>
      </c>
      <c r="FW8" s="592">
        <f>COUNTIFS(STATUS!$Q:$Q,ДЕЛА!$A8,STATUS!$D:$D,ДЕЛА!FW$1,STATUS!$S:$S,"Согласовано")</f>
        <v>0</v>
      </c>
      <c r="FX8" s="306">
        <f>COUNTIFS(STATUS!$Q:$Q,ДЕЛА!$A8,STATUS!$D:$D,ДЕЛА!FW$1)</f>
        <v>0</v>
      </c>
      <c r="FY8" s="589">
        <f t="shared" ref="FY8" si="242">IFERROR(FW8/FX8,1)</f>
        <v>1</v>
      </c>
      <c r="FZ8" s="592">
        <f>COUNTIFS(STATUS!$Q:$Q,ДЕЛА!$A8,STATUS!$D:$D,ДЕЛА!FZ$1,STATUS!$S:$S,"Согласовано")</f>
        <v>0</v>
      </c>
      <c r="GA8" s="306">
        <f>COUNTIFS(STATUS!$Q:$Q,ДЕЛА!$A8,STATUS!$D:$D,ДЕЛА!FZ$1)</f>
        <v>0</v>
      </c>
      <c r="GB8" s="589">
        <f t="shared" ref="GB8" si="243">IFERROR(FZ8/GA8,1)</f>
        <v>1</v>
      </c>
      <c r="GC8" s="592">
        <f>COUNTIFS(STATUS!$Q:$Q,ДЕЛА!$A8,STATUS!$D:$D,ДЕЛА!GC$1,STATUS!$S:$S,"Согласовано")</f>
        <v>0</v>
      </c>
      <c r="GD8" s="306">
        <f>COUNTIFS(STATUS!$Q:$Q,ДЕЛА!$A8,STATUS!$D:$D,ДЕЛА!GC$1)</f>
        <v>0</v>
      </c>
      <c r="GE8" s="589">
        <f t="shared" ref="GE8" si="244">IFERROR(GC8/GD8,1)</f>
        <v>1</v>
      </c>
      <c r="GF8" s="592">
        <f>COUNTIFS(STATUS!$Q:$Q,ДЕЛА!$A8,STATUS!$D:$D,ДЕЛА!GF$1,STATUS!$S:$S,"Согласовано")</f>
        <v>0</v>
      </c>
      <c r="GG8" s="306">
        <f>COUNTIFS(STATUS!$Q:$Q,ДЕЛА!$A8,STATUS!$D:$D,ДЕЛА!GF$1)</f>
        <v>0</v>
      </c>
      <c r="GH8" s="589">
        <f t="shared" ref="GH8" si="245">IFERROR(GF8/GG8,1)</f>
        <v>1</v>
      </c>
      <c r="GI8" s="592">
        <f>COUNTIFS(STATUS!$Q:$Q,ДЕЛА!$A8,STATUS!$D:$D,ДЕЛА!GI$1,STATUS!$S:$S,"Согласовано")</f>
        <v>0</v>
      </c>
      <c r="GJ8" s="306">
        <f>COUNTIFS(STATUS!$Q:$Q,ДЕЛА!$A8,STATUS!$D:$D,ДЕЛА!GI$1)</f>
        <v>0</v>
      </c>
      <c r="GK8" s="589">
        <f t="shared" ref="GK8" si="246">IFERROR(GI8/GJ8,1)</f>
        <v>1</v>
      </c>
      <c r="GL8" s="808">
        <f t="shared" si="12"/>
        <v>0</v>
      </c>
      <c r="GM8" s="600">
        <f t="shared" ref="GM8" si="247">SUM(FX8,GA8,GD8,GG8,GJ8)-SUM(FW8,FZ8,GC8,GF8,GI8)</f>
        <v>0</v>
      </c>
      <c r="GN8" s="592">
        <f>COUNTIFS(STATUS!$Q:$Q,ДЕЛА!$A8,STATUS!$D:$D,ДЕЛА!GN$1,STATUS!$S:$S,"Согласовано")</f>
        <v>0</v>
      </c>
      <c r="GO8" s="306">
        <f>COUNTIFS(STATUS!$Q:$Q,ДЕЛА!$A8,STATUS!$D:$D,ДЕЛА!GN$1)</f>
        <v>0</v>
      </c>
      <c r="GP8" s="589">
        <f t="shared" ref="GP8" si="248">IFERROR(GN8/GO8,1)</f>
        <v>1</v>
      </c>
      <c r="GQ8" s="592">
        <f>COUNTIFS(STATUS!$Q:$Q,ДЕЛА!$A8,STATUS!$D:$D,ДЕЛА!GQ$1,STATUS!$S:$S,"Согласовано")</f>
        <v>0</v>
      </c>
      <c r="GR8" s="306">
        <f>COUNTIFS(STATUS!$Q:$Q,ДЕЛА!$A8,STATUS!$D:$D,ДЕЛА!GQ$1)</f>
        <v>0</v>
      </c>
      <c r="GS8" s="589">
        <f t="shared" ref="GS8" si="249">IFERROR(GQ8/GR8,1)</f>
        <v>1</v>
      </c>
      <c r="GT8" s="592">
        <f>COUNTIFS(STATUS!$Q:$Q,ДЕЛА!$A8,STATUS!$D:$D,ДЕЛА!GT$1,STATUS!$S:$S,"Согласовано")</f>
        <v>0</v>
      </c>
      <c r="GU8" s="306">
        <f>COUNTIFS(STATUS!$Q:$Q,ДЕЛА!$A8,STATUS!$D:$D,ДЕЛА!GT$1)</f>
        <v>0</v>
      </c>
      <c r="GV8" s="589">
        <f t="shared" ref="GV8" si="250">IFERROR(GT8/GU8,1)</f>
        <v>1</v>
      </c>
      <c r="GW8" s="592">
        <f>COUNTIFS(STATUS!$Q:$Q,ДЕЛА!$A8,STATUS!$D:$D,ДЕЛА!GW$1,STATUS!$S:$S,"Согласовано")</f>
        <v>0</v>
      </c>
      <c r="GX8" s="306">
        <f>COUNTIFS(STATUS!$Q:$Q,ДЕЛА!$A8,STATUS!$D:$D,ДЕЛА!GW$1)</f>
        <v>0</v>
      </c>
      <c r="GY8" s="589">
        <f t="shared" ref="GY8" si="251">IFERROR(GW8/GX8,1)</f>
        <v>1</v>
      </c>
      <c r="GZ8" s="592">
        <f>COUNTIFS(STATUS!$Q:$Q,ДЕЛА!$A8,STATUS!$D:$D,ДЕЛА!GZ$1,STATUS!$S:$S,"Согласовано")</f>
        <v>0</v>
      </c>
      <c r="HA8" s="306">
        <f>COUNTIFS(STATUS!$Q:$Q,ДЕЛА!$A8,STATUS!$D:$D,ДЕЛА!GZ$1)</f>
        <v>0</v>
      </c>
      <c r="HB8" s="589">
        <f t="shared" ref="HB8" si="252">IFERROR(GZ8/HA8,1)</f>
        <v>1</v>
      </c>
      <c r="HC8" s="808">
        <f t="shared" si="13"/>
        <v>0</v>
      </c>
      <c r="HD8" s="600">
        <f t="shared" ref="HD8" si="253">SUM(GO8,GR8,GU8,GX8,HA8)-SUM(GN8,GQ8,GT8,GW8,GZ8)</f>
        <v>0</v>
      </c>
      <c r="HE8" s="592">
        <f>COUNTIFS(STATUS!$Q:$Q,ДЕЛА!$A8,STATUS!$D:$D,ДЕЛА!HE$1,STATUS!$S:$S,"Согласовано")</f>
        <v>0</v>
      </c>
      <c r="HF8" s="306">
        <f>COUNTIFS(STATUS!$Q:$Q,ДЕЛА!$A8,STATUS!$D:$D,ДЕЛА!HE$1)</f>
        <v>0</v>
      </c>
      <c r="HG8" s="589">
        <f t="shared" ref="HG8" si="254">IFERROR(HE8/HF8,1)</f>
        <v>1</v>
      </c>
      <c r="HH8" s="592">
        <f>COUNTIFS(STATUS!$Q:$Q,ДЕЛА!$A8,STATUS!$D:$D,ДЕЛА!HH$1,STATUS!$S:$S,"Согласовано")</f>
        <v>0</v>
      </c>
      <c r="HI8" s="306">
        <f>COUNTIFS(STATUS!$Q:$Q,ДЕЛА!$A8,STATUS!$D:$D,ДЕЛА!HH$1)</f>
        <v>0</v>
      </c>
      <c r="HJ8" s="589">
        <f t="shared" ref="HJ8" si="255">IFERROR(HH8/HI8,1)</f>
        <v>1</v>
      </c>
      <c r="HK8" s="592">
        <f>COUNTIFS(STATUS!$Q:$Q,ДЕЛА!$A8,STATUS!$D:$D,ДЕЛА!HK$1,STATUS!$S:$S,"Согласовано")</f>
        <v>0</v>
      </c>
      <c r="HL8" s="306">
        <f>COUNTIFS(STATUS!$Q:$Q,ДЕЛА!$A8,STATUS!$D:$D,ДЕЛА!HK$1)</f>
        <v>0</v>
      </c>
      <c r="HM8" s="589">
        <f t="shared" ref="HM8" si="256">IFERROR(HK8/HL8,1)</f>
        <v>1</v>
      </c>
      <c r="HN8" s="592">
        <f>COUNTIFS(STATUS!$Q:$Q,ДЕЛА!$A8,STATUS!$D:$D,ДЕЛА!HN$1,STATUS!$S:$S,"Согласовано")</f>
        <v>0</v>
      </c>
      <c r="HO8" s="306">
        <f>COUNTIFS(STATUS!$Q:$Q,ДЕЛА!$A8,STATUS!$D:$D,ДЕЛА!HN$1)</f>
        <v>0</v>
      </c>
      <c r="HP8" s="589">
        <f t="shared" ref="HP8" si="257">IFERROR(HN8/HO8,1)</f>
        <v>1</v>
      </c>
      <c r="HQ8" s="592">
        <f>COUNTIFS(STATUS!$Q:$Q,ДЕЛА!$A8,STATUS!$D:$D,ДЕЛА!HQ$1,STATUS!$S:$S,"Согласовано")</f>
        <v>0</v>
      </c>
      <c r="HR8" s="306">
        <f>COUNTIFS(STATUS!$Q:$Q,ДЕЛА!$A8,STATUS!$D:$D,ДЕЛА!HQ$1)</f>
        <v>0</v>
      </c>
      <c r="HS8" s="589">
        <f t="shared" ref="HS8" si="258">IFERROR(HQ8/HR8,1)</f>
        <v>1</v>
      </c>
      <c r="HT8" s="808">
        <f t="shared" si="14"/>
        <v>0</v>
      </c>
      <c r="HU8" s="600">
        <f t="shared" ref="HU8" si="259">SUM(HF8,HI8,HL8,HO8,HR8)-SUM(HE8,HH8,HK8,HN8,HQ8)</f>
        <v>0</v>
      </c>
      <c r="HV8" s="592">
        <f>COUNTIFS(STATUS!$Q:$Q,ДЕЛА!$A8,STATUS!$D:$D,ДЕЛА!HV$1,STATUS!$S:$S,"Согласовано")</f>
        <v>9</v>
      </c>
      <c r="HW8" s="306">
        <f>COUNTIFS(STATUS!$Q:$Q,ДЕЛА!$A8,STATUS!$D:$D,ДЕЛА!HV$1)</f>
        <v>9</v>
      </c>
      <c r="HX8" s="589">
        <f t="shared" ref="HX8" si="260">IFERROR(HV8/HW8,1)</f>
        <v>1</v>
      </c>
      <c r="HY8" s="592">
        <f>COUNTIFS(STATUS!$Q:$Q,ДЕЛА!$A8,STATUS!$D:$D,ДЕЛА!HY$1,STATUS!$S:$S,"Согласовано")</f>
        <v>5</v>
      </c>
      <c r="HZ8" s="306">
        <f>COUNTIFS(STATUS!$Q:$Q,ДЕЛА!$A8,STATUS!$D:$D,ДЕЛА!HY$1)</f>
        <v>5</v>
      </c>
      <c r="IA8" s="589">
        <f t="shared" ref="IA8" si="261">IFERROR(HY8/HZ8,1)</f>
        <v>1</v>
      </c>
      <c r="IB8" s="592">
        <f>COUNTIFS(STATUS!$Q:$Q,ДЕЛА!$A8,STATUS!$D:$D,ДЕЛА!IB$1,STATUS!$S:$S,"Согласовано")</f>
        <v>5</v>
      </c>
      <c r="IC8" s="306">
        <f>COUNTIFS(STATUS!$Q:$Q,ДЕЛА!$A8,STATUS!$D:$D,ДЕЛА!IB$1)</f>
        <v>5</v>
      </c>
      <c r="ID8" s="589">
        <f t="shared" ref="ID8" si="262">IFERROR(IB8/IC8,1)</f>
        <v>1</v>
      </c>
      <c r="IE8" s="592">
        <f>COUNTIFS(STATUS!$Q:$Q,ДЕЛА!$A8,STATUS!$D:$D,ДЕЛА!IE$1,STATUS!$S:$S,"Согласовано")</f>
        <v>5</v>
      </c>
      <c r="IF8" s="306">
        <f>COUNTIFS(STATUS!$Q:$Q,ДЕЛА!$A8,STATUS!$D:$D,ДЕЛА!IE$1)</f>
        <v>5</v>
      </c>
      <c r="IG8" s="589">
        <f t="shared" ref="IG8" si="263">IFERROR(IE8/IF8,1)</f>
        <v>1</v>
      </c>
      <c r="IH8" s="592">
        <f>COUNTIFS(STATUS!$Q:$Q,ДЕЛА!$A8,STATUS!$D:$D,ДЕЛА!IH$1,STATUS!$S:$S,"Согласовано")</f>
        <v>8</v>
      </c>
      <c r="II8" s="306">
        <f>COUNTIFS(STATUS!$Q:$Q,ДЕЛА!$A8,STATUS!$D:$D,ДЕЛА!IH$1)</f>
        <v>8</v>
      </c>
      <c r="IJ8" s="589">
        <f t="shared" ref="IJ8" si="264">IFERROR(IH8/II8,1)</f>
        <v>1</v>
      </c>
      <c r="IK8" s="808">
        <f t="shared" si="15"/>
        <v>32</v>
      </c>
      <c r="IL8" s="600">
        <f t="shared" ref="IL8" si="265">SUM(HW8,HZ8,IC8,IF8,II8)-SUM(HV8,HY8,IB8,IE8,IH8)</f>
        <v>0</v>
      </c>
      <c r="IM8" s="592">
        <f>COUNTIFS(STATUS!$Q:$Q,ДЕЛА!$A8,STATUS!$D:$D,ДЕЛА!IM$1,STATUS!$S:$S,"Согласовано")</f>
        <v>6</v>
      </c>
      <c r="IN8" s="306">
        <f>COUNTIFS(STATUS!$Q:$Q,ДЕЛА!$A8,STATUS!$D:$D,ДЕЛА!IM$1)</f>
        <v>6</v>
      </c>
      <c r="IO8" s="589">
        <f t="shared" ref="IO8" si="266">IFERROR(IM8/IN8,1)</f>
        <v>1</v>
      </c>
      <c r="IP8" s="592">
        <f>COUNTIFS(STATUS!$Q:$Q,ДЕЛА!$A8,STATUS!$D:$D,ДЕЛА!IP$1,STATUS!$S:$S,"Согласовано")</f>
        <v>6</v>
      </c>
      <c r="IQ8" s="306">
        <f>COUNTIFS(STATUS!$Q:$Q,ДЕЛА!$A8,STATUS!$D:$D,ДЕЛА!IP$1)</f>
        <v>6</v>
      </c>
      <c r="IR8" s="589">
        <f t="shared" ref="IR8" si="267">IFERROR(IP8/IQ8,1)</f>
        <v>1</v>
      </c>
      <c r="IS8" s="592">
        <f>COUNTIFS(STATUS!$Q:$Q,ДЕЛА!$A8,STATUS!$D:$D,ДЕЛА!IS$1,STATUS!$S:$S,"Согласовано")</f>
        <v>2</v>
      </c>
      <c r="IT8" s="306">
        <f>COUNTIFS(STATUS!$Q:$Q,ДЕЛА!$A8,STATUS!$D:$D,ДЕЛА!IS$1)</f>
        <v>2</v>
      </c>
      <c r="IU8" s="589">
        <f t="shared" ref="IU8" si="268">IFERROR(IS8/IT8,1)</f>
        <v>1</v>
      </c>
      <c r="IV8" s="592">
        <f>COUNTIFS(STATUS!$Q:$Q,ДЕЛА!$A8,STATUS!$D:$D,ДЕЛА!IV$1,STATUS!$S:$S,"Согласовано")</f>
        <v>7</v>
      </c>
      <c r="IW8" s="306">
        <f>COUNTIFS(STATUS!$Q:$Q,ДЕЛА!$A8,STATUS!$D:$D,ДЕЛА!IV$1)</f>
        <v>7</v>
      </c>
      <c r="IX8" s="589">
        <f t="shared" ref="IX8" si="269">IFERROR(IV8/IW8,1)</f>
        <v>1</v>
      </c>
      <c r="IY8" s="592">
        <f>COUNTIFS(STATUS!$Q:$Q,ДЕЛА!$A8,STATUS!$D:$D,ДЕЛА!IY$1,STATUS!$S:$S,"Согласовано")</f>
        <v>4</v>
      </c>
      <c r="IZ8" s="306">
        <f>COUNTIFS(STATUS!$Q:$Q,ДЕЛА!$A8,STATUS!$D:$D,ДЕЛА!IY$1)</f>
        <v>4</v>
      </c>
      <c r="JA8" s="589">
        <f t="shared" ref="JA8" si="270">IFERROR(IY8/IZ8,1)</f>
        <v>1</v>
      </c>
      <c r="JB8" s="808">
        <f t="shared" si="16"/>
        <v>25</v>
      </c>
      <c r="JC8" s="600">
        <f t="shared" ref="JC8" si="271">SUM(IN8,IQ8,IT8,IW8,IZ8)-SUM(IM8,IP8,IS8,IV8,IY8)</f>
        <v>0</v>
      </c>
      <c r="JD8" s="592">
        <f>COUNTIFS(STATUS!$Q:$Q,ДЕЛА!$A8,STATUS!$D:$D,ДЕЛА!JD$1,STATUS!$S:$S,"Согласовано")</f>
        <v>5</v>
      </c>
      <c r="JE8" s="306">
        <f>COUNTIFS(STATUS!$Q:$Q,ДЕЛА!$A8,STATUS!$D:$D,ДЕЛА!JD$1)</f>
        <v>5</v>
      </c>
      <c r="JF8" s="589">
        <f t="shared" ref="JF8" si="272">IFERROR(JD8/JE8,1)</f>
        <v>1</v>
      </c>
      <c r="JG8" s="592">
        <f>COUNTIFS(STATUS!$Q:$Q,ДЕЛА!$A8,STATUS!$D:$D,ДЕЛА!JG$1,STATUS!$S:$S,"Согласовано")</f>
        <v>4</v>
      </c>
      <c r="JH8" s="306">
        <f>COUNTIFS(STATUS!$Q:$Q,ДЕЛА!$A8,STATUS!$D:$D,ДЕЛА!JG$1)</f>
        <v>4</v>
      </c>
      <c r="JI8" s="589">
        <f t="shared" ref="JI8" si="273">IFERROR(JG8/JH8,1)</f>
        <v>1</v>
      </c>
      <c r="JJ8" s="592">
        <f>COUNTIFS(STATUS!$Q:$Q,ДЕЛА!$A8,STATUS!$D:$D,ДЕЛА!JJ$1,STATUS!$S:$S,"Согласовано")</f>
        <v>4</v>
      </c>
      <c r="JK8" s="306">
        <f>COUNTIFS(STATUS!$Q:$Q,ДЕЛА!$A8,STATUS!$D:$D,ДЕЛА!JJ$1)</f>
        <v>4</v>
      </c>
      <c r="JL8" s="589">
        <f t="shared" ref="JL8" si="274">IFERROR(JJ8/JK8,1)</f>
        <v>1</v>
      </c>
      <c r="JM8" s="592">
        <f>COUNTIFS(STATUS!$Q:$Q,ДЕЛА!$A8,STATUS!$D:$D,ДЕЛА!JM$1,STATUS!$S:$S,"Согласовано")</f>
        <v>3</v>
      </c>
      <c r="JN8" s="306">
        <f>COUNTIFS(STATUS!$Q:$Q,ДЕЛА!$A8,STATUS!$D:$D,ДЕЛА!JM$1)</f>
        <v>3</v>
      </c>
      <c r="JO8" s="589">
        <f t="shared" ref="JO8" si="275">IFERROR(JM8/JN8,1)</f>
        <v>1</v>
      </c>
      <c r="JP8" s="592">
        <f>COUNTIFS(STATUS!$Q:$Q,ДЕЛА!$A8,STATUS!$D:$D,ДЕЛА!JP$1,STATUS!$S:$S,"Согласовано")</f>
        <v>4</v>
      </c>
      <c r="JQ8" s="306">
        <f>COUNTIFS(STATUS!$Q:$Q,ДЕЛА!$A8,STATUS!$D:$D,ДЕЛА!JP$1)</f>
        <v>4</v>
      </c>
      <c r="JR8" s="589">
        <f t="shared" ref="JR8" si="276">IFERROR(JP8/JQ8,1)</f>
        <v>1</v>
      </c>
      <c r="JS8" s="808">
        <f t="shared" si="17"/>
        <v>20</v>
      </c>
      <c r="JT8" s="600">
        <f t="shared" ref="JT8" si="277">SUM(JE8,JH8,JK8,JN8,JQ8)-SUM(JD8,JG8,JJ8,JM8,JP8)</f>
        <v>0</v>
      </c>
      <c r="JU8" s="592">
        <f>COUNTIFS(STATUS!$Q:$Q,ДЕЛА!$A8,STATUS!$D:$D,ДЕЛА!JU$1,STATUS!$S:$S,"Согласовано")</f>
        <v>0</v>
      </c>
      <c r="JV8" s="306">
        <f>COUNTIFS(STATUS!$Q:$Q,ДЕЛА!$A8,STATUS!$D:$D,ДЕЛА!JU$1)</f>
        <v>0</v>
      </c>
      <c r="JW8" s="589">
        <f t="shared" ref="JW8" si="278">IFERROR(JU8/JV8,1)</f>
        <v>1</v>
      </c>
      <c r="JX8" s="592">
        <f>COUNTIFS(STATUS!$Q:$Q,ДЕЛА!$A8,STATUS!$D:$D,ДЕЛА!JX$1,STATUS!$S:$S,"Согласовано")</f>
        <v>0</v>
      </c>
      <c r="JY8" s="306">
        <f>COUNTIFS(STATUS!$Q:$Q,ДЕЛА!$A8,STATUS!$D:$D,ДЕЛА!JX$1)</f>
        <v>0</v>
      </c>
      <c r="JZ8" s="589">
        <f t="shared" ref="JZ8" si="279">IFERROR(JX8/JY8,1)</f>
        <v>1</v>
      </c>
      <c r="KA8" s="592">
        <f>COUNTIFS(STATUS!$Q:$Q,ДЕЛА!$A8,STATUS!$D:$D,ДЕЛА!KA$1,STATUS!$S:$S,"Согласовано")</f>
        <v>0</v>
      </c>
      <c r="KB8" s="306">
        <f>COUNTIFS(STATUS!$Q:$Q,ДЕЛА!$A8,STATUS!$D:$D,ДЕЛА!KA$1)</f>
        <v>0</v>
      </c>
      <c r="KC8" s="589">
        <f t="shared" ref="KC8" si="280">IFERROR(KA8/KB8,1)</f>
        <v>1</v>
      </c>
      <c r="KD8" s="592">
        <f>COUNTIFS(STATUS!$Q:$Q,ДЕЛА!$A8,STATUS!$D:$D,ДЕЛА!KD$1,STATUS!$S:$S,"Согласовано")</f>
        <v>0</v>
      </c>
      <c r="KE8" s="306">
        <f>COUNTIFS(STATUS!$Q:$Q,ДЕЛА!$A8,STATUS!$D:$D,ДЕЛА!KD$1)</f>
        <v>0</v>
      </c>
      <c r="KF8" s="589">
        <f t="shared" ref="KF8" si="281">IFERROR(KD8/KE8,1)</f>
        <v>1</v>
      </c>
      <c r="KG8" s="592">
        <f>COUNTIFS(STATUS!$Q:$Q,ДЕЛА!$A8,STATUS!$D:$D,ДЕЛА!KG$1,STATUS!$S:$S,"Согласовано")</f>
        <v>0</v>
      </c>
      <c r="KH8" s="306">
        <f>COUNTIFS(STATUS!$Q:$Q,ДЕЛА!$A8,STATUS!$D:$D,ДЕЛА!KG$1)</f>
        <v>0</v>
      </c>
      <c r="KI8" s="589">
        <f t="shared" ref="KI8" si="282">IFERROR(KG8/KH8,1)</f>
        <v>1</v>
      </c>
      <c r="KJ8" s="808">
        <f t="shared" si="18"/>
        <v>0</v>
      </c>
      <c r="KK8" s="600">
        <f t="shared" ref="KK8" si="283">SUM(JV8,JY8,KB8,KE8,KH8)-SUM(JU8,JX8,KA8,KD8,KG8)</f>
        <v>0</v>
      </c>
      <c r="KL8" s="592">
        <f>COUNTIFS(STATUS!$Q:$Q,ДЕЛА!$A8,STATUS!$D:$D,ДЕЛА!KL$1,STATUS!$S:$S,"Согласовано")</f>
        <v>0</v>
      </c>
      <c r="KM8" s="306">
        <f>COUNTIFS(STATUS!$Q:$Q,ДЕЛА!$A8,STATUS!$D:$D,ДЕЛА!KL$1)</f>
        <v>0</v>
      </c>
      <c r="KN8" s="589">
        <f t="shared" ref="KN8" si="284">IFERROR(KL8/KM8,1)</f>
        <v>1</v>
      </c>
      <c r="KO8" s="592">
        <f>COUNTIFS(STATUS!$Q:$Q,ДЕЛА!$A8,STATUS!$D:$D,ДЕЛА!KO$1,STATUS!$S:$S,"Согласовано")</f>
        <v>0</v>
      </c>
      <c r="KP8" s="306">
        <f>COUNTIFS(STATUS!$Q:$Q,ДЕЛА!$A8,STATUS!$D:$D,ДЕЛА!KO$1)</f>
        <v>0</v>
      </c>
      <c r="KQ8" s="589">
        <f t="shared" ref="KQ8" si="285">IFERROR(KO8/KP8,1)</f>
        <v>1</v>
      </c>
      <c r="KR8" s="592">
        <f>COUNTIFS(STATUS!$Q:$Q,ДЕЛА!$A8,STATUS!$D:$D,ДЕЛА!KR$1,STATUS!$S:$S,"Согласовано")</f>
        <v>0</v>
      </c>
      <c r="KS8" s="306">
        <f>COUNTIFS(STATUS!$Q:$Q,ДЕЛА!$A8,STATUS!$D:$D,ДЕЛА!KR$1)</f>
        <v>0</v>
      </c>
      <c r="KT8" s="589">
        <f t="shared" ref="KT8" si="286">IFERROR(KR8/KS8,1)</f>
        <v>1</v>
      </c>
      <c r="KU8" s="592">
        <f>COUNTIFS(STATUS!$Q:$Q,ДЕЛА!$A8,STATUS!$D:$D,ДЕЛА!KU$1,STATUS!$S:$S,"Согласовано")</f>
        <v>0</v>
      </c>
      <c r="KV8" s="306">
        <f>COUNTIFS(STATUS!$Q:$Q,ДЕЛА!$A8,STATUS!$D:$D,ДЕЛА!KU$1)</f>
        <v>0</v>
      </c>
      <c r="KW8" s="589">
        <f t="shared" ref="KW8" si="287">IFERROR(KU8/KV8,1)</f>
        <v>1</v>
      </c>
      <c r="KX8" s="592">
        <f>COUNTIFS(STATUS!$Q:$Q,ДЕЛА!$A8,STATUS!$D:$D,ДЕЛА!KX$1,STATUS!$S:$S,"Согласовано")</f>
        <v>0</v>
      </c>
      <c r="KY8" s="306">
        <f>COUNTIFS(STATUS!$Q:$Q,ДЕЛА!$A8,STATUS!$D:$D,ДЕЛА!KX$1)</f>
        <v>0</v>
      </c>
      <c r="KZ8" s="589">
        <f t="shared" ref="KZ8" si="288">IFERROR(KX8/KY8,1)</f>
        <v>1</v>
      </c>
      <c r="LA8" s="808">
        <f t="shared" si="19"/>
        <v>0</v>
      </c>
      <c r="LB8" s="600">
        <f t="shared" ref="LB8" si="289">SUM(KM8,KP8,KS8,KV8,KY8)-SUM(KL8,KO8,KR8,KU8,KX8)</f>
        <v>0</v>
      </c>
      <c r="LC8" s="592">
        <f>COUNTIFS(STATUS!$Q:$Q,ДЕЛА!$A8,STATUS!$D:$D,ДЕЛА!LC$1,STATUS!$S:$S,"Согласовано")</f>
        <v>0</v>
      </c>
      <c r="LD8" s="306">
        <f>COUNTIFS(STATUS!$Q:$Q,ДЕЛА!$A8,STATUS!$D:$D,ДЕЛА!LC$1)</f>
        <v>0</v>
      </c>
      <c r="LE8" s="589">
        <f t="shared" ref="LE8" si="290">IFERROR(LC8/LD8,1)</f>
        <v>1</v>
      </c>
      <c r="LF8" s="592">
        <f>COUNTIFS(STATUS!$Q:$Q,ДЕЛА!$A8,STATUS!$D:$D,ДЕЛА!LF$1,STATUS!$S:$S,"Согласовано")</f>
        <v>0</v>
      </c>
      <c r="LG8" s="306">
        <f>COUNTIFS(STATUS!$Q:$Q,ДЕЛА!$A8,STATUS!$D:$D,ДЕЛА!LF$1)</f>
        <v>0</v>
      </c>
      <c r="LH8" s="589">
        <f t="shared" ref="LH8" si="291">IFERROR(LF8/LG8,1)</f>
        <v>1</v>
      </c>
      <c r="LI8" s="592">
        <f>COUNTIFS(STATUS!$Q:$Q,ДЕЛА!$A8,STATUS!$D:$D,ДЕЛА!LI$1,STATUS!$S:$S,"Согласовано")</f>
        <v>0</v>
      </c>
      <c r="LJ8" s="306">
        <f>COUNTIFS(STATUS!$Q:$Q,ДЕЛА!$A8,STATUS!$D:$D,ДЕЛА!LI$1)</f>
        <v>0</v>
      </c>
      <c r="LK8" s="589">
        <f t="shared" ref="LK8" si="292">IFERROR(LI8/LJ8,1)</f>
        <v>1</v>
      </c>
      <c r="LL8" s="592">
        <f>COUNTIFS(STATUS!$Q:$Q,ДЕЛА!$A8,STATUS!$D:$D,ДЕЛА!LL$1,STATUS!$S:$S,"Согласовано")</f>
        <v>0</v>
      </c>
      <c r="LM8" s="306">
        <f>COUNTIFS(STATUS!$Q:$Q,ДЕЛА!$A8,STATUS!$D:$D,ДЕЛА!LL$1)</f>
        <v>0</v>
      </c>
      <c r="LN8" s="589">
        <f t="shared" ref="LN8" si="293">IFERROR(LL8/LM8,1)</f>
        <v>1</v>
      </c>
      <c r="LO8" s="592">
        <f>COUNTIFS(STATUS!$Q:$Q,ДЕЛА!$A8,STATUS!$D:$D,ДЕЛА!LO$1,STATUS!$S:$S,"Согласовано")</f>
        <v>0</v>
      </c>
      <c r="LP8" s="306">
        <f>COUNTIFS(STATUS!$Q:$Q,ДЕЛА!$A8,STATUS!$D:$D,ДЕЛА!LO$1)</f>
        <v>0</v>
      </c>
      <c r="LQ8" s="589">
        <f t="shared" ref="LQ8" si="294">IFERROR(LO8/LP8,1)</f>
        <v>1</v>
      </c>
      <c r="LR8" s="808">
        <f t="shared" si="20"/>
        <v>0</v>
      </c>
      <c r="LS8" s="600">
        <f t="shared" ref="LS8" si="295">SUM(LD8,LG8,LJ8,LM8,LP8)-SUM(LC8,LF8,LI8,LL8,LO8)</f>
        <v>0</v>
      </c>
      <c r="LT8" s="592">
        <f>COUNTIFS(STATUS!$Q:$Q,ДЕЛА!$A8,STATUS!$D:$D,ДЕЛА!LT$1,STATUS!$S:$S,"Согласовано")</f>
        <v>0</v>
      </c>
      <c r="LU8" s="306">
        <f>COUNTIFS(STATUS!$Q:$Q,ДЕЛА!$A8,STATUS!$D:$D,ДЕЛА!LT$1)</f>
        <v>0</v>
      </c>
      <c r="LV8" s="589">
        <f t="shared" ref="LV8" si="296">IFERROR(LT8/LU8,1)</f>
        <v>1</v>
      </c>
      <c r="LW8" s="592">
        <f>COUNTIFS(STATUS!$Q:$Q,ДЕЛА!$A8,STATUS!$D:$D,ДЕЛА!LW$1,STATUS!$S:$S,"Согласовано")</f>
        <v>0</v>
      </c>
      <c r="LX8" s="306">
        <f>COUNTIFS(STATUS!$Q:$Q,ДЕЛА!$A8,STATUS!$D:$D,ДЕЛА!LW$1)</f>
        <v>0</v>
      </c>
      <c r="LY8" s="589">
        <f t="shared" ref="LY8" si="297">IFERROR(LW8/LX8,1)</f>
        <v>1</v>
      </c>
      <c r="LZ8" s="592">
        <f>COUNTIFS(STATUS!$Q:$Q,ДЕЛА!$A8,STATUS!$D:$D,ДЕЛА!LZ$1,STATUS!$S:$S,"Согласовано")</f>
        <v>0</v>
      </c>
      <c r="MA8" s="306">
        <f>COUNTIFS(STATUS!$Q:$Q,ДЕЛА!$A8,STATUS!$D:$D,ДЕЛА!LZ$1)</f>
        <v>0</v>
      </c>
      <c r="MB8" s="589">
        <f t="shared" ref="MB8" si="298">IFERROR(LZ8/MA8,1)</f>
        <v>1</v>
      </c>
      <c r="MC8" s="592">
        <f>COUNTIFS(STATUS!$Q:$Q,ДЕЛА!$A8,STATUS!$D:$D,ДЕЛА!MC$1,STATUS!$S:$S,"Согласовано")</f>
        <v>0</v>
      </c>
      <c r="MD8" s="306">
        <f>COUNTIFS(STATUS!$Q:$Q,ДЕЛА!$A8,STATUS!$D:$D,ДЕЛА!MC$1)</f>
        <v>0</v>
      </c>
      <c r="ME8" s="589">
        <f t="shared" ref="ME8" si="299">IFERROR(MC8/MD8,1)</f>
        <v>1</v>
      </c>
      <c r="MF8" s="592">
        <f>COUNTIFS(STATUS!$Q:$Q,ДЕЛА!$A8,STATUS!$D:$D,ДЕЛА!MF$1,STATUS!$S:$S,"Согласовано")</f>
        <v>0</v>
      </c>
      <c r="MG8" s="306">
        <f>COUNTIFS(STATUS!$Q:$Q,ДЕЛА!$A8,STATUS!$D:$D,ДЕЛА!MF$1)</f>
        <v>0</v>
      </c>
      <c r="MH8" s="589">
        <f t="shared" ref="MH8" si="300">IFERROR(MF8/MG8,1)</f>
        <v>1</v>
      </c>
      <c r="MI8" s="808">
        <f t="shared" si="21"/>
        <v>0</v>
      </c>
      <c r="MJ8" s="600">
        <f t="shared" ref="MJ8" si="301">SUM(LU8,LX8,MA8,MD8,MG8)-SUM(LT8,LW8,LZ8,MC8,MF8)</f>
        <v>0</v>
      </c>
      <c r="MK8" s="592">
        <f>COUNTIFS(STATUS!$Q:$Q,ДЕЛА!$A8,STATUS!$D:$D,ДЕЛА!MK$1,STATUS!$S:$S,"Согласовано")</f>
        <v>0</v>
      </c>
      <c r="ML8" s="306">
        <f>COUNTIFS(STATUS!$Q:$Q,ДЕЛА!$A8,STATUS!$D:$D,ДЕЛА!MK$1)</f>
        <v>0</v>
      </c>
      <c r="MM8" s="589">
        <f t="shared" ref="MM8" si="302">IFERROR(MK8/ML8,1)</f>
        <v>1</v>
      </c>
      <c r="MN8" s="592">
        <f>COUNTIFS(STATUS!$Q:$Q,ДЕЛА!$A8,STATUS!$D:$D,ДЕЛА!MN$1,STATUS!$S:$S,"Согласовано")</f>
        <v>0</v>
      </c>
      <c r="MO8" s="306">
        <f>COUNTIFS(STATUS!$Q:$Q,ДЕЛА!$A8,STATUS!$D:$D,ДЕЛА!MN$1)</f>
        <v>0</v>
      </c>
      <c r="MP8" s="589">
        <f t="shared" ref="MP8" si="303">IFERROR(MN8/MO8,1)</f>
        <v>1</v>
      </c>
      <c r="MQ8" s="592">
        <f>COUNTIFS(STATUS!$Q:$Q,ДЕЛА!$A8,STATUS!$D:$D,ДЕЛА!MQ$1,STATUS!$S:$S,"Согласовано")</f>
        <v>0</v>
      </c>
      <c r="MR8" s="306">
        <f>COUNTIFS(STATUS!$Q:$Q,ДЕЛА!$A8,STATUS!$D:$D,ДЕЛА!MQ$1)</f>
        <v>0</v>
      </c>
      <c r="MS8" s="589">
        <f t="shared" ref="MS8" si="304">IFERROR(MQ8/MR8,1)</f>
        <v>1</v>
      </c>
      <c r="MT8" s="592">
        <f>COUNTIFS(STATUS!$Q:$Q,ДЕЛА!$A8,STATUS!$D:$D,ДЕЛА!MT$1,STATUS!$S:$S,"Согласовано")</f>
        <v>0</v>
      </c>
      <c r="MU8" s="306">
        <f>COUNTIFS(STATUS!$Q:$Q,ДЕЛА!$A8,STATUS!$D:$D,ДЕЛА!MT$1)</f>
        <v>0</v>
      </c>
      <c r="MV8" s="589">
        <f t="shared" ref="MV8" si="305">IFERROR(MT8/MU8,1)</f>
        <v>1</v>
      </c>
      <c r="MW8" s="592">
        <f>COUNTIFS(STATUS!$Q:$Q,ДЕЛА!$A8,STATUS!$D:$D,ДЕЛА!MW$1,STATUS!$S:$S,"Согласовано")</f>
        <v>0</v>
      </c>
      <c r="MX8" s="306">
        <f>COUNTIFS(STATUS!$Q:$Q,ДЕЛА!$A8,STATUS!$D:$D,ДЕЛА!MW$1)</f>
        <v>0</v>
      </c>
      <c r="MY8" s="589">
        <f t="shared" ref="MY8" si="306">IFERROR(MW8/MX8,1)</f>
        <v>1</v>
      </c>
      <c r="MZ8" s="808">
        <f t="shared" si="22"/>
        <v>0</v>
      </c>
      <c r="NA8" s="600">
        <f t="shared" ref="NA8" si="307">SUM(ML8,MO8,MR8,MU8,MX8)-SUM(MK8,MN8,MQ8,MT8,MW8)</f>
        <v>0</v>
      </c>
      <c r="NB8" s="592">
        <f>COUNTIFS(STATUS!$Q:$Q,ДЕЛА!$A8,STATUS!$D:$D,ДЕЛА!NB$1,STATUS!$S:$S,"Согласовано")</f>
        <v>0</v>
      </c>
      <c r="NC8" s="306">
        <f>COUNTIFS(STATUS!$Q:$Q,ДЕЛА!$A8,STATUS!$D:$D,ДЕЛА!NB$1)</f>
        <v>0</v>
      </c>
      <c r="ND8" s="589">
        <f>IFERROR(NB8/NC8,1)</f>
        <v>1</v>
      </c>
      <c r="NE8" s="592">
        <f>COUNTIFS(STATUS!$Q:$Q,ДЕЛА!$A8,STATUS!$D:$D,ДЕЛА!NE$1,STATUS!$S:$S,"Согласовано")</f>
        <v>0</v>
      </c>
      <c r="NF8" s="306">
        <f>COUNTIFS(STATUS!$Q:$Q,ДЕЛА!$A8,STATUS!$D:$D,ДЕЛА!NE$1)</f>
        <v>0</v>
      </c>
      <c r="NG8" s="589">
        <f>IFERROR(NE8/NF8,1)</f>
        <v>1</v>
      </c>
      <c r="NH8" s="592">
        <f>COUNTIFS(STATUS!$Q:$Q,ДЕЛА!$A8,STATUS!$D:$D,ДЕЛА!NH$1,STATUS!$S:$S,"Согласовано")</f>
        <v>0</v>
      </c>
      <c r="NI8" s="306">
        <f>COUNTIFS(STATUS!$Q:$Q,ДЕЛА!$A8,STATUS!$D:$D,ДЕЛА!NH$1)</f>
        <v>0</v>
      </c>
      <c r="NJ8" s="589">
        <f>IFERROR(NH8/NI8,1)</f>
        <v>1</v>
      </c>
      <c r="NK8" s="592">
        <f>COUNTIFS(STATUS!$Q:$Q,ДЕЛА!$A8,STATUS!$D:$D,ДЕЛА!NK$1,STATUS!$S:$S,"Согласовано")</f>
        <v>0</v>
      </c>
      <c r="NL8" s="306">
        <f>COUNTIFS(STATUS!$Q:$Q,ДЕЛА!$A8,STATUS!$D:$D,ДЕЛА!NK$1)</f>
        <v>0</v>
      </c>
      <c r="NM8" s="589">
        <f>IFERROR(NK8/NL8,1)</f>
        <v>1</v>
      </c>
      <c r="NN8" s="592">
        <f>COUNTIFS(STATUS!$Q:$Q,ДЕЛА!$A8,STATUS!$D:$D,ДЕЛА!NN$1,STATUS!$S:$S,"Согласовано")</f>
        <v>0</v>
      </c>
      <c r="NO8" s="306">
        <f>COUNTIFS(STATUS!$Q:$Q,ДЕЛА!$A8,STATUS!$D:$D,ДЕЛА!NN$1)</f>
        <v>0</v>
      </c>
      <c r="NP8" s="589">
        <f>IFERROR(NN8/NO8,1)</f>
        <v>1</v>
      </c>
      <c r="NQ8" s="808">
        <f t="shared" si="23"/>
        <v>0</v>
      </c>
      <c r="NR8" s="600">
        <f>SUM(NC8,NF8,NI8,NL8,NO8)-SUM(NB8,NE8,NH8,NK8,NN8)</f>
        <v>0</v>
      </c>
      <c r="NS8" s="592">
        <f>COUNTIFS(STATUS!$Q:$Q,ДЕЛА!$A8,STATUS!$D:$D,ДЕЛА!NS$1,STATUS!$S:$S,"Согласовано")</f>
        <v>0</v>
      </c>
      <c r="NT8" s="306">
        <f>COUNTIFS(STATUS!$Q:$Q,ДЕЛА!$A8,STATUS!$D:$D,ДЕЛА!NS$1)</f>
        <v>0</v>
      </c>
      <c r="NU8" s="589">
        <f>IFERROR(NS8/NT8,1)</f>
        <v>1</v>
      </c>
      <c r="NV8" s="592">
        <f>COUNTIFS(STATUS!$Q:$Q,ДЕЛА!$A8,STATUS!$D:$D,ДЕЛА!NV$1,STATUS!$S:$S,"Согласовано")</f>
        <v>0</v>
      </c>
      <c r="NW8" s="306">
        <f>COUNTIFS(STATUS!$Q:$Q,ДЕЛА!$A8,STATUS!$D:$D,ДЕЛА!NV$1)</f>
        <v>0</v>
      </c>
      <c r="NX8" s="589">
        <f>IFERROR(NV8/NW8,1)</f>
        <v>1</v>
      </c>
      <c r="NY8" s="592">
        <f>COUNTIFS(STATUS!$Q:$Q,ДЕЛА!$A8,STATUS!$D:$D,ДЕЛА!NY$1,STATUS!$S:$S,"Согласовано")</f>
        <v>0</v>
      </c>
      <c r="NZ8" s="306">
        <f>COUNTIFS(STATUS!$Q:$Q,ДЕЛА!$A8,STATUS!$D:$D,ДЕЛА!NY$1)</f>
        <v>0</v>
      </c>
      <c r="OA8" s="589">
        <f>IFERROR(NY8/NZ8,1)</f>
        <v>1</v>
      </c>
      <c r="OB8" s="592">
        <f>COUNTIFS(STATUS!$Q:$Q,ДЕЛА!$A8,STATUS!$D:$D,ДЕЛА!OB$1,STATUS!$S:$S,"Согласовано")</f>
        <v>0</v>
      </c>
      <c r="OC8" s="306">
        <f>COUNTIFS(STATUS!$Q:$Q,ДЕЛА!$A8,STATUS!$D:$D,ДЕЛА!OB$1)</f>
        <v>0</v>
      </c>
      <c r="OD8" s="589">
        <f>IFERROR(OB8/OC8,1)</f>
        <v>1</v>
      </c>
      <c r="OE8" s="592">
        <f>COUNTIFS(STATUS!$Q:$Q,ДЕЛА!$A8,STATUS!$D:$D,ДЕЛА!OE$1,STATUS!$S:$S,"Согласовано")</f>
        <v>0</v>
      </c>
      <c r="OF8" s="306">
        <f>COUNTIFS(STATUS!$Q:$Q,ДЕЛА!$A8,STATUS!$D:$D,ДЕЛА!OE$1)</f>
        <v>0</v>
      </c>
      <c r="OG8" s="589">
        <f>IFERROR(OE8/OF8,1)</f>
        <v>1</v>
      </c>
      <c r="OH8" s="808">
        <f t="shared" si="24"/>
        <v>0</v>
      </c>
      <c r="OI8" s="600">
        <f>SUM(NT8,NW8,NZ8,OC8,OF8)-SUM(NS8,NV8,NY8,OB8,OE8)</f>
        <v>0</v>
      </c>
      <c r="OJ8" s="592">
        <f>COUNTIFS(STATUS!$Q:$Q,ДЕЛА!$A8,STATUS!$D:$D,ДЕЛА!OJ$1,STATUS!$S:$S,"Согласовано")</f>
        <v>0</v>
      </c>
      <c r="OK8" s="306">
        <f>COUNTIFS(STATUS!$Q:$Q,ДЕЛА!$A8,STATUS!$D:$D,ДЕЛА!OJ$1)</f>
        <v>0</v>
      </c>
      <c r="OL8" s="589">
        <f>IFERROR(OJ8/OK8,1)</f>
        <v>1</v>
      </c>
      <c r="OM8" s="592">
        <f>COUNTIFS(STATUS!$Q:$Q,ДЕЛА!$A8,STATUS!$D:$D,ДЕЛА!OM$1,STATUS!$S:$S,"Согласовано")</f>
        <v>0</v>
      </c>
      <c r="ON8" s="306">
        <f>COUNTIFS(STATUS!$Q:$Q,ДЕЛА!$A8,STATUS!$D:$D,ДЕЛА!OM$1)</f>
        <v>0</v>
      </c>
      <c r="OO8" s="589">
        <f>IFERROR(OM8/ON8,1)</f>
        <v>1</v>
      </c>
      <c r="OP8" s="592">
        <f>COUNTIFS(STATUS!$Q:$Q,ДЕЛА!$A8,STATUS!$D:$D,ДЕЛА!OP$1,STATUS!$S:$S,"Согласовано")</f>
        <v>0</v>
      </c>
      <c r="OQ8" s="306">
        <f>COUNTIFS(STATUS!$Q:$Q,ДЕЛА!$A8,STATUS!$D:$D,ДЕЛА!OP$1)</f>
        <v>0</v>
      </c>
      <c r="OR8" s="589">
        <f>IFERROR(OP8/OQ8,1)</f>
        <v>1</v>
      </c>
      <c r="OS8" s="592">
        <f>COUNTIFS(STATUS!$Q:$Q,ДЕЛА!$A8,STATUS!$D:$D,ДЕЛА!OS$1,STATUS!$S:$S,"Согласовано")</f>
        <v>0</v>
      </c>
      <c r="OT8" s="306">
        <f>COUNTIFS(STATUS!$Q:$Q,ДЕЛА!$A8,STATUS!$D:$D,ДЕЛА!OS$1)</f>
        <v>0</v>
      </c>
      <c r="OU8" s="589">
        <f>IFERROR(OS8/OT8,1)</f>
        <v>1</v>
      </c>
      <c r="OV8" s="592">
        <f>COUNTIFS(STATUS!$Q:$Q,ДЕЛА!$A8,STATUS!$D:$D,ДЕЛА!OV$1,STATUS!$S:$S,"Согласовано")</f>
        <v>0</v>
      </c>
      <c r="OW8" s="306">
        <f>COUNTIFS(STATUS!$Q:$Q,ДЕЛА!$A8,STATUS!$D:$D,ДЕЛА!OV$1)</f>
        <v>0</v>
      </c>
      <c r="OX8" s="589">
        <f>IFERROR(OV8/OW8,1)</f>
        <v>1</v>
      </c>
      <c r="OY8" s="808">
        <f t="shared" si="25"/>
        <v>0</v>
      </c>
      <c r="OZ8" s="600">
        <f>SUM(OK8,ON8,OQ8,OT8,OW8)-SUM(OJ8,OM8,OP8,OS8,OV8)</f>
        <v>0</v>
      </c>
      <c r="PA8" s="592">
        <f>COUNTIFS(STATUS!$Q:$Q,ДЕЛА!$A8,STATUS!$D:$D,ДЕЛА!PA$1,STATUS!$S:$S,"Согласовано")</f>
        <v>0</v>
      </c>
      <c r="PB8" s="306">
        <f>COUNTIFS(STATUS!$Q:$Q,ДЕЛА!$A8,STATUS!$D:$D,ДЕЛА!PA$1)</f>
        <v>0</v>
      </c>
      <c r="PC8" s="589">
        <f>IFERROR(PA8/PB8,1)</f>
        <v>1</v>
      </c>
      <c r="PD8" s="592">
        <f>COUNTIFS(STATUS!$Q:$Q,ДЕЛА!$A8,STATUS!$D:$D,ДЕЛА!PD$1,STATUS!$S:$S,"Согласовано")</f>
        <v>0</v>
      </c>
      <c r="PE8" s="306">
        <f>COUNTIFS(STATUS!$Q:$Q,ДЕЛА!$A8,STATUS!$D:$D,ДЕЛА!PD$1)</f>
        <v>0</v>
      </c>
      <c r="PF8" s="589">
        <f>IFERROR(PD8/PE8,1)</f>
        <v>1</v>
      </c>
      <c r="PG8" s="592">
        <f>COUNTIFS(STATUS!$Q:$Q,ДЕЛА!$A8,STATUS!$D:$D,ДЕЛА!PG$1,STATUS!$S:$S,"Согласовано")</f>
        <v>0</v>
      </c>
      <c r="PH8" s="306">
        <f>COUNTIFS(STATUS!$Q:$Q,ДЕЛА!$A8,STATUS!$D:$D,ДЕЛА!PG$1)</f>
        <v>0</v>
      </c>
      <c r="PI8" s="589">
        <f>IFERROR(PG8/PH8,1)</f>
        <v>1</v>
      </c>
      <c r="PJ8" s="592">
        <f>COUNTIFS(STATUS!$Q:$Q,ДЕЛА!$A8,STATUS!$D:$D,ДЕЛА!PJ$1,STATUS!$S:$S,"Согласовано")</f>
        <v>0</v>
      </c>
      <c r="PK8" s="306">
        <f>COUNTIFS(STATUS!$Q:$Q,ДЕЛА!$A8,STATUS!$D:$D,ДЕЛА!PJ$1)</f>
        <v>0</v>
      </c>
      <c r="PL8" s="589">
        <f>IFERROR(PJ8/PK8,1)</f>
        <v>1</v>
      </c>
      <c r="PM8" s="592">
        <f>COUNTIFS(STATUS!$Q:$Q,ДЕЛА!$A8,STATUS!$D:$D,ДЕЛА!PM$1,STATUS!$S:$S,"Согласовано")</f>
        <v>0</v>
      </c>
      <c r="PN8" s="306">
        <f>COUNTIFS(STATUS!$Q:$Q,ДЕЛА!$A8,STATUS!$D:$D,ДЕЛА!PM$1)</f>
        <v>0</v>
      </c>
      <c r="PO8" s="589">
        <f>IFERROR(PM8/PN8,1)</f>
        <v>1</v>
      </c>
      <c r="PP8" s="808">
        <f t="shared" si="26"/>
        <v>0</v>
      </c>
      <c r="PQ8" s="600">
        <f>SUM(PB8,PE8,PH8,PK8,PN8)-SUM(PA8,PD8,PG8,PJ8,PM8)</f>
        <v>0</v>
      </c>
      <c r="PR8" s="592">
        <f>COUNTIFS(STATUS!$Q:$Q,ДЕЛА!$A8,STATUS!$D:$D,ДЕЛА!PR$1,STATUS!$S:$S,"Согласовано")</f>
        <v>0</v>
      </c>
      <c r="PS8" s="306">
        <f>COUNTIFS(STATUS!$Q:$Q,ДЕЛА!$A8,STATUS!$D:$D,ДЕЛА!PR$1)</f>
        <v>0</v>
      </c>
      <c r="PT8" s="589">
        <f>IFERROR(PR8/PS8,1)</f>
        <v>1</v>
      </c>
      <c r="PU8" s="592">
        <f>COUNTIFS(STATUS!$Q:$Q,ДЕЛА!$A8,STATUS!$D:$D,ДЕЛА!PU$1,STATUS!$S:$S,"Согласовано")</f>
        <v>0</v>
      </c>
      <c r="PV8" s="306">
        <f>COUNTIFS(STATUS!$Q:$Q,ДЕЛА!$A8,STATUS!$D:$D,ДЕЛА!PU$1)</f>
        <v>0</v>
      </c>
      <c r="PW8" s="589">
        <f>IFERROR(PU8/PV8,1)</f>
        <v>1</v>
      </c>
      <c r="PX8" s="592">
        <f>COUNTIFS(STATUS!$Q:$Q,ДЕЛА!$A8,STATUS!$D:$D,ДЕЛА!PX$1,STATUS!$S:$S,"Согласовано")</f>
        <v>0</v>
      </c>
      <c r="PY8" s="306">
        <f>COUNTIFS(STATUS!$Q:$Q,ДЕЛА!$A8,STATUS!$D:$D,ДЕЛА!PX$1)</f>
        <v>0</v>
      </c>
      <c r="PZ8" s="589">
        <f>IFERROR(PX8/PY8,1)</f>
        <v>1</v>
      </c>
      <c r="QA8" s="592">
        <f>COUNTIFS(STATUS!$Q:$Q,ДЕЛА!$A8,STATUS!$D:$D,ДЕЛА!QA$1,STATUS!$S:$S,"Согласовано")</f>
        <v>0</v>
      </c>
      <c r="QB8" s="306">
        <f>COUNTIFS(STATUS!$Q:$Q,ДЕЛА!$A8,STATUS!$D:$D,ДЕЛА!QA$1)</f>
        <v>0</v>
      </c>
      <c r="QC8" s="589">
        <f>IFERROR(QA8/QB8,1)</f>
        <v>1</v>
      </c>
      <c r="QD8" s="592">
        <f>COUNTIFS(STATUS!$Q:$Q,ДЕЛА!$A8,STATUS!$D:$D,ДЕЛА!QD$1,STATUS!$S:$S,"Согласовано")</f>
        <v>0</v>
      </c>
      <c r="QE8" s="306">
        <f>COUNTIFS(STATUS!$Q:$Q,ДЕЛА!$A8,STATUS!$D:$D,ДЕЛА!QD$1)</f>
        <v>0</v>
      </c>
      <c r="QF8" s="589">
        <f>IFERROR(QD8/QE8,1)</f>
        <v>1</v>
      </c>
      <c r="QG8" s="808">
        <f t="shared" si="27"/>
        <v>0</v>
      </c>
      <c r="QH8" s="600">
        <f>SUM(PS8,PV8,PY8,QB8,QE8)-SUM(PR8,PU8,PX8,QA8,QD8)</f>
        <v>0</v>
      </c>
    </row>
    <row r="9" spans="1:450" x14ac:dyDescent="0.3">
      <c r="A9" s="1320" t="s">
        <v>10401</v>
      </c>
      <c r="B9" s="1321">
        <f>SUMIFS(STATUS!AA:AA,STATUS!Q:Q,A9)</f>
        <v>0.66796296296296287</v>
      </c>
      <c r="C9" s="1321">
        <f>B9/COUNTIFS(STATUS!Q:Q,ДЕЛА!A9,STATUS!AA:AA,"&lt;&gt;0")</f>
        <v>1.4843621399176953E-2</v>
      </c>
      <c r="D9" s="658">
        <f>COUNTIFS(STATUS!$Q:$Q,ДЕЛА!$A9,STATUS!$H:$H,ДЕЛА!D$1)</f>
        <v>42</v>
      </c>
      <c r="E9" s="735">
        <f>D9/$R9</f>
        <v>0.93333333333333335</v>
      </c>
      <c r="F9" s="658">
        <f>COUNTIFS(STATUS!$Q:$Q,ДЕЛА!$A9,STATUS!$H:$H,ДЕЛА!F$1)</f>
        <v>3</v>
      </c>
      <c r="G9" s="735">
        <f>F9/$R9</f>
        <v>6.6666666666666666E-2</v>
      </c>
      <c r="H9" s="658">
        <f>COUNTIFS(STATUS!$Q:$Q,ДЕЛА!$A9,STATUS!$I:$I,ДЕЛА!H$1)</f>
        <v>2</v>
      </c>
      <c r="I9" s="735">
        <f>H9/$R9</f>
        <v>4.4444444444444446E-2</v>
      </c>
      <c r="J9" s="658">
        <f>COUNTIFS(STATUS!$Q:$Q,ДЕЛА!$A9,STATUS!$I:$I,ДЕЛА!J$1)</f>
        <v>2</v>
      </c>
      <c r="K9" s="735">
        <f>J9/$R9</f>
        <v>4.4444444444444446E-2</v>
      </c>
      <c r="L9" s="658">
        <f>COUNTIFS(STATUS!$Q:$Q,ДЕЛА!$A9,STATUS!$I:$I,ДЕЛА!L$1)</f>
        <v>7</v>
      </c>
      <c r="M9" s="735">
        <f>L9/$R9</f>
        <v>0.15555555555555556</v>
      </c>
      <c r="N9" s="658">
        <f>COUNTIFS(STATUS!$Q:$Q,ДЕЛА!$A9,STATUS!$I:$I,ДЕЛА!N$1)</f>
        <v>10</v>
      </c>
      <c r="O9" s="735">
        <f>N9/$R9</f>
        <v>0.22222222222222221</v>
      </c>
      <c r="P9" s="658">
        <f>COUNTIFS(STATUS!$Q:$Q,ДЕЛА!$A9,STATUS!$S:$S,"На доработку")</f>
        <v>0</v>
      </c>
      <c r="Q9" s="658">
        <f>COUNTIFS(STATUS!Q:Q,ДЕЛА!A9,STATUS!$S:$S,"Согласовано")</f>
        <v>45</v>
      </c>
      <c r="R9" s="658">
        <f>COUNTIFS(STATUS!$Q:$Q,ДЕЛА!$A9)</f>
        <v>45</v>
      </c>
      <c r="S9" s="658">
        <f t="shared" ref="S9:S11" si="308">R9-Q9</f>
        <v>0</v>
      </c>
      <c r="T9" s="659">
        <f t="shared" ref="T9:T11" si="309">Q9/R9</f>
        <v>1</v>
      </c>
      <c r="U9" s="658">
        <f t="shared" ref="U9:U11" si="310">S9</f>
        <v>0</v>
      </c>
      <c r="V9" s="592">
        <f>COUNTIFS(STATUS!$Q:$Q,ДЕЛА!$A9,STATUS!$D:$D,ДЕЛА!V$1,STATUS!$S:$S,"Согласовано")</f>
        <v>0</v>
      </c>
      <c r="W9" s="306">
        <f>COUNTIFS(STATUS!$Q:$Q,ДЕЛА!$A9,STATUS!$D:$D,ДЕЛА!V$1)</f>
        <v>0</v>
      </c>
      <c r="X9" s="593">
        <f t="shared" ref="X9:X11" si="311">IFERROR(V9/W9,1)</f>
        <v>1</v>
      </c>
      <c r="Y9" s="401">
        <f>COUNTIFS(STATUS!$Q:$Q,ДЕЛА!$A9,STATUS!$D:$D,ДЕЛА!Y$1,STATUS!$S:$S,"Согласовано")</f>
        <v>0</v>
      </c>
      <c r="Z9" s="306">
        <f>COUNTIFS(STATUS!$Q:$Q,ДЕЛА!$A9,STATUS!$D:$D,ДЕЛА!Y$1)</f>
        <v>0</v>
      </c>
      <c r="AA9" s="589">
        <f t="shared" ref="AA9:AA11" si="312">IFERROR(Y9/Z9,1)</f>
        <v>1</v>
      </c>
      <c r="AB9" s="592">
        <f>COUNTIFS(STATUS!$Q:$Q,ДЕЛА!$A9,STATUS!$D:$D,ДЕЛА!AB$1,STATUS!$S:$S,"Согласовано")</f>
        <v>0</v>
      </c>
      <c r="AC9" s="306">
        <f>COUNTIFS(STATUS!$Q:$Q,ДЕЛА!$A9,STATUS!$D:$D,ДЕЛА!AB$1)</f>
        <v>0</v>
      </c>
      <c r="AD9" s="593">
        <f t="shared" ref="AD9:AD11" si="313">IFERROR(AB9/AC9,1)</f>
        <v>1</v>
      </c>
      <c r="AE9" s="600">
        <f>SUM(W9,Z9,AC9)-SUM(V9,Y9,AB9)</f>
        <v>0</v>
      </c>
      <c r="EO9" s="592">
        <f>COUNTIFS(STATUS!$Q:$Q,ДЕЛА!$A9,STATUS!$D:$D,ДЕЛА!EO$1,STATUS!$S:$S,"Согласовано")</f>
        <v>0</v>
      </c>
      <c r="EP9" s="306">
        <f>COUNTIFS(STATUS!$Q:$Q,ДЕЛА!$A9,STATUS!$D:$D,ДЕЛА!EO$1)</f>
        <v>0</v>
      </c>
      <c r="EQ9" s="589">
        <f t="shared" ref="EQ9:EQ11" si="314">IFERROR(EO9/EP9,1)</f>
        <v>1</v>
      </c>
      <c r="ER9" s="592">
        <f>COUNTIFS(STATUS!$Q:$Q,ДЕЛА!$A9,STATUS!$D:$D,ДЕЛА!ER$1,STATUS!$S:$S,"Согласовано")</f>
        <v>0</v>
      </c>
      <c r="ES9" s="306">
        <f>COUNTIFS(STATUS!$Q:$Q,ДЕЛА!$A9,STATUS!$D:$D,ДЕЛА!ER$1)</f>
        <v>0</v>
      </c>
      <c r="ET9" s="589">
        <f t="shared" ref="ET9:ET11" si="315">IFERROR(ER9/ES9,1)</f>
        <v>1</v>
      </c>
      <c r="EU9" s="592">
        <f>COUNTIFS(STATUS!$Q:$Q,ДЕЛА!$A9,STATUS!$D:$D,ДЕЛА!EU$1,STATUS!$S:$S,"Согласовано")</f>
        <v>0</v>
      </c>
      <c r="EV9" s="306">
        <f>COUNTIFS(STATUS!$Q:$Q,ДЕЛА!$A9,STATUS!$D:$D,ДЕЛА!EU$1)</f>
        <v>0</v>
      </c>
      <c r="EW9" s="589">
        <f t="shared" ref="EW9:EW11" si="316">IFERROR(EU9/EV9,1)</f>
        <v>1</v>
      </c>
      <c r="EX9" s="592">
        <f>COUNTIFS(STATUS!$Q:$Q,ДЕЛА!$A9,STATUS!$D:$D,ДЕЛА!EX$1,STATUS!$S:$S,"Согласовано")</f>
        <v>0</v>
      </c>
      <c r="EY9" s="306">
        <f>COUNTIFS(STATUS!$Q:$Q,ДЕЛА!$A9,STATUS!$D:$D,ДЕЛА!EX$1)</f>
        <v>0</v>
      </c>
      <c r="EZ9" s="589">
        <f t="shared" ref="EZ9:EZ11" si="317">IFERROR(EX9/EY9,1)</f>
        <v>1</v>
      </c>
      <c r="FA9" s="592">
        <f>COUNTIFS(STATUS!$Q:$Q,ДЕЛА!$A9,STATUS!$D:$D,ДЕЛА!FA$1,STATUS!$S:$S,"Согласовано")</f>
        <v>0</v>
      </c>
      <c r="FB9" s="306">
        <f>COUNTIFS(STATUS!$Q:$Q,ДЕЛА!$A9,STATUS!$D:$D,ДЕЛА!FA$1)</f>
        <v>0</v>
      </c>
      <c r="FC9" s="589">
        <f t="shared" ref="FC9:FC11" si="318">IFERROR(FA9/FB9,1)</f>
        <v>1</v>
      </c>
      <c r="FD9" s="808">
        <f t="shared" ref="FD9:FD11" si="319">SUM(EP9,ES9,EV9,EY9,FB9)</f>
        <v>0</v>
      </c>
      <c r="FE9" s="600">
        <f t="shared" ref="FE9:FE11" si="320">SUM(EP9,ES9,EV9,EY9,FB9)-SUM(EO9,ER9,EU9,EX9,FA9)</f>
        <v>0</v>
      </c>
      <c r="FF9" s="592">
        <f>COUNTIFS(STATUS!$Q:$Q,ДЕЛА!$A9,STATUS!$D:$D,ДЕЛА!FF$1,STATUS!$S:$S,"Согласовано")</f>
        <v>0</v>
      </c>
      <c r="FG9" s="306">
        <f>COUNTIFS(STATUS!$Q:$Q,ДЕЛА!$A9,STATUS!$D:$D,ДЕЛА!FF$1)</f>
        <v>0</v>
      </c>
      <c r="FH9" s="589">
        <f t="shared" ref="FH9" si="321">IFERROR(FF9/FG9,1)</f>
        <v>1</v>
      </c>
      <c r="FI9" s="592">
        <f>COUNTIFS(STATUS!$Q:$Q,ДЕЛА!$A9,STATUS!$D:$D,ДЕЛА!FI$1,STATUS!$S:$S,"Согласовано")</f>
        <v>0</v>
      </c>
      <c r="FJ9" s="306">
        <f>COUNTIFS(STATUS!$Q:$Q,ДЕЛА!$A9,STATUS!$D:$D,ДЕЛА!FI$1)</f>
        <v>0</v>
      </c>
      <c r="FK9" s="589">
        <f t="shared" ref="FK9" si="322">IFERROR(FI9/FJ9,1)</f>
        <v>1</v>
      </c>
      <c r="FL9" s="592">
        <f>COUNTIFS(STATUS!$Q:$Q,ДЕЛА!$A9,STATUS!$D:$D,ДЕЛА!FL$1,STATUS!$S:$S,"Согласовано")</f>
        <v>0</v>
      </c>
      <c r="FM9" s="306">
        <f>COUNTIFS(STATUS!$Q:$Q,ДЕЛА!$A9,STATUS!$D:$D,ДЕЛА!FL$1)</f>
        <v>0</v>
      </c>
      <c r="FN9" s="589">
        <f t="shared" ref="FN9" si="323">IFERROR(FL9/FM9,1)</f>
        <v>1</v>
      </c>
      <c r="FO9" s="592">
        <f>COUNTIFS(STATUS!$Q:$Q,ДЕЛА!$A9,STATUS!$D:$D,ДЕЛА!FO$1,STATUS!$S:$S,"Согласовано")</f>
        <v>0</v>
      </c>
      <c r="FP9" s="306">
        <f>COUNTIFS(STATUS!$Q:$Q,ДЕЛА!$A9,STATUS!$D:$D,ДЕЛА!FO$1)</f>
        <v>0</v>
      </c>
      <c r="FQ9" s="589">
        <f t="shared" ref="FQ9" si="324">IFERROR(FO9/FP9,1)</f>
        <v>1</v>
      </c>
      <c r="FR9" s="592">
        <f>COUNTIFS(STATUS!$Q:$Q,ДЕЛА!$A9,STATUS!$D:$D,ДЕЛА!FR$1,STATUS!$S:$S,"Согласовано")</f>
        <v>0</v>
      </c>
      <c r="FS9" s="306">
        <f>COUNTIFS(STATUS!$Q:$Q,ДЕЛА!$A9,STATUS!$D:$D,ДЕЛА!FR$1)</f>
        <v>0</v>
      </c>
      <c r="FT9" s="589">
        <f t="shared" ref="FT9" si="325">IFERROR(FR9/FS9,1)</f>
        <v>1</v>
      </c>
      <c r="FU9" s="808">
        <f t="shared" si="11"/>
        <v>0</v>
      </c>
      <c r="FV9" s="600">
        <f t="shared" ref="FV9" si="326">SUM(FG9,FJ9,FM9,FP9,FS9)-SUM(FF9,FI9,FL9,FO9,FR9)</f>
        <v>0</v>
      </c>
      <c r="FW9" s="592">
        <f>COUNTIFS(STATUS!$Q:$Q,ДЕЛА!$A9,STATUS!$D:$D,ДЕЛА!FW$1,STATUS!$S:$S,"Согласовано")</f>
        <v>0</v>
      </c>
      <c r="FX9" s="306">
        <f>COUNTIFS(STATUS!$Q:$Q,ДЕЛА!$A9,STATUS!$D:$D,ДЕЛА!FW$1)</f>
        <v>0</v>
      </c>
      <c r="FY9" s="589">
        <f t="shared" ref="FY9" si="327">IFERROR(FW9/FX9,1)</f>
        <v>1</v>
      </c>
      <c r="FZ9" s="592">
        <f>COUNTIFS(STATUS!$Q:$Q,ДЕЛА!$A9,STATUS!$D:$D,ДЕЛА!FZ$1,STATUS!$S:$S,"Согласовано")</f>
        <v>0</v>
      </c>
      <c r="GA9" s="306">
        <f>COUNTIFS(STATUS!$Q:$Q,ДЕЛА!$A9,STATUS!$D:$D,ДЕЛА!FZ$1)</f>
        <v>0</v>
      </c>
      <c r="GB9" s="589">
        <f t="shared" ref="GB9" si="328">IFERROR(FZ9/GA9,1)</f>
        <v>1</v>
      </c>
      <c r="GC9" s="592">
        <f>COUNTIFS(STATUS!$Q:$Q,ДЕЛА!$A9,STATUS!$D:$D,ДЕЛА!GC$1,STATUS!$S:$S,"Согласовано")</f>
        <v>0</v>
      </c>
      <c r="GD9" s="306">
        <f>COUNTIFS(STATUS!$Q:$Q,ДЕЛА!$A9,STATUS!$D:$D,ДЕЛА!GC$1)</f>
        <v>0</v>
      </c>
      <c r="GE9" s="589">
        <f t="shared" ref="GE9" si="329">IFERROR(GC9/GD9,1)</f>
        <v>1</v>
      </c>
      <c r="GF9" s="592">
        <f>COUNTIFS(STATUS!$Q:$Q,ДЕЛА!$A9,STATUS!$D:$D,ДЕЛА!GF$1,STATUS!$S:$S,"Согласовано")</f>
        <v>0</v>
      </c>
      <c r="GG9" s="306">
        <f>COUNTIFS(STATUS!$Q:$Q,ДЕЛА!$A9,STATUS!$D:$D,ДЕЛА!GF$1)</f>
        <v>0</v>
      </c>
      <c r="GH9" s="589">
        <f t="shared" ref="GH9" si="330">IFERROR(GF9/GG9,1)</f>
        <v>1</v>
      </c>
      <c r="GI9" s="592">
        <f>COUNTIFS(STATUS!$Q:$Q,ДЕЛА!$A9,STATUS!$D:$D,ДЕЛА!GI$1,STATUS!$S:$S,"Согласовано")</f>
        <v>0</v>
      </c>
      <c r="GJ9" s="306">
        <f>COUNTIFS(STATUS!$Q:$Q,ДЕЛА!$A9,STATUS!$D:$D,ДЕЛА!GI$1)</f>
        <v>0</v>
      </c>
      <c r="GK9" s="589">
        <f t="shared" ref="GK9" si="331">IFERROR(GI9/GJ9,1)</f>
        <v>1</v>
      </c>
      <c r="GL9" s="808">
        <f t="shared" si="12"/>
        <v>0</v>
      </c>
      <c r="GM9" s="600">
        <f t="shared" ref="GM9" si="332">SUM(FX9,GA9,GD9,GG9,GJ9)-SUM(FW9,FZ9,GC9,GF9,GI9)</f>
        <v>0</v>
      </c>
      <c r="GN9" s="592">
        <f>COUNTIFS(STATUS!$Q:$Q,ДЕЛА!$A9,STATUS!$D:$D,ДЕЛА!GN$1,STATUS!$S:$S,"Согласовано")</f>
        <v>0</v>
      </c>
      <c r="GO9" s="306">
        <f>COUNTIFS(STATUS!$Q:$Q,ДЕЛА!$A9,STATUS!$D:$D,ДЕЛА!GN$1)</f>
        <v>0</v>
      </c>
      <c r="GP9" s="589">
        <f t="shared" ref="GP9" si="333">IFERROR(GN9/GO9,1)</f>
        <v>1</v>
      </c>
      <c r="GQ9" s="592">
        <f>COUNTIFS(STATUS!$Q:$Q,ДЕЛА!$A9,STATUS!$D:$D,ДЕЛА!GQ$1,STATUS!$S:$S,"Согласовано")</f>
        <v>0</v>
      </c>
      <c r="GR9" s="306">
        <f>COUNTIFS(STATUS!$Q:$Q,ДЕЛА!$A9,STATUS!$D:$D,ДЕЛА!GQ$1)</f>
        <v>0</v>
      </c>
      <c r="GS9" s="589">
        <f t="shared" ref="GS9" si="334">IFERROR(GQ9/GR9,1)</f>
        <v>1</v>
      </c>
      <c r="GT9" s="592">
        <f>COUNTIFS(STATUS!$Q:$Q,ДЕЛА!$A9,STATUS!$D:$D,ДЕЛА!GT$1,STATUS!$S:$S,"Согласовано")</f>
        <v>0</v>
      </c>
      <c r="GU9" s="306">
        <f>COUNTIFS(STATUS!$Q:$Q,ДЕЛА!$A9,STATUS!$D:$D,ДЕЛА!GT$1)</f>
        <v>0</v>
      </c>
      <c r="GV9" s="589">
        <f t="shared" ref="GV9" si="335">IFERROR(GT9/GU9,1)</f>
        <v>1</v>
      </c>
      <c r="GW9" s="592">
        <f>COUNTIFS(STATUS!$Q:$Q,ДЕЛА!$A9,STATUS!$D:$D,ДЕЛА!GW$1,STATUS!$S:$S,"Согласовано")</f>
        <v>0</v>
      </c>
      <c r="GX9" s="306">
        <f>COUNTIFS(STATUS!$Q:$Q,ДЕЛА!$A9,STATUS!$D:$D,ДЕЛА!GW$1)</f>
        <v>0</v>
      </c>
      <c r="GY9" s="589">
        <f t="shared" ref="GY9" si="336">IFERROR(GW9/GX9,1)</f>
        <v>1</v>
      </c>
      <c r="GZ9" s="592">
        <f>COUNTIFS(STATUS!$Q:$Q,ДЕЛА!$A9,STATUS!$D:$D,ДЕЛА!GZ$1,STATUS!$S:$S,"Согласовано")</f>
        <v>0</v>
      </c>
      <c r="HA9" s="306">
        <f>COUNTIFS(STATUS!$Q:$Q,ДЕЛА!$A9,STATUS!$D:$D,ДЕЛА!GZ$1)</f>
        <v>0</v>
      </c>
      <c r="HB9" s="589">
        <f t="shared" ref="HB9" si="337">IFERROR(GZ9/HA9,1)</f>
        <v>1</v>
      </c>
      <c r="HC9" s="808">
        <f t="shared" si="13"/>
        <v>0</v>
      </c>
      <c r="HD9" s="600">
        <f t="shared" ref="HD9" si="338">SUM(GO9,GR9,GU9,GX9,HA9)-SUM(GN9,GQ9,GT9,GW9,GZ9)</f>
        <v>0</v>
      </c>
      <c r="HE9" s="592">
        <f>COUNTIFS(STATUS!$Q:$Q,ДЕЛА!$A9,STATUS!$D:$D,ДЕЛА!HE$1,STATUS!$S:$S,"Согласовано")</f>
        <v>0</v>
      </c>
      <c r="HF9" s="306">
        <f>COUNTIFS(STATUS!$Q:$Q,ДЕЛА!$A9,STATUS!$D:$D,ДЕЛА!HE$1)</f>
        <v>0</v>
      </c>
      <c r="HG9" s="589">
        <f t="shared" ref="HG9" si="339">IFERROR(HE9/HF9,1)</f>
        <v>1</v>
      </c>
      <c r="HH9" s="592">
        <f>COUNTIFS(STATUS!$Q:$Q,ДЕЛА!$A9,STATUS!$D:$D,ДЕЛА!HH$1,STATUS!$S:$S,"Согласовано")</f>
        <v>0</v>
      </c>
      <c r="HI9" s="306">
        <f>COUNTIFS(STATUS!$Q:$Q,ДЕЛА!$A9,STATUS!$D:$D,ДЕЛА!HH$1)</f>
        <v>0</v>
      </c>
      <c r="HJ9" s="589">
        <f t="shared" ref="HJ9" si="340">IFERROR(HH9/HI9,1)</f>
        <v>1</v>
      </c>
      <c r="HK9" s="592">
        <f>COUNTIFS(STATUS!$Q:$Q,ДЕЛА!$A9,STATUS!$D:$D,ДЕЛА!HK$1,STATUS!$S:$S,"Согласовано")</f>
        <v>0</v>
      </c>
      <c r="HL9" s="306">
        <f>COUNTIFS(STATUS!$Q:$Q,ДЕЛА!$A9,STATUS!$D:$D,ДЕЛА!HK$1)</f>
        <v>0</v>
      </c>
      <c r="HM9" s="589">
        <f t="shared" ref="HM9" si="341">IFERROR(HK9/HL9,1)</f>
        <v>1</v>
      </c>
      <c r="HN9" s="592">
        <f>COUNTIFS(STATUS!$Q:$Q,ДЕЛА!$A9,STATUS!$D:$D,ДЕЛА!HN$1,STATUS!$S:$S,"Согласовано")</f>
        <v>0</v>
      </c>
      <c r="HO9" s="306">
        <f>COUNTIFS(STATUS!$Q:$Q,ДЕЛА!$A9,STATUS!$D:$D,ДЕЛА!HN$1)</f>
        <v>0</v>
      </c>
      <c r="HP9" s="589">
        <f t="shared" ref="HP9" si="342">IFERROR(HN9/HO9,1)</f>
        <v>1</v>
      </c>
      <c r="HQ9" s="592">
        <f>COUNTIFS(STATUS!$Q:$Q,ДЕЛА!$A9,STATUS!$D:$D,ДЕЛА!HQ$1,STATUS!$S:$S,"Согласовано")</f>
        <v>0</v>
      </c>
      <c r="HR9" s="306">
        <f>COUNTIFS(STATUS!$Q:$Q,ДЕЛА!$A9,STATUS!$D:$D,ДЕЛА!HQ$1)</f>
        <v>0</v>
      </c>
      <c r="HS9" s="589">
        <f t="shared" ref="HS9" si="343">IFERROR(HQ9/HR9,1)</f>
        <v>1</v>
      </c>
      <c r="HT9" s="808">
        <f t="shared" si="14"/>
        <v>0</v>
      </c>
      <c r="HU9" s="600">
        <f t="shared" ref="HU9" si="344">SUM(HF9,HI9,HL9,HO9,HR9)-SUM(HE9,HH9,HK9,HN9,HQ9)</f>
        <v>0</v>
      </c>
      <c r="HV9" s="592">
        <f>COUNTIFS(STATUS!$Q:$Q,ДЕЛА!$A9,STATUS!$D:$D,ДЕЛА!HV$1,STATUS!$S:$S,"Согласовано")</f>
        <v>0</v>
      </c>
      <c r="HW9" s="306">
        <f>COUNTIFS(STATUS!$Q:$Q,ДЕЛА!$A9,STATUS!$D:$D,ДЕЛА!HV$1)</f>
        <v>0</v>
      </c>
      <c r="HX9" s="589">
        <f t="shared" ref="HX9" si="345">IFERROR(HV9/HW9,1)</f>
        <v>1</v>
      </c>
      <c r="HY9" s="592">
        <f>COUNTIFS(STATUS!$Q:$Q,ДЕЛА!$A9,STATUS!$D:$D,ДЕЛА!HY$1,STATUS!$S:$S,"Согласовано")</f>
        <v>0</v>
      </c>
      <c r="HZ9" s="306">
        <f>COUNTIFS(STATUS!$Q:$Q,ДЕЛА!$A9,STATUS!$D:$D,ДЕЛА!HY$1)</f>
        <v>0</v>
      </c>
      <c r="IA9" s="589">
        <f t="shared" ref="IA9" si="346">IFERROR(HY9/HZ9,1)</f>
        <v>1</v>
      </c>
      <c r="IB9" s="592">
        <f>COUNTIFS(STATUS!$Q:$Q,ДЕЛА!$A9,STATUS!$D:$D,ДЕЛА!IB$1,STATUS!$S:$S,"Согласовано")</f>
        <v>0</v>
      </c>
      <c r="IC9" s="306">
        <f>COUNTIFS(STATUS!$Q:$Q,ДЕЛА!$A9,STATUS!$D:$D,ДЕЛА!IB$1)</f>
        <v>0</v>
      </c>
      <c r="ID9" s="589">
        <f t="shared" ref="ID9" si="347">IFERROR(IB9/IC9,1)</f>
        <v>1</v>
      </c>
      <c r="IE9" s="592">
        <f>COUNTIFS(STATUS!$Q:$Q,ДЕЛА!$A9,STATUS!$D:$D,ДЕЛА!IE$1,STATUS!$S:$S,"Согласовано")</f>
        <v>0</v>
      </c>
      <c r="IF9" s="306">
        <f>COUNTIFS(STATUS!$Q:$Q,ДЕЛА!$A9,STATUS!$D:$D,ДЕЛА!IE$1)</f>
        <v>0</v>
      </c>
      <c r="IG9" s="589">
        <f t="shared" ref="IG9" si="348">IFERROR(IE9/IF9,1)</f>
        <v>1</v>
      </c>
      <c r="IH9" s="592">
        <f>COUNTIFS(STATUS!$Q:$Q,ДЕЛА!$A9,STATUS!$D:$D,ДЕЛА!IH$1,STATUS!$S:$S,"Согласовано")</f>
        <v>0</v>
      </c>
      <c r="II9" s="306">
        <f>COUNTIFS(STATUS!$Q:$Q,ДЕЛА!$A9,STATUS!$D:$D,ДЕЛА!IH$1)</f>
        <v>0</v>
      </c>
      <c r="IJ9" s="589">
        <f t="shared" ref="IJ9" si="349">IFERROR(IH9/II9,1)</f>
        <v>1</v>
      </c>
      <c r="IK9" s="808">
        <f t="shared" si="15"/>
        <v>0</v>
      </c>
      <c r="IL9" s="600">
        <f t="shared" ref="IL9" si="350">SUM(HW9,HZ9,IC9,IF9,II9)-SUM(HV9,HY9,IB9,IE9,IH9)</f>
        <v>0</v>
      </c>
      <c r="IM9" s="592">
        <f>COUNTIFS(STATUS!$Q:$Q,ДЕЛА!$A9,STATUS!$D:$D,ДЕЛА!IM$1,STATUS!$S:$S,"Согласовано")</f>
        <v>0</v>
      </c>
      <c r="IN9" s="306">
        <f>COUNTIFS(STATUS!$Q:$Q,ДЕЛА!$A9,STATUS!$D:$D,ДЕЛА!IM$1)</f>
        <v>0</v>
      </c>
      <c r="IO9" s="589">
        <f t="shared" ref="IO9" si="351">IFERROR(IM9/IN9,1)</f>
        <v>1</v>
      </c>
      <c r="IP9" s="592">
        <f>COUNTIFS(STATUS!$Q:$Q,ДЕЛА!$A9,STATUS!$D:$D,ДЕЛА!IP$1,STATUS!$S:$S,"Согласовано")</f>
        <v>0</v>
      </c>
      <c r="IQ9" s="306">
        <f>COUNTIFS(STATUS!$Q:$Q,ДЕЛА!$A9,STATUS!$D:$D,ДЕЛА!IP$1)</f>
        <v>0</v>
      </c>
      <c r="IR9" s="589">
        <f t="shared" ref="IR9" si="352">IFERROR(IP9/IQ9,1)</f>
        <v>1</v>
      </c>
      <c r="IS9" s="592">
        <f>COUNTIFS(STATUS!$Q:$Q,ДЕЛА!$A9,STATUS!$D:$D,ДЕЛА!IS$1,STATUS!$S:$S,"Согласовано")</f>
        <v>0</v>
      </c>
      <c r="IT9" s="306">
        <f>COUNTIFS(STATUS!$Q:$Q,ДЕЛА!$A9,STATUS!$D:$D,ДЕЛА!IS$1)</f>
        <v>0</v>
      </c>
      <c r="IU9" s="589">
        <f t="shared" ref="IU9" si="353">IFERROR(IS9/IT9,1)</f>
        <v>1</v>
      </c>
      <c r="IV9" s="592">
        <f>COUNTIFS(STATUS!$Q:$Q,ДЕЛА!$A9,STATUS!$D:$D,ДЕЛА!IV$1,STATUS!$S:$S,"Согласовано")</f>
        <v>0</v>
      </c>
      <c r="IW9" s="306">
        <f>COUNTIFS(STATUS!$Q:$Q,ДЕЛА!$A9,STATUS!$D:$D,ДЕЛА!IV$1)</f>
        <v>0</v>
      </c>
      <c r="IX9" s="589">
        <f t="shared" ref="IX9" si="354">IFERROR(IV9/IW9,1)</f>
        <v>1</v>
      </c>
      <c r="IY9" s="592">
        <f>COUNTIFS(STATUS!$Q:$Q,ДЕЛА!$A9,STATUS!$D:$D,ДЕЛА!IY$1,STATUS!$S:$S,"Согласовано")</f>
        <v>0</v>
      </c>
      <c r="IZ9" s="306">
        <f>COUNTIFS(STATUS!$Q:$Q,ДЕЛА!$A9,STATUS!$D:$D,ДЕЛА!IY$1)</f>
        <v>0</v>
      </c>
      <c r="JA9" s="589">
        <f t="shared" ref="JA9" si="355">IFERROR(IY9/IZ9,1)</f>
        <v>1</v>
      </c>
      <c r="JB9" s="808">
        <f t="shared" si="16"/>
        <v>0</v>
      </c>
      <c r="JC9" s="600">
        <f t="shared" ref="JC9" si="356">SUM(IN9,IQ9,IT9,IW9,IZ9)-SUM(IM9,IP9,IS9,IV9,IY9)</f>
        <v>0</v>
      </c>
      <c r="JD9" s="592">
        <f>COUNTIFS(STATUS!$Q:$Q,ДЕЛА!$A9,STATUS!$D:$D,ДЕЛА!JD$1,STATUS!$S:$S,"Согласовано")</f>
        <v>0</v>
      </c>
      <c r="JE9" s="306">
        <f>COUNTIFS(STATUS!$Q:$Q,ДЕЛА!$A9,STATUS!$D:$D,ДЕЛА!JD$1)</f>
        <v>0</v>
      </c>
      <c r="JF9" s="589">
        <f t="shared" ref="JF9" si="357">IFERROR(JD9/JE9,1)</f>
        <v>1</v>
      </c>
      <c r="JG9" s="592">
        <f>COUNTIFS(STATUS!$Q:$Q,ДЕЛА!$A9,STATUS!$D:$D,ДЕЛА!JG$1,STATUS!$S:$S,"Согласовано")</f>
        <v>0</v>
      </c>
      <c r="JH9" s="306">
        <f>COUNTIFS(STATUS!$Q:$Q,ДЕЛА!$A9,STATUS!$D:$D,ДЕЛА!JG$1)</f>
        <v>0</v>
      </c>
      <c r="JI9" s="589">
        <f t="shared" ref="JI9" si="358">IFERROR(JG9/JH9,1)</f>
        <v>1</v>
      </c>
      <c r="JJ9" s="592">
        <f>COUNTIFS(STATUS!$Q:$Q,ДЕЛА!$A9,STATUS!$D:$D,ДЕЛА!JJ$1,STATUS!$S:$S,"Согласовано")</f>
        <v>0</v>
      </c>
      <c r="JK9" s="306">
        <f>COUNTIFS(STATUS!$Q:$Q,ДЕЛА!$A9,STATUS!$D:$D,ДЕЛА!JJ$1)</f>
        <v>0</v>
      </c>
      <c r="JL9" s="589">
        <f t="shared" ref="JL9" si="359">IFERROR(JJ9/JK9,1)</f>
        <v>1</v>
      </c>
      <c r="JM9" s="592">
        <f>COUNTIFS(STATUS!$Q:$Q,ДЕЛА!$A9,STATUS!$D:$D,ДЕЛА!JM$1,STATUS!$S:$S,"Согласовано")</f>
        <v>0</v>
      </c>
      <c r="JN9" s="306">
        <f>COUNTIFS(STATUS!$Q:$Q,ДЕЛА!$A9,STATUS!$D:$D,ДЕЛА!JM$1)</f>
        <v>0</v>
      </c>
      <c r="JO9" s="589">
        <f t="shared" ref="JO9" si="360">IFERROR(JM9/JN9,1)</f>
        <v>1</v>
      </c>
      <c r="JP9" s="592">
        <f>COUNTIFS(STATUS!$Q:$Q,ДЕЛА!$A9,STATUS!$D:$D,ДЕЛА!JP$1,STATUS!$S:$S,"Согласовано")</f>
        <v>0</v>
      </c>
      <c r="JQ9" s="306">
        <f>COUNTIFS(STATUS!$Q:$Q,ДЕЛА!$A9,STATUS!$D:$D,ДЕЛА!JP$1)</f>
        <v>0</v>
      </c>
      <c r="JR9" s="589">
        <f t="shared" ref="JR9" si="361">IFERROR(JP9/JQ9,1)</f>
        <v>1</v>
      </c>
      <c r="JS9" s="808">
        <f t="shared" si="17"/>
        <v>0</v>
      </c>
      <c r="JT9" s="600">
        <f t="shared" ref="JT9" si="362">SUM(JE9,JH9,JK9,JN9,JQ9)-SUM(JD9,JG9,JJ9,JM9,JP9)</f>
        <v>0</v>
      </c>
      <c r="JU9" s="592">
        <f>COUNTIFS(STATUS!$Q:$Q,ДЕЛА!$A9,STATUS!$D:$D,ДЕЛА!JU$1,STATUS!$S:$S,"Согласовано")</f>
        <v>0</v>
      </c>
      <c r="JV9" s="306">
        <f>COUNTIFS(STATUS!$Q:$Q,ДЕЛА!$A9,STATUS!$D:$D,ДЕЛА!JU$1)</f>
        <v>0</v>
      </c>
      <c r="JW9" s="589">
        <f t="shared" ref="JW9" si="363">IFERROR(JU9/JV9,1)</f>
        <v>1</v>
      </c>
      <c r="JX9" s="592">
        <f>COUNTIFS(STATUS!$Q:$Q,ДЕЛА!$A9,STATUS!$D:$D,ДЕЛА!JX$1,STATUS!$S:$S,"Согласовано")</f>
        <v>0</v>
      </c>
      <c r="JY9" s="306">
        <f>COUNTIFS(STATUS!$Q:$Q,ДЕЛА!$A9,STATUS!$D:$D,ДЕЛА!JX$1)</f>
        <v>0</v>
      </c>
      <c r="JZ9" s="589">
        <f t="shared" ref="JZ9" si="364">IFERROR(JX9/JY9,1)</f>
        <v>1</v>
      </c>
      <c r="KA9" s="592">
        <f>COUNTIFS(STATUS!$Q:$Q,ДЕЛА!$A9,STATUS!$D:$D,ДЕЛА!KA$1,STATUS!$S:$S,"Согласовано")</f>
        <v>0</v>
      </c>
      <c r="KB9" s="306">
        <f>COUNTIFS(STATUS!$Q:$Q,ДЕЛА!$A9,STATUS!$D:$D,ДЕЛА!KA$1)</f>
        <v>0</v>
      </c>
      <c r="KC9" s="589">
        <f t="shared" ref="KC9" si="365">IFERROR(KA9/KB9,1)</f>
        <v>1</v>
      </c>
      <c r="KD9" s="592">
        <f>COUNTIFS(STATUS!$Q:$Q,ДЕЛА!$A9,STATUS!$D:$D,ДЕЛА!KD$1,STATUS!$S:$S,"Согласовано")</f>
        <v>0</v>
      </c>
      <c r="KE9" s="306">
        <f>COUNTIFS(STATUS!$Q:$Q,ДЕЛА!$A9,STATUS!$D:$D,ДЕЛА!KD$1)</f>
        <v>0</v>
      </c>
      <c r="KF9" s="589">
        <f t="shared" ref="KF9" si="366">IFERROR(KD9/KE9,1)</f>
        <v>1</v>
      </c>
      <c r="KG9" s="592">
        <f>COUNTIFS(STATUS!$Q:$Q,ДЕЛА!$A9,STATUS!$D:$D,ДЕЛА!KG$1,STATUS!$S:$S,"Согласовано")</f>
        <v>0</v>
      </c>
      <c r="KH9" s="306">
        <f>COUNTIFS(STATUS!$Q:$Q,ДЕЛА!$A9,STATUS!$D:$D,ДЕЛА!KG$1)</f>
        <v>0</v>
      </c>
      <c r="KI9" s="589">
        <f t="shared" ref="KI9" si="367">IFERROR(KG9/KH9,1)</f>
        <v>1</v>
      </c>
      <c r="KJ9" s="808">
        <f t="shared" si="18"/>
        <v>0</v>
      </c>
      <c r="KK9" s="600">
        <f t="shared" ref="KK9" si="368">SUM(JV9,JY9,KB9,KE9,KH9)-SUM(JU9,JX9,KA9,KD9,KG9)</f>
        <v>0</v>
      </c>
      <c r="KL9" s="592">
        <f>COUNTIFS(STATUS!$Q:$Q,ДЕЛА!$A9,STATUS!$D:$D,ДЕЛА!KL$1,STATUS!$S:$S,"Согласовано")</f>
        <v>0</v>
      </c>
      <c r="KM9" s="306">
        <f>COUNTIFS(STATUS!$Q:$Q,ДЕЛА!$A9,STATUS!$D:$D,ДЕЛА!KL$1)</f>
        <v>0</v>
      </c>
      <c r="KN9" s="589">
        <f t="shared" ref="KN9" si="369">IFERROR(KL9/KM9,1)</f>
        <v>1</v>
      </c>
      <c r="KO9" s="592">
        <f>COUNTIFS(STATUS!$Q:$Q,ДЕЛА!$A9,STATUS!$D:$D,ДЕЛА!KO$1,STATUS!$S:$S,"Согласовано")</f>
        <v>0</v>
      </c>
      <c r="KP9" s="306">
        <f>COUNTIFS(STATUS!$Q:$Q,ДЕЛА!$A9,STATUS!$D:$D,ДЕЛА!KO$1)</f>
        <v>0</v>
      </c>
      <c r="KQ9" s="589">
        <f t="shared" ref="KQ9" si="370">IFERROR(KO9/KP9,1)</f>
        <v>1</v>
      </c>
      <c r="KR9" s="592">
        <f>COUNTIFS(STATUS!$Q:$Q,ДЕЛА!$A9,STATUS!$D:$D,ДЕЛА!KR$1,STATUS!$S:$S,"Согласовано")</f>
        <v>0</v>
      </c>
      <c r="KS9" s="306">
        <f>COUNTIFS(STATUS!$Q:$Q,ДЕЛА!$A9,STATUS!$D:$D,ДЕЛА!KR$1)</f>
        <v>0</v>
      </c>
      <c r="KT9" s="589">
        <f t="shared" ref="KT9" si="371">IFERROR(KR9/KS9,1)</f>
        <v>1</v>
      </c>
      <c r="KU9" s="592">
        <f>COUNTIFS(STATUS!$Q:$Q,ДЕЛА!$A9,STATUS!$D:$D,ДЕЛА!KU$1,STATUS!$S:$S,"Согласовано")</f>
        <v>0</v>
      </c>
      <c r="KV9" s="306">
        <f>COUNTIFS(STATUS!$Q:$Q,ДЕЛА!$A9,STATUS!$D:$D,ДЕЛА!KU$1)</f>
        <v>0</v>
      </c>
      <c r="KW9" s="589">
        <f t="shared" ref="KW9" si="372">IFERROR(KU9/KV9,1)</f>
        <v>1</v>
      </c>
      <c r="KX9" s="592">
        <f>COUNTIFS(STATUS!$Q:$Q,ДЕЛА!$A9,STATUS!$D:$D,ДЕЛА!KX$1,STATUS!$S:$S,"Согласовано")</f>
        <v>0</v>
      </c>
      <c r="KY9" s="306">
        <f>COUNTIFS(STATUS!$Q:$Q,ДЕЛА!$A9,STATUS!$D:$D,ДЕЛА!KX$1)</f>
        <v>0</v>
      </c>
      <c r="KZ9" s="589">
        <f t="shared" ref="KZ9" si="373">IFERROR(KX9/KY9,1)</f>
        <v>1</v>
      </c>
      <c r="LA9" s="808">
        <f t="shared" si="19"/>
        <v>0</v>
      </c>
      <c r="LB9" s="600">
        <f t="shared" ref="LB9" si="374">SUM(KM9,KP9,KS9,KV9,KY9)-SUM(KL9,KO9,KR9,KU9,KX9)</f>
        <v>0</v>
      </c>
      <c r="LC9" s="592">
        <f>COUNTIFS(STATUS!$Q:$Q,ДЕЛА!$A9,STATUS!$D:$D,ДЕЛА!LC$1,STATUS!$S:$S,"Согласовано")</f>
        <v>0</v>
      </c>
      <c r="LD9" s="306">
        <f>COUNTIFS(STATUS!$Q:$Q,ДЕЛА!$A9,STATUS!$D:$D,ДЕЛА!LC$1)</f>
        <v>0</v>
      </c>
      <c r="LE9" s="589">
        <f t="shared" ref="LE9" si="375">IFERROR(LC9/LD9,1)</f>
        <v>1</v>
      </c>
      <c r="LF9" s="592">
        <f>COUNTIFS(STATUS!$Q:$Q,ДЕЛА!$A9,STATUS!$D:$D,ДЕЛА!LF$1,STATUS!$S:$S,"Согласовано")</f>
        <v>0</v>
      </c>
      <c r="LG9" s="306">
        <f>COUNTIFS(STATUS!$Q:$Q,ДЕЛА!$A9,STATUS!$D:$D,ДЕЛА!LF$1)</f>
        <v>0</v>
      </c>
      <c r="LH9" s="589">
        <f t="shared" ref="LH9" si="376">IFERROR(LF9/LG9,1)</f>
        <v>1</v>
      </c>
      <c r="LI9" s="592">
        <f>COUNTIFS(STATUS!$Q:$Q,ДЕЛА!$A9,STATUS!$D:$D,ДЕЛА!LI$1,STATUS!$S:$S,"Согласовано")</f>
        <v>1</v>
      </c>
      <c r="LJ9" s="306">
        <f>COUNTIFS(STATUS!$Q:$Q,ДЕЛА!$A9,STATUS!$D:$D,ДЕЛА!LI$1)</f>
        <v>1</v>
      </c>
      <c r="LK9" s="589">
        <f t="shared" ref="LK9" si="377">IFERROR(LI9/LJ9,1)</f>
        <v>1</v>
      </c>
      <c r="LL9" s="592">
        <f>COUNTIFS(STATUS!$Q:$Q,ДЕЛА!$A9,STATUS!$D:$D,ДЕЛА!LL$1,STATUS!$S:$S,"Согласовано")</f>
        <v>0</v>
      </c>
      <c r="LM9" s="306">
        <f>COUNTIFS(STATUS!$Q:$Q,ДЕЛА!$A9,STATUS!$D:$D,ДЕЛА!LL$1)</f>
        <v>0</v>
      </c>
      <c r="LN9" s="589">
        <f t="shared" ref="LN9" si="378">IFERROR(LL9/LM9,1)</f>
        <v>1</v>
      </c>
      <c r="LO9" s="592">
        <f>COUNTIFS(STATUS!$Q:$Q,ДЕЛА!$A9,STATUS!$D:$D,ДЕЛА!LO$1,STATUS!$S:$S,"Согласовано")</f>
        <v>2</v>
      </c>
      <c r="LP9" s="306">
        <f>COUNTIFS(STATUS!$Q:$Q,ДЕЛА!$A9,STATUS!$D:$D,ДЕЛА!LO$1)</f>
        <v>2</v>
      </c>
      <c r="LQ9" s="589">
        <f t="shared" ref="LQ9" si="379">IFERROR(LO9/LP9,1)</f>
        <v>1</v>
      </c>
      <c r="LR9" s="808">
        <f t="shared" si="20"/>
        <v>3</v>
      </c>
      <c r="LS9" s="600">
        <f t="shared" ref="LS9" si="380">SUM(LD9,LG9,LJ9,LM9,LP9)-SUM(LC9,LF9,LI9,LL9,LO9)</f>
        <v>0</v>
      </c>
      <c r="LT9" s="592">
        <f>COUNTIFS(STATUS!$Q:$Q,ДЕЛА!$A9,STATUS!$D:$D,ДЕЛА!LT$1,STATUS!$S:$S,"Согласовано")</f>
        <v>5</v>
      </c>
      <c r="LU9" s="306">
        <f>COUNTIFS(STATUS!$Q:$Q,ДЕЛА!$A9,STATUS!$D:$D,ДЕЛА!LT$1)</f>
        <v>5</v>
      </c>
      <c r="LV9" s="589">
        <f t="shared" ref="LV9" si="381">IFERROR(LT9/LU9,1)</f>
        <v>1</v>
      </c>
      <c r="LW9" s="592">
        <f>COUNTIFS(STATUS!$Q:$Q,ДЕЛА!$A9,STATUS!$D:$D,ДЕЛА!LW$1,STATUS!$S:$S,"Согласовано")</f>
        <v>4</v>
      </c>
      <c r="LX9" s="306">
        <f>COUNTIFS(STATUS!$Q:$Q,ДЕЛА!$A9,STATUS!$D:$D,ДЕЛА!LW$1)</f>
        <v>4</v>
      </c>
      <c r="LY9" s="589">
        <f t="shared" ref="LY9" si="382">IFERROR(LW9/LX9,1)</f>
        <v>1</v>
      </c>
      <c r="LZ9" s="592">
        <f>COUNTIFS(STATUS!$Q:$Q,ДЕЛА!$A9,STATUS!$D:$D,ДЕЛА!LZ$1,STATUS!$S:$S,"Согласовано")</f>
        <v>3</v>
      </c>
      <c r="MA9" s="306">
        <f>COUNTIFS(STATUS!$Q:$Q,ДЕЛА!$A9,STATUS!$D:$D,ДЕЛА!LZ$1)</f>
        <v>3</v>
      </c>
      <c r="MB9" s="589">
        <f t="shared" ref="MB9" si="383">IFERROR(LZ9/MA9,1)</f>
        <v>1</v>
      </c>
      <c r="MC9" s="592">
        <f>COUNTIFS(STATUS!$Q:$Q,ДЕЛА!$A9,STATUS!$D:$D,ДЕЛА!MC$1,STATUS!$S:$S,"Согласовано")</f>
        <v>5</v>
      </c>
      <c r="MD9" s="306">
        <f>COUNTIFS(STATUS!$Q:$Q,ДЕЛА!$A9,STATUS!$D:$D,ДЕЛА!MC$1)</f>
        <v>5</v>
      </c>
      <c r="ME9" s="589">
        <f t="shared" ref="ME9" si="384">IFERROR(MC9/MD9,1)</f>
        <v>1</v>
      </c>
      <c r="MF9" s="592">
        <f>COUNTIFS(STATUS!$Q:$Q,ДЕЛА!$A9,STATUS!$D:$D,ДЕЛА!MF$1,STATUS!$S:$S,"Согласовано")</f>
        <v>4</v>
      </c>
      <c r="MG9" s="306">
        <f>COUNTIFS(STATUS!$Q:$Q,ДЕЛА!$A9,STATUS!$D:$D,ДЕЛА!MF$1)</f>
        <v>4</v>
      </c>
      <c r="MH9" s="589">
        <f t="shared" ref="MH9" si="385">IFERROR(MF9/MG9,1)</f>
        <v>1</v>
      </c>
      <c r="MI9" s="808">
        <f t="shared" si="21"/>
        <v>21</v>
      </c>
      <c r="MJ9" s="600">
        <f t="shared" ref="MJ9" si="386">SUM(LU9,LX9,MA9,MD9,MG9)-SUM(LT9,LW9,LZ9,MC9,MF9)</f>
        <v>0</v>
      </c>
      <c r="MK9" s="592">
        <f>COUNTIFS(STATUS!$Q:$Q,ДЕЛА!$A9,STATUS!$D:$D,ДЕЛА!MK$1,STATUS!$S:$S,"Согласовано")</f>
        <v>2</v>
      </c>
      <c r="ML9" s="306">
        <f>COUNTIFS(STATUS!$Q:$Q,ДЕЛА!$A9,STATUS!$D:$D,ДЕЛА!MK$1)</f>
        <v>2</v>
      </c>
      <c r="MM9" s="589">
        <f t="shared" ref="MM9" si="387">IFERROR(MK9/ML9,1)</f>
        <v>1</v>
      </c>
      <c r="MN9" s="592">
        <f>COUNTIFS(STATUS!$Q:$Q,ДЕЛА!$A9,STATUS!$D:$D,ДЕЛА!MN$1,STATUS!$S:$S,"Согласовано")</f>
        <v>5</v>
      </c>
      <c r="MO9" s="306">
        <f>COUNTIFS(STATUS!$Q:$Q,ДЕЛА!$A9,STATUS!$D:$D,ДЕЛА!MN$1)</f>
        <v>5</v>
      </c>
      <c r="MP9" s="589">
        <f t="shared" ref="MP9" si="388">IFERROR(MN9/MO9,1)</f>
        <v>1</v>
      </c>
      <c r="MQ9" s="592">
        <f>COUNTIFS(STATUS!$Q:$Q,ДЕЛА!$A9,STATUS!$D:$D,ДЕЛА!MQ$1,STATUS!$S:$S,"Согласовано")</f>
        <v>5</v>
      </c>
      <c r="MR9" s="306">
        <f>COUNTIFS(STATUS!$Q:$Q,ДЕЛА!$A9,STATUS!$D:$D,ДЕЛА!MQ$1)</f>
        <v>5</v>
      </c>
      <c r="MS9" s="589">
        <f t="shared" ref="MS9" si="389">IFERROR(MQ9/MR9,1)</f>
        <v>1</v>
      </c>
      <c r="MT9" s="592">
        <f>COUNTIFS(STATUS!$Q:$Q,ДЕЛА!$A9,STATUS!$D:$D,ДЕЛА!MT$1,STATUS!$S:$S,"Согласовано")</f>
        <v>5</v>
      </c>
      <c r="MU9" s="306">
        <f>COUNTIFS(STATUS!$Q:$Q,ДЕЛА!$A9,STATUS!$D:$D,ДЕЛА!MT$1)</f>
        <v>5</v>
      </c>
      <c r="MV9" s="589">
        <f t="shared" ref="MV9" si="390">IFERROR(MT9/MU9,1)</f>
        <v>1</v>
      </c>
      <c r="MW9" s="592">
        <f>COUNTIFS(STATUS!$Q:$Q,ДЕЛА!$A9,STATUS!$D:$D,ДЕЛА!MW$1,STATUS!$S:$S,"Согласовано")</f>
        <v>4</v>
      </c>
      <c r="MX9" s="306">
        <f>COUNTIFS(STATUS!$Q:$Q,ДЕЛА!$A9,STATUS!$D:$D,ДЕЛА!MW$1)</f>
        <v>4</v>
      </c>
      <c r="MY9" s="589">
        <f t="shared" ref="MY9" si="391">IFERROR(MW9/MX9,1)</f>
        <v>1</v>
      </c>
      <c r="MZ9" s="808">
        <f t="shared" si="22"/>
        <v>21</v>
      </c>
      <c r="NA9" s="600">
        <f t="shared" ref="NA9" si="392">SUM(ML9,MO9,MR9,MU9,MX9)-SUM(MK9,MN9,MQ9,MT9,MW9)</f>
        <v>0</v>
      </c>
      <c r="NB9" s="592">
        <f>COUNTIFS(STATUS!$Q:$Q,ДЕЛА!$A9,STATUS!$D:$D,ДЕЛА!NB$1,STATUS!$S:$S,"Согласовано")</f>
        <v>0</v>
      </c>
      <c r="NC9" s="306">
        <f>COUNTIFS(STATUS!$Q:$Q,ДЕЛА!$A9,STATUS!$D:$D,ДЕЛА!NB$1)</f>
        <v>0</v>
      </c>
      <c r="ND9" s="589">
        <f t="shared" ref="ND9" si="393">IFERROR(NB9/NC9,1)</f>
        <v>1</v>
      </c>
      <c r="NE9" s="592">
        <f>COUNTIFS(STATUS!$Q:$Q,ДЕЛА!$A9,STATUS!$D:$D,ДЕЛА!NE$1,STATUS!$S:$S,"Согласовано")</f>
        <v>0</v>
      </c>
      <c r="NF9" s="306">
        <f>COUNTIFS(STATUS!$Q:$Q,ДЕЛА!$A9,STATUS!$D:$D,ДЕЛА!NE$1)</f>
        <v>0</v>
      </c>
      <c r="NG9" s="589">
        <f t="shared" ref="NG9" si="394">IFERROR(NE9/NF9,1)</f>
        <v>1</v>
      </c>
      <c r="NH9" s="592">
        <f>COUNTIFS(STATUS!$Q:$Q,ДЕЛА!$A9,STATUS!$D:$D,ДЕЛА!NH$1,STATUS!$S:$S,"Согласовано")</f>
        <v>0</v>
      </c>
      <c r="NI9" s="306">
        <f>COUNTIFS(STATUS!$Q:$Q,ДЕЛА!$A9,STATUS!$D:$D,ДЕЛА!NH$1)</f>
        <v>0</v>
      </c>
      <c r="NJ9" s="589">
        <f t="shared" ref="NJ9" si="395">IFERROR(NH9/NI9,1)</f>
        <v>1</v>
      </c>
      <c r="NK9" s="592">
        <f>COUNTIFS(STATUS!$Q:$Q,ДЕЛА!$A9,STATUS!$D:$D,ДЕЛА!NK$1,STATUS!$S:$S,"Согласовано")</f>
        <v>0</v>
      </c>
      <c r="NL9" s="306">
        <f>COUNTIFS(STATUS!$Q:$Q,ДЕЛА!$A9,STATUS!$D:$D,ДЕЛА!NK$1)</f>
        <v>0</v>
      </c>
      <c r="NM9" s="589">
        <f t="shared" ref="NM9" si="396">IFERROR(NK9/NL9,1)</f>
        <v>1</v>
      </c>
      <c r="NN9" s="592">
        <f>COUNTIFS(STATUS!$Q:$Q,ДЕЛА!$A9,STATUS!$D:$D,ДЕЛА!NN$1,STATUS!$S:$S,"Согласовано")</f>
        <v>0</v>
      </c>
      <c r="NO9" s="306">
        <f>COUNTIFS(STATUS!$Q:$Q,ДЕЛА!$A9,STATUS!$D:$D,ДЕЛА!NN$1)</f>
        <v>0</v>
      </c>
      <c r="NP9" s="589">
        <f t="shared" ref="NP9" si="397">IFERROR(NN9/NO9,1)</f>
        <v>1</v>
      </c>
      <c r="NQ9" s="808">
        <f t="shared" si="23"/>
        <v>0</v>
      </c>
      <c r="NR9" s="600">
        <f t="shared" ref="NR9" si="398">SUM(NC9,NF9,NI9,NL9,NO9)-SUM(NB9,NE9,NH9,NK9,NN9)</f>
        <v>0</v>
      </c>
      <c r="NS9" s="592">
        <f>COUNTIFS(STATUS!$Q:$Q,ДЕЛА!$A9,STATUS!$D:$D,ДЕЛА!NS$1,STATUS!$S:$S,"Согласовано")</f>
        <v>0</v>
      </c>
      <c r="NT9" s="306">
        <f>COUNTIFS(STATUS!$Q:$Q,ДЕЛА!$A9,STATUS!$D:$D,ДЕЛА!NS$1)</f>
        <v>0</v>
      </c>
      <c r="NU9" s="589">
        <f t="shared" ref="NU9:NU13" si="399">IFERROR(NS9/NT9,1)</f>
        <v>1</v>
      </c>
      <c r="NV9" s="592">
        <f>COUNTIFS(STATUS!$Q:$Q,ДЕЛА!$A9,STATUS!$D:$D,ДЕЛА!NV$1,STATUS!$S:$S,"Согласовано")</f>
        <v>0</v>
      </c>
      <c r="NW9" s="306">
        <f>COUNTIFS(STATUS!$Q:$Q,ДЕЛА!$A9,STATUS!$D:$D,ДЕЛА!NV$1)</f>
        <v>0</v>
      </c>
      <c r="NX9" s="589">
        <f t="shared" ref="NX9:NX13" si="400">IFERROR(NV9/NW9,1)</f>
        <v>1</v>
      </c>
      <c r="NY9" s="592">
        <f>COUNTIFS(STATUS!$Q:$Q,ДЕЛА!$A9,STATUS!$D:$D,ДЕЛА!NY$1,STATUS!$S:$S,"Согласовано")</f>
        <v>0</v>
      </c>
      <c r="NZ9" s="306">
        <f>COUNTIFS(STATUS!$Q:$Q,ДЕЛА!$A9,STATUS!$D:$D,ДЕЛА!NY$1)</f>
        <v>0</v>
      </c>
      <c r="OA9" s="589">
        <f t="shared" ref="OA9:OA13" si="401">IFERROR(NY9/NZ9,1)</f>
        <v>1</v>
      </c>
      <c r="OB9" s="592">
        <f>COUNTIFS(STATUS!$Q:$Q,ДЕЛА!$A9,STATUS!$D:$D,ДЕЛА!OB$1,STATUS!$S:$S,"Согласовано")</f>
        <v>0</v>
      </c>
      <c r="OC9" s="306">
        <f>COUNTIFS(STATUS!$Q:$Q,ДЕЛА!$A9,STATUS!$D:$D,ДЕЛА!OB$1)</f>
        <v>0</v>
      </c>
      <c r="OD9" s="589">
        <f t="shared" ref="OD9:OD13" si="402">IFERROR(OB9/OC9,1)</f>
        <v>1</v>
      </c>
      <c r="OE9" s="592">
        <f>COUNTIFS(STATUS!$Q:$Q,ДЕЛА!$A9,STATUS!$D:$D,ДЕЛА!OE$1,STATUS!$S:$S,"Согласовано")</f>
        <v>0</v>
      </c>
      <c r="OF9" s="306">
        <f>COUNTIFS(STATUS!$Q:$Q,ДЕЛА!$A9,STATUS!$D:$D,ДЕЛА!OE$1)</f>
        <v>0</v>
      </c>
      <c r="OG9" s="589">
        <f t="shared" ref="OG9:OG13" si="403">IFERROR(OE9/OF9,1)</f>
        <v>1</v>
      </c>
      <c r="OH9" s="808">
        <f>SUM(NT9,NW9,NZ9,OC9,OF9)</f>
        <v>0</v>
      </c>
      <c r="OI9" s="600">
        <f>SUM(NT9,NW9,NZ9,OC9,OF9)-SUM(NS9,NV9,NY9,OB9,OE9)</f>
        <v>0</v>
      </c>
      <c r="OJ9" s="592">
        <f>COUNTIFS(STATUS!$Q:$Q,ДЕЛА!$A9,STATUS!$D:$D,ДЕЛА!OJ$1,STATUS!$S:$S,"Согласовано")</f>
        <v>0</v>
      </c>
      <c r="OK9" s="306">
        <f>COUNTIFS(STATUS!$Q:$Q,ДЕЛА!$A9,STATUS!$D:$D,ДЕЛА!OJ$1)</f>
        <v>0</v>
      </c>
      <c r="OL9" s="589">
        <f>IFERROR(OJ9/OK9,1)</f>
        <v>1</v>
      </c>
      <c r="OM9" s="592">
        <f>COUNTIFS(STATUS!$Q:$Q,ДЕЛА!$A9,STATUS!$D:$D,ДЕЛА!OM$1,STATUS!$S:$S,"Согласовано")</f>
        <v>0</v>
      </c>
      <c r="ON9" s="306">
        <f>COUNTIFS(STATUS!$Q:$Q,ДЕЛА!$A9,STATUS!$D:$D,ДЕЛА!OM$1)</f>
        <v>0</v>
      </c>
      <c r="OO9" s="589">
        <f t="shared" ref="OO9:OO13" si="404">IFERROR(OM9/ON9,1)</f>
        <v>1</v>
      </c>
      <c r="OP9" s="592">
        <f>COUNTIFS(STATUS!$Q:$Q,ДЕЛА!$A9,STATUS!$D:$D,ДЕЛА!OP$1,STATUS!$S:$S,"Согласовано")</f>
        <v>0</v>
      </c>
      <c r="OQ9" s="306">
        <f>COUNTIFS(STATUS!$Q:$Q,ДЕЛА!$A9,STATUS!$D:$D,ДЕЛА!OP$1)</f>
        <v>0</v>
      </c>
      <c r="OR9" s="589">
        <f t="shared" ref="OR9:OR13" si="405">IFERROR(OP9/OQ9,1)</f>
        <v>1</v>
      </c>
      <c r="OS9" s="592">
        <f>COUNTIFS(STATUS!$Q:$Q,ДЕЛА!$A9,STATUS!$D:$D,ДЕЛА!OS$1,STATUS!$S:$S,"Согласовано")</f>
        <v>0</v>
      </c>
      <c r="OT9" s="306">
        <f>COUNTIFS(STATUS!$Q:$Q,ДЕЛА!$A9,STATUS!$D:$D,ДЕЛА!OS$1)</f>
        <v>0</v>
      </c>
      <c r="OU9" s="589">
        <f t="shared" ref="OU9:OU13" si="406">IFERROR(OS9/OT9,1)</f>
        <v>1</v>
      </c>
      <c r="OV9" s="592">
        <f>COUNTIFS(STATUS!$Q:$Q,ДЕЛА!$A9,STATUS!$D:$D,ДЕЛА!OV$1,STATUS!$S:$S,"Согласовано")</f>
        <v>0</v>
      </c>
      <c r="OW9" s="306">
        <f>COUNTIFS(STATUS!$Q:$Q,ДЕЛА!$A9,STATUS!$D:$D,ДЕЛА!OV$1)</f>
        <v>0</v>
      </c>
      <c r="OX9" s="589">
        <f t="shared" ref="OX9:OX13" si="407">IFERROR(OV9/OW9,1)</f>
        <v>1</v>
      </c>
      <c r="OY9" s="808">
        <f>SUM(OK9,ON9,OQ9,OT9,OW9)</f>
        <v>0</v>
      </c>
      <c r="OZ9" s="600">
        <f>SUM(OK9,ON9,OQ9,OT9,OW9)-SUM(OJ9,OM9,OP9,OS9,OV9)</f>
        <v>0</v>
      </c>
      <c r="PA9" s="592">
        <f>COUNTIFS(STATUS!$Q:$Q,ДЕЛА!$A9,STATUS!$D:$D,ДЕЛА!PA$1,STATUS!$S:$S,"Согласовано")</f>
        <v>0</v>
      </c>
      <c r="PB9" s="306">
        <f>COUNTIFS(STATUS!$Q:$Q,ДЕЛА!$A9,STATUS!$D:$D,ДЕЛА!PA$1)</f>
        <v>0</v>
      </c>
      <c r="PC9" s="589">
        <f>IFERROR(PA9/PB9,1)</f>
        <v>1</v>
      </c>
      <c r="PD9" s="592">
        <f>COUNTIFS(STATUS!$Q:$Q,ДЕЛА!$A9,STATUS!$D:$D,ДЕЛА!PD$1,STATUS!$S:$S,"Согласовано")</f>
        <v>0</v>
      </c>
      <c r="PE9" s="306">
        <f>COUNTIFS(STATUS!$Q:$Q,ДЕЛА!$A9,STATUS!$D:$D,ДЕЛА!PD$1)</f>
        <v>0</v>
      </c>
      <c r="PF9" s="589">
        <f t="shared" ref="PF9:PF13" si="408">IFERROR(PD9/PE9,1)</f>
        <v>1</v>
      </c>
      <c r="PG9" s="592">
        <f>COUNTIFS(STATUS!$Q:$Q,ДЕЛА!$A9,STATUS!$D:$D,ДЕЛА!PG$1,STATUS!$S:$S,"Согласовано")</f>
        <v>0</v>
      </c>
      <c r="PH9" s="306">
        <f>COUNTIFS(STATUS!$Q:$Q,ДЕЛА!$A9,STATUS!$D:$D,ДЕЛА!PG$1)</f>
        <v>0</v>
      </c>
      <c r="PI9" s="589">
        <f t="shared" ref="PI9:PI13" si="409">IFERROR(PG9/PH9,1)</f>
        <v>1</v>
      </c>
      <c r="PJ9" s="592">
        <f>COUNTIFS(STATUS!$Q:$Q,ДЕЛА!$A9,STATUS!$D:$D,ДЕЛА!PJ$1,STATUS!$S:$S,"Согласовано")</f>
        <v>0</v>
      </c>
      <c r="PK9" s="306">
        <f>COUNTIFS(STATUS!$Q:$Q,ДЕЛА!$A9,STATUS!$D:$D,ДЕЛА!PJ$1)</f>
        <v>0</v>
      </c>
      <c r="PL9" s="589">
        <f t="shared" ref="PL9:PL13" si="410">IFERROR(PJ9/PK9,1)</f>
        <v>1</v>
      </c>
      <c r="PM9" s="592">
        <f>COUNTIFS(STATUS!$Q:$Q,ДЕЛА!$A9,STATUS!$D:$D,ДЕЛА!PM$1,STATUS!$S:$S,"Согласовано")</f>
        <v>0</v>
      </c>
      <c r="PN9" s="306">
        <f>COUNTIFS(STATUS!$Q:$Q,ДЕЛА!$A9,STATUS!$D:$D,ДЕЛА!PM$1)</f>
        <v>0</v>
      </c>
      <c r="PO9" s="589">
        <f t="shared" ref="PO9:PO13" si="411">IFERROR(PM9/PN9,1)</f>
        <v>1</v>
      </c>
      <c r="PP9" s="808">
        <f>SUM(PB9,PE9,PH9,PK9,PN9)</f>
        <v>0</v>
      </c>
      <c r="PQ9" s="600">
        <f>SUM(PB9,PE9,PH9,PK9,PN9)-SUM(PA9,PD9,PG9,PJ9,PM9)</f>
        <v>0</v>
      </c>
      <c r="PR9" s="592">
        <f>COUNTIFS(STATUS!$Q:$Q,ДЕЛА!$A9,STATUS!$D:$D,ДЕЛА!PR$1,STATUS!$S:$S,"Согласовано")</f>
        <v>0</v>
      </c>
      <c r="PS9" s="306">
        <f>COUNTIFS(STATUS!$Q:$Q,ДЕЛА!$A9,STATUS!$D:$D,ДЕЛА!PR$1)</f>
        <v>0</v>
      </c>
      <c r="PT9" s="589">
        <f>IFERROR(PR9/PS9,1)</f>
        <v>1</v>
      </c>
      <c r="PU9" s="592">
        <f>COUNTIFS(STATUS!$Q:$Q,ДЕЛА!$A9,STATUS!$D:$D,ДЕЛА!PU$1,STATUS!$S:$S,"Согласовано")</f>
        <v>0</v>
      </c>
      <c r="PV9" s="306">
        <f>COUNTIFS(STATUS!$Q:$Q,ДЕЛА!$A9,STATUS!$D:$D,ДЕЛА!PU$1)</f>
        <v>0</v>
      </c>
      <c r="PW9" s="589">
        <f t="shared" ref="PW9:PW13" si="412">IFERROR(PU9/PV9,1)</f>
        <v>1</v>
      </c>
      <c r="PX9" s="592">
        <f>COUNTIFS(STATUS!$Q:$Q,ДЕЛА!$A9,STATUS!$D:$D,ДЕЛА!PX$1,STATUS!$S:$S,"Согласовано")</f>
        <v>0</v>
      </c>
      <c r="PY9" s="306">
        <f>COUNTIFS(STATUS!$Q:$Q,ДЕЛА!$A9,STATUS!$D:$D,ДЕЛА!PX$1)</f>
        <v>0</v>
      </c>
      <c r="PZ9" s="589">
        <f t="shared" ref="PZ9:PZ13" si="413">IFERROR(PX9/PY9,1)</f>
        <v>1</v>
      </c>
      <c r="QA9" s="592">
        <f>COUNTIFS(STATUS!$Q:$Q,ДЕЛА!$A9,STATUS!$D:$D,ДЕЛА!QA$1,STATUS!$S:$S,"Согласовано")</f>
        <v>0</v>
      </c>
      <c r="QB9" s="306">
        <f>COUNTIFS(STATUS!$Q:$Q,ДЕЛА!$A9,STATUS!$D:$D,ДЕЛА!QA$1)</f>
        <v>0</v>
      </c>
      <c r="QC9" s="589">
        <f t="shared" ref="QC9:QC13" si="414">IFERROR(QA9/QB9,1)</f>
        <v>1</v>
      </c>
      <c r="QD9" s="592">
        <f>COUNTIFS(STATUS!$Q:$Q,ДЕЛА!$A9,STATUS!$D:$D,ДЕЛА!QD$1,STATUS!$S:$S,"Согласовано")</f>
        <v>0</v>
      </c>
      <c r="QE9" s="306">
        <f>COUNTIFS(STATUS!$Q:$Q,ДЕЛА!$A9,STATUS!$D:$D,ДЕЛА!QD$1)</f>
        <v>0</v>
      </c>
      <c r="QF9" s="589">
        <f t="shared" ref="QF9:QF13" si="415">IFERROR(QD9/QE9,1)</f>
        <v>1</v>
      </c>
      <c r="QG9" s="808">
        <f>SUM(PS9,PV9,PY9,QB9,QE9)</f>
        <v>0</v>
      </c>
      <c r="QH9" s="600">
        <f>SUM(PS9,PV9,PY9,QB9,QE9)-SUM(PR9,PU9,PX9,QA9,QD9)</f>
        <v>0</v>
      </c>
    </row>
    <row r="10" spans="1:450" x14ac:dyDescent="0.3">
      <c r="A10" s="1320" t="s">
        <v>11751</v>
      </c>
      <c r="B10" s="1321">
        <f>SUMIFS(STATUS!AA:AA,STATUS!Q:Q,A10)</f>
        <v>0.7810648148148146</v>
      </c>
      <c r="C10" s="1347">
        <f>B10/COUNTIFS(STATUS!Q:Q,ДЕЛА!A10,STATUS!AA:AA,"&lt;&gt;0")</f>
        <v>2.6933269476372916E-2</v>
      </c>
      <c r="D10" s="658">
        <f>COUNTIFS(STATUS!$Q:$Q,ДЕЛА!$A10,STATUS!$H:$H,ДЕЛА!D$1)</f>
        <v>27</v>
      </c>
      <c r="E10" s="735">
        <f>D10/$R10</f>
        <v>0.93103448275862066</v>
      </c>
      <c r="F10" s="658">
        <f>COUNTIFS(STATUS!$Q:$Q,ДЕЛА!$A10,STATUS!$H:$H,ДЕЛА!F$1)</f>
        <v>2</v>
      </c>
      <c r="G10" s="735">
        <f>F10/$R10</f>
        <v>6.8965517241379309E-2</v>
      </c>
      <c r="H10" s="658">
        <f>COUNTIFS(STATUS!$Q:$Q,ДЕЛА!$A10,STATUS!$I:$I,ДЕЛА!H$1)</f>
        <v>1</v>
      </c>
      <c r="I10" s="735">
        <f>H10/$R10</f>
        <v>3.4482758620689655E-2</v>
      </c>
      <c r="J10" s="658">
        <f>COUNTIFS(STATUS!$Q:$Q,ДЕЛА!$A10,STATUS!$I:$I,ДЕЛА!J$1)</f>
        <v>0</v>
      </c>
      <c r="K10" s="735">
        <f>J10/$R10</f>
        <v>0</v>
      </c>
      <c r="L10" s="658">
        <f>COUNTIFS(STATUS!$Q:$Q,ДЕЛА!$A10,STATUS!$I:$I,ДЕЛА!L$1)</f>
        <v>4</v>
      </c>
      <c r="M10" s="735">
        <f>L10/$R10</f>
        <v>0.13793103448275862</v>
      </c>
      <c r="N10" s="658">
        <f>COUNTIFS(STATUS!$Q:$Q,ДЕЛА!$A10,STATUS!$I:$I,ДЕЛА!N$1)</f>
        <v>9</v>
      </c>
      <c r="O10" s="735">
        <f>N10/$R10</f>
        <v>0.31034482758620691</v>
      </c>
      <c r="P10" s="658">
        <f>COUNTIFS(STATUS!$Q:$Q,ДЕЛА!$A10,STATUS!$S:$S,"На доработку")</f>
        <v>0</v>
      </c>
      <c r="Q10" s="658">
        <f>COUNTIFS(STATUS!Q:Q,ДЕЛА!A10,STATUS!$S:$S,"Согласовано")</f>
        <v>29</v>
      </c>
      <c r="R10" s="658">
        <f>COUNTIFS(STATUS!$Q:$Q,ДЕЛА!$A10)</f>
        <v>29</v>
      </c>
      <c r="S10" s="658">
        <f t="shared" ref="S10" si="416">R10-Q10</f>
        <v>0</v>
      </c>
      <c r="T10" s="659">
        <f t="shared" ref="T10" si="417">Q10/R10</f>
        <v>1</v>
      </c>
      <c r="U10" s="658">
        <f t="shared" si="310"/>
        <v>0</v>
      </c>
      <c r="V10" s="592">
        <f>COUNTIFS(STATUS!$Q:$Q,ДЕЛА!$A10,STATUS!$D:$D,ДЕЛА!V$1,STATUS!$S:$S,"Согласовано")</f>
        <v>0</v>
      </c>
      <c r="W10" s="306">
        <f>COUNTIFS(STATUS!$Q:$Q,ДЕЛА!$A10,STATUS!$D:$D,ДЕЛА!V$1)</f>
        <v>0</v>
      </c>
      <c r="X10" s="593">
        <f t="shared" si="311"/>
        <v>1</v>
      </c>
      <c r="Y10" s="401">
        <f>COUNTIFS(STATUS!$Q:$Q,ДЕЛА!$A10,STATUS!$D:$D,ДЕЛА!Y$1,STATUS!$S:$S,"Согласовано")</f>
        <v>0</v>
      </c>
      <c r="Z10" s="306">
        <f>COUNTIFS(STATUS!$Q:$Q,ДЕЛА!$A10,STATUS!$D:$D,ДЕЛА!Y$1)</f>
        <v>0</v>
      </c>
      <c r="AA10" s="589">
        <f t="shared" si="312"/>
        <v>1</v>
      </c>
      <c r="AB10" s="592">
        <f>COUNTIFS(STATUS!$Q:$Q,ДЕЛА!$A10,STATUS!$D:$D,ДЕЛА!AB$1,STATUS!$S:$S,"Согласовано")</f>
        <v>0</v>
      </c>
      <c r="AC10" s="306">
        <f>COUNTIFS(STATUS!$Q:$Q,ДЕЛА!$A10,STATUS!$D:$D,ДЕЛА!AB$1)</f>
        <v>0</v>
      </c>
      <c r="AD10" s="593">
        <f t="shared" si="313"/>
        <v>1</v>
      </c>
      <c r="AE10" s="600">
        <f>SUM(W10,Z10,AC10)-SUM(V10,Y10,AB10)</f>
        <v>0</v>
      </c>
      <c r="EO10" s="592">
        <f>COUNTIFS(STATUS!$Q:$Q,ДЕЛА!$A10,STATUS!$D:$D,ДЕЛА!EO$1,STATUS!$S:$S,"Согласовано")</f>
        <v>0</v>
      </c>
      <c r="EP10" s="306">
        <f>COUNTIFS(STATUS!$Q:$Q,ДЕЛА!$A10,STATUS!$D:$D,ДЕЛА!EO$1)</f>
        <v>0</v>
      </c>
      <c r="EQ10" s="589">
        <f t="shared" si="314"/>
        <v>1</v>
      </c>
      <c r="ER10" s="592">
        <f>COUNTIFS(STATUS!$Q:$Q,ДЕЛА!$A10,STATUS!$D:$D,ДЕЛА!ER$1,STATUS!$S:$S,"Согласовано")</f>
        <v>0</v>
      </c>
      <c r="ES10" s="306">
        <f>COUNTIFS(STATUS!$Q:$Q,ДЕЛА!$A10,STATUS!$D:$D,ДЕЛА!ER$1)</f>
        <v>0</v>
      </c>
      <c r="ET10" s="589">
        <f t="shared" si="315"/>
        <v>1</v>
      </c>
      <c r="EU10" s="592">
        <f>COUNTIFS(STATUS!$Q:$Q,ДЕЛА!$A10,STATUS!$D:$D,ДЕЛА!EU$1,STATUS!$S:$S,"Согласовано")</f>
        <v>0</v>
      </c>
      <c r="EV10" s="306">
        <f>COUNTIFS(STATUS!$Q:$Q,ДЕЛА!$A10,STATUS!$D:$D,ДЕЛА!EU$1)</f>
        <v>0</v>
      </c>
      <c r="EW10" s="589">
        <f t="shared" si="316"/>
        <v>1</v>
      </c>
      <c r="EX10" s="592">
        <f>COUNTIFS(STATUS!$Q:$Q,ДЕЛА!$A10,STATUS!$D:$D,ДЕЛА!EX$1,STATUS!$S:$S,"Согласовано")</f>
        <v>0</v>
      </c>
      <c r="EY10" s="306">
        <f>COUNTIFS(STATUS!$Q:$Q,ДЕЛА!$A10,STATUS!$D:$D,ДЕЛА!EX$1)</f>
        <v>0</v>
      </c>
      <c r="EZ10" s="589">
        <f t="shared" si="317"/>
        <v>1</v>
      </c>
      <c r="FA10" s="592">
        <f>COUNTIFS(STATUS!$Q:$Q,ДЕЛА!$A10,STATUS!$D:$D,ДЕЛА!FA$1,STATUS!$S:$S,"Согласовано")</f>
        <v>0</v>
      </c>
      <c r="FB10" s="306">
        <f>COUNTIFS(STATUS!$Q:$Q,ДЕЛА!$A10,STATUS!$D:$D,ДЕЛА!FA$1)</f>
        <v>0</v>
      </c>
      <c r="FC10" s="589">
        <f t="shared" si="318"/>
        <v>1</v>
      </c>
      <c r="FD10" s="808">
        <f t="shared" si="319"/>
        <v>0</v>
      </c>
      <c r="FE10" s="600">
        <f t="shared" si="320"/>
        <v>0</v>
      </c>
      <c r="FF10" s="1032"/>
      <c r="FG10" s="403"/>
      <c r="FH10" s="1315"/>
      <c r="FI10" s="1032"/>
      <c r="FJ10" s="403"/>
      <c r="FK10" s="1315"/>
      <c r="FL10" s="1032"/>
      <c r="FM10" s="403"/>
      <c r="FN10" s="1315"/>
      <c r="FO10" s="1032"/>
      <c r="FP10" s="403"/>
      <c r="FQ10" s="1315"/>
      <c r="FR10" s="1032"/>
      <c r="FS10" s="403"/>
      <c r="FT10" s="1315"/>
      <c r="FU10" s="1316"/>
      <c r="FV10" s="600"/>
      <c r="FW10" s="1032"/>
      <c r="FX10" s="403"/>
      <c r="FY10" s="1315"/>
      <c r="FZ10" s="1032"/>
      <c r="GA10" s="403"/>
      <c r="GB10" s="1315"/>
      <c r="GC10" s="1032"/>
      <c r="GD10" s="403"/>
      <c r="GE10" s="1315"/>
      <c r="GF10" s="1032"/>
      <c r="GG10" s="403"/>
      <c r="GH10" s="1315"/>
      <c r="GI10" s="1032"/>
      <c r="GJ10" s="403"/>
      <c r="GK10" s="1315"/>
      <c r="GL10" s="1316"/>
      <c r="GM10" s="600"/>
      <c r="GN10" s="1032"/>
      <c r="GO10" s="403"/>
      <c r="GP10" s="1315"/>
      <c r="GQ10" s="1032"/>
      <c r="GR10" s="403"/>
      <c r="GS10" s="1315"/>
      <c r="GT10" s="1032"/>
      <c r="GU10" s="403"/>
      <c r="GV10" s="1315"/>
      <c r="GW10" s="1032"/>
      <c r="GX10" s="403"/>
      <c r="GY10" s="1315"/>
      <c r="GZ10" s="1032"/>
      <c r="HA10" s="403"/>
      <c r="HB10" s="1315"/>
      <c r="HC10" s="1316"/>
      <c r="HD10" s="600"/>
      <c r="HE10" s="1032"/>
      <c r="HF10" s="403"/>
      <c r="HG10" s="1315"/>
      <c r="HH10" s="1032"/>
      <c r="HI10" s="403"/>
      <c r="HJ10" s="1315"/>
      <c r="HK10" s="1032"/>
      <c r="HL10" s="403"/>
      <c r="HM10" s="1315"/>
      <c r="HN10" s="1032"/>
      <c r="HO10" s="403"/>
      <c r="HP10" s="1315"/>
      <c r="HQ10" s="1032"/>
      <c r="HR10" s="403"/>
      <c r="HS10" s="1315"/>
      <c r="HT10" s="1316"/>
      <c r="HU10" s="600"/>
      <c r="HV10" s="1032"/>
      <c r="HW10" s="403"/>
      <c r="HX10" s="1315"/>
      <c r="HY10" s="1032"/>
      <c r="HZ10" s="403"/>
      <c r="IA10" s="1315"/>
      <c r="IB10" s="1032"/>
      <c r="IC10" s="403"/>
      <c r="ID10" s="1315"/>
      <c r="IE10" s="1032"/>
      <c r="IF10" s="403"/>
      <c r="IG10" s="1315"/>
      <c r="IH10" s="1032"/>
      <c r="II10" s="403"/>
      <c r="IJ10" s="1315"/>
      <c r="IK10" s="1316"/>
      <c r="IL10" s="600"/>
      <c r="IM10" s="1032"/>
      <c r="IN10" s="403"/>
      <c r="IO10" s="1315"/>
      <c r="IP10" s="1032"/>
      <c r="IQ10" s="403"/>
      <c r="IR10" s="1315"/>
      <c r="IS10" s="1032"/>
      <c r="IT10" s="403"/>
      <c r="IU10" s="1315"/>
      <c r="IV10" s="1032"/>
      <c r="IW10" s="403"/>
      <c r="IX10" s="1315"/>
      <c r="IY10" s="1032"/>
      <c r="IZ10" s="403"/>
      <c r="JA10" s="1315"/>
      <c r="JB10" s="1316"/>
      <c r="JC10" s="600"/>
      <c r="JD10" s="1032"/>
      <c r="JE10" s="403"/>
      <c r="JF10" s="1315"/>
      <c r="JG10" s="1032"/>
      <c r="JH10" s="403"/>
      <c r="JI10" s="1315"/>
      <c r="JJ10" s="1032"/>
      <c r="JK10" s="403"/>
      <c r="JL10" s="1315"/>
      <c r="JM10" s="1032"/>
      <c r="JN10" s="403"/>
      <c r="JO10" s="1315"/>
      <c r="JP10" s="1032"/>
      <c r="JQ10" s="403"/>
      <c r="JR10" s="1315"/>
      <c r="JS10" s="1316"/>
      <c r="JT10" s="600"/>
      <c r="JU10" s="592">
        <f>COUNTIFS(STATUS!$Q:$Q,ДЕЛА!$A10,STATUS!$D:$D,ДЕЛА!JU$1,STATUS!$S:$S,"Согласовано")</f>
        <v>0</v>
      </c>
      <c r="JV10" s="306">
        <f>COUNTIFS(STATUS!$Q:$Q,ДЕЛА!$A10,STATUS!$D:$D,ДЕЛА!JU$1)</f>
        <v>0</v>
      </c>
      <c r="JW10" s="589">
        <f t="shared" ref="JW10:JW11" si="418">IFERROR(JU10/JV10,1)</f>
        <v>1</v>
      </c>
      <c r="JX10" s="592">
        <f>COUNTIFS(STATUS!$Q:$Q,ДЕЛА!$A10,STATUS!$D:$D,ДЕЛА!JX$1,STATUS!$S:$S,"Согласовано")</f>
        <v>0</v>
      </c>
      <c r="JY10" s="306">
        <f>COUNTIFS(STATUS!$Q:$Q,ДЕЛА!$A10,STATUS!$D:$D,ДЕЛА!JX$1)</f>
        <v>0</v>
      </c>
      <c r="JZ10" s="589">
        <f t="shared" ref="JZ10:JZ11" si="419">IFERROR(JX10/JY10,1)</f>
        <v>1</v>
      </c>
      <c r="KA10" s="592">
        <f>COUNTIFS(STATUS!$Q:$Q,ДЕЛА!$A10,STATUS!$D:$D,ДЕЛА!KA$1,STATUS!$S:$S,"Согласовано")</f>
        <v>0</v>
      </c>
      <c r="KB10" s="306">
        <f>COUNTIFS(STATUS!$Q:$Q,ДЕЛА!$A10,STATUS!$D:$D,ДЕЛА!KA$1)</f>
        <v>0</v>
      </c>
      <c r="KC10" s="589">
        <f t="shared" ref="KC10:KC11" si="420">IFERROR(KA10/KB10,1)</f>
        <v>1</v>
      </c>
      <c r="KD10" s="592">
        <f>COUNTIFS(STATUS!$Q:$Q,ДЕЛА!$A10,STATUS!$D:$D,ДЕЛА!KD$1,STATUS!$S:$S,"Согласовано")</f>
        <v>0</v>
      </c>
      <c r="KE10" s="306">
        <f>COUNTIFS(STATUS!$Q:$Q,ДЕЛА!$A10,STATUS!$D:$D,ДЕЛА!KD$1)</f>
        <v>0</v>
      </c>
      <c r="KF10" s="589">
        <f t="shared" ref="KF10:KF11" si="421">IFERROR(KD10/KE10,1)</f>
        <v>1</v>
      </c>
      <c r="KG10" s="592">
        <f>COUNTIFS(STATUS!$Q:$Q,ДЕЛА!$A10,STATUS!$D:$D,ДЕЛА!KG$1,STATUS!$S:$S,"Согласовано")</f>
        <v>0</v>
      </c>
      <c r="KH10" s="306">
        <f>COUNTIFS(STATUS!$Q:$Q,ДЕЛА!$A10,STATUS!$D:$D,ДЕЛА!KG$1)</f>
        <v>0</v>
      </c>
      <c r="KI10" s="589">
        <f t="shared" ref="KI10:KI11" si="422">IFERROR(KG10/KH10,1)</f>
        <v>1</v>
      </c>
      <c r="KJ10" s="808">
        <f t="shared" ref="KJ10:KJ11" si="423">SUM(JV10,JY10,KB10,KE10,KH10)</f>
        <v>0</v>
      </c>
      <c r="KK10" s="600">
        <f t="shared" ref="KK10:KK11" si="424">SUM(JV10,JY10,KB10,KE10,KH10)-SUM(JU10,JX10,KA10,KD10,KG10)</f>
        <v>0</v>
      </c>
      <c r="KL10" s="592">
        <f>COUNTIFS(STATUS!$Q:$Q,ДЕЛА!$A10,STATUS!$D:$D,ДЕЛА!KL$1,STATUS!$S:$S,"Согласовано")</f>
        <v>0</v>
      </c>
      <c r="KM10" s="306">
        <f>COUNTIFS(STATUS!$Q:$Q,ДЕЛА!$A10,STATUS!$D:$D,ДЕЛА!KL$1)</f>
        <v>0</v>
      </c>
      <c r="KN10" s="589">
        <f t="shared" ref="KN10:KN11" si="425">IFERROR(KL10/KM10,1)</f>
        <v>1</v>
      </c>
      <c r="KO10" s="592">
        <f>COUNTIFS(STATUS!$Q:$Q,ДЕЛА!$A10,STATUS!$D:$D,ДЕЛА!KO$1,STATUS!$S:$S,"Согласовано")</f>
        <v>0</v>
      </c>
      <c r="KP10" s="306">
        <f>COUNTIFS(STATUS!$Q:$Q,ДЕЛА!$A10,STATUS!$D:$D,ДЕЛА!KO$1)</f>
        <v>0</v>
      </c>
      <c r="KQ10" s="589">
        <f t="shared" ref="KQ10:KQ11" si="426">IFERROR(KO10/KP10,1)</f>
        <v>1</v>
      </c>
      <c r="KR10" s="592">
        <f>COUNTIFS(STATUS!$Q:$Q,ДЕЛА!$A10,STATUS!$D:$D,ДЕЛА!KR$1,STATUS!$S:$S,"Согласовано")</f>
        <v>0</v>
      </c>
      <c r="KS10" s="306">
        <f>COUNTIFS(STATUS!$Q:$Q,ДЕЛА!$A10,STATUS!$D:$D,ДЕЛА!KR$1)</f>
        <v>0</v>
      </c>
      <c r="KT10" s="589">
        <f t="shared" ref="KT10:KT11" si="427">IFERROR(KR10/KS10,1)</f>
        <v>1</v>
      </c>
      <c r="KU10" s="592">
        <f>COUNTIFS(STATUS!$Q:$Q,ДЕЛА!$A10,STATUS!$D:$D,ДЕЛА!KU$1,STATUS!$S:$S,"Согласовано")</f>
        <v>0</v>
      </c>
      <c r="KV10" s="306">
        <f>COUNTIFS(STATUS!$Q:$Q,ДЕЛА!$A10,STATUS!$D:$D,ДЕЛА!KU$1)</f>
        <v>0</v>
      </c>
      <c r="KW10" s="589">
        <f t="shared" ref="KW10:KW11" si="428">IFERROR(KU10/KV10,1)</f>
        <v>1</v>
      </c>
      <c r="KX10" s="592">
        <f>COUNTIFS(STATUS!$Q:$Q,ДЕЛА!$A10,STATUS!$D:$D,ДЕЛА!KX$1,STATUS!$S:$S,"Согласовано")</f>
        <v>0</v>
      </c>
      <c r="KY10" s="306">
        <f>COUNTIFS(STATUS!$Q:$Q,ДЕЛА!$A10,STATUS!$D:$D,ДЕЛА!KX$1)</f>
        <v>0</v>
      </c>
      <c r="KZ10" s="589">
        <f t="shared" ref="KZ10:KZ11" si="429">IFERROR(KX10/KY10,1)</f>
        <v>1</v>
      </c>
      <c r="LA10" s="808">
        <f t="shared" ref="LA10:LA11" si="430">SUM(KM10,KP10,KS10,KV10,KY10)</f>
        <v>0</v>
      </c>
      <c r="LB10" s="600">
        <f t="shared" ref="LB10:LB11" si="431">SUM(KM10,KP10,KS10,KV10,KY10)-SUM(KL10,KO10,KR10,KU10,KX10)</f>
        <v>0</v>
      </c>
      <c r="LC10" s="592">
        <f>COUNTIFS(STATUS!$Q:$Q,ДЕЛА!$A10,STATUS!$D:$D,ДЕЛА!LC$1,STATUS!$S:$S,"Согласовано")</f>
        <v>0</v>
      </c>
      <c r="LD10" s="306">
        <f>COUNTIFS(STATUS!$Q:$Q,ДЕЛА!$A10,STATUS!$D:$D,ДЕЛА!LC$1)</f>
        <v>0</v>
      </c>
      <c r="LE10" s="589">
        <f t="shared" ref="LE10:LE11" si="432">IFERROR(LC10/LD10,1)</f>
        <v>1</v>
      </c>
      <c r="LF10" s="592">
        <f>COUNTIFS(STATUS!$Q:$Q,ДЕЛА!$A10,STATUS!$D:$D,ДЕЛА!LF$1,STATUS!$S:$S,"Согласовано")</f>
        <v>0</v>
      </c>
      <c r="LG10" s="306">
        <f>COUNTIFS(STATUS!$Q:$Q,ДЕЛА!$A10,STATUS!$D:$D,ДЕЛА!LF$1)</f>
        <v>0</v>
      </c>
      <c r="LH10" s="589">
        <f t="shared" ref="LH10:LH11" si="433">IFERROR(LF10/LG10,1)</f>
        <v>1</v>
      </c>
      <c r="LI10" s="592">
        <f>COUNTIFS(STATUS!$Q:$Q,ДЕЛА!$A10,STATUS!$D:$D,ДЕЛА!LI$1,STATUS!$S:$S,"Согласовано")</f>
        <v>0</v>
      </c>
      <c r="LJ10" s="306">
        <f>COUNTIFS(STATUS!$Q:$Q,ДЕЛА!$A10,STATUS!$D:$D,ДЕЛА!LI$1)</f>
        <v>0</v>
      </c>
      <c r="LK10" s="589">
        <f t="shared" ref="LK10:LK11" si="434">IFERROR(LI10/LJ10,1)</f>
        <v>1</v>
      </c>
      <c r="LL10" s="592">
        <f>COUNTIFS(STATUS!$Q:$Q,ДЕЛА!$A10,STATUS!$D:$D,ДЕЛА!LL$1,STATUS!$S:$S,"Согласовано")</f>
        <v>0</v>
      </c>
      <c r="LM10" s="306">
        <f>COUNTIFS(STATUS!$Q:$Q,ДЕЛА!$A10,STATUS!$D:$D,ДЕЛА!LL$1)</f>
        <v>0</v>
      </c>
      <c r="LN10" s="589">
        <f t="shared" ref="LN10:LN11" si="435">IFERROR(LL10/LM10,1)</f>
        <v>1</v>
      </c>
      <c r="LO10" s="592">
        <f>COUNTIFS(STATUS!$Q:$Q,ДЕЛА!$A10,STATUS!$D:$D,ДЕЛА!LO$1,STATUS!$S:$S,"Согласовано")</f>
        <v>0</v>
      </c>
      <c r="LP10" s="306">
        <f>COUNTIFS(STATUS!$Q:$Q,ДЕЛА!$A10,STATUS!$D:$D,ДЕЛА!LO$1)</f>
        <v>0</v>
      </c>
      <c r="LQ10" s="589">
        <f t="shared" ref="LQ10:LQ11" si="436">IFERROR(LO10/LP10,1)</f>
        <v>1</v>
      </c>
      <c r="LR10" s="808">
        <f t="shared" ref="LR10:LR11" si="437">SUM(LD10,LG10,LJ10,LM10,LP10)</f>
        <v>0</v>
      </c>
      <c r="LS10" s="600">
        <f t="shared" ref="LS10:LS11" si="438">SUM(LD10,LG10,LJ10,LM10,LP10)-SUM(LC10,LF10,LI10,LL10,LO10)</f>
        <v>0</v>
      </c>
      <c r="LT10" s="592">
        <f>COUNTIFS(STATUS!$Q:$Q,ДЕЛА!$A10,STATUS!$D:$D,ДЕЛА!LT$1,STATUS!$S:$S,"Согласовано")</f>
        <v>0</v>
      </c>
      <c r="LU10" s="306">
        <f>COUNTIFS(STATUS!$Q:$Q,ДЕЛА!$A10,STATUS!$D:$D,ДЕЛА!LT$1)</f>
        <v>0</v>
      </c>
      <c r="LV10" s="589">
        <f t="shared" ref="LV10:LV11" si="439">IFERROR(LT10/LU10,1)</f>
        <v>1</v>
      </c>
      <c r="LW10" s="592">
        <f>COUNTIFS(STATUS!$Q:$Q,ДЕЛА!$A10,STATUS!$D:$D,ДЕЛА!LW$1,STATUS!$S:$S,"Согласовано")</f>
        <v>0</v>
      </c>
      <c r="LX10" s="306">
        <f>COUNTIFS(STATUS!$Q:$Q,ДЕЛА!$A10,STATUS!$D:$D,ДЕЛА!LW$1)</f>
        <v>0</v>
      </c>
      <c r="LY10" s="589">
        <f t="shared" ref="LY10:LY11" si="440">IFERROR(LW10/LX10,1)</f>
        <v>1</v>
      </c>
      <c r="LZ10" s="592">
        <f>COUNTIFS(STATUS!$Q:$Q,ДЕЛА!$A10,STATUS!$D:$D,ДЕЛА!LZ$1,STATUS!$S:$S,"Согласовано")</f>
        <v>0</v>
      </c>
      <c r="MA10" s="306">
        <f>COUNTIFS(STATUS!$Q:$Q,ДЕЛА!$A10,STATUS!$D:$D,ДЕЛА!LZ$1)</f>
        <v>0</v>
      </c>
      <c r="MB10" s="589">
        <f t="shared" ref="MB10:MB11" si="441">IFERROR(LZ10/MA10,1)</f>
        <v>1</v>
      </c>
      <c r="MC10" s="592">
        <f>COUNTIFS(STATUS!$Q:$Q,ДЕЛА!$A10,STATUS!$D:$D,ДЕЛА!MC$1,STATUS!$S:$S,"Согласовано")</f>
        <v>0</v>
      </c>
      <c r="MD10" s="306">
        <f>COUNTIFS(STATUS!$Q:$Q,ДЕЛА!$A10,STATUS!$D:$D,ДЕЛА!MC$1)</f>
        <v>0</v>
      </c>
      <c r="ME10" s="589">
        <f t="shared" ref="ME10:ME11" si="442">IFERROR(MC10/MD10,1)</f>
        <v>1</v>
      </c>
      <c r="MF10" s="592">
        <f>COUNTIFS(STATUS!$Q:$Q,ДЕЛА!$A10,STATUS!$D:$D,ДЕЛА!MF$1,STATUS!$S:$S,"Согласовано")</f>
        <v>0</v>
      </c>
      <c r="MG10" s="306">
        <f>COUNTIFS(STATUS!$Q:$Q,ДЕЛА!$A10,STATUS!$D:$D,ДЕЛА!MF$1)</f>
        <v>0</v>
      </c>
      <c r="MH10" s="589">
        <f t="shared" ref="MH10:MH11" si="443">IFERROR(MF10/MG10,1)</f>
        <v>1</v>
      </c>
      <c r="MI10" s="808">
        <f t="shared" ref="MI10:MI11" si="444">SUM(LU10,LX10,MA10,MD10,MG10)</f>
        <v>0</v>
      </c>
      <c r="MJ10" s="600">
        <f t="shared" ref="MJ10:MJ11" si="445">SUM(LU10,LX10,MA10,MD10,MG10)-SUM(LT10,LW10,LZ10,MC10,MF10)</f>
        <v>0</v>
      </c>
      <c r="MK10" s="592">
        <f>COUNTIFS(STATUS!$Q:$Q,ДЕЛА!$A10,STATUS!$D:$D,ДЕЛА!MK$1,STATUS!$S:$S,"Согласовано")</f>
        <v>0</v>
      </c>
      <c r="ML10" s="306">
        <f>COUNTIFS(STATUS!$Q:$Q,ДЕЛА!$A10,STATUS!$D:$D,ДЕЛА!MK$1)</f>
        <v>0</v>
      </c>
      <c r="MM10" s="589">
        <f t="shared" ref="MM10:MM11" si="446">IFERROR(MK10/ML10,1)</f>
        <v>1</v>
      </c>
      <c r="MN10" s="592">
        <f>COUNTIFS(STATUS!$Q:$Q,ДЕЛА!$A10,STATUS!$D:$D,ДЕЛА!MN$1,STATUS!$S:$S,"Согласовано")</f>
        <v>0</v>
      </c>
      <c r="MO10" s="306">
        <f>COUNTIFS(STATUS!$Q:$Q,ДЕЛА!$A10,STATUS!$D:$D,ДЕЛА!MN$1)</f>
        <v>0</v>
      </c>
      <c r="MP10" s="589">
        <f t="shared" ref="MP10:MP11" si="447">IFERROR(MN10/MO10,1)</f>
        <v>1</v>
      </c>
      <c r="MQ10" s="592">
        <f>COUNTIFS(STATUS!$Q:$Q,ДЕЛА!$A10,STATUS!$D:$D,ДЕЛА!MQ$1,STATUS!$S:$S,"Согласовано")</f>
        <v>0</v>
      </c>
      <c r="MR10" s="306">
        <f>COUNTIFS(STATUS!$Q:$Q,ДЕЛА!$A10,STATUS!$D:$D,ДЕЛА!MQ$1)</f>
        <v>0</v>
      </c>
      <c r="MS10" s="589">
        <f t="shared" ref="MS10:MS11" si="448">IFERROR(MQ10/MR10,1)</f>
        <v>1</v>
      </c>
      <c r="MT10" s="592">
        <f>COUNTIFS(STATUS!$Q:$Q,ДЕЛА!$A10,STATUS!$D:$D,ДЕЛА!MT$1,STATUS!$S:$S,"Согласовано")</f>
        <v>0</v>
      </c>
      <c r="MU10" s="306">
        <f>COUNTIFS(STATUS!$Q:$Q,ДЕЛА!$A10,STATUS!$D:$D,ДЕЛА!MT$1)</f>
        <v>0</v>
      </c>
      <c r="MV10" s="589">
        <f t="shared" ref="MV10:MV11" si="449">IFERROR(MT10/MU10,1)</f>
        <v>1</v>
      </c>
      <c r="MW10" s="592">
        <f>COUNTIFS(STATUS!$Q:$Q,ДЕЛА!$A10,STATUS!$D:$D,ДЕЛА!MW$1,STATUS!$S:$S,"Согласовано")</f>
        <v>0</v>
      </c>
      <c r="MX10" s="306">
        <f>COUNTIFS(STATUS!$Q:$Q,ДЕЛА!$A10,STATUS!$D:$D,ДЕЛА!MW$1)</f>
        <v>0</v>
      </c>
      <c r="MY10" s="589">
        <f t="shared" ref="MY10:MY11" si="450">IFERROR(MW10/MX10,1)</f>
        <v>1</v>
      </c>
      <c r="MZ10" s="808">
        <f t="shared" ref="MZ10:MZ11" si="451">SUM(ML10,MO10,MR10,MU10,MX10)</f>
        <v>0</v>
      </c>
      <c r="NA10" s="600">
        <f t="shared" ref="NA10:NA11" si="452">SUM(ML10,MO10,MR10,MU10,MX10)-SUM(MK10,MN10,MQ10,MT10,MW10)</f>
        <v>0</v>
      </c>
      <c r="NB10" s="592">
        <f>COUNTIFS(STATUS!$Q:$Q,ДЕЛА!$A10,STATUS!$D:$D,ДЕЛА!NB$1,STATUS!$S:$S,"Согласовано")</f>
        <v>0</v>
      </c>
      <c r="NC10" s="306">
        <f>COUNTIFS(STATUS!$Q:$Q,ДЕЛА!$A10,STATUS!$D:$D,ДЕЛА!NB$1)</f>
        <v>0</v>
      </c>
      <c r="ND10" s="589">
        <f t="shared" ref="ND10:ND11" si="453">IFERROR(NB10/NC10,1)</f>
        <v>1</v>
      </c>
      <c r="NE10" s="592">
        <f>COUNTIFS(STATUS!$Q:$Q,ДЕЛА!$A10,STATUS!$D:$D,ДЕЛА!NE$1,STATUS!$S:$S,"Согласовано")</f>
        <v>0</v>
      </c>
      <c r="NF10" s="306">
        <f>COUNTIFS(STATUS!$Q:$Q,ДЕЛА!$A10,STATUS!$D:$D,ДЕЛА!NE$1)</f>
        <v>0</v>
      </c>
      <c r="NG10" s="589">
        <f t="shared" ref="NG10:NG11" si="454">IFERROR(NE10/NF10,1)</f>
        <v>1</v>
      </c>
      <c r="NH10" s="592">
        <f>COUNTIFS(STATUS!$Q:$Q,ДЕЛА!$A10,STATUS!$D:$D,ДЕЛА!NH$1,STATUS!$S:$S,"Согласовано")</f>
        <v>0</v>
      </c>
      <c r="NI10" s="306">
        <f>COUNTIFS(STATUS!$Q:$Q,ДЕЛА!$A10,STATUS!$D:$D,ДЕЛА!NH$1)</f>
        <v>0</v>
      </c>
      <c r="NJ10" s="589">
        <f t="shared" ref="NJ10:NJ11" si="455">IFERROR(NH10/NI10,1)</f>
        <v>1</v>
      </c>
      <c r="NK10" s="592">
        <f>COUNTIFS(STATUS!$Q:$Q,ДЕЛА!$A10,STATUS!$D:$D,ДЕЛА!NK$1,STATUS!$S:$S,"Согласовано")</f>
        <v>0</v>
      </c>
      <c r="NL10" s="306">
        <f>COUNTIFS(STATUS!$Q:$Q,ДЕЛА!$A10,STATUS!$D:$D,ДЕЛА!NK$1)</f>
        <v>0</v>
      </c>
      <c r="NM10" s="589">
        <f t="shared" ref="NM10:NM11" si="456">IFERROR(NK10/NL10,1)</f>
        <v>1</v>
      </c>
      <c r="NN10" s="592">
        <f>COUNTIFS(STATUS!$Q:$Q,ДЕЛА!$A10,STATUS!$D:$D,ДЕЛА!NN$1,STATUS!$S:$S,"Согласовано")</f>
        <v>0</v>
      </c>
      <c r="NO10" s="306">
        <f>COUNTIFS(STATUS!$Q:$Q,ДЕЛА!$A10,STATUS!$D:$D,ДЕЛА!NN$1)</f>
        <v>0</v>
      </c>
      <c r="NP10" s="589">
        <f t="shared" ref="NP10:NP11" si="457">IFERROR(NN10/NO10,1)</f>
        <v>1</v>
      </c>
      <c r="NQ10" s="808">
        <f t="shared" ref="NQ10:NQ11" si="458">SUM(NC10,NF10,NI10,NL10,NO10)</f>
        <v>0</v>
      </c>
      <c r="NR10" s="600">
        <f t="shared" ref="NR10:NR11" si="459">SUM(NC10,NF10,NI10,NL10,NO10)-SUM(NB10,NE10,NH10,NK10,NN10)</f>
        <v>0</v>
      </c>
      <c r="NS10" s="592">
        <f>COUNTIFS(STATUS!$Q:$Q,ДЕЛА!$A10,STATUS!$D:$D,ДЕЛА!NS$1,STATUS!$S:$S,"Согласовано")</f>
        <v>0</v>
      </c>
      <c r="NT10" s="306">
        <f>COUNTIFS(STATUS!$Q:$Q,ДЕЛА!$A10,STATUS!$D:$D,ДЕЛА!NS$1)</f>
        <v>0</v>
      </c>
      <c r="NU10" s="589">
        <f t="shared" ref="NU10:NU11" si="460">IFERROR(NS10/NT10,1)</f>
        <v>1</v>
      </c>
      <c r="NV10" s="592">
        <f>COUNTIFS(STATUS!$Q:$Q,ДЕЛА!$A10,STATUS!$D:$D,ДЕЛА!NV$1,STATUS!$S:$S,"Согласовано")</f>
        <v>0</v>
      </c>
      <c r="NW10" s="306">
        <f>COUNTIFS(STATUS!$Q:$Q,ДЕЛА!$A10,STATUS!$D:$D,ДЕЛА!NV$1)</f>
        <v>0</v>
      </c>
      <c r="NX10" s="589">
        <f t="shared" ref="NX10:NX11" si="461">IFERROR(NV10/NW10,1)</f>
        <v>1</v>
      </c>
      <c r="NY10" s="592">
        <f>COUNTIFS(STATUS!$Q:$Q,ДЕЛА!$A10,STATUS!$D:$D,ДЕЛА!NY$1,STATUS!$S:$S,"Согласовано")</f>
        <v>0</v>
      </c>
      <c r="NZ10" s="306">
        <f>COUNTIFS(STATUS!$Q:$Q,ДЕЛА!$A10,STATUS!$D:$D,ДЕЛА!NY$1)</f>
        <v>0</v>
      </c>
      <c r="OA10" s="589">
        <f t="shared" ref="OA10:OA11" si="462">IFERROR(NY10/NZ10,1)</f>
        <v>1</v>
      </c>
      <c r="OB10" s="592">
        <f>COUNTIFS(STATUS!$Q:$Q,ДЕЛА!$A10,STATUS!$D:$D,ДЕЛА!OB$1,STATUS!$S:$S,"Согласовано")</f>
        <v>0</v>
      </c>
      <c r="OC10" s="306">
        <f>COUNTIFS(STATUS!$Q:$Q,ДЕЛА!$A10,STATUS!$D:$D,ДЕЛА!OB$1)</f>
        <v>0</v>
      </c>
      <c r="OD10" s="589">
        <f t="shared" ref="OD10:OD11" si="463">IFERROR(OB10/OC10,1)</f>
        <v>1</v>
      </c>
      <c r="OE10" s="592">
        <f>COUNTIFS(STATUS!$Q:$Q,ДЕЛА!$A10,STATUS!$D:$D,ДЕЛА!OE$1,STATUS!$S:$S,"Согласовано")</f>
        <v>0</v>
      </c>
      <c r="OF10" s="306">
        <f>COUNTIFS(STATUS!$Q:$Q,ДЕЛА!$A10,STATUS!$D:$D,ДЕЛА!OE$1)</f>
        <v>0</v>
      </c>
      <c r="OG10" s="589">
        <f t="shared" ref="OG10:OG11" si="464">IFERROR(OE10/OF10,1)</f>
        <v>1</v>
      </c>
      <c r="OH10" s="808">
        <f>SUM(NT10,NW10,NZ10,OC10,OF10)</f>
        <v>0</v>
      </c>
      <c r="OI10" s="600">
        <f>SUM(NT10,NW10,NZ10,OC10,OF10)-SUM(NS10,NV10,NY10,OB10,OE10)</f>
        <v>0</v>
      </c>
      <c r="OJ10" s="592">
        <f>COUNTIFS(STATUS!$Q:$Q,ДЕЛА!$A10,STATUS!$D:$D,ДЕЛА!OJ$1,STATUS!$S:$S,"Согласовано")</f>
        <v>0</v>
      </c>
      <c r="OK10" s="306">
        <f>COUNTIFS(STATUS!$Q:$Q,ДЕЛА!$A10,STATUS!$D:$D,ДЕЛА!OJ$1)</f>
        <v>0</v>
      </c>
      <c r="OL10" s="589">
        <f>IFERROR(OJ10/OK10,1)</f>
        <v>1</v>
      </c>
      <c r="OM10" s="592">
        <f>COUNTIFS(STATUS!$Q:$Q,ДЕЛА!$A10,STATUS!$D:$D,ДЕЛА!OM$1,STATUS!$S:$S,"Согласовано")</f>
        <v>0</v>
      </c>
      <c r="ON10" s="306">
        <f>COUNTIFS(STATUS!$Q:$Q,ДЕЛА!$A10,STATUS!$D:$D,ДЕЛА!OM$1)</f>
        <v>0</v>
      </c>
      <c r="OO10" s="589">
        <f t="shared" ref="OO10" si="465">IFERROR(OM10/ON10,1)</f>
        <v>1</v>
      </c>
      <c r="OP10" s="592">
        <f>COUNTIFS(STATUS!$Q:$Q,ДЕЛА!$A10,STATUS!$D:$D,ДЕЛА!OP$1,STATUS!$S:$S,"Согласовано")</f>
        <v>0</v>
      </c>
      <c r="OQ10" s="306">
        <f>COUNTIFS(STATUS!$Q:$Q,ДЕЛА!$A10,STATUS!$D:$D,ДЕЛА!OP$1)</f>
        <v>0</v>
      </c>
      <c r="OR10" s="589">
        <f t="shared" ref="OR10" si="466">IFERROR(OP10/OQ10,1)</f>
        <v>1</v>
      </c>
      <c r="OS10" s="592">
        <f>COUNTIFS(STATUS!$Q:$Q,ДЕЛА!$A10,STATUS!$D:$D,ДЕЛА!OS$1,STATUS!$S:$S,"Согласовано")</f>
        <v>0</v>
      </c>
      <c r="OT10" s="306">
        <f>COUNTIFS(STATUS!$Q:$Q,ДЕЛА!$A10,STATUS!$D:$D,ДЕЛА!OS$1)</f>
        <v>0</v>
      </c>
      <c r="OU10" s="589">
        <f t="shared" ref="OU10" si="467">IFERROR(OS10/OT10,1)</f>
        <v>1</v>
      </c>
      <c r="OV10" s="592">
        <f>COUNTIFS(STATUS!$Q:$Q,ДЕЛА!$A10,STATUS!$D:$D,ДЕЛА!OV$1,STATUS!$S:$S,"Согласовано")</f>
        <v>0</v>
      </c>
      <c r="OW10" s="306">
        <f>COUNTIFS(STATUS!$Q:$Q,ДЕЛА!$A10,STATUS!$D:$D,ДЕЛА!OV$1)</f>
        <v>0</v>
      </c>
      <c r="OX10" s="589">
        <f t="shared" ref="OX10" si="468">IFERROR(OV10/OW10,1)</f>
        <v>1</v>
      </c>
      <c r="OY10" s="808">
        <f>SUM(OK10,ON10,OQ10,OT10,OW10)</f>
        <v>0</v>
      </c>
      <c r="OZ10" s="600">
        <f>SUM(OK10,ON10,OQ10,OT10,OW10)-SUM(OJ10,OM10,OP10,OS10,OV10)</f>
        <v>0</v>
      </c>
      <c r="PA10" s="592">
        <f>COUNTIFS(STATUS!$Q:$Q,ДЕЛА!$A10,STATUS!$D:$D,ДЕЛА!PA$1,STATUS!$S:$S,"Согласовано")</f>
        <v>6</v>
      </c>
      <c r="PB10" s="306">
        <f>COUNTIFS(STATUS!$Q:$Q,ДЕЛА!$A10,STATUS!$D:$D,ДЕЛА!PA$1)</f>
        <v>6</v>
      </c>
      <c r="PC10" s="589">
        <f>IFERROR(PA10/PB10,1)</f>
        <v>1</v>
      </c>
      <c r="PD10" s="592">
        <f>COUNTIFS(STATUS!$Q:$Q,ДЕЛА!$A10,STATUS!$D:$D,ДЕЛА!PD$1,STATUS!$S:$S,"Согласовано")</f>
        <v>2</v>
      </c>
      <c r="PE10" s="306">
        <f>COUNTIFS(STATUS!$Q:$Q,ДЕЛА!$A10,STATUS!$D:$D,ДЕЛА!PD$1)</f>
        <v>2</v>
      </c>
      <c r="PF10" s="589">
        <f t="shared" ref="PF10" si="469">IFERROR(PD10/PE10,1)</f>
        <v>1</v>
      </c>
      <c r="PG10" s="592">
        <f>COUNTIFS(STATUS!$Q:$Q,ДЕЛА!$A10,STATUS!$D:$D,ДЕЛА!PG$1,STATUS!$S:$S,"Согласовано")</f>
        <v>0</v>
      </c>
      <c r="PH10" s="306">
        <f>COUNTIFS(STATUS!$Q:$Q,ДЕЛА!$A10,STATUS!$D:$D,ДЕЛА!PG$1)</f>
        <v>0</v>
      </c>
      <c r="PI10" s="589">
        <f t="shared" ref="PI10" si="470">IFERROR(PG10/PH10,1)</f>
        <v>1</v>
      </c>
      <c r="PJ10" s="592">
        <f>COUNTIFS(STATUS!$Q:$Q,ДЕЛА!$A10,STATUS!$D:$D,ДЕЛА!PJ$1,STATUS!$S:$S,"Согласовано")</f>
        <v>6</v>
      </c>
      <c r="PK10" s="306">
        <f>COUNTIFS(STATUS!$Q:$Q,ДЕЛА!$A10,STATUS!$D:$D,ДЕЛА!PJ$1)</f>
        <v>6</v>
      </c>
      <c r="PL10" s="589">
        <f t="shared" ref="PL10" si="471">IFERROR(PJ10/PK10,1)</f>
        <v>1</v>
      </c>
      <c r="PM10" s="592">
        <f>COUNTIFS(STATUS!$Q:$Q,ДЕЛА!$A10,STATUS!$D:$D,ДЕЛА!PM$1,STATUS!$S:$S,"Согласовано")</f>
        <v>5</v>
      </c>
      <c r="PN10" s="306">
        <f>COUNTIFS(STATUS!$Q:$Q,ДЕЛА!$A10,STATUS!$D:$D,ДЕЛА!PM$1)</f>
        <v>5</v>
      </c>
      <c r="PO10" s="589">
        <f t="shared" ref="PO10" si="472">IFERROR(PM10/PN10,1)</f>
        <v>1</v>
      </c>
      <c r="PP10" s="808">
        <f>SUM(PB10,PE10,PH10,PK10,PN10)</f>
        <v>19</v>
      </c>
      <c r="PQ10" s="600">
        <f>SUM(PB10,PE10,PH10,PK10,PN10)-SUM(PA10,PD10,PG10,PJ10,PM10)</f>
        <v>0</v>
      </c>
      <c r="PR10" s="592">
        <f>COUNTIFS(STATUS!$Q:$Q,ДЕЛА!$A10,STATUS!$D:$D,ДЕЛА!PR$1,STATUS!$S:$S,"Согласовано")</f>
        <v>3</v>
      </c>
      <c r="PS10" s="306">
        <f>COUNTIFS(STATUS!$Q:$Q,ДЕЛА!$A10,STATUS!$D:$D,ДЕЛА!PR$1)</f>
        <v>3</v>
      </c>
      <c r="PT10" s="589">
        <f>IFERROR(PR10/PS10,1)</f>
        <v>1</v>
      </c>
      <c r="PU10" s="592">
        <f>COUNTIFS(STATUS!$Q:$Q,ДЕЛА!$A10,STATUS!$D:$D,ДЕЛА!PU$1,STATUS!$S:$S,"Согласовано")</f>
        <v>4</v>
      </c>
      <c r="PV10" s="306">
        <f>COUNTIFS(STATUS!$Q:$Q,ДЕЛА!$A10,STATUS!$D:$D,ДЕЛА!PU$1)</f>
        <v>4</v>
      </c>
      <c r="PW10" s="589">
        <f t="shared" si="412"/>
        <v>1</v>
      </c>
      <c r="PX10" s="592">
        <f>COUNTIFS(STATUS!$Q:$Q,ДЕЛА!$A10,STATUS!$D:$D,ДЕЛА!PX$1,STATUS!$S:$S,"Согласовано")</f>
        <v>3</v>
      </c>
      <c r="PY10" s="306">
        <f>COUNTIFS(STATUS!$Q:$Q,ДЕЛА!$A10,STATUS!$D:$D,ДЕЛА!PX$1)</f>
        <v>3</v>
      </c>
      <c r="PZ10" s="589">
        <f t="shared" si="413"/>
        <v>1</v>
      </c>
      <c r="QA10" s="592">
        <f>COUNTIFS(STATUS!$Q:$Q,ДЕЛА!$A10,STATUS!$D:$D,ДЕЛА!QA$1,STATUS!$S:$S,"Согласовано")</f>
        <v>0</v>
      </c>
      <c r="QB10" s="306">
        <f>COUNTIFS(STATUS!$Q:$Q,ДЕЛА!$A10,STATUS!$D:$D,ДЕЛА!QA$1)</f>
        <v>0</v>
      </c>
      <c r="QC10" s="589">
        <f t="shared" si="414"/>
        <v>1</v>
      </c>
      <c r="QD10" s="592">
        <f>COUNTIFS(STATUS!$Q:$Q,ДЕЛА!$A10,STATUS!$D:$D,ДЕЛА!QD$1,STATUS!$S:$S,"Согласовано")</f>
        <v>0</v>
      </c>
      <c r="QE10" s="306">
        <f>COUNTIFS(STATUS!$Q:$Q,ДЕЛА!$A10,STATUS!$D:$D,ДЕЛА!QD$1)</f>
        <v>0</v>
      </c>
      <c r="QF10" s="589">
        <f t="shared" si="415"/>
        <v>1</v>
      </c>
      <c r="QG10" s="808">
        <f>SUM(PS10,PV10,PY10,QB10,QE10)</f>
        <v>10</v>
      </c>
      <c r="QH10" s="600">
        <f>SUM(PS10,PV10,PY10,QB10,QE10)-SUM(PR10,PU10,PX10,QA10,QD10)</f>
        <v>0</v>
      </c>
    </row>
    <row r="11" spans="1:450" x14ac:dyDescent="0.3">
      <c r="A11" s="1320" t="s">
        <v>11580</v>
      </c>
      <c r="B11" s="1321">
        <f>SUMIFS(STATUS!AA:AA,STATUS!Q:Q,A11)</f>
        <v>0.21188657407407419</v>
      </c>
      <c r="C11" s="1321">
        <f>B11/COUNTIFS(STATUS!Q:Q,ДЕЛА!A11,STATUS!AA:AA,"&lt;&gt;0")</f>
        <v>1.3242910879629637E-2</v>
      </c>
      <c r="D11" s="658">
        <f>COUNTIFS(STATUS!$Q:$Q,ДЕЛА!$A11,STATUS!$H:$H,ДЕЛА!D$1)</f>
        <v>15</v>
      </c>
      <c r="E11" s="735">
        <f>D11/$R11</f>
        <v>0.9375</v>
      </c>
      <c r="F11" s="658">
        <f>COUNTIFS(STATUS!$Q:$Q,ДЕЛА!$A11,STATUS!$H:$H,ДЕЛА!F$1)</f>
        <v>1</v>
      </c>
      <c r="G11" s="735">
        <f>F11/$R11</f>
        <v>6.25E-2</v>
      </c>
      <c r="H11" s="658">
        <f>COUNTIFS(STATUS!$Q:$Q,ДЕЛА!$A11,STATUS!$I:$I,ДЕЛА!H$1)</f>
        <v>0</v>
      </c>
      <c r="I11" s="735">
        <f>H11/$R11</f>
        <v>0</v>
      </c>
      <c r="J11" s="658">
        <f>COUNTIFS(STATUS!$Q:$Q,ДЕЛА!$A11,STATUS!$I:$I,ДЕЛА!J$1)</f>
        <v>0</v>
      </c>
      <c r="K11" s="735">
        <f>J11/$R11</f>
        <v>0</v>
      </c>
      <c r="L11" s="658">
        <f>COUNTIFS(STATUS!$Q:$Q,ДЕЛА!$A11,STATUS!$I:$I,ДЕЛА!L$1)</f>
        <v>4</v>
      </c>
      <c r="M11" s="735">
        <f>L11/$R11</f>
        <v>0.25</v>
      </c>
      <c r="N11" s="658">
        <f>COUNTIFS(STATUS!$Q:$Q,ДЕЛА!$A11,STATUS!$I:$I,ДЕЛА!N$1)</f>
        <v>3</v>
      </c>
      <c r="O11" s="735">
        <f>N11/$R11</f>
        <v>0.1875</v>
      </c>
      <c r="P11" s="658">
        <f>COUNTIFS(STATUS!$Q:$Q,ДЕЛА!$A11,STATUS!$S:$S,"На доработку")</f>
        <v>0</v>
      </c>
      <c r="Q11" s="658">
        <f>COUNTIFS(STATUS!Q:Q,ДЕЛА!A11,STATUS!$S:$S,"Согласовано")</f>
        <v>16</v>
      </c>
      <c r="R11" s="658">
        <f>COUNTIFS(STATUS!$Q:$Q,ДЕЛА!$A11)</f>
        <v>16</v>
      </c>
      <c r="S11" s="658">
        <f t="shared" si="308"/>
        <v>0</v>
      </c>
      <c r="T11" s="659">
        <f t="shared" si="309"/>
        <v>1</v>
      </c>
      <c r="U11" s="658">
        <f t="shared" si="310"/>
        <v>0</v>
      </c>
      <c r="V11" s="592">
        <f>COUNTIFS(STATUS!$Q:$Q,ДЕЛА!$A11,STATUS!$D:$D,ДЕЛА!V$1,STATUS!$S:$S,"Согласовано")</f>
        <v>0</v>
      </c>
      <c r="W11" s="306">
        <f>COUNTIFS(STATUS!$Q:$Q,ДЕЛА!$A11,STATUS!$D:$D,ДЕЛА!V$1)</f>
        <v>0</v>
      </c>
      <c r="X11" s="593">
        <f t="shared" si="311"/>
        <v>1</v>
      </c>
      <c r="Y11" s="401">
        <f>COUNTIFS(STATUS!$Q:$Q,ДЕЛА!$A11,STATUS!$D:$D,ДЕЛА!Y$1,STATUS!$S:$S,"Согласовано")</f>
        <v>0</v>
      </c>
      <c r="Z11" s="306">
        <f>COUNTIFS(STATUS!$Q:$Q,ДЕЛА!$A11,STATUS!$D:$D,ДЕЛА!Y$1)</f>
        <v>0</v>
      </c>
      <c r="AA11" s="589">
        <f t="shared" si="312"/>
        <v>1</v>
      </c>
      <c r="AB11" s="592">
        <f>COUNTIFS(STATUS!$Q:$Q,ДЕЛА!$A11,STATUS!$D:$D,ДЕЛА!AB$1,STATUS!$S:$S,"Согласовано")</f>
        <v>0</v>
      </c>
      <c r="AC11" s="306">
        <f>COUNTIFS(STATUS!$Q:$Q,ДЕЛА!$A11,STATUS!$D:$D,ДЕЛА!AB$1)</f>
        <v>0</v>
      </c>
      <c r="AD11" s="593">
        <f t="shared" si="313"/>
        <v>1</v>
      </c>
      <c r="AE11" s="600">
        <f>SUM(W11,Z11,AC11)-SUM(V11,Y11,AB11)</f>
        <v>0</v>
      </c>
      <c r="EO11" s="592">
        <f>COUNTIFS(STATUS!$Q:$Q,ДЕЛА!$A11,STATUS!$D:$D,ДЕЛА!EO$1,STATUS!$S:$S,"Согласовано")</f>
        <v>0</v>
      </c>
      <c r="EP11" s="306">
        <f>COUNTIFS(STATUS!$Q:$Q,ДЕЛА!$A11,STATUS!$D:$D,ДЕЛА!EO$1)</f>
        <v>0</v>
      </c>
      <c r="EQ11" s="589">
        <f t="shared" si="314"/>
        <v>1</v>
      </c>
      <c r="ER11" s="592">
        <f>COUNTIFS(STATUS!$Q:$Q,ДЕЛА!$A11,STATUS!$D:$D,ДЕЛА!ER$1,STATUS!$S:$S,"Согласовано")</f>
        <v>0</v>
      </c>
      <c r="ES11" s="306">
        <f>COUNTIFS(STATUS!$Q:$Q,ДЕЛА!$A11,STATUS!$D:$D,ДЕЛА!ER$1)</f>
        <v>0</v>
      </c>
      <c r="ET11" s="589">
        <f t="shared" si="315"/>
        <v>1</v>
      </c>
      <c r="EU11" s="592">
        <f>COUNTIFS(STATUS!$Q:$Q,ДЕЛА!$A11,STATUS!$D:$D,ДЕЛА!EU$1,STATUS!$S:$S,"Согласовано")</f>
        <v>0</v>
      </c>
      <c r="EV11" s="306">
        <f>COUNTIFS(STATUS!$Q:$Q,ДЕЛА!$A11,STATUS!$D:$D,ДЕЛА!EU$1)</f>
        <v>0</v>
      </c>
      <c r="EW11" s="589">
        <f t="shared" si="316"/>
        <v>1</v>
      </c>
      <c r="EX11" s="592">
        <f>COUNTIFS(STATUS!$Q:$Q,ДЕЛА!$A11,STATUS!$D:$D,ДЕЛА!EX$1,STATUS!$S:$S,"Согласовано")</f>
        <v>0</v>
      </c>
      <c r="EY11" s="306">
        <f>COUNTIFS(STATUS!$Q:$Q,ДЕЛА!$A11,STATUS!$D:$D,ДЕЛА!EX$1)</f>
        <v>0</v>
      </c>
      <c r="EZ11" s="589">
        <f t="shared" si="317"/>
        <v>1</v>
      </c>
      <c r="FA11" s="592">
        <f>COUNTIFS(STATUS!$Q:$Q,ДЕЛА!$A11,STATUS!$D:$D,ДЕЛА!FA$1,STATUS!$S:$S,"Согласовано")</f>
        <v>0</v>
      </c>
      <c r="FB11" s="306">
        <f>COUNTIFS(STATUS!$Q:$Q,ДЕЛА!$A11,STATUS!$D:$D,ДЕЛА!FA$1)</f>
        <v>0</v>
      </c>
      <c r="FC11" s="589">
        <f t="shared" si="318"/>
        <v>1</v>
      </c>
      <c r="FD11" s="808">
        <f t="shared" si="319"/>
        <v>0</v>
      </c>
      <c r="FE11" s="600">
        <f t="shared" si="320"/>
        <v>0</v>
      </c>
      <c r="FF11" s="1032"/>
      <c r="FG11" s="403"/>
      <c r="FH11" s="1315"/>
      <c r="FI11" s="1032"/>
      <c r="FJ11" s="403"/>
      <c r="FK11" s="1315"/>
      <c r="FL11" s="1032"/>
      <c r="FM11" s="403"/>
      <c r="FN11" s="1315"/>
      <c r="FO11" s="1032"/>
      <c r="FP11" s="403"/>
      <c r="FQ11" s="1315"/>
      <c r="FR11" s="1032"/>
      <c r="FS11" s="403"/>
      <c r="FT11" s="1315"/>
      <c r="FU11" s="1316"/>
      <c r="FV11" s="600"/>
      <c r="FW11" s="1032"/>
      <c r="FX11" s="403"/>
      <c r="FY11" s="1315"/>
      <c r="FZ11" s="1032"/>
      <c r="GA11" s="403"/>
      <c r="GB11" s="1315"/>
      <c r="GC11" s="1032"/>
      <c r="GD11" s="403"/>
      <c r="GE11" s="1315"/>
      <c r="GF11" s="1032"/>
      <c r="GG11" s="403"/>
      <c r="GH11" s="1315"/>
      <c r="GI11" s="1032"/>
      <c r="GJ11" s="403"/>
      <c r="GK11" s="1315"/>
      <c r="GL11" s="1316"/>
      <c r="GM11" s="600"/>
      <c r="GN11" s="1032"/>
      <c r="GO11" s="403"/>
      <c r="GP11" s="1315"/>
      <c r="GQ11" s="1032"/>
      <c r="GR11" s="403"/>
      <c r="GS11" s="1315"/>
      <c r="GT11" s="1032"/>
      <c r="GU11" s="403"/>
      <c r="GV11" s="1315"/>
      <c r="GW11" s="1032"/>
      <c r="GX11" s="403"/>
      <c r="GY11" s="1315"/>
      <c r="GZ11" s="1032"/>
      <c r="HA11" s="403"/>
      <c r="HB11" s="1315"/>
      <c r="HC11" s="1316"/>
      <c r="HD11" s="600"/>
      <c r="HE11" s="1032"/>
      <c r="HF11" s="403"/>
      <c r="HG11" s="1315"/>
      <c r="HH11" s="1032"/>
      <c r="HI11" s="403"/>
      <c r="HJ11" s="1315"/>
      <c r="HK11" s="1032"/>
      <c r="HL11" s="403"/>
      <c r="HM11" s="1315"/>
      <c r="HN11" s="1032"/>
      <c r="HO11" s="403"/>
      <c r="HP11" s="1315"/>
      <c r="HQ11" s="1032"/>
      <c r="HR11" s="403"/>
      <c r="HS11" s="1315"/>
      <c r="HT11" s="1316"/>
      <c r="HU11" s="600"/>
      <c r="HV11" s="1032"/>
      <c r="HW11" s="403"/>
      <c r="HX11" s="1315"/>
      <c r="HY11" s="1032"/>
      <c r="HZ11" s="403"/>
      <c r="IA11" s="1315"/>
      <c r="IB11" s="1032"/>
      <c r="IC11" s="403"/>
      <c r="ID11" s="1315"/>
      <c r="IE11" s="1032"/>
      <c r="IF11" s="403"/>
      <c r="IG11" s="1315"/>
      <c r="IH11" s="1032"/>
      <c r="II11" s="403"/>
      <c r="IJ11" s="1315"/>
      <c r="IK11" s="1316"/>
      <c r="IL11" s="600"/>
      <c r="IM11" s="1032"/>
      <c r="IN11" s="403"/>
      <c r="IO11" s="1315"/>
      <c r="IP11" s="1032"/>
      <c r="IQ11" s="403"/>
      <c r="IR11" s="1315"/>
      <c r="IS11" s="1032"/>
      <c r="IT11" s="403"/>
      <c r="IU11" s="1315"/>
      <c r="IV11" s="1032"/>
      <c r="IW11" s="403"/>
      <c r="IX11" s="1315"/>
      <c r="IY11" s="1032"/>
      <c r="IZ11" s="403"/>
      <c r="JA11" s="1315"/>
      <c r="JB11" s="1316"/>
      <c r="JC11" s="600"/>
      <c r="JD11" s="1032"/>
      <c r="JE11" s="403"/>
      <c r="JF11" s="1315"/>
      <c r="JG11" s="1032"/>
      <c r="JH11" s="403"/>
      <c r="JI11" s="1315"/>
      <c r="JJ11" s="1032"/>
      <c r="JK11" s="403"/>
      <c r="JL11" s="1315"/>
      <c r="JM11" s="1032"/>
      <c r="JN11" s="403"/>
      <c r="JO11" s="1315"/>
      <c r="JP11" s="1032"/>
      <c r="JQ11" s="403"/>
      <c r="JR11" s="1315"/>
      <c r="JS11" s="1316"/>
      <c r="JT11" s="600"/>
      <c r="JU11" s="592">
        <f>COUNTIFS(STATUS!$Q:$Q,ДЕЛА!$A11,STATUS!$D:$D,ДЕЛА!JU$1,STATUS!$S:$S,"Согласовано")</f>
        <v>0</v>
      </c>
      <c r="JV11" s="306">
        <f>COUNTIFS(STATUS!$Q:$Q,ДЕЛА!$A11,STATUS!$D:$D,ДЕЛА!JU$1)</f>
        <v>0</v>
      </c>
      <c r="JW11" s="589">
        <f t="shared" si="418"/>
        <v>1</v>
      </c>
      <c r="JX11" s="592">
        <f>COUNTIFS(STATUS!$Q:$Q,ДЕЛА!$A11,STATUS!$D:$D,ДЕЛА!JX$1,STATUS!$S:$S,"Согласовано")</f>
        <v>0</v>
      </c>
      <c r="JY11" s="306">
        <f>COUNTIFS(STATUS!$Q:$Q,ДЕЛА!$A11,STATUS!$D:$D,ДЕЛА!JX$1)</f>
        <v>0</v>
      </c>
      <c r="JZ11" s="589">
        <f t="shared" si="419"/>
        <v>1</v>
      </c>
      <c r="KA11" s="592">
        <f>COUNTIFS(STATUS!$Q:$Q,ДЕЛА!$A11,STATUS!$D:$D,ДЕЛА!KA$1,STATUS!$S:$S,"Согласовано")</f>
        <v>0</v>
      </c>
      <c r="KB11" s="306">
        <f>COUNTIFS(STATUS!$Q:$Q,ДЕЛА!$A11,STATUS!$D:$D,ДЕЛА!KA$1)</f>
        <v>0</v>
      </c>
      <c r="KC11" s="589">
        <f t="shared" si="420"/>
        <v>1</v>
      </c>
      <c r="KD11" s="592">
        <f>COUNTIFS(STATUS!$Q:$Q,ДЕЛА!$A11,STATUS!$D:$D,ДЕЛА!KD$1,STATUS!$S:$S,"Согласовано")</f>
        <v>0</v>
      </c>
      <c r="KE11" s="306">
        <f>COUNTIFS(STATUS!$Q:$Q,ДЕЛА!$A11,STATUS!$D:$D,ДЕЛА!KD$1)</f>
        <v>0</v>
      </c>
      <c r="KF11" s="589">
        <f t="shared" si="421"/>
        <v>1</v>
      </c>
      <c r="KG11" s="592">
        <f>COUNTIFS(STATUS!$Q:$Q,ДЕЛА!$A11,STATUS!$D:$D,ДЕЛА!KG$1,STATUS!$S:$S,"Согласовано")</f>
        <v>0</v>
      </c>
      <c r="KH11" s="306">
        <f>COUNTIFS(STATUS!$Q:$Q,ДЕЛА!$A11,STATUS!$D:$D,ДЕЛА!KG$1)</f>
        <v>0</v>
      </c>
      <c r="KI11" s="589">
        <f t="shared" si="422"/>
        <v>1</v>
      </c>
      <c r="KJ11" s="808">
        <f t="shared" si="423"/>
        <v>0</v>
      </c>
      <c r="KK11" s="600">
        <f t="shared" si="424"/>
        <v>0</v>
      </c>
      <c r="KL11" s="592">
        <f>COUNTIFS(STATUS!$Q:$Q,ДЕЛА!$A11,STATUS!$D:$D,ДЕЛА!KL$1,STATUS!$S:$S,"Согласовано")</f>
        <v>0</v>
      </c>
      <c r="KM11" s="306">
        <f>COUNTIFS(STATUS!$Q:$Q,ДЕЛА!$A11,STATUS!$D:$D,ДЕЛА!KL$1)</f>
        <v>0</v>
      </c>
      <c r="KN11" s="589">
        <f t="shared" si="425"/>
        <v>1</v>
      </c>
      <c r="KO11" s="592">
        <f>COUNTIFS(STATUS!$Q:$Q,ДЕЛА!$A11,STATUS!$D:$D,ДЕЛА!KO$1,STATUS!$S:$S,"Согласовано")</f>
        <v>0</v>
      </c>
      <c r="KP11" s="306">
        <f>COUNTIFS(STATUS!$Q:$Q,ДЕЛА!$A11,STATUS!$D:$D,ДЕЛА!KO$1)</f>
        <v>0</v>
      </c>
      <c r="KQ11" s="589">
        <f t="shared" si="426"/>
        <v>1</v>
      </c>
      <c r="KR11" s="592">
        <f>COUNTIFS(STATUS!$Q:$Q,ДЕЛА!$A11,STATUS!$D:$D,ДЕЛА!KR$1,STATUS!$S:$S,"Согласовано")</f>
        <v>0</v>
      </c>
      <c r="KS11" s="306">
        <f>COUNTIFS(STATUS!$Q:$Q,ДЕЛА!$A11,STATUS!$D:$D,ДЕЛА!KR$1)</f>
        <v>0</v>
      </c>
      <c r="KT11" s="589">
        <f t="shared" si="427"/>
        <v>1</v>
      </c>
      <c r="KU11" s="592">
        <f>COUNTIFS(STATUS!$Q:$Q,ДЕЛА!$A11,STATUS!$D:$D,ДЕЛА!KU$1,STATUS!$S:$S,"Согласовано")</f>
        <v>0</v>
      </c>
      <c r="KV11" s="306">
        <f>COUNTIFS(STATUS!$Q:$Q,ДЕЛА!$A11,STATUS!$D:$D,ДЕЛА!KU$1)</f>
        <v>0</v>
      </c>
      <c r="KW11" s="589">
        <f t="shared" si="428"/>
        <v>1</v>
      </c>
      <c r="KX11" s="592">
        <f>COUNTIFS(STATUS!$Q:$Q,ДЕЛА!$A11,STATUS!$D:$D,ДЕЛА!KX$1,STATUS!$S:$S,"Согласовано")</f>
        <v>0</v>
      </c>
      <c r="KY11" s="306">
        <f>COUNTIFS(STATUS!$Q:$Q,ДЕЛА!$A11,STATUS!$D:$D,ДЕЛА!KX$1)</f>
        <v>0</v>
      </c>
      <c r="KZ11" s="589">
        <f t="shared" si="429"/>
        <v>1</v>
      </c>
      <c r="LA11" s="808">
        <f t="shared" si="430"/>
        <v>0</v>
      </c>
      <c r="LB11" s="600">
        <f t="shared" si="431"/>
        <v>0</v>
      </c>
      <c r="LC11" s="592">
        <f>COUNTIFS(STATUS!$Q:$Q,ДЕЛА!$A11,STATUS!$D:$D,ДЕЛА!LC$1,STATUS!$S:$S,"Согласовано")</f>
        <v>0</v>
      </c>
      <c r="LD11" s="306">
        <f>COUNTIFS(STATUS!$Q:$Q,ДЕЛА!$A11,STATUS!$D:$D,ДЕЛА!LC$1)</f>
        <v>0</v>
      </c>
      <c r="LE11" s="589">
        <f t="shared" si="432"/>
        <v>1</v>
      </c>
      <c r="LF11" s="592">
        <f>COUNTIFS(STATUS!$Q:$Q,ДЕЛА!$A11,STATUS!$D:$D,ДЕЛА!LF$1,STATUS!$S:$S,"Согласовано")</f>
        <v>0</v>
      </c>
      <c r="LG11" s="306">
        <f>COUNTIFS(STATUS!$Q:$Q,ДЕЛА!$A11,STATUS!$D:$D,ДЕЛА!LF$1)</f>
        <v>0</v>
      </c>
      <c r="LH11" s="589">
        <f t="shared" si="433"/>
        <v>1</v>
      </c>
      <c r="LI11" s="592">
        <f>COUNTIFS(STATUS!$Q:$Q,ДЕЛА!$A11,STATUS!$D:$D,ДЕЛА!LI$1,STATUS!$S:$S,"Согласовано")</f>
        <v>0</v>
      </c>
      <c r="LJ11" s="306">
        <f>COUNTIFS(STATUS!$Q:$Q,ДЕЛА!$A11,STATUS!$D:$D,ДЕЛА!LI$1)</f>
        <v>0</v>
      </c>
      <c r="LK11" s="589">
        <f t="shared" si="434"/>
        <v>1</v>
      </c>
      <c r="LL11" s="592">
        <f>COUNTIFS(STATUS!$Q:$Q,ДЕЛА!$A11,STATUS!$D:$D,ДЕЛА!LL$1,STATUS!$S:$S,"Согласовано")</f>
        <v>0</v>
      </c>
      <c r="LM11" s="306">
        <f>COUNTIFS(STATUS!$Q:$Q,ДЕЛА!$A11,STATUS!$D:$D,ДЕЛА!LL$1)</f>
        <v>0</v>
      </c>
      <c r="LN11" s="589">
        <f t="shared" si="435"/>
        <v>1</v>
      </c>
      <c r="LO11" s="592">
        <f>COUNTIFS(STATUS!$Q:$Q,ДЕЛА!$A11,STATUS!$D:$D,ДЕЛА!LO$1,STATUS!$S:$S,"Согласовано")</f>
        <v>0</v>
      </c>
      <c r="LP11" s="306">
        <f>COUNTIFS(STATUS!$Q:$Q,ДЕЛА!$A11,STATUS!$D:$D,ДЕЛА!LO$1)</f>
        <v>0</v>
      </c>
      <c r="LQ11" s="589">
        <f t="shared" si="436"/>
        <v>1</v>
      </c>
      <c r="LR11" s="808">
        <f t="shared" si="437"/>
        <v>0</v>
      </c>
      <c r="LS11" s="600">
        <f t="shared" si="438"/>
        <v>0</v>
      </c>
      <c r="LT11" s="592">
        <f>COUNTIFS(STATUS!$Q:$Q,ДЕЛА!$A11,STATUS!$D:$D,ДЕЛА!LT$1,STATUS!$S:$S,"Согласовано")</f>
        <v>0</v>
      </c>
      <c r="LU11" s="306">
        <f>COUNTIFS(STATUS!$Q:$Q,ДЕЛА!$A11,STATUS!$D:$D,ДЕЛА!LT$1)</f>
        <v>0</v>
      </c>
      <c r="LV11" s="589">
        <f t="shared" si="439"/>
        <v>1</v>
      </c>
      <c r="LW11" s="592">
        <f>COUNTIFS(STATUS!$Q:$Q,ДЕЛА!$A11,STATUS!$D:$D,ДЕЛА!LW$1,STATUS!$S:$S,"Согласовано")</f>
        <v>0</v>
      </c>
      <c r="LX11" s="306">
        <f>COUNTIFS(STATUS!$Q:$Q,ДЕЛА!$A11,STATUS!$D:$D,ДЕЛА!LW$1)</f>
        <v>0</v>
      </c>
      <c r="LY11" s="589">
        <f t="shared" si="440"/>
        <v>1</v>
      </c>
      <c r="LZ11" s="592">
        <f>COUNTIFS(STATUS!$Q:$Q,ДЕЛА!$A11,STATUS!$D:$D,ДЕЛА!LZ$1,STATUS!$S:$S,"Согласовано")</f>
        <v>0</v>
      </c>
      <c r="MA11" s="306">
        <f>COUNTIFS(STATUS!$Q:$Q,ДЕЛА!$A11,STATUS!$D:$D,ДЕЛА!LZ$1)</f>
        <v>0</v>
      </c>
      <c r="MB11" s="589">
        <f t="shared" si="441"/>
        <v>1</v>
      </c>
      <c r="MC11" s="592">
        <f>COUNTIFS(STATUS!$Q:$Q,ДЕЛА!$A11,STATUS!$D:$D,ДЕЛА!MC$1,STATUS!$S:$S,"Согласовано")</f>
        <v>0</v>
      </c>
      <c r="MD11" s="306">
        <f>COUNTIFS(STATUS!$Q:$Q,ДЕЛА!$A11,STATUS!$D:$D,ДЕЛА!MC$1)</f>
        <v>0</v>
      </c>
      <c r="ME11" s="589">
        <f t="shared" si="442"/>
        <v>1</v>
      </c>
      <c r="MF11" s="592">
        <f>COUNTIFS(STATUS!$Q:$Q,ДЕЛА!$A11,STATUS!$D:$D,ДЕЛА!MF$1,STATUS!$S:$S,"Согласовано")</f>
        <v>0</v>
      </c>
      <c r="MG11" s="306">
        <f>COUNTIFS(STATUS!$Q:$Q,ДЕЛА!$A11,STATUS!$D:$D,ДЕЛА!MF$1)</f>
        <v>0</v>
      </c>
      <c r="MH11" s="589">
        <f t="shared" si="443"/>
        <v>1</v>
      </c>
      <c r="MI11" s="808">
        <f t="shared" si="444"/>
        <v>0</v>
      </c>
      <c r="MJ11" s="600">
        <f t="shared" si="445"/>
        <v>0</v>
      </c>
      <c r="MK11" s="592">
        <f>COUNTIFS(STATUS!$Q:$Q,ДЕЛА!$A11,STATUS!$D:$D,ДЕЛА!MK$1,STATUS!$S:$S,"Согласовано")</f>
        <v>0</v>
      </c>
      <c r="ML11" s="306">
        <f>COUNTIFS(STATUS!$Q:$Q,ДЕЛА!$A11,STATUS!$D:$D,ДЕЛА!MK$1)</f>
        <v>0</v>
      </c>
      <c r="MM11" s="589">
        <f t="shared" si="446"/>
        <v>1</v>
      </c>
      <c r="MN11" s="592">
        <f>COUNTIFS(STATUS!$Q:$Q,ДЕЛА!$A11,STATUS!$D:$D,ДЕЛА!MN$1,STATUS!$S:$S,"Согласовано")</f>
        <v>0</v>
      </c>
      <c r="MO11" s="306">
        <f>COUNTIFS(STATUS!$Q:$Q,ДЕЛА!$A11,STATUS!$D:$D,ДЕЛА!MN$1)</f>
        <v>0</v>
      </c>
      <c r="MP11" s="589">
        <f t="shared" si="447"/>
        <v>1</v>
      </c>
      <c r="MQ11" s="592">
        <f>COUNTIFS(STATUS!$Q:$Q,ДЕЛА!$A11,STATUS!$D:$D,ДЕЛА!MQ$1,STATUS!$S:$S,"Согласовано")</f>
        <v>0</v>
      </c>
      <c r="MR11" s="306">
        <f>COUNTIFS(STATUS!$Q:$Q,ДЕЛА!$A11,STATUS!$D:$D,ДЕЛА!MQ$1)</f>
        <v>0</v>
      </c>
      <c r="MS11" s="589">
        <f t="shared" si="448"/>
        <v>1</v>
      </c>
      <c r="MT11" s="592">
        <f>COUNTIFS(STATUS!$Q:$Q,ДЕЛА!$A11,STATUS!$D:$D,ДЕЛА!MT$1,STATUS!$S:$S,"Согласовано")</f>
        <v>0</v>
      </c>
      <c r="MU11" s="306">
        <f>COUNTIFS(STATUS!$Q:$Q,ДЕЛА!$A11,STATUS!$D:$D,ДЕЛА!MT$1)</f>
        <v>0</v>
      </c>
      <c r="MV11" s="589">
        <f t="shared" si="449"/>
        <v>1</v>
      </c>
      <c r="MW11" s="592">
        <f>COUNTIFS(STATUS!$Q:$Q,ДЕЛА!$A11,STATUS!$D:$D,ДЕЛА!MW$1,STATUS!$S:$S,"Согласовано")</f>
        <v>0</v>
      </c>
      <c r="MX11" s="306">
        <f>COUNTIFS(STATUS!$Q:$Q,ДЕЛА!$A11,STATUS!$D:$D,ДЕЛА!MW$1)</f>
        <v>0</v>
      </c>
      <c r="MY11" s="589">
        <f t="shared" si="450"/>
        <v>1</v>
      </c>
      <c r="MZ11" s="808">
        <f t="shared" si="451"/>
        <v>0</v>
      </c>
      <c r="NA11" s="600">
        <f t="shared" si="452"/>
        <v>0</v>
      </c>
      <c r="NB11" s="592">
        <f>COUNTIFS(STATUS!$Q:$Q,ДЕЛА!$A11,STATUS!$D:$D,ДЕЛА!NB$1,STATUS!$S:$S,"Согласовано")</f>
        <v>0</v>
      </c>
      <c r="NC11" s="306">
        <f>COUNTIFS(STATUS!$Q:$Q,ДЕЛА!$A11,STATUS!$D:$D,ДЕЛА!NB$1)</f>
        <v>0</v>
      </c>
      <c r="ND11" s="589">
        <f t="shared" si="453"/>
        <v>1</v>
      </c>
      <c r="NE11" s="592">
        <f>COUNTIFS(STATUS!$Q:$Q,ДЕЛА!$A11,STATUS!$D:$D,ДЕЛА!NE$1,STATUS!$S:$S,"Согласовано")</f>
        <v>0</v>
      </c>
      <c r="NF11" s="306">
        <f>COUNTIFS(STATUS!$Q:$Q,ДЕЛА!$A11,STATUS!$D:$D,ДЕЛА!NE$1)</f>
        <v>0</v>
      </c>
      <c r="NG11" s="589">
        <f t="shared" si="454"/>
        <v>1</v>
      </c>
      <c r="NH11" s="592">
        <f>COUNTIFS(STATUS!$Q:$Q,ДЕЛА!$A11,STATUS!$D:$D,ДЕЛА!NH$1,STATUS!$S:$S,"Согласовано")</f>
        <v>0</v>
      </c>
      <c r="NI11" s="306">
        <f>COUNTIFS(STATUS!$Q:$Q,ДЕЛА!$A11,STATUS!$D:$D,ДЕЛА!NH$1)</f>
        <v>0</v>
      </c>
      <c r="NJ11" s="589">
        <f t="shared" si="455"/>
        <v>1</v>
      </c>
      <c r="NK11" s="592">
        <f>COUNTIFS(STATUS!$Q:$Q,ДЕЛА!$A11,STATUS!$D:$D,ДЕЛА!NK$1,STATUS!$S:$S,"Согласовано")</f>
        <v>0</v>
      </c>
      <c r="NL11" s="306">
        <f>COUNTIFS(STATUS!$Q:$Q,ДЕЛА!$A11,STATUS!$D:$D,ДЕЛА!NK$1)</f>
        <v>0</v>
      </c>
      <c r="NM11" s="589">
        <f t="shared" si="456"/>
        <v>1</v>
      </c>
      <c r="NN11" s="592">
        <f>COUNTIFS(STATUS!$Q:$Q,ДЕЛА!$A11,STATUS!$D:$D,ДЕЛА!NN$1,STATUS!$S:$S,"Согласовано")</f>
        <v>0</v>
      </c>
      <c r="NO11" s="306">
        <f>COUNTIFS(STATUS!$Q:$Q,ДЕЛА!$A11,STATUS!$D:$D,ДЕЛА!NN$1)</f>
        <v>0</v>
      </c>
      <c r="NP11" s="589">
        <f t="shared" si="457"/>
        <v>1</v>
      </c>
      <c r="NQ11" s="808">
        <f t="shared" si="458"/>
        <v>0</v>
      </c>
      <c r="NR11" s="600">
        <f t="shared" si="459"/>
        <v>0</v>
      </c>
      <c r="NS11" s="592">
        <f>COUNTIFS(STATUS!$Q:$Q,ДЕЛА!$A11,STATUS!$D:$D,ДЕЛА!NS$1,STATUS!$S:$S,"Согласовано")</f>
        <v>0</v>
      </c>
      <c r="NT11" s="306">
        <f>COUNTIFS(STATUS!$Q:$Q,ДЕЛА!$A11,STATUS!$D:$D,ДЕЛА!NS$1)</f>
        <v>0</v>
      </c>
      <c r="NU11" s="589">
        <f t="shared" si="460"/>
        <v>1</v>
      </c>
      <c r="NV11" s="592">
        <f>COUNTIFS(STATUS!$Q:$Q,ДЕЛА!$A11,STATUS!$D:$D,ДЕЛА!NV$1,STATUS!$S:$S,"Согласовано")</f>
        <v>0</v>
      </c>
      <c r="NW11" s="306">
        <f>COUNTIFS(STATUS!$Q:$Q,ДЕЛА!$A11,STATUS!$D:$D,ДЕЛА!NV$1)</f>
        <v>0</v>
      </c>
      <c r="NX11" s="589">
        <f t="shared" si="461"/>
        <v>1</v>
      </c>
      <c r="NY11" s="592">
        <f>COUNTIFS(STATUS!$Q:$Q,ДЕЛА!$A11,STATUS!$D:$D,ДЕЛА!NY$1,STATUS!$S:$S,"Согласовано")</f>
        <v>0</v>
      </c>
      <c r="NZ11" s="306">
        <f>COUNTIFS(STATUS!$Q:$Q,ДЕЛА!$A11,STATUS!$D:$D,ДЕЛА!NY$1)</f>
        <v>0</v>
      </c>
      <c r="OA11" s="589">
        <f t="shared" si="462"/>
        <v>1</v>
      </c>
      <c r="OB11" s="592">
        <f>COUNTIFS(STATUS!$Q:$Q,ДЕЛА!$A11,STATUS!$D:$D,ДЕЛА!OB$1,STATUS!$S:$S,"Согласовано")</f>
        <v>0</v>
      </c>
      <c r="OC11" s="306">
        <f>COUNTIFS(STATUS!$Q:$Q,ДЕЛА!$A11,STATUS!$D:$D,ДЕЛА!OB$1)</f>
        <v>0</v>
      </c>
      <c r="OD11" s="589">
        <f t="shared" si="463"/>
        <v>1</v>
      </c>
      <c r="OE11" s="592">
        <f>COUNTIFS(STATUS!$Q:$Q,ДЕЛА!$A11,STATUS!$D:$D,ДЕЛА!OE$1,STATUS!$S:$S,"Согласовано")</f>
        <v>0</v>
      </c>
      <c r="OF11" s="306">
        <f>COUNTIFS(STATUS!$Q:$Q,ДЕЛА!$A11,STATUS!$D:$D,ДЕЛА!OE$1)</f>
        <v>0</v>
      </c>
      <c r="OG11" s="589">
        <f t="shared" si="464"/>
        <v>1</v>
      </c>
      <c r="OH11" s="808">
        <f>SUM(NT11,NW11,NZ11,OC11,OF11)</f>
        <v>0</v>
      </c>
      <c r="OI11" s="600">
        <f>SUM(NT11,NW11,NZ11,OC11,OF11)-SUM(NS11,NV11,NY11,OB11,OE11)</f>
        <v>0</v>
      </c>
      <c r="OJ11" s="592">
        <f>COUNTIFS(STATUS!$Q:$Q,ДЕЛА!$A11,STATUS!$D:$D,ДЕЛА!OJ$1,STATUS!$S:$S,"Согласовано")</f>
        <v>4</v>
      </c>
      <c r="OK11" s="306">
        <f>COUNTIFS(STATUS!$Q:$Q,ДЕЛА!$A11,STATUS!$D:$D,ДЕЛА!OJ$1)</f>
        <v>4</v>
      </c>
      <c r="OL11" s="589">
        <f>IFERROR(OJ11/OK11,1)</f>
        <v>1</v>
      </c>
      <c r="OM11" s="592">
        <f>COUNTIFS(STATUS!$Q:$Q,ДЕЛА!$A11,STATUS!$D:$D,ДЕЛА!OM$1,STATUS!$S:$S,"Согласовано")</f>
        <v>5</v>
      </c>
      <c r="ON11" s="306">
        <f>COUNTIFS(STATUS!$Q:$Q,ДЕЛА!$A11,STATUS!$D:$D,ДЕЛА!OM$1)</f>
        <v>5</v>
      </c>
      <c r="OO11" s="589">
        <f t="shared" ref="OO11" si="473">IFERROR(OM11/ON11,1)</f>
        <v>1</v>
      </c>
      <c r="OP11" s="592">
        <f>COUNTIFS(STATUS!$Q:$Q,ДЕЛА!$A11,STATUS!$D:$D,ДЕЛА!OP$1,STATUS!$S:$S,"Согласовано")</f>
        <v>4</v>
      </c>
      <c r="OQ11" s="306">
        <f>COUNTIFS(STATUS!$Q:$Q,ДЕЛА!$A11,STATUS!$D:$D,ДЕЛА!OP$1)</f>
        <v>4</v>
      </c>
      <c r="OR11" s="589">
        <f t="shared" ref="OR11" si="474">IFERROR(OP11/OQ11,1)</f>
        <v>1</v>
      </c>
      <c r="OS11" s="592">
        <f>COUNTIFS(STATUS!$Q:$Q,ДЕЛА!$A11,STATUS!$D:$D,ДЕЛА!OS$1,STATUS!$S:$S,"Согласовано")</f>
        <v>1</v>
      </c>
      <c r="OT11" s="306">
        <f>COUNTIFS(STATUS!$Q:$Q,ДЕЛА!$A11,STATUS!$D:$D,ДЕЛА!OS$1)</f>
        <v>1</v>
      </c>
      <c r="OU11" s="589">
        <f t="shared" ref="OU11" si="475">IFERROR(OS11/OT11,1)</f>
        <v>1</v>
      </c>
      <c r="OV11" s="592">
        <f>COUNTIFS(STATUS!$Q:$Q,ДЕЛА!$A11,STATUS!$D:$D,ДЕЛА!OV$1,STATUS!$S:$S,"Согласовано")</f>
        <v>2</v>
      </c>
      <c r="OW11" s="306">
        <f>COUNTIFS(STATUS!$Q:$Q,ДЕЛА!$A11,STATUS!$D:$D,ДЕЛА!OV$1)</f>
        <v>2</v>
      </c>
      <c r="OX11" s="589">
        <f t="shared" ref="OX11" si="476">IFERROR(OV11/OW11,1)</f>
        <v>1</v>
      </c>
      <c r="OY11" s="808">
        <f>SUM(OK11,ON11,OQ11,OT11,OW11)</f>
        <v>16</v>
      </c>
      <c r="OZ11" s="600">
        <f>SUM(OK11,ON11,OQ11,OT11,OW11)-SUM(OJ11,OM11,OP11,OS11,OV11)</f>
        <v>0</v>
      </c>
      <c r="PA11" s="592">
        <f>COUNTIFS(STATUS!$Q:$Q,ДЕЛА!$A11,STATUS!$D:$D,ДЕЛА!PA$1,STATUS!$S:$S,"Согласовано")</f>
        <v>0</v>
      </c>
      <c r="PB11" s="306">
        <f>COUNTIFS(STATUS!$Q:$Q,ДЕЛА!$A11,STATUS!$D:$D,ДЕЛА!PA$1)</f>
        <v>0</v>
      </c>
      <c r="PC11" s="589">
        <f>IFERROR(PA11/PB11,1)</f>
        <v>1</v>
      </c>
      <c r="PD11" s="592">
        <f>COUNTIFS(STATUS!$Q:$Q,ДЕЛА!$A11,STATUS!$D:$D,ДЕЛА!PD$1,STATUS!$S:$S,"Согласовано")</f>
        <v>0</v>
      </c>
      <c r="PE11" s="306">
        <f>COUNTIFS(STATUS!$Q:$Q,ДЕЛА!$A11,STATUS!$D:$D,ДЕЛА!PD$1)</f>
        <v>0</v>
      </c>
      <c r="PF11" s="589">
        <f t="shared" si="408"/>
        <v>1</v>
      </c>
      <c r="PG11" s="592">
        <f>COUNTIFS(STATUS!$Q:$Q,ДЕЛА!$A11,STATUS!$D:$D,ДЕЛА!PG$1,STATUS!$S:$S,"Согласовано")</f>
        <v>0</v>
      </c>
      <c r="PH11" s="306">
        <f>COUNTIFS(STATUS!$Q:$Q,ДЕЛА!$A11,STATUS!$D:$D,ДЕЛА!PG$1)</f>
        <v>0</v>
      </c>
      <c r="PI11" s="589">
        <f t="shared" si="409"/>
        <v>1</v>
      </c>
      <c r="PJ11" s="592">
        <f>COUNTIFS(STATUS!$Q:$Q,ДЕЛА!$A11,STATUS!$D:$D,ДЕЛА!PJ$1,STATUS!$S:$S,"Согласовано")</f>
        <v>0</v>
      </c>
      <c r="PK11" s="306">
        <f>COUNTIFS(STATUS!$Q:$Q,ДЕЛА!$A11,STATUS!$D:$D,ДЕЛА!PJ$1)</f>
        <v>0</v>
      </c>
      <c r="PL11" s="589">
        <f t="shared" si="410"/>
        <v>1</v>
      </c>
      <c r="PM11" s="592">
        <f>COUNTIFS(STATUS!$Q:$Q,ДЕЛА!$A11,STATUS!$D:$D,ДЕЛА!PM$1,STATUS!$S:$S,"Согласовано")</f>
        <v>0</v>
      </c>
      <c r="PN11" s="306">
        <f>COUNTIFS(STATUS!$Q:$Q,ДЕЛА!$A11,STATUS!$D:$D,ДЕЛА!PM$1)</f>
        <v>0</v>
      </c>
      <c r="PO11" s="589">
        <f t="shared" si="411"/>
        <v>1</v>
      </c>
      <c r="PP11" s="808">
        <f>SUM(PB11,PE11,PH11,PK11,PN11)</f>
        <v>0</v>
      </c>
      <c r="PQ11" s="600">
        <f>SUM(PB11,PE11,PH11,PK11,PN11)-SUM(PA11,PD11,PG11,PJ11,PM11)</f>
        <v>0</v>
      </c>
      <c r="PR11" s="592">
        <f>COUNTIFS(STATUS!$Q:$Q,ДЕЛА!$A11,STATUS!$D:$D,ДЕЛА!PR$1,STATUS!$S:$S,"Согласовано")</f>
        <v>0</v>
      </c>
      <c r="PS11" s="306">
        <f>COUNTIFS(STATUS!$Q:$Q,ДЕЛА!$A11,STATUS!$D:$D,ДЕЛА!PR$1)</f>
        <v>0</v>
      </c>
      <c r="PT11" s="589">
        <f>IFERROR(PR11/PS11,1)</f>
        <v>1</v>
      </c>
      <c r="PU11" s="592">
        <f>COUNTIFS(STATUS!$Q:$Q,ДЕЛА!$A11,STATUS!$D:$D,ДЕЛА!PU$1,STATUS!$S:$S,"Согласовано")</f>
        <v>0</v>
      </c>
      <c r="PV11" s="306">
        <f>COUNTIFS(STATUS!$Q:$Q,ДЕЛА!$A11,STATUS!$D:$D,ДЕЛА!PU$1)</f>
        <v>0</v>
      </c>
      <c r="PW11" s="589">
        <f t="shared" si="412"/>
        <v>1</v>
      </c>
      <c r="PX11" s="592">
        <f>COUNTIFS(STATUS!$Q:$Q,ДЕЛА!$A11,STATUS!$D:$D,ДЕЛА!PX$1,STATUS!$S:$S,"Согласовано")</f>
        <v>0</v>
      </c>
      <c r="PY11" s="306">
        <f>COUNTIFS(STATUS!$Q:$Q,ДЕЛА!$A11,STATUS!$D:$D,ДЕЛА!PX$1)</f>
        <v>0</v>
      </c>
      <c r="PZ11" s="589">
        <f t="shared" si="413"/>
        <v>1</v>
      </c>
      <c r="QA11" s="592">
        <f>COUNTIFS(STATUS!$Q:$Q,ДЕЛА!$A11,STATUS!$D:$D,ДЕЛА!QA$1,STATUS!$S:$S,"Согласовано")</f>
        <v>0</v>
      </c>
      <c r="QB11" s="306">
        <f>COUNTIFS(STATUS!$Q:$Q,ДЕЛА!$A11,STATUS!$D:$D,ДЕЛА!QA$1)</f>
        <v>0</v>
      </c>
      <c r="QC11" s="589">
        <f t="shared" si="414"/>
        <v>1</v>
      </c>
      <c r="QD11" s="592">
        <f>COUNTIFS(STATUS!$Q:$Q,ДЕЛА!$A11,STATUS!$D:$D,ДЕЛА!QD$1,STATUS!$S:$S,"Согласовано")</f>
        <v>0</v>
      </c>
      <c r="QE11" s="306">
        <f>COUNTIFS(STATUS!$Q:$Q,ДЕЛА!$A11,STATUS!$D:$D,ДЕЛА!QD$1)</f>
        <v>0</v>
      </c>
      <c r="QF11" s="589">
        <f t="shared" si="415"/>
        <v>1</v>
      </c>
      <c r="QG11" s="808">
        <f>SUM(PS11,PV11,PY11,QB11,QE11)</f>
        <v>0</v>
      </c>
      <c r="QH11" s="600">
        <f>SUM(PS11,PV11,PY11,QB11,QE11)-SUM(PR11,PU11,PX11,QA11,QD11)</f>
        <v>0</v>
      </c>
    </row>
    <row r="12" spans="1:450" ht="15" thickBot="1" x14ac:dyDescent="0.35">
      <c r="A12" s="1319" t="s">
        <v>2417</v>
      </c>
      <c r="B12" s="1321">
        <f>SUMIFS(STATUS!AA:AA,STATUS!Q:Q,A12)</f>
        <v>2.5022337962962973</v>
      </c>
      <c r="C12" s="1321">
        <f>B12/COUNTIFS(STATUS!Q:Q,ДЕЛА!A12,STATUS!AA:AA,"&lt;&gt;0")</f>
        <v>1.2574039177368329E-2</v>
      </c>
      <c r="D12" s="658">
        <f>COUNTIFS(STATUS!$Q:$Q,ДЕЛА!$A12,STATUS!$H:$H,ДЕЛА!D$1)</f>
        <v>373</v>
      </c>
      <c r="E12" s="736">
        <f t="shared" si="28"/>
        <v>0.97135416666666663</v>
      </c>
      <c r="F12" s="691">
        <f>COUNTIFS(STATUS!$Q:$Q,ДЕЛА!$A12,STATUS!$H:$H,ДЕЛА!F$1)</f>
        <v>11</v>
      </c>
      <c r="G12" s="736">
        <f t="shared" si="0"/>
        <v>2.8645833333333332E-2</v>
      </c>
      <c r="H12" s="658">
        <f>COUNTIFS(STATUS!$Q:$Q,ДЕЛА!$A12,STATUS!$I:$I,ДЕЛА!H$1)</f>
        <v>20</v>
      </c>
      <c r="I12" s="736">
        <f t="shared" si="1"/>
        <v>5.2083333333333336E-2</v>
      </c>
      <c r="J12" s="658">
        <f>COUNTIFS(STATUS!$Q:$Q,ДЕЛА!$A12,STATUS!$I:$I,ДЕЛА!J$1)</f>
        <v>1</v>
      </c>
      <c r="K12" s="736">
        <f t="shared" si="2"/>
        <v>2.6041666666666665E-3</v>
      </c>
      <c r="L12" s="658">
        <f>COUNTIFS(STATUS!$Q:$Q,ДЕЛА!$A12,STATUS!$I:$I,ДЕЛА!L$1)</f>
        <v>56</v>
      </c>
      <c r="M12" s="736">
        <f t="shared" si="3"/>
        <v>0.14583333333333334</v>
      </c>
      <c r="N12" s="658">
        <f>COUNTIFS(STATUS!$Q:$Q,ДЕЛА!$A12,STATUS!$I:$I,ДЕЛА!N$1)</f>
        <v>39</v>
      </c>
      <c r="O12" s="736">
        <f t="shared" si="4"/>
        <v>0.1015625</v>
      </c>
      <c r="P12" s="658">
        <f>COUNTIFS(STATUS!$Q:$Q,ДЕЛА!$A12,STATUS!$S:$S,"На доработку")</f>
        <v>0</v>
      </c>
      <c r="Q12" s="658">
        <f>COUNTIFS(STATUS!Q:Q,ДЕЛА!A12,STATUS!$S:$S,"Согласовано")</f>
        <v>384</v>
      </c>
      <c r="R12" s="658">
        <f>COUNTIFS(STATUS!$Q:$Q,ДЕЛА!$A12)</f>
        <v>384</v>
      </c>
      <c r="S12" s="658">
        <f t="shared" si="29"/>
        <v>0</v>
      </c>
      <c r="T12" s="659">
        <f t="shared" si="30"/>
        <v>1</v>
      </c>
      <c r="U12" s="658">
        <f t="shared" si="31"/>
        <v>0</v>
      </c>
      <c r="V12" s="594">
        <f>COUNTIFS(STATUS!$Q:$Q,ДЕЛА!$A12,STATUS!$D:$D,ДЕЛА!V$1,STATUS!$S:$S,"Согласовано")</f>
        <v>1</v>
      </c>
      <c r="W12" s="583">
        <f>COUNTIFS(STATUS!$Q:$Q,ДЕЛА!$A12,STATUS!$D:$D,ДЕЛА!V$1)</f>
        <v>1</v>
      </c>
      <c r="X12" s="595">
        <f t="shared" si="32"/>
        <v>1</v>
      </c>
      <c r="Y12" s="586">
        <f>COUNTIFS(STATUS!$Q:$Q,ДЕЛА!$A12,STATUS!$D:$D,ДЕЛА!Y$1,STATUS!$S:$S,"Согласовано")</f>
        <v>2</v>
      </c>
      <c r="Z12" s="583">
        <f>COUNTIFS(STATUS!$Q:$Q,ДЕЛА!$A12,STATUS!$D:$D,ДЕЛА!Y$1)</f>
        <v>2</v>
      </c>
      <c r="AA12" s="441">
        <f t="shared" si="33"/>
        <v>1</v>
      </c>
      <c r="AB12" s="594">
        <f>COUNTIFS(STATUS!$Q:$Q,ДЕЛА!$A12,STATUS!$D:$D,ДЕЛА!AB$1,STATUS!$S:$S,"Согласовано")</f>
        <v>1</v>
      </c>
      <c r="AC12" s="583">
        <f>COUNTIFS(STATUS!$Q:$Q,ДЕЛА!$A12,STATUS!$D:$D,ДЕЛА!AB$1)</f>
        <v>1</v>
      </c>
      <c r="AD12" s="595">
        <f t="shared" si="34"/>
        <v>1</v>
      </c>
      <c r="AE12" s="600">
        <f t="shared" si="183"/>
        <v>0</v>
      </c>
      <c r="AF12" s="586">
        <f>COUNTIFS(STATUS!$Q:$Q,ДЕЛА!$A12,STATUS!$D:$D,ДЕЛА!AF$1,STATUS!$S:$S,"Согласовано")</f>
        <v>5</v>
      </c>
      <c r="AG12" s="583">
        <f>COUNTIFS(STATUS!$Q:$Q,ДЕЛА!$A12,STATUS!$D:$D,ДЕЛА!AF$1)</f>
        <v>5</v>
      </c>
      <c r="AH12" s="441">
        <f t="shared" si="35"/>
        <v>1</v>
      </c>
      <c r="AI12" s="594">
        <f>COUNTIFS(STATUS!$Q:$Q,ДЕЛА!$A12,STATUS!$D:$D,ДЕЛА!AI$1,STATUS!$S:$S,"Согласовано")</f>
        <v>5</v>
      </c>
      <c r="AJ12" s="583">
        <f>COUNTIFS(STATUS!$Q:$Q,ДЕЛА!$A12,STATUS!$D:$D,ДЕЛА!AI$1)</f>
        <v>5</v>
      </c>
      <c r="AK12" s="441">
        <f t="shared" si="36"/>
        <v>1</v>
      </c>
      <c r="AL12" s="586">
        <f>COUNTIFS(STATUS!$Q:$Q,ДЕЛА!$A12,STATUS!$D:$D,ДЕЛА!AL$1,STATUS!$S:$S,"Согласовано")</f>
        <v>2</v>
      </c>
      <c r="AM12" s="583">
        <f>COUNTIFS(STATUS!$Q:$Q,ДЕЛА!$A12,STATUS!$D:$D,ДЕЛА!AL$1)</f>
        <v>2</v>
      </c>
      <c r="AN12" s="441">
        <f t="shared" si="37"/>
        <v>1</v>
      </c>
      <c r="AO12" s="594">
        <f>COUNTIFS(STATUS!$Q:$Q,ДЕЛА!$A12,STATUS!$D:$D,ДЕЛА!AO$1,STATUS!$S:$S,"Согласовано")</f>
        <v>3</v>
      </c>
      <c r="AP12" s="583">
        <f>COUNTIFS(STATUS!$Q:$Q,ДЕЛА!$A12,STATUS!$D:$D,ДЕЛА!AO$1)</f>
        <v>3</v>
      </c>
      <c r="AQ12" s="441">
        <f t="shared" si="38"/>
        <v>1</v>
      </c>
      <c r="AR12" s="601">
        <f>SUM(AG12,AJ12,AM12,AP12)-SUM(AF12,AI12,AL12,AO12)</f>
        <v>0</v>
      </c>
      <c r="AS12" s="594">
        <f>COUNTIFS(STATUS!$Q:$Q,ДЕЛА!$A12,STATUS!$D:$D,ДЕЛА!AS$1,STATUS!$S:$S,"Согласовано")</f>
        <v>5</v>
      </c>
      <c r="AT12" s="583">
        <f>COUNTIFS(STATUS!$Q:$Q,ДЕЛА!$A12,STATUS!$D:$D,ДЕЛА!AS$1)</f>
        <v>5</v>
      </c>
      <c r="AU12" s="441">
        <f t="shared" si="39"/>
        <v>1</v>
      </c>
      <c r="AV12" s="594">
        <f>COUNTIFS(STATUS!$Q:$Q,ДЕЛА!$A12,STATUS!$D:$D,ДЕЛА!AV$1,STATUS!$S:$S,"Согласовано")</f>
        <v>4</v>
      </c>
      <c r="AW12" s="583">
        <f>COUNTIFS(STATUS!$Q:$Q,ДЕЛА!$A12,STATUS!$D:$D,ДЕЛА!AV$1)</f>
        <v>4</v>
      </c>
      <c r="AX12" s="441">
        <f t="shared" si="40"/>
        <v>1</v>
      </c>
      <c r="AY12" s="594">
        <f>COUNTIFS(STATUS!$Q:$Q,ДЕЛА!$A12,STATUS!$D:$D,ДЕЛА!AY$1,STATUS!$S:$S,"Согласовано")</f>
        <v>4</v>
      </c>
      <c r="AZ12" s="583">
        <f>COUNTIFS(STATUS!$Q:$Q,ДЕЛА!$A12,STATUS!$D:$D,ДЕЛА!AY$1)</f>
        <v>4</v>
      </c>
      <c r="BA12" s="441">
        <f t="shared" si="41"/>
        <v>1</v>
      </c>
      <c r="BB12" s="594">
        <f>COUNTIFS(STATUS!$Q:$Q,ДЕЛА!$A12,STATUS!$D:$D,ДЕЛА!BB$1,STATUS!$S:$S,"Согласовано")</f>
        <v>2</v>
      </c>
      <c r="BC12" s="583">
        <f>COUNTIFS(STATUS!$Q:$Q,ДЕЛА!$A12,STATUS!$D:$D,ДЕЛА!BB$1)</f>
        <v>2</v>
      </c>
      <c r="BD12" s="441">
        <f t="shared" si="42"/>
        <v>1</v>
      </c>
      <c r="BE12" s="594">
        <f>COUNTIFS(STATUS!$Q:$Q,ДЕЛА!$A12,STATUS!$D:$D,ДЕЛА!BE$1,STATUS!$S:$S,"Согласовано")</f>
        <v>3</v>
      </c>
      <c r="BF12" s="583">
        <f>COUNTIFS(STATUS!$Q:$Q,ДЕЛА!$A12,STATUS!$D:$D,ДЕЛА!BE$1)</f>
        <v>3</v>
      </c>
      <c r="BG12" s="441">
        <f t="shared" si="43"/>
        <v>1</v>
      </c>
      <c r="BH12" s="600">
        <f t="shared" si="44"/>
        <v>0</v>
      </c>
      <c r="BI12" s="594">
        <f>COUNTIFS(STATUS!$Q:$Q,ДЕЛА!$A12,STATUS!$D:$D,ДЕЛА!BI$1,STATUS!$S:$S,"Согласовано")</f>
        <v>6</v>
      </c>
      <c r="BJ12" s="583">
        <f>COUNTIFS(STATUS!$Q:$Q,ДЕЛА!$A12,STATUS!$D:$D,ДЕЛА!BI$1)</f>
        <v>6</v>
      </c>
      <c r="BK12" s="441">
        <f t="shared" si="45"/>
        <v>1</v>
      </c>
      <c r="BL12" s="594">
        <f>COUNTIFS(STATUS!$Q:$Q,ДЕЛА!$A12,STATUS!$D:$D,ДЕЛА!BL$1,STATUS!$S:$S,"Согласовано")</f>
        <v>2</v>
      </c>
      <c r="BM12" s="583">
        <f>COUNTIFS(STATUS!$Q:$Q,ДЕЛА!$A12,STATUS!$D:$D,ДЕЛА!BL$1)</f>
        <v>2</v>
      </c>
      <c r="BN12" s="441">
        <f t="shared" si="46"/>
        <v>1</v>
      </c>
      <c r="BO12" s="594">
        <f>COUNTIFS(STATUS!$Q:$Q,ДЕЛА!$A12,STATUS!$D:$D,ДЕЛА!BO$1,STATUS!$S:$S,"Согласовано")</f>
        <v>0</v>
      </c>
      <c r="BP12" s="583">
        <f>COUNTIFS(STATUS!$Q:$Q,ДЕЛА!$A12,STATUS!$D:$D,ДЕЛА!BO$1)</f>
        <v>0</v>
      </c>
      <c r="BQ12" s="441">
        <f t="shared" si="47"/>
        <v>1</v>
      </c>
      <c r="BR12" s="594">
        <f>COUNTIFS(STATUS!$Q:$Q,ДЕЛА!$A12,STATUS!$D:$D,ДЕЛА!BR$1,STATUS!$S:$S,"Согласовано")</f>
        <v>0</v>
      </c>
      <c r="BS12" s="583">
        <f>COUNTIFS(STATUS!$Q:$Q,ДЕЛА!$A12,STATUS!$D:$D,ДЕЛА!BR$1)</f>
        <v>0</v>
      </c>
      <c r="BT12" s="441">
        <f t="shared" si="48"/>
        <v>1</v>
      </c>
      <c r="BU12" s="594">
        <f>COUNTIFS(STATUS!$Q:$Q,ДЕЛА!$A12,STATUS!$D:$D,ДЕЛА!BU$1,STATUS!$S:$S,"Согласовано")</f>
        <v>0</v>
      </c>
      <c r="BV12" s="583">
        <f>COUNTIFS(STATUS!$Q:$Q,ДЕЛА!$A12,STATUS!$D:$D,ДЕЛА!BU$1)</f>
        <v>0</v>
      </c>
      <c r="BW12" s="441">
        <f t="shared" si="49"/>
        <v>1</v>
      </c>
      <c r="BX12" s="600">
        <f t="shared" si="50"/>
        <v>0</v>
      </c>
      <c r="BY12" s="594">
        <f>COUNTIFS(STATUS!$Q:$Q,ДЕЛА!$A12,STATUS!$D:$D,ДЕЛА!BY$1,STATUS!$S:$S,"Согласовано")</f>
        <v>15</v>
      </c>
      <c r="BZ12" s="583">
        <f>COUNTIFS(STATUS!$Q:$Q,ДЕЛА!$A12,STATUS!$D:$D,ДЕЛА!BY$1)</f>
        <v>15</v>
      </c>
      <c r="CA12" s="441">
        <f t="shared" si="51"/>
        <v>1</v>
      </c>
      <c r="CB12" s="594">
        <f>COUNTIFS(STATUS!$Q:$Q,ДЕЛА!$A12,STATUS!$D:$D,ДЕЛА!CB$1,STATUS!$S:$S,"Согласовано")</f>
        <v>3</v>
      </c>
      <c r="CC12" s="583">
        <f>COUNTIFS(STATUS!$Q:$Q,ДЕЛА!$A12,STATUS!$D:$D,ДЕЛА!CB$1)</f>
        <v>3</v>
      </c>
      <c r="CD12" s="441">
        <f t="shared" si="52"/>
        <v>1</v>
      </c>
      <c r="CE12" s="594">
        <f>COUNTIFS(STATUS!$Q:$Q,ДЕЛА!$A12,STATUS!$D:$D,ДЕЛА!CE$1,STATUS!$S:$S,"Согласовано")</f>
        <v>2</v>
      </c>
      <c r="CF12" s="583">
        <f>COUNTIFS(STATUS!$Q:$Q,ДЕЛА!$A12,STATUS!$D:$D,ДЕЛА!CE$1)</f>
        <v>2</v>
      </c>
      <c r="CG12" s="441">
        <f t="shared" si="53"/>
        <v>1</v>
      </c>
      <c r="CH12" s="594">
        <f>COUNTIFS(STATUS!$Q:$Q,ДЕЛА!$A12,STATUS!$D:$D,ДЕЛА!CH$1,STATUS!$S:$S,"Согласовано")</f>
        <v>5</v>
      </c>
      <c r="CI12" s="583">
        <f>COUNTIFS(STATUS!$Q:$Q,ДЕЛА!$A12,STATUS!$D:$D,ДЕЛА!CH$1)</f>
        <v>5</v>
      </c>
      <c r="CJ12" s="441">
        <f t="shared" si="54"/>
        <v>1</v>
      </c>
      <c r="CK12" s="594">
        <f>COUNTIFS(STATUS!$Q:$Q,ДЕЛА!$A12,STATUS!$D:$D,ДЕЛА!CK$1,STATUS!$S:$S,"Согласовано")</f>
        <v>3</v>
      </c>
      <c r="CL12" s="583">
        <f>COUNTIFS(STATUS!$Q:$Q,ДЕЛА!$A12,STATUS!$D:$D,ДЕЛА!CK$1)</f>
        <v>3</v>
      </c>
      <c r="CM12" s="441">
        <f t="shared" si="55"/>
        <v>1</v>
      </c>
      <c r="CN12" s="809">
        <f>SUM(BZ12,CC12,CF12,CI12,CL12)</f>
        <v>28</v>
      </c>
      <c r="CO12" s="600">
        <f t="shared" si="56"/>
        <v>0</v>
      </c>
      <c r="CP12" s="594">
        <f>COUNTIFS(STATUS!$Q:$Q,ДЕЛА!$A12,STATUS!$D:$D,ДЕЛА!CP$1,STATUS!$S:$S,"Согласовано")</f>
        <v>5</v>
      </c>
      <c r="CQ12" s="583">
        <f>COUNTIFS(STATUS!$Q:$Q,ДЕЛА!$A12,STATUS!$D:$D,ДЕЛА!CP$1)</f>
        <v>5</v>
      </c>
      <c r="CR12" s="441">
        <f t="shared" si="57"/>
        <v>1</v>
      </c>
      <c r="CS12" s="594">
        <f>COUNTIFS(STATUS!$Q:$Q,ДЕЛА!$A12,STATUS!$D:$D,ДЕЛА!CS$1,STATUS!$S:$S,"Согласовано")</f>
        <v>2</v>
      </c>
      <c r="CT12" s="583">
        <f>COUNTIFS(STATUS!$Q:$Q,ДЕЛА!$A12,STATUS!$D:$D,ДЕЛА!CS$1)</f>
        <v>2</v>
      </c>
      <c r="CU12" s="441">
        <f t="shared" si="58"/>
        <v>1</v>
      </c>
      <c r="CV12" s="594">
        <f>COUNTIFS(STATUS!$Q:$Q,ДЕЛА!$A12,STATUS!$D:$D,ДЕЛА!CV$1,STATUS!$S:$S,"Согласовано")</f>
        <v>4</v>
      </c>
      <c r="CW12" s="583">
        <f>COUNTIFS(STATUS!$Q:$Q,ДЕЛА!$A12,STATUS!$D:$D,ДЕЛА!CV$1)</f>
        <v>4</v>
      </c>
      <c r="CX12" s="441">
        <f t="shared" si="59"/>
        <v>1</v>
      </c>
      <c r="CY12" s="594">
        <f>COUNTIFS(STATUS!$Q:$Q,ДЕЛА!$A12,STATUS!$D:$D,ДЕЛА!CY$1,STATUS!$S:$S,"Согласовано")</f>
        <v>3</v>
      </c>
      <c r="CZ12" s="583">
        <f>COUNTIFS(STATUS!$Q:$Q,ДЕЛА!$A12,STATUS!$D:$D,ДЕЛА!CY$1)</f>
        <v>3</v>
      </c>
      <c r="DA12" s="441">
        <f t="shared" si="60"/>
        <v>1</v>
      </c>
      <c r="DB12" s="594">
        <f>COUNTIFS(STATUS!$Q:$Q,ДЕЛА!$A12,STATUS!$D:$D,ДЕЛА!DB$1,STATUS!$S:$S,"Согласовано")</f>
        <v>0</v>
      </c>
      <c r="DC12" s="583">
        <f>COUNTIFS(STATUS!$Q:$Q,ДЕЛА!$A12,STATUS!$D:$D,ДЕЛА!DB$1)</f>
        <v>0</v>
      </c>
      <c r="DD12" s="441">
        <f t="shared" si="61"/>
        <v>1</v>
      </c>
      <c r="DE12" s="809">
        <f>SUM(CQ12,CT12,CW12,CZ12,DC12)</f>
        <v>14</v>
      </c>
      <c r="DF12" s="600">
        <f t="shared" si="62"/>
        <v>0</v>
      </c>
      <c r="DG12" s="594">
        <f>COUNTIFS(STATUS!$Q:$Q,ДЕЛА!$A12,STATUS!$D:$D,ДЕЛА!DG$1,STATUS!$S:$S,"Согласовано")</f>
        <v>3</v>
      </c>
      <c r="DH12" s="583">
        <f>COUNTIFS(STATUS!$Q:$Q,ДЕЛА!$A12,STATUS!$D:$D,ДЕЛА!DG$1)</f>
        <v>3</v>
      </c>
      <c r="DI12" s="441">
        <f t="shared" si="63"/>
        <v>1</v>
      </c>
      <c r="DJ12" s="594">
        <f>COUNTIFS(STATUS!$Q:$Q,ДЕЛА!$A12,STATUS!$D:$D,ДЕЛА!DJ$1,STATUS!$S:$S,"Согласовано")</f>
        <v>49</v>
      </c>
      <c r="DK12" s="583">
        <f>COUNTIFS(STATUS!$Q:$Q,ДЕЛА!$A12,STATUS!$D:$D,ДЕЛА!DJ$1)</f>
        <v>49</v>
      </c>
      <c r="DL12" s="441">
        <f t="shared" si="64"/>
        <v>1</v>
      </c>
      <c r="DM12" s="594">
        <f>COUNTIFS(STATUS!$Q:$Q,ДЕЛА!$A12,STATUS!$D:$D,ДЕЛА!DM$1,STATUS!$S:$S,"Согласовано")</f>
        <v>4</v>
      </c>
      <c r="DN12" s="583">
        <f>COUNTIFS(STATUS!$Q:$Q,ДЕЛА!$A12,STATUS!$D:$D,ДЕЛА!DM$1)</f>
        <v>4</v>
      </c>
      <c r="DO12" s="441">
        <f t="shared" si="65"/>
        <v>1</v>
      </c>
      <c r="DP12" s="594">
        <f>COUNTIFS(STATUS!$Q:$Q,ДЕЛА!$A12,STATUS!$D:$D,ДЕЛА!DP$1,STATUS!$S:$S,"Согласовано")</f>
        <v>4</v>
      </c>
      <c r="DQ12" s="583">
        <f>COUNTIFS(STATUS!$Q:$Q,ДЕЛА!$A12,STATUS!$D:$D,ДЕЛА!DP$1)</f>
        <v>4</v>
      </c>
      <c r="DR12" s="441">
        <f t="shared" si="66"/>
        <v>1</v>
      </c>
      <c r="DS12" s="594">
        <f>COUNTIFS(STATUS!$Q:$Q,ДЕЛА!$A12,STATUS!$D:$D,ДЕЛА!DS$1,STATUS!$S:$S,"Согласовано")</f>
        <v>3</v>
      </c>
      <c r="DT12" s="583">
        <f>COUNTIFS(STATUS!$Q:$Q,ДЕЛА!$A12,STATUS!$D:$D,ДЕЛА!DS$1)</f>
        <v>3</v>
      </c>
      <c r="DU12" s="441">
        <f t="shared" si="67"/>
        <v>1</v>
      </c>
      <c r="DV12" s="809">
        <f>SUM(DH12,DK12,DN12,DQ12,DT12)</f>
        <v>63</v>
      </c>
      <c r="DW12" s="600">
        <f t="shared" si="68"/>
        <v>0</v>
      </c>
      <c r="DX12" s="594">
        <f>COUNTIFS(STATUS!$Q:$Q,ДЕЛА!$A12,STATUS!$D:$D,ДЕЛА!DX$1,STATUS!$S:$S,"Согласовано")</f>
        <v>4</v>
      </c>
      <c r="DY12" s="583">
        <f>COUNTIFS(STATUS!$Q:$Q,ДЕЛА!$A12,STATUS!$D:$D,ДЕЛА!DX$1)</f>
        <v>4</v>
      </c>
      <c r="DZ12" s="441">
        <f t="shared" si="69"/>
        <v>1</v>
      </c>
      <c r="EA12" s="594">
        <f>COUNTIFS(STATUS!$Q:$Q,ДЕЛА!$A12,STATUS!$D:$D,ДЕЛА!EA$1,STATUS!$S:$S,"Согласовано")</f>
        <v>7</v>
      </c>
      <c r="EB12" s="583">
        <f>COUNTIFS(STATUS!$Q:$Q,ДЕЛА!$A12,STATUS!$D:$D,ДЕЛА!EA$1)</f>
        <v>7</v>
      </c>
      <c r="EC12" s="441">
        <f t="shared" si="70"/>
        <v>1</v>
      </c>
      <c r="ED12" s="594">
        <f>COUNTIFS(STATUS!$Q:$Q,ДЕЛА!$A12,STATUS!$D:$D,ДЕЛА!ED$1,STATUS!$S:$S,"Согласовано")</f>
        <v>0</v>
      </c>
      <c r="EE12" s="583">
        <f>COUNTIFS(STATUS!$Q:$Q,ДЕЛА!$A12,STATUS!$D:$D,ДЕЛА!ED$1)</f>
        <v>0</v>
      </c>
      <c r="EF12" s="441">
        <f t="shared" si="71"/>
        <v>1</v>
      </c>
      <c r="EG12" s="594">
        <f>COUNTIFS(STATUS!$Q:$Q,ДЕЛА!$A12,STATUS!$D:$D,ДЕЛА!EG$1,STATUS!$S:$S,"Согласовано")</f>
        <v>5</v>
      </c>
      <c r="EH12" s="583">
        <f>COUNTIFS(STATUS!$Q:$Q,ДЕЛА!$A12,STATUS!$D:$D,ДЕЛА!EG$1)</f>
        <v>5</v>
      </c>
      <c r="EI12" s="441">
        <f t="shared" si="72"/>
        <v>1</v>
      </c>
      <c r="EJ12" s="594">
        <f>COUNTIFS(STATUS!$Q:$Q,ДЕЛА!$A12,STATUS!$D:$D,ДЕЛА!EJ$1,STATUS!$S:$S,"Согласовано")</f>
        <v>1</v>
      </c>
      <c r="EK12" s="583">
        <f>COUNTIFS(STATUS!$Q:$Q,ДЕЛА!$A12,STATUS!$D:$D,ДЕЛА!EJ$1)</f>
        <v>1</v>
      </c>
      <c r="EL12" s="441">
        <f t="shared" si="73"/>
        <v>1</v>
      </c>
      <c r="EM12" s="809">
        <f>SUM(DY12,EB12,EE12,EH12,EK12)</f>
        <v>17</v>
      </c>
      <c r="EN12" s="600">
        <f t="shared" si="74"/>
        <v>0</v>
      </c>
      <c r="EO12" s="594">
        <f>COUNTIFS(STATUS!$Q:$Q,ДЕЛА!$A12,STATUS!$D:$D,ДЕЛА!EO$1,STATUS!$S:$S,"Согласовано")</f>
        <v>4</v>
      </c>
      <c r="EP12" s="583">
        <f>COUNTIFS(STATUS!$Q:$Q,ДЕЛА!$A12,STATUS!$D:$D,ДЕЛА!EO$1)</f>
        <v>4</v>
      </c>
      <c r="EQ12" s="441">
        <f t="shared" si="75"/>
        <v>1</v>
      </c>
      <c r="ER12" s="594">
        <f>COUNTIFS(STATUS!$Q:$Q,ДЕЛА!$A12,STATUS!$D:$D,ДЕЛА!ER$1,STATUS!$S:$S,"Согласовано")</f>
        <v>2</v>
      </c>
      <c r="ES12" s="583">
        <f>COUNTIFS(STATUS!$Q:$Q,ДЕЛА!$A12,STATUS!$D:$D,ДЕЛА!ER$1)</f>
        <v>2</v>
      </c>
      <c r="ET12" s="441">
        <f t="shared" si="76"/>
        <v>1</v>
      </c>
      <c r="EU12" s="594">
        <f>COUNTIFS(STATUS!$Q:$Q,ДЕЛА!$A12,STATUS!$D:$D,ДЕЛА!EU$1,STATUS!$S:$S,"Согласовано")</f>
        <v>0</v>
      </c>
      <c r="EV12" s="583">
        <f>COUNTIFS(STATUS!$Q:$Q,ДЕЛА!$A12,STATUS!$D:$D,ДЕЛА!EU$1)</f>
        <v>0</v>
      </c>
      <c r="EW12" s="441">
        <f t="shared" si="77"/>
        <v>1</v>
      </c>
      <c r="EX12" s="594">
        <f>COUNTIFS(STATUS!$Q:$Q,ДЕЛА!$A12,STATUS!$D:$D,ДЕЛА!EX$1,STATUS!$S:$S,"Согласовано")</f>
        <v>6</v>
      </c>
      <c r="EY12" s="583">
        <f>COUNTIFS(STATUS!$Q:$Q,ДЕЛА!$A12,STATUS!$D:$D,ДЕЛА!EX$1)</f>
        <v>6</v>
      </c>
      <c r="EZ12" s="441">
        <f t="shared" si="78"/>
        <v>1</v>
      </c>
      <c r="FA12" s="594">
        <f>COUNTIFS(STATUS!$Q:$Q,ДЕЛА!$A12,STATUS!$D:$D,ДЕЛА!FA$1,STATUS!$S:$S,"Согласовано")</f>
        <v>3</v>
      </c>
      <c r="FB12" s="583">
        <f>COUNTIFS(STATUS!$Q:$Q,ДЕЛА!$A12,STATUS!$D:$D,ДЕЛА!FA$1)</f>
        <v>3</v>
      </c>
      <c r="FC12" s="441">
        <f t="shared" si="79"/>
        <v>1</v>
      </c>
      <c r="FD12" s="809">
        <f>SUM(EP12,ES12,EV12,EY12,FB12)</f>
        <v>15</v>
      </c>
      <c r="FE12" s="600">
        <f t="shared" si="80"/>
        <v>0</v>
      </c>
      <c r="FF12" s="594">
        <f>COUNTIFS(STATUS!$Q:$Q,ДЕЛА!$A12,STATUS!$D:$D,ДЕЛА!FF$1,STATUS!$S:$S,"Согласовано")</f>
        <v>2</v>
      </c>
      <c r="FG12" s="583">
        <f>COUNTIFS(STATUS!$Q:$Q,ДЕЛА!$A12,STATUS!$D:$D,ДЕЛА!FF$1)</f>
        <v>2</v>
      </c>
      <c r="FH12" s="441">
        <f t="shared" si="81"/>
        <v>1</v>
      </c>
      <c r="FI12" s="594">
        <f>COUNTIFS(STATUS!$Q:$Q,ДЕЛА!$A12,STATUS!$D:$D,ДЕЛА!FI$1,STATUS!$S:$S,"Согласовано")</f>
        <v>4</v>
      </c>
      <c r="FJ12" s="583">
        <f>COUNTIFS(STATUS!$Q:$Q,ДЕЛА!$A12,STATUS!$D:$D,ДЕЛА!FI$1)</f>
        <v>4</v>
      </c>
      <c r="FK12" s="441">
        <f t="shared" si="82"/>
        <v>1</v>
      </c>
      <c r="FL12" s="594">
        <f>COUNTIFS(STATUS!$Q:$Q,ДЕЛА!$A12,STATUS!$D:$D,ДЕЛА!FL$1,STATUS!$S:$S,"Согласовано")</f>
        <v>3</v>
      </c>
      <c r="FM12" s="583">
        <f>COUNTIFS(STATUS!$Q:$Q,ДЕЛА!$A12,STATUS!$D:$D,ДЕЛА!FL$1)</f>
        <v>3</v>
      </c>
      <c r="FN12" s="441">
        <f t="shared" si="83"/>
        <v>1</v>
      </c>
      <c r="FO12" s="594">
        <f>COUNTIFS(STATUS!$Q:$Q,ДЕЛА!$A12,STATUS!$D:$D,ДЕЛА!FO$1,STATUS!$S:$S,"Согласовано")</f>
        <v>4</v>
      </c>
      <c r="FP12" s="583">
        <f>COUNTIFS(STATUS!$Q:$Q,ДЕЛА!$A12,STATUS!$D:$D,ДЕЛА!FO$1)</f>
        <v>4</v>
      </c>
      <c r="FQ12" s="441">
        <f t="shared" si="84"/>
        <v>1</v>
      </c>
      <c r="FR12" s="594">
        <f>COUNTIFS(STATUS!$Q:$Q,ДЕЛА!$A12,STATUS!$D:$D,ДЕЛА!FR$1,STATUS!$S:$S,"Согласовано")</f>
        <v>6</v>
      </c>
      <c r="FS12" s="583">
        <f>COUNTIFS(STATUS!$Q:$Q,ДЕЛА!$A12,STATUS!$D:$D,ДЕЛА!FR$1)</f>
        <v>6</v>
      </c>
      <c r="FT12" s="441">
        <f t="shared" si="85"/>
        <v>1</v>
      </c>
      <c r="FU12" s="809">
        <f t="shared" si="11"/>
        <v>19</v>
      </c>
      <c r="FV12" s="600">
        <f t="shared" si="86"/>
        <v>0</v>
      </c>
      <c r="FW12" s="594">
        <f>COUNTIFS(STATUS!$Q:$Q,ДЕЛА!$A12,STATUS!$D:$D,ДЕЛА!FW$1,STATUS!$S:$S,"Согласовано")</f>
        <v>4</v>
      </c>
      <c r="FX12" s="583">
        <f>COUNTIFS(STATUS!$Q:$Q,ДЕЛА!$A12,STATUS!$D:$D,ДЕЛА!FW$1)</f>
        <v>4</v>
      </c>
      <c r="FY12" s="441">
        <f t="shared" si="87"/>
        <v>1</v>
      </c>
      <c r="FZ12" s="594">
        <f>COUNTIFS(STATUS!$Q:$Q,ДЕЛА!$A12,STATUS!$D:$D,ДЕЛА!FZ$1,STATUS!$S:$S,"Согласовано")</f>
        <v>1</v>
      </c>
      <c r="GA12" s="583">
        <f>COUNTIFS(STATUS!$Q:$Q,ДЕЛА!$A12,STATUS!$D:$D,ДЕЛА!FZ$1)</f>
        <v>1</v>
      </c>
      <c r="GB12" s="441">
        <f t="shared" si="88"/>
        <v>1</v>
      </c>
      <c r="GC12" s="594">
        <f>COUNTIFS(STATUS!$Q:$Q,ДЕЛА!$A12,STATUS!$D:$D,ДЕЛА!GC$1,STATUS!$S:$S,"Согласовано")</f>
        <v>3</v>
      </c>
      <c r="GD12" s="583">
        <f>COUNTIFS(STATUS!$Q:$Q,ДЕЛА!$A12,STATUS!$D:$D,ДЕЛА!GC$1)</f>
        <v>3</v>
      </c>
      <c r="GE12" s="441">
        <f t="shared" si="89"/>
        <v>1</v>
      </c>
      <c r="GF12" s="594">
        <f>COUNTIFS(STATUS!$Q:$Q,ДЕЛА!$A12,STATUS!$D:$D,ДЕЛА!GF$1,STATUS!$S:$S,"Согласовано")</f>
        <v>4</v>
      </c>
      <c r="GG12" s="583">
        <f>COUNTIFS(STATUS!$Q:$Q,ДЕЛА!$A12,STATUS!$D:$D,ДЕЛА!GF$1)</f>
        <v>4</v>
      </c>
      <c r="GH12" s="441">
        <f t="shared" si="90"/>
        <v>1</v>
      </c>
      <c r="GI12" s="594">
        <f>COUNTIFS(STATUS!$Q:$Q,ДЕЛА!$A12,STATUS!$D:$D,ДЕЛА!GI$1,STATUS!$S:$S,"Согласовано")</f>
        <v>4</v>
      </c>
      <c r="GJ12" s="583">
        <f>COUNTIFS(STATUS!$Q:$Q,ДЕЛА!$A12,STATUS!$D:$D,ДЕЛА!GI$1)</f>
        <v>4</v>
      </c>
      <c r="GK12" s="441">
        <f t="shared" si="91"/>
        <v>1</v>
      </c>
      <c r="GL12" s="809">
        <f t="shared" si="12"/>
        <v>16</v>
      </c>
      <c r="GM12" s="600">
        <f t="shared" si="92"/>
        <v>0</v>
      </c>
      <c r="GN12" s="594">
        <f>COUNTIFS(STATUS!$Q:$Q,ДЕЛА!$A12,STATUS!$D:$D,ДЕЛА!GN$1,STATUS!$S:$S,"Согласовано")</f>
        <v>0</v>
      </c>
      <c r="GO12" s="583">
        <f>COUNTIFS(STATUS!$Q:$Q,ДЕЛА!$A12,STATUS!$D:$D,ДЕЛА!GN$1)</f>
        <v>0</v>
      </c>
      <c r="GP12" s="441">
        <f t="shared" si="93"/>
        <v>1</v>
      </c>
      <c r="GQ12" s="594">
        <f>COUNTIFS(STATUS!$Q:$Q,ДЕЛА!$A12,STATUS!$D:$D,ДЕЛА!GQ$1,STATUS!$S:$S,"Согласовано")</f>
        <v>0</v>
      </c>
      <c r="GR12" s="583">
        <f>COUNTIFS(STATUS!$Q:$Q,ДЕЛА!$A12,STATUS!$D:$D,ДЕЛА!GQ$1)</f>
        <v>0</v>
      </c>
      <c r="GS12" s="441">
        <f t="shared" si="94"/>
        <v>1</v>
      </c>
      <c r="GT12" s="594">
        <f>COUNTIFS(STATUS!$Q:$Q,ДЕЛА!$A12,STATUS!$D:$D,ДЕЛА!GT$1,STATUS!$S:$S,"Согласовано")</f>
        <v>0</v>
      </c>
      <c r="GU12" s="583">
        <f>COUNTIFS(STATUS!$Q:$Q,ДЕЛА!$A12,STATUS!$D:$D,ДЕЛА!GT$1)</f>
        <v>0</v>
      </c>
      <c r="GV12" s="441">
        <f t="shared" si="95"/>
        <v>1</v>
      </c>
      <c r="GW12" s="594">
        <f>COUNTIFS(STATUS!$Q:$Q,ДЕЛА!$A12,STATUS!$D:$D,ДЕЛА!GW$1,STATUS!$S:$S,"Согласовано")</f>
        <v>0</v>
      </c>
      <c r="GX12" s="583">
        <f>COUNTIFS(STATUS!$Q:$Q,ДЕЛА!$A12,STATUS!$D:$D,ДЕЛА!GW$1)</f>
        <v>0</v>
      </c>
      <c r="GY12" s="441">
        <f t="shared" si="96"/>
        <v>1</v>
      </c>
      <c r="GZ12" s="594">
        <f>COUNTIFS(STATUS!$Q:$Q,ДЕЛА!$A12,STATUS!$D:$D,ДЕЛА!GZ$1,STATUS!$S:$S,"Согласовано")</f>
        <v>0</v>
      </c>
      <c r="HA12" s="583">
        <f>COUNTIFS(STATUS!$Q:$Q,ДЕЛА!$A12,STATUS!$D:$D,ДЕЛА!GZ$1)</f>
        <v>0</v>
      </c>
      <c r="HB12" s="441">
        <f t="shared" si="97"/>
        <v>1</v>
      </c>
      <c r="HC12" s="809">
        <f t="shared" si="13"/>
        <v>0</v>
      </c>
      <c r="HD12" s="600">
        <f t="shared" si="98"/>
        <v>0</v>
      </c>
      <c r="HE12" s="594">
        <f>COUNTIFS(STATUS!$Q:$Q,ДЕЛА!$A12,STATUS!$D:$D,ДЕЛА!HE$1,STATUS!$S:$S,"Согласовано")</f>
        <v>0</v>
      </c>
      <c r="HF12" s="583">
        <f>COUNTIFS(STATUS!$Q:$Q,ДЕЛА!$A12,STATUS!$D:$D,ДЕЛА!HE$1)</f>
        <v>0</v>
      </c>
      <c r="HG12" s="441">
        <f t="shared" si="99"/>
        <v>1</v>
      </c>
      <c r="HH12" s="594">
        <f>COUNTIFS(STATUS!$Q:$Q,ДЕЛА!$A12,STATUS!$D:$D,ДЕЛА!HH$1,STATUS!$S:$S,"Согласовано")</f>
        <v>0</v>
      </c>
      <c r="HI12" s="583">
        <f>COUNTIFS(STATUS!$Q:$Q,ДЕЛА!$A12,STATUS!$D:$D,ДЕЛА!HH$1)</f>
        <v>0</v>
      </c>
      <c r="HJ12" s="441">
        <f t="shared" si="100"/>
        <v>1</v>
      </c>
      <c r="HK12" s="594">
        <f>COUNTIFS(STATUS!$Q:$Q,ДЕЛА!$A12,STATUS!$D:$D,ДЕЛА!HK$1,STATUS!$S:$S,"Согласовано")</f>
        <v>0</v>
      </c>
      <c r="HL12" s="583">
        <f>COUNTIFS(STATUS!$Q:$Q,ДЕЛА!$A12,STATUS!$D:$D,ДЕЛА!HK$1)</f>
        <v>0</v>
      </c>
      <c r="HM12" s="441">
        <f t="shared" si="101"/>
        <v>1</v>
      </c>
      <c r="HN12" s="594">
        <f>COUNTIFS(STATUS!$Q:$Q,ДЕЛА!$A12,STATUS!$D:$D,ДЕЛА!HN$1,STATUS!$S:$S,"Согласовано")</f>
        <v>0</v>
      </c>
      <c r="HO12" s="583">
        <f>COUNTIFS(STATUS!$Q:$Q,ДЕЛА!$A12,STATUS!$D:$D,ДЕЛА!HN$1)</f>
        <v>0</v>
      </c>
      <c r="HP12" s="441">
        <f t="shared" si="102"/>
        <v>1</v>
      </c>
      <c r="HQ12" s="594">
        <f>COUNTIFS(STATUS!$Q:$Q,ДЕЛА!$A12,STATUS!$D:$D,ДЕЛА!HQ$1,STATUS!$S:$S,"Согласовано")</f>
        <v>0</v>
      </c>
      <c r="HR12" s="583">
        <f>COUNTIFS(STATUS!$Q:$Q,ДЕЛА!$A12,STATUS!$D:$D,ДЕЛА!HQ$1)</f>
        <v>0</v>
      </c>
      <c r="HS12" s="441">
        <f t="shared" si="103"/>
        <v>1</v>
      </c>
      <c r="HT12" s="809">
        <f t="shared" si="14"/>
        <v>0</v>
      </c>
      <c r="HU12" s="600">
        <f t="shared" si="104"/>
        <v>0</v>
      </c>
      <c r="HV12" s="594">
        <f>COUNTIFS(STATUS!$Q:$Q,ДЕЛА!$A12,STATUS!$D:$D,ДЕЛА!HV$1,STATUS!$S:$S,"Согласовано")</f>
        <v>0</v>
      </c>
      <c r="HW12" s="583">
        <f>COUNTIFS(STATUS!$Q:$Q,ДЕЛА!$A12,STATUS!$D:$D,ДЕЛА!HV$1)</f>
        <v>0</v>
      </c>
      <c r="HX12" s="441">
        <f t="shared" si="105"/>
        <v>1</v>
      </c>
      <c r="HY12" s="594">
        <f>COUNTIFS(STATUS!$Q:$Q,ДЕЛА!$A12,STATUS!$D:$D,ДЕЛА!HY$1,STATUS!$S:$S,"Согласовано")</f>
        <v>0</v>
      </c>
      <c r="HZ12" s="583">
        <f>COUNTIFS(STATUS!$Q:$Q,ДЕЛА!$A12,STATUS!$D:$D,ДЕЛА!HY$1)</f>
        <v>0</v>
      </c>
      <c r="IA12" s="441">
        <f t="shared" si="106"/>
        <v>1</v>
      </c>
      <c r="IB12" s="594">
        <f>COUNTIFS(STATUS!$Q:$Q,ДЕЛА!$A12,STATUS!$D:$D,ДЕЛА!IB$1,STATUS!$S:$S,"Согласовано")</f>
        <v>0</v>
      </c>
      <c r="IC12" s="583">
        <f>COUNTIFS(STATUS!$Q:$Q,ДЕЛА!$A12,STATUS!$D:$D,ДЕЛА!IB$1)</f>
        <v>0</v>
      </c>
      <c r="ID12" s="441">
        <f t="shared" si="107"/>
        <v>1</v>
      </c>
      <c r="IE12" s="594">
        <f>COUNTIFS(STATUS!$Q:$Q,ДЕЛА!$A12,STATUS!$D:$D,ДЕЛА!IE$1,STATUS!$S:$S,"Согласовано")</f>
        <v>0</v>
      </c>
      <c r="IF12" s="583">
        <f>COUNTIFS(STATUS!$Q:$Q,ДЕЛА!$A12,STATUS!$D:$D,ДЕЛА!IE$1)</f>
        <v>0</v>
      </c>
      <c r="IG12" s="441">
        <f t="shared" si="108"/>
        <v>1</v>
      </c>
      <c r="IH12" s="594">
        <f>COUNTIFS(STATUS!$Q:$Q,ДЕЛА!$A12,STATUS!$D:$D,ДЕЛА!IH$1,STATUS!$S:$S,"Согласовано")</f>
        <v>0</v>
      </c>
      <c r="II12" s="583">
        <f>COUNTIFS(STATUS!$Q:$Q,ДЕЛА!$A12,STATUS!$D:$D,ДЕЛА!IH$1)</f>
        <v>0</v>
      </c>
      <c r="IJ12" s="441">
        <f t="shared" si="109"/>
        <v>1</v>
      </c>
      <c r="IK12" s="809">
        <f t="shared" si="15"/>
        <v>0</v>
      </c>
      <c r="IL12" s="600">
        <f t="shared" si="110"/>
        <v>0</v>
      </c>
      <c r="IM12" s="594">
        <f>COUNTIFS(STATUS!$Q:$Q,ДЕЛА!$A12,STATUS!$D:$D,ДЕЛА!IM$1,STATUS!$S:$S,"Согласовано")</f>
        <v>0</v>
      </c>
      <c r="IN12" s="583">
        <f>COUNTIFS(STATUS!$Q:$Q,ДЕЛА!$A12,STATUS!$D:$D,ДЕЛА!IM$1)</f>
        <v>0</v>
      </c>
      <c r="IO12" s="441">
        <f t="shared" si="111"/>
        <v>1</v>
      </c>
      <c r="IP12" s="594">
        <f>COUNTIFS(STATUS!$Q:$Q,ДЕЛА!$A12,STATUS!$D:$D,ДЕЛА!IP$1,STATUS!$S:$S,"Согласовано")</f>
        <v>0</v>
      </c>
      <c r="IQ12" s="583">
        <f>COUNTIFS(STATUS!$Q:$Q,ДЕЛА!$A12,STATUS!$D:$D,ДЕЛА!IP$1)</f>
        <v>0</v>
      </c>
      <c r="IR12" s="441">
        <f t="shared" si="112"/>
        <v>1</v>
      </c>
      <c r="IS12" s="594">
        <f>COUNTIFS(STATUS!$Q:$Q,ДЕЛА!$A12,STATUS!$D:$D,ДЕЛА!IS$1,STATUS!$S:$S,"Согласовано")</f>
        <v>0</v>
      </c>
      <c r="IT12" s="583">
        <f>COUNTIFS(STATUS!$Q:$Q,ДЕЛА!$A12,STATUS!$D:$D,ДЕЛА!IS$1)</f>
        <v>0</v>
      </c>
      <c r="IU12" s="441">
        <f t="shared" si="113"/>
        <v>1</v>
      </c>
      <c r="IV12" s="594">
        <f>COUNTIFS(STATUS!$Q:$Q,ДЕЛА!$A12,STATUS!$D:$D,ДЕЛА!IV$1,STATUS!$S:$S,"Согласовано")</f>
        <v>0</v>
      </c>
      <c r="IW12" s="583">
        <f>COUNTIFS(STATUS!$Q:$Q,ДЕЛА!$A12,STATUS!$D:$D,ДЕЛА!IV$1)</f>
        <v>0</v>
      </c>
      <c r="IX12" s="441">
        <f t="shared" si="114"/>
        <v>1</v>
      </c>
      <c r="IY12" s="594">
        <f>COUNTIFS(STATUS!$Q:$Q,ДЕЛА!$A12,STATUS!$D:$D,ДЕЛА!IY$1,STATUS!$S:$S,"Согласовано")</f>
        <v>0</v>
      </c>
      <c r="IZ12" s="583">
        <f>COUNTIFS(STATUS!$Q:$Q,ДЕЛА!$A12,STATUS!$D:$D,ДЕЛА!IY$1)</f>
        <v>0</v>
      </c>
      <c r="JA12" s="441">
        <f t="shared" si="115"/>
        <v>1</v>
      </c>
      <c r="JB12" s="809">
        <f t="shared" si="16"/>
        <v>0</v>
      </c>
      <c r="JC12" s="600">
        <f t="shared" si="116"/>
        <v>0</v>
      </c>
      <c r="JD12" s="594">
        <f>COUNTIFS(STATUS!$Q:$Q,ДЕЛА!$A12,STATUS!$D:$D,ДЕЛА!JD$1,STATUS!$S:$S,"Согласовано")</f>
        <v>0</v>
      </c>
      <c r="JE12" s="583">
        <f>COUNTIFS(STATUS!$Q:$Q,ДЕЛА!$A12,STATUS!$D:$D,ДЕЛА!JD$1)</f>
        <v>0</v>
      </c>
      <c r="JF12" s="441">
        <f t="shared" si="117"/>
        <v>1</v>
      </c>
      <c r="JG12" s="594">
        <f>COUNTIFS(STATUS!$Q:$Q,ДЕЛА!$A12,STATUS!$D:$D,ДЕЛА!JG$1,STATUS!$S:$S,"Согласовано")</f>
        <v>0</v>
      </c>
      <c r="JH12" s="583">
        <f>COUNTIFS(STATUS!$Q:$Q,ДЕЛА!$A12,STATUS!$D:$D,ДЕЛА!JG$1)</f>
        <v>0</v>
      </c>
      <c r="JI12" s="441">
        <f t="shared" si="118"/>
        <v>1</v>
      </c>
      <c r="JJ12" s="594">
        <f>COUNTIFS(STATUS!$Q:$Q,ДЕЛА!$A12,STATUS!$D:$D,ДЕЛА!JJ$1,STATUS!$S:$S,"Согласовано")</f>
        <v>0</v>
      </c>
      <c r="JK12" s="583">
        <f>COUNTIFS(STATUS!$Q:$Q,ДЕЛА!$A12,STATUS!$D:$D,ДЕЛА!JJ$1)</f>
        <v>0</v>
      </c>
      <c r="JL12" s="441">
        <f t="shared" si="119"/>
        <v>1</v>
      </c>
      <c r="JM12" s="594">
        <f>COUNTIFS(STATUS!$Q:$Q,ДЕЛА!$A12,STATUS!$D:$D,ДЕЛА!JM$1,STATUS!$S:$S,"Согласовано")</f>
        <v>0</v>
      </c>
      <c r="JN12" s="583">
        <f>COUNTIFS(STATUS!$Q:$Q,ДЕЛА!$A12,STATUS!$D:$D,ДЕЛА!JM$1)</f>
        <v>0</v>
      </c>
      <c r="JO12" s="441">
        <f t="shared" si="120"/>
        <v>1</v>
      </c>
      <c r="JP12" s="594">
        <f>COUNTIFS(STATUS!$Q:$Q,ДЕЛА!$A12,STATUS!$D:$D,ДЕЛА!JP$1,STATUS!$S:$S,"Согласовано")</f>
        <v>0</v>
      </c>
      <c r="JQ12" s="583">
        <f>COUNTIFS(STATUS!$Q:$Q,ДЕЛА!$A12,STATUS!$D:$D,ДЕЛА!JP$1)</f>
        <v>0</v>
      </c>
      <c r="JR12" s="441">
        <f t="shared" si="121"/>
        <v>1</v>
      </c>
      <c r="JS12" s="809">
        <f t="shared" si="17"/>
        <v>0</v>
      </c>
      <c r="JT12" s="600">
        <f t="shared" si="122"/>
        <v>0</v>
      </c>
      <c r="JU12" s="594">
        <f>COUNTIFS(STATUS!$Q:$Q,ДЕЛА!$A12,STATUS!$D:$D,ДЕЛА!JU$1,STATUS!$S:$S,"Согласовано")</f>
        <v>0</v>
      </c>
      <c r="JV12" s="583">
        <f>COUNTIFS(STATUS!$Q:$Q,ДЕЛА!$A12,STATUS!$D:$D,ДЕЛА!JU$1)</f>
        <v>0</v>
      </c>
      <c r="JW12" s="441">
        <f t="shared" si="123"/>
        <v>1</v>
      </c>
      <c r="JX12" s="594">
        <f>COUNTIFS(STATUS!$Q:$Q,ДЕЛА!$A12,STATUS!$D:$D,ДЕЛА!JX$1,STATUS!$S:$S,"Согласовано")</f>
        <v>0</v>
      </c>
      <c r="JY12" s="583">
        <f>COUNTIFS(STATUS!$Q:$Q,ДЕЛА!$A12,STATUS!$D:$D,ДЕЛА!JX$1)</f>
        <v>0</v>
      </c>
      <c r="JZ12" s="441">
        <f t="shared" si="124"/>
        <v>1</v>
      </c>
      <c r="KA12" s="594">
        <f>COUNTIFS(STATUS!$Q:$Q,ДЕЛА!$A12,STATUS!$D:$D,ДЕЛА!KA$1,STATUS!$S:$S,"Согласовано")</f>
        <v>0</v>
      </c>
      <c r="KB12" s="583">
        <f>COUNTIFS(STATUS!$Q:$Q,ДЕЛА!$A12,STATUS!$D:$D,ДЕЛА!KA$1)</f>
        <v>0</v>
      </c>
      <c r="KC12" s="441">
        <f t="shared" si="125"/>
        <v>1</v>
      </c>
      <c r="KD12" s="594">
        <f>COUNTIFS(STATUS!$Q:$Q,ДЕЛА!$A12,STATUS!$D:$D,ДЕЛА!KD$1,STATUS!$S:$S,"Согласовано")</f>
        <v>0</v>
      </c>
      <c r="KE12" s="583">
        <f>COUNTIFS(STATUS!$Q:$Q,ДЕЛА!$A12,STATUS!$D:$D,ДЕЛА!KD$1)</f>
        <v>0</v>
      </c>
      <c r="KF12" s="441">
        <f t="shared" si="126"/>
        <v>1</v>
      </c>
      <c r="KG12" s="594">
        <f>COUNTIFS(STATUS!$Q:$Q,ДЕЛА!$A12,STATUS!$D:$D,ДЕЛА!KG$1,STATUS!$S:$S,"Согласовано")</f>
        <v>0</v>
      </c>
      <c r="KH12" s="583">
        <f>COUNTIFS(STATUS!$Q:$Q,ДЕЛА!$A12,STATUS!$D:$D,ДЕЛА!KG$1)</f>
        <v>0</v>
      </c>
      <c r="KI12" s="441">
        <f t="shared" si="127"/>
        <v>1</v>
      </c>
      <c r="KJ12" s="809">
        <f t="shared" si="18"/>
        <v>0</v>
      </c>
      <c r="KK12" s="600">
        <f t="shared" si="128"/>
        <v>0</v>
      </c>
      <c r="KL12" s="594">
        <f>COUNTIFS(STATUS!$Q:$Q,ДЕЛА!$A12,STATUS!$D:$D,ДЕЛА!KL$1,STATUS!$S:$S,"Согласовано")</f>
        <v>0</v>
      </c>
      <c r="KM12" s="583">
        <f>COUNTIFS(STATUS!$Q:$Q,ДЕЛА!$A12,STATUS!$D:$D,ДЕЛА!KL$1)</f>
        <v>0</v>
      </c>
      <c r="KN12" s="441">
        <f t="shared" si="129"/>
        <v>1</v>
      </c>
      <c r="KO12" s="594">
        <f>COUNTIFS(STATUS!$Q:$Q,ДЕЛА!$A12,STATUS!$D:$D,ДЕЛА!KO$1,STATUS!$S:$S,"Согласовано")</f>
        <v>0</v>
      </c>
      <c r="KP12" s="583">
        <f>COUNTIFS(STATUS!$Q:$Q,ДЕЛА!$A12,STATUS!$D:$D,ДЕЛА!KO$1)</f>
        <v>0</v>
      </c>
      <c r="KQ12" s="441">
        <f t="shared" si="130"/>
        <v>1</v>
      </c>
      <c r="KR12" s="594">
        <f>COUNTIFS(STATUS!$Q:$Q,ДЕЛА!$A12,STATUS!$D:$D,ДЕЛА!KR$1,STATUS!$S:$S,"Согласовано")</f>
        <v>0</v>
      </c>
      <c r="KS12" s="583">
        <f>COUNTIFS(STATUS!$Q:$Q,ДЕЛА!$A12,STATUS!$D:$D,ДЕЛА!KR$1)</f>
        <v>0</v>
      </c>
      <c r="KT12" s="441">
        <f t="shared" si="131"/>
        <v>1</v>
      </c>
      <c r="KU12" s="594">
        <f>COUNTIFS(STATUS!$Q:$Q,ДЕЛА!$A12,STATUS!$D:$D,ДЕЛА!KU$1,STATUS!$S:$S,"Согласовано")</f>
        <v>0</v>
      </c>
      <c r="KV12" s="583">
        <f>COUNTIFS(STATUS!$Q:$Q,ДЕЛА!$A12,STATUS!$D:$D,ДЕЛА!KU$1)</f>
        <v>0</v>
      </c>
      <c r="KW12" s="441">
        <f t="shared" si="132"/>
        <v>1</v>
      </c>
      <c r="KX12" s="594">
        <f>COUNTIFS(STATUS!$Q:$Q,ДЕЛА!$A12,STATUS!$D:$D,ДЕЛА!KX$1,STATUS!$S:$S,"Согласовано")</f>
        <v>0</v>
      </c>
      <c r="KY12" s="583">
        <f>COUNTIFS(STATUS!$Q:$Q,ДЕЛА!$A12,STATUS!$D:$D,ДЕЛА!KX$1)</f>
        <v>0</v>
      </c>
      <c r="KZ12" s="441">
        <f t="shared" si="133"/>
        <v>1</v>
      </c>
      <c r="LA12" s="809">
        <f t="shared" si="19"/>
        <v>0</v>
      </c>
      <c r="LB12" s="600">
        <f t="shared" si="134"/>
        <v>0</v>
      </c>
      <c r="LC12" s="594">
        <f>COUNTIFS(STATUS!$Q:$Q,ДЕЛА!$A12,STATUS!$D:$D,ДЕЛА!LC$1,STATUS!$S:$S,"Согласовано")</f>
        <v>0</v>
      </c>
      <c r="LD12" s="583">
        <f>COUNTIFS(STATUS!$Q:$Q,ДЕЛА!$A12,STATUS!$D:$D,ДЕЛА!LC$1)</f>
        <v>0</v>
      </c>
      <c r="LE12" s="441">
        <f t="shared" si="135"/>
        <v>1</v>
      </c>
      <c r="LF12" s="594">
        <f>COUNTIFS(STATUS!$Q:$Q,ДЕЛА!$A12,STATUS!$D:$D,ДЕЛА!LF$1,STATUS!$S:$S,"Согласовано")</f>
        <v>0</v>
      </c>
      <c r="LG12" s="583">
        <f>COUNTIFS(STATUS!$Q:$Q,ДЕЛА!$A12,STATUS!$D:$D,ДЕЛА!LF$1)</f>
        <v>0</v>
      </c>
      <c r="LH12" s="441">
        <f t="shared" si="136"/>
        <v>1</v>
      </c>
      <c r="LI12" s="594">
        <f>COUNTIFS(STATUS!$Q:$Q,ДЕЛА!$A12,STATUS!$D:$D,ДЕЛА!LI$1,STATUS!$S:$S,"Согласовано")</f>
        <v>0</v>
      </c>
      <c r="LJ12" s="583">
        <f>COUNTIFS(STATUS!$Q:$Q,ДЕЛА!$A12,STATUS!$D:$D,ДЕЛА!LI$1)</f>
        <v>0</v>
      </c>
      <c r="LK12" s="441">
        <f t="shared" si="137"/>
        <v>1</v>
      </c>
      <c r="LL12" s="594">
        <f>COUNTIFS(STATUS!$Q:$Q,ДЕЛА!$A12,STATUS!$D:$D,ДЕЛА!LL$1,STATUS!$S:$S,"Согласовано")</f>
        <v>0</v>
      </c>
      <c r="LM12" s="583">
        <f>COUNTIFS(STATUS!$Q:$Q,ДЕЛА!$A12,STATUS!$D:$D,ДЕЛА!LL$1)</f>
        <v>0</v>
      </c>
      <c r="LN12" s="441">
        <f t="shared" si="138"/>
        <v>1</v>
      </c>
      <c r="LO12" s="594">
        <f>COUNTIFS(STATUS!$Q:$Q,ДЕЛА!$A12,STATUS!$D:$D,ДЕЛА!LO$1,STATUS!$S:$S,"Согласовано")</f>
        <v>0</v>
      </c>
      <c r="LP12" s="583">
        <f>COUNTIFS(STATUS!$Q:$Q,ДЕЛА!$A12,STATUS!$D:$D,ДЕЛА!LO$1)</f>
        <v>0</v>
      </c>
      <c r="LQ12" s="441">
        <f t="shared" si="139"/>
        <v>1</v>
      </c>
      <c r="LR12" s="809">
        <f t="shared" si="20"/>
        <v>0</v>
      </c>
      <c r="LS12" s="600">
        <f t="shared" si="140"/>
        <v>0</v>
      </c>
      <c r="LT12" s="594">
        <f>COUNTIFS(STATUS!$Q:$Q,ДЕЛА!$A12,STATUS!$D:$D,ДЕЛА!LT$1,STATUS!$S:$S,"Согласовано")</f>
        <v>0</v>
      </c>
      <c r="LU12" s="583">
        <f>COUNTIFS(STATUS!$Q:$Q,ДЕЛА!$A12,STATUS!$D:$D,ДЕЛА!LT$1)</f>
        <v>0</v>
      </c>
      <c r="LV12" s="441">
        <f t="shared" si="141"/>
        <v>1</v>
      </c>
      <c r="LW12" s="594">
        <f>COUNTIFS(STATUS!$Q:$Q,ДЕЛА!$A12,STATUS!$D:$D,ДЕЛА!LW$1,STATUS!$S:$S,"Согласовано")</f>
        <v>0</v>
      </c>
      <c r="LX12" s="583">
        <f>COUNTIFS(STATUS!$Q:$Q,ДЕЛА!$A12,STATUS!$D:$D,ДЕЛА!LW$1)</f>
        <v>0</v>
      </c>
      <c r="LY12" s="441">
        <f t="shared" si="142"/>
        <v>1</v>
      </c>
      <c r="LZ12" s="594">
        <f>COUNTIFS(STATUS!$Q:$Q,ДЕЛА!$A12,STATUS!$D:$D,ДЕЛА!LZ$1,STATUS!$S:$S,"Согласовано")</f>
        <v>0</v>
      </c>
      <c r="MA12" s="583">
        <f>COUNTIFS(STATUS!$Q:$Q,ДЕЛА!$A12,STATUS!$D:$D,ДЕЛА!LZ$1)</f>
        <v>0</v>
      </c>
      <c r="MB12" s="441">
        <f t="shared" si="143"/>
        <v>1</v>
      </c>
      <c r="MC12" s="594">
        <f>COUNTIFS(STATUS!$Q:$Q,ДЕЛА!$A12,STATUS!$D:$D,ДЕЛА!MC$1,STATUS!$S:$S,"Согласовано")</f>
        <v>0</v>
      </c>
      <c r="MD12" s="583">
        <f>COUNTIFS(STATUS!$Q:$Q,ДЕЛА!$A12,STATUS!$D:$D,ДЕЛА!MC$1)</f>
        <v>0</v>
      </c>
      <c r="ME12" s="441">
        <f t="shared" si="144"/>
        <v>1</v>
      </c>
      <c r="MF12" s="594">
        <f>COUNTIFS(STATUS!$Q:$Q,ДЕЛА!$A12,STATUS!$D:$D,ДЕЛА!MF$1,STATUS!$S:$S,"Согласовано")</f>
        <v>0</v>
      </c>
      <c r="MG12" s="583">
        <f>COUNTIFS(STATUS!$Q:$Q,ДЕЛА!$A12,STATUS!$D:$D,ДЕЛА!MF$1)</f>
        <v>0</v>
      </c>
      <c r="MH12" s="441">
        <f t="shared" si="145"/>
        <v>1</v>
      </c>
      <c r="MI12" s="809">
        <f t="shared" si="21"/>
        <v>0</v>
      </c>
      <c r="MJ12" s="600">
        <f t="shared" si="146"/>
        <v>0</v>
      </c>
      <c r="MK12" s="594">
        <f>COUNTIFS(STATUS!$Q:$Q,ДЕЛА!$A12,STATUS!$D:$D,ДЕЛА!MK$1,STATUS!$S:$S,"Согласовано")</f>
        <v>0</v>
      </c>
      <c r="ML12" s="583">
        <f>COUNTIFS(STATUS!$Q:$Q,ДЕЛА!$A12,STATUS!$D:$D,ДЕЛА!MK$1)</f>
        <v>0</v>
      </c>
      <c r="MM12" s="441">
        <f t="shared" si="147"/>
        <v>1</v>
      </c>
      <c r="MN12" s="594">
        <f>COUNTIFS(STATUS!$Q:$Q,ДЕЛА!$A12,STATUS!$D:$D,ДЕЛА!MN$1,STATUS!$S:$S,"Согласовано")</f>
        <v>0</v>
      </c>
      <c r="MO12" s="583">
        <f>COUNTIFS(STATUS!$Q:$Q,ДЕЛА!$A12,STATUS!$D:$D,ДЕЛА!MN$1)</f>
        <v>0</v>
      </c>
      <c r="MP12" s="441">
        <f t="shared" si="148"/>
        <v>1</v>
      </c>
      <c r="MQ12" s="594">
        <f>COUNTIFS(STATUS!$Q:$Q,ДЕЛА!$A12,STATUS!$D:$D,ДЕЛА!MQ$1,STATUS!$S:$S,"Согласовано")</f>
        <v>0</v>
      </c>
      <c r="MR12" s="583">
        <f>COUNTIFS(STATUS!$Q:$Q,ДЕЛА!$A12,STATUS!$D:$D,ДЕЛА!MQ$1)</f>
        <v>0</v>
      </c>
      <c r="MS12" s="441">
        <f t="shared" si="149"/>
        <v>1</v>
      </c>
      <c r="MT12" s="594">
        <f>COUNTIFS(STATUS!$Q:$Q,ДЕЛА!$A12,STATUS!$D:$D,ДЕЛА!MT$1,STATUS!$S:$S,"Согласовано")</f>
        <v>0</v>
      </c>
      <c r="MU12" s="583">
        <f>COUNTIFS(STATUS!$Q:$Q,ДЕЛА!$A12,STATUS!$D:$D,ДЕЛА!MT$1)</f>
        <v>0</v>
      </c>
      <c r="MV12" s="441">
        <f t="shared" si="150"/>
        <v>1</v>
      </c>
      <c r="MW12" s="594">
        <f>COUNTIFS(STATUS!$Q:$Q,ДЕЛА!$A12,STATUS!$D:$D,ДЕЛА!MW$1,STATUS!$S:$S,"Согласовано")</f>
        <v>0</v>
      </c>
      <c r="MX12" s="583">
        <f>COUNTIFS(STATUS!$Q:$Q,ДЕЛА!$A12,STATUS!$D:$D,ДЕЛА!MW$1)</f>
        <v>0</v>
      </c>
      <c r="MY12" s="441">
        <f t="shared" si="151"/>
        <v>1</v>
      </c>
      <c r="MZ12" s="809">
        <f t="shared" si="22"/>
        <v>0</v>
      </c>
      <c r="NA12" s="600">
        <f t="shared" si="152"/>
        <v>0</v>
      </c>
      <c r="NB12" s="594">
        <f>COUNTIFS(STATUS!$Q:$Q,ДЕЛА!$A12,STATUS!$D:$D,ДЕЛА!NB$1,STATUS!$S:$S,"Согласовано")</f>
        <v>0</v>
      </c>
      <c r="NC12" s="583">
        <f>COUNTIFS(STATUS!$Q:$Q,ДЕЛА!$A12,STATUS!$D:$D,ДЕЛА!NB$1)</f>
        <v>0</v>
      </c>
      <c r="ND12" s="441">
        <f t="shared" si="153"/>
        <v>1</v>
      </c>
      <c r="NE12" s="594">
        <f>COUNTIFS(STATUS!$Q:$Q,ДЕЛА!$A12,STATUS!$D:$D,ДЕЛА!NE$1,STATUS!$S:$S,"Согласовано")</f>
        <v>0</v>
      </c>
      <c r="NF12" s="583">
        <f>COUNTIFS(STATUS!$Q:$Q,ДЕЛА!$A12,STATUS!$D:$D,ДЕЛА!NE$1)</f>
        <v>0</v>
      </c>
      <c r="NG12" s="441">
        <f t="shared" si="154"/>
        <v>1</v>
      </c>
      <c r="NH12" s="594">
        <f>COUNTIFS(STATUS!$Q:$Q,ДЕЛА!$A12,STATUS!$D:$D,ДЕЛА!NH$1,STATUS!$S:$S,"Согласовано")</f>
        <v>0</v>
      </c>
      <c r="NI12" s="583">
        <f>COUNTIFS(STATUS!$Q:$Q,ДЕЛА!$A12,STATUS!$D:$D,ДЕЛА!NH$1)</f>
        <v>0</v>
      </c>
      <c r="NJ12" s="441">
        <f t="shared" si="155"/>
        <v>1</v>
      </c>
      <c r="NK12" s="594">
        <f>COUNTIFS(STATUS!$Q:$Q,ДЕЛА!$A12,STATUS!$D:$D,ДЕЛА!NK$1,STATUS!$S:$S,"Согласовано")</f>
        <v>0</v>
      </c>
      <c r="NL12" s="583">
        <f>COUNTIFS(STATUS!$Q:$Q,ДЕЛА!$A12,STATUS!$D:$D,ДЕЛА!NK$1)</f>
        <v>0</v>
      </c>
      <c r="NM12" s="441">
        <f t="shared" si="156"/>
        <v>1</v>
      </c>
      <c r="NN12" s="594">
        <f>COUNTIFS(STATUS!$Q:$Q,ДЕЛА!$A12,STATUS!$D:$D,ДЕЛА!NN$1,STATUS!$S:$S,"Согласовано")</f>
        <v>0</v>
      </c>
      <c r="NO12" s="583">
        <f>COUNTIFS(STATUS!$Q:$Q,ДЕЛА!$A12,STATUS!$D:$D,ДЕЛА!NN$1)</f>
        <v>0</v>
      </c>
      <c r="NP12" s="441">
        <f t="shared" si="157"/>
        <v>1</v>
      </c>
      <c r="NQ12" s="809">
        <f t="shared" si="23"/>
        <v>0</v>
      </c>
      <c r="NR12" s="600">
        <f t="shared" si="158"/>
        <v>0</v>
      </c>
      <c r="NS12" s="594">
        <f>COUNTIFS(STATUS!$Q:$Q,ДЕЛА!$A12,STATUS!$D:$D,ДЕЛА!NS$1,STATUS!$S:$S,"Согласовано")</f>
        <v>0</v>
      </c>
      <c r="NT12" s="583">
        <f>COUNTIFS(STATUS!$Q:$Q,ДЕЛА!$A12,STATUS!$D:$D,ДЕЛА!NS$1)</f>
        <v>0</v>
      </c>
      <c r="NU12" s="441">
        <f t="shared" si="399"/>
        <v>1</v>
      </c>
      <c r="NV12" s="594">
        <f>COUNTIFS(STATUS!$Q:$Q,ДЕЛА!$A12,STATUS!$D:$D,ДЕЛА!NV$1,STATUS!$S:$S,"Согласовано")</f>
        <v>0</v>
      </c>
      <c r="NW12" s="583">
        <f>COUNTIFS(STATUS!$Q:$Q,ДЕЛА!$A12,STATUS!$D:$D,ДЕЛА!NV$1)</f>
        <v>0</v>
      </c>
      <c r="NX12" s="441">
        <f t="shared" si="400"/>
        <v>1</v>
      </c>
      <c r="NY12" s="594">
        <f>COUNTIFS(STATUS!$Q:$Q,ДЕЛА!$A12,STATUS!$D:$D,ДЕЛА!NY$1,STATUS!$S:$S,"Согласовано")</f>
        <v>0</v>
      </c>
      <c r="NZ12" s="583">
        <f>COUNTIFS(STATUS!$Q:$Q,ДЕЛА!$A12,STATUS!$D:$D,ДЕЛА!NY$1)</f>
        <v>0</v>
      </c>
      <c r="OA12" s="441">
        <f t="shared" si="401"/>
        <v>1</v>
      </c>
      <c r="OB12" s="594">
        <f>COUNTIFS(STATUS!$Q:$Q,ДЕЛА!$A12,STATUS!$D:$D,ДЕЛА!OB$1,STATUS!$S:$S,"Согласовано")</f>
        <v>0</v>
      </c>
      <c r="OC12" s="583">
        <f>COUNTIFS(STATUS!$Q:$Q,ДЕЛА!$A12,STATUS!$D:$D,ДЕЛА!OB$1)</f>
        <v>0</v>
      </c>
      <c r="OD12" s="441">
        <f t="shared" si="402"/>
        <v>1</v>
      </c>
      <c r="OE12" s="594">
        <f>COUNTIFS(STATUS!$Q:$Q,ДЕЛА!$A12,STATUS!$D:$D,ДЕЛА!OE$1,STATUS!$S:$S,"Согласовано")</f>
        <v>0</v>
      </c>
      <c r="OF12" s="583">
        <f>COUNTIFS(STATUS!$Q:$Q,ДЕЛА!$A12,STATUS!$D:$D,ДЕЛА!OE$1)</f>
        <v>0</v>
      </c>
      <c r="OG12" s="441">
        <f t="shared" si="403"/>
        <v>1</v>
      </c>
      <c r="OH12" s="809">
        <f t="shared" si="24"/>
        <v>0</v>
      </c>
      <c r="OI12" s="600">
        <f t="shared" ref="OI12" si="477">SUM(NT12,NW12,NZ12,OC12,OF12)-SUM(NS12,NV12,NY12,OB12,OE12)</f>
        <v>0</v>
      </c>
      <c r="OJ12" s="594">
        <f>COUNTIFS(STATUS!$Q:$Q,ДЕЛА!$A12,STATUS!$D:$D,ДЕЛА!OJ$1,STATUS!$S:$S,"Согласовано")</f>
        <v>0</v>
      </c>
      <c r="OK12" s="583">
        <f>COUNTIFS(STATUS!$Q:$Q,ДЕЛА!$A12,STATUS!$D:$D,ДЕЛА!OJ$1)</f>
        <v>0</v>
      </c>
      <c r="OL12" s="441">
        <f t="shared" ref="OL12:OL13" si="478">IFERROR(OJ12/OK12,1)</f>
        <v>1</v>
      </c>
      <c r="OM12" s="594">
        <f>COUNTIFS(STATUS!$Q:$Q,ДЕЛА!$A12,STATUS!$D:$D,ДЕЛА!OM$1,STATUS!$S:$S,"Согласовано")</f>
        <v>0</v>
      </c>
      <c r="ON12" s="583">
        <f>COUNTIFS(STATUS!$Q:$Q,ДЕЛА!$A12,STATUS!$D:$D,ДЕЛА!OM$1)</f>
        <v>0</v>
      </c>
      <c r="OO12" s="441">
        <f t="shared" si="404"/>
        <v>1</v>
      </c>
      <c r="OP12" s="594">
        <f>COUNTIFS(STATUS!$Q:$Q,ДЕЛА!$A12,STATUS!$D:$D,ДЕЛА!OP$1,STATUS!$S:$S,"Согласовано")</f>
        <v>0</v>
      </c>
      <c r="OQ12" s="583">
        <f>COUNTIFS(STATUS!$Q:$Q,ДЕЛА!$A12,STATUS!$D:$D,ДЕЛА!OP$1)</f>
        <v>0</v>
      </c>
      <c r="OR12" s="441">
        <f t="shared" si="405"/>
        <v>1</v>
      </c>
      <c r="OS12" s="594">
        <f>COUNTIFS(STATUS!$Q:$Q,ДЕЛА!$A12,STATUS!$D:$D,ДЕЛА!OS$1,STATUS!$S:$S,"Согласовано")</f>
        <v>0</v>
      </c>
      <c r="OT12" s="583">
        <f>COUNTIFS(STATUS!$Q:$Q,ДЕЛА!$A12,STATUS!$D:$D,ДЕЛА!OS$1)</f>
        <v>0</v>
      </c>
      <c r="OU12" s="441">
        <f t="shared" si="406"/>
        <v>1</v>
      </c>
      <c r="OV12" s="594">
        <f>COUNTIFS(STATUS!$Q:$Q,ДЕЛА!$A12,STATUS!$D:$D,ДЕЛА!OV$1,STATUS!$S:$S,"Согласовано")</f>
        <v>0</v>
      </c>
      <c r="OW12" s="583">
        <f>COUNTIFS(STATUS!$Q:$Q,ДЕЛА!$A12,STATUS!$D:$D,ДЕЛА!OV$1)</f>
        <v>0</v>
      </c>
      <c r="OX12" s="441">
        <f t="shared" si="407"/>
        <v>1</v>
      </c>
      <c r="OY12" s="809">
        <f t="shared" si="25"/>
        <v>0</v>
      </c>
      <c r="OZ12" s="600">
        <f t="shared" ref="OZ12" si="479">SUM(OK12,ON12,OQ12,OT12,OW12)-SUM(OJ12,OM12,OP12,OS12,OV12)</f>
        <v>0</v>
      </c>
      <c r="PA12" s="594">
        <f>COUNTIFS(STATUS!$Q:$Q,ДЕЛА!$A12,STATUS!$D:$D,ДЕЛА!PA$1,STATUS!$S:$S,"Согласовано")</f>
        <v>0</v>
      </c>
      <c r="PB12" s="583">
        <f>COUNTIFS(STATUS!$Q:$Q,ДЕЛА!$A12,STATUS!$D:$D,ДЕЛА!PA$1)</f>
        <v>0</v>
      </c>
      <c r="PC12" s="441">
        <f t="shared" ref="PC12:PC13" si="480">IFERROR(PA12/PB12,1)</f>
        <v>1</v>
      </c>
      <c r="PD12" s="594">
        <f>COUNTIFS(STATUS!$Q:$Q,ДЕЛА!$A12,STATUS!$D:$D,ДЕЛА!PD$1,STATUS!$S:$S,"Согласовано")</f>
        <v>0</v>
      </c>
      <c r="PE12" s="583">
        <f>COUNTIFS(STATUS!$Q:$Q,ДЕЛА!$A12,STATUS!$D:$D,ДЕЛА!PD$1)</f>
        <v>0</v>
      </c>
      <c r="PF12" s="441">
        <f t="shared" si="408"/>
        <v>1</v>
      </c>
      <c r="PG12" s="594">
        <f>COUNTIFS(STATUS!$Q:$Q,ДЕЛА!$A12,STATUS!$D:$D,ДЕЛА!PG$1,STATUS!$S:$S,"Согласовано")</f>
        <v>0</v>
      </c>
      <c r="PH12" s="583">
        <f>COUNTIFS(STATUS!$Q:$Q,ДЕЛА!$A12,STATUS!$D:$D,ДЕЛА!PG$1)</f>
        <v>0</v>
      </c>
      <c r="PI12" s="441">
        <f t="shared" si="409"/>
        <v>1</v>
      </c>
      <c r="PJ12" s="594">
        <f>COUNTIFS(STATUS!$Q:$Q,ДЕЛА!$A12,STATUS!$D:$D,ДЕЛА!PJ$1,STATUS!$S:$S,"Согласовано")</f>
        <v>0</v>
      </c>
      <c r="PK12" s="583">
        <f>COUNTIFS(STATUS!$Q:$Q,ДЕЛА!$A12,STATUS!$D:$D,ДЕЛА!PJ$1)</f>
        <v>0</v>
      </c>
      <c r="PL12" s="441">
        <f t="shared" si="410"/>
        <v>1</v>
      </c>
      <c r="PM12" s="594">
        <f>COUNTIFS(STATUS!$Q:$Q,ДЕЛА!$A12,STATUS!$D:$D,ДЕЛА!PM$1,STATUS!$S:$S,"Согласовано")</f>
        <v>0</v>
      </c>
      <c r="PN12" s="583">
        <f>COUNTIFS(STATUS!$Q:$Q,ДЕЛА!$A12,STATUS!$D:$D,ДЕЛА!PM$1)</f>
        <v>0</v>
      </c>
      <c r="PO12" s="441">
        <f t="shared" si="411"/>
        <v>1</v>
      </c>
      <c r="PP12" s="809">
        <f t="shared" ref="PP12" si="481">SUM(PB12,PE12,PH12,PK12,PN12)</f>
        <v>0</v>
      </c>
      <c r="PQ12" s="600">
        <f t="shared" ref="PQ12" si="482">SUM(PB12,PE12,PH12,PK12,PN12)-SUM(PA12,PD12,PG12,PJ12,PM12)</f>
        <v>0</v>
      </c>
      <c r="PR12" s="594">
        <f>COUNTIFS(STATUS!$Q:$Q,ДЕЛА!$A12,STATUS!$D:$D,ДЕЛА!PR$1,STATUS!$S:$S,"Согласовано")</f>
        <v>0</v>
      </c>
      <c r="PS12" s="583">
        <f>COUNTIFS(STATUS!$Q:$Q,ДЕЛА!$A12,STATUS!$D:$D,ДЕЛА!PR$1)</f>
        <v>0</v>
      </c>
      <c r="PT12" s="441">
        <f t="shared" ref="PT12:PT13" si="483">IFERROR(PR12/PS12,1)</f>
        <v>1</v>
      </c>
      <c r="PU12" s="594">
        <f>COUNTIFS(STATUS!$Q:$Q,ДЕЛА!$A12,STATUS!$D:$D,ДЕЛА!PU$1,STATUS!$S:$S,"Согласовано")</f>
        <v>0</v>
      </c>
      <c r="PV12" s="583">
        <f>COUNTIFS(STATUS!$Q:$Q,ДЕЛА!$A12,STATUS!$D:$D,ДЕЛА!PU$1)</f>
        <v>0</v>
      </c>
      <c r="PW12" s="441">
        <f t="shared" si="412"/>
        <v>1</v>
      </c>
      <c r="PX12" s="594">
        <f>COUNTIFS(STATUS!$Q:$Q,ДЕЛА!$A12,STATUS!$D:$D,ДЕЛА!PX$1,STATUS!$S:$S,"Согласовано")</f>
        <v>0</v>
      </c>
      <c r="PY12" s="583">
        <f>COUNTIFS(STATUS!$Q:$Q,ДЕЛА!$A12,STATUS!$D:$D,ДЕЛА!PX$1)</f>
        <v>0</v>
      </c>
      <c r="PZ12" s="441">
        <f t="shared" si="413"/>
        <v>1</v>
      </c>
      <c r="QA12" s="594">
        <f>COUNTIFS(STATUS!$Q:$Q,ДЕЛА!$A12,STATUS!$D:$D,ДЕЛА!QA$1,STATUS!$S:$S,"Согласовано")</f>
        <v>0</v>
      </c>
      <c r="QB12" s="583">
        <f>COUNTIFS(STATUS!$Q:$Q,ДЕЛА!$A12,STATUS!$D:$D,ДЕЛА!QA$1)</f>
        <v>0</v>
      </c>
      <c r="QC12" s="441">
        <f t="shared" si="414"/>
        <v>1</v>
      </c>
      <c r="QD12" s="594">
        <f>COUNTIFS(STATUS!$Q:$Q,ДЕЛА!$A12,STATUS!$D:$D,ДЕЛА!QD$1,STATUS!$S:$S,"Согласовано")</f>
        <v>0</v>
      </c>
      <c r="QE12" s="583">
        <f>COUNTIFS(STATUS!$Q:$Q,ДЕЛА!$A12,STATUS!$D:$D,ДЕЛА!QD$1)</f>
        <v>0</v>
      </c>
      <c r="QF12" s="441">
        <f t="shared" si="415"/>
        <v>1</v>
      </c>
      <c r="QG12" s="809">
        <f t="shared" ref="QG12" si="484">SUM(PS12,PV12,PY12,QB12,QE12)</f>
        <v>0</v>
      </c>
      <c r="QH12" s="600">
        <f t="shared" ref="QH12" si="485">SUM(PS12,PV12,PY12,QB12,QE12)-SUM(PR12,PU12,PX12,QA12,QD12)</f>
        <v>0</v>
      </c>
    </row>
    <row r="13" spans="1:450" ht="15.6" thickTop="1" thickBot="1" x14ac:dyDescent="0.35">
      <c r="A13" s="1318" t="s">
        <v>45</v>
      </c>
      <c r="B13" s="1323">
        <f>SUM(B3:B12)</f>
        <v>33.308807870370373</v>
      </c>
      <c r="C13" s="1323">
        <f>AVERAGE(C3:C12)</f>
        <v>1.6841962141704157E-2</v>
      </c>
      <c r="D13" s="660">
        <f>SUM(D3:D12)</f>
        <v>3403</v>
      </c>
      <c r="E13" s="739">
        <f t="shared" si="28"/>
        <v>0.96593812091967068</v>
      </c>
      <c r="F13" s="660">
        <f>SUM(F3:F12)</f>
        <v>113</v>
      </c>
      <c r="G13" s="737">
        <f t="shared" si="0"/>
        <v>3.2074936133976724E-2</v>
      </c>
      <c r="H13" s="660">
        <f>SUM(H3:H12)</f>
        <v>123</v>
      </c>
      <c r="I13" s="737">
        <f t="shared" si="1"/>
        <v>3.4913426057337493E-2</v>
      </c>
      <c r="J13" s="660">
        <f>SUM(J3:J12)</f>
        <v>42</v>
      </c>
      <c r="K13" s="737">
        <f t="shared" si="2"/>
        <v>1.1921657678115243E-2</v>
      </c>
      <c r="L13" s="660">
        <f>SUM(L3:L12)</f>
        <v>489</v>
      </c>
      <c r="M13" s="737">
        <f>L13/$R13</f>
        <v>0.13880215725234177</v>
      </c>
      <c r="N13" s="660">
        <f>SUM(N3:N12)</f>
        <v>422</v>
      </c>
      <c r="O13" s="737">
        <f t="shared" si="4"/>
        <v>0.11978427476582458</v>
      </c>
      <c r="P13" s="660">
        <f>SUM(P3:P12)</f>
        <v>0</v>
      </c>
      <c r="Q13" s="660">
        <f>SUM(Q3:Q12)</f>
        <v>3517</v>
      </c>
      <c r="R13" s="660">
        <f>SUM(R3:R12)</f>
        <v>3523</v>
      </c>
      <c r="S13" s="660">
        <f>SUM(S3:S12)</f>
        <v>6</v>
      </c>
      <c r="T13" s="661">
        <f>Q13/R13</f>
        <v>0.99829690604598353</v>
      </c>
      <c r="U13" s="660">
        <f t="shared" si="31"/>
        <v>6</v>
      </c>
      <c r="V13" s="596">
        <f>SUM(V3:V12)</f>
        <v>6</v>
      </c>
      <c r="W13" s="597">
        <f>SUM(W3:W12)</f>
        <v>6</v>
      </c>
      <c r="X13" s="595">
        <f t="shared" si="32"/>
        <v>1</v>
      </c>
      <c r="Y13" s="596">
        <f>SUM(Y3:Y12)</f>
        <v>4</v>
      </c>
      <c r="Z13" s="597">
        <f>SUM(Z3:Z12)</f>
        <v>4</v>
      </c>
      <c r="AA13" s="595">
        <f t="shared" si="33"/>
        <v>1</v>
      </c>
      <c r="AB13" s="596">
        <f>SUM(AB3:AB12)</f>
        <v>6</v>
      </c>
      <c r="AC13" s="597">
        <f>SUM(AC3:AC12)</f>
        <v>6</v>
      </c>
      <c r="AD13" s="595">
        <f t="shared" si="34"/>
        <v>1</v>
      </c>
      <c r="AE13" s="602">
        <f>SUM(AE3:AE12)</f>
        <v>0</v>
      </c>
      <c r="AF13" s="596">
        <f>SUM(AF3:AF12)</f>
        <v>21</v>
      </c>
      <c r="AG13" s="597">
        <f>SUM(AG3:AG12)</f>
        <v>21</v>
      </c>
      <c r="AH13" s="595">
        <f t="shared" si="35"/>
        <v>1</v>
      </c>
      <c r="AI13" s="596">
        <f>SUM(AI3:AI12)</f>
        <v>26</v>
      </c>
      <c r="AJ13" s="597">
        <f>SUM(AJ3:AJ12)</f>
        <v>26</v>
      </c>
      <c r="AK13" s="595">
        <f t="shared" si="36"/>
        <v>1</v>
      </c>
      <c r="AL13" s="596">
        <f>SUM(AL3:AL12)</f>
        <v>18</v>
      </c>
      <c r="AM13" s="597">
        <f>SUM(AM3:AM12)</f>
        <v>18</v>
      </c>
      <c r="AN13" s="595">
        <f t="shared" si="37"/>
        <v>1</v>
      </c>
      <c r="AO13" s="596">
        <f>SUM(AO3:AO12)</f>
        <v>16</v>
      </c>
      <c r="AP13" s="597">
        <f>SUM(AP3:AP12)</f>
        <v>16</v>
      </c>
      <c r="AQ13" s="599">
        <f t="shared" si="38"/>
        <v>1</v>
      </c>
      <c r="AR13" s="602">
        <f>SUM(AR3:AR12)</f>
        <v>0</v>
      </c>
      <c r="AS13" s="596">
        <f>SUM(AS3:AS12)</f>
        <v>25</v>
      </c>
      <c r="AT13" s="597">
        <f>SUM(AT3:AT12)</f>
        <v>25</v>
      </c>
      <c r="AU13" s="595">
        <f t="shared" si="39"/>
        <v>1</v>
      </c>
      <c r="AV13" s="596">
        <f>SUM(AV3:AV12)</f>
        <v>26</v>
      </c>
      <c r="AW13" s="597">
        <f>SUM(AW3:AW12)</f>
        <v>26</v>
      </c>
      <c r="AX13" s="595">
        <f t="shared" si="40"/>
        <v>1</v>
      </c>
      <c r="AY13" s="596">
        <f>SUM(AY3:AY12)</f>
        <v>23</v>
      </c>
      <c r="AZ13" s="597">
        <f>SUM(AZ3:AZ12)</f>
        <v>23</v>
      </c>
      <c r="BA13" s="595">
        <f t="shared" si="41"/>
        <v>1</v>
      </c>
      <c r="BB13" s="596">
        <f>SUM(BB3:BB12)</f>
        <v>22</v>
      </c>
      <c r="BC13" s="597">
        <f>SUM(BC3:BC12)</f>
        <v>22</v>
      </c>
      <c r="BD13" s="595">
        <f t="shared" si="42"/>
        <v>1</v>
      </c>
      <c r="BE13" s="596">
        <f>SUM(BE3:BE12)</f>
        <v>20</v>
      </c>
      <c r="BF13" s="597">
        <f>SUM(BF3:BF12)</f>
        <v>20</v>
      </c>
      <c r="BG13" s="595">
        <f t="shared" si="43"/>
        <v>1</v>
      </c>
      <c r="BH13" s="602">
        <f>SUM(BH3:BH12)</f>
        <v>0</v>
      </c>
      <c r="BI13" s="596">
        <f>SUM(BI3:BI12)</f>
        <v>19</v>
      </c>
      <c r="BJ13" s="597">
        <f>SUM(BJ3:BJ12)</f>
        <v>19</v>
      </c>
      <c r="BK13" s="595">
        <f t="shared" si="45"/>
        <v>1</v>
      </c>
      <c r="BL13" s="596">
        <f>SUM(BL3:BL12)</f>
        <v>15</v>
      </c>
      <c r="BM13" s="597">
        <f>SUM(BM3:BM12)</f>
        <v>15</v>
      </c>
      <c r="BN13" s="595">
        <f t="shared" si="46"/>
        <v>1</v>
      </c>
      <c r="BO13" s="596">
        <f>SUM(BO3:BO12)</f>
        <v>44</v>
      </c>
      <c r="BP13" s="597">
        <f>SUM(BP3:BP12)</f>
        <v>44</v>
      </c>
      <c r="BQ13" s="595">
        <f t="shared" si="47"/>
        <v>1</v>
      </c>
      <c r="BR13" s="596">
        <f>SUM(BR3:BR12)</f>
        <v>4</v>
      </c>
      <c r="BS13" s="597">
        <f>SUM(BS3:BS12)</f>
        <v>4</v>
      </c>
      <c r="BT13" s="595">
        <f t="shared" si="48"/>
        <v>1</v>
      </c>
      <c r="BU13" s="596">
        <f>SUM(BU3:BU12)</f>
        <v>1</v>
      </c>
      <c r="BV13" s="597">
        <f>SUM(BV3:BV12)</f>
        <v>1</v>
      </c>
      <c r="BW13" s="595">
        <f t="shared" si="49"/>
        <v>1</v>
      </c>
      <c r="BX13" s="602">
        <f>SUM(BX3:BX12)</f>
        <v>0</v>
      </c>
      <c r="BY13" s="596">
        <f>SUM(BY3:BY12)</f>
        <v>84</v>
      </c>
      <c r="BZ13" s="597">
        <f>SUM(BZ3:BZ12)</f>
        <v>84</v>
      </c>
      <c r="CA13" s="595">
        <f t="shared" si="51"/>
        <v>1</v>
      </c>
      <c r="CB13" s="596">
        <f>SUM(CB3:CB12)</f>
        <v>15</v>
      </c>
      <c r="CC13" s="597">
        <f>SUM(CC3:CC12)</f>
        <v>15</v>
      </c>
      <c r="CD13" s="595">
        <f t="shared" si="52"/>
        <v>1</v>
      </c>
      <c r="CE13" s="596">
        <f>SUM(CE3:CE12)</f>
        <v>11</v>
      </c>
      <c r="CF13" s="597">
        <f>SUM(CF3:CF12)</f>
        <v>11</v>
      </c>
      <c r="CG13" s="595">
        <f t="shared" si="53"/>
        <v>1</v>
      </c>
      <c r="CH13" s="596">
        <f>SUM(CH3:CH12)</f>
        <v>18</v>
      </c>
      <c r="CI13" s="597">
        <f>SUM(CI3:CI12)</f>
        <v>18</v>
      </c>
      <c r="CJ13" s="595">
        <f t="shared" si="54"/>
        <v>1</v>
      </c>
      <c r="CK13" s="596">
        <f>SUM(CK3:CK12)</f>
        <v>14</v>
      </c>
      <c r="CL13" s="597">
        <f>SUM(CL3:CL12)</f>
        <v>14</v>
      </c>
      <c r="CM13" s="595">
        <f t="shared" si="55"/>
        <v>1</v>
      </c>
      <c r="CN13" s="602">
        <f>SUM(CN3:CN12)</f>
        <v>142</v>
      </c>
      <c r="CO13" s="602">
        <f>SUM(CO3:CO12)</f>
        <v>0</v>
      </c>
      <c r="CP13" s="596">
        <f>SUM(CP3:CP12)</f>
        <v>21</v>
      </c>
      <c r="CQ13" s="597">
        <f>SUM(CQ3:CQ12)</f>
        <v>21</v>
      </c>
      <c r="CR13" s="595">
        <f t="shared" si="57"/>
        <v>1</v>
      </c>
      <c r="CS13" s="596">
        <f>SUM(CS3:CS12)</f>
        <v>18</v>
      </c>
      <c r="CT13" s="597">
        <f>SUM(CT3:CT12)</f>
        <v>18</v>
      </c>
      <c r="CU13" s="595">
        <f t="shared" si="58"/>
        <v>1</v>
      </c>
      <c r="CV13" s="596">
        <f>SUM(CV3:CV12)</f>
        <v>18</v>
      </c>
      <c r="CW13" s="597">
        <f>SUM(CW3:CW12)</f>
        <v>18</v>
      </c>
      <c r="CX13" s="595">
        <f t="shared" si="59"/>
        <v>1</v>
      </c>
      <c r="CY13" s="596">
        <f>SUM(CY3:CY12)</f>
        <v>15</v>
      </c>
      <c r="CZ13" s="597">
        <f>SUM(CZ3:CZ12)</f>
        <v>15</v>
      </c>
      <c r="DA13" s="595">
        <f t="shared" si="60"/>
        <v>1</v>
      </c>
      <c r="DB13" s="596">
        <f>SUM(DB3:DB12)</f>
        <v>0</v>
      </c>
      <c r="DC13" s="597">
        <f>SUM(DC3:DC12)</f>
        <v>0</v>
      </c>
      <c r="DD13" s="595">
        <f t="shared" si="61"/>
        <v>1</v>
      </c>
      <c r="DE13" s="602">
        <f>SUM(DE3:DE12)</f>
        <v>72</v>
      </c>
      <c r="DF13" s="602">
        <f>SUM(DF3:DF12)</f>
        <v>0</v>
      </c>
      <c r="DG13" s="596">
        <f>SUM(DG3:DG12)</f>
        <v>14</v>
      </c>
      <c r="DH13" s="597">
        <f>SUM(DH3:DH12)</f>
        <v>14</v>
      </c>
      <c r="DI13" s="595">
        <f t="shared" si="63"/>
        <v>1</v>
      </c>
      <c r="DJ13" s="596">
        <f>SUM(DJ3:DJ12)</f>
        <v>210</v>
      </c>
      <c r="DK13" s="597">
        <f>SUM(DK3:DK12)</f>
        <v>210</v>
      </c>
      <c r="DL13" s="595">
        <f t="shared" si="64"/>
        <v>1</v>
      </c>
      <c r="DM13" s="596">
        <f>SUM(DM3:DM12)</f>
        <v>13</v>
      </c>
      <c r="DN13" s="597">
        <f>SUM(DN3:DN12)</f>
        <v>13</v>
      </c>
      <c r="DO13" s="595">
        <f t="shared" si="65"/>
        <v>1</v>
      </c>
      <c r="DP13" s="596">
        <f>SUM(DP3:DP12)</f>
        <v>12</v>
      </c>
      <c r="DQ13" s="597">
        <f>SUM(DQ3:DQ12)</f>
        <v>12</v>
      </c>
      <c r="DR13" s="595">
        <f t="shared" si="66"/>
        <v>1</v>
      </c>
      <c r="DS13" s="596">
        <f>SUM(DS3:DS12)</f>
        <v>16</v>
      </c>
      <c r="DT13" s="597">
        <f>SUM(DT3:DT12)</f>
        <v>16</v>
      </c>
      <c r="DU13" s="595">
        <f t="shared" si="67"/>
        <v>1</v>
      </c>
      <c r="DV13" s="602">
        <f>SUM(DV3:DV12)</f>
        <v>265</v>
      </c>
      <c r="DW13" s="602">
        <f>SUM(DW3:DW12)</f>
        <v>0</v>
      </c>
      <c r="DX13" s="596">
        <f>SUM(DX3:DX12)</f>
        <v>14</v>
      </c>
      <c r="DY13" s="597">
        <f>SUM(DY3:DY12)</f>
        <v>14</v>
      </c>
      <c r="DZ13" s="595">
        <f t="shared" si="69"/>
        <v>1</v>
      </c>
      <c r="EA13" s="596">
        <f>SUM(EA3:EA12)</f>
        <v>31</v>
      </c>
      <c r="EB13" s="597">
        <f>SUM(EB3:EB12)</f>
        <v>31</v>
      </c>
      <c r="EC13" s="595">
        <f t="shared" si="70"/>
        <v>1</v>
      </c>
      <c r="ED13" s="596">
        <f>SUM(ED3:ED12)</f>
        <v>0</v>
      </c>
      <c r="EE13" s="597">
        <f>SUM(EE3:EE12)</f>
        <v>0</v>
      </c>
      <c r="EF13" s="595">
        <f t="shared" si="71"/>
        <v>1</v>
      </c>
      <c r="EG13" s="596">
        <f>SUM(EG3:EG12)</f>
        <v>31</v>
      </c>
      <c r="EH13" s="597">
        <f>SUM(EH3:EH12)</f>
        <v>31</v>
      </c>
      <c r="EI13" s="595">
        <f t="shared" si="72"/>
        <v>1</v>
      </c>
      <c r="EJ13" s="596">
        <f>SUM(EJ3:EJ12)</f>
        <v>15</v>
      </c>
      <c r="EK13" s="597">
        <f>SUM(EK3:EK12)</f>
        <v>15</v>
      </c>
      <c r="EL13" s="595">
        <f t="shared" si="73"/>
        <v>1</v>
      </c>
      <c r="EM13" s="602">
        <f>SUM(EM3:EM12)</f>
        <v>91</v>
      </c>
      <c r="EN13" s="602">
        <f>SUM(EN3:EN12)</f>
        <v>0</v>
      </c>
      <c r="EO13" s="596">
        <f>SUM(EO3:EO12)</f>
        <v>16</v>
      </c>
      <c r="EP13" s="597">
        <f>SUM(EP3:EP12)</f>
        <v>16</v>
      </c>
      <c r="EQ13" s="595">
        <f t="shared" si="75"/>
        <v>1</v>
      </c>
      <c r="ER13" s="596">
        <f>SUM(ER3:ER12)</f>
        <v>10</v>
      </c>
      <c r="ES13" s="597">
        <f>SUM(ES3:ES12)</f>
        <v>10</v>
      </c>
      <c r="ET13" s="595">
        <f t="shared" si="76"/>
        <v>1</v>
      </c>
      <c r="EU13" s="596">
        <f>SUM(EU3:EU12)</f>
        <v>0</v>
      </c>
      <c r="EV13" s="597">
        <f>SUM(EV3:EV12)</f>
        <v>0</v>
      </c>
      <c r="EW13" s="595">
        <f t="shared" si="77"/>
        <v>1</v>
      </c>
      <c r="EX13" s="596">
        <f>SUM(EX3:EX12)</f>
        <v>25</v>
      </c>
      <c r="EY13" s="597">
        <f>SUM(EY3:EY12)</f>
        <v>25</v>
      </c>
      <c r="EZ13" s="595">
        <f t="shared" si="78"/>
        <v>1</v>
      </c>
      <c r="FA13" s="596">
        <f>SUM(FA3:FA12)</f>
        <v>13</v>
      </c>
      <c r="FB13" s="597">
        <f>SUM(FB3:FB12)</f>
        <v>13</v>
      </c>
      <c r="FC13" s="595">
        <f t="shared" si="79"/>
        <v>1</v>
      </c>
      <c r="FD13" s="602">
        <f>SUM(FD3:FD12)</f>
        <v>64</v>
      </c>
      <c r="FE13" s="602">
        <f>SUM(FE3:FE12)</f>
        <v>0</v>
      </c>
      <c r="FF13" s="596">
        <f>SUM(FF3:FF12)</f>
        <v>11</v>
      </c>
      <c r="FG13" s="597">
        <f>SUM(FG3:FG12)</f>
        <v>11</v>
      </c>
      <c r="FH13" s="595">
        <f t="shared" si="81"/>
        <v>1</v>
      </c>
      <c r="FI13" s="596">
        <f>SUM(FI3:FI12)</f>
        <v>9</v>
      </c>
      <c r="FJ13" s="597">
        <f>SUM(FJ3:FJ12)</f>
        <v>9</v>
      </c>
      <c r="FK13" s="595">
        <f t="shared" si="82"/>
        <v>1</v>
      </c>
      <c r="FL13" s="596">
        <f>SUM(FL3:FL12)</f>
        <v>10</v>
      </c>
      <c r="FM13" s="597">
        <f>SUM(FM3:FM12)</f>
        <v>10</v>
      </c>
      <c r="FN13" s="595">
        <f t="shared" si="83"/>
        <v>1</v>
      </c>
      <c r="FO13" s="596">
        <f>SUM(FO3:FO12)</f>
        <v>20</v>
      </c>
      <c r="FP13" s="597">
        <f>SUM(FP3:FP12)</f>
        <v>20</v>
      </c>
      <c r="FQ13" s="595">
        <f t="shared" si="84"/>
        <v>1</v>
      </c>
      <c r="FR13" s="596">
        <f>SUM(FR3:FR12)</f>
        <v>20</v>
      </c>
      <c r="FS13" s="597">
        <f>SUM(FS3:FS12)</f>
        <v>20</v>
      </c>
      <c r="FT13" s="595">
        <f t="shared" si="85"/>
        <v>1</v>
      </c>
      <c r="FU13" s="602">
        <f>SUM(FU3:FU12)</f>
        <v>70</v>
      </c>
      <c r="FV13" s="602">
        <f>SUM(FV3:FV12)</f>
        <v>0</v>
      </c>
      <c r="FW13" s="596">
        <f>SUM(FW3:FW12)</f>
        <v>10</v>
      </c>
      <c r="FX13" s="597">
        <f>SUM(FX3:FX12)</f>
        <v>10</v>
      </c>
      <c r="FY13" s="595">
        <f t="shared" si="87"/>
        <v>1</v>
      </c>
      <c r="FZ13" s="596">
        <f>SUM(FZ3:FZ12)</f>
        <v>7</v>
      </c>
      <c r="GA13" s="597">
        <f>SUM(GA3:GA12)</f>
        <v>7</v>
      </c>
      <c r="GB13" s="595">
        <f t="shared" si="88"/>
        <v>1</v>
      </c>
      <c r="GC13" s="596">
        <f>SUM(GC3:GC12)</f>
        <v>9</v>
      </c>
      <c r="GD13" s="597">
        <f>SUM(GD3:GD12)</f>
        <v>9</v>
      </c>
      <c r="GE13" s="595">
        <f t="shared" si="89"/>
        <v>1</v>
      </c>
      <c r="GF13" s="596">
        <f>SUM(GF3:GF12)</f>
        <v>14</v>
      </c>
      <c r="GG13" s="597">
        <f>SUM(GG3:GG12)</f>
        <v>14</v>
      </c>
      <c r="GH13" s="595">
        <f t="shared" si="90"/>
        <v>1</v>
      </c>
      <c r="GI13" s="596">
        <f>SUM(GI3:GI12)</f>
        <v>7</v>
      </c>
      <c r="GJ13" s="597">
        <f>SUM(GJ3:GJ12)</f>
        <v>7</v>
      </c>
      <c r="GK13" s="595">
        <f t="shared" si="91"/>
        <v>1</v>
      </c>
      <c r="GL13" s="602">
        <f>SUM(GL3:GL12)</f>
        <v>47</v>
      </c>
      <c r="GM13" s="602">
        <f>SUM(GM3:GM12)</f>
        <v>0</v>
      </c>
      <c r="GN13" s="596">
        <f>SUM(GN3:GN12)</f>
        <v>2</v>
      </c>
      <c r="GO13" s="597">
        <f>SUM(GO3:GO12)</f>
        <v>2</v>
      </c>
      <c r="GP13" s="595">
        <f t="shared" si="93"/>
        <v>1</v>
      </c>
      <c r="GQ13" s="596">
        <f>SUM(GQ3:GQ12)</f>
        <v>1</v>
      </c>
      <c r="GR13" s="597">
        <f>SUM(GR3:GR12)</f>
        <v>1</v>
      </c>
      <c r="GS13" s="595">
        <f t="shared" si="94"/>
        <v>1</v>
      </c>
      <c r="GT13" s="596">
        <f>SUM(GT3:GT12)</f>
        <v>4</v>
      </c>
      <c r="GU13" s="597">
        <f>SUM(GU3:GU12)</f>
        <v>4</v>
      </c>
      <c r="GV13" s="595">
        <f t="shared" si="95"/>
        <v>1</v>
      </c>
      <c r="GW13" s="596">
        <f>SUM(GW3:GW12)</f>
        <v>16</v>
      </c>
      <c r="GX13" s="597">
        <f>SUM(GX3:GX12)</f>
        <v>16</v>
      </c>
      <c r="GY13" s="595">
        <f t="shared" si="96"/>
        <v>1</v>
      </c>
      <c r="GZ13" s="596">
        <f>SUM(GZ3:GZ12)</f>
        <v>13</v>
      </c>
      <c r="HA13" s="597">
        <f>SUM(HA3:HA12)</f>
        <v>13</v>
      </c>
      <c r="HB13" s="595">
        <f t="shared" si="97"/>
        <v>1</v>
      </c>
      <c r="HC13" s="602">
        <f>SUM(HC3:HC12)</f>
        <v>36</v>
      </c>
      <c r="HD13" s="602">
        <f>SUM(HD3:HD12)</f>
        <v>0</v>
      </c>
      <c r="HE13" s="596">
        <f>SUM(HE3:HE12)</f>
        <v>8</v>
      </c>
      <c r="HF13" s="597">
        <f>SUM(HF3:HF12)</f>
        <v>8</v>
      </c>
      <c r="HG13" s="595">
        <f t="shared" si="99"/>
        <v>1</v>
      </c>
      <c r="HH13" s="596">
        <f>SUM(HH3:HH12)</f>
        <v>5</v>
      </c>
      <c r="HI13" s="597">
        <f>SUM(HI3:HI12)</f>
        <v>5</v>
      </c>
      <c r="HJ13" s="595">
        <f t="shared" si="100"/>
        <v>1</v>
      </c>
      <c r="HK13" s="596">
        <f>SUM(HK3:HK12)</f>
        <v>10</v>
      </c>
      <c r="HL13" s="597">
        <f>SUM(HL3:HL12)</f>
        <v>10</v>
      </c>
      <c r="HM13" s="595">
        <f t="shared" si="101"/>
        <v>1</v>
      </c>
      <c r="HN13" s="596">
        <f>SUM(HN3:HN12)</f>
        <v>9</v>
      </c>
      <c r="HO13" s="597">
        <f>SUM(HO3:HO12)</f>
        <v>9</v>
      </c>
      <c r="HP13" s="595">
        <f t="shared" si="102"/>
        <v>1</v>
      </c>
      <c r="HQ13" s="596">
        <f>SUM(HQ3:HQ12)</f>
        <v>8</v>
      </c>
      <c r="HR13" s="597">
        <f>SUM(HR3:HR12)</f>
        <v>8</v>
      </c>
      <c r="HS13" s="595">
        <f t="shared" si="103"/>
        <v>1</v>
      </c>
      <c r="HT13" s="602">
        <f>SUM(HT3:HT12)</f>
        <v>40</v>
      </c>
      <c r="HU13" s="602">
        <f>SUM(HU3:HU12)</f>
        <v>0</v>
      </c>
      <c r="HV13" s="596">
        <f>SUM(HV3:HV12)</f>
        <v>19</v>
      </c>
      <c r="HW13" s="597">
        <f>SUM(HW3:HW12)</f>
        <v>19</v>
      </c>
      <c r="HX13" s="595">
        <f t="shared" si="105"/>
        <v>1</v>
      </c>
      <c r="HY13" s="596">
        <f>SUM(HY3:HY12)</f>
        <v>17</v>
      </c>
      <c r="HZ13" s="597">
        <f>SUM(HZ3:HZ12)</f>
        <v>17</v>
      </c>
      <c r="IA13" s="595">
        <f t="shared" si="106"/>
        <v>1</v>
      </c>
      <c r="IB13" s="596">
        <f>SUM(IB3:IB12)</f>
        <v>14</v>
      </c>
      <c r="IC13" s="597">
        <f>SUM(IC3:IC12)</f>
        <v>14</v>
      </c>
      <c r="ID13" s="595">
        <f t="shared" si="107"/>
        <v>1</v>
      </c>
      <c r="IE13" s="596">
        <f>SUM(IE3:IE12)</f>
        <v>16</v>
      </c>
      <c r="IF13" s="597">
        <f>SUM(IF3:IF12)</f>
        <v>16</v>
      </c>
      <c r="IG13" s="595">
        <f t="shared" si="108"/>
        <v>1</v>
      </c>
      <c r="IH13" s="596">
        <f>SUM(IH3:IH12)</f>
        <v>17</v>
      </c>
      <c r="II13" s="597">
        <f>SUM(II3:II12)</f>
        <v>17</v>
      </c>
      <c r="IJ13" s="595">
        <f t="shared" si="109"/>
        <v>1</v>
      </c>
      <c r="IK13" s="602">
        <f>SUM(IK3:IK12)</f>
        <v>83</v>
      </c>
      <c r="IL13" s="602">
        <f>SUM(IL3:IL12)</f>
        <v>0</v>
      </c>
      <c r="IM13" s="596">
        <f>SUM(IM3:IM12)</f>
        <v>15</v>
      </c>
      <c r="IN13" s="597">
        <f>SUM(IN3:IN12)</f>
        <v>15</v>
      </c>
      <c r="IO13" s="595">
        <f t="shared" si="111"/>
        <v>1</v>
      </c>
      <c r="IP13" s="596">
        <f>SUM(IP3:IP12)</f>
        <v>15</v>
      </c>
      <c r="IQ13" s="597">
        <f>SUM(IQ3:IQ12)</f>
        <v>15</v>
      </c>
      <c r="IR13" s="595">
        <f t="shared" si="112"/>
        <v>1</v>
      </c>
      <c r="IS13" s="596">
        <f>SUM(IS3:IS12)</f>
        <v>8</v>
      </c>
      <c r="IT13" s="597">
        <f>SUM(IT3:IT12)</f>
        <v>8</v>
      </c>
      <c r="IU13" s="595">
        <f t="shared" si="113"/>
        <v>1</v>
      </c>
      <c r="IV13" s="596">
        <f>SUM(IV3:IV12)</f>
        <v>17</v>
      </c>
      <c r="IW13" s="597">
        <f>SUM(IW3:IW12)</f>
        <v>17</v>
      </c>
      <c r="IX13" s="595">
        <f t="shared" si="114"/>
        <v>1</v>
      </c>
      <c r="IY13" s="596">
        <f>SUM(IY3:IY12)</f>
        <v>13</v>
      </c>
      <c r="IZ13" s="597">
        <f>SUM(IZ3:IZ12)</f>
        <v>13</v>
      </c>
      <c r="JA13" s="595">
        <f t="shared" si="115"/>
        <v>1</v>
      </c>
      <c r="JB13" s="602">
        <f>SUM(JB3:JB12)</f>
        <v>68</v>
      </c>
      <c r="JC13" s="602">
        <f>SUM(JC3:JC12)</f>
        <v>0</v>
      </c>
      <c r="JD13" s="596">
        <f>SUM(JD3:JD12)</f>
        <v>12</v>
      </c>
      <c r="JE13" s="597">
        <f>SUM(JE3:JE12)</f>
        <v>12</v>
      </c>
      <c r="JF13" s="595">
        <f t="shared" si="117"/>
        <v>1</v>
      </c>
      <c r="JG13" s="596">
        <f>SUM(JG3:JG12)</f>
        <v>18</v>
      </c>
      <c r="JH13" s="597">
        <f>SUM(JH3:JH12)</f>
        <v>18</v>
      </c>
      <c r="JI13" s="595">
        <f t="shared" si="118"/>
        <v>1</v>
      </c>
      <c r="JJ13" s="596">
        <f>SUM(JJ3:JJ12)</f>
        <v>14</v>
      </c>
      <c r="JK13" s="597">
        <f>SUM(JK3:JK12)</f>
        <v>14</v>
      </c>
      <c r="JL13" s="595">
        <f t="shared" si="119"/>
        <v>1</v>
      </c>
      <c r="JM13" s="596">
        <f>SUM(JM3:JM12)</f>
        <v>13</v>
      </c>
      <c r="JN13" s="597">
        <f>SUM(JN3:JN12)</f>
        <v>13</v>
      </c>
      <c r="JO13" s="595">
        <f t="shared" si="120"/>
        <v>1</v>
      </c>
      <c r="JP13" s="596">
        <f>SUM(JP3:JP12)</f>
        <v>11</v>
      </c>
      <c r="JQ13" s="597">
        <f>SUM(JQ3:JQ12)</f>
        <v>11</v>
      </c>
      <c r="JR13" s="595">
        <f t="shared" si="121"/>
        <v>1</v>
      </c>
      <c r="JS13" s="602">
        <f>SUM(JS3:JS12)</f>
        <v>68</v>
      </c>
      <c r="JT13" s="602">
        <f>SUM(JT3:JT12)</f>
        <v>0</v>
      </c>
      <c r="JU13" s="596">
        <f>SUM(JU3:JU12)</f>
        <v>8</v>
      </c>
      <c r="JV13" s="597">
        <f>SUM(JV3:JV12)</f>
        <v>8</v>
      </c>
      <c r="JW13" s="595">
        <f t="shared" si="123"/>
        <v>1</v>
      </c>
      <c r="JX13" s="596">
        <f>SUM(JX3:JX12)</f>
        <v>17</v>
      </c>
      <c r="JY13" s="597">
        <f>SUM(JY3:JY12)</f>
        <v>17</v>
      </c>
      <c r="JZ13" s="595">
        <f t="shared" si="124"/>
        <v>1</v>
      </c>
      <c r="KA13" s="596">
        <f>SUM(KA3:KA12)</f>
        <v>14</v>
      </c>
      <c r="KB13" s="597">
        <f>SUM(KB3:KB12)</f>
        <v>14</v>
      </c>
      <c r="KC13" s="595">
        <f t="shared" si="125"/>
        <v>1</v>
      </c>
      <c r="KD13" s="596">
        <f>SUM(KD3:KD12)</f>
        <v>13</v>
      </c>
      <c r="KE13" s="597">
        <f>SUM(KE3:KE12)</f>
        <v>13</v>
      </c>
      <c r="KF13" s="595">
        <f t="shared" si="126"/>
        <v>1</v>
      </c>
      <c r="KG13" s="596">
        <f>SUM(KG3:KG12)</f>
        <v>13</v>
      </c>
      <c r="KH13" s="597">
        <f>SUM(KH3:KH12)</f>
        <v>13</v>
      </c>
      <c r="KI13" s="595">
        <f t="shared" si="127"/>
        <v>1</v>
      </c>
      <c r="KJ13" s="602">
        <f>SUM(KJ3:KJ12)</f>
        <v>65</v>
      </c>
      <c r="KK13" s="602">
        <f>SUM(KK3:KK12)</f>
        <v>0</v>
      </c>
      <c r="KL13" s="596">
        <f>SUM(KL3:KL12)</f>
        <v>11</v>
      </c>
      <c r="KM13" s="597">
        <f>SUM(KM3:KM12)</f>
        <v>11</v>
      </c>
      <c r="KN13" s="595">
        <f t="shared" si="129"/>
        <v>1</v>
      </c>
      <c r="KO13" s="596">
        <f>SUM(KO3:KO12)</f>
        <v>12</v>
      </c>
      <c r="KP13" s="597">
        <f>SUM(KP3:KP12)</f>
        <v>12</v>
      </c>
      <c r="KQ13" s="595">
        <f t="shared" si="130"/>
        <v>1</v>
      </c>
      <c r="KR13" s="596">
        <f>SUM(KR3:KR12)</f>
        <v>9</v>
      </c>
      <c r="KS13" s="597">
        <f>SUM(KS3:KS12)</f>
        <v>9</v>
      </c>
      <c r="KT13" s="595">
        <f t="shared" si="131"/>
        <v>1</v>
      </c>
      <c r="KU13" s="596">
        <f>SUM(KU3:KU12)</f>
        <v>14</v>
      </c>
      <c r="KV13" s="597">
        <f>SUM(KV3:KV12)</f>
        <v>14</v>
      </c>
      <c r="KW13" s="595">
        <f t="shared" si="132"/>
        <v>1</v>
      </c>
      <c r="KX13" s="596">
        <f>SUM(KX3:KX12)</f>
        <v>8</v>
      </c>
      <c r="KY13" s="597">
        <f>SUM(KY3:KY12)</f>
        <v>8</v>
      </c>
      <c r="KZ13" s="595">
        <f t="shared" si="133"/>
        <v>1</v>
      </c>
      <c r="LA13" s="602">
        <f>SUM(LA3:LA12)</f>
        <v>54</v>
      </c>
      <c r="LB13" s="602">
        <f>SUM(LB3:LB12)</f>
        <v>0</v>
      </c>
      <c r="LC13" s="596">
        <f>SUM(LC3:LC12)</f>
        <v>7</v>
      </c>
      <c r="LD13" s="597">
        <f>SUM(LD3:LD12)</f>
        <v>7</v>
      </c>
      <c r="LE13" s="595">
        <f t="shared" si="135"/>
        <v>1</v>
      </c>
      <c r="LF13" s="596">
        <f>SUM(LF3:LF12)</f>
        <v>16</v>
      </c>
      <c r="LG13" s="597">
        <f>SUM(LG3:LG12)</f>
        <v>16</v>
      </c>
      <c r="LH13" s="595">
        <f t="shared" si="136"/>
        <v>1</v>
      </c>
      <c r="LI13" s="596">
        <f>SUM(LI3:LI12)</f>
        <v>14</v>
      </c>
      <c r="LJ13" s="597">
        <f>SUM(LJ3:LJ12)</f>
        <v>14</v>
      </c>
      <c r="LK13" s="595">
        <f t="shared" si="137"/>
        <v>1</v>
      </c>
      <c r="LL13" s="596">
        <f>SUM(LL3:LL12)</f>
        <v>9</v>
      </c>
      <c r="LM13" s="597">
        <f>SUM(LM3:LM12)</f>
        <v>9</v>
      </c>
      <c r="LN13" s="595">
        <f t="shared" si="138"/>
        <v>1</v>
      </c>
      <c r="LO13" s="596">
        <f>SUM(LO3:LO12)</f>
        <v>15</v>
      </c>
      <c r="LP13" s="597">
        <f>SUM(LP3:LP12)</f>
        <v>15</v>
      </c>
      <c r="LQ13" s="595">
        <f t="shared" si="139"/>
        <v>1</v>
      </c>
      <c r="LR13" s="602">
        <f>SUM(LR3:LR12)</f>
        <v>61</v>
      </c>
      <c r="LS13" s="602">
        <f>SUM(LS3:LS12)</f>
        <v>0</v>
      </c>
      <c r="LT13" s="596">
        <f>SUM(LT3:LT12)</f>
        <v>17</v>
      </c>
      <c r="LU13" s="597">
        <f>SUM(LU3:LU12)</f>
        <v>17</v>
      </c>
      <c r="LV13" s="595">
        <f t="shared" si="141"/>
        <v>1</v>
      </c>
      <c r="LW13" s="596">
        <f>SUM(LW3:LW12)</f>
        <v>21</v>
      </c>
      <c r="LX13" s="597">
        <f>SUM(LX3:LX12)</f>
        <v>21</v>
      </c>
      <c r="LY13" s="595">
        <f t="shared" si="142"/>
        <v>1</v>
      </c>
      <c r="LZ13" s="596">
        <f>SUM(LZ3:LZ12)</f>
        <v>15</v>
      </c>
      <c r="MA13" s="597">
        <f>SUM(MA3:MA12)</f>
        <v>15</v>
      </c>
      <c r="MB13" s="595">
        <f t="shared" si="143"/>
        <v>1</v>
      </c>
      <c r="MC13" s="596">
        <f>SUM(MC3:MC12)</f>
        <v>26</v>
      </c>
      <c r="MD13" s="597">
        <f>SUM(MD3:MD12)</f>
        <v>26</v>
      </c>
      <c r="ME13" s="595">
        <f t="shared" si="144"/>
        <v>1</v>
      </c>
      <c r="MF13" s="596">
        <f>SUM(MF3:MF12)</f>
        <v>21</v>
      </c>
      <c r="MG13" s="597">
        <f>SUM(MG3:MG12)</f>
        <v>21</v>
      </c>
      <c r="MH13" s="595">
        <f t="shared" si="145"/>
        <v>1</v>
      </c>
      <c r="MI13" s="602">
        <f>SUM(MI3:MI12)</f>
        <v>100</v>
      </c>
      <c r="MJ13" s="602">
        <f>SUM(MJ3:MJ12)</f>
        <v>0</v>
      </c>
      <c r="MK13" s="596">
        <f>SUM(MK3:MK12)</f>
        <v>16</v>
      </c>
      <c r="ML13" s="597">
        <f>SUM(ML3:ML12)</f>
        <v>16</v>
      </c>
      <c r="MM13" s="595">
        <f t="shared" si="147"/>
        <v>1</v>
      </c>
      <c r="MN13" s="596">
        <f>SUM(MN3:MN12)</f>
        <v>33</v>
      </c>
      <c r="MO13" s="597">
        <f>SUM(MO3:MO12)</f>
        <v>33</v>
      </c>
      <c r="MP13" s="595">
        <f t="shared" si="148"/>
        <v>1</v>
      </c>
      <c r="MQ13" s="596">
        <f>SUM(MQ3:MQ12)</f>
        <v>25</v>
      </c>
      <c r="MR13" s="597">
        <f>SUM(MR3:MR12)</f>
        <v>25</v>
      </c>
      <c r="MS13" s="595">
        <f t="shared" si="149"/>
        <v>1</v>
      </c>
      <c r="MT13" s="596">
        <f>SUM(MT3:MT12)</f>
        <v>23</v>
      </c>
      <c r="MU13" s="597">
        <f>SUM(MU3:MU12)</f>
        <v>23</v>
      </c>
      <c r="MV13" s="595">
        <f t="shared" si="150"/>
        <v>1</v>
      </c>
      <c r="MW13" s="596">
        <f>SUM(MW3:MW12)</f>
        <v>16</v>
      </c>
      <c r="MX13" s="597">
        <f>SUM(MX3:MX12)</f>
        <v>16</v>
      </c>
      <c r="MY13" s="595">
        <f t="shared" si="151"/>
        <v>1</v>
      </c>
      <c r="MZ13" s="602">
        <f>SUM(MZ3:MZ12)</f>
        <v>113</v>
      </c>
      <c r="NA13" s="602">
        <f>SUM(NA3:NA12)</f>
        <v>0</v>
      </c>
      <c r="NB13" s="596">
        <f>SUM(NB3:NB12)</f>
        <v>16</v>
      </c>
      <c r="NC13" s="597">
        <f>SUM(NC3:NC12)</f>
        <v>16</v>
      </c>
      <c r="ND13" s="595">
        <f t="shared" si="153"/>
        <v>1</v>
      </c>
      <c r="NE13" s="596">
        <f>SUM(NE3:NE12)</f>
        <v>15</v>
      </c>
      <c r="NF13" s="597">
        <f>SUM(NF3:NF12)</f>
        <v>15</v>
      </c>
      <c r="NG13" s="595">
        <f t="shared" si="154"/>
        <v>1</v>
      </c>
      <c r="NH13" s="596">
        <f>SUM(NH3:NH12)</f>
        <v>13</v>
      </c>
      <c r="NI13" s="597">
        <f>SUM(NI3:NI12)</f>
        <v>13</v>
      </c>
      <c r="NJ13" s="595">
        <f t="shared" si="155"/>
        <v>1</v>
      </c>
      <c r="NK13" s="596">
        <f>SUM(NK3:NK12)</f>
        <v>21</v>
      </c>
      <c r="NL13" s="597">
        <f>SUM(NL3:NL12)</f>
        <v>21</v>
      </c>
      <c r="NM13" s="595">
        <f t="shared" si="156"/>
        <v>1</v>
      </c>
      <c r="NN13" s="596">
        <f>SUM(NN3:NN12)</f>
        <v>18</v>
      </c>
      <c r="NO13" s="597">
        <f>SUM(NO3:NO12)</f>
        <v>18</v>
      </c>
      <c r="NP13" s="595">
        <f t="shared" si="157"/>
        <v>1</v>
      </c>
      <c r="NQ13" s="602">
        <f>SUM(NQ3:NQ12)</f>
        <v>83</v>
      </c>
      <c r="NR13" s="602">
        <f>SUM(NR3:NR12)</f>
        <v>0</v>
      </c>
      <c r="NS13" s="596">
        <f>SUM(NS3:NS12)</f>
        <v>16</v>
      </c>
      <c r="NT13" s="597">
        <f>SUM(NT3:NT12)</f>
        <v>16</v>
      </c>
      <c r="NU13" s="595">
        <f t="shared" si="399"/>
        <v>1</v>
      </c>
      <c r="NV13" s="596">
        <f>SUM(NV3:NV12)</f>
        <v>12</v>
      </c>
      <c r="NW13" s="597">
        <f>SUM(NW3:NW12)</f>
        <v>12</v>
      </c>
      <c r="NX13" s="595">
        <f t="shared" si="400"/>
        <v>1</v>
      </c>
      <c r="NY13" s="596">
        <f>SUM(NY3:NY12)</f>
        <v>17</v>
      </c>
      <c r="NZ13" s="597">
        <f>SUM(NZ3:NZ12)</f>
        <v>17</v>
      </c>
      <c r="OA13" s="595">
        <f t="shared" si="401"/>
        <v>1</v>
      </c>
      <c r="OB13" s="596">
        <f>SUM(OB3:OB12)</f>
        <v>16</v>
      </c>
      <c r="OC13" s="597">
        <f>SUM(OC3:OC12)</f>
        <v>16</v>
      </c>
      <c r="OD13" s="595">
        <f t="shared" si="402"/>
        <v>1</v>
      </c>
      <c r="OE13" s="596">
        <f>SUM(OE3:OE12)</f>
        <v>20</v>
      </c>
      <c r="OF13" s="597">
        <f>SUM(OF3:OF12)</f>
        <v>20</v>
      </c>
      <c r="OG13" s="595">
        <f t="shared" si="403"/>
        <v>1</v>
      </c>
      <c r="OH13" s="602">
        <f>SUM(OH3:OH12)</f>
        <v>81</v>
      </c>
      <c r="OI13" s="602">
        <f>SUM(OI3:OI12)</f>
        <v>0</v>
      </c>
      <c r="OJ13" s="596">
        <f>SUM(OJ3:OJ12)</f>
        <v>23</v>
      </c>
      <c r="OK13" s="597">
        <f>SUM(OK3:OK12)</f>
        <v>23</v>
      </c>
      <c r="OL13" s="595">
        <f t="shared" si="478"/>
        <v>1</v>
      </c>
      <c r="OM13" s="596">
        <f>SUM(OM3:OM12)</f>
        <v>23</v>
      </c>
      <c r="ON13" s="597">
        <f>SUM(ON3:ON12)</f>
        <v>23</v>
      </c>
      <c r="OO13" s="595">
        <f t="shared" si="404"/>
        <v>1</v>
      </c>
      <c r="OP13" s="596">
        <f>SUM(OP3:OP12)</f>
        <v>20</v>
      </c>
      <c r="OQ13" s="597">
        <f>SUM(OQ3:OQ12)</f>
        <v>20</v>
      </c>
      <c r="OR13" s="595">
        <f t="shared" si="405"/>
        <v>1</v>
      </c>
      <c r="OS13" s="596">
        <f>SUM(OS3:OS12)</f>
        <v>12</v>
      </c>
      <c r="OT13" s="597">
        <f>SUM(OT3:OT12)</f>
        <v>12</v>
      </c>
      <c r="OU13" s="595">
        <f t="shared" si="406"/>
        <v>1</v>
      </c>
      <c r="OV13" s="596">
        <f>SUM(OV3:OV12)</f>
        <v>15</v>
      </c>
      <c r="OW13" s="597">
        <f>SUM(OW3:OW12)</f>
        <v>15</v>
      </c>
      <c r="OX13" s="595">
        <f t="shared" si="407"/>
        <v>1</v>
      </c>
      <c r="OY13" s="602">
        <f>SUM(OY3:OY12)</f>
        <v>93</v>
      </c>
      <c r="OZ13" s="602">
        <f>SUM(OZ3:OZ12)</f>
        <v>0</v>
      </c>
      <c r="PA13" s="596">
        <f>SUM(PA3:PA12)</f>
        <v>16</v>
      </c>
      <c r="PB13" s="597">
        <f>SUM(PB3:PB12)</f>
        <v>16</v>
      </c>
      <c r="PC13" s="595">
        <f t="shared" si="480"/>
        <v>1</v>
      </c>
      <c r="PD13" s="596">
        <f>SUM(PD3:PD12)</f>
        <v>9</v>
      </c>
      <c r="PE13" s="597">
        <f>SUM(PE3:PE12)</f>
        <v>9</v>
      </c>
      <c r="PF13" s="595">
        <f t="shared" si="408"/>
        <v>1</v>
      </c>
      <c r="PG13" s="596">
        <f>SUM(PG3:PG12)</f>
        <v>0</v>
      </c>
      <c r="PH13" s="597">
        <f>SUM(PH3:PH12)</f>
        <v>0</v>
      </c>
      <c r="PI13" s="595">
        <f t="shared" si="409"/>
        <v>1</v>
      </c>
      <c r="PJ13" s="596">
        <f>SUM(PJ3:PJ12)</f>
        <v>13</v>
      </c>
      <c r="PK13" s="597">
        <f>SUM(PK3:PK12)</f>
        <v>13</v>
      </c>
      <c r="PL13" s="595">
        <f t="shared" si="410"/>
        <v>1</v>
      </c>
      <c r="PM13" s="596">
        <f>SUM(PM3:PM12)</f>
        <v>18</v>
      </c>
      <c r="PN13" s="597">
        <f>SUM(PN3:PN12)</f>
        <v>18</v>
      </c>
      <c r="PO13" s="595">
        <f t="shared" si="411"/>
        <v>1</v>
      </c>
      <c r="PP13" s="602">
        <f>SUM(PP3:PP12)</f>
        <v>56</v>
      </c>
      <c r="PQ13" s="602">
        <f>SUM(PQ3:PQ12)</f>
        <v>0</v>
      </c>
      <c r="PR13" s="596">
        <f>SUM(PR3:PR12)</f>
        <v>12</v>
      </c>
      <c r="PS13" s="597">
        <f>SUM(PS3:PS12)</f>
        <v>12</v>
      </c>
      <c r="PT13" s="595">
        <f t="shared" si="483"/>
        <v>1</v>
      </c>
      <c r="PU13" s="596">
        <f>SUM(PU3:PU12)</f>
        <v>14</v>
      </c>
      <c r="PV13" s="597">
        <f>SUM(PV3:PV12)</f>
        <v>14</v>
      </c>
      <c r="PW13" s="595">
        <f t="shared" si="412"/>
        <v>1</v>
      </c>
      <c r="PX13" s="596">
        <f>SUM(PX3:PX12)</f>
        <v>17</v>
      </c>
      <c r="PY13" s="597">
        <f>SUM(PY3:PY12)</f>
        <v>17</v>
      </c>
      <c r="PZ13" s="595">
        <f t="shared" si="413"/>
        <v>1</v>
      </c>
      <c r="QA13" s="596">
        <f>SUM(QA3:QA12)</f>
        <v>7</v>
      </c>
      <c r="QB13" s="597">
        <f>SUM(QB3:QB12)</f>
        <v>7</v>
      </c>
      <c r="QC13" s="595">
        <f t="shared" si="414"/>
        <v>1</v>
      </c>
      <c r="QD13" s="596">
        <f>SUM(QD3:QD12)</f>
        <v>11</v>
      </c>
      <c r="QE13" s="597">
        <f>SUM(QE3:QE12)</f>
        <v>11</v>
      </c>
      <c r="QF13" s="595">
        <f t="shared" si="415"/>
        <v>1</v>
      </c>
      <c r="QG13" s="602">
        <f>SUM(QG3:QG12)</f>
        <v>61</v>
      </c>
      <c r="QH13" s="602">
        <f>SUM(QH3:QH12)</f>
        <v>0</v>
      </c>
    </row>
    <row r="14" spans="1:450" ht="15" thickTop="1" x14ac:dyDescent="0.3">
      <c r="AG14">
        <f>AG13-AF13</f>
        <v>0</v>
      </c>
      <c r="AJ14">
        <f>AJ13-AI13</f>
        <v>0</v>
      </c>
      <c r="AM14">
        <f>AM13-AL13</f>
        <v>0</v>
      </c>
      <c r="AP14">
        <f>AP13-AO13</f>
        <v>0</v>
      </c>
      <c r="AR14" s="603"/>
      <c r="AT14">
        <f>AT13-AS13</f>
        <v>0</v>
      </c>
      <c r="AW14">
        <f>AW13-AV13</f>
        <v>0</v>
      </c>
      <c r="AZ14">
        <f>AZ13-AY13</f>
        <v>0</v>
      </c>
      <c r="BC14">
        <f>BC13-BB13</f>
        <v>0</v>
      </c>
      <c r="BF14">
        <f>BF13-BE13</f>
        <v>0</v>
      </c>
      <c r="BH14" s="603">
        <f>SUM(AS13,AV13,AY13,BB13,BE13)/SUM(AT13,AW13,AZ13,BC13,BF13)</f>
        <v>1</v>
      </c>
      <c r="BJ14">
        <f>BJ13-BI13</f>
        <v>0</v>
      </c>
      <c r="BM14">
        <f>BM13-BL13</f>
        <v>0</v>
      </c>
      <c r="BP14">
        <f>BP13-BO13</f>
        <v>0</v>
      </c>
      <c r="BS14">
        <f>BS13-BR13</f>
        <v>0</v>
      </c>
      <c r="BV14">
        <f>BV13-BU13</f>
        <v>0</v>
      </c>
      <c r="BX14" s="603">
        <f>SUM(BI13,BL13,BO13,BR13,BU13)/SUM(BJ13,BM13,BP13,BS13,BV13)</f>
        <v>1</v>
      </c>
      <c r="BZ14">
        <f>BZ13-BY13</f>
        <v>0</v>
      </c>
      <c r="CC14">
        <f>CC13-CB13</f>
        <v>0</v>
      </c>
      <c r="CF14">
        <f>CF13-CE13</f>
        <v>0</v>
      </c>
      <c r="CI14">
        <f>CI13-CH13</f>
        <v>0</v>
      </c>
      <c r="CL14">
        <f>CL13-CK13</f>
        <v>0</v>
      </c>
      <c r="CO14" s="603">
        <f>SUM(BY13,CB13,CE13,CH13,CK13)/SUM(BZ13,CC13,CF13,CI13,CL13)</f>
        <v>1</v>
      </c>
      <c r="CQ14">
        <f>CQ13-CP13</f>
        <v>0</v>
      </c>
      <c r="CT14">
        <f>CT13-CS13</f>
        <v>0</v>
      </c>
      <c r="CW14">
        <f>CW13-CV13</f>
        <v>0</v>
      </c>
      <c r="CZ14">
        <f>CZ13-CY13</f>
        <v>0</v>
      </c>
      <c r="DC14">
        <f>DC13-DB13</f>
        <v>0</v>
      </c>
      <c r="DF14" s="603">
        <f>SUM(CP13,CS13,CV13,CY13,DB13)/SUM(CQ13,CT13,CW13,CZ13,DC13)</f>
        <v>1</v>
      </c>
      <c r="DH14">
        <f>DH13-DG13</f>
        <v>0</v>
      </c>
      <c r="DK14">
        <f>DK13-DJ13</f>
        <v>0</v>
      </c>
      <c r="DN14">
        <f>DN13-DM13</f>
        <v>0</v>
      </c>
      <c r="DQ14">
        <f>DQ13-DP13</f>
        <v>0</v>
      </c>
      <c r="DT14">
        <f>DT13-DS13</f>
        <v>0</v>
      </c>
      <c r="DW14" s="603">
        <f>SUM(DG13,DJ13,DM13,DP13,DS13)/SUM(DH13,DK13,DN13,DQ13,DT13)</f>
        <v>1</v>
      </c>
      <c r="DY14">
        <f>DY13-DX13</f>
        <v>0</v>
      </c>
      <c r="EB14">
        <f>EB13-EA13</f>
        <v>0</v>
      </c>
      <c r="EE14">
        <f>EE13-ED13</f>
        <v>0</v>
      </c>
      <c r="EH14">
        <f>EH13-EG13</f>
        <v>0</v>
      </c>
      <c r="EK14">
        <f>EK13-EJ13</f>
        <v>0</v>
      </c>
      <c r="EN14" s="603">
        <f>SUM(DX13,EA13,ED13,EG13,EJ13)/SUM(DY13,EB13,EE13,EH13,EK13)</f>
        <v>1</v>
      </c>
      <c r="EP14">
        <f>EP13-EO13</f>
        <v>0</v>
      </c>
      <c r="ES14">
        <f>ES13-ER13</f>
        <v>0</v>
      </c>
      <c r="EV14">
        <f>EV13-EU13</f>
        <v>0</v>
      </c>
      <c r="EY14">
        <f>EY13-EX13</f>
        <v>0</v>
      </c>
      <c r="FB14">
        <f>FB13-FA13</f>
        <v>0</v>
      </c>
      <c r="FE14" s="603">
        <f>SUM(EO13,ER13,EU13,EX13,FA13)/SUM(EP13,ES13,EV13,EY13,FB13)</f>
        <v>1</v>
      </c>
      <c r="FG14">
        <f>FG13-FF13</f>
        <v>0</v>
      </c>
      <c r="FJ14">
        <f>FJ13-FI13</f>
        <v>0</v>
      </c>
      <c r="FM14">
        <f>FM13-FL13</f>
        <v>0</v>
      </c>
      <c r="FP14">
        <f>FP13-FO13</f>
        <v>0</v>
      </c>
      <c r="FS14">
        <f>FS13-FR13</f>
        <v>0</v>
      </c>
      <c r="FV14" s="603">
        <f>SUM(FF13,FI13,FL13,FO13,FR13)/SUM(FG13,FJ13,FM13,FP13,FS13)</f>
        <v>1</v>
      </c>
      <c r="FX14">
        <f>FX13-FW13</f>
        <v>0</v>
      </c>
      <c r="GA14">
        <f>GA13-FZ13</f>
        <v>0</v>
      </c>
      <c r="GD14">
        <f>GD13-GC13</f>
        <v>0</v>
      </c>
      <c r="GG14">
        <f>GG13-GF13</f>
        <v>0</v>
      </c>
      <c r="GJ14">
        <f>GJ13-GI13</f>
        <v>0</v>
      </c>
      <c r="GM14" s="603">
        <f>SUM(FW13,FZ13,GC13,GF13,GI13)/SUM(FX13,GA13,GD13,GG13,GJ13)</f>
        <v>1</v>
      </c>
      <c r="GO14">
        <f>GO13-GN13</f>
        <v>0</v>
      </c>
      <c r="GR14">
        <f>GR13-GQ13</f>
        <v>0</v>
      </c>
      <c r="GU14">
        <f>GU13-GT13</f>
        <v>0</v>
      </c>
      <c r="GX14">
        <f>GX13-GW13</f>
        <v>0</v>
      </c>
      <c r="HA14">
        <f>HA13-GZ13</f>
        <v>0</v>
      </c>
      <c r="HD14" s="603">
        <f>SUM(GN13,GQ13,GT13,GW13,GZ13)/SUM(GO13,GR13,GU13,GX13,HA13)</f>
        <v>1</v>
      </c>
      <c r="HF14">
        <f>HF13-HE13</f>
        <v>0</v>
      </c>
      <c r="HI14">
        <f>HI13-HH13</f>
        <v>0</v>
      </c>
      <c r="HL14">
        <f>HL13-HK13</f>
        <v>0</v>
      </c>
      <c r="HO14">
        <f>HO13-HN13</f>
        <v>0</v>
      </c>
      <c r="HR14">
        <f>HR13-HQ13</f>
        <v>0</v>
      </c>
      <c r="HU14" s="603">
        <f>SUM(HE13,HH13,HK13,HN13,HQ13)/SUM(HF13,HI13,HL13,HO13,HR13)</f>
        <v>1</v>
      </c>
      <c r="HW14">
        <f>HW13-HV13</f>
        <v>0</v>
      </c>
      <c r="HZ14">
        <f>HZ13-HY13</f>
        <v>0</v>
      </c>
      <c r="IC14">
        <f>IC13-IB13</f>
        <v>0</v>
      </c>
      <c r="IF14">
        <f>IF13-IE13</f>
        <v>0</v>
      </c>
      <c r="II14">
        <f>II13-IH13</f>
        <v>0</v>
      </c>
      <c r="IL14" s="603">
        <f>SUM(HV13,HY13,IB13,IE13,IH13)/SUM(HW13,HZ13,IC13,IF13,II13)</f>
        <v>1</v>
      </c>
      <c r="IN14">
        <f>IN13-IM13</f>
        <v>0</v>
      </c>
      <c r="IQ14">
        <f>IQ13-IP13</f>
        <v>0</v>
      </c>
      <c r="IT14">
        <f>IT13-IS13</f>
        <v>0</v>
      </c>
      <c r="IW14">
        <f>IW13-IV13</f>
        <v>0</v>
      </c>
      <c r="IZ14">
        <f>IZ13-IY13</f>
        <v>0</v>
      </c>
      <c r="JC14" s="603">
        <f>SUM(IM13,IP13,IS13,IV13,IY13)/SUM(IN13,IQ13,IT13,IW13,IZ13)</f>
        <v>1</v>
      </c>
      <c r="JE14">
        <f>JE13-JD13</f>
        <v>0</v>
      </c>
      <c r="JH14">
        <f>JH13-JG13</f>
        <v>0</v>
      </c>
      <c r="JK14">
        <f>JK13-JJ13</f>
        <v>0</v>
      </c>
      <c r="JN14">
        <f>JN13-JM13</f>
        <v>0</v>
      </c>
      <c r="JQ14">
        <f>JQ13-JP13</f>
        <v>0</v>
      </c>
      <c r="JT14" s="603">
        <f>SUM(JD13,JG13,JJ13,JM13,JP13)/SUM(JE13,JH13,JK13,JN13,JQ13)</f>
        <v>1</v>
      </c>
      <c r="JV14">
        <f>JV13-JU13</f>
        <v>0</v>
      </c>
      <c r="JY14">
        <f>JY13-JX13</f>
        <v>0</v>
      </c>
      <c r="KB14">
        <f>KB13-KA13</f>
        <v>0</v>
      </c>
      <c r="KE14">
        <f>KE13-KD13</f>
        <v>0</v>
      </c>
      <c r="KH14">
        <f>KH13-KG13</f>
        <v>0</v>
      </c>
      <c r="KK14" s="603">
        <f>SUM(JU13,JX13,KA13,KD13,KG13)/SUM(JV13,JY13,KB13,KE13,KH13)</f>
        <v>1</v>
      </c>
      <c r="KM14">
        <f>KM13-KL13</f>
        <v>0</v>
      </c>
      <c r="KP14">
        <f>KP13-KO13</f>
        <v>0</v>
      </c>
      <c r="KS14">
        <f>KS13-KR13</f>
        <v>0</v>
      </c>
      <c r="KV14">
        <f>KV13-KU13</f>
        <v>0</v>
      </c>
      <c r="KY14">
        <f>KY13-KX13</f>
        <v>0</v>
      </c>
      <c r="LB14" s="603">
        <f>SUM(KL13,KO13,KR13,KU13,KX13)/SUM(KM13,KP13,KS13,KV13,KY13)</f>
        <v>1</v>
      </c>
      <c r="LD14">
        <f>LD13-LC13</f>
        <v>0</v>
      </c>
      <c r="LG14">
        <f>LG13-LF13</f>
        <v>0</v>
      </c>
      <c r="LJ14">
        <f>LJ13-LI13</f>
        <v>0</v>
      </c>
      <c r="LM14">
        <f>LM13-LL13</f>
        <v>0</v>
      </c>
      <c r="LP14">
        <f>LP13-LO13</f>
        <v>0</v>
      </c>
      <c r="LS14" s="603">
        <f>SUM(LC13,LF13,LI13,LL13,LO13)/SUM(LD13,LG13,LJ13,LM13,LP13)</f>
        <v>1</v>
      </c>
      <c r="LU14">
        <f>LU13-LT13</f>
        <v>0</v>
      </c>
      <c r="LX14">
        <f>LX13-LW13</f>
        <v>0</v>
      </c>
      <c r="MA14">
        <f>MA13-LZ13</f>
        <v>0</v>
      </c>
      <c r="MD14">
        <f>MD13-MC13</f>
        <v>0</v>
      </c>
      <c r="MG14">
        <f>MG13-MF13</f>
        <v>0</v>
      </c>
      <c r="MJ14" s="603">
        <f>SUM(LT13,LW13,LZ13,MC13,MF13)/SUM(LU13,LX13,MA13,MD13,MG13)</f>
        <v>1</v>
      </c>
      <c r="ML14">
        <f>ML13-MK13</f>
        <v>0</v>
      </c>
      <c r="MO14">
        <f>MO13-MN13</f>
        <v>0</v>
      </c>
      <c r="MR14">
        <f>MR13-MQ13</f>
        <v>0</v>
      </c>
      <c r="MU14">
        <f>MU13-MT13</f>
        <v>0</v>
      </c>
      <c r="MX14">
        <f>MX13-MW13</f>
        <v>0</v>
      </c>
      <c r="NA14" s="603">
        <f>SUM(MK13,MN13,MQ13,MT13,MW13)/SUM(ML13,MO13,MR13,MU13,MX13)</f>
        <v>1</v>
      </c>
      <c r="NC14">
        <f>NC13-NB13</f>
        <v>0</v>
      </c>
      <c r="NF14">
        <f>NF13-NE13</f>
        <v>0</v>
      </c>
      <c r="NI14">
        <f>NI13-NH13</f>
        <v>0</v>
      </c>
      <c r="NL14">
        <f>NL13-NK13</f>
        <v>0</v>
      </c>
      <c r="NO14">
        <f>NO13-NN13</f>
        <v>0</v>
      </c>
      <c r="NR14" s="603">
        <f>SUM(NB13,NE13,NH13,NK13,NN13)/SUM(NC13,NF13,NI13,NL13,NO13)</f>
        <v>1</v>
      </c>
      <c r="NT14">
        <f>NT13-NS13</f>
        <v>0</v>
      </c>
      <c r="NW14">
        <f>NW13-NV13</f>
        <v>0</v>
      </c>
      <c r="NZ14">
        <f>NZ13-NY13</f>
        <v>0</v>
      </c>
      <c r="OC14">
        <f>OC13-OB13</f>
        <v>0</v>
      </c>
      <c r="OF14">
        <f>OF13-OE13</f>
        <v>0</v>
      </c>
      <c r="OI14" s="603">
        <f>SUM(NS13,NV13,NY13,OB13,OE13)/SUM(NT13,NW13,NZ13,OC13,OF13)</f>
        <v>1</v>
      </c>
      <c r="OK14">
        <f>OK13-OJ13</f>
        <v>0</v>
      </c>
      <c r="ON14">
        <f>ON13-OM13</f>
        <v>0</v>
      </c>
      <c r="OQ14">
        <f>OQ13-OP13</f>
        <v>0</v>
      </c>
      <c r="OT14">
        <f>OT13-OS13</f>
        <v>0</v>
      </c>
      <c r="OW14">
        <f>OW13-OV13</f>
        <v>0</v>
      </c>
      <c r="OZ14" s="603">
        <f>SUM(OJ13,OM13,OP13,OS13,OV13)/SUM(OK13,ON13,OQ13,OT13,OW13)</f>
        <v>1</v>
      </c>
      <c r="PB14">
        <f>PB13-PA13</f>
        <v>0</v>
      </c>
      <c r="PE14">
        <f>PE13-PD13</f>
        <v>0</v>
      </c>
      <c r="PH14">
        <f>PH13-PG13</f>
        <v>0</v>
      </c>
      <c r="PK14">
        <f>PK13-PJ13</f>
        <v>0</v>
      </c>
      <c r="PN14">
        <f>PN13-PM13</f>
        <v>0</v>
      </c>
      <c r="PQ14" s="603">
        <f>SUM(PA13,PD13,PG13,PJ13,PM13)/SUM(PB13,PE13,PH13,PK13,PN13)</f>
        <v>1</v>
      </c>
      <c r="PS14">
        <f>PS13-PR13</f>
        <v>0</v>
      </c>
      <c r="PV14">
        <f>PV13-PU13</f>
        <v>0</v>
      </c>
      <c r="PY14">
        <f>PY13-PX13</f>
        <v>0</v>
      </c>
      <c r="QB14">
        <f>QB13-QA13</f>
        <v>0</v>
      </c>
      <c r="QE14">
        <f>QE13-QD13</f>
        <v>0</v>
      </c>
      <c r="QH14" s="603">
        <f>SUM(PR13,PU13,PX13,QA13,QD13)/SUM(PS13,PV13,PY13,QB13,QE13)</f>
        <v>1</v>
      </c>
    </row>
  </sheetData>
  <mergeCells count="164">
    <mergeCell ref="QA1:QC1"/>
    <mergeCell ref="QD1:QF1"/>
    <mergeCell ref="QG1:QH2"/>
    <mergeCell ref="PA1:PC1"/>
    <mergeCell ref="PD1:PF1"/>
    <mergeCell ref="PG1:PI1"/>
    <mergeCell ref="PJ1:PL1"/>
    <mergeCell ref="PM1:PO1"/>
    <mergeCell ref="PP1:PQ2"/>
    <mergeCell ref="PR1:PT1"/>
    <mergeCell ref="PU1:PW1"/>
    <mergeCell ref="PX1:PZ1"/>
    <mergeCell ref="OJ1:OL1"/>
    <mergeCell ref="OM1:OO1"/>
    <mergeCell ref="OP1:OR1"/>
    <mergeCell ref="OS1:OU1"/>
    <mergeCell ref="OV1:OX1"/>
    <mergeCell ref="OY1:OZ2"/>
    <mergeCell ref="MK1:MM1"/>
    <mergeCell ref="MN1:MP1"/>
    <mergeCell ref="MQ1:MS1"/>
    <mergeCell ref="MT1:MV1"/>
    <mergeCell ref="MW1:MY1"/>
    <mergeCell ref="MZ1:NA2"/>
    <mergeCell ref="OB1:OD1"/>
    <mergeCell ref="OE1:OG1"/>
    <mergeCell ref="OH1:OI2"/>
    <mergeCell ref="NB1:ND1"/>
    <mergeCell ref="NE1:NG1"/>
    <mergeCell ref="NH1:NJ1"/>
    <mergeCell ref="NK1:NM1"/>
    <mergeCell ref="NN1:NP1"/>
    <mergeCell ref="NQ1:NR2"/>
    <mergeCell ref="NS1:NU1"/>
    <mergeCell ref="NV1:NX1"/>
    <mergeCell ref="NY1:OA1"/>
    <mergeCell ref="LT1:LV1"/>
    <mergeCell ref="LW1:LY1"/>
    <mergeCell ref="LZ1:MB1"/>
    <mergeCell ref="MC1:ME1"/>
    <mergeCell ref="MF1:MH1"/>
    <mergeCell ref="MI1:MJ2"/>
    <mergeCell ref="LC1:LE1"/>
    <mergeCell ref="LF1:LH1"/>
    <mergeCell ref="LI1:LK1"/>
    <mergeCell ref="LL1:LN1"/>
    <mergeCell ref="LO1:LQ1"/>
    <mergeCell ref="LR1:LS2"/>
    <mergeCell ref="KL1:KN1"/>
    <mergeCell ref="KO1:KQ1"/>
    <mergeCell ref="KR1:KT1"/>
    <mergeCell ref="KU1:KW1"/>
    <mergeCell ref="KX1:KZ1"/>
    <mergeCell ref="LA1:LB2"/>
    <mergeCell ref="JU1:JW1"/>
    <mergeCell ref="JX1:JZ1"/>
    <mergeCell ref="KA1:KC1"/>
    <mergeCell ref="KD1:KF1"/>
    <mergeCell ref="KG1:KI1"/>
    <mergeCell ref="KJ1:KK2"/>
    <mergeCell ref="JB1:JC2"/>
    <mergeCell ref="IM1:IO1"/>
    <mergeCell ref="IP1:IR1"/>
    <mergeCell ref="IS1:IU1"/>
    <mergeCell ref="IV1:IX1"/>
    <mergeCell ref="IY1:JA1"/>
    <mergeCell ref="JS1:JT2"/>
    <mergeCell ref="GN1:GP1"/>
    <mergeCell ref="GQ1:GS1"/>
    <mergeCell ref="GT1:GV1"/>
    <mergeCell ref="GW1:GY1"/>
    <mergeCell ref="GZ1:HB1"/>
    <mergeCell ref="HQ1:HS1"/>
    <mergeCell ref="HE1:HG1"/>
    <mergeCell ref="HH1:HJ1"/>
    <mergeCell ref="HK1:HM1"/>
    <mergeCell ref="HN1:HP1"/>
    <mergeCell ref="HC1:HD2"/>
    <mergeCell ref="CP1:CR1"/>
    <mergeCell ref="CS1:CU1"/>
    <mergeCell ref="CV1:CX1"/>
    <mergeCell ref="CY1:DA1"/>
    <mergeCell ref="J1:K1"/>
    <mergeCell ref="CE1:CG1"/>
    <mergeCell ref="CH1:CJ1"/>
    <mergeCell ref="CK1:CM1"/>
    <mergeCell ref="DB1:DD1"/>
    <mergeCell ref="CN1:CO2"/>
    <mergeCell ref="BY1:CA1"/>
    <mergeCell ref="CB1:CD1"/>
    <mergeCell ref="BH1:BH2"/>
    <mergeCell ref="BB1:BD1"/>
    <mergeCell ref="BE1:BG1"/>
    <mergeCell ref="BI1:BK1"/>
    <mergeCell ref="BL1:BN1"/>
    <mergeCell ref="BO1:BQ1"/>
    <mergeCell ref="BR1:BT1"/>
    <mergeCell ref="BU1:BW1"/>
    <mergeCell ref="BX1:BX2"/>
    <mergeCell ref="A1:A2"/>
    <mergeCell ref="V1:X1"/>
    <mergeCell ref="Y1:AA1"/>
    <mergeCell ref="AB1:AD1"/>
    <mergeCell ref="AY1:BA1"/>
    <mergeCell ref="AR1:AR2"/>
    <mergeCell ref="AE1:AE2"/>
    <mergeCell ref="AF1:AH1"/>
    <mergeCell ref="AI1:AK1"/>
    <mergeCell ref="AL1:AN1"/>
    <mergeCell ref="AO1:AQ1"/>
    <mergeCell ref="AS1:AU1"/>
    <mergeCell ref="AV1:AX1"/>
    <mergeCell ref="L1:M1"/>
    <mergeCell ref="N1:O1"/>
    <mergeCell ref="P1:P2"/>
    <mergeCell ref="D1:E1"/>
    <mergeCell ref="F1:G1"/>
    <mergeCell ref="U1:U2"/>
    <mergeCell ref="Q1:T1"/>
    <mergeCell ref="H1:I1"/>
    <mergeCell ref="B1:C1"/>
    <mergeCell ref="FR1:FT1"/>
    <mergeCell ref="FU1:FV2"/>
    <mergeCell ref="DG1:DI1"/>
    <mergeCell ref="DJ1:DL1"/>
    <mergeCell ref="DM1:DO1"/>
    <mergeCell ref="DP1:DR1"/>
    <mergeCell ref="DS1:DU1"/>
    <mergeCell ref="DX1:DZ1"/>
    <mergeCell ref="EA1:EC1"/>
    <mergeCell ref="ED1:EF1"/>
    <mergeCell ref="EG1:EI1"/>
    <mergeCell ref="EJ1:EL1"/>
    <mergeCell ref="EM1:EN2"/>
    <mergeCell ref="EO1:EQ1"/>
    <mergeCell ref="ER1:ET1"/>
    <mergeCell ref="EU1:EW1"/>
    <mergeCell ref="EX1:EZ1"/>
    <mergeCell ref="FA1:FC1"/>
    <mergeCell ref="FD1:FE2"/>
    <mergeCell ref="GL1:GM2"/>
    <mergeCell ref="DV1:DW2"/>
    <mergeCell ref="DE1:DF2"/>
    <mergeCell ref="JD1:JF1"/>
    <mergeCell ref="JG1:JI1"/>
    <mergeCell ref="JJ1:JL1"/>
    <mergeCell ref="JM1:JO1"/>
    <mergeCell ref="JP1:JR1"/>
    <mergeCell ref="IK1:IL2"/>
    <mergeCell ref="HT1:HU2"/>
    <mergeCell ref="HV1:HX1"/>
    <mergeCell ref="HY1:IA1"/>
    <mergeCell ref="IB1:ID1"/>
    <mergeCell ref="IE1:IG1"/>
    <mergeCell ref="IH1:IJ1"/>
    <mergeCell ref="FW1:FY1"/>
    <mergeCell ref="FZ1:GB1"/>
    <mergeCell ref="GC1:GE1"/>
    <mergeCell ref="GF1:GH1"/>
    <mergeCell ref="GI1:GK1"/>
    <mergeCell ref="FF1:FH1"/>
    <mergeCell ref="FI1:FK1"/>
    <mergeCell ref="FL1:FN1"/>
    <mergeCell ref="FO1:FQ1"/>
  </mergeCells>
  <conditionalFormatting sqref="X3:X6 AA3:AA6 AD3:AD6 AH3:AH6 AH12 AD12 AA12 X12">
    <cfRule type="colorScale" priority="1416">
      <colorScale>
        <cfvo type="num" val="0"/>
        <cfvo type="num" val="0.5"/>
        <cfvo type="num" val="1"/>
        <color rgb="FFFF0000"/>
        <color rgb="FFFFC000"/>
        <color rgb="FF92D050"/>
      </colorScale>
    </cfRule>
  </conditionalFormatting>
  <conditionalFormatting sqref="X13">
    <cfRule type="colorScale" priority="1415">
      <colorScale>
        <cfvo type="num" val="0"/>
        <cfvo type="num" val="0.5"/>
        <cfvo type="num" val="1"/>
        <color rgb="FFFF0000"/>
        <color rgb="FFFFC000"/>
        <color rgb="FF92D050"/>
      </colorScale>
    </cfRule>
  </conditionalFormatting>
  <conditionalFormatting sqref="AA13">
    <cfRule type="colorScale" priority="1408">
      <colorScale>
        <cfvo type="num" val="0"/>
        <cfvo type="num" val="0.5"/>
        <cfvo type="num" val="1"/>
        <color rgb="FFFF0000"/>
        <color rgb="FFFFC000"/>
        <color rgb="FF92D050"/>
      </colorScale>
    </cfRule>
  </conditionalFormatting>
  <conditionalFormatting sqref="AD13">
    <cfRule type="colorScale" priority="1407">
      <colorScale>
        <cfvo type="num" val="0"/>
        <cfvo type="num" val="0.5"/>
        <cfvo type="num" val="1"/>
        <color rgb="FFFF0000"/>
        <color rgb="FFFFC000"/>
        <color rgb="FF92D050"/>
      </colorScale>
    </cfRule>
  </conditionalFormatting>
  <conditionalFormatting sqref="AH13">
    <cfRule type="colorScale" priority="1406">
      <colorScale>
        <cfvo type="num" val="0"/>
        <cfvo type="num" val="0.5"/>
        <cfvo type="num" val="1"/>
        <color rgb="FFFF0000"/>
        <color rgb="FFFFC000"/>
        <color rgb="FF92D050"/>
      </colorScale>
    </cfRule>
  </conditionalFormatting>
  <conditionalFormatting sqref="AU3:AU6 AU12">
    <cfRule type="colorScale" priority="1392">
      <colorScale>
        <cfvo type="num" val="0"/>
        <cfvo type="num" val="0.5"/>
        <cfvo type="num" val="1"/>
        <color rgb="FFFF0000"/>
        <color rgb="FFFFC000"/>
        <color rgb="FF92D050"/>
      </colorScale>
    </cfRule>
  </conditionalFormatting>
  <conditionalFormatting sqref="AU13">
    <cfRule type="colorScale" priority="1391">
      <colorScale>
        <cfvo type="num" val="0"/>
        <cfvo type="num" val="0.5"/>
        <cfvo type="num" val="1"/>
        <color rgb="FFFF0000"/>
        <color rgb="FFFFC000"/>
        <color rgb="FF92D050"/>
      </colorScale>
    </cfRule>
  </conditionalFormatting>
  <conditionalFormatting sqref="AQ3:AQ6 AQ12">
    <cfRule type="colorScale" priority="1390">
      <colorScale>
        <cfvo type="num" val="0"/>
        <cfvo type="num" val="0.5"/>
        <cfvo type="num" val="1"/>
        <color rgb="FFFF0000"/>
        <color rgb="FFFFC000"/>
        <color rgb="FF92D050"/>
      </colorScale>
    </cfRule>
  </conditionalFormatting>
  <conditionalFormatting sqref="AQ12:AR12">
    <cfRule type="colorScale" priority="1389">
      <colorScale>
        <cfvo type="num" val="0"/>
        <cfvo type="num" val="0.5"/>
        <cfvo type="num" val="1"/>
        <color rgb="FFFF0000"/>
        <color rgb="FFFFC000"/>
        <color rgb="FF92D050"/>
      </colorScale>
    </cfRule>
  </conditionalFormatting>
  <conditionalFormatting sqref="AN3:AN6 AN12">
    <cfRule type="colorScale" priority="1388">
      <colorScale>
        <cfvo type="num" val="0"/>
        <cfvo type="num" val="0.5"/>
        <cfvo type="num" val="1"/>
        <color rgb="FFFF0000"/>
        <color rgb="FFFFC000"/>
        <color rgb="FF92D050"/>
      </colorScale>
    </cfRule>
  </conditionalFormatting>
  <conditionalFormatting sqref="AN13">
    <cfRule type="colorScale" priority="1387">
      <colorScale>
        <cfvo type="num" val="0"/>
        <cfvo type="num" val="0.5"/>
        <cfvo type="num" val="1"/>
        <color rgb="FFFF0000"/>
        <color rgb="FFFFC000"/>
        <color rgb="FF92D050"/>
      </colorScale>
    </cfRule>
  </conditionalFormatting>
  <conditionalFormatting sqref="AK3:AK6 AK12">
    <cfRule type="colorScale" priority="1386">
      <colorScale>
        <cfvo type="num" val="0"/>
        <cfvo type="num" val="0.5"/>
        <cfvo type="num" val="1"/>
        <color rgb="FFFF0000"/>
        <color rgb="FFFFC000"/>
        <color rgb="FF92D050"/>
      </colorScale>
    </cfRule>
  </conditionalFormatting>
  <conditionalFormatting sqref="AK13">
    <cfRule type="colorScale" priority="1385">
      <colorScale>
        <cfvo type="num" val="0"/>
        <cfvo type="num" val="0.5"/>
        <cfvo type="num" val="1"/>
        <color rgb="FFFF0000"/>
        <color rgb="FFFFC000"/>
        <color rgb="FF92D050"/>
      </colorScale>
    </cfRule>
  </conditionalFormatting>
  <conditionalFormatting sqref="AX3:AX6 AX12">
    <cfRule type="colorScale" priority="1384">
      <colorScale>
        <cfvo type="num" val="0"/>
        <cfvo type="num" val="0.5"/>
        <cfvo type="num" val="1"/>
        <color rgb="FFFF0000"/>
        <color rgb="FFFFC000"/>
        <color rgb="FF92D050"/>
      </colorScale>
    </cfRule>
  </conditionalFormatting>
  <conditionalFormatting sqref="AX13">
    <cfRule type="colorScale" priority="1383">
      <colorScale>
        <cfvo type="num" val="0"/>
        <cfvo type="num" val="0.5"/>
        <cfvo type="num" val="1"/>
        <color rgb="FFFF0000"/>
        <color rgb="FFFFC000"/>
        <color rgb="FF92D050"/>
      </colorScale>
    </cfRule>
  </conditionalFormatting>
  <conditionalFormatting sqref="BA3:BA6 BA12">
    <cfRule type="colorScale" priority="1382">
      <colorScale>
        <cfvo type="num" val="0"/>
        <cfvo type="num" val="0.5"/>
        <cfvo type="num" val="1"/>
        <color rgb="FFFF0000"/>
        <color rgb="FFFFC000"/>
        <color rgb="FF92D050"/>
      </colorScale>
    </cfRule>
  </conditionalFormatting>
  <conditionalFormatting sqref="BA13">
    <cfRule type="colorScale" priority="1381">
      <colorScale>
        <cfvo type="num" val="0"/>
        <cfvo type="num" val="0.5"/>
        <cfvo type="num" val="1"/>
        <color rgb="FFFF0000"/>
        <color rgb="FFFFC000"/>
        <color rgb="FF92D050"/>
      </colorScale>
    </cfRule>
  </conditionalFormatting>
  <conditionalFormatting sqref="BD3:BD6 BD12">
    <cfRule type="colorScale" priority="1380">
      <colorScale>
        <cfvo type="num" val="0"/>
        <cfvo type="num" val="0.5"/>
        <cfvo type="num" val="1"/>
        <color rgb="FFFF0000"/>
        <color rgb="FFFFC000"/>
        <color rgb="FF92D050"/>
      </colorScale>
    </cfRule>
  </conditionalFormatting>
  <conditionalFormatting sqref="BD13">
    <cfRule type="colorScale" priority="1379">
      <colorScale>
        <cfvo type="num" val="0"/>
        <cfvo type="num" val="0.5"/>
        <cfvo type="num" val="1"/>
        <color rgb="FFFF0000"/>
        <color rgb="FFFFC000"/>
        <color rgb="FF92D050"/>
      </colorScale>
    </cfRule>
  </conditionalFormatting>
  <conditionalFormatting sqref="BG3:BG6 BG12">
    <cfRule type="colorScale" priority="1378">
      <colorScale>
        <cfvo type="num" val="0"/>
        <cfvo type="num" val="0.5"/>
        <cfvo type="num" val="1"/>
        <color rgb="FFFF0000"/>
        <color rgb="FFFFC000"/>
        <color rgb="FF92D050"/>
      </colorScale>
    </cfRule>
  </conditionalFormatting>
  <conditionalFormatting sqref="BG13">
    <cfRule type="colorScale" priority="1377">
      <colorScale>
        <cfvo type="num" val="0"/>
        <cfvo type="num" val="0.5"/>
        <cfvo type="num" val="1"/>
        <color rgb="FFFF0000"/>
        <color rgb="FFFFC000"/>
        <color rgb="FF92D050"/>
      </colorScale>
    </cfRule>
  </conditionalFormatting>
  <conditionalFormatting sqref="AR3:AR6 AR12">
    <cfRule type="cellIs" dxfId="208" priority="1366" operator="equal">
      <formula>0</formula>
    </cfRule>
    <cfRule type="colorScale" priority="1371">
      <colorScale>
        <cfvo type="min"/>
        <cfvo type="percentile" val="50"/>
        <cfvo type="max"/>
        <color rgb="FF92D050"/>
        <color rgb="FFFFC000"/>
        <color rgb="FFFF0000"/>
      </colorScale>
    </cfRule>
  </conditionalFormatting>
  <conditionalFormatting sqref="AE3:AE6 AE12">
    <cfRule type="cellIs" dxfId="207" priority="1367" operator="equal">
      <formula>0</formula>
    </cfRule>
    <cfRule type="colorScale" priority="1368">
      <colorScale>
        <cfvo type="min"/>
        <cfvo type="percentile" val="50"/>
        <cfvo type="max"/>
        <color rgb="FF92D050"/>
        <color rgb="FFFFC000"/>
        <color rgb="FFFF0000"/>
      </colorScale>
    </cfRule>
  </conditionalFormatting>
  <conditionalFormatting sqref="BH12">
    <cfRule type="colorScale" priority="1365">
      <colorScale>
        <cfvo type="num" val="0"/>
        <cfvo type="num" val="0.5"/>
        <cfvo type="num" val="1"/>
        <color rgb="FFFF0000"/>
        <color rgb="FFFFC000"/>
        <color rgb="FF92D050"/>
      </colorScale>
    </cfRule>
  </conditionalFormatting>
  <conditionalFormatting sqref="BH3:BH6 BH12">
    <cfRule type="cellIs" dxfId="206" priority="1363" operator="equal">
      <formula>0</formula>
    </cfRule>
    <cfRule type="colorScale" priority="1364">
      <colorScale>
        <cfvo type="min"/>
        <cfvo type="percentile" val="50"/>
        <cfvo type="max"/>
        <color rgb="FF92D050"/>
        <color rgb="FFFFC000"/>
        <color rgb="FFFF0000"/>
      </colorScale>
    </cfRule>
  </conditionalFormatting>
  <conditionalFormatting sqref="BK3:BK6 BK12">
    <cfRule type="colorScale" priority="1362">
      <colorScale>
        <cfvo type="num" val="0"/>
        <cfvo type="num" val="0.5"/>
        <cfvo type="num" val="1"/>
        <color rgb="FFFF0000"/>
        <color rgb="FFFFC000"/>
        <color rgb="FF92D050"/>
      </colorScale>
    </cfRule>
  </conditionalFormatting>
  <conditionalFormatting sqref="BK13">
    <cfRule type="colorScale" priority="1361">
      <colorScale>
        <cfvo type="num" val="0"/>
        <cfvo type="num" val="0.5"/>
        <cfvo type="num" val="1"/>
        <color rgb="FFFF0000"/>
        <color rgb="FFFFC000"/>
        <color rgb="FF92D050"/>
      </colorScale>
    </cfRule>
  </conditionalFormatting>
  <conditionalFormatting sqref="BN3:BN6 BN12">
    <cfRule type="colorScale" priority="1360">
      <colorScale>
        <cfvo type="num" val="0"/>
        <cfvo type="num" val="0.5"/>
        <cfvo type="num" val="1"/>
        <color rgb="FFFF0000"/>
        <color rgb="FFFFC000"/>
        <color rgb="FF92D050"/>
      </colorScale>
    </cfRule>
  </conditionalFormatting>
  <conditionalFormatting sqref="BN13">
    <cfRule type="colorScale" priority="1359">
      <colorScale>
        <cfvo type="num" val="0"/>
        <cfvo type="num" val="0.5"/>
        <cfvo type="num" val="1"/>
        <color rgb="FFFF0000"/>
        <color rgb="FFFFC000"/>
        <color rgb="FF92D050"/>
      </colorScale>
    </cfRule>
  </conditionalFormatting>
  <conditionalFormatting sqref="BQ3:BQ6 BQ12">
    <cfRule type="colorScale" priority="1358">
      <colorScale>
        <cfvo type="num" val="0"/>
        <cfvo type="num" val="0.5"/>
        <cfvo type="num" val="1"/>
        <color rgb="FFFF0000"/>
        <color rgb="FFFFC000"/>
        <color rgb="FF92D050"/>
      </colorScale>
    </cfRule>
  </conditionalFormatting>
  <conditionalFormatting sqref="BQ13">
    <cfRule type="colorScale" priority="1357">
      <colorScale>
        <cfvo type="num" val="0"/>
        <cfvo type="num" val="0.5"/>
        <cfvo type="num" val="1"/>
        <color rgb="FFFF0000"/>
        <color rgb="FFFFC000"/>
        <color rgb="FF92D050"/>
      </colorScale>
    </cfRule>
  </conditionalFormatting>
  <conditionalFormatting sqref="BT3:BT6 BT12">
    <cfRule type="colorScale" priority="1356">
      <colorScale>
        <cfvo type="num" val="0"/>
        <cfvo type="num" val="0.5"/>
        <cfvo type="num" val="1"/>
        <color rgb="FFFF0000"/>
        <color rgb="FFFFC000"/>
        <color rgb="FF92D050"/>
      </colorScale>
    </cfRule>
  </conditionalFormatting>
  <conditionalFormatting sqref="BT13">
    <cfRule type="colorScale" priority="1355">
      <colorScale>
        <cfvo type="num" val="0"/>
        <cfvo type="num" val="0.5"/>
        <cfvo type="num" val="1"/>
        <color rgb="FFFF0000"/>
        <color rgb="FFFFC000"/>
        <color rgb="FF92D050"/>
      </colorScale>
    </cfRule>
  </conditionalFormatting>
  <conditionalFormatting sqref="BW3:BW6 BW12">
    <cfRule type="colorScale" priority="1354">
      <colorScale>
        <cfvo type="num" val="0"/>
        <cfvo type="num" val="0.5"/>
        <cfvo type="num" val="1"/>
        <color rgb="FFFF0000"/>
        <color rgb="FFFFC000"/>
        <color rgb="FF92D050"/>
      </colorScale>
    </cfRule>
  </conditionalFormatting>
  <conditionalFormatting sqref="BW13">
    <cfRule type="colorScale" priority="1353">
      <colorScale>
        <cfvo type="num" val="0"/>
        <cfvo type="num" val="0.5"/>
        <cfvo type="num" val="1"/>
        <color rgb="FFFF0000"/>
        <color rgb="FFFFC000"/>
        <color rgb="FF92D050"/>
      </colorScale>
    </cfRule>
  </conditionalFormatting>
  <conditionalFormatting sqref="BX12">
    <cfRule type="colorScale" priority="1352">
      <colorScale>
        <cfvo type="num" val="0"/>
        <cfvo type="num" val="0.5"/>
        <cfvo type="num" val="1"/>
        <color rgb="FFFF0000"/>
        <color rgb="FFFFC000"/>
        <color rgb="FF92D050"/>
      </colorScale>
    </cfRule>
  </conditionalFormatting>
  <conditionalFormatting sqref="CA3:CA6 CA12">
    <cfRule type="colorScale" priority="1349">
      <colorScale>
        <cfvo type="num" val="0"/>
        <cfvo type="num" val="0.5"/>
        <cfvo type="num" val="1"/>
        <color rgb="FFFF0000"/>
        <color rgb="FFFFC000"/>
        <color rgb="FF92D050"/>
      </colorScale>
    </cfRule>
  </conditionalFormatting>
  <conditionalFormatting sqref="CA13">
    <cfRule type="colorScale" priority="1348">
      <colorScale>
        <cfvo type="num" val="0"/>
        <cfvo type="num" val="0.5"/>
        <cfvo type="num" val="1"/>
        <color rgb="FFFF0000"/>
        <color rgb="FFFFC000"/>
        <color rgb="FF92D050"/>
      </colorScale>
    </cfRule>
  </conditionalFormatting>
  <conditionalFormatting sqref="CD3:CD6 CD12">
    <cfRule type="colorScale" priority="1347">
      <colorScale>
        <cfvo type="num" val="0"/>
        <cfvo type="num" val="0.5"/>
        <cfvo type="num" val="1"/>
        <color rgb="FFFF0000"/>
        <color rgb="FFFFC000"/>
        <color rgb="FF92D050"/>
      </colorScale>
    </cfRule>
  </conditionalFormatting>
  <conditionalFormatting sqref="CD13">
    <cfRule type="colorScale" priority="1346">
      <colorScale>
        <cfvo type="num" val="0"/>
        <cfvo type="num" val="0.5"/>
        <cfvo type="num" val="1"/>
        <color rgb="FFFF0000"/>
        <color rgb="FFFFC000"/>
        <color rgb="FF92D050"/>
      </colorScale>
    </cfRule>
  </conditionalFormatting>
  <conditionalFormatting sqref="CG3:CG6 CG12">
    <cfRule type="colorScale" priority="1345">
      <colorScale>
        <cfvo type="num" val="0"/>
        <cfvo type="num" val="0.5"/>
        <cfvo type="num" val="1"/>
        <color rgb="FFFF0000"/>
        <color rgb="FFFFC000"/>
        <color rgb="FF92D050"/>
      </colorScale>
    </cfRule>
  </conditionalFormatting>
  <conditionalFormatting sqref="CG13">
    <cfRule type="colorScale" priority="1344">
      <colorScale>
        <cfvo type="num" val="0"/>
        <cfvo type="num" val="0.5"/>
        <cfvo type="num" val="1"/>
        <color rgb="FFFF0000"/>
        <color rgb="FFFFC000"/>
        <color rgb="FF92D050"/>
      </colorScale>
    </cfRule>
  </conditionalFormatting>
  <conditionalFormatting sqref="CJ3:CJ6 CJ12">
    <cfRule type="colorScale" priority="1343">
      <colorScale>
        <cfvo type="num" val="0"/>
        <cfvo type="num" val="0.5"/>
        <cfvo type="num" val="1"/>
        <color rgb="FFFF0000"/>
        <color rgb="FFFFC000"/>
        <color rgb="FF92D050"/>
      </colorScale>
    </cfRule>
  </conditionalFormatting>
  <conditionalFormatting sqref="CJ13">
    <cfRule type="colorScale" priority="1342">
      <colorScale>
        <cfvo type="num" val="0"/>
        <cfvo type="num" val="0.5"/>
        <cfvo type="num" val="1"/>
        <color rgb="FFFF0000"/>
        <color rgb="FFFFC000"/>
        <color rgb="FF92D050"/>
      </colorScale>
    </cfRule>
  </conditionalFormatting>
  <conditionalFormatting sqref="CM3:CM6 CM12">
    <cfRule type="colorScale" priority="1341">
      <colorScale>
        <cfvo type="num" val="0"/>
        <cfvo type="num" val="0.5"/>
        <cfvo type="num" val="1"/>
        <color rgb="FFFF0000"/>
        <color rgb="FFFFC000"/>
        <color rgb="FF92D050"/>
      </colorScale>
    </cfRule>
  </conditionalFormatting>
  <conditionalFormatting sqref="CM13">
    <cfRule type="colorScale" priority="1340">
      <colorScale>
        <cfvo type="num" val="0"/>
        <cfvo type="num" val="0.5"/>
        <cfvo type="num" val="1"/>
        <color rgb="FFFF0000"/>
        <color rgb="FFFFC000"/>
        <color rgb="FF92D050"/>
      </colorScale>
    </cfRule>
  </conditionalFormatting>
  <conditionalFormatting sqref="CO12">
    <cfRule type="colorScale" priority="1339">
      <colorScale>
        <cfvo type="num" val="0"/>
        <cfvo type="num" val="0.5"/>
        <cfvo type="num" val="1"/>
        <color rgb="FFFF0000"/>
        <color rgb="FFFFC000"/>
        <color rgb="FF92D050"/>
      </colorScale>
    </cfRule>
  </conditionalFormatting>
  <conditionalFormatting sqref="CO3:CO6 CO12">
    <cfRule type="cellIs" dxfId="205" priority="1337" operator="equal">
      <formula>0</formula>
    </cfRule>
    <cfRule type="colorScale" priority="1338">
      <colorScale>
        <cfvo type="min"/>
        <cfvo type="percentile" val="50"/>
        <cfvo type="max"/>
        <color rgb="FF92D050"/>
        <color rgb="FFFFC000"/>
        <color rgb="FFFF0000"/>
      </colorScale>
    </cfRule>
  </conditionalFormatting>
  <conditionalFormatting sqref="CR3:CR6 CR12">
    <cfRule type="colorScale" priority="1336">
      <colorScale>
        <cfvo type="num" val="0"/>
        <cfvo type="num" val="0.5"/>
        <cfvo type="num" val="1"/>
        <color rgb="FFFF0000"/>
        <color rgb="FFFFC000"/>
        <color rgb="FF92D050"/>
      </colorScale>
    </cfRule>
  </conditionalFormatting>
  <conditionalFormatting sqref="CR13">
    <cfRule type="colorScale" priority="1335">
      <colorScale>
        <cfvo type="num" val="0"/>
        <cfvo type="num" val="0.5"/>
        <cfvo type="num" val="1"/>
        <color rgb="FFFF0000"/>
        <color rgb="FFFFC000"/>
        <color rgb="FF92D050"/>
      </colorScale>
    </cfRule>
  </conditionalFormatting>
  <conditionalFormatting sqref="CU3:CU6 CU12">
    <cfRule type="colorScale" priority="1334">
      <colorScale>
        <cfvo type="num" val="0"/>
        <cfvo type="num" val="0.5"/>
        <cfvo type="num" val="1"/>
        <color rgb="FFFF0000"/>
        <color rgb="FFFFC000"/>
        <color rgb="FF92D050"/>
      </colorScale>
    </cfRule>
  </conditionalFormatting>
  <conditionalFormatting sqref="CU13">
    <cfRule type="colorScale" priority="1333">
      <colorScale>
        <cfvo type="num" val="0"/>
        <cfvo type="num" val="0.5"/>
        <cfvo type="num" val="1"/>
        <color rgb="FFFF0000"/>
        <color rgb="FFFFC000"/>
        <color rgb="FF92D050"/>
      </colorScale>
    </cfRule>
  </conditionalFormatting>
  <conditionalFormatting sqref="CX3:CX6 CX12">
    <cfRule type="colorScale" priority="1332">
      <colorScale>
        <cfvo type="num" val="0"/>
        <cfvo type="num" val="0.5"/>
        <cfvo type="num" val="1"/>
        <color rgb="FFFF0000"/>
        <color rgb="FFFFC000"/>
        <color rgb="FF92D050"/>
      </colorScale>
    </cfRule>
  </conditionalFormatting>
  <conditionalFormatting sqref="CX13">
    <cfRule type="colorScale" priority="1331">
      <colorScale>
        <cfvo type="num" val="0"/>
        <cfvo type="num" val="0.5"/>
        <cfvo type="num" val="1"/>
        <color rgb="FFFF0000"/>
        <color rgb="FFFFC000"/>
        <color rgb="FF92D050"/>
      </colorScale>
    </cfRule>
  </conditionalFormatting>
  <conditionalFormatting sqref="DA3:DA6 DA12">
    <cfRule type="colorScale" priority="1330">
      <colorScale>
        <cfvo type="num" val="0"/>
        <cfvo type="num" val="0.5"/>
        <cfvo type="num" val="1"/>
        <color rgb="FFFF0000"/>
        <color rgb="FFFFC000"/>
        <color rgb="FF92D050"/>
      </colorScale>
    </cfRule>
  </conditionalFormatting>
  <conditionalFormatting sqref="DA13">
    <cfRule type="colorScale" priority="1329">
      <colorScale>
        <cfvo type="num" val="0"/>
        <cfvo type="num" val="0.5"/>
        <cfvo type="num" val="1"/>
        <color rgb="FFFF0000"/>
        <color rgb="FFFFC000"/>
        <color rgb="FF92D050"/>
      </colorScale>
    </cfRule>
  </conditionalFormatting>
  <conditionalFormatting sqref="DD3:DD6 DD12">
    <cfRule type="colorScale" priority="1328">
      <colorScale>
        <cfvo type="num" val="0"/>
        <cfvo type="num" val="0.5"/>
        <cfvo type="num" val="1"/>
        <color rgb="FFFF0000"/>
        <color rgb="FFFFC000"/>
        <color rgb="FF92D050"/>
      </colorScale>
    </cfRule>
  </conditionalFormatting>
  <conditionalFormatting sqref="DD13">
    <cfRule type="colorScale" priority="1327">
      <colorScale>
        <cfvo type="num" val="0"/>
        <cfvo type="num" val="0.5"/>
        <cfvo type="num" val="1"/>
        <color rgb="FFFF0000"/>
        <color rgb="FFFFC000"/>
        <color rgb="FF92D050"/>
      </colorScale>
    </cfRule>
  </conditionalFormatting>
  <conditionalFormatting sqref="DF12">
    <cfRule type="colorScale" priority="1326">
      <colorScale>
        <cfvo type="num" val="0"/>
        <cfvo type="num" val="0.5"/>
        <cfvo type="num" val="1"/>
        <color rgb="FFFF0000"/>
        <color rgb="FFFFC000"/>
        <color rgb="FF92D050"/>
      </colorScale>
    </cfRule>
  </conditionalFormatting>
  <conditionalFormatting sqref="DF3:DF6 DF12">
    <cfRule type="cellIs" dxfId="204" priority="1324" operator="equal">
      <formula>0</formula>
    </cfRule>
    <cfRule type="colorScale" priority="1325">
      <colorScale>
        <cfvo type="min"/>
        <cfvo type="percentile" val="50"/>
        <cfvo type="max"/>
        <color rgb="FF92D050"/>
        <color rgb="FFFFC000"/>
        <color rgb="FFFF0000"/>
      </colorScale>
    </cfRule>
  </conditionalFormatting>
  <conditionalFormatting sqref="DI3:DI6 DI12">
    <cfRule type="colorScale" priority="1323">
      <colorScale>
        <cfvo type="num" val="0"/>
        <cfvo type="num" val="0.5"/>
        <cfvo type="num" val="1"/>
        <color rgb="FFFF0000"/>
        <color rgb="FFFFC000"/>
        <color rgb="FF92D050"/>
      </colorScale>
    </cfRule>
  </conditionalFormatting>
  <conditionalFormatting sqref="DI13">
    <cfRule type="colorScale" priority="1322">
      <colorScale>
        <cfvo type="num" val="0"/>
        <cfvo type="num" val="0.5"/>
        <cfvo type="num" val="1"/>
        <color rgb="FFFF0000"/>
        <color rgb="FFFFC000"/>
        <color rgb="FF92D050"/>
      </colorScale>
    </cfRule>
  </conditionalFormatting>
  <conditionalFormatting sqref="DL3:DL6 DL12">
    <cfRule type="colorScale" priority="1321">
      <colorScale>
        <cfvo type="num" val="0"/>
        <cfvo type="num" val="0.5"/>
        <cfvo type="num" val="1"/>
        <color rgb="FFFF0000"/>
        <color rgb="FFFFC000"/>
        <color rgb="FF92D050"/>
      </colorScale>
    </cfRule>
  </conditionalFormatting>
  <conditionalFormatting sqref="DL13">
    <cfRule type="colorScale" priority="1320">
      <colorScale>
        <cfvo type="num" val="0"/>
        <cfvo type="num" val="0.5"/>
        <cfvo type="num" val="1"/>
        <color rgb="FFFF0000"/>
        <color rgb="FFFFC000"/>
        <color rgb="FF92D050"/>
      </colorScale>
    </cfRule>
  </conditionalFormatting>
  <conditionalFormatting sqref="DO3:DO6 DO12">
    <cfRule type="colorScale" priority="1319">
      <colorScale>
        <cfvo type="num" val="0"/>
        <cfvo type="num" val="0.5"/>
        <cfvo type="num" val="1"/>
        <color rgb="FFFF0000"/>
        <color rgb="FFFFC000"/>
        <color rgb="FF92D050"/>
      </colorScale>
    </cfRule>
  </conditionalFormatting>
  <conditionalFormatting sqref="DO13">
    <cfRule type="colorScale" priority="1318">
      <colorScale>
        <cfvo type="num" val="0"/>
        <cfvo type="num" val="0.5"/>
        <cfvo type="num" val="1"/>
        <color rgb="FFFF0000"/>
        <color rgb="FFFFC000"/>
        <color rgb="FF92D050"/>
      </colorScale>
    </cfRule>
  </conditionalFormatting>
  <conditionalFormatting sqref="DR3:DR6 DR12">
    <cfRule type="colorScale" priority="1317">
      <colorScale>
        <cfvo type="num" val="0"/>
        <cfvo type="num" val="0.5"/>
        <cfvo type="num" val="1"/>
        <color rgb="FFFF0000"/>
        <color rgb="FFFFC000"/>
        <color rgb="FF92D050"/>
      </colorScale>
    </cfRule>
  </conditionalFormatting>
  <conditionalFormatting sqref="DR13">
    <cfRule type="colorScale" priority="1316">
      <colorScale>
        <cfvo type="num" val="0"/>
        <cfvo type="num" val="0.5"/>
        <cfvo type="num" val="1"/>
        <color rgb="FFFF0000"/>
        <color rgb="FFFFC000"/>
        <color rgb="FF92D050"/>
      </colorScale>
    </cfRule>
  </conditionalFormatting>
  <conditionalFormatting sqref="DU3:DU6 DU12">
    <cfRule type="colorScale" priority="1315">
      <colorScale>
        <cfvo type="num" val="0"/>
        <cfvo type="num" val="0.5"/>
        <cfvo type="num" val="1"/>
        <color rgb="FFFF0000"/>
        <color rgb="FFFFC000"/>
        <color rgb="FF92D050"/>
      </colorScale>
    </cfRule>
  </conditionalFormatting>
  <conditionalFormatting sqref="DU13">
    <cfRule type="colorScale" priority="1314">
      <colorScale>
        <cfvo type="num" val="0"/>
        <cfvo type="num" val="0.5"/>
        <cfvo type="num" val="1"/>
        <color rgb="FFFF0000"/>
        <color rgb="FFFFC000"/>
        <color rgb="FF92D050"/>
      </colorScale>
    </cfRule>
  </conditionalFormatting>
  <conditionalFormatting sqref="DW12">
    <cfRule type="colorScale" priority="1313">
      <colorScale>
        <cfvo type="num" val="0"/>
        <cfvo type="num" val="0.5"/>
        <cfvo type="num" val="1"/>
        <color rgb="FFFF0000"/>
        <color rgb="FFFFC000"/>
        <color rgb="FF92D050"/>
      </colorScale>
    </cfRule>
  </conditionalFormatting>
  <conditionalFormatting sqref="DW3:DW6 DW12">
    <cfRule type="cellIs" dxfId="203" priority="1311" operator="equal">
      <formula>0</formula>
    </cfRule>
    <cfRule type="colorScale" priority="1312">
      <colorScale>
        <cfvo type="min"/>
        <cfvo type="percentile" val="50"/>
        <cfvo type="max"/>
        <color rgb="FF92D050"/>
        <color rgb="FFFFC000"/>
        <color rgb="FFFF0000"/>
      </colorScale>
    </cfRule>
  </conditionalFormatting>
  <conditionalFormatting sqref="BX3:BX6 BX12">
    <cfRule type="cellIs" dxfId="202" priority="1350" operator="equal">
      <formula>0</formula>
    </cfRule>
    <cfRule type="colorScale" priority="1351">
      <colorScale>
        <cfvo type="min"/>
        <cfvo type="percentile" val="50"/>
        <cfvo type="max"/>
        <color rgb="FF92D050"/>
        <color rgb="FFFFC000"/>
        <color rgb="FFFF0000"/>
      </colorScale>
    </cfRule>
  </conditionalFormatting>
  <conditionalFormatting sqref="S3:S9 S11:S12">
    <cfRule type="colorScale" priority="1308">
      <colorScale>
        <cfvo type="min"/>
        <cfvo type="percentile" val="50"/>
        <cfvo type="max"/>
        <color rgb="FF92D050"/>
        <color rgb="FFFFC000"/>
        <color rgb="FFFF0000"/>
      </colorScale>
    </cfRule>
  </conditionalFormatting>
  <conditionalFormatting sqref="DZ3:DZ6 DZ12">
    <cfRule type="colorScale" priority="1307">
      <colorScale>
        <cfvo type="num" val="0"/>
        <cfvo type="num" val="0.5"/>
        <cfvo type="num" val="1"/>
        <color rgb="FFFF0000"/>
        <color rgb="FFFFC000"/>
        <color rgb="FF92D050"/>
      </colorScale>
    </cfRule>
  </conditionalFormatting>
  <conditionalFormatting sqref="DZ13">
    <cfRule type="colorScale" priority="1306">
      <colorScale>
        <cfvo type="num" val="0"/>
        <cfvo type="num" val="0.5"/>
        <cfvo type="num" val="1"/>
        <color rgb="FFFF0000"/>
        <color rgb="FFFFC000"/>
        <color rgb="FF92D050"/>
      </colorScale>
    </cfRule>
  </conditionalFormatting>
  <conditionalFormatting sqref="EC3:EC6 EC12">
    <cfRule type="colorScale" priority="1305">
      <colorScale>
        <cfvo type="num" val="0"/>
        <cfvo type="num" val="0.5"/>
        <cfvo type="num" val="1"/>
        <color rgb="FFFF0000"/>
        <color rgb="FFFFC000"/>
        <color rgb="FF92D050"/>
      </colorScale>
    </cfRule>
  </conditionalFormatting>
  <conditionalFormatting sqref="EC13">
    <cfRule type="colorScale" priority="1304">
      <colorScale>
        <cfvo type="num" val="0"/>
        <cfvo type="num" val="0.5"/>
        <cfvo type="num" val="1"/>
        <color rgb="FFFF0000"/>
        <color rgb="FFFFC000"/>
        <color rgb="FF92D050"/>
      </colorScale>
    </cfRule>
  </conditionalFormatting>
  <conditionalFormatting sqref="EF3:EF6 EF12">
    <cfRule type="colorScale" priority="1303">
      <colorScale>
        <cfvo type="num" val="0"/>
        <cfvo type="num" val="0.5"/>
        <cfvo type="num" val="1"/>
        <color rgb="FFFF0000"/>
        <color rgb="FFFFC000"/>
        <color rgb="FF92D050"/>
      </colorScale>
    </cfRule>
  </conditionalFormatting>
  <conditionalFormatting sqref="EF13">
    <cfRule type="colorScale" priority="1302">
      <colorScale>
        <cfvo type="num" val="0"/>
        <cfvo type="num" val="0.5"/>
        <cfvo type="num" val="1"/>
        <color rgb="FFFF0000"/>
        <color rgb="FFFFC000"/>
        <color rgb="FF92D050"/>
      </colorScale>
    </cfRule>
  </conditionalFormatting>
  <conditionalFormatting sqref="EI3:EI6 EI12">
    <cfRule type="colorScale" priority="1301">
      <colorScale>
        <cfvo type="num" val="0"/>
        <cfvo type="num" val="0.5"/>
        <cfvo type="num" val="1"/>
        <color rgb="FFFF0000"/>
        <color rgb="FFFFC000"/>
        <color rgb="FF92D050"/>
      </colorScale>
    </cfRule>
  </conditionalFormatting>
  <conditionalFormatting sqref="EI13">
    <cfRule type="colorScale" priority="1300">
      <colorScale>
        <cfvo type="num" val="0"/>
        <cfvo type="num" val="0.5"/>
        <cfvo type="num" val="1"/>
        <color rgb="FFFF0000"/>
        <color rgb="FFFFC000"/>
        <color rgb="FF92D050"/>
      </colorScale>
    </cfRule>
  </conditionalFormatting>
  <conditionalFormatting sqref="EL3:EL6 EL12">
    <cfRule type="colorScale" priority="1299">
      <colorScale>
        <cfvo type="num" val="0"/>
        <cfvo type="num" val="0.5"/>
        <cfvo type="num" val="1"/>
        <color rgb="FFFF0000"/>
        <color rgb="FFFFC000"/>
        <color rgb="FF92D050"/>
      </colorScale>
    </cfRule>
  </conditionalFormatting>
  <conditionalFormatting sqref="EL13">
    <cfRule type="colorScale" priority="1298">
      <colorScale>
        <cfvo type="num" val="0"/>
        <cfvo type="num" val="0.5"/>
        <cfvo type="num" val="1"/>
        <color rgb="FFFF0000"/>
        <color rgb="FFFFC000"/>
        <color rgb="FF92D050"/>
      </colorScale>
    </cfRule>
  </conditionalFormatting>
  <conditionalFormatting sqref="EN12">
    <cfRule type="colorScale" priority="1297">
      <colorScale>
        <cfvo type="num" val="0"/>
        <cfvo type="num" val="0.5"/>
        <cfvo type="num" val="1"/>
        <color rgb="FFFF0000"/>
        <color rgb="FFFFC000"/>
        <color rgb="FF92D050"/>
      </colorScale>
    </cfRule>
  </conditionalFormatting>
  <conditionalFormatting sqref="EN3:EN6 EN12">
    <cfRule type="cellIs" dxfId="201" priority="1295" operator="equal">
      <formula>0</formula>
    </cfRule>
    <cfRule type="colorScale" priority="1296">
      <colorScale>
        <cfvo type="min"/>
        <cfvo type="percentile" val="50"/>
        <cfvo type="max"/>
        <color rgb="FF92D050"/>
        <color rgb="FFFFC000"/>
        <color rgb="FFFF0000"/>
      </colorScale>
    </cfRule>
  </conditionalFormatting>
  <conditionalFormatting sqref="U3:U12">
    <cfRule type="colorScale" priority="1294">
      <colorScale>
        <cfvo type="min"/>
        <cfvo type="percentile" val="50"/>
        <cfvo type="max"/>
        <color rgb="FF92D050"/>
        <color rgb="FFFFC000"/>
        <color rgb="FFFF0000"/>
      </colorScale>
    </cfRule>
  </conditionalFormatting>
  <conditionalFormatting sqref="EQ3:EQ6 EQ12">
    <cfRule type="colorScale" priority="1293">
      <colorScale>
        <cfvo type="num" val="0"/>
        <cfvo type="num" val="0.5"/>
        <cfvo type="num" val="1"/>
        <color rgb="FFFF0000"/>
        <color rgb="FFFFC000"/>
        <color rgb="FF92D050"/>
      </colorScale>
    </cfRule>
  </conditionalFormatting>
  <conditionalFormatting sqref="EQ13">
    <cfRule type="colorScale" priority="1292">
      <colorScale>
        <cfvo type="num" val="0"/>
        <cfvo type="num" val="0.5"/>
        <cfvo type="num" val="1"/>
        <color rgb="FFFF0000"/>
        <color rgb="FFFFC000"/>
        <color rgb="FF92D050"/>
      </colorScale>
    </cfRule>
  </conditionalFormatting>
  <conditionalFormatting sqref="ET3:ET6 ET12">
    <cfRule type="colorScale" priority="1291">
      <colorScale>
        <cfvo type="num" val="0"/>
        <cfvo type="num" val="0.5"/>
        <cfvo type="num" val="1"/>
        <color rgb="FFFF0000"/>
        <color rgb="FFFFC000"/>
        <color rgb="FF92D050"/>
      </colorScale>
    </cfRule>
  </conditionalFormatting>
  <conditionalFormatting sqref="ET13">
    <cfRule type="colorScale" priority="1290">
      <colorScale>
        <cfvo type="num" val="0"/>
        <cfvo type="num" val="0.5"/>
        <cfvo type="num" val="1"/>
        <color rgb="FFFF0000"/>
        <color rgb="FFFFC000"/>
        <color rgb="FF92D050"/>
      </colorScale>
    </cfRule>
  </conditionalFormatting>
  <conditionalFormatting sqref="EW3:EW6 EW12">
    <cfRule type="colorScale" priority="1289">
      <colorScale>
        <cfvo type="num" val="0"/>
        <cfvo type="num" val="0.5"/>
        <cfvo type="num" val="1"/>
        <color rgb="FFFF0000"/>
        <color rgb="FFFFC000"/>
        <color rgb="FF92D050"/>
      </colorScale>
    </cfRule>
  </conditionalFormatting>
  <conditionalFormatting sqref="EW13">
    <cfRule type="colorScale" priority="1288">
      <colorScale>
        <cfvo type="num" val="0"/>
        <cfvo type="num" val="0.5"/>
        <cfvo type="num" val="1"/>
        <color rgb="FFFF0000"/>
        <color rgb="FFFFC000"/>
        <color rgb="FF92D050"/>
      </colorScale>
    </cfRule>
  </conditionalFormatting>
  <conditionalFormatting sqref="EZ3:EZ6 EZ12">
    <cfRule type="colorScale" priority="1287">
      <colorScale>
        <cfvo type="num" val="0"/>
        <cfvo type="num" val="0.5"/>
        <cfvo type="num" val="1"/>
        <color rgb="FFFF0000"/>
        <color rgb="FFFFC000"/>
        <color rgb="FF92D050"/>
      </colorScale>
    </cfRule>
  </conditionalFormatting>
  <conditionalFormatting sqref="EZ13">
    <cfRule type="colorScale" priority="1286">
      <colorScale>
        <cfvo type="num" val="0"/>
        <cfvo type="num" val="0.5"/>
        <cfvo type="num" val="1"/>
        <color rgb="FFFF0000"/>
        <color rgb="FFFFC000"/>
        <color rgb="FF92D050"/>
      </colorScale>
    </cfRule>
  </conditionalFormatting>
  <conditionalFormatting sqref="FC3:FD6 FC12:FD12">
    <cfRule type="colorScale" priority="1285">
      <colorScale>
        <cfvo type="num" val="0"/>
        <cfvo type="num" val="0.5"/>
        <cfvo type="num" val="1"/>
        <color rgb="FFFF0000"/>
        <color rgb="FFFFC000"/>
        <color rgb="FF92D050"/>
      </colorScale>
    </cfRule>
  </conditionalFormatting>
  <conditionalFormatting sqref="FC13">
    <cfRule type="colorScale" priority="1284">
      <colorScale>
        <cfvo type="num" val="0"/>
        <cfvo type="num" val="0.5"/>
        <cfvo type="num" val="1"/>
        <color rgb="FFFF0000"/>
        <color rgb="FFFFC000"/>
        <color rgb="FF92D050"/>
      </colorScale>
    </cfRule>
  </conditionalFormatting>
  <conditionalFormatting sqref="FE12">
    <cfRule type="colorScale" priority="1283">
      <colorScale>
        <cfvo type="num" val="0"/>
        <cfvo type="num" val="0.5"/>
        <cfvo type="num" val="1"/>
        <color rgb="FFFF0000"/>
        <color rgb="FFFFC000"/>
        <color rgb="FF92D050"/>
      </colorScale>
    </cfRule>
  </conditionalFormatting>
  <conditionalFormatting sqref="FE3:FE6 FE12">
    <cfRule type="cellIs" dxfId="200" priority="1281" operator="equal">
      <formula>0</formula>
    </cfRule>
    <cfRule type="colorScale" priority="1282">
      <colorScale>
        <cfvo type="min"/>
        <cfvo type="percentile" val="50"/>
        <cfvo type="max"/>
        <color rgb="FF92D050"/>
        <color rgb="FFFFC000"/>
        <color rgb="FFFF0000"/>
      </colorScale>
    </cfRule>
  </conditionalFormatting>
  <conditionalFormatting sqref="FH3:FH6 FH12">
    <cfRule type="colorScale" priority="1280">
      <colorScale>
        <cfvo type="num" val="0"/>
        <cfvo type="num" val="0.5"/>
        <cfvo type="num" val="1"/>
        <color rgb="FFFF0000"/>
        <color rgb="FFFFC000"/>
        <color rgb="FF92D050"/>
      </colorScale>
    </cfRule>
  </conditionalFormatting>
  <conditionalFormatting sqref="FH13">
    <cfRule type="colorScale" priority="1279">
      <colorScale>
        <cfvo type="num" val="0"/>
        <cfvo type="num" val="0.5"/>
        <cfvo type="num" val="1"/>
        <color rgb="FFFF0000"/>
        <color rgb="FFFFC000"/>
        <color rgb="FF92D050"/>
      </colorScale>
    </cfRule>
  </conditionalFormatting>
  <conditionalFormatting sqref="FK3:FK6 FK12">
    <cfRule type="colorScale" priority="1278">
      <colorScale>
        <cfvo type="num" val="0"/>
        <cfvo type="num" val="0.5"/>
        <cfvo type="num" val="1"/>
        <color rgb="FFFF0000"/>
        <color rgb="FFFFC000"/>
        <color rgb="FF92D050"/>
      </colorScale>
    </cfRule>
  </conditionalFormatting>
  <conditionalFormatting sqref="FK13">
    <cfRule type="colorScale" priority="1277">
      <colorScale>
        <cfvo type="num" val="0"/>
        <cfvo type="num" val="0.5"/>
        <cfvo type="num" val="1"/>
        <color rgb="FFFF0000"/>
        <color rgb="FFFFC000"/>
        <color rgb="FF92D050"/>
      </colorScale>
    </cfRule>
  </conditionalFormatting>
  <conditionalFormatting sqref="FN3:FN6 FN12">
    <cfRule type="colorScale" priority="1276">
      <colorScale>
        <cfvo type="num" val="0"/>
        <cfvo type="num" val="0.5"/>
        <cfvo type="num" val="1"/>
        <color rgb="FFFF0000"/>
        <color rgb="FFFFC000"/>
        <color rgb="FF92D050"/>
      </colorScale>
    </cfRule>
  </conditionalFormatting>
  <conditionalFormatting sqref="FN13">
    <cfRule type="colorScale" priority="1275">
      <colorScale>
        <cfvo type="num" val="0"/>
        <cfvo type="num" val="0.5"/>
        <cfvo type="num" val="1"/>
        <color rgb="FFFF0000"/>
        <color rgb="FFFFC000"/>
        <color rgb="FF92D050"/>
      </colorScale>
    </cfRule>
  </conditionalFormatting>
  <conditionalFormatting sqref="FQ3:FQ6 FQ12">
    <cfRule type="colorScale" priority="1274">
      <colorScale>
        <cfvo type="num" val="0"/>
        <cfvo type="num" val="0.5"/>
        <cfvo type="num" val="1"/>
        <color rgb="FFFF0000"/>
        <color rgb="FFFFC000"/>
        <color rgb="FF92D050"/>
      </colorScale>
    </cfRule>
  </conditionalFormatting>
  <conditionalFormatting sqref="FQ13">
    <cfRule type="colorScale" priority="1273">
      <colorScale>
        <cfvo type="num" val="0"/>
        <cfvo type="num" val="0.5"/>
        <cfvo type="num" val="1"/>
        <color rgb="FFFF0000"/>
        <color rgb="FFFFC000"/>
        <color rgb="FF92D050"/>
      </colorScale>
    </cfRule>
  </conditionalFormatting>
  <conditionalFormatting sqref="FT3:FT6 FT12">
    <cfRule type="colorScale" priority="1272">
      <colorScale>
        <cfvo type="num" val="0"/>
        <cfvo type="num" val="0.5"/>
        <cfvo type="num" val="1"/>
        <color rgb="FFFF0000"/>
        <color rgb="FFFFC000"/>
        <color rgb="FF92D050"/>
      </colorScale>
    </cfRule>
  </conditionalFormatting>
  <conditionalFormatting sqref="FT13">
    <cfRule type="colorScale" priority="1271">
      <colorScale>
        <cfvo type="num" val="0"/>
        <cfvo type="num" val="0.5"/>
        <cfvo type="num" val="1"/>
        <color rgb="FFFF0000"/>
        <color rgb="FFFFC000"/>
        <color rgb="FF92D050"/>
      </colorScale>
    </cfRule>
  </conditionalFormatting>
  <conditionalFormatting sqref="FV12">
    <cfRule type="colorScale" priority="1270">
      <colorScale>
        <cfvo type="num" val="0"/>
        <cfvo type="num" val="0.5"/>
        <cfvo type="num" val="1"/>
        <color rgb="FFFF0000"/>
        <color rgb="FFFFC000"/>
        <color rgb="FF92D050"/>
      </colorScale>
    </cfRule>
  </conditionalFormatting>
  <conditionalFormatting sqref="FV3:FV6 FV12">
    <cfRule type="cellIs" dxfId="199" priority="1268" operator="equal">
      <formula>0</formula>
    </cfRule>
    <cfRule type="colorScale" priority="1269">
      <colorScale>
        <cfvo type="min"/>
        <cfvo type="percentile" val="50"/>
        <cfvo type="max"/>
        <color rgb="FF92D050"/>
        <color rgb="FFFFC000"/>
        <color rgb="FFFF0000"/>
      </colorScale>
    </cfRule>
  </conditionalFormatting>
  <conditionalFormatting sqref="FY3:FY6 FY12">
    <cfRule type="colorScale" priority="1267">
      <colorScale>
        <cfvo type="num" val="0"/>
        <cfvo type="num" val="0.5"/>
        <cfvo type="num" val="1"/>
        <color rgb="FFFF0000"/>
        <color rgb="FFFFC000"/>
        <color rgb="FF92D050"/>
      </colorScale>
    </cfRule>
  </conditionalFormatting>
  <conditionalFormatting sqref="FY13">
    <cfRule type="colorScale" priority="1266">
      <colorScale>
        <cfvo type="num" val="0"/>
        <cfvo type="num" val="0.5"/>
        <cfvo type="num" val="1"/>
        <color rgb="FFFF0000"/>
        <color rgb="FFFFC000"/>
        <color rgb="FF92D050"/>
      </colorScale>
    </cfRule>
  </conditionalFormatting>
  <conditionalFormatting sqref="GB3:GB6 GB12">
    <cfRule type="colorScale" priority="1265">
      <colorScale>
        <cfvo type="num" val="0"/>
        <cfvo type="num" val="0.5"/>
        <cfvo type="num" val="1"/>
        <color rgb="FFFF0000"/>
        <color rgb="FFFFC000"/>
        <color rgb="FF92D050"/>
      </colorScale>
    </cfRule>
  </conditionalFormatting>
  <conditionalFormatting sqref="GB13">
    <cfRule type="colorScale" priority="1264">
      <colorScale>
        <cfvo type="num" val="0"/>
        <cfvo type="num" val="0.5"/>
        <cfvo type="num" val="1"/>
        <color rgb="FFFF0000"/>
        <color rgb="FFFFC000"/>
        <color rgb="FF92D050"/>
      </colorScale>
    </cfRule>
  </conditionalFormatting>
  <conditionalFormatting sqref="GE3:GE6 GE12">
    <cfRule type="colorScale" priority="1263">
      <colorScale>
        <cfvo type="num" val="0"/>
        <cfvo type="num" val="0.5"/>
        <cfvo type="num" val="1"/>
        <color rgb="FFFF0000"/>
        <color rgb="FFFFC000"/>
        <color rgb="FF92D050"/>
      </colorScale>
    </cfRule>
  </conditionalFormatting>
  <conditionalFormatting sqref="GE13">
    <cfRule type="colorScale" priority="1262">
      <colorScale>
        <cfvo type="num" val="0"/>
        <cfvo type="num" val="0.5"/>
        <cfvo type="num" val="1"/>
        <color rgb="FFFF0000"/>
        <color rgb="FFFFC000"/>
        <color rgb="FF92D050"/>
      </colorScale>
    </cfRule>
  </conditionalFormatting>
  <conditionalFormatting sqref="GH3:GH6 GH12">
    <cfRule type="colorScale" priority="1261">
      <colorScale>
        <cfvo type="num" val="0"/>
        <cfvo type="num" val="0.5"/>
        <cfvo type="num" val="1"/>
        <color rgb="FFFF0000"/>
        <color rgb="FFFFC000"/>
        <color rgb="FF92D050"/>
      </colorScale>
    </cfRule>
  </conditionalFormatting>
  <conditionalFormatting sqref="GH13">
    <cfRule type="colorScale" priority="1260">
      <colorScale>
        <cfvo type="num" val="0"/>
        <cfvo type="num" val="0.5"/>
        <cfvo type="num" val="1"/>
        <color rgb="FFFF0000"/>
        <color rgb="FFFFC000"/>
        <color rgb="FF92D050"/>
      </colorScale>
    </cfRule>
  </conditionalFormatting>
  <conditionalFormatting sqref="GK3:GK6 GK12">
    <cfRule type="colorScale" priority="1259">
      <colorScale>
        <cfvo type="num" val="0"/>
        <cfvo type="num" val="0.5"/>
        <cfvo type="num" val="1"/>
        <color rgb="FFFF0000"/>
        <color rgb="FFFFC000"/>
        <color rgb="FF92D050"/>
      </colorScale>
    </cfRule>
  </conditionalFormatting>
  <conditionalFormatting sqref="GK13">
    <cfRule type="colorScale" priority="1258">
      <colorScale>
        <cfvo type="num" val="0"/>
        <cfvo type="num" val="0.5"/>
        <cfvo type="num" val="1"/>
        <color rgb="FFFF0000"/>
        <color rgb="FFFFC000"/>
        <color rgb="FF92D050"/>
      </colorScale>
    </cfRule>
  </conditionalFormatting>
  <conditionalFormatting sqref="GM12">
    <cfRule type="colorScale" priority="1257">
      <colorScale>
        <cfvo type="num" val="0"/>
        <cfvo type="num" val="0.5"/>
        <cfvo type="num" val="1"/>
        <color rgb="FFFF0000"/>
        <color rgb="FFFFC000"/>
        <color rgb="FF92D050"/>
      </colorScale>
    </cfRule>
  </conditionalFormatting>
  <conditionalFormatting sqref="GM3:GM6 GM12">
    <cfRule type="cellIs" dxfId="198" priority="1255" operator="equal">
      <formula>0</formula>
    </cfRule>
    <cfRule type="colorScale" priority="1256">
      <colorScale>
        <cfvo type="min"/>
        <cfvo type="percentile" val="50"/>
        <cfvo type="max"/>
        <color rgb="FF92D050"/>
        <color rgb="FFFFC000"/>
        <color rgb="FFFF0000"/>
      </colorScale>
    </cfRule>
  </conditionalFormatting>
  <conditionalFormatting sqref="G3:G9 G12">
    <cfRule type="colorScale" priority="1254">
      <colorScale>
        <cfvo type="min"/>
        <cfvo type="percentile" val="50"/>
        <cfvo type="max"/>
        <color rgb="FF92D050"/>
        <color rgb="FFFFC000"/>
        <color rgb="FFFF0000"/>
      </colorScale>
    </cfRule>
  </conditionalFormatting>
  <conditionalFormatting sqref="I3:I9 I12">
    <cfRule type="colorScale" priority="1253">
      <colorScale>
        <cfvo type="min"/>
        <cfvo type="percentile" val="50"/>
        <cfvo type="max"/>
        <color rgb="FF92D050"/>
        <color rgb="FFFFC000"/>
        <color rgb="FFFF0000"/>
      </colorScale>
    </cfRule>
  </conditionalFormatting>
  <conditionalFormatting sqref="M3:M9 M12">
    <cfRule type="colorScale" priority="1250">
      <colorScale>
        <cfvo type="min"/>
        <cfvo type="percentile" val="50"/>
        <cfvo type="max"/>
        <color rgb="FFFF0000"/>
        <color rgb="FFFFC000"/>
        <color rgb="FF92D050"/>
      </colorScale>
    </cfRule>
  </conditionalFormatting>
  <conditionalFormatting sqref="O3:O9 O12">
    <cfRule type="colorScale" priority="1249">
      <colorScale>
        <cfvo type="min"/>
        <cfvo type="percentile" val="50"/>
        <cfvo type="max"/>
        <color rgb="FFFF0000"/>
        <color rgb="FFFFC000"/>
        <color rgb="FF92D050"/>
      </colorScale>
    </cfRule>
  </conditionalFormatting>
  <conditionalFormatting sqref="K3:K9 K12">
    <cfRule type="colorScale" priority="1248">
      <colorScale>
        <cfvo type="min"/>
        <cfvo type="percentile" val="50"/>
        <cfvo type="max"/>
        <color rgb="FF92D050"/>
        <color rgb="FFFFC000"/>
        <color rgb="FFFF0000"/>
      </colorScale>
    </cfRule>
  </conditionalFormatting>
  <conditionalFormatting sqref="FD3:FD6 FD12">
    <cfRule type="colorScale" priority="1246">
      <colorScale>
        <cfvo type="min"/>
        <cfvo type="percentile" val="50"/>
        <cfvo type="max"/>
        <color rgb="FF92D050"/>
        <color rgb="FFFFC000"/>
        <color rgb="FFFF0000"/>
      </colorScale>
    </cfRule>
  </conditionalFormatting>
  <conditionalFormatting sqref="FU3:FU6 FU12">
    <cfRule type="colorScale" priority="1245">
      <colorScale>
        <cfvo type="num" val="0"/>
        <cfvo type="num" val="0.5"/>
        <cfvo type="num" val="1"/>
        <color rgb="FFFF0000"/>
        <color rgb="FFFFC000"/>
        <color rgb="FF92D050"/>
      </colorScale>
    </cfRule>
  </conditionalFormatting>
  <conditionalFormatting sqref="FU3:FU6 FU12">
    <cfRule type="colorScale" priority="1244">
      <colorScale>
        <cfvo type="min"/>
        <cfvo type="percentile" val="50"/>
        <cfvo type="max"/>
        <color rgb="FF92D050"/>
        <color rgb="FFFFC000"/>
        <color rgb="FFFF0000"/>
      </colorScale>
    </cfRule>
  </conditionalFormatting>
  <conditionalFormatting sqref="GP3:GP6 GP12">
    <cfRule type="colorScale" priority="1243">
      <colorScale>
        <cfvo type="num" val="0"/>
        <cfvo type="num" val="0.5"/>
        <cfvo type="num" val="1"/>
        <color rgb="FFFF0000"/>
        <color rgb="FFFFC000"/>
        <color rgb="FF92D050"/>
      </colorScale>
    </cfRule>
  </conditionalFormatting>
  <conditionalFormatting sqref="GP13">
    <cfRule type="colorScale" priority="1242">
      <colorScale>
        <cfvo type="num" val="0"/>
        <cfvo type="num" val="0.5"/>
        <cfvo type="num" val="1"/>
        <color rgb="FFFF0000"/>
        <color rgb="FFFFC000"/>
        <color rgb="FF92D050"/>
      </colorScale>
    </cfRule>
  </conditionalFormatting>
  <conditionalFormatting sqref="GS3:GS6 GS12">
    <cfRule type="colorScale" priority="1241">
      <colorScale>
        <cfvo type="num" val="0"/>
        <cfvo type="num" val="0.5"/>
        <cfvo type="num" val="1"/>
        <color rgb="FFFF0000"/>
        <color rgb="FFFFC000"/>
        <color rgb="FF92D050"/>
      </colorScale>
    </cfRule>
  </conditionalFormatting>
  <conditionalFormatting sqref="GS13">
    <cfRule type="colorScale" priority="1240">
      <colorScale>
        <cfvo type="num" val="0"/>
        <cfvo type="num" val="0.5"/>
        <cfvo type="num" val="1"/>
        <color rgb="FFFF0000"/>
        <color rgb="FFFFC000"/>
        <color rgb="FF92D050"/>
      </colorScale>
    </cfRule>
  </conditionalFormatting>
  <conditionalFormatting sqref="GV3:GV6 GV12">
    <cfRule type="colorScale" priority="1239">
      <colorScale>
        <cfvo type="num" val="0"/>
        <cfvo type="num" val="0.5"/>
        <cfvo type="num" val="1"/>
        <color rgb="FFFF0000"/>
        <color rgb="FFFFC000"/>
        <color rgb="FF92D050"/>
      </colorScale>
    </cfRule>
  </conditionalFormatting>
  <conditionalFormatting sqref="GV13">
    <cfRule type="colorScale" priority="1238">
      <colorScale>
        <cfvo type="num" val="0"/>
        <cfvo type="num" val="0.5"/>
        <cfvo type="num" val="1"/>
        <color rgb="FFFF0000"/>
        <color rgb="FFFFC000"/>
        <color rgb="FF92D050"/>
      </colorScale>
    </cfRule>
  </conditionalFormatting>
  <conditionalFormatting sqref="GY3:GY6 GY12">
    <cfRule type="colorScale" priority="1237">
      <colorScale>
        <cfvo type="num" val="0"/>
        <cfvo type="num" val="0.5"/>
        <cfvo type="num" val="1"/>
        <color rgb="FFFF0000"/>
        <color rgb="FFFFC000"/>
        <color rgb="FF92D050"/>
      </colorScale>
    </cfRule>
  </conditionalFormatting>
  <conditionalFormatting sqref="GY13">
    <cfRule type="colorScale" priority="1236">
      <colorScale>
        <cfvo type="num" val="0"/>
        <cfvo type="num" val="0.5"/>
        <cfvo type="num" val="1"/>
        <color rgb="FFFF0000"/>
        <color rgb="FFFFC000"/>
        <color rgb="FF92D050"/>
      </colorScale>
    </cfRule>
  </conditionalFormatting>
  <conditionalFormatting sqref="HB3:HB6 HB12">
    <cfRule type="colorScale" priority="1235">
      <colorScale>
        <cfvo type="num" val="0"/>
        <cfvo type="num" val="0.5"/>
        <cfvo type="num" val="1"/>
        <color rgb="FFFF0000"/>
        <color rgb="FFFFC000"/>
        <color rgb="FF92D050"/>
      </colorScale>
    </cfRule>
  </conditionalFormatting>
  <conditionalFormatting sqref="HB13">
    <cfRule type="colorScale" priority="1234">
      <colorScale>
        <cfvo type="num" val="0"/>
        <cfvo type="num" val="0.5"/>
        <cfvo type="num" val="1"/>
        <color rgb="FFFF0000"/>
        <color rgb="FFFFC000"/>
        <color rgb="FF92D050"/>
      </colorScale>
    </cfRule>
  </conditionalFormatting>
  <conditionalFormatting sqref="HD12">
    <cfRule type="colorScale" priority="1233">
      <colorScale>
        <cfvo type="num" val="0"/>
        <cfvo type="num" val="0.5"/>
        <cfvo type="num" val="1"/>
        <color rgb="FFFF0000"/>
        <color rgb="FFFFC000"/>
        <color rgb="FF92D050"/>
      </colorScale>
    </cfRule>
  </conditionalFormatting>
  <conditionalFormatting sqref="HD3:HD6 HD12">
    <cfRule type="cellIs" dxfId="197" priority="1231" operator="equal">
      <formula>0</formula>
    </cfRule>
    <cfRule type="colorScale" priority="1232">
      <colorScale>
        <cfvo type="min"/>
        <cfvo type="percentile" val="50"/>
        <cfvo type="max"/>
        <color rgb="FF92D050"/>
        <color rgb="FFFFC000"/>
        <color rgb="FFFF0000"/>
      </colorScale>
    </cfRule>
  </conditionalFormatting>
  <conditionalFormatting sqref="HG3:HG6 HG12">
    <cfRule type="colorScale" priority="1230">
      <colorScale>
        <cfvo type="num" val="0"/>
        <cfvo type="num" val="0.5"/>
        <cfvo type="num" val="1"/>
        <color rgb="FFFF0000"/>
        <color rgb="FFFFC000"/>
        <color rgb="FF92D050"/>
      </colorScale>
    </cfRule>
  </conditionalFormatting>
  <conditionalFormatting sqref="HG13">
    <cfRule type="colorScale" priority="1229">
      <colorScale>
        <cfvo type="num" val="0"/>
        <cfvo type="num" val="0.5"/>
        <cfvo type="num" val="1"/>
        <color rgb="FFFF0000"/>
        <color rgb="FFFFC000"/>
        <color rgb="FF92D050"/>
      </colorScale>
    </cfRule>
  </conditionalFormatting>
  <conditionalFormatting sqref="HJ3:HJ6 HJ12">
    <cfRule type="colorScale" priority="1228">
      <colorScale>
        <cfvo type="num" val="0"/>
        <cfvo type="num" val="0.5"/>
        <cfvo type="num" val="1"/>
        <color rgb="FFFF0000"/>
        <color rgb="FFFFC000"/>
        <color rgb="FF92D050"/>
      </colorScale>
    </cfRule>
  </conditionalFormatting>
  <conditionalFormatting sqref="HJ13">
    <cfRule type="colorScale" priority="1227">
      <colorScale>
        <cfvo type="num" val="0"/>
        <cfvo type="num" val="0.5"/>
        <cfvo type="num" val="1"/>
        <color rgb="FFFF0000"/>
        <color rgb="FFFFC000"/>
        <color rgb="FF92D050"/>
      </colorScale>
    </cfRule>
  </conditionalFormatting>
  <conditionalFormatting sqref="HM3:HM6 HM12">
    <cfRule type="colorScale" priority="1226">
      <colorScale>
        <cfvo type="num" val="0"/>
        <cfvo type="num" val="0.5"/>
        <cfvo type="num" val="1"/>
        <color rgb="FFFF0000"/>
        <color rgb="FFFFC000"/>
        <color rgb="FF92D050"/>
      </colorScale>
    </cfRule>
  </conditionalFormatting>
  <conditionalFormatting sqref="HM13">
    <cfRule type="colorScale" priority="1225">
      <colorScale>
        <cfvo type="num" val="0"/>
        <cfvo type="num" val="0.5"/>
        <cfvo type="num" val="1"/>
        <color rgb="FFFF0000"/>
        <color rgb="FFFFC000"/>
        <color rgb="FF92D050"/>
      </colorScale>
    </cfRule>
  </conditionalFormatting>
  <conditionalFormatting sqref="HP3:HP6 HP12">
    <cfRule type="colorScale" priority="1224">
      <colorScale>
        <cfvo type="num" val="0"/>
        <cfvo type="num" val="0.5"/>
        <cfvo type="num" val="1"/>
        <color rgb="FFFF0000"/>
        <color rgb="FFFFC000"/>
        <color rgb="FF92D050"/>
      </colorScale>
    </cfRule>
  </conditionalFormatting>
  <conditionalFormatting sqref="HP13">
    <cfRule type="colorScale" priority="1223">
      <colorScale>
        <cfvo type="num" val="0"/>
        <cfvo type="num" val="0.5"/>
        <cfvo type="num" val="1"/>
        <color rgb="FFFF0000"/>
        <color rgb="FFFFC000"/>
        <color rgb="FF92D050"/>
      </colorScale>
    </cfRule>
  </conditionalFormatting>
  <conditionalFormatting sqref="HS3:HS6 HS12">
    <cfRule type="colorScale" priority="1222">
      <colorScale>
        <cfvo type="num" val="0"/>
        <cfvo type="num" val="0.5"/>
        <cfvo type="num" val="1"/>
        <color rgb="FFFF0000"/>
        <color rgb="FFFFC000"/>
        <color rgb="FF92D050"/>
      </colorScale>
    </cfRule>
  </conditionalFormatting>
  <conditionalFormatting sqref="HS13">
    <cfRule type="colorScale" priority="1221">
      <colorScale>
        <cfvo type="num" val="0"/>
        <cfvo type="num" val="0.5"/>
        <cfvo type="num" val="1"/>
        <color rgb="FFFF0000"/>
        <color rgb="FFFFC000"/>
        <color rgb="FF92D050"/>
      </colorScale>
    </cfRule>
  </conditionalFormatting>
  <conditionalFormatting sqref="HU12">
    <cfRule type="colorScale" priority="1220">
      <colorScale>
        <cfvo type="num" val="0"/>
        <cfvo type="num" val="0.5"/>
        <cfvo type="num" val="1"/>
        <color rgb="FFFF0000"/>
        <color rgb="FFFFC000"/>
        <color rgb="FF92D050"/>
      </colorScale>
    </cfRule>
  </conditionalFormatting>
  <conditionalFormatting sqref="HU3:HU6 HU12">
    <cfRule type="cellIs" dxfId="196" priority="1218" operator="equal">
      <formula>0</formula>
    </cfRule>
    <cfRule type="colorScale" priority="1219">
      <colorScale>
        <cfvo type="min"/>
        <cfvo type="percentile" val="50"/>
        <cfvo type="max"/>
        <color rgb="FF92D050"/>
        <color rgb="FFFFC000"/>
        <color rgb="FFFF0000"/>
      </colorScale>
    </cfRule>
  </conditionalFormatting>
  <conditionalFormatting sqref="HX3:HX6 HX12">
    <cfRule type="colorScale" priority="1217">
      <colorScale>
        <cfvo type="num" val="0"/>
        <cfvo type="num" val="0.5"/>
        <cfvo type="num" val="1"/>
        <color rgb="FFFF0000"/>
        <color rgb="FFFFC000"/>
        <color rgb="FF92D050"/>
      </colorScale>
    </cfRule>
  </conditionalFormatting>
  <conditionalFormatting sqref="HX13">
    <cfRule type="colorScale" priority="1216">
      <colorScale>
        <cfvo type="num" val="0"/>
        <cfvo type="num" val="0.5"/>
        <cfvo type="num" val="1"/>
        <color rgb="FFFF0000"/>
        <color rgb="FFFFC000"/>
        <color rgb="FF92D050"/>
      </colorScale>
    </cfRule>
  </conditionalFormatting>
  <conditionalFormatting sqref="IA3:IA6 IA12">
    <cfRule type="colorScale" priority="1215">
      <colorScale>
        <cfvo type="num" val="0"/>
        <cfvo type="num" val="0.5"/>
        <cfvo type="num" val="1"/>
        <color rgb="FFFF0000"/>
        <color rgb="FFFFC000"/>
        <color rgb="FF92D050"/>
      </colorScale>
    </cfRule>
  </conditionalFormatting>
  <conditionalFormatting sqref="IA13">
    <cfRule type="colorScale" priority="1214">
      <colorScale>
        <cfvo type="num" val="0"/>
        <cfvo type="num" val="0.5"/>
        <cfvo type="num" val="1"/>
        <color rgb="FFFF0000"/>
        <color rgb="FFFFC000"/>
        <color rgb="FF92D050"/>
      </colorScale>
    </cfRule>
  </conditionalFormatting>
  <conditionalFormatting sqref="ID3:ID6 ID12">
    <cfRule type="colorScale" priority="1213">
      <colorScale>
        <cfvo type="num" val="0"/>
        <cfvo type="num" val="0.5"/>
        <cfvo type="num" val="1"/>
        <color rgb="FFFF0000"/>
        <color rgb="FFFFC000"/>
        <color rgb="FF92D050"/>
      </colorScale>
    </cfRule>
  </conditionalFormatting>
  <conditionalFormatting sqref="ID13">
    <cfRule type="colorScale" priority="1212">
      <colorScale>
        <cfvo type="num" val="0"/>
        <cfvo type="num" val="0.5"/>
        <cfvo type="num" val="1"/>
        <color rgb="FFFF0000"/>
        <color rgb="FFFFC000"/>
        <color rgb="FF92D050"/>
      </colorScale>
    </cfRule>
  </conditionalFormatting>
  <conditionalFormatting sqref="IG3:IG6 IG12">
    <cfRule type="colorScale" priority="1211">
      <colorScale>
        <cfvo type="num" val="0"/>
        <cfvo type="num" val="0.5"/>
        <cfvo type="num" val="1"/>
        <color rgb="FFFF0000"/>
        <color rgb="FFFFC000"/>
        <color rgb="FF92D050"/>
      </colorScale>
    </cfRule>
  </conditionalFormatting>
  <conditionalFormatting sqref="IG13">
    <cfRule type="colorScale" priority="1210">
      <colorScale>
        <cfvo type="num" val="0"/>
        <cfvo type="num" val="0.5"/>
        <cfvo type="num" val="1"/>
        <color rgb="FFFF0000"/>
        <color rgb="FFFFC000"/>
        <color rgb="FF92D050"/>
      </colorScale>
    </cfRule>
  </conditionalFormatting>
  <conditionalFormatting sqref="IJ3:IJ6 IJ12">
    <cfRule type="colorScale" priority="1209">
      <colorScale>
        <cfvo type="num" val="0"/>
        <cfvo type="num" val="0.5"/>
        <cfvo type="num" val="1"/>
        <color rgb="FFFF0000"/>
        <color rgb="FFFFC000"/>
        <color rgb="FF92D050"/>
      </colorScale>
    </cfRule>
  </conditionalFormatting>
  <conditionalFormatting sqref="IJ13">
    <cfRule type="colorScale" priority="1208">
      <colorScale>
        <cfvo type="num" val="0"/>
        <cfvo type="num" val="0.5"/>
        <cfvo type="num" val="1"/>
        <color rgb="FFFF0000"/>
        <color rgb="FFFFC000"/>
        <color rgb="FF92D050"/>
      </colorScale>
    </cfRule>
  </conditionalFormatting>
  <conditionalFormatting sqref="IL12">
    <cfRule type="colorScale" priority="1207">
      <colorScale>
        <cfvo type="num" val="0"/>
        <cfvo type="num" val="0.5"/>
        <cfvo type="num" val="1"/>
        <color rgb="FFFF0000"/>
        <color rgb="FFFFC000"/>
        <color rgb="FF92D050"/>
      </colorScale>
    </cfRule>
  </conditionalFormatting>
  <conditionalFormatting sqref="IL3:IL6 IL12">
    <cfRule type="cellIs" dxfId="195" priority="1205" operator="equal">
      <formula>0</formula>
    </cfRule>
    <cfRule type="colorScale" priority="1206">
      <colorScale>
        <cfvo type="min"/>
        <cfvo type="percentile" val="50"/>
        <cfvo type="max"/>
        <color rgb="FF92D050"/>
        <color rgb="FFFFC000"/>
        <color rgb="FFFF0000"/>
      </colorScale>
    </cfRule>
  </conditionalFormatting>
  <conditionalFormatting sqref="IK3:IK6 IK12">
    <cfRule type="colorScale" priority="1204">
      <colorScale>
        <cfvo type="num" val="0"/>
        <cfvo type="num" val="0.5"/>
        <cfvo type="num" val="1"/>
        <color rgb="FFFF0000"/>
        <color rgb="FFFFC000"/>
        <color rgb="FF92D050"/>
      </colorScale>
    </cfRule>
  </conditionalFormatting>
  <conditionalFormatting sqref="IK3:IK6 IK12">
    <cfRule type="colorScale" priority="1203">
      <colorScale>
        <cfvo type="min"/>
        <cfvo type="percentile" val="50"/>
        <cfvo type="max"/>
        <color rgb="FF92D050"/>
        <color rgb="FFFFC000"/>
        <color rgb="FFFF0000"/>
      </colorScale>
    </cfRule>
  </conditionalFormatting>
  <conditionalFormatting sqref="HT3:HT6 HT12">
    <cfRule type="colorScale" priority="1202">
      <colorScale>
        <cfvo type="num" val="0"/>
        <cfvo type="num" val="0.5"/>
        <cfvo type="num" val="1"/>
        <color rgb="FFFF0000"/>
        <color rgb="FFFFC000"/>
        <color rgb="FF92D050"/>
      </colorScale>
    </cfRule>
  </conditionalFormatting>
  <conditionalFormatting sqref="HT3:HT6 HT12">
    <cfRule type="colorScale" priority="1201">
      <colorScale>
        <cfvo type="min"/>
        <cfvo type="percentile" val="50"/>
        <cfvo type="max"/>
        <color rgb="FF92D050"/>
        <color rgb="FFFFC000"/>
        <color rgb="FFFF0000"/>
      </colorScale>
    </cfRule>
  </conditionalFormatting>
  <conditionalFormatting sqref="IO3:IO6 IO12">
    <cfRule type="colorScale" priority="1200">
      <colorScale>
        <cfvo type="num" val="0"/>
        <cfvo type="num" val="0.5"/>
        <cfvo type="num" val="1"/>
        <color rgb="FFFF0000"/>
        <color rgb="FFFFC000"/>
        <color rgb="FF92D050"/>
      </colorScale>
    </cfRule>
  </conditionalFormatting>
  <conditionalFormatting sqref="IO13">
    <cfRule type="colorScale" priority="1199">
      <colorScale>
        <cfvo type="num" val="0"/>
        <cfvo type="num" val="0.5"/>
        <cfvo type="num" val="1"/>
        <color rgb="FFFF0000"/>
        <color rgb="FFFFC000"/>
        <color rgb="FF92D050"/>
      </colorScale>
    </cfRule>
  </conditionalFormatting>
  <conditionalFormatting sqref="IR3:IR6 IR12">
    <cfRule type="colorScale" priority="1198">
      <colorScale>
        <cfvo type="num" val="0"/>
        <cfvo type="num" val="0.5"/>
        <cfvo type="num" val="1"/>
        <color rgb="FFFF0000"/>
        <color rgb="FFFFC000"/>
        <color rgb="FF92D050"/>
      </colorScale>
    </cfRule>
  </conditionalFormatting>
  <conditionalFormatting sqref="IR13">
    <cfRule type="colorScale" priority="1197">
      <colorScale>
        <cfvo type="num" val="0"/>
        <cfvo type="num" val="0.5"/>
        <cfvo type="num" val="1"/>
        <color rgb="FFFF0000"/>
        <color rgb="FFFFC000"/>
        <color rgb="FF92D050"/>
      </colorScale>
    </cfRule>
  </conditionalFormatting>
  <conditionalFormatting sqref="IU3:IU6 IU12">
    <cfRule type="colorScale" priority="1196">
      <colorScale>
        <cfvo type="num" val="0"/>
        <cfvo type="num" val="0.5"/>
        <cfvo type="num" val="1"/>
        <color rgb="FFFF0000"/>
        <color rgb="FFFFC000"/>
        <color rgb="FF92D050"/>
      </colorScale>
    </cfRule>
  </conditionalFormatting>
  <conditionalFormatting sqref="IU13">
    <cfRule type="colorScale" priority="1195">
      <colorScale>
        <cfvo type="num" val="0"/>
        <cfvo type="num" val="0.5"/>
        <cfvo type="num" val="1"/>
        <color rgb="FFFF0000"/>
        <color rgb="FFFFC000"/>
        <color rgb="FF92D050"/>
      </colorScale>
    </cfRule>
  </conditionalFormatting>
  <conditionalFormatting sqref="IX3:IX6 IX12">
    <cfRule type="colorScale" priority="1194">
      <colorScale>
        <cfvo type="num" val="0"/>
        <cfvo type="num" val="0.5"/>
        <cfvo type="num" val="1"/>
        <color rgb="FFFF0000"/>
        <color rgb="FFFFC000"/>
        <color rgb="FF92D050"/>
      </colorScale>
    </cfRule>
  </conditionalFormatting>
  <conditionalFormatting sqref="IX13">
    <cfRule type="colorScale" priority="1193">
      <colorScale>
        <cfvo type="num" val="0"/>
        <cfvo type="num" val="0.5"/>
        <cfvo type="num" val="1"/>
        <color rgb="FFFF0000"/>
        <color rgb="FFFFC000"/>
        <color rgb="FF92D050"/>
      </colorScale>
    </cfRule>
  </conditionalFormatting>
  <conditionalFormatting sqref="JA3:JA6 JA12">
    <cfRule type="colorScale" priority="1192">
      <colorScale>
        <cfvo type="num" val="0"/>
        <cfvo type="num" val="0.5"/>
        <cfvo type="num" val="1"/>
        <color rgb="FFFF0000"/>
        <color rgb="FFFFC000"/>
        <color rgb="FF92D050"/>
      </colorScale>
    </cfRule>
  </conditionalFormatting>
  <conditionalFormatting sqref="JA13">
    <cfRule type="colorScale" priority="1191">
      <colorScale>
        <cfvo type="num" val="0"/>
        <cfvo type="num" val="0.5"/>
        <cfvo type="num" val="1"/>
        <color rgb="FFFF0000"/>
        <color rgb="FFFFC000"/>
        <color rgb="FF92D050"/>
      </colorScale>
    </cfRule>
  </conditionalFormatting>
  <conditionalFormatting sqref="JC12">
    <cfRule type="colorScale" priority="1190">
      <colorScale>
        <cfvo type="num" val="0"/>
        <cfvo type="num" val="0.5"/>
        <cfvo type="num" val="1"/>
        <color rgb="FFFF0000"/>
        <color rgb="FFFFC000"/>
        <color rgb="FF92D050"/>
      </colorScale>
    </cfRule>
  </conditionalFormatting>
  <conditionalFormatting sqref="JC3:JC6 JC12">
    <cfRule type="cellIs" dxfId="194" priority="1188" operator="equal">
      <formula>0</formula>
    </cfRule>
    <cfRule type="colorScale" priority="1189">
      <colorScale>
        <cfvo type="min"/>
        <cfvo type="percentile" val="50"/>
        <cfvo type="max"/>
        <color rgb="FF92D050"/>
        <color rgb="FFFFC000"/>
        <color rgb="FFFF0000"/>
      </colorScale>
    </cfRule>
  </conditionalFormatting>
  <conditionalFormatting sqref="JB3:JB6 JB12">
    <cfRule type="colorScale" priority="1187">
      <colorScale>
        <cfvo type="num" val="0"/>
        <cfvo type="num" val="0.5"/>
        <cfvo type="num" val="1"/>
        <color rgb="FFFF0000"/>
        <color rgb="FFFFC000"/>
        <color rgb="FF92D050"/>
      </colorScale>
    </cfRule>
  </conditionalFormatting>
  <conditionalFormatting sqref="JB3:JB6 JB12">
    <cfRule type="colorScale" priority="1186">
      <colorScale>
        <cfvo type="min"/>
        <cfvo type="percentile" val="50"/>
        <cfvo type="max"/>
        <color rgb="FF92D050"/>
        <color rgb="FFFFC000"/>
        <color rgb="FFFF0000"/>
      </colorScale>
    </cfRule>
  </conditionalFormatting>
  <conditionalFormatting sqref="JF3:JF6 JF12">
    <cfRule type="colorScale" priority="1185">
      <colorScale>
        <cfvo type="num" val="0"/>
        <cfvo type="num" val="0.5"/>
        <cfvo type="num" val="1"/>
        <color rgb="FFFF0000"/>
        <color rgb="FFFFC000"/>
        <color rgb="FF92D050"/>
      </colorScale>
    </cfRule>
  </conditionalFormatting>
  <conditionalFormatting sqref="JF13">
    <cfRule type="colorScale" priority="1184">
      <colorScale>
        <cfvo type="num" val="0"/>
        <cfvo type="num" val="0.5"/>
        <cfvo type="num" val="1"/>
        <color rgb="FFFF0000"/>
        <color rgb="FFFFC000"/>
        <color rgb="FF92D050"/>
      </colorScale>
    </cfRule>
  </conditionalFormatting>
  <conditionalFormatting sqref="JI3:JI6 JI12">
    <cfRule type="colorScale" priority="1183">
      <colorScale>
        <cfvo type="num" val="0"/>
        <cfvo type="num" val="0.5"/>
        <cfvo type="num" val="1"/>
        <color rgb="FFFF0000"/>
        <color rgb="FFFFC000"/>
        <color rgb="FF92D050"/>
      </colorScale>
    </cfRule>
  </conditionalFormatting>
  <conditionalFormatting sqref="JI13">
    <cfRule type="colorScale" priority="1182">
      <colorScale>
        <cfvo type="num" val="0"/>
        <cfvo type="num" val="0.5"/>
        <cfvo type="num" val="1"/>
        <color rgb="FFFF0000"/>
        <color rgb="FFFFC000"/>
        <color rgb="FF92D050"/>
      </colorScale>
    </cfRule>
  </conditionalFormatting>
  <conditionalFormatting sqref="JL3:JL6 JL12">
    <cfRule type="colorScale" priority="1181">
      <colorScale>
        <cfvo type="num" val="0"/>
        <cfvo type="num" val="0.5"/>
        <cfvo type="num" val="1"/>
        <color rgb="FFFF0000"/>
        <color rgb="FFFFC000"/>
        <color rgb="FF92D050"/>
      </colorScale>
    </cfRule>
  </conditionalFormatting>
  <conditionalFormatting sqref="JL13">
    <cfRule type="colorScale" priority="1180">
      <colorScale>
        <cfvo type="num" val="0"/>
        <cfvo type="num" val="0.5"/>
        <cfvo type="num" val="1"/>
        <color rgb="FFFF0000"/>
        <color rgb="FFFFC000"/>
        <color rgb="FF92D050"/>
      </colorScale>
    </cfRule>
  </conditionalFormatting>
  <conditionalFormatting sqref="JO3:JO6 JO12">
    <cfRule type="colorScale" priority="1179">
      <colorScale>
        <cfvo type="num" val="0"/>
        <cfvo type="num" val="0.5"/>
        <cfvo type="num" val="1"/>
        <color rgb="FFFF0000"/>
        <color rgb="FFFFC000"/>
        <color rgb="FF92D050"/>
      </colorScale>
    </cfRule>
  </conditionalFormatting>
  <conditionalFormatting sqref="JO13">
    <cfRule type="colorScale" priority="1178">
      <colorScale>
        <cfvo type="num" val="0"/>
        <cfvo type="num" val="0.5"/>
        <cfvo type="num" val="1"/>
        <color rgb="FFFF0000"/>
        <color rgb="FFFFC000"/>
        <color rgb="FF92D050"/>
      </colorScale>
    </cfRule>
  </conditionalFormatting>
  <conditionalFormatting sqref="JR3:JR6 JR12">
    <cfRule type="colorScale" priority="1177">
      <colorScale>
        <cfvo type="num" val="0"/>
        <cfvo type="num" val="0.5"/>
        <cfvo type="num" val="1"/>
        <color rgb="FFFF0000"/>
        <color rgb="FFFFC000"/>
        <color rgb="FF92D050"/>
      </colorScale>
    </cfRule>
  </conditionalFormatting>
  <conditionalFormatting sqref="JR13">
    <cfRule type="colorScale" priority="1176">
      <colorScale>
        <cfvo type="num" val="0"/>
        <cfvo type="num" val="0.5"/>
        <cfvo type="num" val="1"/>
        <color rgb="FFFF0000"/>
        <color rgb="FFFFC000"/>
        <color rgb="FF92D050"/>
      </colorScale>
    </cfRule>
  </conditionalFormatting>
  <conditionalFormatting sqref="JT12">
    <cfRule type="colorScale" priority="1175">
      <colorScale>
        <cfvo type="num" val="0"/>
        <cfvo type="num" val="0.5"/>
        <cfvo type="num" val="1"/>
        <color rgb="FFFF0000"/>
        <color rgb="FFFFC000"/>
        <color rgb="FF92D050"/>
      </colorScale>
    </cfRule>
  </conditionalFormatting>
  <conditionalFormatting sqref="JT3:JT6 JT12">
    <cfRule type="cellIs" dxfId="193" priority="1173" operator="equal">
      <formula>0</formula>
    </cfRule>
    <cfRule type="colorScale" priority="1174">
      <colorScale>
        <cfvo type="min"/>
        <cfvo type="percentile" val="50"/>
        <cfvo type="max"/>
        <color rgb="FF92D050"/>
        <color rgb="FFFFC000"/>
        <color rgb="FFFF0000"/>
      </colorScale>
    </cfRule>
  </conditionalFormatting>
  <conditionalFormatting sqref="JS3:JS6 JS12">
    <cfRule type="colorScale" priority="1172">
      <colorScale>
        <cfvo type="num" val="0"/>
        <cfvo type="num" val="0.5"/>
        <cfvo type="num" val="1"/>
        <color rgb="FFFF0000"/>
        <color rgb="FFFFC000"/>
        <color rgb="FF92D050"/>
      </colorScale>
    </cfRule>
  </conditionalFormatting>
  <conditionalFormatting sqref="JS3:JS6 JS12">
    <cfRule type="colorScale" priority="1171">
      <colorScale>
        <cfvo type="min"/>
        <cfvo type="percentile" val="50"/>
        <cfvo type="max"/>
        <color rgb="FF92D050"/>
        <color rgb="FFFFC000"/>
        <color rgb="FFFF0000"/>
      </colorScale>
    </cfRule>
  </conditionalFormatting>
  <conditionalFormatting sqref="HC3:HC6 HC12">
    <cfRule type="colorScale" priority="1170">
      <colorScale>
        <cfvo type="num" val="0"/>
        <cfvo type="num" val="0.5"/>
        <cfvo type="num" val="1"/>
        <color rgb="FFFF0000"/>
        <color rgb="FFFFC000"/>
        <color rgb="FF92D050"/>
      </colorScale>
    </cfRule>
  </conditionalFormatting>
  <conditionalFormatting sqref="HC3:HC6 HC12">
    <cfRule type="colorScale" priority="1169">
      <colorScale>
        <cfvo type="min"/>
        <cfvo type="percentile" val="50"/>
        <cfvo type="max"/>
        <color rgb="FF92D050"/>
        <color rgb="FFFFC000"/>
        <color rgb="FFFF0000"/>
      </colorScale>
    </cfRule>
  </conditionalFormatting>
  <conditionalFormatting sqref="GL3:GL6 GL12">
    <cfRule type="colorScale" priority="1168">
      <colorScale>
        <cfvo type="num" val="0"/>
        <cfvo type="num" val="0.5"/>
        <cfvo type="num" val="1"/>
        <color rgb="FFFF0000"/>
        <color rgb="FFFFC000"/>
        <color rgb="FF92D050"/>
      </colorScale>
    </cfRule>
  </conditionalFormatting>
  <conditionalFormatting sqref="GL3:GL6 GL12">
    <cfRule type="colorScale" priority="1167">
      <colorScale>
        <cfvo type="min"/>
        <cfvo type="percentile" val="50"/>
        <cfvo type="max"/>
        <color rgb="FF92D050"/>
        <color rgb="FFFFC000"/>
        <color rgb="FFFF0000"/>
      </colorScale>
    </cfRule>
  </conditionalFormatting>
  <conditionalFormatting sqref="DV3:DV6 DV12">
    <cfRule type="colorScale" priority="1166">
      <colorScale>
        <cfvo type="num" val="0"/>
        <cfvo type="num" val="0.5"/>
        <cfvo type="num" val="1"/>
        <color rgb="FFFF0000"/>
        <color rgb="FFFFC000"/>
        <color rgb="FF92D050"/>
      </colorScale>
    </cfRule>
  </conditionalFormatting>
  <conditionalFormatting sqref="DV3:DV6 DV12">
    <cfRule type="colorScale" priority="1165">
      <colorScale>
        <cfvo type="min"/>
        <cfvo type="percentile" val="50"/>
        <cfvo type="max"/>
        <color rgb="FF92D050"/>
        <color rgb="FFFFC000"/>
        <color rgb="FFFF0000"/>
      </colorScale>
    </cfRule>
  </conditionalFormatting>
  <conditionalFormatting sqref="DE3:DE6 DE12">
    <cfRule type="colorScale" priority="1164">
      <colorScale>
        <cfvo type="num" val="0"/>
        <cfvo type="num" val="0.5"/>
        <cfvo type="num" val="1"/>
        <color rgb="FFFF0000"/>
        <color rgb="FFFFC000"/>
        <color rgb="FF92D050"/>
      </colorScale>
    </cfRule>
  </conditionalFormatting>
  <conditionalFormatting sqref="DE3:DE6 DE12">
    <cfRule type="colorScale" priority="1163">
      <colorScale>
        <cfvo type="min"/>
        <cfvo type="percentile" val="50"/>
        <cfvo type="max"/>
        <color rgb="FF92D050"/>
        <color rgb="FFFFC000"/>
        <color rgb="FFFF0000"/>
      </colorScale>
    </cfRule>
  </conditionalFormatting>
  <conditionalFormatting sqref="CN3:CN6 CN12">
    <cfRule type="colorScale" priority="1162">
      <colorScale>
        <cfvo type="num" val="0"/>
        <cfvo type="num" val="0.5"/>
        <cfvo type="num" val="1"/>
        <color rgb="FFFF0000"/>
        <color rgb="FFFFC000"/>
        <color rgb="FF92D050"/>
      </colorScale>
    </cfRule>
  </conditionalFormatting>
  <conditionalFormatting sqref="CN3:CN6 CN12">
    <cfRule type="colorScale" priority="1161">
      <colorScale>
        <cfvo type="min"/>
        <cfvo type="percentile" val="50"/>
        <cfvo type="max"/>
        <color rgb="FF92D050"/>
        <color rgb="FFFFC000"/>
        <color rgb="FFFF0000"/>
      </colorScale>
    </cfRule>
  </conditionalFormatting>
  <conditionalFormatting sqref="EM3:EM6 EM12">
    <cfRule type="colorScale" priority="1160">
      <colorScale>
        <cfvo type="num" val="0"/>
        <cfvo type="num" val="0.5"/>
        <cfvo type="num" val="1"/>
        <color rgb="FFFF0000"/>
        <color rgb="FFFFC000"/>
        <color rgb="FF92D050"/>
      </colorScale>
    </cfRule>
  </conditionalFormatting>
  <conditionalFormatting sqref="EM3:EM6 EM12">
    <cfRule type="colorScale" priority="1159">
      <colorScale>
        <cfvo type="min"/>
        <cfvo type="percentile" val="50"/>
        <cfvo type="max"/>
        <color rgb="FF92D050"/>
        <color rgb="FFFFC000"/>
        <color rgb="FFFF0000"/>
      </colorScale>
    </cfRule>
  </conditionalFormatting>
  <conditionalFormatting sqref="AA8 X8 AD8 AH8">
    <cfRule type="colorScale" priority="1158">
      <colorScale>
        <cfvo type="num" val="0"/>
        <cfvo type="num" val="0.5"/>
        <cfvo type="num" val="1"/>
        <color rgb="FFFF0000"/>
        <color rgb="FFFFC000"/>
        <color rgb="FF92D050"/>
      </colorScale>
    </cfRule>
  </conditionalFormatting>
  <conditionalFormatting sqref="AU8">
    <cfRule type="colorScale" priority="1157">
      <colorScale>
        <cfvo type="num" val="0"/>
        <cfvo type="num" val="0.5"/>
        <cfvo type="num" val="1"/>
        <color rgb="FFFF0000"/>
        <color rgb="FFFFC000"/>
        <color rgb="FF92D050"/>
      </colorScale>
    </cfRule>
  </conditionalFormatting>
  <conditionalFormatting sqref="AQ8">
    <cfRule type="colorScale" priority="1156">
      <colorScale>
        <cfvo type="num" val="0"/>
        <cfvo type="num" val="0.5"/>
        <cfvo type="num" val="1"/>
        <color rgb="FFFF0000"/>
        <color rgb="FFFFC000"/>
        <color rgb="FF92D050"/>
      </colorScale>
    </cfRule>
  </conditionalFormatting>
  <conditionalFormatting sqref="AN8">
    <cfRule type="colorScale" priority="1155">
      <colorScale>
        <cfvo type="num" val="0"/>
        <cfvo type="num" val="0.5"/>
        <cfvo type="num" val="1"/>
        <color rgb="FFFF0000"/>
        <color rgb="FFFFC000"/>
        <color rgb="FF92D050"/>
      </colorScale>
    </cfRule>
  </conditionalFormatting>
  <conditionalFormatting sqref="AK8">
    <cfRule type="colorScale" priority="1154">
      <colorScale>
        <cfvo type="num" val="0"/>
        <cfvo type="num" val="0.5"/>
        <cfvo type="num" val="1"/>
        <color rgb="FFFF0000"/>
        <color rgb="FFFFC000"/>
        <color rgb="FF92D050"/>
      </colorScale>
    </cfRule>
  </conditionalFormatting>
  <conditionalFormatting sqref="AX8">
    <cfRule type="colorScale" priority="1153">
      <colorScale>
        <cfvo type="num" val="0"/>
        <cfvo type="num" val="0.5"/>
        <cfvo type="num" val="1"/>
        <color rgb="FFFF0000"/>
        <color rgb="FFFFC000"/>
        <color rgb="FF92D050"/>
      </colorScale>
    </cfRule>
  </conditionalFormatting>
  <conditionalFormatting sqref="BA8">
    <cfRule type="colorScale" priority="1152">
      <colorScale>
        <cfvo type="num" val="0"/>
        <cfvo type="num" val="0.5"/>
        <cfvo type="num" val="1"/>
        <color rgb="FFFF0000"/>
        <color rgb="FFFFC000"/>
        <color rgb="FF92D050"/>
      </colorScale>
    </cfRule>
  </conditionalFormatting>
  <conditionalFormatting sqref="BD8">
    <cfRule type="colorScale" priority="1151">
      <colorScale>
        <cfvo type="num" val="0"/>
        <cfvo type="num" val="0.5"/>
        <cfvo type="num" val="1"/>
        <color rgb="FFFF0000"/>
        <color rgb="FFFFC000"/>
        <color rgb="FF92D050"/>
      </colorScale>
    </cfRule>
  </conditionalFormatting>
  <conditionalFormatting sqref="BG8">
    <cfRule type="colorScale" priority="1150">
      <colorScale>
        <cfvo type="num" val="0"/>
        <cfvo type="num" val="0.5"/>
        <cfvo type="num" val="1"/>
        <color rgb="FFFF0000"/>
        <color rgb="FFFFC000"/>
        <color rgb="FF92D050"/>
      </colorScale>
    </cfRule>
  </conditionalFormatting>
  <conditionalFormatting sqref="AR8">
    <cfRule type="cellIs" dxfId="192" priority="1146" operator="equal">
      <formula>0</formula>
    </cfRule>
    <cfRule type="colorScale" priority="1149">
      <colorScale>
        <cfvo type="min"/>
        <cfvo type="percentile" val="50"/>
        <cfvo type="max"/>
        <color rgb="FF92D050"/>
        <color rgb="FFFFC000"/>
        <color rgb="FFFF0000"/>
      </colorScale>
    </cfRule>
  </conditionalFormatting>
  <conditionalFormatting sqref="AE8">
    <cfRule type="cellIs" dxfId="191" priority="1147" operator="equal">
      <formula>0</formula>
    </cfRule>
    <cfRule type="colorScale" priority="1148">
      <colorScale>
        <cfvo type="min"/>
        <cfvo type="percentile" val="50"/>
        <cfvo type="max"/>
        <color rgb="FF92D050"/>
        <color rgb="FFFFC000"/>
        <color rgb="FFFF0000"/>
      </colorScale>
    </cfRule>
  </conditionalFormatting>
  <conditionalFormatting sqref="BH8">
    <cfRule type="cellIs" dxfId="190" priority="1144" operator="equal">
      <formula>0</formula>
    </cfRule>
    <cfRule type="colorScale" priority="1145">
      <colorScale>
        <cfvo type="min"/>
        <cfvo type="percentile" val="50"/>
        <cfvo type="max"/>
        <color rgb="FF92D050"/>
        <color rgb="FFFFC000"/>
        <color rgb="FFFF0000"/>
      </colorScale>
    </cfRule>
  </conditionalFormatting>
  <conditionalFormatting sqref="BK8">
    <cfRule type="colorScale" priority="1143">
      <colorScale>
        <cfvo type="num" val="0"/>
        <cfvo type="num" val="0.5"/>
        <cfvo type="num" val="1"/>
        <color rgb="FFFF0000"/>
        <color rgb="FFFFC000"/>
        <color rgb="FF92D050"/>
      </colorScale>
    </cfRule>
  </conditionalFormatting>
  <conditionalFormatting sqref="BN8">
    <cfRule type="colorScale" priority="1142">
      <colorScale>
        <cfvo type="num" val="0"/>
        <cfvo type="num" val="0.5"/>
        <cfvo type="num" val="1"/>
        <color rgb="FFFF0000"/>
        <color rgb="FFFFC000"/>
        <color rgb="FF92D050"/>
      </colorScale>
    </cfRule>
  </conditionalFormatting>
  <conditionalFormatting sqref="BQ8">
    <cfRule type="colorScale" priority="1141">
      <colorScale>
        <cfvo type="num" val="0"/>
        <cfvo type="num" val="0.5"/>
        <cfvo type="num" val="1"/>
        <color rgb="FFFF0000"/>
        <color rgb="FFFFC000"/>
        <color rgb="FF92D050"/>
      </colorScale>
    </cfRule>
  </conditionalFormatting>
  <conditionalFormatting sqref="BT8">
    <cfRule type="colorScale" priority="1140">
      <colorScale>
        <cfvo type="num" val="0"/>
        <cfvo type="num" val="0.5"/>
        <cfvo type="num" val="1"/>
        <color rgb="FFFF0000"/>
        <color rgb="FFFFC000"/>
        <color rgb="FF92D050"/>
      </colorScale>
    </cfRule>
  </conditionalFormatting>
  <conditionalFormatting sqref="BW8">
    <cfRule type="colorScale" priority="1139">
      <colorScale>
        <cfvo type="num" val="0"/>
        <cfvo type="num" val="0.5"/>
        <cfvo type="num" val="1"/>
        <color rgb="FFFF0000"/>
        <color rgb="FFFFC000"/>
        <color rgb="FF92D050"/>
      </colorScale>
    </cfRule>
  </conditionalFormatting>
  <conditionalFormatting sqref="CA8">
    <cfRule type="colorScale" priority="1136">
      <colorScale>
        <cfvo type="num" val="0"/>
        <cfvo type="num" val="0.5"/>
        <cfvo type="num" val="1"/>
        <color rgb="FFFF0000"/>
        <color rgb="FFFFC000"/>
        <color rgb="FF92D050"/>
      </colorScale>
    </cfRule>
  </conditionalFormatting>
  <conditionalFormatting sqref="CD8">
    <cfRule type="colorScale" priority="1135">
      <colorScale>
        <cfvo type="num" val="0"/>
        <cfvo type="num" val="0.5"/>
        <cfvo type="num" val="1"/>
        <color rgb="FFFF0000"/>
        <color rgb="FFFFC000"/>
        <color rgb="FF92D050"/>
      </colorScale>
    </cfRule>
  </conditionalFormatting>
  <conditionalFormatting sqref="CG8">
    <cfRule type="colorScale" priority="1134">
      <colorScale>
        <cfvo type="num" val="0"/>
        <cfvo type="num" val="0.5"/>
        <cfvo type="num" val="1"/>
        <color rgb="FFFF0000"/>
        <color rgb="FFFFC000"/>
        <color rgb="FF92D050"/>
      </colorScale>
    </cfRule>
  </conditionalFormatting>
  <conditionalFormatting sqref="CJ8">
    <cfRule type="colorScale" priority="1133">
      <colorScale>
        <cfvo type="num" val="0"/>
        <cfvo type="num" val="0.5"/>
        <cfvo type="num" val="1"/>
        <color rgb="FFFF0000"/>
        <color rgb="FFFFC000"/>
        <color rgb="FF92D050"/>
      </colorScale>
    </cfRule>
  </conditionalFormatting>
  <conditionalFormatting sqref="CM8">
    <cfRule type="colorScale" priority="1132">
      <colorScale>
        <cfvo type="num" val="0"/>
        <cfvo type="num" val="0.5"/>
        <cfvo type="num" val="1"/>
        <color rgb="FFFF0000"/>
        <color rgb="FFFFC000"/>
        <color rgb="FF92D050"/>
      </colorScale>
    </cfRule>
  </conditionalFormatting>
  <conditionalFormatting sqref="CO8">
    <cfRule type="cellIs" dxfId="189" priority="1130" operator="equal">
      <formula>0</formula>
    </cfRule>
    <cfRule type="colorScale" priority="1131">
      <colorScale>
        <cfvo type="min"/>
        <cfvo type="percentile" val="50"/>
        <cfvo type="max"/>
        <color rgb="FF92D050"/>
        <color rgb="FFFFC000"/>
        <color rgb="FFFF0000"/>
      </colorScale>
    </cfRule>
  </conditionalFormatting>
  <conditionalFormatting sqref="CR8">
    <cfRule type="colorScale" priority="1129">
      <colorScale>
        <cfvo type="num" val="0"/>
        <cfvo type="num" val="0.5"/>
        <cfvo type="num" val="1"/>
        <color rgb="FFFF0000"/>
        <color rgb="FFFFC000"/>
        <color rgb="FF92D050"/>
      </colorScale>
    </cfRule>
  </conditionalFormatting>
  <conditionalFormatting sqref="CU8">
    <cfRule type="colorScale" priority="1128">
      <colorScale>
        <cfvo type="num" val="0"/>
        <cfvo type="num" val="0.5"/>
        <cfvo type="num" val="1"/>
        <color rgb="FFFF0000"/>
        <color rgb="FFFFC000"/>
        <color rgb="FF92D050"/>
      </colorScale>
    </cfRule>
  </conditionalFormatting>
  <conditionalFormatting sqref="CX8">
    <cfRule type="colorScale" priority="1127">
      <colorScale>
        <cfvo type="num" val="0"/>
        <cfvo type="num" val="0.5"/>
        <cfvo type="num" val="1"/>
        <color rgb="FFFF0000"/>
        <color rgb="FFFFC000"/>
        <color rgb="FF92D050"/>
      </colorScale>
    </cfRule>
  </conditionalFormatting>
  <conditionalFormatting sqref="DA8">
    <cfRule type="colorScale" priority="1126">
      <colorScale>
        <cfvo type="num" val="0"/>
        <cfvo type="num" val="0.5"/>
        <cfvo type="num" val="1"/>
        <color rgb="FFFF0000"/>
        <color rgb="FFFFC000"/>
        <color rgb="FF92D050"/>
      </colorScale>
    </cfRule>
  </conditionalFormatting>
  <conditionalFormatting sqref="DD8">
    <cfRule type="colorScale" priority="1125">
      <colorScale>
        <cfvo type="num" val="0"/>
        <cfvo type="num" val="0.5"/>
        <cfvo type="num" val="1"/>
        <color rgb="FFFF0000"/>
        <color rgb="FFFFC000"/>
        <color rgb="FF92D050"/>
      </colorScale>
    </cfRule>
  </conditionalFormatting>
  <conditionalFormatting sqref="DF8">
    <cfRule type="cellIs" dxfId="188" priority="1123" operator="equal">
      <formula>0</formula>
    </cfRule>
    <cfRule type="colorScale" priority="1124">
      <colorScale>
        <cfvo type="min"/>
        <cfvo type="percentile" val="50"/>
        <cfvo type="max"/>
        <color rgb="FF92D050"/>
        <color rgb="FFFFC000"/>
        <color rgb="FFFF0000"/>
      </colorScale>
    </cfRule>
  </conditionalFormatting>
  <conditionalFormatting sqref="DI8">
    <cfRule type="colorScale" priority="1122">
      <colorScale>
        <cfvo type="num" val="0"/>
        <cfvo type="num" val="0.5"/>
        <cfvo type="num" val="1"/>
        <color rgb="FFFF0000"/>
        <color rgb="FFFFC000"/>
        <color rgb="FF92D050"/>
      </colorScale>
    </cfRule>
  </conditionalFormatting>
  <conditionalFormatting sqref="DL8">
    <cfRule type="colorScale" priority="1121">
      <colorScale>
        <cfvo type="num" val="0"/>
        <cfvo type="num" val="0.5"/>
        <cfvo type="num" val="1"/>
        <color rgb="FFFF0000"/>
        <color rgb="FFFFC000"/>
        <color rgb="FF92D050"/>
      </colorScale>
    </cfRule>
  </conditionalFormatting>
  <conditionalFormatting sqref="DO8">
    <cfRule type="colorScale" priority="1120">
      <colorScale>
        <cfvo type="num" val="0"/>
        <cfvo type="num" val="0.5"/>
        <cfvo type="num" val="1"/>
        <color rgb="FFFF0000"/>
        <color rgb="FFFFC000"/>
        <color rgb="FF92D050"/>
      </colorScale>
    </cfRule>
  </conditionalFormatting>
  <conditionalFormatting sqref="DR8">
    <cfRule type="colorScale" priority="1119">
      <colorScale>
        <cfvo type="num" val="0"/>
        <cfvo type="num" val="0.5"/>
        <cfvo type="num" val="1"/>
        <color rgb="FFFF0000"/>
        <color rgb="FFFFC000"/>
        <color rgb="FF92D050"/>
      </colorScale>
    </cfRule>
  </conditionalFormatting>
  <conditionalFormatting sqref="DU8">
    <cfRule type="colorScale" priority="1118">
      <colorScale>
        <cfvo type="num" val="0"/>
        <cfvo type="num" val="0.5"/>
        <cfvo type="num" val="1"/>
        <color rgb="FFFF0000"/>
        <color rgb="FFFFC000"/>
        <color rgb="FF92D050"/>
      </colorScale>
    </cfRule>
  </conditionalFormatting>
  <conditionalFormatting sqref="DW8">
    <cfRule type="cellIs" dxfId="187" priority="1116" operator="equal">
      <formula>0</formula>
    </cfRule>
    <cfRule type="colorScale" priority="1117">
      <colorScale>
        <cfvo type="min"/>
        <cfvo type="percentile" val="50"/>
        <cfvo type="max"/>
        <color rgb="FF92D050"/>
        <color rgb="FFFFC000"/>
        <color rgb="FFFF0000"/>
      </colorScale>
    </cfRule>
  </conditionalFormatting>
  <conditionalFormatting sqref="BX8">
    <cfRule type="cellIs" dxfId="186" priority="1137" operator="equal">
      <formula>0</formula>
    </cfRule>
    <cfRule type="colorScale" priority="1138">
      <colorScale>
        <cfvo type="min"/>
        <cfvo type="percentile" val="50"/>
        <cfvo type="max"/>
        <color rgb="FF92D050"/>
        <color rgb="FFFFC000"/>
        <color rgb="FFFF0000"/>
      </colorScale>
    </cfRule>
  </conditionalFormatting>
  <conditionalFormatting sqref="DZ8">
    <cfRule type="colorScale" priority="1114">
      <colorScale>
        <cfvo type="num" val="0"/>
        <cfvo type="num" val="0.5"/>
        <cfvo type="num" val="1"/>
        <color rgb="FFFF0000"/>
        <color rgb="FFFFC000"/>
        <color rgb="FF92D050"/>
      </colorScale>
    </cfRule>
  </conditionalFormatting>
  <conditionalFormatting sqref="EC8">
    <cfRule type="colorScale" priority="1113">
      <colorScale>
        <cfvo type="num" val="0"/>
        <cfvo type="num" val="0.5"/>
        <cfvo type="num" val="1"/>
        <color rgb="FFFF0000"/>
        <color rgb="FFFFC000"/>
        <color rgb="FF92D050"/>
      </colorScale>
    </cfRule>
  </conditionalFormatting>
  <conditionalFormatting sqref="EF8">
    <cfRule type="colorScale" priority="1112">
      <colorScale>
        <cfvo type="num" val="0"/>
        <cfvo type="num" val="0.5"/>
        <cfvo type="num" val="1"/>
        <color rgb="FFFF0000"/>
        <color rgb="FFFFC000"/>
        <color rgb="FF92D050"/>
      </colorScale>
    </cfRule>
  </conditionalFormatting>
  <conditionalFormatting sqref="EI8">
    <cfRule type="colorScale" priority="1111">
      <colorScale>
        <cfvo type="num" val="0"/>
        <cfvo type="num" val="0.5"/>
        <cfvo type="num" val="1"/>
        <color rgb="FFFF0000"/>
        <color rgb="FFFFC000"/>
        <color rgb="FF92D050"/>
      </colorScale>
    </cfRule>
  </conditionalFormatting>
  <conditionalFormatting sqref="EL8">
    <cfRule type="colorScale" priority="1110">
      <colorScale>
        <cfvo type="num" val="0"/>
        <cfvo type="num" val="0.5"/>
        <cfvo type="num" val="1"/>
        <color rgb="FFFF0000"/>
        <color rgb="FFFFC000"/>
        <color rgb="FF92D050"/>
      </colorScale>
    </cfRule>
  </conditionalFormatting>
  <conditionalFormatting sqref="EN8">
    <cfRule type="cellIs" dxfId="185" priority="1108" operator="equal">
      <formula>0</formula>
    </cfRule>
    <cfRule type="colorScale" priority="1109">
      <colorScale>
        <cfvo type="min"/>
        <cfvo type="percentile" val="50"/>
        <cfvo type="max"/>
        <color rgb="FF92D050"/>
        <color rgb="FFFFC000"/>
        <color rgb="FFFF0000"/>
      </colorScale>
    </cfRule>
  </conditionalFormatting>
  <conditionalFormatting sqref="EQ8">
    <cfRule type="colorScale" priority="1106">
      <colorScale>
        <cfvo type="num" val="0"/>
        <cfvo type="num" val="0.5"/>
        <cfvo type="num" val="1"/>
        <color rgb="FFFF0000"/>
        <color rgb="FFFFC000"/>
        <color rgb="FF92D050"/>
      </colorScale>
    </cfRule>
  </conditionalFormatting>
  <conditionalFormatting sqref="ET8">
    <cfRule type="colorScale" priority="1105">
      <colorScale>
        <cfvo type="num" val="0"/>
        <cfvo type="num" val="0.5"/>
        <cfvo type="num" val="1"/>
        <color rgb="FFFF0000"/>
        <color rgb="FFFFC000"/>
        <color rgb="FF92D050"/>
      </colorScale>
    </cfRule>
  </conditionalFormatting>
  <conditionalFormatting sqref="EW8">
    <cfRule type="colorScale" priority="1104">
      <colorScale>
        <cfvo type="num" val="0"/>
        <cfvo type="num" val="0.5"/>
        <cfvo type="num" val="1"/>
        <color rgb="FFFF0000"/>
        <color rgb="FFFFC000"/>
        <color rgb="FF92D050"/>
      </colorScale>
    </cfRule>
  </conditionalFormatting>
  <conditionalFormatting sqref="EZ8">
    <cfRule type="colorScale" priority="1103">
      <colorScale>
        <cfvo type="num" val="0"/>
        <cfvo type="num" val="0.5"/>
        <cfvo type="num" val="1"/>
        <color rgb="FFFF0000"/>
        <color rgb="FFFFC000"/>
        <color rgb="FF92D050"/>
      </colorScale>
    </cfRule>
  </conditionalFormatting>
  <conditionalFormatting sqref="FC8:FD8">
    <cfRule type="colorScale" priority="1102">
      <colorScale>
        <cfvo type="num" val="0"/>
        <cfvo type="num" val="0.5"/>
        <cfvo type="num" val="1"/>
        <color rgb="FFFF0000"/>
        <color rgb="FFFFC000"/>
        <color rgb="FF92D050"/>
      </colorScale>
    </cfRule>
  </conditionalFormatting>
  <conditionalFormatting sqref="FE8">
    <cfRule type="cellIs" dxfId="184" priority="1100" operator="equal">
      <formula>0</formula>
    </cfRule>
    <cfRule type="colorScale" priority="1101">
      <colorScale>
        <cfvo type="min"/>
        <cfvo type="percentile" val="50"/>
        <cfvo type="max"/>
        <color rgb="FF92D050"/>
        <color rgb="FFFFC000"/>
        <color rgb="FFFF0000"/>
      </colorScale>
    </cfRule>
  </conditionalFormatting>
  <conditionalFormatting sqref="FH8">
    <cfRule type="colorScale" priority="1099">
      <colorScale>
        <cfvo type="num" val="0"/>
        <cfvo type="num" val="0.5"/>
        <cfvo type="num" val="1"/>
        <color rgb="FFFF0000"/>
        <color rgb="FFFFC000"/>
        <color rgb="FF92D050"/>
      </colorScale>
    </cfRule>
  </conditionalFormatting>
  <conditionalFormatting sqref="FK8">
    <cfRule type="colorScale" priority="1098">
      <colorScale>
        <cfvo type="num" val="0"/>
        <cfvo type="num" val="0.5"/>
        <cfvo type="num" val="1"/>
        <color rgb="FFFF0000"/>
        <color rgb="FFFFC000"/>
        <color rgb="FF92D050"/>
      </colorScale>
    </cfRule>
  </conditionalFormatting>
  <conditionalFormatting sqref="FN8">
    <cfRule type="colorScale" priority="1097">
      <colorScale>
        <cfvo type="num" val="0"/>
        <cfvo type="num" val="0.5"/>
        <cfvo type="num" val="1"/>
        <color rgb="FFFF0000"/>
        <color rgb="FFFFC000"/>
        <color rgb="FF92D050"/>
      </colorScale>
    </cfRule>
  </conditionalFormatting>
  <conditionalFormatting sqref="FQ8">
    <cfRule type="colorScale" priority="1096">
      <colorScale>
        <cfvo type="num" val="0"/>
        <cfvo type="num" val="0.5"/>
        <cfvo type="num" val="1"/>
        <color rgb="FFFF0000"/>
        <color rgb="FFFFC000"/>
        <color rgb="FF92D050"/>
      </colorScale>
    </cfRule>
  </conditionalFormatting>
  <conditionalFormatting sqref="FT8">
    <cfRule type="colorScale" priority="1095">
      <colorScale>
        <cfvo type="num" val="0"/>
        <cfvo type="num" val="0.5"/>
        <cfvo type="num" val="1"/>
        <color rgb="FFFF0000"/>
        <color rgb="FFFFC000"/>
        <color rgb="FF92D050"/>
      </colorScale>
    </cfRule>
  </conditionalFormatting>
  <conditionalFormatting sqref="FV8">
    <cfRule type="cellIs" dxfId="183" priority="1093" operator="equal">
      <formula>0</formula>
    </cfRule>
    <cfRule type="colorScale" priority="1094">
      <colorScale>
        <cfvo type="min"/>
        <cfvo type="percentile" val="50"/>
        <cfvo type="max"/>
        <color rgb="FF92D050"/>
        <color rgb="FFFFC000"/>
        <color rgb="FFFF0000"/>
      </colorScale>
    </cfRule>
  </conditionalFormatting>
  <conditionalFormatting sqref="FY8">
    <cfRule type="colorScale" priority="1092">
      <colorScale>
        <cfvo type="num" val="0"/>
        <cfvo type="num" val="0.5"/>
        <cfvo type="num" val="1"/>
        <color rgb="FFFF0000"/>
        <color rgb="FFFFC000"/>
        <color rgb="FF92D050"/>
      </colorScale>
    </cfRule>
  </conditionalFormatting>
  <conditionalFormatting sqref="GB8">
    <cfRule type="colorScale" priority="1091">
      <colorScale>
        <cfvo type="num" val="0"/>
        <cfvo type="num" val="0.5"/>
        <cfvo type="num" val="1"/>
        <color rgb="FFFF0000"/>
        <color rgb="FFFFC000"/>
        <color rgb="FF92D050"/>
      </colorScale>
    </cfRule>
  </conditionalFormatting>
  <conditionalFormatting sqref="GE8">
    <cfRule type="colorScale" priority="1090">
      <colorScale>
        <cfvo type="num" val="0"/>
        <cfvo type="num" val="0.5"/>
        <cfvo type="num" val="1"/>
        <color rgb="FFFF0000"/>
        <color rgb="FFFFC000"/>
        <color rgb="FF92D050"/>
      </colorScale>
    </cfRule>
  </conditionalFormatting>
  <conditionalFormatting sqref="GH8">
    <cfRule type="colorScale" priority="1089">
      <colorScale>
        <cfvo type="num" val="0"/>
        <cfvo type="num" val="0.5"/>
        <cfvo type="num" val="1"/>
        <color rgb="FFFF0000"/>
        <color rgb="FFFFC000"/>
        <color rgb="FF92D050"/>
      </colorScale>
    </cfRule>
  </conditionalFormatting>
  <conditionalFormatting sqref="GK8">
    <cfRule type="colorScale" priority="1088">
      <colorScale>
        <cfvo type="num" val="0"/>
        <cfvo type="num" val="0.5"/>
        <cfvo type="num" val="1"/>
        <color rgb="FFFF0000"/>
        <color rgb="FFFFC000"/>
        <color rgb="FF92D050"/>
      </colorScale>
    </cfRule>
  </conditionalFormatting>
  <conditionalFormatting sqref="GM8">
    <cfRule type="cellIs" dxfId="182" priority="1086" operator="equal">
      <formula>0</formula>
    </cfRule>
    <cfRule type="colorScale" priority="1087">
      <colorScale>
        <cfvo type="min"/>
        <cfvo type="percentile" val="50"/>
        <cfvo type="max"/>
        <color rgb="FF92D050"/>
        <color rgb="FFFFC000"/>
        <color rgb="FFFF0000"/>
      </colorScale>
    </cfRule>
  </conditionalFormatting>
  <conditionalFormatting sqref="FD8">
    <cfRule type="colorScale" priority="1080">
      <colorScale>
        <cfvo type="min"/>
        <cfvo type="percentile" val="50"/>
        <cfvo type="max"/>
        <color rgb="FF92D050"/>
        <color rgb="FFFFC000"/>
        <color rgb="FFFF0000"/>
      </colorScale>
    </cfRule>
  </conditionalFormatting>
  <conditionalFormatting sqref="FU8">
    <cfRule type="colorScale" priority="1079">
      <colorScale>
        <cfvo type="num" val="0"/>
        <cfvo type="num" val="0.5"/>
        <cfvo type="num" val="1"/>
        <color rgb="FFFF0000"/>
        <color rgb="FFFFC000"/>
        <color rgb="FF92D050"/>
      </colorScale>
    </cfRule>
  </conditionalFormatting>
  <conditionalFormatting sqref="FU8">
    <cfRule type="colorScale" priority="1078">
      <colorScale>
        <cfvo type="min"/>
        <cfvo type="percentile" val="50"/>
        <cfvo type="max"/>
        <color rgb="FF92D050"/>
        <color rgb="FFFFC000"/>
        <color rgb="FFFF0000"/>
      </colorScale>
    </cfRule>
  </conditionalFormatting>
  <conditionalFormatting sqref="GP8">
    <cfRule type="colorScale" priority="1077">
      <colorScale>
        <cfvo type="num" val="0"/>
        <cfvo type="num" val="0.5"/>
        <cfvo type="num" val="1"/>
        <color rgb="FFFF0000"/>
        <color rgb="FFFFC000"/>
        <color rgb="FF92D050"/>
      </colorScale>
    </cfRule>
  </conditionalFormatting>
  <conditionalFormatting sqref="GS8">
    <cfRule type="colorScale" priority="1076">
      <colorScale>
        <cfvo type="num" val="0"/>
        <cfvo type="num" val="0.5"/>
        <cfvo type="num" val="1"/>
        <color rgb="FFFF0000"/>
        <color rgb="FFFFC000"/>
        <color rgb="FF92D050"/>
      </colorScale>
    </cfRule>
  </conditionalFormatting>
  <conditionalFormatting sqref="GV8">
    <cfRule type="colorScale" priority="1075">
      <colorScale>
        <cfvo type="num" val="0"/>
        <cfvo type="num" val="0.5"/>
        <cfvo type="num" val="1"/>
        <color rgb="FFFF0000"/>
        <color rgb="FFFFC000"/>
        <color rgb="FF92D050"/>
      </colorScale>
    </cfRule>
  </conditionalFormatting>
  <conditionalFormatting sqref="GY8">
    <cfRule type="colorScale" priority="1074">
      <colorScale>
        <cfvo type="num" val="0"/>
        <cfvo type="num" val="0.5"/>
        <cfvo type="num" val="1"/>
        <color rgb="FFFF0000"/>
        <color rgb="FFFFC000"/>
        <color rgb="FF92D050"/>
      </colorScale>
    </cfRule>
  </conditionalFormatting>
  <conditionalFormatting sqref="HB8">
    <cfRule type="colorScale" priority="1073">
      <colorScale>
        <cfvo type="num" val="0"/>
        <cfvo type="num" val="0.5"/>
        <cfvo type="num" val="1"/>
        <color rgb="FFFF0000"/>
        <color rgb="FFFFC000"/>
        <color rgb="FF92D050"/>
      </colorScale>
    </cfRule>
  </conditionalFormatting>
  <conditionalFormatting sqref="HD8">
    <cfRule type="cellIs" dxfId="181" priority="1071" operator="equal">
      <formula>0</formula>
    </cfRule>
    <cfRule type="colorScale" priority="1072">
      <colorScale>
        <cfvo type="min"/>
        <cfvo type="percentile" val="50"/>
        <cfvo type="max"/>
        <color rgb="FF92D050"/>
        <color rgb="FFFFC000"/>
        <color rgb="FFFF0000"/>
      </colorScale>
    </cfRule>
  </conditionalFormatting>
  <conditionalFormatting sqref="HG8">
    <cfRule type="colorScale" priority="1070">
      <colorScale>
        <cfvo type="num" val="0"/>
        <cfvo type="num" val="0.5"/>
        <cfvo type="num" val="1"/>
        <color rgb="FFFF0000"/>
        <color rgb="FFFFC000"/>
        <color rgb="FF92D050"/>
      </colorScale>
    </cfRule>
  </conditionalFormatting>
  <conditionalFormatting sqref="HJ8">
    <cfRule type="colorScale" priority="1069">
      <colorScale>
        <cfvo type="num" val="0"/>
        <cfvo type="num" val="0.5"/>
        <cfvo type="num" val="1"/>
        <color rgb="FFFF0000"/>
        <color rgb="FFFFC000"/>
        <color rgb="FF92D050"/>
      </colorScale>
    </cfRule>
  </conditionalFormatting>
  <conditionalFormatting sqref="HM8">
    <cfRule type="colorScale" priority="1068">
      <colorScale>
        <cfvo type="num" val="0"/>
        <cfvo type="num" val="0.5"/>
        <cfvo type="num" val="1"/>
        <color rgb="FFFF0000"/>
        <color rgb="FFFFC000"/>
        <color rgb="FF92D050"/>
      </colorScale>
    </cfRule>
  </conditionalFormatting>
  <conditionalFormatting sqref="HP8">
    <cfRule type="colorScale" priority="1067">
      <colorScale>
        <cfvo type="num" val="0"/>
        <cfvo type="num" val="0.5"/>
        <cfvo type="num" val="1"/>
        <color rgb="FFFF0000"/>
        <color rgb="FFFFC000"/>
        <color rgb="FF92D050"/>
      </colorScale>
    </cfRule>
  </conditionalFormatting>
  <conditionalFormatting sqref="HS8">
    <cfRule type="colorScale" priority="1066">
      <colorScale>
        <cfvo type="num" val="0"/>
        <cfvo type="num" val="0.5"/>
        <cfvo type="num" val="1"/>
        <color rgb="FFFF0000"/>
        <color rgb="FFFFC000"/>
        <color rgb="FF92D050"/>
      </colorScale>
    </cfRule>
  </conditionalFormatting>
  <conditionalFormatting sqref="HU8">
    <cfRule type="cellIs" dxfId="180" priority="1064" operator="equal">
      <formula>0</formula>
    </cfRule>
    <cfRule type="colorScale" priority="1065">
      <colorScale>
        <cfvo type="min"/>
        <cfvo type="percentile" val="50"/>
        <cfvo type="max"/>
        <color rgb="FF92D050"/>
        <color rgb="FFFFC000"/>
        <color rgb="FFFF0000"/>
      </colorScale>
    </cfRule>
  </conditionalFormatting>
  <conditionalFormatting sqref="HX8">
    <cfRule type="colorScale" priority="1063">
      <colorScale>
        <cfvo type="num" val="0"/>
        <cfvo type="num" val="0.5"/>
        <cfvo type="num" val="1"/>
        <color rgb="FFFF0000"/>
        <color rgb="FFFFC000"/>
        <color rgb="FF92D050"/>
      </colorScale>
    </cfRule>
  </conditionalFormatting>
  <conditionalFormatting sqref="IA8">
    <cfRule type="colorScale" priority="1062">
      <colorScale>
        <cfvo type="num" val="0"/>
        <cfvo type="num" val="0.5"/>
        <cfvo type="num" val="1"/>
        <color rgb="FFFF0000"/>
        <color rgb="FFFFC000"/>
        <color rgb="FF92D050"/>
      </colorScale>
    </cfRule>
  </conditionalFormatting>
  <conditionalFormatting sqref="ID8">
    <cfRule type="colorScale" priority="1061">
      <colorScale>
        <cfvo type="num" val="0"/>
        <cfvo type="num" val="0.5"/>
        <cfvo type="num" val="1"/>
        <color rgb="FFFF0000"/>
        <color rgb="FFFFC000"/>
        <color rgb="FF92D050"/>
      </colorScale>
    </cfRule>
  </conditionalFormatting>
  <conditionalFormatting sqref="IG8">
    <cfRule type="colorScale" priority="1060">
      <colorScale>
        <cfvo type="num" val="0"/>
        <cfvo type="num" val="0.5"/>
        <cfvo type="num" val="1"/>
        <color rgb="FFFF0000"/>
        <color rgb="FFFFC000"/>
        <color rgb="FF92D050"/>
      </colorScale>
    </cfRule>
  </conditionalFormatting>
  <conditionalFormatting sqref="IJ8">
    <cfRule type="colorScale" priority="1059">
      <colorScale>
        <cfvo type="num" val="0"/>
        <cfvo type="num" val="0.5"/>
        <cfvo type="num" val="1"/>
        <color rgb="FFFF0000"/>
        <color rgb="FFFFC000"/>
        <color rgb="FF92D050"/>
      </colorScale>
    </cfRule>
  </conditionalFormatting>
  <conditionalFormatting sqref="IL8">
    <cfRule type="cellIs" dxfId="179" priority="1057" operator="equal">
      <formula>0</formula>
    </cfRule>
    <cfRule type="colorScale" priority="1058">
      <colorScale>
        <cfvo type="min"/>
        <cfvo type="percentile" val="50"/>
        <cfvo type="max"/>
        <color rgb="FF92D050"/>
        <color rgb="FFFFC000"/>
        <color rgb="FFFF0000"/>
      </colorScale>
    </cfRule>
  </conditionalFormatting>
  <conditionalFormatting sqref="IK8">
    <cfRule type="colorScale" priority="1056">
      <colorScale>
        <cfvo type="num" val="0"/>
        <cfvo type="num" val="0.5"/>
        <cfvo type="num" val="1"/>
        <color rgb="FFFF0000"/>
        <color rgb="FFFFC000"/>
        <color rgb="FF92D050"/>
      </colorScale>
    </cfRule>
  </conditionalFormatting>
  <conditionalFormatting sqref="IK8">
    <cfRule type="colorScale" priority="1055">
      <colorScale>
        <cfvo type="min"/>
        <cfvo type="percentile" val="50"/>
        <cfvo type="max"/>
        <color rgb="FF92D050"/>
        <color rgb="FFFFC000"/>
        <color rgb="FFFF0000"/>
      </colorScale>
    </cfRule>
  </conditionalFormatting>
  <conditionalFormatting sqref="HT8">
    <cfRule type="colorScale" priority="1054">
      <colorScale>
        <cfvo type="num" val="0"/>
        <cfvo type="num" val="0.5"/>
        <cfvo type="num" val="1"/>
        <color rgb="FFFF0000"/>
        <color rgb="FFFFC000"/>
        <color rgb="FF92D050"/>
      </colorScale>
    </cfRule>
  </conditionalFormatting>
  <conditionalFormatting sqref="HT8">
    <cfRule type="colorScale" priority="1053">
      <colorScale>
        <cfvo type="min"/>
        <cfvo type="percentile" val="50"/>
        <cfvo type="max"/>
        <color rgb="FF92D050"/>
        <color rgb="FFFFC000"/>
        <color rgb="FFFF0000"/>
      </colorScale>
    </cfRule>
  </conditionalFormatting>
  <conditionalFormatting sqref="IO8">
    <cfRule type="colorScale" priority="1052">
      <colorScale>
        <cfvo type="num" val="0"/>
        <cfvo type="num" val="0.5"/>
        <cfvo type="num" val="1"/>
        <color rgb="FFFF0000"/>
        <color rgb="FFFFC000"/>
        <color rgb="FF92D050"/>
      </colorScale>
    </cfRule>
  </conditionalFormatting>
  <conditionalFormatting sqref="IR8">
    <cfRule type="colorScale" priority="1051">
      <colorScale>
        <cfvo type="num" val="0"/>
        <cfvo type="num" val="0.5"/>
        <cfvo type="num" val="1"/>
        <color rgb="FFFF0000"/>
        <color rgb="FFFFC000"/>
        <color rgb="FF92D050"/>
      </colorScale>
    </cfRule>
  </conditionalFormatting>
  <conditionalFormatting sqref="IU8">
    <cfRule type="colorScale" priority="1050">
      <colorScale>
        <cfvo type="num" val="0"/>
        <cfvo type="num" val="0.5"/>
        <cfvo type="num" val="1"/>
        <color rgb="FFFF0000"/>
        <color rgb="FFFFC000"/>
        <color rgb="FF92D050"/>
      </colorScale>
    </cfRule>
  </conditionalFormatting>
  <conditionalFormatting sqref="IX8">
    <cfRule type="colorScale" priority="1049">
      <colorScale>
        <cfvo type="num" val="0"/>
        <cfvo type="num" val="0.5"/>
        <cfvo type="num" val="1"/>
        <color rgb="FFFF0000"/>
        <color rgb="FFFFC000"/>
        <color rgb="FF92D050"/>
      </colorScale>
    </cfRule>
  </conditionalFormatting>
  <conditionalFormatting sqref="JA8">
    <cfRule type="colorScale" priority="1048">
      <colorScale>
        <cfvo type="num" val="0"/>
        <cfvo type="num" val="0.5"/>
        <cfvo type="num" val="1"/>
        <color rgb="FFFF0000"/>
        <color rgb="FFFFC000"/>
        <color rgb="FF92D050"/>
      </colorScale>
    </cfRule>
  </conditionalFormatting>
  <conditionalFormatting sqref="JC8">
    <cfRule type="cellIs" dxfId="178" priority="1046" operator="equal">
      <formula>0</formula>
    </cfRule>
    <cfRule type="colorScale" priority="1047">
      <colorScale>
        <cfvo type="min"/>
        <cfvo type="percentile" val="50"/>
        <cfvo type="max"/>
        <color rgb="FF92D050"/>
        <color rgb="FFFFC000"/>
        <color rgb="FFFF0000"/>
      </colorScale>
    </cfRule>
  </conditionalFormatting>
  <conditionalFormatting sqref="JB8">
    <cfRule type="colorScale" priority="1045">
      <colorScale>
        <cfvo type="num" val="0"/>
        <cfvo type="num" val="0.5"/>
        <cfvo type="num" val="1"/>
        <color rgb="FFFF0000"/>
        <color rgb="FFFFC000"/>
        <color rgb="FF92D050"/>
      </colorScale>
    </cfRule>
  </conditionalFormatting>
  <conditionalFormatting sqref="JB8">
    <cfRule type="colorScale" priority="1044">
      <colorScale>
        <cfvo type="min"/>
        <cfvo type="percentile" val="50"/>
        <cfvo type="max"/>
        <color rgb="FF92D050"/>
        <color rgb="FFFFC000"/>
        <color rgb="FFFF0000"/>
      </colorScale>
    </cfRule>
  </conditionalFormatting>
  <conditionalFormatting sqref="JF8">
    <cfRule type="colorScale" priority="1043">
      <colorScale>
        <cfvo type="num" val="0"/>
        <cfvo type="num" val="0.5"/>
        <cfvo type="num" val="1"/>
        <color rgb="FFFF0000"/>
        <color rgb="FFFFC000"/>
        <color rgb="FF92D050"/>
      </colorScale>
    </cfRule>
  </conditionalFormatting>
  <conditionalFormatting sqref="JI8">
    <cfRule type="colorScale" priority="1042">
      <colorScale>
        <cfvo type="num" val="0"/>
        <cfvo type="num" val="0.5"/>
        <cfvo type="num" val="1"/>
        <color rgb="FFFF0000"/>
        <color rgb="FFFFC000"/>
        <color rgb="FF92D050"/>
      </colorScale>
    </cfRule>
  </conditionalFormatting>
  <conditionalFormatting sqref="JL8">
    <cfRule type="colorScale" priority="1041">
      <colorScale>
        <cfvo type="num" val="0"/>
        <cfvo type="num" val="0.5"/>
        <cfvo type="num" val="1"/>
        <color rgb="FFFF0000"/>
        <color rgb="FFFFC000"/>
        <color rgb="FF92D050"/>
      </colorScale>
    </cfRule>
  </conditionalFormatting>
  <conditionalFormatting sqref="JO8">
    <cfRule type="colorScale" priority="1040">
      <colorScale>
        <cfvo type="num" val="0"/>
        <cfvo type="num" val="0.5"/>
        <cfvo type="num" val="1"/>
        <color rgb="FFFF0000"/>
        <color rgb="FFFFC000"/>
        <color rgb="FF92D050"/>
      </colorScale>
    </cfRule>
  </conditionalFormatting>
  <conditionalFormatting sqref="JR8">
    <cfRule type="colorScale" priority="1039">
      <colorScale>
        <cfvo type="num" val="0"/>
        <cfvo type="num" val="0.5"/>
        <cfvo type="num" val="1"/>
        <color rgb="FFFF0000"/>
        <color rgb="FFFFC000"/>
        <color rgb="FF92D050"/>
      </colorScale>
    </cfRule>
  </conditionalFormatting>
  <conditionalFormatting sqref="JT8">
    <cfRule type="cellIs" dxfId="177" priority="1037" operator="equal">
      <formula>0</formula>
    </cfRule>
    <cfRule type="colorScale" priority="1038">
      <colorScale>
        <cfvo type="min"/>
        <cfvo type="percentile" val="50"/>
        <cfvo type="max"/>
        <color rgb="FF92D050"/>
        <color rgb="FFFFC000"/>
        <color rgb="FFFF0000"/>
      </colorScale>
    </cfRule>
  </conditionalFormatting>
  <conditionalFormatting sqref="JS8">
    <cfRule type="colorScale" priority="1036">
      <colorScale>
        <cfvo type="num" val="0"/>
        <cfvo type="num" val="0.5"/>
        <cfvo type="num" val="1"/>
        <color rgb="FFFF0000"/>
        <color rgb="FFFFC000"/>
        <color rgb="FF92D050"/>
      </colorScale>
    </cfRule>
  </conditionalFormatting>
  <conditionalFormatting sqref="JS8">
    <cfRule type="colorScale" priority="1035">
      <colorScale>
        <cfvo type="min"/>
        <cfvo type="percentile" val="50"/>
        <cfvo type="max"/>
        <color rgb="FF92D050"/>
        <color rgb="FFFFC000"/>
        <color rgb="FFFF0000"/>
      </colorScale>
    </cfRule>
  </conditionalFormatting>
  <conditionalFormatting sqref="HC8">
    <cfRule type="colorScale" priority="1034">
      <colorScale>
        <cfvo type="num" val="0"/>
        <cfvo type="num" val="0.5"/>
        <cfvo type="num" val="1"/>
        <color rgb="FFFF0000"/>
        <color rgb="FFFFC000"/>
        <color rgb="FF92D050"/>
      </colorScale>
    </cfRule>
  </conditionalFormatting>
  <conditionalFormatting sqref="HC8">
    <cfRule type="colorScale" priority="1033">
      <colorScale>
        <cfvo type="min"/>
        <cfvo type="percentile" val="50"/>
        <cfvo type="max"/>
        <color rgb="FF92D050"/>
        <color rgb="FFFFC000"/>
        <color rgb="FFFF0000"/>
      </colorScale>
    </cfRule>
  </conditionalFormatting>
  <conditionalFormatting sqref="GL8">
    <cfRule type="colorScale" priority="1032">
      <colorScale>
        <cfvo type="num" val="0"/>
        <cfvo type="num" val="0.5"/>
        <cfvo type="num" val="1"/>
        <color rgb="FFFF0000"/>
        <color rgb="FFFFC000"/>
        <color rgb="FF92D050"/>
      </colorScale>
    </cfRule>
  </conditionalFormatting>
  <conditionalFormatting sqref="GL8">
    <cfRule type="colorScale" priority="1031">
      <colorScale>
        <cfvo type="min"/>
        <cfvo type="percentile" val="50"/>
        <cfvo type="max"/>
        <color rgb="FF92D050"/>
        <color rgb="FFFFC000"/>
        <color rgb="FFFF0000"/>
      </colorScale>
    </cfRule>
  </conditionalFormatting>
  <conditionalFormatting sqref="DV8">
    <cfRule type="colorScale" priority="1030">
      <colorScale>
        <cfvo type="num" val="0"/>
        <cfvo type="num" val="0.5"/>
        <cfvo type="num" val="1"/>
        <color rgb="FFFF0000"/>
        <color rgb="FFFFC000"/>
        <color rgb="FF92D050"/>
      </colorScale>
    </cfRule>
  </conditionalFormatting>
  <conditionalFormatting sqref="DV8">
    <cfRule type="colorScale" priority="1029">
      <colorScale>
        <cfvo type="min"/>
        <cfvo type="percentile" val="50"/>
        <cfvo type="max"/>
        <color rgb="FF92D050"/>
        <color rgb="FFFFC000"/>
        <color rgb="FFFF0000"/>
      </colorScale>
    </cfRule>
  </conditionalFormatting>
  <conditionalFormatting sqref="DE8">
    <cfRule type="colorScale" priority="1028">
      <colorScale>
        <cfvo type="num" val="0"/>
        <cfvo type="num" val="0.5"/>
        <cfvo type="num" val="1"/>
        <color rgb="FFFF0000"/>
        <color rgb="FFFFC000"/>
        <color rgb="FF92D050"/>
      </colorScale>
    </cfRule>
  </conditionalFormatting>
  <conditionalFormatting sqref="DE8">
    <cfRule type="colorScale" priority="1027">
      <colorScale>
        <cfvo type="min"/>
        <cfvo type="percentile" val="50"/>
        <cfvo type="max"/>
        <color rgb="FF92D050"/>
        <color rgb="FFFFC000"/>
        <color rgb="FFFF0000"/>
      </colorScale>
    </cfRule>
  </conditionalFormatting>
  <conditionalFormatting sqref="CN8">
    <cfRule type="colorScale" priority="1026">
      <colorScale>
        <cfvo type="num" val="0"/>
        <cfvo type="num" val="0.5"/>
        <cfvo type="num" val="1"/>
        <color rgb="FFFF0000"/>
        <color rgb="FFFFC000"/>
        <color rgb="FF92D050"/>
      </colorScale>
    </cfRule>
  </conditionalFormatting>
  <conditionalFormatting sqref="CN8">
    <cfRule type="colorScale" priority="1025">
      <colorScale>
        <cfvo type="min"/>
        <cfvo type="percentile" val="50"/>
        <cfvo type="max"/>
        <color rgb="FF92D050"/>
        <color rgb="FFFFC000"/>
        <color rgb="FFFF0000"/>
      </colorScale>
    </cfRule>
  </conditionalFormatting>
  <conditionalFormatting sqref="EM8">
    <cfRule type="colorScale" priority="1024">
      <colorScale>
        <cfvo type="num" val="0"/>
        <cfvo type="num" val="0.5"/>
        <cfvo type="num" val="1"/>
        <color rgb="FFFF0000"/>
        <color rgb="FFFFC000"/>
        <color rgb="FF92D050"/>
      </colorScale>
    </cfRule>
  </conditionalFormatting>
  <conditionalFormatting sqref="EM8">
    <cfRule type="colorScale" priority="1023">
      <colorScale>
        <cfvo type="min"/>
        <cfvo type="percentile" val="50"/>
        <cfvo type="max"/>
        <color rgb="FF92D050"/>
        <color rgb="FFFFC000"/>
        <color rgb="FFFF0000"/>
      </colorScale>
    </cfRule>
  </conditionalFormatting>
  <conditionalFormatting sqref="JW3:JW6 JW12">
    <cfRule type="colorScale" priority="886">
      <colorScale>
        <cfvo type="num" val="0"/>
        <cfvo type="num" val="0.5"/>
        <cfvo type="num" val="1"/>
        <color rgb="FFFF0000"/>
        <color rgb="FFFFC000"/>
        <color rgb="FF92D050"/>
      </colorScale>
    </cfRule>
  </conditionalFormatting>
  <conditionalFormatting sqref="JW13">
    <cfRule type="colorScale" priority="885">
      <colorScale>
        <cfvo type="num" val="0"/>
        <cfvo type="num" val="0.5"/>
        <cfvo type="num" val="1"/>
        <color rgb="FFFF0000"/>
        <color rgb="FFFFC000"/>
        <color rgb="FF92D050"/>
      </colorScale>
    </cfRule>
  </conditionalFormatting>
  <conditionalFormatting sqref="JZ3:JZ6 JZ12">
    <cfRule type="colorScale" priority="884">
      <colorScale>
        <cfvo type="num" val="0"/>
        <cfvo type="num" val="0.5"/>
        <cfvo type="num" val="1"/>
        <color rgb="FFFF0000"/>
        <color rgb="FFFFC000"/>
        <color rgb="FF92D050"/>
      </colorScale>
    </cfRule>
  </conditionalFormatting>
  <conditionalFormatting sqref="JZ13">
    <cfRule type="colorScale" priority="883">
      <colorScale>
        <cfvo type="num" val="0"/>
        <cfvo type="num" val="0.5"/>
        <cfvo type="num" val="1"/>
        <color rgb="FFFF0000"/>
        <color rgb="FFFFC000"/>
        <color rgb="FF92D050"/>
      </colorScale>
    </cfRule>
  </conditionalFormatting>
  <conditionalFormatting sqref="KC3:KC6 KC12">
    <cfRule type="colorScale" priority="882">
      <colorScale>
        <cfvo type="num" val="0"/>
        <cfvo type="num" val="0.5"/>
        <cfvo type="num" val="1"/>
        <color rgb="FFFF0000"/>
        <color rgb="FFFFC000"/>
        <color rgb="FF92D050"/>
      </colorScale>
    </cfRule>
  </conditionalFormatting>
  <conditionalFormatting sqref="KC13">
    <cfRule type="colorScale" priority="881">
      <colorScale>
        <cfvo type="num" val="0"/>
        <cfvo type="num" val="0.5"/>
        <cfvo type="num" val="1"/>
        <color rgb="FFFF0000"/>
        <color rgb="FFFFC000"/>
        <color rgb="FF92D050"/>
      </colorScale>
    </cfRule>
  </conditionalFormatting>
  <conditionalFormatting sqref="KF3:KF6 KF12">
    <cfRule type="colorScale" priority="880">
      <colorScale>
        <cfvo type="num" val="0"/>
        <cfvo type="num" val="0.5"/>
        <cfvo type="num" val="1"/>
        <color rgb="FFFF0000"/>
        <color rgb="FFFFC000"/>
        <color rgb="FF92D050"/>
      </colorScale>
    </cfRule>
  </conditionalFormatting>
  <conditionalFormatting sqref="KF13">
    <cfRule type="colorScale" priority="879">
      <colorScale>
        <cfvo type="num" val="0"/>
        <cfvo type="num" val="0.5"/>
        <cfvo type="num" val="1"/>
        <color rgb="FFFF0000"/>
        <color rgb="FFFFC000"/>
        <color rgb="FF92D050"/>
      </colorScale>
    </cfRule>
  </conditionalFormatting>
  <conditionalFormatting sqref="KI3:KI6 KI12">
    <cfRule type="colorScale" priority="878">
      <colorScale>
        <cfvo type="num" val="0"/>
        <cfvo type="num" val="0.5"/>
        <cfvo type="num" val="1"/>
        <color rgb="FFFF0000"/>
        <color rgb="FFFFC000"/>
        <color rgb="FF92D050"/>
      </colorScale>
    </cfRule>
  </conditionalFormatting>
  <conditionalFormatting sqref="KI13">
    <cfRule type="colorScale" priority="877">
      <colorScale>
        <cfvo type="num" val="0"/>
        <cfvo type="num" val="0.5"/>
        <cfvo type="num" val="1"/>
        <color rgb="FFFF0000"/>
        <color rgb="FFFFC000"/>
        <color rgb="FF92D050"/>
      </colorScale>
    </cfRule>
  </conditionalFormatting>
  <conditionalFormatting sqref="KK12">
    <cfRule type="colorScale" priority="876">
      <colorScale>
        <cfvo type="num" val="0"/>
        <cfvo type="num" val="0.5"/>
        <cfvo type="num" val="1"/>
        <color rgb="FFFF0000"/>
        <color rgb="FFFFC000"/>
        <color rgb="FF92D050"/>
      </colorScale>
    </cfRule>
  </conditionalFormatting>
  <conditionalFormatting sqref="KK3:KK6 KK12">
    <cfRule type="cellIs" dxfId="176" priority="874" operator="equal">
      <formula>0</formula>
    </cfRule>
    <cfRule type="colorScale" priority="875">
      <colorScale>
        <cfvo type="min"/>
        <cfvo type="percentile" val="50"/>
        <cfvo type="max"/>
        <color rgb="FF92D050"/>
        <color rgb="FFFFC000"/>
        <color rgb="FFFF0000"/>
      </colorScale>
    </cfRule>
  </conditionalFormatting>
  <conditionalFormatting sqref="KJ3:KJ6 KJ12">
    <cfRule type="colorScale" priority="873">
      <colorScale>
        <cfvo type="num" val="0"/>
        <cfvo type="num" val="0.5"/>
        <cfvo type="num" val="1"/>
        <color rgb="FFFF0000"/>
        <color rgb="FFFFC000"/>
        <color rgb="FF92D050"/>
      </colorScale>
    </cfRule>
  </conditionalFormatting>
  <conditionalFormatting sqref="KJ3:KJ6 KJ12">
    <cfRule type="colorScale" priority="872">
      <colorScale>
        <cfvo type="min"/>
        <cfvo type="percentile" val="50"/>
        <cfvo type="max"/>
        <color rgb="FF92D050"/>
        <color rgb="FFFFC000"/>
        <color rgb="FFFF0000"/>
      </colorScale>
    </cfRule>
  </conditionalFormatting>
  <conditionalFormatting sqref="JW8">
    <cfRule type="colorScale" priority="871">
      <colorScale>
        <cfvo type="num" val="0"/>
        <cfvo type="num" val="0.5"/>
        <cfvo type="num" val="1"/>
        <color rgb="FFFF0000"/>
        <color rgb="FFFFC000"/>
        <color rgb="FF92D050"/>
      </colorScale>
    </cfRule>
  </conditionalFormatting>
  <conditionalFormatting sqref="JZ8">
    <cfRule type="colorScale" priority="870">
      <colorScale>
        <cfvo type="num" val="0"/>
        <cfvo type="num" val="0.5"/>
        <cfvo type="num" val="1"/>
        <color rgb="FFFF0000"/>
        <color rgb="FFFFC000"/>
        <color rgb="FF92D050"/>
      </colorScale>
    </cfRule>
  </conditionalFormatting>
  <conditionalFormatting sqref="KC8">
    <cfRule type="colorScale" priority="869">
      <colorScale>
        <cfvo type="num" val="0"/>
        <cfvo type="num" val="0.5"/>
        <cfvo type="num" val="1"/>
        <color rgb="FFFF0000"/>
        <color rgb="FFFFC000"/>
        <color rgb="FF92D050"/>
      </colorScale>
    </cfRule>
  </conditionalFormatting>
  <conditionalFormatting sqref="KF8">
    <cfRule type="colorScale" priority="868">
      <colorScale>
        <cfvo type="num" val="0"/>
        <cfvo type="num" val="0.5"/>
        <cfvo type="num" val="1"/>
        <color rgb="FFFF0000"/>
        <color rgb="FFFFC000"/>
        <color rgb="FF92D050"/>
      </colorScale>
    </cfRule>
  </conditionalFormatting>
  <conditionalFormatting sqref="KI8">
    <cfRule type="colorScale" priority="867">
      <colorScale>
        <cfvo type="num" val="0"/>
        <cfvo type="num" val="0.5"/>
        <cfvo type="num" val="1"/>
        <color rgb="FFFF0000"/>
        <color rgb="FFFFC000"/>
        <color rgb="FF92D050"/>
      </colorScale>
    </cfRule>
  </conditionalFormatting>
  <conditionalFormatting sqref="KK8">
    <cfRule type="cellIs" dxfId="175" priority="865" operator="equal">
      <formula>0</formula>
    </cfRule>
    <cfRule type="colorScale" priority="866">
      <colorScale>
        <cfvo type="min"/>
        <cfvo type="percentile" val="50"/>
        <cfvo type="max"/>
        <color rgb="FF92D050"/>
        <color rgb="FFFFC000"/>
        <color rgb="FFFF0000"/>
      </colorScale>
    </cfRule>
  </conditionalFormatting>
  <conditionalFormatting sqref="KJ8">
    <cfRule type="colorScale" priority="864">
      <colorScale>
        <cfvo type="num" val="0"/>
        <cfvo type="num" val="0.5"/>
        <cfvo type="num" val="1"/>
        <color rgb="FFFF0000"/>
        <color rgb="FFFFC000"/>
        <color rgb="FF92D050"/>
      </colorScale>
    </cfRule>
  </conditionalFormatting>
  <conditionalFormatting sqref="KJ8">
    <cfRule type="colorScale" priority="863">
      <colorScale>
        <cfvo type="min"/>
        <cfvo type="percentile" val="50"/>
        <cfvo type="max"/>
        <color rgb="FF92D050"/>
        <color rgb="FFFFC000"/>
        <color rgb="FFFF0000"/>
      </colorScale>
    </cfRule>
  </conditionalFormatting>
  <conditionalFormatting sqref="KN3:KN6 KN12">
    <cfRule type="colorScale" priority="853">
      <colorScale>
        <cfvo type="num" val="0"/>
        <cfvo type="num" val="0.5"/>
        <cfvo type="num" val="1"/>
        <color rgb="FFFF0000"/>
        <color rgb="FFFFC000"/>
        <color rgb="FF92D050"/>
      </colorScale>
    </cfRule>
  </conditionalFormatting>
  <conditionalFormatting sqref="KN13">
    <cfRule type="colorScale" priority="852">
      <colorScale>
        <cfvo type="num" val="0"/>
        <cfvo type="num" val="0.5"/>
        <cfvo type="num" val="1"/>
        <color rgb="FFFF0000"/>
        <color rgb="FFFFC000"/>
        <color rgb="FF92D050"/>
      </colorScale>
    </cfRule>
  </conditionalFormatting>
  <conditionalFormatting sqref="KQ3:KQ6 KQ12">
    <cfRule type="colorScale" priority="851">
      <colorScale>
        <cfvo type="num" val="0"/>
        <cfvo type="num" val="0.5"/>
        <cfvo type="num" val="1"/>
        <color rgb="FFFF0000"/>
        <color rgb="FFFFC000"/>
        <color rgb="FF92D050"/>
      </colorScale>
    </cfRule>
  </conditionalFormatting>
  <conditionalFormatting sqref="KQ13">
    <cfRule type="colorScale" priority="850">
      <colorScale>
        <cfvo type="num" val="0"/>
        <cfvo type="num" val="0.5"/>
        <cfvo type="num" val="1"/>
        <color rgb="FFFF0000"/>
        <color rgb="FFFFC000"/>
        <color rgb="FF92D050"/>
      </colorScale>
    </cfRule>
  </conditionalFormatting>
  <conditionalFormatting sqref="KT3:KT6 KT12">
    <cfRule type="colorScale" priority="849">
      <colorScale>
        <cfvo type="num" val="0"/>
        <cfvo type="num" val="0.5"/>
        <cfvo type="num" val="1"/>
        <color rgb="FFFF0000"/>
        <color rgb="FFFFC000"/>
        <color rgb="FF92D050"/>
      </colorScale>
    </cfRule>
  </conditionalFormatting>
  <conditionalFormatting sqref="KT13">
    <cfRule type="colorScale" priority="848">
      <colorScale>
        <cfvo type="num" val="0"/>
        <cfvo type="num" val="0.5"/>
        <cfvo type="num" val="1"/>
        <color rgb="FFFF0000"/>
        <color rgb="FFFFC000"/>
        <color rgb="FF92D050"/>
      </colorScale>
    </cfRule>
  </conditionalFormatting>
  <conditionalFormatting sqref="KW3:KW6 KW12">
    <cfRule type="colorScale" priority="847">
      <colorScale>
        <cfvo type="num" val="0"/>
        <cfvo type="num" val="0.5"/>
        <cfvo type="num" val="1"/>
        <color rgb="FFFF0000"/>
        <color rgb="FFFFC000"/>
        <color rgb="FF92D050"/>
      </colorScale>
    </cfRule>
  </conditionalFormatting>
  <conditionalFormatting sqref="KW13">
    <cfRule type="colorScale" priority="846">
      <colorScale>
        <cfvo type="num" val="0"/>
        <cfvo type="num" val="0.5"/>
        <cfvo type="num" val="1"/>
        <color rgb="FFFF0000"/>
        <color rgb="FFFFC000"/>
        <color rgb="FF92D050"/>
      </colorScale>
    </cfRule>
  </conditionalFormatting>
  <conditionalFormatting sqref="KZ3:KZ6 KZ12">
    <cfRule type="colorScale" priority="845">
      <colorScale>
        <cfvo type="num" val="0"/>
        <cfvo type="num" val="0.5"/>
        <cfvo type="num" val="1"/>
        <color rgb="FFFF0000"/>
        <color rgb="FFFFC000"/>
        <color rgb="FF92D050"/>
      </colorScale>
    </cfRule>
  </conditionalFormatting>
  <conditionalFormatting sqref="KZ13">
    <cfRule type="colorScale" priority="844">
      <colorScale>
        <cfvo type="num" val="0"/>
        <cfvo type="num" val="0.5"/>
        <cfvo type="num" val="1"/>
        <color rgb="FFFF0000"/>
        <color rgb="FFFFC000"/>
        <color rgb="FF92D050"/>
      </colorScale>
    </cfRule>
  </conditionalFormatting>
  <conditionalFormatting sqref="LB12">
    <cfRule type="colorScale" priority="843">
      <colorScale>
        <cfvo type="num" val="0"/>
        <cfvo type="num" val="0.5"/>
        <cfvo type="num" val="1"/>
        <color rgb="FFFF0000"/>
        <color rgb="FFFFC000"/>
        <color rgb="FF92D050"/>
      </colorScale>
    </cfRule>
  </conditionalFormatting>
  <conditionalFormatting sqref="LB3:LB6 LB12">
    <cfRule type="cellIs" dxfId="174" priority="841" operator="equal">
      <formula>0</formula>
    </cfRule>
    <cfRule type="colorScale" priority="842">
      <colorScale>
        <cfvo type="min"/>
        <cfvo type="percentile" val="50"/>
        <cfvo type="max"/>
        <color rgb="FF92D050"/>
        <color rgb="FFFFC000"/>
        <color rgb="FFFF0000"/>
      </colorScale>
    </cfRule>
  </conditionalFormatting>
  <conditionalFormatting sqref="LA3:LA6 LA12">
    <cfRule type="colorScale" priority="840">
      <colorScale>
        <cfvo type="num" val="0"/>
        <cfvo type="num" val="0.5"/>
        <cfvo type="num" val="1"/>
        <color rgb="FFFF0000"/>
        <color rgb="FFFFC000"/>
        <color rgb="FF92D050"/>
      </colorScale>
    </cfRule>
  </conditionalFormatting>
  <conditionalFormatting sqref="LA3:LA6 LA12">
    <cfRule type="colorScale" priority="839">
      <colorScale>
        <cfvo type="min"/>
        <cfvo type="percentile" val="50"/>
        <cfvo type="max"/>
        <color rgb="FF92D050"/>
        <color rgb="FFFFC000"/>
        <color rgb="FFFF0000"/>
      </colorScale>
    </cfRule>
  </conditionalFormatting>
  <conditionalFormatting sqref="KN8">
    <cfRule type="colorScale" priority="838">
      <colorScale>
        <cfvo type="num" val="0"/>
        <cfvo type="num" val="0.5"/>
        <cfvo type="num" val="1"/>
        <color rgb="FFFF0000"/>
        <color rgb="FFFFC000"/>
        <color rgb="FF92D050"/>
      </colorScale>
    </cfRule>
  </conditionalFormatting>
  <conditionalFormatting sqref="KQ8">
    <cfRule type="colorScale" priority="837">
      <colorScale>
        <cfvo type="num" val="0"/>
        <cfvo type="num" val="0.5"/>
        <cfvo type="num" val="1"/>
        <color rgb="FFFF0000"/>
        <color rgb="FFFFC000"/>
        <color rgb="FF92D050"/>
      </colorScale>
    </cfRule>
  </conditionalFormatting>
  <conditionalFormatting sqref="KT8">
    <cfRule type="colorScale" priority="836">
      <colorScale>
        <cfvo type="num" val="0"/>
        <cfvo type="num" val="0.5"/>
        <cfvo type="num" val="1"/>
        <color rgb="FFFF0000"/>
        <color rgb="FFFFC000"/>
        <color rgb="FF92D050"/>
      </colorScale>
    </cfRule>
  </conditionalFormatting>
  <conditionalFormatting sqref="KW8">
    <cfRule type="colorScale" priority="835">
      <colorScale>
        <cfvo type="num" val="0"/>
        <cfvo type="num" val="0.5"/>
        <cfvo type="num" val="1"/>
        <color rgb="FFFF0000"/>
        <color rgb="FFFFC000"/>
        <color rgb="FF92D050"/>
      </colorScale>
    </cfRule>
  </conditionalFormatting>
  <conditionalFormatting sqref="KZ8">
    <cfRule type="colorScale" priority="834">
      <colorScale>
        <cfvo type="num" val="0"/>
        <cfvo type="num" val="0.5"/>
        <cfvo type="num" val="1"/>
        <color rgb="FFFF0000"/>
        <color rgb="FFFFC000"/>
        <color rgb="FF92D050"/>
      </colorScale>
    </cfRule>
  </conditionalFormatting>
  <conditionalFormatting sqref="LB8">
    <cfRule type="cellIs" dxfId="173" priority="832" operator="equal">
      <formula>0</formula>
    </cfRule>
    <cfRule type="colorScale" priority="833">
      <colorScale>
        <cfvo type="min"/>
        <cfvo type="percentile" val="50"/>
        <cfvo type="max"/>
        <color rgb="FF92D050"/>
        <color rgb="FFFFC000"/>
        <color rgb="FFFF0000"/>
      </colorScale>
    </cfRule>
  </conditionalFormatting>
  <conditionalFormatting sqref="LA8">
    <cfRule type="colorScale" priority="831">
      <colorScale>
        <cfvo type="num" val="0"/>
        <cfvo type="num" val="0.5"/>
        <cfvo type="num" val="1"/>
        <color rgb="FFFF0000"/>
        <color rgb="FFFFC000"/>
        <color rgb="FF92D050"/>
      </colorScale>
    </cfRule>
  </conditionalFormatting>
  <conditionalFormatting sqref="LA8">
    <cfRule type="colorScale" priority="830">
      <colorScale>
        <cfvo type="min"/>
        <cfvo type="percentile" val="50"/>
        <cfvo type="max"/>
        <color rgb="FF92D050"/>
        <color rgb="FFFFC000"/>
        <color rgb="FFFF0000"/>
      </colorScale>
    </cfRule>
  </conditionalFormatting>
  <conditionalFormatting sqref="LE3:LE6 LE12">
    <cfRule type="colorScale" priority="820">
      <colorScale>
        <cfvo type="num" val="0"/>
        <cfvo type="num" val="0.5"/>
        <cfvo type="num" val="1"/>
        <color rgb="FFFF0000"/>
        <color rgb="FFFFC000"/>
        <color rgb="FF92D050"/>
      </colorScale>
    </cfRule>
  </conditionalFormatting>
  <conditionalFormatting sqref="LE13">
    <cfRule type="colorScale" priority="819">
      <colorScale>
        <cfvo type="num" val="0"/>
        <cfvo type="num" val="0.5"/>
        <cfvo type="num" val="1"/>
        <color rgb="FFFF0000"/>
        <color rgb="FFFFC000"/>
        <color rgb="FF92D050"/>
      </colorScale>
    </cfRule>
  </conditionalFormatting>
  <conditionalFormatting sqref="LH3:LH6 LH12">
    <cfRule type="colorScale" priority="818">
      <colorScale>
        <cfvo type="num" val="0"/>
        <cfvo type="num" val="0.5"/>
        <cfvo type="num" val="1"/>
        <color rgb="FFFF0000"/>
        <color rgb="FFFFC000"/>
        <color rgb="FF92D050"/>
      </colorScale>
    </cfRule>
  </conditionalFormatting>
  <conditionalFormatting sqref="LH13">
    <cfRule type="colorScale" priority="817">
      <colorScale>
        <cfvo type="num" val="0"/>
        <cfvo type="num" val="0.5"/>
        <cfvo type="num" val="1"/>
        <color rgb="FFFF0000"/>
        <color rgb="FFFFC000"/>
        <color rgb="FF92D050"/>
      </colorScale>
    </cfRule>
  </conditionalFormatting>
  <conditionalFormatting sqref="LK3:LK6 LK12">
    <cfRule type="colorScale" priority="816">
      <colorScale>
        <cfvo type="num" val="0"/>
        <cfvo type="num" val="0.5"/>
        <cfvo type="num" val="1"/>
        <color rgb="FFFF0000"/>
        <color rgb="FFFFC000"/>
        <color rgb="FF92D050"/>
      </colorScale>
    </cfRule>
  </conditionalFormatting>
  <conditionalFormatting sqref="LK13">
    <cfRule type="colorScale" priority="815">
      <colorScale>
        <cfvo type="num" val="0"/>
        <cfvo type="num" val="0.5"/>
        <cfvo type="num" val="1"/>
        <color rgb="FFFF0000"/>
        <color rgb="FFFFC000"/>
        <color rgb="FF92D050"/>
      </colorScale>
    </cfRule>
  </conditionalFormatting>
  <conditionalFormatting sqref="LN3:LN6 LN12">
    <cfRule type="colorScale" priority="814">
      <colorScale>
        <cfvo type="num" val="0"/>
        <cfvo type="num" val="0.5"/>
        <cfvo type="num" val="1"/>
        <color rgb="FFFF0000"/>
        <color rgb="FFFFC000"/>
        <color rgb="FF92D050"/>
      </colorScale>
    </cfRule>
  </conditionalFormatting>
  <conditionalFormatting sqref="LN13">
    <cfRule type="colorScale" priority="813">
      <colorScale>
        <cfvo type="num" val="0"/>
        <cfvo type="num" val="0.5"/>
        <cfvo type="num" val="1"/>
        <color rgb="FFFF0000"/>
        <color rgb="FFFFC000"/>
        <color rgb="FF92D050"/>
      </colorScale>
    </cfRule>
  </conditionalFormatting>
  <conditionalFormatting sqref="LQ3:LQ6 LQ12">
    <cfRule type="colorScale" priority="812">
      <colorScale>
        <cfvo type="num" val="0"/>
        <cfvo type="num" val="0.5"/>
        <cfvo type="num" val="1"/>
        <color rgb="FFFF0000"/>
        <color rgb="FFFFC000"/>
        <color rgb="FF92D050"/>
      </colorScale>
    </cfRule>
  </conditionalFormatting>
  <conditionalFormatting sqref="LQ13">
    <cfRule type="colorScale" priority="811">
      <colorScale>
        <cfvo type="num" val="0"/>
        <cfvo type="num" val="0.5"/>
        <cfvo type="num" val="1"/>
        <color rgb="FFFF0000"/>
        <color rgb="FFFFC000"/>
        <color rgb="FF92D050"/>
      </colorScale>
    </cfRule>
  </conditionalFormatting>
  <conditionalFormatting sqref="LS12">
    <cfRule type="colorScale" priority="810">
      <colorScale>
        <cfvo type="num" val="0"/>
        <cfvo type="num" val="0.5"/>
        <cfvo type="num" val="1"/>
        <color rgb="FFFF0000"/>
        <color rgb="FFFFC000"/>
        <color rgb="FF92D050"/>
      </colorScale>
    </cfRule>
  </conditionalFormatting>
  <conditionalFormatting sqref="LS3:LS6 LS12">
    <cfRule type="cellIs" dxfId="172" priority="808" operator="equal">
      <formula>0</formula>
    </cfRule>
    <cfRule type="colorScale" priority="809">
      <colorScale>
        <cfvo type="min"/>
        <cfvo type="percentile" val="50"/>
        <cfvo type="max"/>
        <color rgb="FF92D050"/>
        <color rgb="FFFFC000"/>
        <color rgb="FFFF0000"/>
      </colorScale>
    </cfRule>
  </conditionalFormatting>
  <conditionalFormatting sqref="LR3:LR6 LR12">
    <cfRule type="colorScale" priority="807">
      <colorScale>
        <cfvo type="num" val="0"/>
        <cfvo type="num" val="0.5"/>
        <cfvo type="num" val="1"/>
        <color rgb="FFFF0000"/>
        <color rgb="FFFFC000"/>
        <color rgb="FF92D050"/>
      </colorScale>
    </cfRule>
  </conditionalFormatting>
  <conditionalFormatting sqref="LR3:LR6 LR12">
    <cfRule type="colorScale" priority="806">
      <colorScale>
        <cfvo type="min"/>
        <cfvo type="percentile" val="50"/>
        <cfvo type="max"/>
        <color rgb="FF92D050"/>
        <color rgb="FFFFC000"/>
        <color rgb="FFFF0000"/>
      </colorScale>
    </cfRule>
  </conditionalFormatting>
  <conditionalFormatting sqref="LE8">
    <cfRule type="colorScale" priority="805">
      <colorScale>
        <cfvo type="num" val="0"/>
        <cfvo type="num" val="0.5"/>
        <cfvo type="num" val="1"/>
        <color rgb="FFFF0000"/>
        <color rgb="FFFFC000"/>
        <color rgb="FF92D050"/>
      </colorScale>
    </cfRule>
  </conditionalFormatting>
  <conditionalFormatting sqref="LH8">
    <cfRule type="colorScale" priority="804">
      <colorScale>
        <cfvo type="num" val="0"/>
        <cfvo type="num" val="0.5"/>
        <cfvo type="num" val="1"/>
        <color rgb="FFFF0000"/>
        <color rgb="FFFFC000"/>
        <color rgb="FF92D050"/>
      </colorScale>
    </cfRule>
  </conditionalFormatting>
  <conditionalFormatting sqref="LK8">
    <cfRule type="colorScale" priority="803">
      <colorScale>
        <cfvo type="num" val="0"/>
        <cfvo type="num" val="0.5"/>
        <cfvo type="num" val="1"/>
        <color rgb="FFFF0000"/>
        <color rgb="FFFFC000"/>
        <color rgb="FF92D050"/>
      </colorScale>
    </cfRule>
  </conditionalFormatting>
  <conditionalFormatting sqref="LN8">
    <cfRule type="colorScale" priority="802">
      <colorScale>
        <cfvo type="num" val="0"/>
        <cfvo type="num" val="0.5"/>
        <cfvo type="num" val="1"/>
        <color rgb="FFFF0000"/>
        <color rgb="FFFFC000"/>
        <color rgb="FF92D050"/>
      </colorScale>
    </cfRule>
  </conditionalFormatting>
  <conditionalFormatting sqref="LQ8">
    <cfRule type="colorScale" priority="801">
      <colorScale>
        <cfvo type="num" val="0"/>
        <cfvo type="num" val="0.5"/>
        <cfvo type="num" val="1"/>
        <color rgb="FFFF0000"/>
        <color rgb="FFFFC000"/>
        <color rgb="FF92D050"/>
      </colorScale>
    </cfRule>
  </conditionalFormatting>
  <conditionalFormatting sqref="LS8">
    <cfRule type="cellIs" dxfId="171" priority="799" operator="equal">
      <formula>0</formula>
    </cfRule>
    <cfRule type="colorScale" priority="800">
      <colorScale>
        <cfvo type="min"/>
        <cfvo type="percentile" val="50"/>
        <cfvo type="max"/>
        <color rgb="FF92D050"/>
        <color rgb="FFFFC000"/>
        <color rgb="FFFF0000"/>
      </colorScale>
    </cfRule>
  </conditionalFormatting>
  <conditionalFormatting sqref="LR8">
    <cfRule type="colorScale" priority="798">
      <colorScale>
        <cfvo type="num" val="0"/>
        <cfvo type="num" val="0.5"/>
        <cfvo type="num" val="1"/>
        <color rgb="FFFF0000"/>
        <color rgb="FFFFC000"/>
        <color rgb="FF92D050"/>
      </colorScale>
    </cfRule>
  </conditionalFormatting>
  <conditionalFormatting sqref="LR8">
    <cfRule type="colorScale" priority="797">
      <colorScale>
        <cfvo type="min"/>
        <cfvo type="percentile" val="50"/>
        <cfvo type="max"/>
        <color rgb="FF92D050"/>
        <color rgb="FFFFC000"/>
        <color rgb="FFFF0000"/>
      </colorScale>
    </cfRule>
  </conditionalFormatting>
  <conditionalFormatting sqref="LV3:LV6 LV12">
    <cfRule type="colorScale" priority="787">
      <colorScale>
        <cfvo type="num" val="0"/>
        <cfvo type="num" val="0.5"/>
        <cfvo type="num" val="1"/>
        <color rgb="FFFF0000"/>
        <color rgb="FFFFC000"/>
        <color rgb="FF92D050"/>
      </colorScale>
    </cfRule>
  </conditionalFormatting>
  <conditionalFormatting sqref="LV13">
    <cfRule type="colorScale" priority="786">
      <colorScale>
        <cfvo type="num" val="0"/>
        <cfvo type="num" val="0.5"/>
        <cfvo type="num" val="1"/>
        <color rgb="FFFF0000"/>
        <color rgb="FFFFC000"/>
        <color rgb="FF92D050"/>
      </colorScale>
    </cfRule>
  </conditionalFormatting>
  <conditionalFormatting sqref="LY3:LY6 LY12">
    <cfRule type="colorScale" priority="785">
      <colorScale>
        <cfvo type="num" val="0"/>
        <cfvo type="num" val="0.5"/>
        <cfvo type="num" val="1"/>
        <color rgb="FFFF0000"/>
        <color rgb="FFFFC000"/>
        <color rgb="FF92D050"/>
      </colorScale>
    </cfRule>
  </conditionalFormatting>
  <conditionalFormatting sqref="LY13">
    <cfRule type="colorScale" priority="784">
      <colorScale>
        <cfvo type="num" val="0"/>
        <cfvo type="num" val="0.5"/>
        <cfvo type="num" val="1"/>
        <color rgb="FFFF0000"/>
        <color rgb="FFFFC000"/>
        <color rgb="FF92D050"/>
      </colorScale>
    </cfRule>
  </conditionalFormatting>
  <conditionalFormatting sqref="MB3:MB6 MB12">
    <cfRule type="colorScale" priority="783">
      <colorScale>
        <cfvo type="num" val="0"/>
        <cfvo type="num" val="0.5"/>
        <cfvo type="num" val="1"/>
        <color rgb="FFFF0000"/>
        <color rgb="FFFFC000"/>
        <color rgb="FF92D050"/>
      </colorScale>
    </cfRule>
  </conditionalFormatting>
  <conditionalFormatting sqref="MB13">
    <cfRule type="colorScale" priority="782">
      <colorScale>
        <cfvo type="num" val="0"/>
        <cfvo type="num" val="0.5"/>
        <cfvo type="num" val="1"/>
        <color rgb="FFFF0000"/>
        <color rgb="FFFFC000"/>
        <color rgb="FF92D050"/>
      </colorScale>
    </cfRule>
  </conditionalFormatting>
  <conditionalFormatting sqref="ME3:ME6 ME12">
    <cfRule type="colorScale" priority="781">
      <colorScale>
        <cfvo type="num" val="0"/>
        <cfvo type="num" val="0.5"/>
        <cfvo type="num" val="1"/>
        <color rgb="FFFF0000"/>
        <color rgb="FFFFC000"/>
        <color rgb="FF92D050"/>
      </colorScale>
    </cfRule>
  </conditionalFormatting>
  <conditionalFormatting sqref="ME13">
    <cfRule type="colorScale" priority="780">
      <colorScale>
        <cfvo type="num" val="0"/>
        <cfvo type="num" val="0.5"/>
        <cfvo type="num" val="1"/>
        <color rgb="FFFF0000"/>
        <color rgb="FFFFC000"/>
        <color rgb="FF92D050"/>
      </colorScale>
    </cfRule>
  </conditionalFormatting>
  <conditionalFormatting sqref="MH3:MH6 MH12">
    <cfRule type="colorScale" priority="779">
      <colorScale>
        <cfvo type="num" val="0"/>
        <cfvo type="num" val="0.5"/>
        <cfvo type="num" val="1"/>
        <color rgb="FFFF0000"/>
        <color rgb="FFFFC000"/>
        <color rgb="FF92D050"/>
      </colorScale>
    </cfRule>
  </conditionalFormatting>
  <conditionalFormatting sqref="MH13">
    <cfRule type="colorScale" priority="778">
      <colorScale>
        <cfvo type="num" val="0"/>
        <cfvo type="num" val="0.5"/>
        <cfvo type="num" val="1"/>
        <color rgb="FFFF0000"/>
        <color rgb="FFFFC000"/>
        <color rgb="FF92D050"/>
      </colorScale>
    </cfRule>
  </conditionalFormatting>
  <conditionalFormatting sqref="MJ12">
    <cfRule type="colorScale" priority="777">
      <colorScale>
        <cfvo type="num" val="0"/>
        <cfvo type="num" val="0.5"/>
        <cfvo type="num" val="1"/>
        <color rgb="FFFF0000"/>
        <color rgb="FFFFC000"/>
        <color rgb="FF92D050"/>
      </colorScale>
    </cfRule>
  </conditionalFormatting>
  <conditionalFormatting sqref="MJ3:MJ6 MJ12">
    <cfRule type="cellIs" dxfId="170" priority="775" operator="equal">
      <formula>0</formula>
    </cfRule>
    <cfRule type="colorScale" priority="776">
      <colorScale>
        <cfvo type="min"/>
        <cfvo type="percentile" val="50"/>
        <cfvo type="max"/>
        <color rgb="FF92D050"/>
        <color rgb="FFFFC000"/>
        <color rgb="FFFF0000"/>
      </colorScale>
    </cfRule>
  </conditionalFormatting>
  <conditionalFormatting sqref="MI3:MI6 MI12">
    <cfRule type="colorScale" priority="774">
      <colorScale>
        <cfvo type="num" val="0"/>
        <cfvo type="num" val="0.5"/>
        <cfvo type="num" val="1"/>
        <color rgb="FFFF0000"/>
        <color rgb="FFFFC000"/>
        <color rgb="FF92D050"/>
      </colorScale>
    </cfRule>
  </conditionalFormatting>
  <conditionalFormatting sqref="MI3:MI6 MI12">
    <cfRule type="colorScale" priority="773">
      <colorScale>
        <cfvo type="min"/>
        <cfvo type="percentile" val="50"/>
        <cfvo type="max"/>
        <color rgb="FF92D050"/>
        <color rgb="FFFFC000"/>
        <color rgb="FFFF0000"/>
      </colorScale>
    </cfRule>
  </conditionalFormatting>
  <conditionalFormatting sqref="LV8">
    <cfRule type="colorScale" priority="772">
      <colorScale>
        <cfvo type="num" val="0"/>
        <cfvo type="num" val="0.5"/>
        <cfvo type="num" val="1"/>
        <color rgb="FFFF0000"/>
        <color rgb="FFFFC000"/>
        <color rgb="FF92D050"/>
      </colorScale>
    </cfRule>
  </conditionalFormatting>
  <conditionalFormatting sqref="LY8">
    <cfRule type="colorScale" priority="771">
      <colorScale>
        <cfvo type="num" val="0"/>
        <cfvo type="num" val="0.5"/>
        <cfvo type="num" val="1"/>
        <color rgb="FFFF0000"/>
        <color rgb="FFFFC000"/>
        <color rgb="FF92D050"/>
      </colorScale>
    </cfRule>
  </conditionalFormatting>
  <conditionalFormatting sqref="MB8">
    <cfRule type="colorScale" priority="770">
      <colorScale>
        <cfvo type="num" val="0"/>
        <cfvo type="num" val="0.5"/>
        <cfvo type="num" val="1"/>
        <color rgb="FFFF0000"/>
        <color rgb="FFFFC000"/>
        <color rgb="FF92D050"/>
      </colorScale>
    </cfRule>
  </conditionalFormatting>
  <conditionalFormatting sqref="ME8">
    <cfRule type="colorScale" priority="769">
      <colorScale>
        <cfvo type="num" val="0"/>
        <cfvo type="num" val="0.5"/>
        <cfvo type="num" val="1"/>
        <color rgb="FFFF0000"/>
        <color rgb="FFFFC000"/>
        <color rgb="FF92D050"/>
      </colorScale>
    </cfRule>
  </conditionalFormatting>
  <conditionalFormatting sqref="MH8">
    <cfRule type="colorScale" priority="768">
      <colorScale>
        <cfvo type="num" val="0"/>
        <cfvo type="num" val="0.5"/>
        <cfvo type="num" val="1"/>
        <color rgb="FFFF0000"/>
        <color rgb="FFFFC000"/>
        <color rgb="FF92D050"/>
      </colorScale>
    </cfRule>
  </conditionalFormatting>
  <conditionalFormatting sqref="MJ8">
    <cfRule type="cellIs" dxfId="169" priority="766" operator="equal">
      <formula>0</formula>
    </cfRule>
    <cfRule type="colorScale" priority="767">
      <colorScale>
        <cfvo type="min"/>
        <cfvo type="percentile" val="50"/>
        <cfvo type="max"/>
        <color rgb="FF92D050"/>
        <color rgb="FFFFC000"/>
        <color rgb="FFFF0000"/>
      </colorScale>
    </cfRule>
  </conditionalFormatting>
  <conditionalFormatting sqref="MI8">
    <cfRule type="colorScale" priority="765">
      <colorScale>
        <cfvo type="num" val="0"/>
        <cfvo type="num" val="0.5"/>
        <cfvo type="num" val="1"/>
        <color rgb="FFFF0000"/>
        <color rgb="FFFFC000"/>
        <color rgb="FF92D050"/>
      </colorScale>
    </cfRule>
  </conditionalFormatting>
  <conditionalFormatting sqref="MI8">
    <cfRule type="colorScale" priority="764">
      <colorScale>
        <cfvo type="min"/>
        <cfvo type="percentile" val="50"/>
        <cfvo type="max"/>
        <color rgb="FF92D050"/>
        <color rgb="FFFFC000"/>
        <color rgb="FFFF0000"/>
      </colorScale>
    </cfRule>
  </conditionalFormatting>
  <conditionalFormatting sqref="MM3:MM6 MM12">
    <cfRule type="colorScale" priority="754">
      <colorScale>
        <cfvo type="num" val="0"/>
        <cfvo type="num" val="0.5"/>
        <cfvo type="num" val="1"/>
        <color rgb="FFFF0000"/>
        <color rgb="FFFFC000"/>
        <color rgb="FF92D050"/>
      </colorScale>
    </cfRule>
  </conditionalFormatting>
  <conditionalFormatting sqref="MM13">
    <cfRule type="colorScale" priority="753">
      <colorScale>
        <cfvo type="num" val="0"/>
        <cfvo type="num" val="0.5"/>
        <cfvo type="num" val="1"/>
        <color rgb="FFFF0000"/>
        <color rgb="FFFFC000"/>
        <color rgb="FF92D050"/>
      </colorScale>
    </cfRule>
  </conditionalFormatting>
  <conditionalFormatting sqref="MP3:MP6 MP12">
    <cfRule type="colorScale" priority="752">
      <colorScale>
        <cfvo type="num" val="0"/>
        <cfvo type="num" val="0.5"/>
        <cfvo type="num" val="1"/>
        <color rgb="FFFF0000"/>
        <color rgb="FFFFC000"/>
        <color rgb="FF92D050"/>
      </colorScale>
    </cfRule>
  </conditionalFormatting>
  <conditionalFormatting sqref="MP13">
    <cfRule type="colorScale" priority="751">
      <colorScale>
        <cfvo type="num" val="0"/>
        <cfvo type="num" val="0.5"/>
        <cfvo type="num" val="1"/>
        <color rgb="FFFF0000"/>
        <color rgb="FFFFC000"/>
        <color rgb="FF92D050"/>
      </colorScale>
    </cfRule>
  </conditionalFormatting>
  <conditionalFormatting sqref="MS3:MS6 MS12">
    <cfRule type="colorScale" priority="750">
      <colorScale>
        <cfvo type="num" val="0"/>
        <cfvo type="num" val="0.5"/>
        <cfvo type="num" val="1"/>
        <color rgb="FFFF0000"/>
        <color rgb="FFFFC000"/>
        <color rgb="FF92D050"/>
      </colorScale>
    </cfRule>
  </conditionalFormatting>
  <conditionalFormatting sqref="MS13">
    <cfRule type="colorScale" priority="749">
      <colorScale>
        <cfvo type="num" val="0"/>
        <cfvo type="num" val="0.5"/>
        <cfvo type="num" val="1"/>
        <color rgb="FFFF0000"/>
        <color rgb="FFFFC000"/>
        <color rgb="FF92D050"/>
      </colorScale>
    </cfRule>
  </conditionalFormatting>
  <conditionalFormatting sqref="MV3:MV6 MV12">
    <cfRule type="colorScale" priority="748">
      <colorScale>
        <cfvo type="num" val="0"/>
        <cfvo type="num" val="0.5"/>
        <cfvo type="num" val="1"/>
        <color rgb="FFFF0000"/>
        <color rgb="FFFFC000"/>
        <color rgb="FF92D050"/>
      </colorScale>
    </cfRule>
  </conditionalFormatting>
  <conditionalFormatting sqref="MV13">
    <cfRule type="colorScale" priority="747">
      <colorScale>
        <cfvo type="num" val="0"/>
        <cfvo type="num" val="0.5"/>
        <cfvo type="num" val="1"/>
        <color rgb="FFFF0000"/>
        <color rgb="FFFFC000"/>
        <color rgb="FF92D050"/>
      </colorScale>
    </cfRule>
  </conditionalFormatting>
  <conditionalFormatting sqref="MY3:MY6 MY12">
    <cfRule type="colorScale" priority="746">
      <colorScale>
        <cfvo type="num" val="0"/>
        <cfvo type="num" val="0.5"/>
        <cfvo type="num" val="1"/>
        <color rgb="FFFF0000"/>
        <color rgb="FFFFC000"/>
        <color rgb="FF92D050"/>
      </colorScale>
    </cfRule>
  </conditionalFormatting>
  <conditionalFormatting sqref="MY13">
    <cfRule type="colorScale" priority="745">
      <colorScale>
        <cfvo type="num" val="0"/>
        <cfvo type="num" val="0.5"/>
        <cfvo type="num" val="1"/>
        <color rgb="FFFF0000"/>
        <color rgb="FFFFC000"/>
        <color rgb="FF92D050"/>
      </colorScale>
    </cfRule>
  </conditionalFormatting>
  <conditionalFormatting sqref="NA12">
    <cfRule type="colorScale" priority="744">
      <colorScale>
        <cfvo type="num" val="0"/>
        <cfvo type="num" val="0.5"/>
        <cfvo type="num" val="1"/>
        <color rgb="FFFF0000"/>
        <color rgb="FFFFC000"/>
        <color rgb="FF92D050"/>
      </colorScale>
    </cfRule>
  </conditionalFormatting>
  <conditionalFormatting sqref="NA3:NA6 NA12">
    <cfRule type="cellIs" dxfId="168" priority="742" operator="equal">
      <formula>0</formula>
    </cfRule>
    <cfRule type="colorScale" priority="743">
      <colorScale>
        <cfvo type="min"/>
        <cfvo type="percentile" val="50"/>
        <cfvo type="max"/>
        <color rgb="FF92D050"/>
        <color rgb="FFFFC000"/>
        <color rgb="FFFF0000"/>
      </colorScale>
    </cfRule>
  </conditionalFormatting>
  <conditionalFormatting sqref="MZ3:MZ6 MZ12">
    <cfRule type="colorScale" priority="741">
      <colorScale>
        <cfvo type="num" val="0"/>
        <cfvo type="num" val="0.5"/>
        <cfvo type="num" val="1"/>
        <color rgb="FFFF0000"/>
        <color rgb="FFFFC000"/>
        <color rgb="FF92D050"/>
      </colorScale>
    </cfRule>
  </conditionalFormatting>
  <conditionalFormatting sqref="MZ3:MZ6 MZ12">
    <cfRule type="colorScale" priority="740">
      <colorScale>
        <cfvo type="min"/>
        <cfvo type="percentile" val="50"/>
        <cfvo type="max"/>
        <color rgb="FF92D050"/>
        <color rgb="FFFFC000"/>
        <color rgb="FFFF0000"/>
      </colorScale>
    </cfRule>
  </conditionalFormatting>
  <conditionalFormatting sqref="MM8">
    <cfRule type="colorScale" priority="739">
      <colorScale>
        <cfvo type="num" val="0"/>
        <cfvo type="num" val="0.5"/>
        <cfvo type="num" val="1"/>
        <color rgb="FFFF0000"/>
        <color rgb="FFFFC000"/>
        <color rgb="FF92D050"/>
      </colorScale>
    </cfRule>
  </conditionalFormatting>
  <conditionalFormatting sqref="MP8">
    <cfRule type="colorScale" priority="738">
      <colorScale>
        <cfvo type="num" val="0"/>
        <cfvo type="num" val="0.5"/>
        <cfvo type="num" val="1"/>
        <color rgb="FFFF0000"/>
        <color rgb="FFFFC000"/>
        <color rgb="FF92D050"/>
      </colorScale>
    </cfRule>
  </conditionalFormatting>
  <conditionalFormatting sqref="MS8">
    <cfRule type="colorScale" priority="737">
      <colorScale>
        <cfvo type="num" val="0"/>
        <cfvo type="num" val="0.5"/>
        <cfvo type="num" val="1"/>
        <color rgb="FFFF0000"/>
        <color rgb="FFFFC000"/>
        <color rgb="FF92D050"/>
      </colorScale>
    </cfRule>
  </conditionalFormatting>
  <conditionalFormatting sqref="MV8">
    <cfRule type="colorScale" priority="736">
      <colorScale>
        <cfvo type="num" val="0"/>
        <cfvo type="num" val="0.5"/>
        <cfvo type="num" val="1"/>
        <color rgb="FFFF0000"/>
        <color rgb="FFFFC000"/>
        <color rgb="FF92D050"/>
      </colorScale>
    </cfRule>
  </conditionalFormatting>
  <conditionalFormatting sqref="MY8">
    <cfRule type="colorScale" priority="735">
      <colorScale>
        <cfvo type="num" val="0"/>
        <cfvo type="num" val="0.5"/>
        <cfvo type="num" val="1"/>
        <color rgb="FFFF0000"/>
        <color rgb="FFFFC000"/>
        <color rgb="FF92D050"/>
      </colorScale>
    </cfRule>
  </conditionalFormatting>
  <conditionalFormatting sqref="NA8">
    <cfRule type="cellIs" dxfId="167" priority="733" operator="equal">
      <formula>0</formula>
    </cfRule>
    <cfRule type="colorScale" priority="734">
      <colorScale>
        <cfvo type="min"/>
        <cfvo type="percentile" val="50"/>
        <cfvo type="max"/>
        <color rgb="FF92D050"/>
        <color rgb="FFFFC000"/>
        <color rgb="FFFF0000"/>
      </colorScale>
    </cfRule>
  </conditionalFormatting>
  <conditionalFormatting sqref="MZ8">
    <cfRule type="colorScale" priority="732">
      <colorScale>
        <cfvo type="num" val="0"/>
        <cfvo type="num" val="0.5"/>
        <cfvo type="num" val="1"/>
        <color rgb="FFFF0000"/>
        <color rgb="FFFFC000"/>
        <color rgb="FF92D050"/>
      </colorScale>
    </cfRule>
  </conditionalFormatting>
  <conditionalFormatting sqref="MZ8">
    <cfRule type="colorScale" priority="731">
      <colorScale>
        <cfvo type="min"/>
        <cfvo type="percentile" val="50"/>
        <cfvo type="max"/>
        <color rgb="FF92D050"/>
        <color rgb="FFFFC000"/>
        <color rgb="FFFF0000"/>
      </colorScale>
    </cfRule>
  </conditionalFormatting>
  <conditionalFormatting sqref="FH9:FH11">
    <cfRule type="colorScale" priority="719">
      <colorScale>
        <cfvo type="num" val="0"/>
        <cfvo type="num" val="0.5"/>
        <cfvo type="num" val="1"/>
        <color rgb="FFFF0000"/>
        <color rgb="FFFFC000"/>
        <color rgb="FF92D050"/>
      </colorScale>
    </cfRule>
  </conditionalFormatting>
  <conditionalFormatting sqref="FK9:FK11">
    <cfRule type="colorScale" priority="718">
      <colorScale>
        <cfvo type="num" val="0"/>
        <cfvo type="num" val="0.5"/>
        <cfvo type="num" val="1"/>
        <color rgb="FFFF0000"/>
        <color rgb="FFFFC000"/>
        <color rgb="FF92D050"/>
      </colorScale>
    </cfRule>
  </conditionalFormatting>
  <conditionalFormatting sqref="FN9:FN11">
    <cfRule type="colorScale" priority="717">
      <colorScale>
        <cfvo type="num" val="0"/>
        <cfvo type="num" val="0.5"/>
        <cfvo type="num" val="1"/>
        <color rgb="FFFF0000"/>
        <color rgb="FFFFC000"/>
        <color rgb="FF92D050"/>
      </colorScale>
    </cfRule>
  </conditionalFormatting>
  <conditionalFormatting sqref="FQ9:FQ11">
    <cfRule type="colorScale" priority="716">
      <colorScale>
        <cfvo type="num" val="0"/>
        <cfvo type="num" val="0.5"/>
        <cfvo type="num" val="1"/>
        <color rgb="FFFF0000"/>
        <color rgb="FFFFC000"/>
        <color rgb="FF92D050"/>
      </colorScale>
    </cfRule>
  </conditionalFormatting>
  <conditionalFormatting sqref="FT9:FT11">
    <cfRule type="colorScale" priority="715">
      <colorScale>
        <cfvo type="num" val="0"/>
        <cfvo type="num" val="0.5"/>
        <cfvo type="num" val="1"/>
        <color rgb="FFFF0000"/>
        <color rgb="FFFFC000"/>
        <color rgb="FF92D050"/>
      </colorScale>
    </cfRule>
  </conditionalFormatting>
  <conditionalFormatting sqref="FV9:FV11">
    <cfRule type="cellIs" dxfId="166" priority="713" operator="equal">
      <formula>0</formula>
    </cfRule>
    <cfRule type="colorScale" priority="714">
      <colorScale>
        <cfvo type="min"/>
        <cfvo type="percentile" val="50"/>
        <cfvo type="max"/>
        <color rgb="FF92D050"/>
        <color rgb="FFFFC000"/>
        <color rgb="FFFF0000"/>
      </colorScale>
    </cfRule>
  </conditionalFormatting>
  <conditionalFormatting sqref="FY9:FY11">
    <cfRule type="colorScale" priority="712">
      <colorScale>
        <cfvo type="num" val="0"/>
        <cfvo type="num" val="0.5"/>
        <cfvo type="num" val="1"/>
        <color rgb="FFFF0000"/>
        <color rgb="FFFFC000"/>
        <color rgb="FF92D050"/>
      </colorScale>
    </cfRule>
  </conditionalFormatting>
  <conditionalFormatting sqref="GB9:GB11">
    <cfRule type="colorScale" priority="711">
      <colorScale>
        <cfvo type="num" val="0"/>
        <cfvo type="num" val="0.5"/>
        <cfvo type="num" val="1"/>
        <color rgb="FFFF0000"/>
        <color rgb="FFFFC000"/>
        <color rgb="FF92D050"/>
      </colorScale>
    </cfRule>
  </conditionalFormatting>
  <conditionalFormatting sqref="GE9:GE11">
    <cfRule type="colorScale" priority="710">
      <colorScale>
        <cfvo type="num" val="0"/>
        <cfvo type="num" val="0.5"/>
        <cfvo type="num" val="1"/>
        <color rgb="FFFF0000"/>
        <color rgb="FFFFC000"/>
        <color rgb="FF92D050"/>
      </colorScale>
    </cfRule>
  </conditionalFormatting>
  <conditionalFormatting sqref="GH9:GH11">
    <cfRule type="colorScale" priority="709">
      <colorScale>
        <cfvo type="num" val="0"/>
        <cfvo type="num" val="0.5"/>
        <cfvo type="num" val="1"/>
        <color rgb="FFFF0000"/>
        <color rgb="FFFFC000"/>
        <color rgb="FF92D050"/>
      </colorScale>
    </cfRule>
  </conditionalFormatting>
  <conditionalFormatting sqref="GK9:GK11">
    <cfRule type="colorScale" priority="708">
      <colorScale>
        <cfvo type="num" val="0"/>
        <cfvo type="num" val="0.5"/>
        <cfvo type="num" val="1"/>
        <color rgb="FFFF0000"/>
        <color rgb="FFFFC000"/>
        <color rgb="FF92D050"/>
      </colorScale>
    </cfRule>
  </conditionalFormatting>
  <conditionalFormatting sqref="GM9:GM11">
    <cfRule type="cellIs" dxfId="165" priority="706" operator="equal">
      <formula>0</formula>
    </cfRule>
    <cfRule type="colorScale" priority="707">
      <colorScale>
        <cfvo type="min"/>
        <cfvo type="percentile" val="50"/>
        <cfvo type="max"/>
        <color rgb="FF92D050"/>
        <color rgb="FFFFC000"/>
        <color rgb="FFFF0000"/>
      </colorScale>
    </cfRule>
  </conditionalFormatting>
  <conditionalFormatting sqref="FU9:FU11">
    <cfRule type="colorScale" priority="705">
      <colorScale>
        <cfvo type="num" val="0"/>
        <cfvo type="num" val="0.5"/>
        <cfvo type="num" val="1"/>
        <color rgb="FFFF0000"/>
        <color rgb="FFFFC000"/>
        <color rgb="FF92D050"/>
      </colorScale>
    </cfRule>
  </conditionalFormatting>
  <conditionalFormatting sqref="FU9:FU11">
    <cfRule type="colorScale" priority="704">
      <colorScale>
        <cfvo type="min"/>
        <cfvo type="percentile" val="50"/>
        <cfvo type="max"/>
        <color rgb="FF92D050"/>
        <color rgb="FFFFC000"/>
        <color rgb="FFFF0000"/>
      </colorScale>
    </cfRule>
  </conditionalFormatting>
  <conditionalFormatting sqref="GP9:GP11">
    <cfRule type="colorScale" priority="703">
      <colorScale>
        <cfvo type="num" val="0"/>
        <cfvo type="num" val="0.5"/>
        <cfvo type="num" val="1"/>
        <color rgb="FFFF0000"/>
        <color rgb="FFFFC000"/>
        <color rgb="FF92D050"/>
      </colorScale>
    </cfRule>
  </conditionalFormatting>
  <conditionalFormatting sqref="GS9:GS11">
    <cfRule type="colorScale" priority="702">
      <colorScale>
        <cfvo type="num" val="0"/>
        <cfvo type="num" val="0.5"/>
        <cfvo type="num" val="1"/>
        <color rgb="FFFF0000"/>
        <color rgb="FFFFC000"/>
        <color rgb="FF92D050"/>
      </colorScale>
    </cfRule>
  </conditionalFormatting>
  <conditionalFormatting sqref="GV9:GV11">
    <cfRule type="colorScale" priority="701">
      <colorScale>
        <cfvo type="num" val="0"/>
        <cfvo type="num" val="0.5"/>
        <cfvo type="num" val="1"/>
        <color rgb="FFFF0000"/>
        <color rgb="FFFFC000"/>
        <color rgb="FF92D050"/>
      </colorScale>
    </cfRule>
  </conditionalFormatting>
  <conditionalFormatting sqref="GY9:GY11">
    <cfRule type="colorScale" priority="700">
      <colorScale>
        <cfvo type="num" val="0"/>
        <cfvo type="num" val="0.5"/>
        <cfvo type="num" val="1"/>
        <color rgb="FFFF0000"/>
        <color rgb="FFFFC000"/>
        <color rgb="FF92D050"/>
      </colorScale>
    </cfRule>
  </conditionalFormatting>
  <conditionalFormatting sqref="HB9:HB11">
    <cfRule type="colorScale" priority="699">
      <colorScale>
        <cfvo type="num" val="0"/>
        <cfvo type="num" val="0.5"/>
        <cfvo type="num" val="1"/>
        <color rgb="FFFF0000"/>
        <color rgb="FFFFC000"/>
        <color rgb="FF92D050"/>
      </colorScale>
    </cfRule>
  </conditionalFormatting>
  <conditionalFormatting sqref="HD9:HD11">
    <cfRule type="cellIs" dxfId="164" priority="697" operator="equal">
      <formula>0</formula>
    </cfRule>
    <cfRule type="colorScale" priority="698">
      <colorScale>
        <cfvo type="min"/>
        <cfvo type="percentile" val="50"/>
        <cfvo type="max"/>
        <color rgb="FF92D050"/>
        <color rgb="FFFFC000"/>
        <color rgb="FFFF0000"/>
      </colorScale>
    </cfRule>
  </conditionalFormatting>
  <conditionalFormatting sqref="HG9:HG11">
    <cfRule type="colorScale" priority="696">
      <colorScale>
        <cfvo type="num" val="0"/>
        <cfvo type="num" val="0.5"/>
        <cfvo type="num" val="1"/>
        <color rgb="FFFF0000"/>
        <color rgb="FFFFC000"/>
        <color rgb="FF92D050"/>
      </colorScale>
    </cfRule>
  </conditionalFormatting>
  <conditionalFormatting sqref="HJ9:HJ11">
    <cfRule type="colorScale" priority="695">
      <colorScale>
        <cfvo type="num" val="0"/>
        <cfvo type="num" val="0.5"/>
        <cfvo type="num" val="1"/>
        <color rgb="FFFF0000"/>
        <color rgb="FFFFC000"/>
        <color rgb="FF92D050"/>
      </colorScale>
    </cfRule>
  </conditionalFormatting>
  <conditionalFormatting sqref="HM9:HM11">
    <cfRule type="colorScale" priority="694">
      <colorScale>
        <cfvo type="num" val="0"/>
        <cfvo type="num" val="0.5"/>
        <cfvo type="num" val="1"/>
        <color rgb="FFFF0000"/>
        <color rgb="FFFFC000"/>
        <color rgb="FF92D050"/>
      </colorScale>
    </cfRule>
  </conditionalFormatting>
  <conditionalFormatting sqref="HP9:HP11">
    <cfRule type="colorScale" priority="693">
      <colorScale>
        <cfvo type="num" val="0"/>
        <cfvo type="num" val="0.5"/>
        <cfvo type="num" val="1"/>
        <color rgb="FFFF0000"/>
        <color rgb="FFFFC000"/>
        <color rgb="FF92D050"/>
      </colorScale>
    </cfRule>
  </conditionalFormatting>
  <conditionalFormatting sqref="HS9:HS11">
    <cfRule type="colorScale" priority="692">
      <colorScale>
        <cfvo type="num" val="0"/>
        <cfvo type="num" val="0.5"/>
        <cfvo type="num" val="1"/>
        <color rgb="FFFF0000"/>
        <color rgb="FFFFC000"/>
        <color rgb="FF92D050"/>
      </colorScale>
    </cfRule>
  </conditionalFormatting>
  <conditionalFormatting sqref="HU9:HU11">
    <cfRule type="cellIs" dxfId="163" priority="690" operator="equal">
      <formula>0</formula>
    </cfRule>
    <cfRule type="colorScale" priority="691">
      <colorScale>
        <cfvo type="min"/>
        <cfvo type="percentile" val="50"/>
        <cfvo type="max"/>
        <color rgb="FF92D050"/>
        <color rgb="FFFFC000"/>
        <color rgb="FFFF0000"/>
      </colorScale>
    </cfRule>
  </conditionalFormatting>
  <conditionalFormatting sqref="HX9:HX11">
    <cfRule type="colorScale" priority="689">
      <colorScale>
        <cfvo type="num" val="0"/>
        <cfvo type="num" val="0.5"/>
        <cfvo type="num" val="1"/>
        <color rgb="FFFF0000"/>
        <color rgb="FFFFC000"/>
        <color rgb="FF92D050"/>
      </colorScale>
    </cfRule>
  </conditionalFormatting>
  <conditionalFormatting sqref="IA9:IA11">
    <cfRule type="colorScale" priority="688">
      <colorScale>
        <cfvo type="num" val="0"/>
        <cfvo type="num" val="0.5"/>
        <cfvo type="num" val="1"/>
        <color rgb="FFFF0000"/>
        <color rgb="FFFFC000"/>
        <color rgb="FF92D050"/>
      </colorScale>
    </cfRule>
  </conditionalFormatting>
  <conditionalFormatting sqref="ID9:ID11">
    <cfRule type="colorScale" priority="687">
      <colorScale>
        <cfvo type="num" val="0"/>
        <cfvo type="num" val="0.5"/>
        <cfvo type="num" val="1"/>
        <color rgb="FFFF0000"/>
        <color rgb="FFFFC000"/>
        <color rgb="FF92D050"/>
      </colorScale>
    </cfRule>
  </conditionalFormatting>
  <conditionalFormatting sqref="IG9:IG11">
    <cfRule type="colorScale" priority="686">
      <colorScale>
        <cfvo type="num" val="0"/>
        <cfvo type="num" val="0.5"/>
        <cfvo type="num" val="1"/>
        <color rgb="FFFF0000"/>
        <color rgb="FFFFC000"/>
        <color rgb="FF92D050"/>
      </colorScale>
    </cfRule>
  </conditionalFormatting>
  <conditionalFormatting sqref="IJ9:IJ11">
    <cfRule type="colorScale" priority="685">
      <colorScale>
        <cfvo type="num" val="0"/>
        <cfvo type="num" val="0.5"/>
        <cfvo type="num" val="1"/>
        <color rgb="FFFF0000"/>
        <color rgb="FFFFC000"/>
        <color rgb="FF92D050"/>
      </colorScale>
    </cfRule>
  </conditionalFormatting>
  <conditionalFormatting sqref="IL9:IL11">
    <cfRule type="cellIs" dxfId="162" priority="683" operator="equal">
      <formula>0</formula>
    </cfRule>
    <cfRule type="colorScale" priority="684">
      <colorScale>
        <cfvo type="min"/>
        <cfvo type="percentile" val="50"/>
        <cfvo type="max"/>
        <color rgb="FF92D050"/>
        <color rgb="FFFFC000"/>
        <color rgb="FFFF0000"/>
      </colorScale>
    </cfRule>
  </conditionalFormatting>
  <conditionalFormatting sqref="IK9:IK11">
    <cfRule type="colorScale" priority="682">
      <colorScale>
        <cfvo type="num" val="0"/>
        <cfvo type="num" val="0.5"/>
        <cfvo type="num" val="1"/>
        <color rgb="FFFF0000"/>
        <color rgb="FFFFC000"/>
        <color rgb="FF92D050"/>
      </colorScale>
    </cfRule>
  </conditionalFormatting>
  <conditionalFormatting sqref="IK9:IK11">
    <cfRule type="colorScale" priority="681">
      <colorScale>
        <cfvo type="min"/>
        <cfvo type="percentile" val="50"/>
        <cfvo type="max"/>
        <color rgb="FF92D050"/>
        <color rgb="FFFFC000"/>
        <color rgb="FFFF0000"/>
      </colorScale>
    </cfRule>
  </conditionalFormatting>
  <conditionalFormatting sqref="HT9:HT11">
    <cfRule type="colorScale" priority="680">
      <colorScale>
        <cfvo type="num" val="0"/>
        <cfvo type="num" val="0.5"/>
        <cfvo type="num" val="1"/>
        <color rgb="FFFF0000"/>
        <color rgb="FFFFC000"/>
        <color rgb="FF92D050"/>
      </colorScale>
    </cfRule>
  </conditionalFormatting>
  <conditionalFormatting sqref="HT9:HT11">
    <cfRule type="colorScale" priority="679">
      <colorScale>
        <cfvo type="min"/>
        <cfvo type="percentile" val="50"/>
        <cfvo type="max"/>
        <color rgb="FF92D050"/>
        <color rgb="FFFFC000"/>
        <color rgb="FFFF0000"/>
      </colorScale>
    </cfRule>
  </conditionalFormatting>
  <conditionalFormatting sqref="IO9:IO11">
    <cfRule type="colorScale" priority="678">
      <colorScale>
        <cfvo type="num" val="0"/>
        <cfvo type="num" val="0.5"/>
        <cfvo type="num" val="1"/>
        <color rgb="FFFF0000"/>
        <color rgb="FFFFC000"/>
        <color rgb="FF92D050"/>
      </colorScale>
    </cfRule>
  </conditionalFormatting>
  <conditionalFormatting sqref="IR9:IR11">
    <cfRule type="colorScale" priority="677">
      <colorScale>
        <cfvo type="num" val="0"/>
        <cfvo type="num" val="0.5"/>
        <cfvo type="num" val="1"/>
        <color rgb="FFFF0000"/>
        <color rgb="FFFFC000"/>
        <color rgb="FF92D050"/>
      </colorScale>
    </cfRule>
  </conditionalFormatting>
  <conditionalFormatting sqref="IU9:IU11">
    <cfRule type="colorScale" priority="676">
      <colorScale>
        <cfvo type="num" val="0"/>
        <cfvo type="num" val="0.5"/>
        <cfvo type="num" val="1"/>
        <color rgb="FFFF0000"/>
        <color rgb="FFFFC000"/>
        <color rgb="FF92D050"/>
      </colorScale>
    </cfRule>
  </conditionalFormatting>
  <conditionalFormatting sqref="IX9:IX11">
    <cfRule type="colorScale" priority="675">
      <colorScale>
        <cfvo type="num" val="0"/>
        <cfvo type="num" val="0.5"/>
        <cfvo type="num" val="1"/>
        <color rgb="FFFF0000"/>
        <color rgb="FFFFC000"/>
        <color rgb="FF92D050"/>
      </colorScale>
    </cfRule>
  </conditionalFormatting>
  <conditionalFormatting sqref="JA9:JA11">
    <cfRule type="colorScale" priority="674">
      <colorScale>
        <cfvo type="num" val="0"/>
        <cfvo type="num" val="0.5"/>
        <cfvo type="num" val="1"/>
        <color rgb="FFFF0000"/>
        <color rgb="FFFFC000"/>
        <color rgb="FF92D050"/>
      </colorScale>
    </cfRule>
  </conditionalFormatting>
  <conditionalFormatting sqref="JC9:JC11">
    <cfRule type="cellIs" dxfId="161" priority="672" operator="equal">
      <formula>0</formula>
    </cfRule>
    <cfRule type="colorScale" priority="673">
      <colorScale>
        <cfvo type="min"/>
        <cfvo type="percentile" val="50"/>
        <cfvo type="max"/>
        <color rgb="FF92D050"/>
        <color rgb="FFFFC000"/>
        <color rgb="FFFF0000"/>
      </colorScale>
    </cfRule>
  </conditionalFormatting>
  <conditionalFormatting sqref="JB9:JB11">
    <cfRule type="colorScale" priority="671">
      <colorScale>
        <cfvo type="num" val="0"/>
        <cfvo type="num" val="0.5"/>
        <cfvo type="num" val="1"/>
        <color rgb="FFFF0000"/>
        <color rgb="FFFFC000"/>
        <color rgb="FF92D050"/>
      </colorScale>
    </cfRule>
  </conditionalFormatting>
  <conditionalFormatting sqref="JB9:JB11">
    <cfRule type="colorScale" priority="670">
      <colorScale>
        <cfvo type="min"/>
        <cfvo type="percentile" val="50"/>
        <cfvo type="max"/>
        <color rgb="FF92D050"/>
        <color rgb="FFFFC000"/>
        <color rgb="FFFF0000"/>
      </colorScale>
    </cfRule>
  </conditionalFormatting>
  <conditionalFormatting sqref="JF9:JF11">
    <cfRule type="colorScale" priority="669">
      <colorScale>
        <cfvo type="num" val="0"/>
        <cfvo type="num" val="0.5"/>
        <cfvo type="num" val="1"/>
        <color rgb="FFFF0000"/>
        <color rgb="FFFFC000"/>
        <color rgb="FF92D050"/>
      </colorScale>
    </cfRule>
  </conditionalFormatting>
  <conditionalFormatting sqref="JI9:JI11">
    <cfRule type="colorScale" priority="668">
      <colorScale>
        <cfvo type="num" val="0"/>
        <cfvo type="num" val="0.5"/>
        <cfvo type="num" val="1"/>
        <color rgb="FFFF0000"/>
        <color rgb="FFFFC000"/>
        <color rgb="FF92D050"/>
      </colorScale>
    </cfRule>
  </conditionalFormatting>
  <conditionalFormatting sqref="JL9:JL11">
    <cfRule type="colorScale" priority="667">
      <colorScale>
        <cfvo type="num" val="0"/>
        <cfvo type="num" val="0.5"/>
        <cfvo type="num" val="1"/>
        <color rgb="FFFF0000"/>
        <color rgb="FFFFC000"/>
        <color rgb="FF92D050"/>
      </colorScale>
    </cfRule>
  </conditionalFormatting>
  <conditionalFormatting sqref="JO9:JO11">
    <cfRule type="colorScale" priority="666">
      <colorScale>
        <cfvo type="num" val="0"/>
        <cfvo type="num" val="0.5"/>
        <cfvo type="num" val="1"/>
        <color rgb="FFFF0000"/>
        <color rgb="FFFFC000"/>
        <color rgb="FF92D050"/>
      </colorScale>
    </cfRule>
  </conditionalFormatting>
  <conditionalFormatting sqref="JR9:JR11">
    <cfRule type="colorScale" priority="665">
      <colorScale>
        <cfvo type="num" val="0"/>
        <cfvo type="num" val="0.5"/>
        <cfvo type="num" val="1"/>
        <color rgb="FFFF0000"/>
        <color rgb="FFFFC000"/>
        <color rgb="FF92D050"/>
      </colorScale>
    </cfRule>
  </conditionalFormatting>
  <conditionalFormatting sqref="JT9:JT11">
    <cfRule type="cellIs" dxfId="160" priority="663" operator="equal">
      <formula>0</formula>
    </cfRule>
    <cfRule type="colorScale" priority="664">
      <colorScale>
        <cfvo type="min"/>
        <cfvo type="percentile" val="50"/>
        <cfvo type="max"/>
        <color rgb="FF92D050"/>
        <color rgb="FFFFC000"/>
        <color rgb="FFFF0000"/>
      </colorScale>
    </cfRule>
  </conditionalFormatting>
  <conditionalFormatting sqref="JS9:JS11">
    <cfRule type="colorScale" priority="662">
      <colorScale>
        <cfvo type="num" val="0"/>
        <cfvo type="num" val="0.5"/>
        <cfvo type="num" val="1"/>
        <color rgb="FFFF0000"/>
        <color rgb="FFFFC000"/>
        <color rgb="FF92D050"/>
      </colorScale>
    </cfRule>
  </conditionalFormatting>
  <conditionalFormatting sqref="JS9:JS11">
    <cfRule type="colorScale" priority="661">
      <colorScale>
        <cfvo type="min"/>
        <cfvo type="percentile" val="50"/>
        <cfvo type="max"/>
        <color rgb="FF92D050"/>
        <color rgb="FFFFC000"/>
        <color rgb="FFFF0000"/>
      </colorScale>
    </cfRule>
  </conditionalFormatting>
  <conditionalFormatting sqref="HC9:HC11">
    <cfRule type="colorScale" priority="660">
      <colorScale>
        <cfvo type="num" val="0"/>
        <cfvo type="num" val="0.5"/>
        <cfvo type="num" val="1"/>
        <color rgb="FFFF0000"/>
        <color rgb="FFFFC000"/>
        <color rgb="FF92D050"/>
      </colorScale>
    </cfRule>
  </conditionalFormatting>
  <conditionalFormatting sqref="HC9:HC11">
    <cfRule type="colorScale" priority="659">
      <colorScale>
        <cfvo type="min"/>
        <cfvo type="percentile" val="50"/>
        <cfvo type="max"/>
        <color rgb="FF92D050"/>
        <color rgb="FFFFC000"/>
        <color rgb="FFFF0000"/>
      </colorScale>
    </cfRule>
  </conditionalFormatting>
  <conditionalFormatting sqref="GL9:GL11">
    <cfRule type="colorScale" priority="658">
      <colorScale>
        <cfvo type="num" val="0"/>
        <cfvo type="num" val="0.5"/>
        <cfvo type="num" val="1"/>
        <color rgb="FFFF0000"/>
        <color rgb="FFFFC000"/>
        <color rgb="FF92D050"/>
      </colorScale>
    </cfRule>
  </conditionalFormatting>
  <conditionalFormatting sqref="GL9:GL11">
    <cfRule type="colorScale" priority="657">
      <colorScale>
        <cfvo type="min"/>
        <cfvo type="percentile" val="50"/>
        <cfvo type="max"/>
        <color rgb="FF92D050"/>
        <color rgb="FFFFC000"/>
        <color rgb="FFFF0000"/>
      </colorScale>
    </cfRule>
  </conditionalFormatting>
  <conditionalFormatting sqref="JW9">
    <cfRule type="colorScale" priority="656">
      <colorScale>
        <cfvo type="num" val="0"/>
        <cfvo type="num" val="0.5"/>
        <cfvo type="num" val="1"/>
        <color rgb="FFFF0000"/>
        <color rgb="FFFFC000"/>
        <color rgb="FF92D050"/>
      </colorScale>
    </cfRule>
  </conditionalFormatting>
  <conditionalFormatting sqref="JZ9">
    <cfRule type="colorScale" priority="655">
      <colorScale>
        <cfvo type="num" val="0"/>
        <cfvo type="num" val="0.5"/>
        <cfvo type="num" val="1"/>
        <color rgb="FFFF0000"/>
        <color rgb="FFFFC000"/>
        <color rgb="FF92D050"/>
      </colorScale>
    </cfRule>
  </conditionalFormatting>
  <conditionalFormatting sqref="KC9">
    <cfRule type="colorScale" priority="654">
      <colorScale>
        <cfvo type="num" val="0"/>
        <cfvo type="num" val="0.5"/>
        <cfvo type="num" val="1"/>
        <color rgb="FFFF0000"/>
        <color rgb="FFFFC000"/>
        <color rgb="FF92D050"/>
      </colorScale>
    </cfRule>
  </conditionalFormatting>
  <conditionalFormatting sqref="KF9">
    <cfRule type="colorScale" priority="653">
      <colorScale>
        <cfvo type="num" val="0"/>
        <cfvo type="num" val="0.5"/>
        <cfvo type="num" val="1"/>
        <color rgb="FFFF0000"/>
        <color rgb="FFFFC000"/>
        <color rgb="FF92D050"/>
      </colorScale>
    </cfRule>
  </conditionalFormatting>
  <conditionalFormatting sqref="KI9">
    <cfRule type="colorScale" priority="652">
      <colorScale>
        <cfvo type="num" val="0"/>
        <cfvo type="num" val="0.5"/>
        <cfvo type="num" val="1"/>
        <color rgb="FFFF0000"/>
        <color rgb="FFFFC000"/>
        <color rgb="FF92D050"/>
      </colorScale>
    </cfRule>
  </conditionalFormatting>
  <conditionalFormatting sqref="KK9">
    <cfRule type="cellIs" dxfId="159" priority="650" operator="equal">
      <formula>0</formula>
    </cfRule>
    <cfRule type="colorScale" priority="651">
      <colorScale>
        <cfvo type="min"/>
        <cfvo type="percentile" val="50"/>
        <cfvo type="max"/>
        <color rgb="FF92D050"/>
        <color rgb="FFFFC000"/>
        <color rgb="FFFF0000"/>
      </colorScale>
    </cfRule>
  </conditionalFormatting>
  <conditionalFormatting sqref="KJ9">
    <cfRule type="colorScale" priority="649">
      <colorScale>
        <cfvo type="num" val="0"/>
        <cfvo type="num" val="0.5"/>
        <cfvo type="num" val="1"/>
        <color rgb="FFFF0000"/>
        <color rgb="FFFFC000"/>
        <color rgb="FF92D050"/>
      </colorScale>
    </cfRule>
  </conditionalFormatting>
  <conditionalFormatting sqref="KJ9">
    <cfRule type="colorScale" priority="648">
      <colorScale>
        <cfvo type="min"/>
        <cfvo type="percentile" val="50"/>
        <cfvo type="max"/>
        <color rgb="FF92D050"/>
        <color rgb="FFFFC000"/>
        <color rgb="FFFF0000"/>
      </colorScale>
    </cfRule>
  </conditionalFormatting>
  <conditionalFormatting sqref="KN9">
    <cfRule type="colorScale" priority="647">
      <colorScale>
        <cfvo type="num" val="0"/>
        <cfvo type="num" val="0.5"/>
        <cfvo type="num" val="1"/>
        <color rgb="FFFF0000"/>
        <color rgb="FFFFC000"/>
        <color rgb="FF92D050"/>
      </colorScale>
    </cfRule>
  </conditionalFormatting>
  <conditionalFormatting sqref="KQ9">
    <cfRule type="colorScale" priority="646">
      <colorScale>
        <cfvo type="num" val="0"/>
        <cfvo type="num" val="0.5"/>
        <cfvo type="num" val="1"/>
        <color rgb="FFFF0000"/>
        <color rgb="FFFFC000"/>
        <color rgb="FF92D050"/>
      </colorScale>
    </cfRule>
  </conditionalFormatting>
  <conditionalFormatting sqref="KT9">
    <cfRule type="colorScale" priority="645">
      <colorScale>
        <cfvo type="num" val="0"/>
        <cfvo type="num" val="0.5"/>
        <cfvo type="num" val="1"/>
        <color rgb="FFFF0000"/>
        <color rgb="FFFFC000"/>
        <color rgb="FF92D050"/>
      </colorScale>
    </cfRule>
  </conditionalFormatting>
  <conditionalFormatting sqref="KW9">
    <cfRule type="colorScale" priority="644">
      <colorScale>
        <cfvo type="num" val="0"/>
        <cfvo type="num" val="0.5"/>
        <cfvo type="num" val="1"/>
        <color rgb="FFFF0000"/>
        <color rgb="FFFFC000"/>
        <color rgb="FF92D050"/>
      </colorScale>
    </cfRule>
  </conditionalFormatting>
  <conditionalFormatting sqref="KZ9">
    <cfRule type="colorScale" priority="643">
      <colorScale>
        <cfvo type="num" val="0"/>
        <cfvo type="num" val="0.5"/>
        <cfvo type="num" val="1"/>
        <color rgb="FFFF0000"/>
        <color rgb="FFFFC000"/>
        <color rgb="FF92D050"/>
      </colorScale>
    </cfRule>
  </conditionalFormatting>
  <conditionalFormatting sqref="LB9">
    <cfRule type="cellIs" dxfId="158" priority="641" operator="equal">
      <formula>0</formula>
    </cfRule>
    <cfRule type="colorScale" priority="642">
      <colorScale>
        <cfvo type="min"/>
        <cfvo type="percentile" val="50"/>
        <cfvo type="max"/>
        <color rgb="FF92D050"/>
        <color rgb="FFFFC000"/>
        <color rgb="FFFF0000"/>
      </colorScale>
    </cfRule>
  </conditionalFormatting>
  <conditionalFormatting sqref="LA9">
    <cfRule type="colorScale" priority="640">
      <colorScale>
        <cfvo type="num" val="0"/>
        <cfvo type="num" val="0.5"/>
        <cfvo type="num" val="1"/>
        <color rgb="FFFF0000"/>
        <color rgb="FFFFC000"/>
        <color rgb="FF92D050"/>
      </colorScale>
    </cfRule>
  </conditionalFormatting>
  <conditionalFormatting sqref="LA9">
    <cfRule type="colorScale" priority="639">
      <colorScale>
        <cfvo type="min"/>
        <cfvo type="percentile" val="50"/>
        <cfvo type="max"/>
        <color rgb="FF92D050"/>
        <color rgb="FFFFC000"/>
        <color rgb="FFFF0000"/>
      </colorScale>
    </cfRule>
  </conditionalFormatting>
  <conditionalFormatting sqref="LE9">
    <cfRule type="colorScale" priority="638">
      <colorScale>
        <cfvo type="num" val="0"/>
        <cfvo type="num" val="0.5"/>
        <cfvo type="num" val="1"/>
        <color rgb="FFFF0000"/>
        <color rgb="FFFFC000"/>
        <color rgb="FF92D050"/>
      </colorScale>
    </cfRule>
  </conditionalFormatting>
  <conditionalFormatting sqref="LH9">
    <cfRule type="colorScale" priority="637">
      <colorScale>
        <cfvo type="num" val="0"/>
        <cfvo type="num" val="0.5"/>
        <cfvo type="num" val="1"/>
        <color rgb="FFFF0000"/>
        <color rgb="FFFFC000"/>
        <color rgb="FF92D050"/>
      </colorScale>
    </cfRule>
  </conditionalFormatting>
  <conditionalFormatting sqref="LK9">
    <cfRule type="colorScale" priority="636">
      <colorScale>
        <cfvo type="num" val="0"/>
        <cfvo type="num" val="0.5"/>
        <cfvo type="num" val="1"/>
        <color rgb="FFFF0000"/>
        <color rgb="FFFFC000"/>
        <color rgb="FF92D050"/>
      </colorScale>
    </cfRule>
  </conditionalFormatting>
  <conditionalFormatting sqref="LN9">
    <cfRule type="colorScale" priority="635">
      <colorScale>
        <cfvo type="num" val="0"/>
        <cfvo type="num" val="0.5"/>
        <cfvo type="num" val="1"/>
        <color rgb="FFFF0000"/>
        <color rgb="FFFFC000"/>
        <color rgb="FF92D050"/>
      </colorScale>
    </cfRule>
  </conditionalFormatting>
  <conditionalFormatting sqref="LQ9">
    <cfRule type="colorScale" priority="634">
      <colorScale>
        <cfvo type="num" val="0"/>
        <cfvo type="num" val="0.5"/>
        <cfvo type="num" val="1"/>
        <color rgb="FFFF0000"/>
        <color rgb="FFFFC000"/>
        <color rgb="FF92D050"/>
      </colorScale>
    </cfRule>
  </conditionalFormatting>
  <conditionalFormatting sqref="LS9">
    <cfRule type="cellIs" dxfId="157" priority="632" operator="equal">
      <formula>0</formula>
    </cfRule>
    <cfRule type="colorScale" priority="633">
      <colorScale>
        <cfvo type="min"/>
        <cfvo type="percentile" val="50"/>
        <cfvo type="max"/>
        <color rgb="FF92D050"/>
        <color rgb="FFFFC000"/>
        <color rgb="FFFF0000"/>
      </colorScale>
    </cfRule>
  </conditionalFormatting>
  <conditionalFormatting sqref="LR9">
    <cfRule type="colorScale" priority="631">
      <colorScale>
        <cfvo type="num" val="0"/>
        <cfvo type="num" val="0.5"/>
        <cfvo type="num" val="1"/>
        <color rgb="FFFF0000"/>
        <color rgb="FFFFC000"/>
        <color rgb="FF92D050"/>
      </colorScale>
    </cfRule>
  </conditionalFormatting>
  <conditionalFormatting sqref="LR9">
    <cfRule type="colorScale" priority="630">
      <colorScale>
        <cfvo type="min"/>
        <cfvo type="percentile" val="50"/>
        <cfvo type="max"/>
        <color rgb="FF92D050"/>
        <color rgb="FFFFC000"/>
        <color rgb="FFFF0000"/>
      </colorScale>
    </cfRule>
  </conditionalFormatting>
  <conditionalFormatting sqref="LV9">
    <cfRule type="colorScale" priority="629">
      <colorScale>
        <cfvo type="num" val="0"/>
        <cfvo type="num" val="0.5"/>
        <cfvo type="num" val="1"/>
        <color rgb="FFFF0000"/>
        <color rgb="FFFFC000"/>
        <color rgb="FF92D050"/>
      </colorScale>
    </cfRule>
  </conditionalFormatting>
  <conditionalFormatting sqref="LY9">
    <cfRule type="colorScale" priority="628">
      <colorScale>
        <cfvo type="num" val="0"/>
        <cfvo type="num" val="0.5"/>
        <cfvo type="num" val="1"/>
        <color rgb="FFFF0000"/>
        <color rgb="FFFFC000"/>
        <color rgb="FF92D050"/>
      </colorScale>
    </cfRule>
  </conditionalFormatting>
  <conditionalFormatting sqref="MB9">
    <cfRule type="colorScale" priority="627">
      <colorScale>
        <cfvo type="num" val="0"/>
        <cfvo type="num" val="0.5"/>
        <cfvo type="num" val="1"/>
        <color rgb="FFFF0000"/>
        <color rgb="FFFFC000"/>
        <color rgb="FF92D050"/>
      </colorScale>
    </cfRule>
  </conditionalFormatting>
  <conditionalFormatting sqref="ME9">
    <cfRule type="colorScale" priority="626">
      <colorScale>
        <cfvo type="num" val="0"/>
        <cfvo type="num" val="0.5"/>
        <cfvo type="num" val="1"/>
        <color rgb="FFFF0000"/>
        <color rgb="FFFFC000"/>
        <color rgb="FF92D050"/>
      </colorScale>
    </cfRule>
  </conditionalFormatting>
  <conditionalFormatting sqref="MH9">
    <cfRule type="colorScale" priority="625">
      <colorScale>
        <cfvo type="num" val="0"/>
        <cfvo type="num" val="0.5"/>
        <cfvo type="num" val="1"/>
        <color rgb="FFFF0000"/>
        <color rgb="FFFFC000"/>
        <color rgb="FF92D050"/>
      </colorScale>
    </cfRule>
  </conditionalFormatting>
  <conditionalFormatting sqref="MJ9">
    <cfRule type="cellIs" dxfId="156" priority="623" operator="equal">
      <formula>0</formula>
    </cfRule>
    <cfRule type="colorScale" priority="624">
      <colorScale>
        <cfvo type="min"/>
        <cfvo type="percentile" val="50"/>
        <cfvo type="max"/>
        <color rgb="FF92D050"/>
        <color rgb="FFFFC000"/>
        <color rgb="FFFF0000"/>
      </colorScale>
    </cfRule>
  </conditionalFormatting>
  <conditionalFormatting sqref="MI9">
    <cfRule type="colorScale" priority="622">
      <colorScale>
        <cfvo type="num" val="0"/>
        <cfvo type="num" val="0.5"/>
        <cfvo type="num" val="1"/>
        <color rgb="FFFF0000"/>
        <color rgb="FFFFC000"/>
        <color rgb="FF92D050"/>
      </colorScale>
    </cfRule>
  </conditionalFormatting>
  <conditionalFormatting sqref="MI9">
    <cfRule type="colorScale" priority="621">
      <colorScale>
        <cfvo type="min"/>
        <cfvo type="percentile" val="50"/>
        <cfvo type="max"/>
        <color rgb="FF92D050"/>
        <color rgb="FFFFC000"/>
        <color rgb="FFFF0000"/>
      </colorScale>
    </cfRule>
  </conditionalFormatting>
  <conditionalFormatting sqref="MM9">
    <cfRule type="colorScale" priority="620">
      <colorScale>
        <cfvo type="num" val="0"/>
        <cfvo type="num" val="0.5"/>
        <cfvo type="num" val="1"/>
        <color rgb="FFFF0000"/>
        <color rgb="FFFFC000"/>
        <color rgb="FF92D050"/>
      </colorScale>
    </cfRule>
  </conditionalFormatting>
  <conditionalFormatting sqref="MP9">
    <cfRule type="colorScale" priority="619">
      <colorScale>
        <cfvo type="num" val="0"/>
        <cfvo type="num" val="0.5"/>
        <cfvo type="num" val="1"/>
        <color rgb="FFFF0000"/>
        <color rgb="FFFFC000"/>
        <color rgb="FF92D050"/>
      </colorScale>
    </cfRule>
  </conditionalFormatting>
  <conditionalFormatting sqref="MS9">
    <cfRule type="colorScale" priority="618">
      <colorScale>
        <cfvo type="num" val="0"/>
        <cfvo type="num" val="0.5"/>
        <cfvo type="num" val="1"/>
        <color rgb="FFFF0000"/>
        <color rgb="FFFFC000"/>
        <color rgb="FF92D050"/>
      </colorScale>
    </cfRule>
  </conditionalFormatting>
  <conditionalFormatting sqref="MV9">
    <cfRule type="colorScale" priority="617">
      <colorScale>
        <cfvo type="num" val="0"/>
        <cfvo type="num" val="0.5"/>
        <cfvo type="num" val="1"/>
        <color rgb="FFFF0000"/>
        <color rgb="FFFFC000"/>
        <color rgb="FF92D050"/>
      </colorScale>
    </cfRule>
  </conditionalFormatting>
  <conditionalFormatting sqref="MY9">
    <cfRule type="colorScale" priority="616">
      <colorScale>
        <cfvo type="num" val="0"/>
        <cfvo type="num" val="0.5"/>
        <cfvo type="num" val="1"/>
        <color rgb="FFFF0000"/>
        <color rgb="FFFFC000"/>
        <color rgb="FF92D050"/>
      </colorScale>
    </cfRule>
  </conditionalFormatting>
  <conditionalFormatting sqref="NA9">
    <cfRule type="cellIs" dxfId="155" priority="614" operator="equal">
      <formula>0</formula>
    </cfRule>
    <cfRule type="colorScale" priority="615">
      <colorScale>
        <cfvo type="min"/>
        <cfvo type="percentile" val="50"/>
        <cfvo type="max"/>
        <color rgb="FF92D050"/>
        <color rgb="FFFFC000"/>
        <color rgb="FFFF0000"/>
      </colorScale>
    </cfRule>
  </conditionalFormatting>
  <conditionalFormatting sqref="MZ9">
    <cfRule type="colorScale" priority="613">
      <colorScale>
        <cfvo type="num" val="0"/>
        <cfvo type="num" val="0.5"/>
        <cfvo type="num" val="1"/>
        <color rgb="FFFF0000"/>
        <color rgb="FFFFC000"/>
        <color rgb="FF92D050"/>
      </colorScale>
    </cfRule>
  </conditionalFormatting>
  <conditionalFormatting sqref="MZ9">
    <cfRule type="colorScale" priority="612">
      <colorScale>
        <cfvo type="min"/>
        <cfvo type="percentile" val="50"/>
        <cfvo type="max"/>
        <color rgb="FF92D050"/>
        <color rgb="FFFFC000"/>
        <color rgb="FFFF0000"/>
      </colorScale>
    </cfRule>
  </conditionalFormatting>
  <conditionalFormatting sqref="ND3:ND6 ND12">
    <cfRule type="colorScale" priority="611">
      <colorScale>
        <cfvo type="num" val="0"/>
        <cfvo type="num" val="0.5"/>
        <cfvo type="num" val="1"/>
        <color rgb="FFFF0000"/>
        <color rgb="FFFFC000"/>
        <color rgb="FF92D050"/>
      </colorScale>
    </cfRule>
  </conditionalFormatting>
  <conditionalFormatting sqref="ND13">
    <cfRule type="colorScale" priority="610">
      <colorScale>
        <cfvo type="num" val="0"/>
        <cfvo type="num" val="0.5"/>
        <cfvo type="num" val="1"/>
        <color rgb="FFFF0000"/>
        <color rgb="FFFFC000"/>
        <color rgb="FF92D050"/>
      </colorScale>
    </cfRule>
  </conditionalFormatting>
  <conditionalFormatting sqref="NG3:NG6 NG12">
    <cfRule type="colorScale" priority="609">
      <colorScale>
        <cfvo type="num" val="0"/>
        <cfvo type="num" val="0.5"/>
        <cfvo type="num" val="1"/>
        <color rgb="FFFF0000"/>
        <color rgb="FFFFC000"/>
        <color rgb="FF92D050"/>
      </colorScale>
    </cfRule>
  </conditionalFormatting>
  <conditionalFormatting sqref="NG13">
    <cfRule type="colorScale" priority="608">
      <colorScale>
        <cfvo type="num" val="0"/>
        <cfvo type="num" val="0.5"/>
        <cfvo type="num" val="1"/>
        <color rgb="FFFF0000"/>
        <color rgb="FFFFC000"/>
        <color rgb="FF92D050"/>
      </colorScale>
    </cfRule>
  </conditionalFormatting>
  <conditionalFormatting sqref="NJ3:NJ6 NJ12">
    <cfRule type="colorScale" priority="607">
      <colorScale>
        <cfvo type="num" val="0"/>
        <cfvo type="num" val="0.5"/>
        <cfvo type="num" val="1"/>
        <color rgb="FFFF0000"/>
        <color rgb="FFFFC000"/>
        <color rgb="FF92D050"/>
      </colorScale>
    </cfRule>
  </conditionalFormatting>
  <conditionalFormatting sqref="NJ13">
    <cfRule type="colorScale" priority="606">
      <colorScale>
        <cfvo type="num" val="0"/>
        <cfvo type="num" val="0.5"/>
        <cfvo type="num" val="1"/>
        <color rgb="FFFF0000"/>
        <color rgb="FFFFC000"/>
        <color rgb="FF92D050"/>
      </colorScale>
    </cfRule>
  </conditionalFormatting>
  <conditionalFormatting sqref="NM3:NM6 NM12">
    <cfRule type="colorScale" priority="605">
      <colorScale>
        <cfvo type="num" val="0"/>
        <cfvo type="num" val="0.5"/>
        <cfvo type="num" val="1"/>
        <color rgb="FFFF0000"/>
        <color rgb="FFFFC000"/>
        <color rgb="FF92D050"/>
      </colorScale>
    </cfRule>
  </conditionalFormatting>
  <conditionalFormatting sqref="NM13">
    <cfRule type="colorScale" priority="604">
      <colorScale>
        <cfvo type="num" val="0"/>
        <cfvo type="num" val="0.5"/>
        <cfvo type="num" val="1"/>
        <color rgb="FFFF0000"/>
        <color rgb="FFFFC000"/>
        <color rgb="FF92D050"/>
      </colorScale>
    </cfRule>
  </conditionalFormatting>
  <conditionalFormatting sqref="NP3:NP6 NP12">
    <cfRule type="colorScale" priority="603">
      <colorScale>
        <cfvo type="num" val="0"/>
        <cfvo type="num" val="0.5"/>
        <cfvo type="num" val="1"/>
        <color rgb="FFFF0000"/>
        <color rgb="FFFFC000"/>
        <color rgb="FF92D050"/>
      </colorScale>
    </cfRule>
  </conditionalFormatting>
  <conditionalFormatting sqref="NP13">
    <cfRule type="colorScale" priority="602">
      <colorScale>
        <cfvo type="num" val="0"/>
        <cfvo type="num" val="0.5"/>
        <cfvo type="num" val="1"/>
        <color rgb="FFFF0000"/>
        <color rgb="FFFFC000"/>
        <color rgb="FF92D050"/>
      </colorScale>
    </cfRule>
  </conditionalFormatting>
  <conditionalFormatting sqref="NR12">
    <cfRule type="colorScale" priority="601">
      <colorScale>
        <cfvo type="num" val="0"/>
        <cfvo type="num" val="0.5"/>
        <cfvo type="num" val="1"/>
        <color rgb="FFFF0000"/>
        <color rgb="FFFFC000"/>
        <color rgb="FF92D050"/>
      </colorScale>
    </cfRule>
  </conditionalFormatting>
  <conditionalFormatting sqref="NR3:NR6 NR12">
    <cfRule type="cellIs" dxfId="154" priority="599" operator="equal">
      <formula>0</formula>
    </cfRule>
    <cfRule type="colorScale" priority="600">
      <colorScale>
        <cfvo type="min"/>
        <cfvo type="percentile" val="50"/>
        <cfvo type="max"/>
        <color rgb="FF92D050"/>
        <color rgb="FFFFC000"/>
        <color rgb="FFFF0000"/>
      </colorScale>
    </cfRule>
  </conditionalFormatting>
  <conditionalFormatting sqref="NQ3:NQ6 NQ12">
    <cfRule type="colorScale" priority="598">
      <colorScale>
        <cfvo type="num" val="0"/>
        <cfvo type="num" val="0.5"/>
        <cfvo type="num" val="1"/>
        <color rgb="FFFF0000"/>
        <color rgb="FFFFC000"/>
        <color rgb="FF92D050"/>
      </colorScale>
    </cfRule>
  </conditionalFormatting>
  <conditionalFormatting sqref="NQ3:NQ6 NQ12">
    <cfRule type="colorScale" priority="597">
      <colorScale>
        <cfvo type="min"/>
        <cfvo type="percentile" val="50"/>
        <cfvo type="max"/>
        <color rgb="FF92D050"/>
        <color rgb="FFFFC000"/>
        <color rgb="FFFF0000"/>
      </colorScale>
    </cfRule>
  </conditionalFormatting>
  <conditionalFormatting sqref="ND8">
    <cfRule type="colorScale" priority="596">
      <colorScale>
        <cfvo type="num" val="0"/>
        <cfvo type="num" val="0.5"/>
        <cfvo type="num" val="1"/>
        <color rgb="FFFF0000"/>
        <color rgb="FFFFC000"/>
        <color rgb="FF92D050"/>
      </colorScale>
    </cfRule>
  </conditionalFormatting>
  <conditionalFormatting sqref="NG8">
    <cfRule type="colorScale" priority="595">
      <colorScale>
        <cfvo type="num" val="0"/>
        <cfvo type="num" val="0.5"/>
        <cfvo type="num" val="1"/>
        <color rgb="FFFF0000"/>
        <color rgb="FFFFC000"/>
        <color rgb="FF92D050"/>
      </colorScale>
    </cfRule>
  </conditionalFormatting>
  <conditionalFormatting sqref="NJ8">
    <cfRule type="colorScale" priority="594">
      <colorScale>
        <cfvo type="num" val="0"/>
        <cfvo type="num" val="0.5"/>
        <cfvo type="num" val="1"/>
        <color rgb="FFFF0000"/>
        <color rgb="FFFFC000"/>
        <color rgb="FF92D050"/>
      </colorScale>
    </cfRule>
  </conditionalFormatting>
  <conditionalFormatting sqref="NM8">
    <cfRule type="colorScale" priority="593">
      <colorScale>
        <cfvo type="num" val="0"/>
        <cfvo type="num" val="0.5"/>
        <cfvo type="num" val="1"/>
        <color rgb="FFFF0000"/>
        <color rgb="FFFFC000"/>
        <color rgb="FF92D050"/>
      </colorScale>
    </cfRule>
  </conditionalFormatting>
  <conditionalFormatting sqref="NP8">
    <cfRule type="colorScale" priority="592">
      <colorScale>
        <cfvo type="num" val="0"/>
        <cfvo type="num" val="0.5"/>
        <cfvo type="num" val="1"/>
        <color rgb="FFFF0000"/>
        <color rgb="FFFFC000"/>
        <color rgb="FF92D050"/>
      </colorScale>
    </cfRule>
  </conditionalFormatting>
  <conditionalFormatting sqref="NR8">
    <cfRule type="cellIs" dxfId="153" priority="590" operator="equal">
      <formula>0</formula>
    </cfRule>
    <cfRule type="colorScale" priority="591">
      <colorScale>
        <cfvo type="min"/>
        <cfvo type="percentile" val="50"/>
        <cfvo type="max"/>
        <color rgb="FF92D050"/>
        <color rgb="FFFFC000"/>
        <color rgb="FFFF0000"/>
      </colorScale>
    </cfRule>
  </conditionalFormatting>
  <conditionalFormatting sqref="NQ8">
    <cfRule type="colorScale" priority="589">
      <colorScale>
        <cfvo type="num" val="0"/>
        <cfvo type="num" val="0.5"/>
        <cfvo type="num" val="1"/>
        <color rgb="FFFF0000"/>
        <color rgb="FFFFC000"/>
        <color rgb="FF92D050"/>
      </colorScale>
    </cfRule>
  </conditionalFormatting>
  <conditionalFormatting sqref="NQ8">
    <cfRule type="colorScale" priority="588">
      <colorScale>
        <cfvo type="min"/>
        <cfvo type="percentile" val="50"/>
        <cfvo type="max"/>
        <color rgb="FF92D050"/>
        <color rgb="FFFFC000"/>
        <color rgb="FFFF0000"/>
      </colorScale>
    </cfRule>
  </conditionalFormatting>
  <conditionalFormatting sqref="ND9">
    <cfRule type="colorScale" priority="578">
      <colorScale>
        <cfvo type="num" val="0"/>
        <cfvo type="num" val="0.5"/>
        <cfvo type="num" val="1"/>
        <color rgb="FFFF0000"/>
        <color rgb="FFFFC000"/>
        <color rgb="FF92D050"/>
      </colorScale>
    </cfRule>
  </conditionalFormatting>
  <conditionalFormatting sqref="NG9">
    <cfRule type="colorScale" priority="577">
      <colorScale>
        <cfvo type="num" val="0"/>
        <cfvo type="num" val="0.5"/>
        <cfvo type="num" val="1"/>
        <color rgb="FFFF0000"/>
        <color rgb="FFFFC000"/>
        <color rgb="FF92D050"/>
      </colorScale>
    </cfRule>
  </conditionalFormatting>
  <conditionalFormatting sqref="NJ9">
    <cfRule type="colorScale" priority="576">
      <colorScale>
        <cfvo type="num" val="0"/>
        <cfvo type="num" val="0.5"/>
        <cfvo type="num" val="1"/>
        <color rgb="FFFF0000"/>
        <color rgb="FFFFC000"/>
        <color rgb="FF92D050"/>
      </colorScale>
    </cfRule>
  </conditionalFormatting>
  <conditionalFormatting sqref="NM9">
    <cfRule type="colorScale" priority="575">
      <colorScale>
        <cfvo type="num" val="0"/>
        <cfvo type="num" val="0.5"/>
        <cfvo type="num" val="1"/>
        <color rgb="FFFF0000"/>
        <color rgb="FFFFC000"/>
        <color rgb="FF92D050"/>
      </colorScale>
    </cfRule>
  </conditionalFormatting>
  <conditionalFormatting sqref="NP9">
    <cfRule type="colorScale" priority="574">
      <colorScale>
        <cfvo type="num" val="0"/>
        <cfvo type="num" val="0.5"/>
        <cfvo type="num" val="1"/>
        <color rgb="FFFF0000"/>
        <color rgb="FFFFC000"/>
        <color rgb="FF92D050"/>
      </colorScale>
    </cfRule>
  </conditionalFormatting>
  <conditionalFormatting sqref="NR9">
    <cfRule type="cellIs" dxfId="152" priority="572" operator="equal">
      <formula>0</formula>
    </cfRule>
    <cfRule type="colorScale" priority="573">
      <colorScale>
        <cfvo type="min"/>
        <cfvo type="percentile" val="50"/>
        <cfvo type="max"/>
        <color rgb="FF92D050"/>
        <color rgb="FFFFC000"/>
        <color rgb="FFFF0000"/>
      </colorScale>
    </cfRule>
  </conditionalFormatting>
  <conditionalFormatting sqref="NQ9">
    <cfRule type="colorScale" priority="571">
      <colorScale>
        <cfvo type="num" val="0"/>
        <cfvo type="num" val="0.5"/>
        <cfvo type="num" val="1"/>
        <color rgb="FFFF0000"/>
        <color rgb="FFFFC000"/>
        <color rgb="FF92D050"/>
      </colorScale>
    </cfRule>
  </conditionalFormatting>
  <conditionalFormatting sqref="NQ9">
    <cfRule type="colorScale" priority="570">
      <colorScale>
        <cfvo type="min"/>
        <cfvo type="percentile" val="50"/>
        <cfvo type="max"/>
        <color rgb="FF92D050"/>
        <color rgb="FFFFC000"/>
        <color rgb="FFFF0000"/>
      </colorScale>
    </cfRule>
  </conditionalFormatting>
  <conditionalFormatting sqref="AA7 X7 AD7 AH7">
    <cfRule type="colorScale" priority="569">
      <colorScale>
        <cfvo type="num" val="0"/>
        <cfvo type="num" val="0.5"/>
        <cfvo type="num" val="1"/>
        <color rgb="FFFF0000"/>
        <color rgb="FFFFC000"/>
        <color rgb="FF92D050"/>
      </colorScale>
    </cfRule>
  </conditionalFormatting>
  <conditionalFormatting sqref="AU7">
    <cfRule type="colorScale" priority="568">
      <colorScale>
        <cfvo type="num" val="0"/>
        <cfvo type="num" val="0.5"/>
        <cfvo type="num" val="1"/>
        <color rgb="FFFF0000"/>
        <color rgb="FFFFC000"/>
        <color rgb="FF92D050"/>
      </colorScale>
    </cfRule>
  </conditionalFormatting>
  <conditionalFormatting sqref="AQ7">
    <cfRule type="colorScale" priority="567">
      <colorScale>
        <cfvo type="num" val="0"/>
        <cfvo type="num" val="0.5"/>
        <cfvo type="num" val="1"/>
        <color rgb="FFFF0000"/>
        <color rgb="FFFFC000"/>
        <color rgb="FF92D050"/>
      </colorScale>
    </cfRule>
  </conditionalFormatting>
  <conditionalFormatting sqref="AN7">
    <cfRule type="colorScale" priority="566">
      <colorScale>
        <cfvo type="num" val="0"/>
        <cfvo type="num" val="0.5"/>
        <cfvo type="num" val="1"/>
        <color rgb="FFFF0000"/>
        <color rgb="FFFFC000"/>
        <color rgb="FF92D050"/>
      </colorScale>
    </cfRule>
  </conditionalFormatting>
  <conditionalFormatting sqref="AK7">
    <cfRule type="colorScale" priority="565">
      <colorScale>
        <cfvo type="num" val="0"/>
        <cfvo type="num" val="0.5"/>
        <cfvo type="num" val="1"/>
        <color rgb="FFFF0000"/>
        <color rgb="FFFFC000"/>
        <color rgb="FF92D050"/>
      </colorScale>
    </cfRule>
  </conditionalFormatting>
  <conditionalFormatting sqref="AX7">
    <cfRule type="colorScale" priority="564">
      <colorScale>
        <cfvo type="num" val="0"/>
        <cfvo type="num" val="0.5"/>
        <cfvo type="num" val="1"/>
        <color rgb="FFFF0000"/>
        <color rgb="FFFFC000"/>
        <color rgb="FF92D050"/>
      </colorScale>
    </cfRule>
  </conditionalFormatting>
  <conditionalFormatting sqref="BA7">
    <cfRule type="colorScale" priority="563">
      <colorScale>
        <cfvo type="num" val="0"/>
        <cfvo type="num" val="0.5"/>
        <cfvo type="num" val="1"/>
        <color rgb="FFFF0000"/>
        <color rgb="FFFFC000"/>
        <color rgb="FF92D050"/>
      </colorScale>
    </cfRule>
  </conditionalFormatting>
  <conditionalFormatting sqref="BD7">
    <cfRule type="colorScale" priority="562">
      <colorScale>
        <cfvo type="num" val="0"/>
        <cfvo type="num" val="0.5"/>
        <cfvo type="num" val="1"/>
        <color rgb="FFFF0000"/>
        <color rgb="FFFFC000"/>
        <color rgb="FF92D050"/>
      </colorScale>
    </cfRule>
  </conditionalFormatting>
  <conditionalFormatting sqref="BG7">
    <cfRule type="colorScale" priority="561">
      <colorScale>
        <cfvo type="num" val="0"/>
        <cfvo type="num" val="0.5"/>
        <cfvo type="num" val="1"/>
        <color rgb="FFFF0000"/>
        <color rgb="FFFFC000"/>
        <color rgb="FF92D050"/>
      </colorScale>
    </cfRule>
  </conditionalFormatting>
  <conditionalFormatting sqref="AR7">
    <cfRule type="cellIs" dxfId="151" priority="557" operator="equal">
      <formula>0</formula>
    </cfRule>
    <cfRule type="colorScale" priority="560">
      <colorScale>
        <cfvo type="min"/>
        <cfvo type="percentile" val="50"/>
        <cfvo type="max"/>
        <color rgb="FF92D050"/>
        <color rgb="FFFFC000"/>
        <color rgb="FFFF0000"/>
      </colorScale>
    </cfRule>
  </conditionalFormatting>
  <conditionalFormatting sqref="AE7">
    <cfRule type="cellIs" dxfId="150" priority="558" operator="equal">
      <formula>0</formula>
    </cfRule>
    <cfRule type="colorScale" priority="559">
      <colorScale>
        <cfvo type="min"/>
        <cfvo type="percentile" val="50"/>
        <cfvo type="max"/>
        <color rgb="FF92D050"/>
        <color rgb="FFFFC000"/>
        <color rgb="FFFF0000"/>
      </colorScale>
    </cfRule>
  </conditionalFormatting>
  <conditionalFormatting sqref="BH7">
    <cfRule type="cellIs" dxfId="149" priority="555" operator="equal">
      <formula>0</formula>
    </cfRule>
    <cfRule type="colorScale" priority="556">
      <colorScale>
        <cfvo type="min"/>
        <cfvo type="percentile" val="50"/>
        <cfvo type="max"/>
        <color rgb="FF92D050"/>
        <color rgb="FFFFC000"/>
        <color rgb="FFFF0000"/>
      </colorScale>
    </cfRule>
  </conditionalFormatting>
  <conditionalFormatting sqref="BK7">
    <cfRule type="colorScale" priority="554">
      <colorScale>
        <cfvo type="num" val="0"/>
        <cfvo type="num" val="0.5"/>
        <cfvo type="num" val="1"/>
        <color rgb="FFFF0000"/>
        <color rgb="FFFFC000"/>
        <color rgb="FF92D050"/>
      </colorScale>
    </cfRule>
  </conditionalFormatting>
  <conditionalFormatting sqref="BN7">
    <cfRule type="colorScale" priority="553">
      <colorScale>
        <cfvo type="num" val="0"/>
        <cfvo type="num" val="0.5"/>
        <cfvo type="num" val="1"/>
        <color rgb="FFFF0000"/>
        <color rgb="FFFFC000"/>
        <color rgb="FF92D050"/>
      </colorScale>
    </cfRule>
  </conditionalFormatting>
  <conditionalFormatting sqref="BQ7">
    <cfRule type="colorScale" priority="552">
      <colorScale>
        <cfvo type="num" val="0"/>
        <cfvo type="num" val="0.5"/>
        <cfvo type="num" val="1"/>
        <color rgb="FFFF0000"/>
        <color rgb="FFFFC000"/>
        <color rgb="FF92D050"/>
      </colorScale>
    </cfRule>
  </conditionalFormatting>
  <conditionalFormatting sqref="BT7">
    <cfRule type="colorScale" priority="551">
      <colorScale>
        <cfvo type="num" val="0"/>
        <cfvo type="num" val="0.5"/>
        <cfvo type="num" val="1"/>
        <color rgb="FFFF0000"/>
        <color rgb="FFFFC000"/>
        <color rgb="FF92D050"/>
      </colorScale>
    </cfRule>
  </conditionalFormatting>
  <conditionalFormatting sqref="BW7">
    <cfRule type="colorScale" priority="550">
      <colorScale>
        <cfvo type="num" val="0"/>
        <cfvo type="num" val="0.5"/>
        <cfvo type="num" val="1"/>
        <color rgb="FFFF0000"/>
        <color rgb="FFFFC000"/>
        <color rgb="FF92D050"/>
      </colorScale>
    </cfRule>
  </conditionalFormatting>
  <conditionalFormatting sqref="CA7">
    <cfRule type="colorScale" priority="547">
      <colorScale>
        <cfvo type="num" val="0"/>
        <cfvo type="num" val="0.5"/>
        <cfvo type="num" val="1"/>
        <color rgb="FFFF0000"/>
        <color rgb="FFFFC000"/>
        <color rgb="FF92D050"/>
      </colorScale>
    </cfRule>
  </conditionalFormatting>
  <conditionalFormatting sqref="CD7">
    <cfRule type="colorScale" priority="546">
      <colorScale>
        <cfvo type="num" val="0"/>
        <cfvo type="num" val="0.5"/>
        <cfvo type="num" val="1"/>
        <color rgb="FFFF0000"/>
        <color rgb="FFFFC000"/>
        <color rgb="FF92D050"/>
      </colorScale>
    </cfRule>
  </conditionalFormatting>
  <conditionalFormatting sqref="CG7">
    <cfRule type="colorScale" priority="545">
      <colorScale>
        <cfvo type="num" val="0"/>
        <cfvo type="num" val="0.5"/>
        <cfvo type="num" val="1"/>
        <color rgb="FFFF0000"/>
        <color rgb="FFFFC000"/>
        <color rgb="FF92D050"/>
      </colorScale>
    </cfRule>
  </conditionalFormatting>
  <conditionalFormatting sqref="CJ7">
    <cfRule type="colorScale" priority="544">
      <colorScale>
        <cfvo type="num" val="0"/>
        <cfvo type="num" val="0.5"/>
        <cfvo type="num" val="1"/>
        <color rgb="FFFF0000"/>
        <color rgb="FFFFC000"/>
        <color rgb="FF92D050"/>
      </colorScale>
    </cfRule>
  </conditionalFormatting>
  <conditionalFormatting sqref="CM7">
    <cfRule type="colorScale" priority="543">
      <colorScale>
        <cfvo type="num" val="0"/>
        <cfvo type="num" val="0.5"/>
        <cfvo type="num" val="1"/>
        <color rgb="FFFF0000"/>
        <color rgb="FFFFC000"/>
        <color rgb="FF92D050"/>
      </colorScale>
    </cfRule>
  </conditionalFormatting>
  <conditionalFormatting sqref="CO7">
    <cfRule type="cellIs" dxfId="148" priority="541" operator="equal">
      <formula>0</formula>
    </cfRule>
    <cfRule type="colorScale" priority="542">
      <colorScale>
        <cfvo type="min"/>
        <cfvo type="percentile" val="50"/>
        <cfvo type="max"/>
        <color rgb="FF92D050"/>
        <color rgb="FFFFC000"/>
        <color rgb="FFFF0000"/>
      </colorScale>
    </cfRule>
  </conditionalFormatting>
  <conditionalFormatting sqref="CR7">
    <cfRule type="colorScale" priority="540">
      <colorScale>
        <cfvo type="num" val="0"/>
        <cfvo type="num" val="0.5"/>
        <cfvo type="num" val="1"/>
        <color rgb="FFFF0000"/>
        <color rgb="FFFFC000"/>
        <color rgb="FF92D050"/>
      </colorScale>
    </cfRule>
  </conditionalFormatting>
  <conditionalFormatting sqref="CU7">
    <cfRule type="colorScale" priority="539">
      <colorScale>
        <cfvo type="num" val="0"/>
        <cfvo type="num" val="0.5"/>
        <cfvo type="num" val="1"/>
        <color rgb="FFFF0000"/>
        <color rgb="FFFFC000"/>
        <color rgb="FF92D050"/>
      </colorScale>
    </cfRule>
  </conditionalFormatting>
  <conditionalFormatting sqref="CX7">
    <cfRule type="colorScale" priority="538">
      <colorScale>
        <cfvo type="num" val="0"/>
        <cfvo type="num" val="0.5"/>
        <cfvo type="num" val="1"/>
        <color rgb="FFFF0000"/>
        <color rgb="FFFFC000"/>
        <color rgb="FF92D050"/>
      </colorScale>
    </cfRule>
  </conditionalFormatting>
  <conditionalFormatting sqref="DA7">
    <cfRule type="colorScale" priority="537">
      <colorScale>
        <cfvo type="num" val="0"/>
        <cfvo type="num" val="0.5"/>
        <cfvo type="num" val="1"/>
        <color rgb="FFFF0000"/>
        <color rgb="FFFFC000"/>
        <color rgb="FF92D050"/>
      </colorScale>
    </cfRule>
  </conditionalFormatting>
  <conditionalFormatting sqref="DD7">
    <cfRule type="colorScale" priority="536">
      <colorScale>
        <cfvo type="num" val="0"/>
        <cfvo type="num" val="0.5"/>
        <cfvo type="num" val="1"/>
        <color rgb="FFFF0000"/>
        <color rgb="FFFFC000"/>
        <color rgb="FF92D050"/>
      </colorScale>
    </cfRule>
  </conditionalFormatting>
  <conditionalFormatting sqref="DF7">
    <cfRule type="cellIs" dxfId="147" priority="534" operator="equal">
      <formula>0</formula>
    </cfRule>
    <cfRule type="colorScale" priority="535">
      <colorScale>
        <cfvo type="min"/>
        <cfvo type="percentile" val="50"/>
        <cfvo type="max"/>
        <color rgb="FF92D050"/>
        <color rgb="FFFFC000"/>
        <color rgb="FFFF0000"/>
      </colorScale>
    </cfRule>
  </conditionalFormatting>
  <conditionalFormatting sqref="DI7">
    <cfRule type="colorScale" priority="533">
      <colorScale>
        <cfvo type="num" val="0"/>
        <cfvo type="num" val="0.5"/>
        <cfvo type="num" val="1"/>
        <color rgb="FFFF0000"/>
        <color rgb="FFFFC000"/>
        <color rgb="FF92D050"/>
      </colorScale>
    </cfRule>
  </conditionalFormatting>
  <conditionalFormatting sqref="DL7">
    <cfRule type="colorScale" priority="532">
      <colorScale>
        <cfvo type="num" val="0"/>
        <cfvo type="num" val="0.5"/>
        <cfvo type="num" val="1"/>
        <color rgb="FFFF0000"/>
        <color rgb="FFFFC000"/>
        <color rgb="FF92D050"/>
      </colorScale>
    </cfRule>
  </conditionalFormatting>
  <conditionalFormatting sqref="DO7">
    <cfRule type="colorScale" priority="531">
      <colorScale>
        <cfvo type="num" val="0"/>
        <cfvo type="num" val="0.5"/>
        <cfvo type="num" val="1"/>
        <color rgb="FFFF0000"/>
        <color rgb="FFFFC000"/>
        <color rgb="FF92D050"/>
      </colorScale>
    </cfRule>
  </conditionalFormatting>
  <conditionalFormatting sqref="DR7">
    <cfRule type="colorScale" priority="530">
      <colorScale>
        <cfvo type="num" val="0"/>
        <cfvo type="num" val="0.5"/>
        <cfvo type="num" val="1"/>
        <color rgb="FFFF0000"/>
        <color rgb="FFFFC000"/>
        <color rgb="FF92D050"/>
      </colorScale>
    </cfRule>
  </conditionalFormatting>
  <conditionalFormatting sqref="DU7">
    <cfRule type="colorScale" priority="529">
      <colorScale>
        <cfvo type="num" val="0"/>
        <cfvo type="num" val="0.5"/>
        <cfvo type="num" val="1"/>
        <color rgb="FFFF0000"/>
        <color rgb="FFFFC000"/>
        <color rgb="FF92D050"/>
      </colorScale>
    </cfRule>
  </conditionalFormatting>
  <conditionalFormatting sqref="DW7">
    <cfRule type="cellIs" dxfId="146" priority="527" operator="equal">
      <formula>0</formula>
    </cfRule>
    <cfRule type="colorScale" priority="528">
      <colorScale>
        <cfvo type="min"/>
        <cfvo type="percentile" val="50"/>
        <cfvo type="max"/>
        <color rgb="FF92D050"/>
        <color rgb="FFFFC000"/>
        <color rgb="FFFF0000"/>
      </colorScale>
    </cfRule>
  </conditionalFormatting>
  <conditionalFormatting sqref="BX7">
    <cfRule type="cellIs" dxfId="145" priority="548" operator="equal">
      <formula>0</formula>
    </cfRule>
    <cfRule type="colorScale" priority="549">
      <colorScale>
        <cfvo type="min"/>
        <cfvo type="percentile" val="50"/>
        <cfvo type="max"/>
        <color rgb="FF92D050"/>
        <color rgb="FFFFC000"/>
        <color rgb="FFFF0000"/>
      </colorScale>
    </cfRule>
  </conditionalFormatting>
  <conditionalFormatting sqref="DZ7">
    <cfRule type="colorScale" priority="525">
      <colorScale>
        <cfvo type="num" val="0"/>
        <cfvo type="num" val="0.5"/>
        <cfvo type="num" val="1"/>
        <color rgb="FFFF0000"/>
        <color rgb="FFFFC000"/>
        <color rgb="FF92D050"/>
      </colorScale>
    </cfRule>
  </conditionalFormatting>
  <conditionalFormatting sqref="EC7">
    <cfRule type="colorScale" priority="524">
      <colorScale>
        <cfvo type="num" val="0"/>
        <cfvo type="num" val="0.5"/>
        <cfvo type="num" val="1"/>
        <color rgb="FFFF0000"/>
        <color rgb="FFFFC000"/>
        <color rgb="FF92D050"/>
      </colorScale>
    </cfRule>
  </conditionalFormatting>
  <conditionalFormatting sqref="EF7">
    <cfRule type="colorScale" priority="523">
      <colorScale>
        <cfvo type="num" val="0"/>
        <cfvo type="num" val="0.5"/>
        <cfvo type="num" val="1"/>
        <color rgb="FFFF0000"/>
        <color rgb="FFFFC000"/>
        <color rgb="FF92D050"/>
      </colorScale>
    </cfRule>
  </conditionalFormatting>
  <conditionalFormatting sqref="EI7">
    <cfRule type="colorScale" priority="522">
      <colorScale>
        <cfvo type="num" val="0"/>
        <cfvo type="num" val="0.5"/>
        <cfvo type="num" val="1"/>
        <color rgb="FFFF0000"/>
        <color rgb="FFFFC000"/>
        <color rgb="FF92D050"/>
      </colorScale>
    </cfRule>
  </conditionalFormatting>
  <conditionalFormatting sqref="EL7">
    <cfRule type="colorScale" priority="521">
      <colorScale>
        <cfvo type="num" val="0"/>
        <cfvo type="num" val="0.5"/>
        <cfvo type="num" val="1"/>
        <color rgb="FFFF0000"/>
        <color rgb="FFFFC000"/>
        <color rgb="FF92D050"/>
      </colorScale>
    </cfRule>
  </conditionalFormatting>
  <conditionalFormatting sqref="EN7">
    <cfRule type="cellIs" dxfId="144" priority="519" operator="equal">
      <formula>0</formula>
    </cfRule>
    <cfRule type="colorScale" priority="520">
      <colorScale>
        <cfvo type="min"/>
        <cfvo type="percentile" val="50"/>
        <cfvo type="max"/>
        <color rgb="FF92D050"/>
        <color rgb="FFFFC000"/>
        <color rgb="FFFF0000"/>
      </colorScale>
    </cfRule>
  </conditionalFormatting>
  <conditionalFormatting sqref="EQ7">
    <cfRule type="colorScale" priority="517">
      <colorScale>
        <cfvo type="num" val="0"/>
        <cfvo type="num" val="0.5"/>
        <cfvo type="num" val="1"/>
        <color rgb="FFFF0000"/>
        <color rgb="FFFFC000"/>
        <color rgb="FF92D050"/>
      </colorScale>
    </cfRule>
  </conditionalFormatting>
  <conditionalFormatting sqref="ET7">
    <cfRule type="colorScale" priority="516">
      <colorScale>
        <cfvo type="num" val="0"/>
        <cfvo type="num" val="0.5"/>
        <cfvo type="num" val="1"/>
        <color rgb="FFFF0000"/>
        <color rgb="FFFFC000"/>
        <color rgb="FF92D050"/>
      </colorScale>
    </cfRule>
  </conditionalFormatting>
  <conditionalFormatting sqref="EW7">
    <cfRule type="colorScale" priority="515">
      <colorScale>
        <cfvo type="num" val="0"/>
        <cfvo type="num" val="0.5"/>
        <cfvo type="num" val="1"/>
        <color rgb="FFFF0000"/>
        <color rgb="FFFFC000"/>
        <color rgb="FF92D050"/>
      </colorScale>
    </cfRule>
  </conditionalFormatting>
  <conditionalFormatting sqref="EZ7">
    <cfRule type="colorScale" priority="514">
      <colorScale>
        <cfvo type="num" val="0"/>
        <cfvo type="num" val="0.5"/>
        <cfvo type="num" val="1"/>
        <color rgb="FFFF0000"/>
        <color rgb="FFFFC000"/>
        <color rgb="FF92D050"/>
      </colorScale>
    </cfRule>
  </conditionalFormatting>
  <conditionalFormatting sqref="FC7:FD7">
    <cfRule type="colorScale" priority="513">
      <colorScale>
        <cfvo type="num" val="0"/>
        <cfvo type="num" val="0.5"/>
        <cfvo type="num" val="1"/>
        <color rgb="FFFF0000"/>
        <color rgb="FFFFC000"/>
        <color rgb="FF92D050"/>
      </colorScale>
    </cfRule>
  </conditionalFormatting>
  <conditionalFormatting sqref="FE7">
    <cfRule type="cellIs" dxfId="143" priority="511" operator="equal">
      <formula>0</formula>
    </cfRule>
    <cfRule type="colorScale" priority="512">
      <colorScale>
        <cfvo type="min"/>
        <cfvo type="percentile" val="50"/>
        <cfvo type="max"/>
        <color rgb="FF92D050"/>
        <color rgb="FFFFC000"/>
        <color rgb="FFFF0000"/>
      </colorScale>
    </cfRule>
  </conditionalFormatting>
  <conditionalFormatting sqref="FH7">
    <cfRule type="colorScale" priority="510">
      <colorScale>
        <cfvo type="num" val="0"/>
        <cfvo type="num" val="0.5"/>
        <cfvo type="num" val="1"/>
        <color rgb="FFFF0000"/>
        <color rgb="FFFFC000"/>
        <color rgb="FF92D050"/>
      </colorScale>
    </cfRule>
  </conditionalFormatting>
  <conditionalFormatting sqref="FK7">
    <cfRule type="colorScale" priority="509">
      <colorScale>
        <cfvo type="num" val="0"/>
        <cfvo type="num" val="0.5"/>
        <cfvo type="num" val="1"/>
        <color rgb="FFFF0000"/>
        <color rgb="FFFFC000"/>
        <color rgb="FF92D050"/>
      </colorScale>
    </cfRule>
  </conditionalFormatting>
  <conditionalFormatting sqref="FN7">
    <cfRule type="colorScale" priority="508">
      <colorScale>
        <cfvo type="num" val="0"/>
        <cfvo type="num" val="0.5"/>
        <cfvo type="num" val="1"/>
        <color rgb="FFFF0000"/>
        <color rgb="FFFFC000"/>
        <color rgb="FF92D050"/>
      </colorScale>
    </cfRule>
  </conditionalFormatting>
  <conditionalFormatting sqref="FQ7">
    <cfRule type="colorScale" priority="507">
      <colorScale>
        <cfvo type="num" val="0"/>
        <cfvo type="num" val="0.5"/>
        <cfvo type="num" val="1"/>
        <color rgb="FFFF0000"/>
        <color rgb="FFFFC000"/>
        <color rgb="FF92D050"/>
      </colorScale>
    </cfRule>
  </conditionalFormatting>
  <conditionalFormatting sqref="FT7">
    <cfRule type="colorScale" priority="506">
      <colorScale>
        <cfvo type="num" val="0"/>
        <cfvo type="num" val="0.5"/>
        <cfvo type="num" val="1"/>
        <color rgb="FFFF0000"/>
        <color rgb="FFFFC000"/>
        <color rgb="FF92D050"/>
      </colorScale>
    </cfRule>
  </conditionalFormatting>
  <conditionalFormatting sqref="FV7">
    <cfRule type="cellIs" dxfId="142" priority="504" operator="equal">
      <formula>0</formula>
    </cfRule>
    <cfRule type="colorScale" priority="505">
      <colorScale>
        <cfvo type="min"/>
        <cfvo type="percentile" val="50"/>
        <cfvo type="max"/>
        <color rgb="FF92D050"/>
        <color rgb="FFFFC000"/>
        <color rgb="FFFF0000"/>
      </colorScale>
    </cfRule>
  </conditionalFormatting>
  <conditionalFormatting sqref="FY7">
    <cfRule type="colorScale" priority="503">
      <colorScale>
        <cfvo type="num" val="0"/>
        <cfvo type="num" val="0.5"/>
        <cfvo type="num" val="1"/>
        <color rgb="FFFF0000"/>
        <color rgb="FFFFC000"/>
        <color rgb="FF92D050"/>
      </colorScale>
    </cfRule>
  </conditionalFormatting>
  <conditionalFormatting sqref="GB7">
    <cfRule type="colorScale" priority="502">
      <colorScale>
        <cfvo type="num" val="0"/>
        <cfvo type="num" val="0.5"/>
        <cfvo type="num" val="1"/>
        <color rgb="FFFF0000"/>
        <color rgb="FFFFC000"/>
        <color rgb="FF92D050"/>
      </colorScale>
    </cfRule>
  </conditionalFormatting>
  <conditionalFormatting sqref="GE7">
    <cfRule type="colorScale" priority="501">
      <colorScale>
        <cfvo type="num" val="0"/>
        <cfvo type="num" val="0.5"/>
        <cfvo type="num" val="1"/>
        <color rgb="FFFF0000"/>
        <color rgb="FFFFC000"/>
        <color rgb="FF92D050"/>
      </colorScale>
    </cfRule>
  </conditionalFormatting>
  <conditionalFormatting sqref="GH7">
    <cfRule type="colorScale" priority="500">
      <colorScale>
        <cfvo type="num" val="0"/>
        <cfvo type="num" val="0.5"/>
        <cfvo type="num" val="1"/>
        <color rgb="FFFF0000"/>
        <color rgb="FFFFC000"/>
        <color rgb="FF92D050"/>
      </colorScale>
    </cfRule>
  </conditionalFormatting>
  <conditionalFormatting sqref="GK7">
    <cfRule type="colorScale" priority="499">
      <colorScale>
        <cfvo type="num" val="0"/>
        <cfvo type="num" val="0.5"/>
        <cfvo type="num" val="1"/>
        <color rgb="FFFF0000"/>
        <color rgb="FFFFC000"/>
        <color rgb="FF92D050"/>
      </colorScale>
    </cfRule>
  </conditionalFormatting>
  <conditionalFormatting sqref="GM7">
    <cfRule type="cellIs" dxfId="141" priority="497" operator="equal">
      <formula>0</formula>
    </cfRule>
    <cfRule type="colorScale" priority="498">
      <colorScale>
        <cfvo type="min"/>
        <cfvo type="percentile" val="50"/>
        <cfvo type="max"/>
        <color rgb="FF92D050"/>
        <color rgb="FFFFC000"/>
        <color rgb="FFFF0000"/>
      </colorScale>
    </cfRule>
  </conditionalFormatting>
  <conditionalFormatting sqref="FD7">
    <cfRule type="colorScale" priority="491">
      <colorScale>
        <cfvo type="min"/>
        <cfvo type="percentile" val="50"/>
        <cfvo type="max"/>
        <color rgb="FF92D050"/>
        <color rgb="FFFFC000"/>
        <color rgb="FFFF0000"/>
      </colorScale>
    </cfRule>
  </conditionalFormatting>
  <conditionalFormatting sqref="FU7">
    <cfRule type="colorScale" priority="490">
      <colorScale>
        <cfvo type="num" val="0"/>
        <cfvo type="num" val="0.5"/>
        <cfvo type="num" val="1"/>
        <color rgb="FFFF0000"/>
        <color rgb="FFFFC000"/>
        <color rgb="FF92D050"/>
      </colorScale>
    </cfRule>
  </conditionalFormatting>
  <conditionalFormatting sqref="FU7">
    <cfRule type="colorScale" priority="489">
      <colorScale>
        <cfvo type="min"/>
        <cfvo type="percentile" val="50"/>
        <cfvo type="max"/>
        <color rgb="FF92D050"/>
        <color rgb="FFFFC000"/>
        <color rgb="FFFF0000"/>
      </colorScale>
    </cfRule>
  </conditionalFormatting>
  <conditionalFormatting sqref="GP7">
    <cfRule type="colorScale" priority="488">
      <colorScale>
        <cfvo type="num" val="0"/>
        <cfvo type="num" val="0.5"/>
        <cfvo type="num" val="1"/>
        <color rgb="FFFF0000"/>
        <color rgb="FFFFC000"/>
        <color rgb="FF92D050"/>
      </colorScale>
    </cfRule>
  </conditionalFormatting>
  <conditionalFormatting sqref="GS7">
    <cfRule type="colorScale" priority="487">
      <colorScale>
        <cfvo type="num" val="0"/>
        <cfvo type="num" val="0.5"/>
        <cfvo type="num" val="1"/>
        <color rgb="FFFF0000"/>
        <color rgb="FFFFC000"/>
        <color rgb="FF92D050"/>
      </colorScale>
    </cfRule>
  </conditionalFormatting>
  <conditionalFormatting sqref="GV7">
    <cfRule type="colorScale" priority="486">
      <colorScale>
        <cfvo type="num" val="0"/>
        <cfvo type="num" val="0.5"/>
        <cfvo type="num" val="1"/>
        <color rgb="FFFF0000"/>
        <color rgb="FFFFC000"/>
        <color rgb="FF92D050"/>
      </colorScale>
    </cfRule>
  </conditionalFormatting>
  <conditionalFormatting sqref="GY7">
    <cfRule type="colorScale" priority="485">
      <colorScale>
        <cfvo type="num" val="0"/>
        <cfvo type="num" val="0.5"/>
        <cfvo type="num" val="1"/>
        <color rgb="FFFF0000"/>
        <color rgb="FFFFC000"/>
        <color rgb="FF92D050"/>
      </colorScale>
    </cfRule>
  </conditionalFormatting>
  <conditionalFormatting sqref="HB7">
    <cfRule type="colorScale" priority="484">
      <colorScale>
        <cfvo type="num" val="0"/>
        <cfvo type="num" val="0.5"/>
        <cfvo type="num" val="1"/>
        <color rgb="FFFF0000"/>
        <color rgb="FFFFC000"/>
        <color rgb="FF92D050"/>
      </colorScale>
    </cfRule>
  </conditionalFormatting>
  <conditionalFormatting sqref="HD7">
    <cfRule type="cellIs" dxfId="140" priority="482" operator="equal">
      <formula>0</formula>
    </cfRule>
    <cfRule type="colorScale" priority="483">
      <colorScale>
        <cfvo type="min"/>
        <cfvo type="percentile" val="50"/>
        <cfvo type="max"/>
        <color rgb="FF92D050"/>
        <color rgb="FFFFC000"/>
        <color rgb="FFFF0000"/>
      </colorScale>
    </cfRule>
  </conditionalFormatting>
  <conditionalFormatting sqref="HG7">
    <cfRule type="colorScale" priority="481">
      <colorScale>
        <cfvo type="num" val="0"/>
        <cfvo type="num" val="0.5"/>
        <cfvo type="num" val="1"/>
        <color rgb="FFFF0000"/>
        <color rgb="FFFFC000"/>
        <color rgb="FF92D050"/>
      </colorScale>
    </cfRule>
  </conditionalFormatting>
  <conditionalFormatting sqref="HJ7">
    <cfRule type="colorScale" priority="480">
      <colorScale>
        <cfvo type="num" val="0"/>
        <cfvo type="num" val="0.5"/>
        <cfvo type="num" val="1"/>
        <color rgb="FFFF0000"/>
        <color rgb="FFFFC000"/>
        <color rgb="FF92D050"/>
      </colorScale>
    </cfRule>
  </conditionalFormatting>
  <conditionalFormatting sqref="HM7">
    <cfRule type="colorScale" priority="479">
      <colorScale>
        <cfvo type="num" val="0"/>
        <cfvo type="num" val="0.5"/>
        <cfvo type="num" val="1"/>
        <color rgb="FFFF0000"/>
        <color rgb="FFFFC000"/>
        <color rgb="FF92D050"/>
      </colorScale>
    </cfRule>
  </conditionalFormatting>
  <conditionalFormatting sqref="HP7">
    <cfRule type="colorScale" priority="478">
      <colorScale>
        <cfvo type="num" val="0"/>
        <cfvo type="num" val="0.5"/>
        <cfvo type="num" val="1"/>
        <color rgb="FFFF0000"/>
        <color rgb="FFFFC000"/>
        <color rgb="FF92D050"/>
      </colorScale>
    </cfRule>
  </conditionalFormatting>
  <conditionalFormatting sqref="HS7">
    <cfRule type="colorScale" priority="477">
      <colorScale>
        <cfvo type="num" val="0"/>
        <cfvo type="num" val="0.5"/>
        <cfvo type="num" val="1"/>
        <color rgb="FFFF0000"/>
        <color rgb="FFFFC000"/>
        <color rgb="FF92D050"/>
      </colorScale>
    </cfRule>
  </conditionalFormatting>
  <conditionalFormatting sqref="HU7">
    <cfRule type="cellIs" dxfId="139" priority="475" operator="equal">
      <formula>0</formula>
    </cfRule>
    <cfRule type="colorScale" priority="476">
      <colorScale>
        <cfvo type="min"/>
        <cfvo type="percentile" val="50"/>
        <cfvo type="max"/>
        <color rgb="FF92D050"/>
        <color rgb="FFFFC000"/>
        <color rgb="FFFF0000"/>
      </colorScale>
    </cfRule>
  </conditionalFormatting>
  <conditionalFormatting sqref="HX7">
    <cfRule type="colorScale" priority="474">
      <colorScale>
        <cfvo type="num" val="0"/>
        <cfvo type="num" val="0.5"/>
        <cfvo type="num" val="1"/>
        <color rgb="FFFF0000"/>
        <color rgb="FFFFC000"/>
        <color rgb="FF92D050"/>
      </colorScale>
    </cfRule>
  </conditionalFormatting>
  <conditionalFormatting sqref="IA7">
    <cfRule type="colorScale" priority="473">
      <colorScale>
        <cfvo type="num" val="0"/>
        <cfvo type="num" val="0.5"/>
        <cfvo type="num" val="1"/>
        <color rgb="FFFF0000"/>
        <color rgb="FFFFC000"/>
        <color rgb="FF92D050"/>
      </colorScale>
    </cfRule>
  </conditionalFormatting>
  <conditionalFormatting sqref="ID7">
    <cfRule type="colorScale" priority="472">
      <colorScale>
        <cfvo type="num" val="0"/>
        <cfvo type="num" val="0.5"/>
        <cfvo type="num" val="1"/>
        <color rgb="FFFF0000"/>
        <color rgb="FFFFC000"/>
        <color rgb="FF92D050"/>
      </colorScale>
    </cfRule>
  </conditionalFormatting>
  <conditionalFormatting sqref="IG7">
    <cfRule type="colorScale" priority="471">
      <colorScale>
        <cfvo type="num" val="0"/>
        <cfvo type="num" val="0.5"/>
        <cfvo type="num" val="1"/>
        <color rgb="FFFF0000"/>
        <color rgb="FFFFC000"/>
        <color rgb="FF92D050"/>
      </colorScale>
    </cfRule>
  </conditionalFormatting>
  <conditionalFormatting sqref="IJ7">
    <cfRule type="colorScale" priority="470">
      <colorScale>
        <cfvo type="num" val="0"/>
        <cfvo type="num" val="0.5"/>
        <cfvo type="num" val="1"/>
        <color rgb="FFFF0000"/>
        <color rgb="FFFFC000"/>
        <color rgb="FF92D050"/>
      </colorScale>
    </cfRule>
  </conditionalFormatting>
  <conditionalFormatting sqref="IL7">
    <cfRule type="cellIs" dxfId="138" priority="468" operator="equal">
      <formula>0</formula>
    </cfRule>
    <cfRule type="colorScale" priority="469">
      <colorScale>
        <cfvo type="min"/>
        <cfvo type="percentile" val="50"/>
        <cfvo type="max"/>
        <color rgb="FF92D050"/>
        <color rgb="FFFFC000"/>
        <color rgb="FFFF0000"/>
      </colorScale>
    </cfRule>
  </conditionalFormatting>
  <conditionalFormatting sqref="IK7">
    <cfRule type="colorScale" priority="467">
      <colorScale>
        <cfvo type="num" val="0"/>
        <cfvo type="num" val="0.5"/>
        <cfvo type="num" val="1"/>
        <color rgb="FFFF0000"/>
        <color rgb="FFFFC000"/>
        <color rgb="FF92D050"/>
      </colorScale>
    </cfRule>
  </conditionalFormatting>
  <conditionalFormatting sqref="IK7">
    <cfRule type="colorScale" priority="466">
      <colorScale>
        <cfvo type="min"/>
        <cfvo type="percentile" val="50"/>
        <cfvo type="max"/>
        <color rgb="FF92D050"/>
        <color rgb="FFFFC000"/>
        <color rgb="FFFF0000"/>
      </colorScale>
    </cfRule>
  </conditionalFormatting>
  <conditionalFormatting sqref="HT7">
    <cfRule type="colorScale" priority="465">
      <colorScale>
        <cfvo type="num" val="0"/>
        <cfvo type="num" val="0.5"/>
        <cfvo type="num" val="1"/>
        <color rgb="FFFF0000"/>
        <color rgb="FFFFC000"/>
        <color rgb="FF92D050"/>
      </colorScale>
    </cfRule>
  </conditionalFormatting>
  <conditionalFormatting sqref="HT7">
    <cfRule type="colorScale" priority="464">
      <colorScale>
        <cfvo type="min"/>
        <cfvo type="percentile" val="50"/>
        <cfvo type="max"/>
        <color rgb="FF92D050"/>
        <color rgb="FFFFC000"/>
        <color rgb="FFFF0000"/>
      </colorScale>
    </cfRule>
  </conditionalFormatting>
  <conditionalFormatting sqref="IO7">
    <cfRule type="colorScale" priority="463">
      <colorScale>
        <cfvo type="num" val="0"/>
        <cfvo type="num" val="0.5"/>
        <cfvo type="num" val="1"/>
        <color rgb="FFFF0000"/>
        <color rgb="FFFFC000"/>
        <color rgb="FF92D050"/>
      </colorScale>
    </cfRule>
  </conditionalFormatting>
  <conditionalFormatting sqref="IR7">
    <cfRule type="colorScale" priority="462">
      <colorScale>
        <cfvo type="num" val="0"/>
        <cfvo type="num" val="0.5"/>
        <cfvo type="num" val="1"/>
        <color rgb="FFFF0000"/>
        <color rgb="FFFFC000"/>
        <color rgb="FF92D050"/>
      </colorScale>
    </cfRule>
  </conditionalFormatting>
  <conditionalFormatting sqref="IU7">
    <cfRule type="colorScale" priority="461">
      <colorScale>
        <cfvo type="num" val="0"/>
        <cfvo type="num" val="0.5"/>
        <cfvo type="num" val="1"/>
        <color rgb="FFFF0000"/>
        <color rgb="FFFFC000"/>
        <color rgb="FF92D050"/>
      </colorScale>
    </cfRule>
  </conditionalFormatting>
  <conditionalFormatting sqref="IX7">
    <cfRule type="colorScale" priority="460">
      <colorScale>
        <cfvo type="num" val="0"/>
        <cfvo type="num" val="0.5"/>
        <cfvo type="num" val="1"/>
        <color rgb="FFFF0000"/>
        <color rgb="FFFFC000"/>
        <color rgb="FF92D050"/>
      </colorScale>
    </cfRule>
  </conditionalFormatting>
  <conditionalFormatting sqref="JA7">
    <cfRule type="colorScale" priority="459">
      <colorScale>
        <cfvo type="num" val="0"/>
        <cfvo type="num" val="0.5"/>
        <cfvo type="num" val="1"/>
        <color rgb="FFFF0000"/>
        <color rgb="FFFFC000"/>
        <color rgb="FF92D050"/>
      </colorScale>
    </cfRule>
  </conditionalFormatting>
  <conditionalFormatting sqref="JC7">
    <cfRule type="cellIs" dxfId="137" priority="457" operator="equal">
      <formula>0</formula>
    </cfRule>
    <cfRule type="colorScale" priority="458">
      <colorScale>
        <cfvo type="min"/>
        <cfvo type="percentile" val="50"/>
        <cfvo type="max"/>
        <color rgb="FF92D050"/>
        <color rgb="FFFFC000"/>
        <color rgb="FFFF0000"/>
      </colorScale>
    </cfRule>
  </conditionalFormatting>
  <conditionalFormatting sqref="JB7">
    <cfRule type="colorScale" priority="456">
      <colorScale>
        <cfvo type="num" val="0"/>
        <cfvo type="num" val="0.5"/>
        <cfvo type="num" val="1"/>
        <color rgb="FFFF0000"/>
        <color rgb="FFFFC000"/>
        <color rgb="FF92D050"/>
      </colorScale>
    </cfRule>
  </conditionalFormatting>
  <conditionalFormatting sqref="JB7">
    <cfRule type="colorScale" priority="455">
      <colorScale>
        <cfvo type="min"/>
        <cfvo type="percentile" val="50"/>
        <cfvo type="max"/>
        <color rgb="FF92D050"/>
        <color rgb="FFFFC000"/>
        <color rgb="FFFF0000"/>
      </colorScale>
    </cfRule>
  </conditionalFormatting>
  <conditionalFormatting sqref="JF7">
    <cfRule type="colorScale" priority="454">
      <colorScale>
        <cfvo type="num" val="0"/>
        <cfvo type="num" val="0.5"/>
        <cfvo type="num" val="1"/>
        <color rgb="FFFF0000"/>
        <color rgb="FFFFC000"/>
        <color rgb="FF92D050"/>
      </colorScale>
    </cfRule>
  </conditionalFormatting>
  <conditionalFormatting sqref="JI7">
    <cfRule type="colorScale" priority="453">
      <colorScale>
        <cfvo type="num" val="0"/>
        <cfvo type="num" val="0.5"/>
        <cfvo type="num" val="1"/>
        <color rgb="FFFF0000"/>
        <color rgb="FFFFC000"/>
        <color rgb="FF92D050"/>
      </colorScale>
    </cfRule>
  </conditionalFormatting>
  <conditionalFormatting sqref="JL7">
    <cfRule type="colorScale" priority="452">
      <colorScale>
        <cfvo type="num" val="0"/>
        <cfvo type="num" val="0.5"/>
        <cfvo type="num" val="1"/>
        <color rgb="FFFF0000"/>
        <color rgb="FFFFC000"/>
        <color rgb="FF92D050"/>
      </colorScale>
    </cfRule>
  </conditionalFormatting>
  <conditionalFormatting sqref="JO7">
    <cfRule type="colorScale" priority="451">
      <colorScale>
        <cfvo type="num" val="0"/>
        <cfvo type="num" val="0.5"/>
        <cfvo type="num" val="1"/>
        <color rgb="FFFF0000"/>
        <color rgb="FFFFC000"/>
        <color rgb="FF92D050"/>
      </colorScale>
    </cfRule>
  </conditionalFormatting>
  <conditionalFormatting sqref="JR7">
    <cfRule type="colorScale" priority="450">
      <colorScale>
        <cfvo type="num" val="0"/>
        <cfvo type="num" val="0.5"/>
        <cfvo type="num" val="1"/>
        <color rgb="FFFF0000"/>
        <color rgb="FFFFC000"/>
        <color rgb="FF92D050"/>
      </colorScale>
    </cfRule>
  </conditionalFormatting>
  <conditionalFormatting sqref="JT7">
    <cfRule type="cellIs" dxfId="136" priority="448" operator="equal">
      <formula>0</formula>
    </cfRule>
    <cfRule type="colorScale" priority="449">
      <colorScale>
        <cfvo type="min"/>
        <cfvo type="percentile" val="50"/>
        <cfvo type="max"/>
        <color rgb="FF92D050"/>
        <color rgb="FFFFC000"/>
        <color rgb="FFFF0000"/>
      </colorScale>
    </cfRule>
  </conditionalFormatting>
  <conditionalFormatting sqref="JS7">
    <cfRule type="colorScale" priority="447">
      <colorScale>
        <cfvo type="num" val="0"/>
        <cfvo type="num" val="0.5"/>
        <cfvo type="num" val="1"/>
        <color rgb="FFFF0000"/>
        <color rgb="FFFFC000"/>
        <color rgb="FF92D050"/>
      </colorScale>
    </cfRule>
  </conditionalFormatting>
  <conditionalFormatting sqref="JS7">
    <cfRule type="colorScale" priority="446">
      <colorScale>
        <cfvo type="min"/>
        <cfvo type="percentile" val="50"/>
        <cfvo type="max"/>
        <color rgb="FF92D050"/>
        <color rgb="FFFFC000"/>
        <color rgb="FFFF0000"/>
      </colorScale>
    </cfRule>
  </conditionalFormatting>
  <conditionalFormatting sqref="HC7">
    <cfRule type="colorScale" priority="445">
      <colorScale>
        <cfvo type="num" val="0"/>
        <cfvo type="num" val="0.5"/>
        <cfvo type="num" val="1"/>
        <color rgb="FFFF0000"/>
        <color rgb="FFFFC000"/>
        <color rgb="FF92D050"/>
      </colorScale>
    </cfRule>
  </conditionalFormatting>
  <conditionalFormatting sqref="HC7">
    <cfRule type="colorScale" priority="444">
      <colorScale>
        <cfvo type="min"/>
        <cfvo type="percentile" val="50"/>
        <cfvo type="max"/>
        <color rgb="FF92D050"/>
        <color rgb="FFFFC000"/>
        <color rgb="FFFF0000"/>
      </colorScale>
    </cfRule>
  </conditionalFormatting>
  <conditionalFormatting sqref="GL7">
    <cfRule type="colorScale" priority="443">
      <colorScale>
        <cfvo type="num" val="0"/>
        <cfvo type="num" val="0.5"/>
        <cfvo type="num" val="1"/>
        <color rgb="FFFF0000"/>
        <color rgb="FFFFC000"/>
        <color rgb="FF92D050"/>
      </colorScale>
    </cfRule>
  </conditionalFormatting>
  <conditionalFormatting sqref="GL7">
    <cfRule type="colorScale" priority="442">
      <colorScale>
        <cfvo type="min"/>
        <cfvo type="percentile" val="50"/>
        <cfvo type="max"/>
        <color rgb="FF92D050"/>
        <color rgb="FFFFC000"/>
        <color rgb="FFFF0000"/>
      </colorScale>
    </cfRule>
  </conditionalFormatting>
  <conditionalFormatting sqref="DV7">
    <cfRule type="colorScale" priority="441">
      <colorScale>
        <cfvo type="num" val="0"/>
        <cfvo type="num" val="0.5"/>
        <cfvo type="num" val="1"/>
        <color rgb="FFFF0000"/>
        <color rgb="FFFFC000"/>
        <color rgb="FF92D050"/>
      </colorScale>
    </cfRule>
  </conditionalFormatting>
  <conditionalFormatting sqref="DV7">
    <cfRule type="colorScale" priority="440">
      <colorScale>
        <cfvo type="min"/>
        <cfvo type="percentile" val="50"/>
        <cfvo type="max"/>
        <color rgb="FF92D050"/>
        <color rgb="FFFFC000"/>
        <color rgb="FFFF0000"/>
      </colorScale>
    </cfRule>
  </conditionalFormatting>
  <conditionalFormatting sqref="DE7">
    <cfRule type="colorScale" priority="439">
      <colorScale>
        <cfvo type="num" val="0"/>
        <cfvo type="num" val="0.5"/>
        <cfvo type="num" val="1"/>
        <color rgb="FFFF0000"/>
        <color rgb="FFFFC000"/>
        <color rgb="FF92D050"/>
      </colorScale>
    </cfRule>
  </conditionalFormatting>
  <conditionalFormatting sqref="DE7">
    <cfRule type="colorScale" priority="438">
      <colorScale>
        <cfvo type="min"/>
        <cfvo type="percentile" val="50"/>
        <cfvo type="max"/>
        <color rgb="FF92D050"/>
        <color rgb="FFFFC000"/>
        <color rgb="FFFF0000"/>
      </colorScale>
    </cfRule>
  </conditionalFormatting>
  <conditionalFormatting sqref="CN7">
    <cfRule type="colorScale" priority="437">
      <colorScale>
        <cfvo type="num" val="0"/>
        <cfvo type="num" val="0.5"/>
        <cfvo type="num" val="1"/>
        <color rgb="FFFF0000"/>
        <color rgb="FFFFC000"/>
        <color rgb="FF92D050"/>
      </colorScale>
    </cfRule>
  </conditionalFormatting>
  <conditionalFormatting sqref="CN7">
    <cfRule type="colorScale" priority="436">
      <colorScale>
        <cfvo type="min"/>
        <cfvo type="percentile" val="50"/>
        <cfvo type="max"/>
        <color rgb="FF92D050"/>
        <color rgb="FFFFC000"/>
        <color rgb="FFFF0000"/>
      </colorScale>
    </cfRule>
  </conditionalFormatting>
  <conditionalFormatting sqref="EM7">
    <cfRule type="colorScale" priority="435">
      <colorScale>
        <cfvo type="num" val="0"/>
        <cfvo type="num" val="0.5"/>
        <cfvo type="num" val="1"/>
        <color rgb="FFFF0000"/>
        <color rgb="FFFFC000"/>
        <color rgb="FF92D050"/>
      </colorScale>
    </cfRule>
  </conditionalFormatting>
  <conditionalFormatting sqref="EM7">
    <cfRule type="colorScale" priority="434">
      <colorScale>
        <cfvo type="min"/>
        <cfvo type="percentile" val="50"/>
        <cfvo type="max"/>
        <color rgb="FF92D050"/>
        <color rgb="FFFFC000"/>
        <color rgb="FFFF0000"/>
      </colorScale>
    </cfRule>
  </conditionalFormatting>
  <conditionalFormatting sqref="JW7">
    <cfRule type="colorScale" priority="433">
      <colorScale>
        <cfvo type="num" val="0"/>
        <cfvo type="num" val="0.5"/>
        <cfvo type="num" val="1"/>
        <color rgb="FFFF0000"/>
        <color rgb="FFFFC000"/>
        <color rgb="FF92D050"/>
      </colorScale>
    </cfRule>
  </conditionalFormatting>
  <conditionalFormatting sqref="JZ7">
    <cfRule type="colorScale" priority="432">
      <colorScale>
        <cfvo type="num" val="0"/>
        <cfvo type="num" val="0.5"/>
        <cfvo type="num" val="1"/>
        <color rgb="FFFF0000"/>
        <color rgb="FFFFC000"/>
        <color rgb="FF92D050"/>
      </colorScale>
    </cfRule>
  </conditionalFormatting>
  <conditionalFormatting sqref="KC7">
    <cfRule type="colorScale" priority="431">
      <colorScale>
        <cfvo type="num" val="0"/>
        <cfvo type="num" val="0.5"/>
        <cfvo type="num" val="1"/>
        <color rgb="FFFF0000"/>
        <color rgb="FFFFC000"/>
        <color rgb="FF92D050"/>
      </colorScale>
    </cfRule>
  </conditionalFormatting>
  <conditionalFormatting sqref="KF7">
    <cfRule type="colorScale" priority="430">
      <colorScale>
        <cfvo type="num" val="0"/>
        <cfvo type="num" val="0.5"/>
        <cfvo type="num" val="1"/>
        <color rgb="FFFF0000"/>
        <color rgb="FFFFC000"/>
        <color rgb="FF92D050"/>
      </colorScale>
    </cfRule>
  </conditionalFormatting>
  <conditionalFormatting sqref="KI7">
    <cfRule type="colorScale" priority="429">
      <colorScale>
        <cfvo type="num" val="0"/>
        <cfvo type="num" val="0.5"/>
        <cfvo type="num" val="1"/>
        <color rgb="FFFF0000"/>
        <color rgb="FFFFC000"/>
        <color rgb="FF92D050"/>
      </colorScale>
    </cfRule>
  </conditionalFormatting>
  <conditionalFormatting sqref="KK7">
    <cfRule type="cellIs" dxfId="135" priority="427" operator="equal">
      <formula>0</formula>
    </cfRule>
    <cfRule type="colorScale" priority="428">
      <colorScale>
        <cfvo type="min"/>
        <cfvo type="percentile" val="50"/>
        <cfvo type="max"/>
        <color rgb="FF92D050"/>
        <color rgb="FFFFC000"/>
        <color rgb="FFFF0000"/>
      </colorScale>
    </cfRule>
  </conditionalFormatting>
  <conditionalFormatting sqref="KJ7">
    <cfRule type="colorScale" priority="426">
      <colorScale>
        <cfvo type="num" val="0"/>
        <cfvo type="num" val="0.5"/>
        <cfvo type="num" val="1"/>
        <color rgb="FFFF0000"/>
        <color rgb="FFFFC000"/>
        <color rgb="FF92D050"/>
      </colorScale>
    </cfRule>
  </conditionalFormatting>
  <conditionalFormatting sqref="KJ7">
    <cfRule type="colorScale" priority="425">
      <colorScale>
        <cfvo type="min"/>
        <cfvo type="percentile" val="50"/>
        <cfvo type="max"/>
        <color rgb="FF92D050"/>
        <color rgb="FFFFC000"/>
        <color rgb="FFFF0000"/>
      </colorScale>
    </cfRule>
  </conditionalFormatting>
  <conditionalFormatting sqref="KN7">
    <cfRule type="colorScale" priority="424">
      <colorScale>
        <cfvo type="num" val="0"/>
        <cfvo type="num" val="0.5"/>
        <cfvo type="num" val="1"/>
        <color rgb="FFFF0000"/>
        <color rgb="FFFFC000"/>
        <color rgb="FF92D050"/>
      </colorScale>
    </cfRule>
  </conditionalFormatting>
  <conditionalFormatting sqref="KQ7">
    <cfRule type="colorScale" priority="423">
      <colorScale>
        <cfvo type="num" val="0"/>
        <cfvo type="num" val="0.5"/>
        <cfvo type="num" val="1"/>
        <color rgb="FFFF0000"/>
        <color rgb="FFFFC000"/>
        <color rgb="FF92D050"/>
      </colorScale>
    </cfRule>
  </conditionalFormatting>
  <conditionalFormatting sqref="KT7">
    <cfRule type="colorScale" priority="422">
      <colorScale>
        <cfvo type="num" val="0"/>
        <cfvo type="num" val="0.5"/>
        <cfvo type="num" val="1"/>
        <color rgb="FFFF0000"/>
        <color rgb="FFFFC000"/>
        <color rgb="FF92D050"/>
      </colorScale>
    </cfRule>
  </conditionalFormatting>
  <conditionalFormatting sqref="KW7">
    <cfRule type="colorScale" priority="421">
      <colorScale>
        <cfvo type="num" val="0"/>
        <cfvo type="num" val="0.5"/>
        <cfvo type="num" val="1"/>
        <color rgb="FFFF0000"/>
        <color rgb="FFFFC000"/>
        <color rgb="FF92D050"/>
      </colorScale>
    </cfRule>
  </conditionalFormatting>
  <conditionalFormatting sqref="KZ7">
    <cfRule type="colorScale" priority="420">
      <colorScale>
        <cfvo type="num" val="0"/>
        <cfvo type="num" val="0.5"/>
        <cfvo type="num" val="1"/>
        <color rgb="FFFF0000"/>
        <color rgb="FFFFC000"/>
        <color rgb="FF92D050"/>
      </colorScale>
    </cfRule>
  </conditionalFormatting>
  <conditionalFormatting sqref="LB7">
    <cfRule type="cellIs" dxfId="134" priority="418" operator="equal">
      <formula>0</formula>
    </cfRule>
    <cfRule type="colorScale" priority="419">
      <colorScale>
        <cfvo type="min"/>
        <cfvo type="percentile" val="50"/>
        <cfvo type="max"/>
        <color rgb="FF92D050"/>
        <color rgb="FFFFC000"/>
        <color rgb="FFFF0000"/>
      </colorScale>
    </cfRule>
  </conditionalFormatting>
  <conditionalFormatting sqref="LA7">
    <cfRule type="colorScale" priority="417">
      <colorScale>
        <cfvo type="num" val="0"/>
        <cfvo type="num" val="0.5"/>
        <cfvo type="num" val="1"/>
        <color rgb="FFFF0000"/>
        <color rgb="FFFFC000"/>
        <color rgb="FF92D050"/>
      </colorScale>
    </cfRule>
  </conditionalFormatting>
  <conditionalFormatting sqref="LA7">
    <cfRule type="colorScale" priority="416">
      <colorScale>
        <cfvo type="min"/>
        <cfvo type="percentile" val="50"/>
        <cfvo type="max"/>
        <color rgb="FF92D050"/>
        <color rgb="FFFFC000"/>
        <color rgb="FFFF0000"/>
      </colorScale>
    </cfRule>
  </conditionalFormatting>
  <conditionalFormatting sqref="LE7">
    <cfRule type="colorScale" priority="415">
      <colorScale>
        <cfvo type="num" val="0"/>
        <cfvo type="num" val="0.5"/>
        <cfvo type="num" val="1"/>
        <color rgb="FFFF0000"/>
        <color rgb="FFFFC000"/>
        <color rgb="FF92D050"/>
      </colorScale>
    </cfRule>
  </conditionalFormatting>
  <conditionalFormatting sqref="LH7">
    <cfRule type="colorScale" priority="414">
      <colorScale>
        <cfvo type="num" val="0"/>
        <cfvo type="num" val="0.5"/>
        <cfvo type="num" val="1"/>
        <color rgb="FFFF0000"/>
        <color rgb="FFFFC000"/>
        <color rgb="FF92D050"/>
      </colorScale>
    </cfRule>
  </conditionalFormatting>
  <conditionalFormatting sqref="LK7">
    <cfRule type="colorScale" priority="413">
      <colorScale>
        <cfvo type="num" val="0"/>
        <cfvo type="num" val="0.5"/>
        <cfvo type="num" val="1"/>
        <color rgb="FFFF0000"/>
        <color rgb="FFFFC000"/>
        <color rgb="FF92D050"/>
      </colorScale>
    </cfRule>
  </conditionalFormatting>
  <conditionalFormatting sqref="LN7">
    <cfRule type="colorScale" priority="412">
      <colorScale>
        <cfvo type="num" val="0"/>
        <cfvo type="num" val="0.5"/>
        <cfvo type="num" val="1"/>
        <color rgb="FFFF0000"/>
        <color rgb="FFFFC000"/>
        <color rgb="FF92D050"/>
      </colorScale>
    </cfRule>
  </conditionalFormatting>
  <conditionalFormatting sqref="LQ7">
    <cfRule type="colorScale" priority="411">
      <colorScale>
        <cfvo type="num" val="0"/>
        <cfvo type="num" val="0.5"/>
        <cfvo type="num" val="1"/>
        <color rgb="FFFF0000"/>
        <color rgb="FFFFC000"/>
        <color rgb="FF92D050"/>
      </colorScale>
    </cfRule>
  </conditionalFormatting>
  <conditionalFormatting sqref="LS7">
    <cfRule type="cellIs" dxfId="133" priority="409" operator="equal">
      <formula>0</formula>
    </cfRule>
    <cfRule type="colorScale" priority="410">
      <colorScale>
        <cfvo type="min"/>
        <cfvo type="percentile" val="50"/>
        <cfvo type="max"/>
        <color rgb="FF92D050"/>
        <color rgb="FFFFC000"/>
        <color rgb="FFFF0000"/>
      </colorScale>
    </cfRule>
  </conditionalFormatting>
  <conditionalFormatting sqref="LR7">
    <cfRule type="colorScale" priority="408">
      <colorScale>
        <cfvo type="num" val="0"/>
        <cfvo type="num" val="0.5"/>
        <cfvo type="num" val="1"/>
        <color rgb="FFFF0000"/>
        <color rgb="FFFFC000"/>
        <color rgb="FF92D050"/>
      </colorScale>
    </cfRule>
  </conditionalFormatting>
  <conditionalFormatting sqref="LR7">
    <cfRule type="colorScale" priority="407">
      <colorScale>
        <cfvo type="min"/>
        <cfvo type="percentile" val="50"/>
        <cfvo type="max"/>
        <color rgb="FF92D050"/>
        <color rgb="FFFFC000"/>
        <color rgb="FFFF0000"/>
      </colorScale>
    </cfRule>
  </conditionalFormatting>
  <conditionalFormatting sqref="LV7">
    <cfRule type="colorScale" priority="406">
      <colorScale>
        <cfvo type="num" val="0"/>
        <cfvo type="num" val="0.5"/>
        <cfvo type="num" val="1"/>
        <color rgb="FFFF0000"/>
        <color rgb="FFFFC000"/>
        <color rgb="FF92D050"/>
      </colorScale>
    </cfRule>
  </conditionalFormatting>
  <conditionalFormatting sqref="LY7">
    <cfRule type="colorScale" priority="405">
      <colorScale>
        <cfvo type="num" val="0"/>
        <cfvo type="num" val="0.5"/>
        <cfvo type="num" val="1"/>
        <color rgb="FFFF0000"/>
        <color rgb="FFFFC000"/>
        <color rgb="FF92D050"/>
      </colorScale>
    </cfRule>
  </conditionalFormatting>
  <conditionalFormatting sqref="MB7">
    <cfRule type="colorScale" priority="404">
      <colorScale>
        <cfvo type="num" val="0"/>
        <cfvo type="num" val="0.5"/>
        <cfvo type="num" val="1"/>
        <color rgb="FFFF0000"/>
        <color rgb="FFFFC000"/>
        <color rgb="FF92D050"/>
      </colorScale>
    </cfRule>
  </conditionalFormatting>
  <conditionalFormatting sqref="ME7">
    <cfRule type="colorScale" priority="403">
      <colorScale>
        <cfvo type="num" val="0"/>
        <cfvo type="num" val="0.5"/>
        <cfvo type="num" val="1"/>
        <color rgb="FFFF0000"/>
        <color rgb="FFFFC000"/>
        <color rgb="FF92D050"/>
      </colorScale>
    </cfRule>
  </conditionalFormatting>
  <conditionalFormatting sqref="MH7">
    <cfRule type="colorScale" priority="402">
      <colorScale>
        <cfvo type="num" val="0"/>
        <cfvo type="num" val="0.5"/>
        <cfvo type="num" val="1"/>
        <color rgb="FFFF0000"/>
        <color rgb="FFFFC000"/>
        <color rgb="FF92D050"/>
      </colorScale>
    </cfRule>
  </conditionalFormatting>
  <conditionalFormatting sqref="MJ7">
    <cfRule type="cellIs" dxfId="132" priority="400" operator="equal">
      <formula>0</formula>
    </cfRule>
    <cfRule type="colorScale" priority="401">
      <colorScale>
        <cfvo type="min"/>
        <cfvo type="percentile" val="50"/>
        <cfvo type="max"/>
        <color rgb="FF92D050"/>
        <color rgb="FFFFC000"/>
        <color rgb="FFFF0000"/>
      </colorScale>
    </cfRule>
  </conditionalFormatting>
  <conditionalFormatting sqref="MI7">
    <cfRule type="colorScale" priority="399">
      <colorScale>
        <cfvo type="num" val="0"/>
        <cfvo type="num" val="0.5"/>
        <cfvo type="num" val="1"/>
        <color rgb="FFFF0000"/>
        <color rgb="FFFFC000"/>
        <color rgb="FF92D050"/>
      </colorScale>
    </cfRule>
  </conditionalFormatting>
  <conditionalFormatting sqref="MI7">
    <cfRule type="colorScale" priority="398">
      <colorScale>
        <cfvo type="min"/>
        <cfvo type="percentile" val="50"/>
        <cfvo type="max"/>
        <color rgb="FF92D050"/>
        <color rgb="FFFFC000"/>
        <color rgb="FFFF0000"/>
      </colorScale>
    </cfRule>
  </conditionalFormatting>
  <conditionalFormatting sqref="MM7">
    <cfRule type="colorScale" priority="397">
      <colorScale>
        <cfvo type="num" val="0"/>
        <cfvo type="num" val="0.5"/>
        <cfvo type="num" val="1"/>
        <color rgb="FFFF0000"/>
        <color rgb="FFFFC000"/>
        <color rgb="FF92D050"/>
      </colorScale>
    </cfRule>
  </conditionalFormatting>
  <conditionalFormatting sqref="MP7">
    <cfRule type="colorScale" priority="396">
      <colorScale>
        <cfvo type="num" val="0"/>
        <cfvo type="num" val="0.5"/>
        <cfvo type="num" val="1"/>
        <color rgb="FFFF0000"/>
        <color rgb="FFFFC000"/>
        <color rgb="FF92D050"/>
      </colorScale>
    </cfRule>
  </conditionalFormatting>
  <conditionalFormatting sqref="MS7">
    <cfRule type="colorScale" priority="395">
      <colorScale>
        <cfvo type="num" val="0"/>
        <cfvo type="num" val="0.5"/>
        <cfvo type="num" val="1"/>
        <color rgb="FFFF0000"/>
        <color rgb="FFFFC000"/>
        <color rgb="FF92D050"/>
      </colorScale>
    </cfRule>
  </conditionalFormatting>
  <conditionalFormatting sqref="MV7">
    <cfRule type="colorScale" priority="394">
      <colorScale>
        <cfvo type="num" val="0"/>
        <cfvo type="num" val="0.5"/>
        <cfvo type="num" val="1"/>
        <color rgb="FFFF0000"/>
        <color rgb="FFFFC000"/>
        <color rgb="FF92D050"/>
      </colorScale>
    </cfRule>
  </conditionalFormatting>
  <conditionalFormatting sqref="MY7">
    <cfRule type="colorScale" priority="393">
      <colorScale>
        <cfvo type="num" val="0"/>
        <cfvo type="num" val="0.5"/>
        <cfvo type="num" val="1"/>
        <color rgb="FFFF0000"/>
        <color rgb="FFFFC000"/>
        <color rgb="FF92D050"/>
      </colorScale>
    </cfRule>
  </conditionalFormatting>
  <conditionalFormatting sqref="NA7">
    <cfRule type="cellIs" dxfId="131" priority="391" operator="equal">
      <formula>0</formula>
    </cfRule>
    <cfRule type="colorScale" priority="392">
      <colorScale>
        <cfvo type="min"/>
        <cfvo type="percentile" val="50"/>
        <cfvo type="max"/>
        <color rgb="FF92D050"/>
        <color rgb="FFFFC000"/>
        <color rgb="FFFF0000"/>
      </colorScale>
    </cfRule>
  </conditionalFormatting>
  <conditionalFormatting sqref="MZ7">
    <cfRule type="colorScale" priority="390">
      <colorScale>
        <cfvo type="num" val="0"/>
        <cfvo type="num" val="0.5"/>
        <cfvo type="num" val="1"/>
        <color rgb="FFFF0000"/>
        <color rgb="FFFFC000"/>
        <color rgb="FF92D050"/>
      </colorScale>
    </cfRule>
  </conditionalFormatting>
  <conditionalFormatting sqref="MZ7">
    <cfRule type="colorScale" priority="389">
      <colorScale>
        <cfvo type="min"/>
        <cfvo type="percentile" val="50"/>
        <cfvo type="max"/>
        <color rgb="FF92D050"/>
        <color rgb="FFFFC000"/>
        <color rgb="FFFF0000"/>
      </colorScale>
    </cfRule>
  </conditionalFormatting>
  <conditionalFormatting sqref="ND7">
    <cfRule type="colorScale" priority="388">
      <colorScale>
        <cfvo type="num" val="0"/>
        <cfvo type="num" val="0.5"/>
        <cfvo type="num" val="1"/>
        <color rgb="FFFF0000"/>
        <color rgb="FFFFC000"/>
        <color rgb="FF92D050"/>
      </colorScale>
    </cfRule>
  </conditionalFormatting>
  <conditionalFormatting sqref="NG7">
    <cfRule type="colorScale" priority="387">
      <colorScale>
        <cfvo type="num" val="0"/>
        <cfvo type="num" val="0.5"/>
        <cfvo type="num" val="1"/>
        <color rgb="FFFF0000"/>
        <color rgb="FFFFC000"/>
        <color rgb="FF92D050"/>
      </colorScale>
    </cfRule>
  </conditionalFormatting>
  <conditionalFormatting sqref="NJ7">
    <cfRule type="colorScale" priority="386">
      <colorScale>
        <cfvo type="num" val="0"/>
        <cfvo type="num" val="0.5"/>
        <cfvo type="num" val="1"/>
        <color rgb="FFFF0000"/>
        <color rgb="FFFFC000"/>
        <color rgb="FF92D050"/>
      </colorScale>
    </cfRule>
  </conditionalFormatting>
  <conditionalFormatting sqref="NM7">
    <cfRule type="colorScale" priority="385">
      <colorScale>
        <cfvo type="num" val="0"/>
        <cfvo type="num" val="0.5"/>
        <cfvo type="num" val="1"/>
        <color rgb="FFFF0000"/>
        <color rgb="FFFFC000"/>
        <color rgb="FF92D050"/>
      </colorScale>
    </cfRule>
  </conditionalFormatting>
  <conditionalFormatting sqref="NP7">
    <cfRule type="colorScale" priority="384">
      <colorScale>
        <cfvo type="num" val="0"/>
        <cfvo type="num" val="0.5"/>
        <cfvo type="num" val="1"/>
        <color rgb="FFFF0000"/>
        <color rgb="FFFFC000"/>
        <color rgb="FF92D050"/>
      </colorScale>
    </cfRule>
  </conditionalFormatting>
  <conditionalFormatting sqref="NR7">
    <cfRule type="cellIs" dxfId="130" priority="382" operator="equal">
      <formula>0</formula>
    </cfRule>
    <cfRule type="colorScale" priority="383">
      <colorScale>
        <cfvo type="min"/>
        <cfvo type="percentile" val="50"/>
        <cfvo type="max"/>
        <color rgb="FF92D050"/>
        <color rgb="FFFFC000"/>
        <color rgb="FFFF0000"/>
      </colorScale>
    </cfRule>
  </conditionalFormatting>
  <conditionalFormatting sqref="NQ7">
    <cfRule type="colorScale" priority="381">
      <colorScale>
        <cfvo type="num" val="0"/>
        <cfvo type="num" val="0.5"/>
        <cfvo type="num" val="1"/>
        <color rgb="FFFF0000"/>
        <color rgb="FFFFC000"/>
        <color rgb="FF92D050"/>
      </colorScale>
    </cfRule>
  </conditionalFormatting>
  <conditionalFormatting sqref="NQ7">
    <cfRule type="colorScale" priority="380">
      <colorScale>
        <cfvo type="min"/>
        <cfvo type="percentile" val="50"/>
        <cfvo type="max"/>
        <color rgb="FF92D050"/>
        <color rgb="FFFFC000"/>
        <color rgb="FFFF0000"/>
      </colorScale>
    </cfRule>
  </conditionalFormatting>
  <conditionalFormatting sqref="NU3:NU6 NU12">
    <cfRule type="colorScale" priority="379">
      <colorScale>
        <cfvo type="num" val="0"/>
        <cfvo type="num" val="0.5"/>
        <cfvo type="num" val="1"/>
        <color rgb="FFFF0000"/>
        <color rgb="FFFFC000"/>
        <color rgb="FF92D050"/>
      </colorScale>
    </cfRule>
  </conditionalFormatting>
  <conditionalFormatting sqref="NU13">
    <cfRule type="colorScale" priority="378">
      <colorScale>
        <cfvo type="num" val="0"/>
        <cfvo type="num" val="0.5"/>
        <cfvo type="num" val="1"/>
        <color rgb="FFFF0000"/>
        <color rgb="FFFFC000"/>
        <color rgb="FF92D050"/>
      </colorScale>
    </cfRule>
  </conditionalFormatting>
  <conditionalFormatting sqref="NX3:NX6 NX12">
    <cfRule type="colorScale" priority="377">
      <colorScale>
        <cfvo type="num" val="0"/>
        <cfvo type="num" val="0.5"/>
        <cfvo type="num" val="1"/>
        <color rgb="FFFF0000"/>
        <color rgb="FFFFC000"/>
        <color rgb="FF92D050"/>
      </colorScale>
    </cfRule>
  </conditionalFormatting>
  <conditionalFormatting sqref="NX13">
    <cfRule type="colorScale" priority="376">
      <colorScale>
        <cfvo type="num" val="0"/>
        <cfvo type="num" val="0.5"/>
        <cfvo type="num" val="1"/>
        <color rgb="FFFF0000"/>
        <color rgb="FFFFC000"/>
        <color rgb="FF92D050"/>
      </colorScale>
    </cfRule>
  </conditionalFormatting>
  <conditionalFormatting sqref="OA3:OA6 OA12">
    <cfRule type="colorScale" priority="375">
      <colorScale>
        <cfvo type="num" val="0"/>
        <cfvo type="num" val="0.5"/>
        <cfvo type="num" val="1"/>
        <color rgb="FFFF0000"/>
        <color rgb="FFFFC000"/>
        <color rgb="FF92D050"/>
      </colorScale>
    </cfRule>
  </conditionalFormatting>
  <conditionalFormatting sqref="OA13">
    <cfRule type="colorScale" priority="374">
      <colorScale>
        <cfvo type="num" val="0"/>
        <cfvo type="num" val="0.5"/>
        <cfvo type="num" val="1"/>
        <color rgb="FFFF0000"/>
        <color rgb="FFFFC000"/>
        <color rgb="FF92D050"/>
      </colorScale>
    </cfRule>
  </conditionalFormatting>
  <conditionalFormatting sqref="OD3:OD6 OD12">
    <cfRule type="colorScale" priority="373">
      <colorScale>
        <cfvo type="num" val="0"/>
        <cfvo type="num" val="0.5"/>
        <cfvo type="num" val="1"/>
        <color rgb="FFFF0000"/>
        <color rgb="FFFFC000"/>
        <color rgb="FF92D050"/>
      </colorScale>
    </cfRule>
  </conditionalFormatting>
  <conditionalFormatting sqref="OD13">
    <cfRule type="colorScale" priority="372">
      <colorScale>
        <cfvo type="num" val="0"/>
        <cfvo type="num" val="0.5"/>
        <cfvo type="num" val="1"/>
        <color rgb="FFFF0000"/>
        <color rgb="FFFFC000"/>
        <color rgb="FF92D050"/>
      </colorScale>
    </cfRule>
  </conditionalFormatting>
  <conditionalFormatting sqref="OG3:OG6 OG12">
    <cfRule type="colorScale" priority="371">
      <colorScale>
        <cfvo type="num" val="0"/>
        <cfvo type="num" val="0.5"/>
        <cfvo type="num" val="1"/>
        <color rgb="FFFF0000"/>
        <color rgb="FFFFC000"/>
        <color rgb="FF92D050"/>
      </colorScale>
    </cfRule>
  </conditionalFormatting>
  <conditionalFormatting sqref="OG13">
    <cfRule type="colorScale" priority="370">
      <colorScale>
        <cfvo type="num" val="0"/>
        <cfvo type="num" val="0.5"/>
        <cfvo type="num" val="1"/>
        <color rgb="FFFF0000"/>
        <color rgb="FFFFC000"/>
        <color rgb="FF92D050"/>
      </colorScale>
    </cfRule>
  </conditionalFormatting>
  <conditionalFormatting sqref="OI12">
    <cfRule type="colorScale" priority="369">
      <colorScale>
        <cfvo type="num" val="0"/>
        <cfvo type="num" val="0.5"/>
        <cfvo type="num" val="1"/>
        <color rgb="FFFF0000"/>
        <color rgb="FFFFC000"/>
        <color rgb="FF92D050"/>
      </colorScale>
    </cfRule>
  </conditionalFormatting>
  <conditionalFormatting sqref="OI3:OI6 OI12">
    <cfRule type="cellIs" dxfId="129" priority="367" operator="equal">
      <formula>0</formula>
    </cfRule>
    <cfRule type="colorScale" priority="368">
      <colorScale>
        <cfvo type="min"/>
        <cfvo type="percentile" val="50"/>
        <cfvo type="max"/>
        <color rgb="FF92D050"/>
        <color rgb="FFFFC000"/>
        <color rgb="FFFF0000"/>
      </colorScale>
    </cfRule>
  </conditionalFormatting>
  <conditionalFormatting sqref="OH3:OH9 OH12">
    <cfRule type="colorScale" priority="365">
      <colorScale>
        <cfvo type="min"/>
        <cfvo type="percentile" val="50"/>
        <cfvo type="max"/>
        <color rgb="FF92D050"/>
        <color rgb="FFFFC000"/>
        <color rgb="FFFF0000"/>
      </colorScale>
    </cfRule>
    <cfRule type="colorScale" priority="366">
      <colorScale>
        <cfvo type="num" val="0"/>
        <cfvo type="num" val="0.5"/>
        <cfvo type="num" val="1"/>
        <color rgb="FFFF0000"/>
        <color rgb="FFFFC000"/>
        <color rgb="FF92D050"/>
      </colorScale>
    </cfRule>
  </conditionalFormatting>
  <conditionalFormatting sqref="NU8">
    <cfRule type="colorScale" priority="364">
      <colorScale>
        <cfvo type="num" val="0"/>
        <cfvo type="num" val="0.5"/>
        <cfvo type="num" val="1"/>
        <color rgb="FFFF0000"/>
        <color rgb="FFFFC000"/>
        <color rgb="FF92D050"/>
      </colorScale>
    </cfRule>
  </conditionalFormatting>
  <conditionalFormatting sqref="NX8">
    <cfRule type="colorScale" priority="363">
      <colorScale>
        <cfvo type="num" val="0"/>
        <cfvo type="num" val="0.5"/>
        <cfvo type="num" val="1"/>
        <color rgb="FFFF0000"/>
        <color rgb="FFFFC000"/>
        <color rgb="FF92D050"/>
      </colorScale>
    </cfRule>
  </conditionalFormatting>
  <conditionalFormatting sqref="OA8">
    <cfRule type="colorScale" priority="362">
      <colorScale>
        <cfvo type="num" val="0"/>
        <cfvo type="num" val="0.5"/>
        <cfvo type="num" val="1"/>
        <color rgb="FFFF0000"/>
        <color rgb="FFFFC000"/>
        <color rgb="FF92D050"/>
      </colorScale>
    </cfRule>
  </conditionalFormatting>
  <conditionalFormatting sqref="OD8">
    <cfRule type="colorScale" priority="361">
      <colorScale>
        <cfvo type="num" val="0"/>
        <cfvo type="num" val="0.5"/>
        <cfvo type="num" val="1"/>
        <color rgb="FFFF0000"/>
        <color rgb="FFFFC000"/>
        <color rgb="FF92D050"/>
      </colorScale>
    </cfRule>
  </conditionalFormatting>
  <conditionalFormatting sqref="OG8">
    <cfRule type="colorScale" priority="360">
      <colorScale>
        <cfvo type="num" val="0"/>
        <cfvo type="num" val="0.5"/>
        <cfvo type="num" val="1"/>
        <color rgb="FFFF0000"/>
        <color rgb="FFFFC000"/>
        <color rgb="FF92D050"/>
      </colorScale>
    </cfRule>
  </conditionalFormatting>
  <conditionalFormatting sqref="OI8">
    <cfRule type="cellIs" dxfId="128" priority="358" operator="equal">
      <formula>0</formula>
    </cfRule>
    <cfRule type="colorScale" priority="359">
      <colorScale>
        <cfvo type="min"/>
        <cfvo type="percentile" val="50"/>
        <cfvo type="max"/>
        <color rgb="FF92D050"/>
        <color rgb="FFFFC000"/>
        <color rgb="FFFF0000"/>
      </colorScale>
    </cfRule>
  </conditionalFormatting>
  <conditionalFormatting sqref="NU9">
    <cfRule type="colorScale" priority="355">
      <colorScale>
        <cfvo type="num" val="0"/>
        <cfvo type="num" val="0.5"/>
        <cfvo type="num" val="1"/>
        <color rgb="FFFF0000"/>
        <color rgb="FFFFC000"/>
        <color rgb="FF92D050"/>
      </colorScale>
    </cfRule>
  </conditionalFormatting>
  <conditionalFormatting sqref="NX9">
    <cfRule type="colorScale" priority="354">
      <colorScale>
        <cfvo type="num" val="0"/>
        <cfvo type="num" val="0.5"/>
        <cfvo type="num" val="1"/>
        <color rgb="FFFF0000"/>
        <color rgb="FFFFC000"/>
        <color rgb="FF92D050"/>
      </colorScale>
    </cfRule>
  </conditionalFormatting>
  <conditionalFormatting sqref="OA9">
    <cfRule type="colorScale" priority="353">
      <colorScale>
        <cfvo type="num" val="0"/>
        <cfvo type="num" val="0.5"/>
        <cfvo type="num" val="1"/>
        <color rgb="FFFF0000"/>
        <color rgb="FFFFC000"/>
        <color rgb="FF92D050"/>
      </colorScale>
    </cfRule>
  </conditionalFormatting>
  <conditionalFormatting sqref="OD9">
    <cfRule type="colorScale" priority="352">
      <colorScale>
        <cfvo type="num" val="0"/>
        <cfvo type="num" val="0.5"/>
        <cfvo type="num" val="1"/>
        <color rgb="FFFF0000"/>
        <color rgb="FFFFC000"/>
        <color rgb="FF92D050"/>
      </colorScale>
    </cfRule>
  </conditionalFormatting>
  <conditionalFormatting sqref="OG9">
    <cfRule type="colorScale" priority="351">
      <colorScale>
        <cfvo type="num" val="0"/>
        <cfvo type="num" val="0.5"/>
        <cfvo type="num" val="1"/>
        <color rgb="FFFF0000"/>
        <color rgb="FFFFC000"/>
        <color rgb="FF92D050"/>
      </colorScale>
    </cfRule>
  </conditionalFormatting>
  <conditionalFormatting sqref="OI9:OI11">
    <cfRule type="cellIs" dxfId="127" priority="349" operator="equal">
      <formula>0</formula>
    </cfRule>
    <cfRule type="colorScale" priority="350">
      <colorScale>
        <cfvo type="min"/>
        <cfvo type="percentile" val="50"/>
        <cfvo type="max"/>
        <color rgb="FF92D050"/>
        <color rgb="FFFFC000"/>
        <color rgb="FFFF0000"/>
      </colorScale>
    </cfRule>
  </conditionalFormatting>
  <conditionalFormatting sqref="NU7">
    <cfRule type="colorScale" priority="346">
      <colorScale>
        <cfvo type="num" val="0"/>
        <cfvo type="num" val="0.5"/>
        <cfvo type="num" val="1"/>
        <color rgb="FFFF0000"/>
        <color rgb="FFFFC000"/>
        <color rgb="FF92D050"/>
      </colorScale>
    </cfRule>
  </conditionalFormatting>
  <conditionalFormatting sqref="NX7">
    <cfRule type="colorScale" priority="345">
      <colorScale>
        <cfvo type="num" val="0"/>
        <cfvo type="num" val="0.5"/>
        <cfvo type="num" val="1"/>
        <color rgb="FFFF0000"/>
        <color rgb="FFFFC000"/>
        <color rgb="FF92D050"/>
      </colorScale>
    </cfRule>
  </conditionalFormatting>
  <conditionalFormatting sqref="OA7">
    <cfRule type="colorScale" priority="344">
      <colorScale>
        <cfvo type="num" val="0"/>
        <cfvo type="num" val="0.5"/>
        <cfvo type="num" val="1"/>
        <color rgb="FFFF0000"/>
        <color rgb="FFFFC000"/>
        <color rgb="FF92D050"/>
      </colorScale>
    </cfRule>
  </conditionalFormatting>
  <conditionalFormatting sqref="OD7">
    <cfRule type="colorScale" priority="343">
      <colorScale>
        <cfvo type="num" val="0"/>
        <cfvo type="num" val="0.5"/>
        <cfvo type="num" val="1"/>
        <color rgb="FFFF0000"/>
        <color rgb="FFFFC000"/>
        <color rgb="FF92D050"/>
      </colorScale>
    </cfRule>
  </conditionalFormatting>
  <conditionalFormatting sqref="OG7">
    <cfRule type="colorScale" priority="342">
      <colorScale>
        <cfvo type="num" val="0"/>
        <cfvo type="num" val="0.5"/>
        <cfvo type="num" val="1"/>
        <color rgb="FFFF0000"/>
        <color rgb="FFFFC000"/>
        <color rgb="FF92D050"/>
      </colorScale>
    </cfRule>
  </conditionalFormatting>
  <conditionalFormatting sqref="OI7">
    <cfRule type="cellIs" dxfId="126" priority="340" operator="equal">
      <formula>0</formula>
    </cfRule>
    <cfRule type="colorScale" priority="341">
      <colorScale>
        <cfvo type="min"/>
        <cfvo type="percentile" val="50"/>
        <cfvo type="max"/>
        <color rgb="FF92D050"/>
        <color rgb="FFFFC000"/>
        <color rgb="FFFF0000"/>
      </colorScale>
    </cfRule>
  </conditionalFormatting>
  <conditionalFormatting sqref="OL3:OL6 OL12">
    <cfRule type="colorScale" priority="330">
      <colorScale>
        <cfvo type="num" val="0"/>
        <cfvo type="num" val="0.5"/>
        <cfvo type="num" val="1"/>
        <color rgb="FFFF0000"/>
        <color rgb="FFFFC000"/>
        <color rgb="FF92D050"/>
      </colorScale>
    </cfRule>
  </conditionalFormatting>
  <conditionalFormatting sqref="OL13">
    <cfRule type="colorScale" priority="329">
      <colorScale>
        <cfvo type="num" val="0"/>
        <cfvo type="num" val="0.5"/>
        <cfvo type="num" val="1"/>
        <color rgb="FFFF0000"/>
        <color rgb="FFFFC000"/>
        <color rgb="FF92D050"/>
      </colorScale>
    </cfRule>
  </conditionalFormatting>
  <conditionalFormatting sqref="OO3:OO6 OO12">
    <cfRule type="colorScale" priority="328">
      <colorScale>
        <cfvo type="num" val="0"/>
        <cfvo type="num" val="0.5"/>
        <cfvo type="num" val="1"/>
        <color rgb="FFFF0000"/>
        <color rgb="FFFFC000"/>
        <color rgb="FF92D050"/>
      </colorScale>
    </cfRule>
  </conditionalFormatting>
  <conditionalFormatting sqref="OO13">
    <cfRule type="colorScale" priority="327">
      <colorScale>
        <cfvo type="num" val="0"/>
        <cfvo type="num" val="0.5"/>
        <cfvo type="num" val="1"/>
        <color rgb="FFFF0000"/>
        <color rgb="FFFFC000"/>
        <color rgb="FF92D050"/>
      </colorScale>
    </cfRule>
  </conditionalFormatting>
  <conditionalFormatting sqref="OR3:OR6 OR12">
    <cfRule type="colorScale" priority="326">
      <colorScale>
        <cfvo type="num" val="0"/>
        <cfvo type="num" val="0.5"/>
        <cfvo type="num" val="1"/>
        <color rgb="FFFF0000"/>
        <color rgb="FFFFC000"/>
        <color rgb="FF92D050"/>
      </colorScale>
    </cfRule>
  </conditionalFormatting>
  <conditionalFormatting sqref="OR13">
    <cfRule type="colorScale" priority="325">
      <colorScale>
        <cfvo type="num" val="0"/>
        <cfvo type="num" val="0.5"/>
        <cfvo type="num" val="1"/>
        <color rgb="FFFF0000"/>
        <color rgb="FFFFC000"/>
        <color rgb="FF92D050"/>
      </colorScale>
    </cfRule>
  </conditionalFormatting>
  <conditionalFormatting sqref="OU3:OU6 OU12">
    <cfRule type="colorScale" priority="324">
      <colorScale>
        <cfvo type="num" val="0"/>
        <cfvo type="num" val="0.5"/>
        <cfvo type="num" val="1"/>
        <color rgb="FFFF0000"/>
        <color rgb="FFFFC000"/>
        <color rgb="FF92D050"/>
      </colorScale>
    </cfRule>
  </conditionalFormatting>
  <conditionalFormatting sqref="OU13">
    <cfRule type="colorScale" priority="323">
      <colorScale>
        <cfvo type="num" val="0"/>
        <cfvo type="num" val="0.5"/>
        <cfvo type="num" val="1"/>
        <color rgb="FFFF0000"/>
        <color rgb="FFFFC000"/>
        <color rgb="FF92D050"/>
      </colorScale>
    </cfRule>
  </conditionalFormatting>
  <conditionalFormatting sqref="OX3:OX6 OX12">
    <cfRule type="colorScale" priority="322">
      <colorScale>
        <cfvo type="num" val="0"/>
        <cfvo type="num" val="0.5"/>
        <cfvo type="num" val="1"/>
        <color rgb="FFFF0000"/>
        <color rgb="FFFFC000"/>
        <color rgb="FF92D050"/>
      </colorScale>
    </cfRule>
  </conditionalFormatting>
  <conditionalFormatting sqref="OX13">
    <cfRule type="colorScale" priority="321">
      <colorScale>
        <cfvo type="num" val="0"/>
        <cfvo type="num" val="0.5"/>
        <cfvo type="num" val="1"/>
        <color rgb="FFFF0000"/>
        <color rgb="FFFFC000"/>
        <color rgb="FF92D050"/>
      </colorScale>
    </cfRule>
  </conditionalFormatting>
  <conditionalFormatting sqref="OZ12">
    <cfRule type="colorScale" priority="320">
      <colorScale>
        <cfvo type="num" val="0"/>
        <cfvo type="num" val="0.5"/>
        <cfvo type="num" val="1"/>
        <color rgb="FFFF0000"/>
        <color rgb="FFFFC000"/>
        <color rgb="FF92D050"/>
      </colorScale>
    </cfRule>
  </conditionalFormatting>
  <conditionalFormatting sqref="OZ3:OZ6 OZ12">
    <cfRule type="cellIs" dxfId="125" priority="318" operator="equal">
      <formula>0</formula>
    </cfRule>
    <cfRule type="colorScale" priority="319">
      <colorScale>
        <cfvo type="min"/>
        <cfvo type="percentile" val="50"/>
        <cfvo type="max"/>
        <color rgb="FF92D050"/>
        <color rgb="FFFFC000"/>
        <color rgb="FFFF0000"/>
      </colorScale>
    </cfRule>
  </conditionalFormatting>
  <conditionalFormatting sqref="OY3:OY9 OY11:OY12">
    <cfRule type="colorScale" priority="316">
      <colorScale>
        <cfvo type="min"/>
        <cfvo type="percentile" val="50"/>
        <cfvo type="max"/>
        <color rgb="FF92D050"/>
        <color rgb="FFFFC000"/>
        <color rgb="FFFF0000"/>
      </colorScale>
    </cfRule>
    <cfRule type="colorScale" priority="317">
      <colorScale>
        <cfvo type="num" val="0"/>
        <cfvo type="num" val="0.5"/>
        <cfvo type="num" val="1"/>
        <color rgb="FFFF0000"/>
        <color rgb="FFFFC000"/>
        <color rgb="FF92D050"/>
      </colorScale>
    </cfRule>
  </conditionalFormatting>
  <conditionalFormatting sqref="OL8">
    <cfRule type="colorScale" priority="315">
      <colorScale>
        <cfvo type="num" val="0"/>
        <cfvo type="num" val="0.5"/>
        <cfvo type="num" val="1"/>
        <color rgb="FFFF0000"/>
        <color rgb="FFFFC000"/>
        <color rgb="FF92D050"/>
      </colorScale>
    </cfRule>
  </conditionalFormatting>
  <conditionalFormatting sqref="OO8">
    <cfRule type="colorScale" priority="314">
      <colorScale>
        <cfvo type="num" val="0"/>
        <cfvo type="num" val="0.5"/>
        <cfvo type="num" val="1"/>
        <color rgb="FFFF0000"/>
        <color rgb="FFFFC000"/>
        <color rgb="FF92D050"/>
      </colorScale>
    </cfRule>
  </conditionalFormatting>
  <conditionalFormatting sqref="OR8">
    <cfRule type="colorScale" priority="313">
      <colorScale>
        <cfvo type="num" val="0"/>
        <cfvo type="num" val="0.5"/>
        <cfvo type="num" val="1"/>
        <color rgb="FFFF0000"/>
        <color rgb="FFFFC000"/>
        <color rgb="FF92D050"/>
      </colorScale>
    </cfRule>
  </conditionalFormatting>
  <conditionalFormatting sqref="OU8">
    <cfRule type="colorScale" priority="312">
      <colorScale>
        <cfvo type="num" val="0"/>
        <cfvo type="num" val="0.5"/>
        <cfvo type="num" val="1"/>
        <color rgb="FFFF0000"/>
        <color rgb="FFFFC000"/>
        <color rgb="FF92D050"/>
      </colorScale>
    </cfRule>
  </conditionalFormatting>
  <conditionalFormatting sqref="OX8">
    <cfRule type="colorScale" priority="311">
      <colorScale>
        <cfvo type="num" val="0"/>
        <cfvo type="num" val="0.5"/>
        <cfvo type="num" val="1"/>
        <color rgb="FFFF0000"/>
        <color rgb="FFFFC000"/>
        <color rgb="FF92D050"/>
      </colorScale>
    </cfRule>
  </conditionalFormatting>
  <conditionalFormatting sqref="OZ8">
    <cfRule type="cellIs" dxfId="124" priority="309" operator="equal">
      <formula>0</formula>
    </cfRule>
    <cfRule type="colorScale" priority="310">
      <colorScale>
        <cfvo type="min"/>
        <cfvo type="percentile" val="50"/>
        <cfvo type="max"/>
        <color rgb="FF92D050"/>
        <color rgb="FFFFC000"/>
        <color rgb="FFFF0000"/>
      </colorScale>
    </cfRule>
  </conditionalFormatting>
  <conditionalFormatting sqref="OL9">
    <cfRule type="colorScale" priority="306">
      <colorScale>
        <cfvo type="num" val="0"/>
        <cfvo type="num" val="0.5"/>
        <cfvo type="num" val="1"/>
        <color rgb="FFFF0000"/>
        <color rgb="FFFFC000"/>
        <color rgb="FF92D050"/>
      </colorScale>
    </cfRule>
  </conditionalFormatting>
  <conditionalFormatting sqref="OO9">
    <cfRule type="colorScale" priority="305">
      <colorScale>
        <cfvo type="num" val="0"/>
        <cfvo type="num" val="0.5"/>
        <cfvo type="num" val="1"/>
        <color rgb="FFFF0000"/>
        <color rgb="FFFFC000"/>
        <color rgb="FF92D050"/>
      </colorScale>
    </cfRule>
  </conditionalFormatting>
  <conditionalFormatting sqref="OR9">
    <cfRule type="colorScale" priority="304">
      <colorScale>
        <cfvo type="num" val="0"/>
        <cfvo type="num" val="0.5"/>
        <cfvo type="num" val="1"/>
        <color rgb="FFFF0000"/>
        <color rgb="FFFFC000"/>
        <color rgb="FF92D050"/>
      </colorScale>
    </cfRule>
  </conditionalFormatting>
  <conditionalFormatting sqref="OU9">
    <cfRule type="colorScale" priority="303">
      <colorScale>
        <cfvo type="num" val="0"/>
        <cfvo type="num" val="0.5"/>
        <cfvo type="num" val="1"/>
        <color rgb="FFFF0000"/>
        <color rgb="FFFFC000"/>
        <color rgb="FF92D050"/>
      </colorScale>
    </cfRule>
  </conditionalFormatting>
  <conditionalFormatting sqref="OX9">
    <cfRule type="colorScale" priority="302">
      <colorScale>
        <cfvo type="num" val="0"/>
        <cfvo type="num" val="0.5"/>
        <cfvo type="num" val="1"/>
        <color rgb="FFFF0000"/>
        <color rgb="FFFFC000"/>
        <color rgb="FF92D050"/>
      </colorScale>
    </cfRule>
  </conditionalFormatting>
  <conditionalFormatting sqref="OZ9">
    <cfRule type="cellIs" dxfId="123" priority="300" operator="equal">
      <formula>0</formula>
    </cfRule>
    <cfRule type="colorScale" priority="301">
      <colorScale>
        <cfvo type="min"/>
        <cfvo type="percentile" val="50"/>
        <cfvo type="max"/>
        <color rgb="FF92D050"/>
        <color rgb="FFFFC000"/>
        <color rgb="FFFF0000"/>
      </colorScale>
    </cfRule>
  </conditionalFormatting>
  <conditionalFormatting sqref="OL7">
    <cfRule type="colorScale" priority="297">
      <colorScale>
        <cfvo type="num" val="0"/>
        <cfvo type="num" val="0.5"/>
        <cfvo type="num" val="1"/>
        <color rgb="FFFF0000"/>
        <color rgb="FFFFC000"/>
        <color rgb="FF92D050"/>
      </colorScale>
    </cfRule>
  </conditionalFormatting>
  <conditionalFormatting sqref="OO7">
    <cfRule type="colorScale" priority="296">
      <colorScale>
        <cfvo type="num" val="0"/>
        <cfvo type="num" val="0.5"/>
        <cfvo type="num" val="1"/>
        <color rgb="FFFF0000"/>
        <color rgb="FFFFC000"/>
        <color rgb="FF92D050"/>
      </colorScale>
    </cfRule>
  </conditionalFormatting>
  <conditionalFormatting sqref="OR7">
    <cfRule type="colorScale" priority="295">
      <colorScale>
        <cfvo type="num" val="0"/>
        <cfvo type="num" val="0.5"/>
        <cfvo type="num" val="1"/>
        <color rgb="FFFF0000"/>
        <color rgb="FFFFC000"/>
        <color rgb="FF92D050"/>
      </colorScale>
    </cfRule>
  </conditionalFormatting>
  <conditionalFormatting sqref="OU7">
    <cfRule type="colorScale" priority="294">
      <colorScale>
        <cfvo type="num" val="0"/>
        <cfvo type="num" val="0.5"/>
        <cfvo type="num" val="1"/>
        <color rgb="FFFF0000"/>
        <color rgb="FFFFC000"/>
        <color rgb="FF92D050"/>
      </colorScale>
    </cfRule>
  </conditionalFormatting>
  <conditionalFormatting sqref="OX7">
    <cfRule type="colorScale" priority="293">
      <colorScale>
        <cfvo type="num" val="0"/>
        <cfvo type="num" val="0.5"/>
        <cfvo type="num" val="1"/>
        <color rgb="FFFF0000"/>
        <color rgb="FFFFC000"/>
        <color rgb="FF92D050"/>
      </colorScale>
    </cfRule>
  </conditionalFormatting>
  <conditionalFormatting sqref="OZ7">
    <cfRule type="cellIs" dxfId="122" priority="291" operator="equal">
      <formula>0</formula>
    </cfRule>
    <cfRule type="colorScale" priority="292">
      <colorScale>
        <cfvo type="min"/>
        <cfvo type="percentile" val="50"/>
        <cfvo type="max"/>
        <color rgb="FF92D050"/>
        <color rgb="FFFFC000"/>
        <color rgb="FFFF0000"/>
      </colorScale>
    </cfRule>
  </conditionalFormatting>
  <conditionalFormatting sqref="OL11">
    <cfRule type="colorScale" priority="288">
      <colorScale>
        <cfvo type="num" val="0"/>
        <cfvo type="num" val="0.5"/>
        <cfvo type="num" val="1"/>
        <color rgb="FFFF0000"/>
        <color rgb="FFFFC000"/>
        <color rgb="FF92D050"/>
      </colorScale>
    </cfRule>
  </conditionalFormatting>
  <conditionalFormatting sqref="OO11">
    <cfRule type="colorScale" priority="287">
      <colorScale>
        <cfvo type="num" val="0"/>
        <cfvo type="num" val="0.5"/>
        <cfvo type="num" val="1"/>
        <color rgb="FFFF0000"/>
        <color rgb="FFFFC000"/>
        <color rgb="FF92D050"/>
      </colorScale>
    </cfRule>
  </conditionalFormatting>
  <conditionalFormatting sqref="OR11">
    <cfRule type="colorScale" priority="286">
      <colorScale>
        <cfvo type="num" val="0"/>
        <cfvo type="num" val="0.5"/>
        <cfvo type="num" val="1"/>
        <color rgb="FFFF0000"/>
        <color rgb="FFFFC000"/>
        <color rgb="FF92D050"/>
      </colorScale>
    </cfRule>
  </conditionalFormatting>
  <conditionalFormatting sqref="OU11">
    <cfRule type="colorScale" priority="285">
      <colorScale>
        <cfvo type="num" val="0"/>
        <cfvo type="num" val="0.5"/>
        <cfvo type="num" val="1"/>
        <color rgb="FFFF0000"/>
        <color rgb="FFFFC000"/>
        <color rgb="FF92D050"/>
      </colorScale>
    </cfRule>
  </conditionalFormatting>
  <conditionalFormatting sqref="OX11">
    <cfRule type="colorScale" priority="284">
      <colorScale>
        <cfvo type="num" val="0"/>
        <cfvo type="num" val="0.5"/>
        <cfvo type="num" val="1"/>
        <color rgb="FFFF0000"/>
        <color rgb="FFFFC000"/>
        <color rgb="FF92D050"/>
      </colorScale>
    </cfRule>
  </conditionalFormatting>
  <conditionalFormatting sqref="OZ11">
    <cfRule type="cellIs" dxfId="121" priority="282" operator="equal">
      <formula>0</formula>
    </cfRule>
    <cfRule type="colorScale" priority="283">
      <colorScale>
        <cfvo type="min"/>
        <cfvo type="percentile" val="50"/>
        <cfvo type="max"/>
        <color rgb="FF92D050"/>
        <color rgb="FFFFC000"/>
        <color rgb="FFFF0000"/>
      </colorScale>
    </cfRule>
  </conditionalFormatting>
  <conditionalFormatting sqref="G11">
    <cfRule type="colorScale" priority="279">
      <colorScale>
        <cfvo type="min"/>
        <cfvo type="percentile" val="50"/>
        <cfvo type="max"/>
        <color rgb="FF92D050"/>
        <color rgb="FFFFC000"/>
        <color rgb="FFFF0000"/>
      </colorScale>
    </cfRule>
  </conditionalFormatting>
  <conditionalFormatting sqref="I11">
    <cfRule type="colorScale" priority="278">
      <colorScale>
        <cfvo type="min"/>
        <cfvo type="percentile" val="50"/>
        <cfvo type="max"/>
        <color rgb="FF92D050"/>
        <color rgb="FFFFC000"/>
        <color rgb="FFFF0000"/>
      </colorScale>
    </cfRule>
  </conditionalFormatting>
  <conditionalFormatting sqref="M11">
    <cfRule type="colorScale" priority="277">
      <colorScale>
        <cfvo type="min"/>
        <cfvo type="percentile" val="50"/>
        <cfvo type="max"/>
        <color rgb="FFFF0000"/>
        <color rgb="FFFFC000"/>
        <color rgb="FF92D050"/>
      </colorScale>
    </cfRule>
  </conditionalFormatting>
  <conditionalFormatting sqref="O11">
    <cfRule type="colorScale" priority="276">
      <colorScale>
        <cfvo type="min"/>
        <cfvo type="percentile" val="50"/>
        <cfvo type="max"/>
        <color rgb="FFFF0000"/>
        <color rgb="FFFFC000"/>
        <color rgb="FF92D050"/>
      </colorScale>
    </cfRule>
  </conditionalFormatting>
  <conditionalFormatting sqref="K11">
    <cfRule type="colorScale" priority="275">
      <colorScale>
        <cfvo type="min"/>
        <cfvo type="percentile" val="50"/>
        <cfvo type="max"/>
        <color rgb="FF92D050"/>
        <color rgb="FFFFC000"/>
        <color rgb="FFFF0000"/>
      </colorScale>
    </cfRule>
  </conditionalFormatting>
  <conditionalFormatting sqref="PC3:PC6 PC12">
    <cfRule type="colorScale" priority="274">
      <colorScale>
        <cfvo type="num" val="0"/>
        <cfvo type="num" val="0.5"/>
        <cfvo type="num" val="1"/>
        <color rgb="FFFF0000"/>
        <color rgb="FFFFC000"/>
        <color rgb="FF92D050"/>
      </colorScale>
    </cfRule>
  </conditionalFormatting>
  <conditionalFormatting sqref="PC13">
    <cfRule type="colorScale" priority="273">
      <colorScale>
        <cfvo type="num" val="0"/>
        <cfvo type="num" val="0.5"/>
        <cfvo type="num" val="1"/>
        <color rgb="FFFF0000"/>
        <color rgb="FFFFC000"/>
        <color rgb="FF92D050"/>
      </colorScale>
    </cfRule>
  </conditionalFormatting>
  <conditionalFormatting sqref="PF3:PF6 PF12">
    <cfRule type="colorScale" priority="272">
      <colorScale>
        <cfvo type="num" val="0"/>
        <cfvo type="num" val="0.5"/>
        <cfvo type="num" val="1"/>
        <color rgb="FFFF0000"/>
        <color rgb="FFFFC000"/>
        <color rgb="FF92D050"/>
      </colorScale>
    </cfRule>
  </conditionalFormatting>
  <conditionalFormatting sqref="PF13">
    <cfRule type="colorScale" priority="271">
      <colorScale>
        <cfvo type="num" val="0"/>
        <cfvo type="num" val="0.5"/>
        <cfvo type="num" val="1"/>
        <color rgb="FFFF0000"/>
        <color rgb="FFFFC000"/>
        <color rgb="FF92D050"/>
      </colorScale>
    </cfRule>
  </conditionalFormatting>
  <conditionalFormatting sqref="PI3:PI6 PI12">
    <cfRule type="colorScale" priority="270">
      <colorScale>
        <cfvo type="num" val="0"/>
        <cfvo type="num" val="0.5"/>
        <cfvo type="num" val="1"/>
        <color rgb="FFFF0000"/>
        <color rgb="FFFFC000"/>
        <color rgb="FF92D050"/>
      </colorScale>
    </cfRule>
  </conditionalFormatting>
  <conditionalFormatting sqref="PI13">
    <cfRule type="colorScale" priority="269">
      <colorScale>
        <cfvo type="num" val="0"/>
        <cfvo type="num" val="0.5"/>
        <cfvo type="num" val="1"/>
        <color rgb="FFFF0000"/>
        <color rgb="FFFFC000"/>
        <color rgb="FF92D050"/>
      </colorScale>
    </cfRule>
  </conditionalFormatting>
  <conditionalFormatting sqref="PL3:PL6 PL12">
    <cfRule type="colorScale" priority="268">
      <colorScale>
        <cfvo type="num" val="0"/>
        <cfvo type="num" val="0.5"/>
        <cfvo type="num" val="1"/>
        <color rgb="FFFF0000"/>
        <color rgb="FFFFC000"/>
        <color rgb="FF92D050"/>
      </colorScale>
    </cfRule>
  </conditionalFormatting>
  <conditionalFormatting sqref="PL13">
    <cfRule type="colorScale" priority="267">
      <colorScale>
        <cfvo type="num" val="0"/>
        <cfvo type="num" val="0.5"/>
        <cfvo type="num" val="1"/>
        <color rgb="FFFF0000"/>
        <color rgb="FFFFC000"/>
        <color rgb="FF92D050"/>
      </colorScale>
    </cfRule>
  </conditionalFormatting>
  <conditionalFormatting sqref="PO3:PO6 PO12">
    <cfRule type="colorScale" priority="266">
      <colorScale>
        <cfvo type="num" val="0"/>
        <cfvo type="num" val="0.5"/>
        <cfvo type="num" val="1"/>
        <color rgb="FFFF0000"/>
        <color rgb="FFFFC000"/>
        <color rgb="FF92D050"/>
      </colorScale>
    </cfRule>
  </conditionalFormatting>
  <conditionalFormatting sqref="PO13">
    <cfRule type="colorScale" priority="265">
      <colorScale>
        <cfvo type="num" val="0"/>
        <cfvo type="num" val="0.5"/>
        <cfvo type="num" val="1"/>
        <color rgb="FFFF0000"/>
        <color rgb="FFFFC000"/>
        <color rgb="FF92D050"/>
      </colorScale>
    </cfRule>
  </conditionalFormatting>
  <conditionalFormatting sqref="PQ12">
    <cfRule type="colorScale" priority="264">
      <colorScale>
        <cfvo type="num" val="0"/>
        <cfvo type="num" val="0.5"/>
        <cfvo type="num" val="1"/>
        <color rgb="FFFF0000"/>
        <color rgb="FFFFC000"/>
        <color rgb="FF92D050"/>
      </colorScale>
    </cfRule>
  </conditionalFormatting>
  <conditionalFormatting sqref="PQ3:PQ6 PQ12">
    <cfRule type="cellIs" dxfId="120" priority="262" operator="equal">
      <formula>0</formula>
    </cfRule>
    <cfRule type="colorScale" priority="263">
      <colorScale>
        <cfvo type="min"/>
        <cfvo type="percentile" val="50"/>
        <cfvo type="max"/>
        <color rgb="FF92D050"/>
        <color rgb="FFFFC000"/>
        <color rgb="FFFF0000"/>
      </colorScale>
    </cfRule>
  </conditionalFormatting>
  <conditionalFormatting sqref="PP3:PP9 PP11:PP12">
    <cfRule type="colorScale" priority="260">
      <colorScale>
        <cfvo type="min"/>
        <cfvo type="percentile" val="50"/>
        <cfvo type="max"/>
        <color rgb="FF92D050"/>
        <color rgb="FFFFC000"/>
        <color rgb="FFFF0000"/>
      </colorScale>
    </cfRule>
    <cfRule type="colorScale" priority="261">
      <colorScale>
        <cfvo type="num" val="0"/>
        <cfvo type="num" val="0.5"/>
        <cfvo type="num" val="1"/>
        <color rgb="FFFF0000"/>
        <color rgb="FFFFC000"/>
        <color rgb="FF92D050"/>
      </colorScale>
    </cfRule>
  </conditionalFormatting>
  <conditionalFormatting sqref="PC8">
    <cfRule type="colorScale" priority="259">
      <colorScale>
        <cfvo type="num" val="0"/>
        <cfvo type="num" val="0.5"/>
        <cfvo type="num" val="1"/>
        <color rgb="FFFF0000"/>
        <color rgb="FFFFC000"/>
        <color rgb="FF92D050"/>
      </colorScale>
    </cfRule>
  </conditionalFormatting>
  <conditionalFormatting sqref="PF8">
    <cfRule type="colorScale" priority="258">
      <colorScale>
        <cfvo type="num" val="0"/>
        <cfvo type="num" val="0.5"/>
        <cfvo type="num" val="1"/>
        <color rgb="FFFF0000"/>
        <color rgb="FFFFC000"/>
        <color rgb="FF92D050"/>
      </colorScale>
    </cfRule>
  </conditionalFormatting>
  <conditionalFormatting sqref="PI8">
    <cfRule type="colorScale" priority="257">
      <colorScale>
        <cfvo type="num" val="0"/>
        <cfvo type="num" val="0.5"/>
        <cfvo type="num" val="1"/>
        <color rgb="FFFF0000"/>
        <color rgb="FFFFC000"/>
        <color rgb="FF92D050"/>
      </colorScale>
    </cfRule>
  </conditionalFormatting>
  <conditionalFormatting sqref="PL8">
    <cfRule type="colorScale" priority="256">
      <colorScale>
        <cfvo type="num" val="0"/>
        <cfvo type="num" val="0.5"/>
        <cfvo type="num" val="1"/>
        <color rgb="FFFF0000"/>
        <color rgb="FFFFC000"/>
        <color rgb="FF92D050"/>
      </colorScale>
    </cfRule>
  </conditionalFormatting>
  <conditionalFormatting sqref="PO8">
    <cfRule type="colorScale" priority="255">
      <colorScale>
        <cfvo type="num" val="0"/>
        <cfvo type="num" val="0.5"/>
        <cfvo type="num" val="1"/>
        <color rgb="FFFF0000"/>
        <color rgb="FFFFC000"/>
        <color rgb="FF92D050"/>
      </colorScale>
    </cfRule>
  </conditionalFormatting>
  <conditionalFormatting sqref="PQ8">
    <cfRule type="cellIs" dxfId="119" priority="253" operator="equal">
      <formula>0</formula>
    </cfRule>
    <cfRule type="colorScale" priority="254">
      <colorScale>
        <cfvo type="min"/>
        <cfvo type="percentile" val="50"/>
        <cfvo type="max"/>
        <color rgb="FF92D050"/>
        <color rgb="FFFFC000"/>
        <color rgb="FFFF0000"/>
      </colorScale>
    </cfRule>
  </conditionalFormatting>
  <conditionalFormatting sqref="PC9">
    <cfRule type="colorScale" priority="252">
      <colorScale>
        <cfvo type="num" val="0"/>
        <cfvo type="num" val="0.5"/>
        <cfvo type="num" val="1"/>
        <color rgb="FFFF0000"/>
        <color rgb="FFFFC000"/>
        <color rgb="FF92D050"/>
      </colorScale>
    </cfRule>
  </conditionalFormatting>
  <conditionalFormatting sqref="PF9">
    <cfRule type="colorScale" priority="251">
      <colorScale>
        <cfvo type="num" val="0"/>
        <cfvo type="num" val="0.5"/>
        <cfvo type="num" val="1"/>
        <color rgb="FFFF0000"/>
        <color rgb="FFFFC000"/>
        <color rgb="FF92D050"/>
      </colorScale>
    </cfRule>
  </conditionalFormatting>
  <conditionalFormatting sqref="PI9">
    <cfRule type="colorScale" priority="250">
      <colorScale>
        <cfvo type="num" val="0"/>
        <cfvo type="num" val="0.5"/>
        <cfvo type="num" val="1"/>
        <color rgb="FFFF0000"/>
        <color rgb="FFFFC000"/>
        <color rgb="FF92D050"/>
      </colorScale>
    </cfRule>
  </conditionalFormatting>
  <conditionalFormatting sqref="PL9">
    <cfRule type="colorScale" priority="249">
      <colorScale>
        <cfvo type="num" val="0"/>
        <cfvo type="num" val="0.5"/>
        <cfvo type="num" val="1"/>
        <color rgb="FFFF0000"/>
        <color rgb="FFFFC000"/>
        <color rgb="FF92D050"/>
      </colorScale>
    </cfRule>
  </conditionalFormatting>
  <conditionalFormatting sqref="PO9">
    <cfRule type="colorScale" priority="248">
      <colorScale>
        <cfvo type="num" val="0"/>
        <cfvo type="num" val="0.5"/>
        <cfvo type="num" val="1"/>
        <color rgb="FFFF0000"/>
        <color rgb="FFFFC000"/>
        <color rgb="FF92D050"/>
      </colorScale>
    </cfRule>
  </conditionalFormatting>
  <conditionalFormatting sqref="PQ9">
    <cfRule type="cellIs" dxfId="118" priority="246" operator="equal">
      <formula>0</formula>
    </cfRule>
    <cfRule type="colorScale" priority="247">
      <colorScale>
        <cfvo type="min"/>
        <cfvo type="percentile" val="50"/>
        <cfvo type="max"/>
        <color rgb="FF92D050"/>
        <color rgb="FFFFC000"/>
        <color rgb="FFFF0000"/>
      </colorScale>
    </cfRule>
  </conditionalFormatting>
  <conditionalFormatting sqref="PC7">
    <cfRule type="colorScale" priority="245">
      <colorScale>
        <cfvo type="num" val="0"/>
        <cfvo type="num" val="0.5"/>
        <cfvo type="num" val="1"/>
        <color rgb="FFFF0000"/>
        <color rgb="FFFFC000"/>
        <color rgb="FF92D050"/>
      </colorScale>
    </cfRule>
  </conditionalFormatting>
  <conditionalFormatting sqref="PF7">
    <cfRule type="colorScale" priority="244">
      <colorScale>
        <cfvo type="num" val="0"/>
        <cfvo type="num" val="0.5"/>
        <cfvo type="num" val="1"/>
        <color rgb="FFFF0000"/>
        <color rgb="FFFFC000"/>
        <color rgb="FF92D050"/>
      </colorScale>
    </cfRule>
  </conditionalFormatting>
  <conditionalFormatting sqref="PI7">
    <cfRule type="colorScale" priority="243">
      <colorScale>
        <cfvo type="num" val="0"/>
        <cfvo type="num" val="0.5"/>
        <cfvo type="num" val="1"/>
        <color rgb="FFFF0000"/>
        <color rgb="FFFFC000"/>
        <color rgb="FF92D050"/>
      </colorScale>
    </cfRule>
  </conditionalFormatting>
  <conditionalFormatting sqref="PL7">
    <cfRule type="colorScale" priority="242">
      <colorScale>
        <cfvo type="num" val="0"/>
        <cfvo type="num" val="0.5"/>
        <cfvo type="num" val="1"/>
        <color rgb="FFFF0000"/>
        <color rgb="FFFFC000"/>
        <color rgb="FF92D050"/>
      </colorScale>
    </cfRule>
  </conditionalFormatting>
  <conditionalFormatting sqref="PO7">
    <cfRule type="colorScale" priority="241">
      <colorScale>
        <cfvo type="num" val="0"/>
        <cfvo type="num" val="0.5"/>
        <cfvo type="num" val="1"/>
        <color rgb="FFFF0000"/>
        <color rgb="FFFFC000"/>
        <color rgb="FF92D050"/>
      </colorScale>
    </cfRule>
  </conditionalFormatting>
  <conditionalFormatting sqref="PQ7">
    <cfRule type="cellIs" dxfId="117" priority="239" operator="equal">
      <formula>0</formula>
    </cfRule>
    <cfRule type="colorScale" priority="240">
      <colorScale>
        <cfvo type="min"/>
        <cfvo type="percentile" val="50"/>
        <cfvo type="max"/>
        <color rgb="FF92D050"/>
        <color rgb="FFFFC000"/>
        <color rgb="FFFF0000"/>
      </colorScale>
    </cfRule>
  </conditionalFormatting>
  <conditionalFormatting sqref="PC11">
    <cfRule type="colorScale" priority="238">
      <colorScale>
        <cfvo type="num" val="0"/>
        <cfvo type="num" val="0.5"/>
        <cfvo type="num" val="1"/>
        <color rgb="FFFF0000"/>
        <color rgb="FFFFC000"/>
        <color rgb="FF92D050"/>
      </colorScale>
    </cfRule>
  </conditionalFormatting>
  <conditionalFormatting sqref="PF11">
    <cfRule type="colorScale" priority="237">
      <colorScale>
        <cfvo type="num" val="0"/>
        <cfvo type="num" val="0.5"/>
        <cfvo type="num" val="1"/>
        <color rgb="FFFF0000"/>
        <color rgb="FFFFC000"/>
        <color rgb="FF92D050"/>
      </colorScale>
    </cfRule>
  </conditionalFormatting>
  <conditionalFormatting sqref="PI11">
    <cfRule type="colorScale" priority="236">
      <colorScale>
        <cfvo type="num" val="0"/>
        <cfvo type="num" val="0.5"/>
        <cfvo type="num" val="1"/>
        <color rgb="FFFF0000"/>
        <color rgb="FFFFC000"/>
        <color rgb="FF92D050"/>
      </colorScale>
    </cfRule>
  </conditionalFormatting>
  <conditionalFormatting sqref="PL11">
    <cfRule type="colorScale" priority="235">
      <colorScale>
        <cfvo type="num" val="0"/>
        <cfvo type="num" val="0.5"/>
        <cfvo type="num" val="1"/>
        <color rgb="FFFF0000"/>
        <color rgb="FFFFC000"/>
        <color rgb="FF92D050"/>
      </colorScale>
    </cfRule>
  </conditionalFormatting>
  <conditionalFormatting sqref="PO11">
    <cfRule type="colorScale" priority="234">
      <colorScale>
        <cfvo type="num" val="0"/>
        <cfvo type="num" val="0.5"/>
        <cfvo type="num" val="1"/>
        <color rgb="FFFF0000"/>
        <color rgb="FFFFC000"/>
        <color rgb="FF92D050"/>
      </colorScale>
    </cfRule>
  </conditionalFormatting>
  <conditionalFormatting sqref="PQ11">
    <cfRule type="cellIs" dxfId="116" priority="232" operator="equal">
      <formula>0</formula>
    </cfRule>
    <cfRule type="colorScale" priority="233">
      <colorScale>
        <cfvo type="min"/>
        <cfvo type="percentile" val="50"/>
        <cfvo type="max"/>
        <color rgb="FF92D050"/>
        <color rgb="FFFFC000"/>
        <color rgb="FFFF0000"/>
      </colorScale>
    </cfRule>
  </conditionalFormatting>
  <conditionalFormatting sqref="PP10">
    <cfRule type="colorScale" priority="230">
      <colorScale>
        <cfvo type="min"/>
        <cfvo type="percentile" val="50"/>
        <cfvo type="max"/>
        <color rgb="FF92D050"/>
        <color rgb="FFFFC000"/>
        <color rgb="FFFF0000"/>
      </colorScale>
    </cfRule>
    <cfRule type="colorScale" priority="231">
      <colorScale>
        <cfvo type="num" val="0"/>
        <cfvo type="num" val="0.5"/>
        <cfvo type="num" val="1"/>
        <color rgb="FFFF0000"/>
        <color rgb="FFFFC000"/>
        <color rgb="FF92D050"/>
      </colorScale>
    </cfRule>
  </conditionalFormatting>
  <conditionalFormatting sqref="PC10">
    <cfRule type="colorScale" priority="229">
      <colorScale>
        <cfvo type="num" val="0"/>
        <cfvo type="num" val="0.5"/>
        <cfvo type="num" val="1"/>
        <color rgb="FFFF0000"/>
        <color rgb="FFFFC000"/>
        <color rgb="FF92D050"/>
      </colorScale>
    </cfRule>
  </conditionalFormatting>
  <conditionalFormatting sqref="PF10">
    <cfRule type="colorScale" priority="228">
      <colorScale>
        <cfvo type="num" val="0"/>
        <cfvo type="num" val="0.5"/>
        <cfvo type="num" val="1"/>
        <color rgb="FFFF0000"/>
        <color rgb="FFFFC000"/>
        <color rgb="FF92D050"/>
      </colorScale>
    </cfRule>
  </conditionalFormatting>
  <conditionalFormatting sqref="PI10">
    <cfRule type="colorScale" priority="227">
      <colorScale>
        <cfvo type="num" val="0"/>
        <cfvo type="num" val="0.5"/>
        <cfvo type="num" val="1"/>
        <color rgb="FFFF0000"/>
        <color rgb="FFFFC000"/>
        <color rgb="FF92D050"/>
      </colorScale>
    </cfRule>
  </conditionalFormatting>
  <conditionalFormatting sqref="PL10">
    <cfRule type="colorScale" priority="226">
      <colorScale>
        <cfvo type="num" val="0"/>
        <cfvo type="num" val="0.5"/>
        <cfvo type="num" val="1"/>
        <color rgb="FFFF0000"/>
        <color rgb="FFFFC000"/>
        <color rgb="FF92D050"/>
      </colorScale>
    </cfRule>
  </conditionalFormatting>
  <conditionalFormatting sqref="PO10">
    <cfRule type="colorScale" priority="225">
      <colorScale>
        <cfvo type="num" val="0"/>
        <cfvo type="num" val="0.5"/>
        <cfvo type="num" val="1"/>
        <color rgb="FFFF0000"/>
        <color rgb="FFFFC000"/>
        <color rgb="FF92D050"/>
      </colorScale>
    </cfRule>
  </conditionalFormatting>
  <conditionalFormatting sqref="PQ10">
    <cfRule type="cellIs" dxfId="115" priority="223" operator="equal">
      <formula>0</formula>
    </cfRule>
    <cfRule type="colorScale" priority="224">
      <colorScale>
        <cfvo type="min"/>
        <cfvo type="percentile" val="50"/>
        <cfvo type="max"/>
        <color rgb="FF92D050"/>
        <color rgb="FFFFC000"/>
        <color rgb="FFFF0000"/>
      </colorScale>
    </cfRule>
  </conditionalFormatting>
  <conditionalFormatting sqref="OH10">
    <cfRule type="colorScale" priority="221">
      <colorScale>
        <cfvo type="min"/>
        <cfvo type="percentile" val="50"/>
        <cfvo type="max"/>
        <color rgb="FF92D050"/>
        <color rgb="FFFFC000"/>
        <color rgb="FFFF0000"/>
      </colorScale>
    </cfRule>
    <cfRule type="colorScale" priority="222">
      <colorScale>
        <cfvo type="num" val="0"/>
        <cfvo type="num" val="0.5"/>
        <cfvo type="num" val="1"/>
        <color rgb="FFFF0000"/>
        <color rgb="FFFFC000"/>
        <color rgb="FF92D050"/>
      </colorScale>
    </cfRule>
  </conditionalFormatting>
  <conditionalFormatting sqref="NU10">
    <cfRule type="colorScale" priority="220">
      <colorScale>
        <cfvo type="num" val="0"/>
        <cfvo type="num" val="0.5"/>
        <cfvo type="num" val="1"/>
        <color rgb="FFFF0000"/>
        <color rgb="FFFFC000"/>
        <color rgb="FF92D050"/>
      </colorScale>
    </cfRule>
  </conditionalFormatting>
  <conditionalFormatting sqref="NX10">
    <cfRule type="colorScale" priority="219">
      <colorScale>
        <cfvo type="num" val="0"/>
        <cfvo type="num" val="0.5"/>
        <cfvo type="num" val="1"/>
        <color rgb="FFFF0000"/>
        <color rgb="FFFFC000"/>
        <color rgb="FF92D050"/>
      </colorScale>
    </cfRule>
  </conditionalFormatting>
  <conditionalFormatting sqref="OA10">
    <cfRule type="colorScale" priority="218">
      <colorScale>
        <cfvo type="num" val="0"/>
        <cfvo type="num" val="0.5"/>
        <cfvo type="num" val="1"/>
        <color rgb="FFFF0000"/>
        <color rgb="FFFFC000"/>
        <color rgb="FF92D050"/>
      </colorScale>
    </cfRule>
  </conditionalFormatting>
  <conditionalFormatting sqref="OD10">
    <cfRule type="colorScale" priority="217">
      <colorScale>
        <cfvo type="num" val="0"/>
        <cfvo type="num" val="0.5"/>
        <cfvo type="num" val="1"/>
        <color rgb="FFFF0000"/>
        <color rgb="FFFFC000"/>
        <color rgb="FF92D050"/>
      </colorScale>
    </cfRule>
  </conditionalFormatting>
  <conditionalFormatting sqref="OG10">
    <cfRule type="colorScale" priority="216">
      <colorScale>
        <cfvo type="num" val="0"/>
        <cfvo type="num" val="0.5"/>
        <cfvo type="num" val="1"/>
        <color rgb="FFFF0000"/>
        <color rgb="FFFFC000"/>
        <color rgb="FF92D050"/>
      </colorScale>
    </cfRule>
  </conditionalFormatting>
  <conditionalFormatting sqref="OH11">
    <cfRule type="colorScale" priority="214">
      <colorScale>
        <cfvo type="min"/>
        <cfvo type="percentile" val="50"/>
        <cfvo type="max"/>
        <color rgb="FF92D050"/>
        <color rgb="FFFFC000"/>
        <color rgb="FFFF0000"/>
      </colorScale>
    </cfRule>
    <cfRule type="colorScale" priority="215">
      <colorScale>
        <cfvo type="num" val="0"/>
        <cfvo type="num" val="0.5"/>
        <cfvo type="num" val="1"/>
        <color rgb="FFFF0000"/>
        <color rgb="FFFFC000"/>
        <color rgb="FF92D050"/>
      </colorScale>
    </cfRule>
  </conditionalFormatting>
  <conditionalFormatting sqref="NU11">
    <cfRule type="colorScale" priority="213">
      <colorScale>
        <cfvo type="num" val="0"/>
        <cfvo type="num" val="0.5"/>
        <cfvo type="num" val="1"/>
        <color rgb="FFFF0000"/>
        <color rgb="FFFFC000"/>
        <color rgb="FF92D050"/>
      </colorScale>
    </cfRule>
  </conditionalFormatting>
  <conditionalFormatting sqref="NX11">
    <cfRule type="colorScale" priority="212">
      <colorScale>
        <cfvo type="num" val="0"/>
        <cfvo type="num" val="0.5"/>
        <cfvo type="num" val="1"/>
        <color rgb="FFFF0000"/>
        <color rgb="FFFFC000"/>
        <color rgb="FF92D050"/>
      </colorScale>
    </cfRule>
  </conditionalFormatting>
  <conditionalFormatting sqref="OA11">
    <cfRule type="colorScale" priority="211">
      <colorScale>
        <cfvo type="num" val="0"/>
        <cfvo type="num" val="0.5"/>
        <cfvo type="num" val="1"/>
        <color rgb="FFFF0000"/>
        <color rgb="FFFFC000"/>
        <color rgb="FF92D050"/>
      </colorScale>
    </cfRule>
  </conditionalFormatting>
  <conditionalFormatting sqref="OD11">
    <cfRule type="colorScale" priority="210">
      <colorScale>
        <cfvo type="num" val="0"/>
        <cfvo type="num" val="0.5"/>
        <cfvo type="num" val="1"/>
        <color rgb="FFFF0000"/>
        <color rgb="FFFFC000"/>
        <color rgb="FF92D050"/>
      </colorScale>
    </cfRule>
  </conditionalFormatting>
  <conditionalFormatting sqref="OG11">
    <cfRule type="colorScale" priority="209">
      <colorScale>
        <cfvo type="num" val="0"/>
        <cfvo type="num" val="0.5"/>
        <cfvo type="num" val="1"/>
        <color rgb="FFFF0000"/>
        <color rgb="FFFFC000"/>
        <color rgb="FF92D050"/>
      </colorScale>
    </cfRule>
  </conditionalFormatting>
  <conditionalFormatting sqref="OY10">
    <cfRule type="colorScale" priority="207">
      <colorScale>
        <cfvo type="min"/>
        <cfvo type="percentile" val="50"/>
        <cfvo type="max"/>
        <color rgb="FF92D050"/>
        <color rgb="FFFFC000"/>
        <color rgb="FFFF0000"/>
      </colorScale>
    </cfRule>
    <cfRule type="colorScale" priority="208">
      <colorScale>
        <cfvo type="num" val="0"/>
        <cfvo type="num" val="0.5"/>
        <cfvo type="num" val="1"/>
        <color rgb="FFFF0000"/>
        <color rgb="FFFFC000"/>
        <color rgb="FF92D050"/>
      </colorScale>
    </cfRule>
  </conditionalFormatting>
  <conditionalFormatting sqref="OL10">
    <cfRule type="colorScale" priority="206">
      <colorScale>
        <cfvo type="num" val="0"/>
        <cfvo type="num" val="0.5"/>
        <cfvo type="num" val="1"/>
        <color rgb="FFFF0000"/>
        <color rgb="FFFFC000"/>
        <color rgb="FF92D050"/>
      </colorScale>
    </cfRule>
  </conditionalFormatting>
  <conditionalFormatting sqref="OO10">
    <cfRule type="colorScale" priority="205">
      <colorScale>
        <cfvo type="num" val="0"/>
        <cfvo type="num" val="0.5"/>
        <cfvo type="num" val="1"/>
        <color rgb="FFFF0000"/>
        <color rgb="FFFFC000"/>
        <color rgb="FF92D050"/>
      </colorScale>
    </cfRule>
  </conditionalFormatting>
  <conditionalFormatting sqref="OR10">
    <cfRule type="colorScale" priority="204">
      <colorScale>
        <cfvo type="num" val="0"/>
        <cfvo type="num" val="0.5"/>
        <cfvo type="num" val="1"/>
        <color rgb="FFFF0000"/>
        <color rgb="FFFFC000"/>
        <color rgb="FF92D050"/>
      </colorScale>
    </cfRule>
  </conditionalFormatting>
  <conditionalFormatting sqref="OU10">
    <cfRule type="colorScale" priority="203">
      <colorScale>
        <cfvo type="num" val="0"/>
        <cfvo type="num" val="0.5"/>
        <cfvo type="num" val="1"/>
        <color rgb="FFFF0000"/>
        <color rgb="FFFFC000"/>
        <color rgb="FF92D050"/>
      </colorScale>
    </cfRule>
  </conditionalFormatting>
  <conditionalFormatting sqref="OX10">
    <cfRule type="colorScale" priority="202">
      <colorScale>
        <cfvo type="num" val="0"/>
        <cfvo type="num" val="0.5"/>
        <cfvo type="num" val="1"/>
        <color rgb="FFFF0000"/>
        <color rgb="FFFFC000"/>
        <color rgb="FF92D050"/>
      </colorScale>
    </cfRule>
  </conditionalFormatting>
  <conditionalFormatting sqref="OZ10">
    <cfRule type="cellIs" dxfId="114" priority="200" operator="equal">
      <formula>0</formula>
    </cfRule>
    <cfRule type="colorScale" priority="201">
      <colorScale>
        <cfvo type="min"/>
        <cfvo type="percentile" val="50"/>
        <cfvo type="max"/>
        <color rgb="FF92D050"/>
        <color rgb="FFFFC000"/>
        <color rgb="FFFF0000"/>
      </colorScale>
    </cfRule>
  </conditionalFormatting>
  <conditionalFormatting sqref="ND10">
    <cfRule type="colorScale" priority="199">
      <colorScale>
        <cfvo type="num" val="0"/>
        <cfvo type="num" val="0.5"/>
        <cfvo type="num" val="1"/>
        <color rgb="FFFF0000"/>
        <color rgb="FFFFC000"/>
        <color rgb="FF92D050"/>
      </colorScale>
    </cfRule>
  </conditionalFormatting>
  <conditionalFormatting sqref="NG10">
    <cfRule type="colorScale" priority="198">
      <colorScale>
        <cfvo type="num" val="0"/>
        <cfvo type="num" val="0.5"/>
        <cfvo type="num" val="1"/>
        <color rgb="FFFF0000"/>
        <color rgb="FFFFC000"/>
        <color rgb="FF92D050"/>
      </colorScale>
    </cfRule>
  </conditionalFormatting>
  <conditionalFormatting sqref="NJ10">
    <cfRule type="colorScale" priority="197">
      <colorScale>
        <cfvo type="num" val="0"/>
        <cfvo type="num" val="0.5"/>
        <cfvo type="num" val="1"/>
        <color rgb="FFFF0000"/>
        <color rgb="FFFFC000"/>
        <color rgb="FF92D050"/>
      </colorScale>
    </cfRule>
  </conditionalFormatting>
  <conditionalFormatting sqref="NM10">
    <cfRule type="colorScale" priority="196">
      <colorScale>
        <cfvo type="num" val="0"/>
        <cfvo type="num" val="0.5"/>
        <cfvo type="num" val="1"/>
        <color rgb="FFFF0000"/>
        <color rgb="FFFFC000"/>
        <color rgb="FF92D050"/>
      </colorScale>
    </cfRule>
  </conditionalFormatting>
  <conditionalFormatting sqref="NP10">
    <cfRule type="colorScale" priority="195">
      <colorScale>
        <cfvo type="num" val="0"/>
        <cfvo type="num" val="0.5"/>
        <cfvo type="num" val="1"/>
        <color rgb="FFFF0000"/>
        <color rgb="FFFFC000"/>
        <color rgb="FF92D050"/>
      </colorScale>
    </cfRule>
  </conditionalFormatting>
  <conditionalFormatting sqref="NR10">
    <cfRule type="cellIs" dxfId="113" priority="193" operator="equal">
      <formula>0</formula>
    </cfRule>
    <cfRule type="colorScale" priority="194">
      <colorScale>
        <cfvo type="min"/>
        <cfvo type="percentile" val="50"/>
        <cfvo type="max"/>
        <color rgb="FF92D050"/>
        <color rgb="FFFFC000"/>
        <color rgb="FFFF0000"/>
      </colorScale>
    </cfRule>
  </conditionalFormatting>
  <conditionalFormatting sqref="NQ10">
    <cfRule type="colorScale" priority="192">
      <colorScale>
        <cfvo type="num" val="0"/>
        <cfvo type="num" val="0.5"/>
        <cfvo type="num" val="1"/>
        <color rgb="FFFF0000"/>
        <color rgb="FFFFC000"/>
        <color rgb="FF92D050"/>
      </colorScale>
    </cfRule>
  </conditionalFormatting>
  <conditionalFormatting sqref="NQ10">
    <cfRule type="colorScale" priority="191">
      <colorScale>
        <cfvo type="min"/>
        <cfvo type="percentile" val="50"/>
        <cfvo type="max"/>
        <color rgb="FF92D050"/>
        <color rgb="FFFFC000"/>
        <color rgb="FFFF0000"/>
      </colorScale>
    </cfRule>
  </conditionalFormatting>
  <conditionalFormatting sqref="ND11">
    <cfRule type="colorScale" priority="190">
      <colorScale>
        <cfvo type="num" val="0"/>
        <cfvo type="num" val="0.5"/>
        <cfvo type="num" val="1"/>
        <color rgb="FFFF0000"/>
        <color rgb="FFFFC000"/>
        <color rgb="FF92D050"/>
      </colorScale>
    </cfRule>
  </conditionalFormatting>
  <conditionalFormatting sqref="NG11">
    <cfRule type="colorScale" priority="189">
      <colorScale>
        <cfvo type="num" val="0"/>
        <cfvo type="num" val="0.5"/>
        <cfvo type="num" val="1"/>
        <color rgb="FFFF0000"/>
        <color rgb="FFFFC000"/>
        <color rgb="FF92D050"/>
      </colorScale>
    </cfRule>
  </conditionalFormatting>
  <conditionalFormatting sqref="NJ11">
    <cfRule type="colorScale" priority="188">
      <colorScale>
        <cfvo type="num" val="0"/>
        <cfvo type="num" val="0.5"/>
        <cfvo type="num" val="1"/>
        <color rgb="FFFF0000"/>
        <color rgb="FFFFC000"/>
        <color rgb="FF92D050"/>
      </colorScale>
    </cfRule>
  </conditionalFormatting>
  <conditionalFormatting sqref="NM11">
    <cfRule type="colorScale" priority="187">
      <colorScale>
        <cfvo type="num" val="0"/>
        <cfvo type="num" val="0.5"/>
        <cfvo type="num" val="1"/>
        <color rgb="FFFF0000"/>
        <color rgb="FFFFC000"/>
        <color rgb="FF92D050"/>
      </colorScale>
    </cfRule>
  </conditionalFormatting>
  <conditionalFormatting sqref="NP11">
    <cfRule type="colorScale" priority="186">
      <colorScale>
        <cfvo type="num" val="0"/>
        <cfvo type="num" val="0.5"/>
        <cfvo type="num" val="1"/>
        <color rgb="FFFF0000"/>
        <color rgb="FFFFC000"/>
        <color rgb="FF92D050"/>
      </colorScale>
    </cfRule>
  </conditionalFormatting>
  <conditionalFormatting sqref="NR11">
    <cfRule type="cellIs" dxfId="112" priority="184" operator="equal">
      <formula>0</formula>
    </cfRule>
    <cfRule type="colorScale" priority="185">
      <colorScale>
        <cfvo type="min"/>
        <cfvo type="percentile" val="50"/>
        <cfvo type="max"/>
        <color rgb="FF92D050"/>
        <color rgb="FFFFC000"/>
        <color rgb="FFFF0000"/>
      </colorScale>
    </cfRule>
  </conditionalFormatting>
  <conditionalFormatting sqref="NQ11">
    <cfRule type="colorScale" priority="183">
      <colorScale>
        <cfvo type="num" val="0"/>
        <cfvo type="num" val="0.5"/>
        <cfvo type="num" val="1"/>
        <color rgb="FFFF0000"/>
        <color rgb="FFFFC000"/>
        <color rgb="FF92D050"/>
      </colorScale>
    </cfRule>
  </conditionalFormatting>
  <conditionalFormatting sqref="NQ11">
    <cfRule type="colorScale" priority="182">
      <colorScale>
        <cfvo type="min"/>
        <cfvo type="percentile" val="50"/>
        <cfvo type="max"/>
        <color rgb="FF92D050"/>
        <color rgb="FFFFC000"/>
        <color rgb="FFFF0000"/>
      </colorScale>
    </cfRule>
  </conditionalFormatting>
  <conditionalFormatting sqref="MM10">
    <cfRule type="colorScale" priority="181">
      <colorScale>
        <cfvo type="num" val="0"/>
        <cfvo type="num" val="0.5"/>
        <cfvo type="num" val="1"/>
        <color rgb="FFFF0000"/>
        <color rgb="FFFFC000"/>
        <color rgb="FF92D050"/>
      </colorScale>
    </cfRule>
  </conditionalFormatting>
  <conditionalFormatting sqref="MP10">
    <cfRule type="colorScale" priority="180">
      <colorScale>
        <cfvo type="num" val="0"/>
        <cfvo type="num" val="0.5"/>
        <cfvo type="num" val="1"/>
        <color rgb="FFFF0000"/>
        <color rgb="FFFFC000"/>
        <color rgb="FF92D050"/>
      </colorScale>
    </cfRule>
  </conditionalFormatting>
  <conditionalFormatting sqref="MS10">
    <cfRule type="colorScale" priority="179">
      <colorScale>
        <cfvo type="num" val="0"/>
        <cfvo type="num" val="0.5"/>
        <cfvo type="num" val="1"/>
        <color rgb="FFFF0000"/>
        <color rgb="FFFFC000"/>
        <color rgb="FF92D050"/>
      </colorScale>
    </cfRule>
  </conditionalFormatting>
  <conditionalFormatting sqref="MV10">
    <cfRule type="colorScale" priority="178">
      <colorScale>
        <cfvo type="num" val="0"/>
        <cfvo type="num" val="0.5"/>
        <cfvo type="num" val="1"/>
        <color rgb="FFFF0000"/>
        <color rgb="FFFFC000"/>
        <color rgb="FF92D050"/>
      </colorScale>
    </cfRule>
  </conditionalFormatting>
  <conditionalFormatting sqref="MY10">
    <cfRule type="colorScale" priority="177">
      <colorScale>
        <cfvo type="num" val="0"/>
        <cfvo type="num" val="0.5"/>
        <cfvo type="num" val="1"/>
        <color rgb="FFFF0000"/>
        <color rgb="FFFFC000"/>
        <color rgb="FF92D050"/>
      </colorScale>
    </cfRule>
  </conditionalFormatting>
  <conditionalFormatting sqref="NA10">
    <cfRule type="cellIs" dxfId="111" priority="175" operator="equal">
      <formula>0</formula>
    </cfRule>
    <cfRule type="colorScale" priority="176">
      <colorScale>
        <cfvo type="min"/>
        <cfvo type="percentile" val="50"/>
        <cfvo type="max"/>
        <color rgb="FF92D050"/>
        <color rgb="FFFFC000"/>
        <color rgb="FFFF0000"/>
      </colorScale>
    </cfRule>
  </conditionalFormatting>
  <conditionalFormatting sqref="MZ10">
    <cfRule type="colorScale" priority="174">
      <colorScale>
        <cfvo type="num" val="0"/>
        <cfvo type="num" val="0.5"/>
        <cfvo type="num" val="1"/>
        <color rgb="FFFF0000"/>
        <color rgb="FFFFC000"/>
        <color rgb="FF92D050"/>
      </colorScale>
    </cfRule>
  </conditionalFormatting>
  <conditionalFormatting sqref="MZ10">
    <cfRule type="colorScale" priority="173">
      <colorScale>
        <cfvo type="min"/>
        <cfvo type="percentile" val="50"/>
        <cfvo type="max"/>
        <color rgb="FF92D050"/>
        <color rgb="FFFFC000"/>
        <color rgb="FFFF0000"/>
      </colorScale>
    </cfRule>
  </conditionalFormatting>
  <conditionalFormatting sqref="MM11">
    <cfRule type="colorScale" priority="172">
      <colorScale>
        <cfvo type="num" val="0"/>
        <cfvo type="num" val="0.5"/>
        <cfvo type="num" val="1"/>
        <color rgb="FFFF0000"/>
        <color rgb="FFFFC000"/>
        <color rgb="FF92D050"/>
      </colorScale>
    </cfRule>
  </conditionalFormatting>
  <conditionalFormatting sqref="MP11">
    <cfRule type="colorScale" priority="171">
      <colorScale>
        <cfvo type="num" val="0"/>
        <cfvo type="num" val="0.5"/>
        <cfvo type="num" val="1"/>
        <color rgb="FFFF0000"/>
        <color rgb="FFFFC000"/>
        <color rgb="FF92D050"/>
      </colorScale>
    </cfRule>
  </conditionalFormatting>
  <conditionalFormatting sqref="MS11">
    <cfRule type="colorScale" priority="170">
      <colorScale>
        <cfvo type="num" val="0"/>
        <cfvo type="num" val="0.5"/>
        <cfvo type="num" val="1"/>
        <color rgb="FFFF0000"/>
        <color rgb="FFFFC000"/>
        <color rgb="FF92D050"/>
      </colorScale>
    </cfRule>
  </conditionalFormatting>
  <conditionalFormatting sqref="MV11">
    <cfRule type="colorScale" priority="169">
      <colorScale>
        <cfvo type="num" val="0"/>
        <cfvo type="num" val="0.5"/>
        <cfvo type="num" val="1"/>
        <color rgb="FFFF0000"/>
        <color rgb="FFFFC000"/>
        <color rgb="FF92D050"/>
      </colorScale>
    </cfRule>
  </conditionalFormatting>
  <conditionalFormatting sqref="MY11">
    <cfRule type="colorScale" priority="168">
      <colorScale>
        <cfvo type="num" val="0"/>
        <cfvo type="num" val="0.5"/>
        <cfvo type="num" val="1"/>
        <color rgb="FFFF0000"/>
        <color rgb="FFFFC000"/>
        <color rgb="FF92D050"/>
      </colorScale>
    </cfRule>
  </conditionalFormatting>
  <conditionalFormatting sqref="NA11">
    <cfRule type="cellIs" dxfId="110" priority="166" operator="equal">
      <formula>0</formula>
    </cfRule>
    <cfRule type="colorScale" priority="167">
      <colorScale>
        <cfvo type="min"/>
        <cfvo type="percentile" val="50"/>
        <cfvo type="max"/>
        <color rgb="FF92D050"/>
        <color rgb="FFFFC000"/>
        <color rgb="FFFF0000"/>
      </colorScale>
    </cfRule>
  </conditionalFormatting>
  <conditionalFormatting sqref="MZ11">
    <cfRule type="colorScale" priority="165">
      <colorScale>
        <cfvo type="num" val="0"/>
        <cfvo type="num" val="0.5"/>
        <cfvo type="num" val="1"/>
        <color rgb="FFFF0000"/>
        <color rgb="FFFFC000"/>
        <color rgb="FF92D050"/>
      </colorScale>
    </cfRule>
  </conditionalFormatting>
  <conditionalFormatting sqref="MZ11">
    <cfRule type="colorScale" priority="164">
      <colorScale>
        <cfvo type="min"/>
        <cfvo type="percentile" val="50"/>
        <cfvo type="max"/>
        <color rgb="FF92D050"/>
        <color rgb="FFFFC000"/>
        <color rgb="FFFF0000"/>
      </colorScale>
    </cfRule>
  </conditionalFormatting>
  <conditionalFormatting sqref="S10">
    <cfRule type="colorScale" priority="163">
      <colorScale>
        <cfvo type="min"/>
        <cfvo type="percentile" val="50"/>
        <cfvo type="max"/>
        <color rgb="FF92D050"/>
        <color rgb="FFFFC000"/>
        <color rgb="FFFF0000"/>
      </colorScale>
    </cfRule>
  </conditionalFormatting>
  <conditionalFormatting sqref="G10">
    <cfRule type="colorScale" priority="162">
      <colorScale>
        <cfvo type="min"/>
        <cfvo type="percentile" val="50"/>
        <cfvo type="max"/>
        <color rgb="FF92D050"/>
        <color rgb="FFFFC000"/>
        <color rgb="FFFF0000"/>
      </colorScale>
    </cfRule>
  </conditionalFormatting>
  <conditionalFormatting sqref="I10">
    <cfRule type="colorScale" priority="161">
      <colorScale>
        <cfvo type="min"/>
        <cfvo type="percentile" val="50"/>
        <cfvo type="max"/>
        <color rgb="FF92D050"/>
        <color rgb="FFFFC000"/>
        <color rgb="FFFF0000"/>
      </colorScale>
    </cfRule>
  </conditionalFormatting>
  <conditionalFormatting sqref="M10">
    <cfRule type="colorScale" priority="160">
      <colorScale>
        <cfvo type="min"/>
        <cfvo type="percentile" val="50"/>
        <cfvo type="max"/>
        <color rgb="FFFF0000"/>
        <color rgb="FFFFC000"/>
        <color rgb="FF92D050"/>
      </colorScale>
    </cfRule>
  </conditionalFormatting>
  <conditionalFormatting sqref="O10">
    <cfRule type="colorScale" priority="159">
      <colorScale>
        <cfvo type="min"/>
        <cfvo type="percentile" val="50"/>
        <cfvo type="max"/>
        <color rgb="FFFF0000"/>
        <color rgb="FFFFC000"/>
        <color rgb="FF92D050"/>
      </colorScale>
    </cfRule>
  </conditionalFormatting>
  <conditionalFormatting sqref="K10">
    <cfRule type="colorScale" priority="158">
      <colorScale>
        <cfvo type="min"/>
        <cfvo type="percentile" val="50"/>
        <cfvo type="max"/>
        <color rgb="FF92D050"/>
        <color rgb="FFFFC000"/>
        <color rgb="FFFF0000"/>
      </colorScale>
    </cfRule>
  </conditionalFormatting>
  <conditionalFormatting sqref="X9 AA9 AD9">
    <cfRule type="colorScale" priority="157">
      <colorScale>
        <cfvo type="num" val="0"/>
        <cfvo type="num" val="0.5"/>
        <cfvo type="num" val="1"/>
        <color rgb="FFFF0000"/>
        <color rgb="FFFFC000"/>
        <color rgb="FF92D050"/>
      </colorScale>
    </cfRule>
  </conditionalFormatting>
  <conditionalFormatting sqref="AE9">
    <cfRule type="cellIs" dxfId="109" priority="155" operator="equal">
      <formula>0</formula>
    </cfRule>
    <cfRule type="colorScale" priority="156">
      <colorScale>
        <cfvo type="min"/>
        <cfvo type="percentile" val="50"/>
        <cfvo type="max"/>
        <color rgb="FF92D050"/>
        <color rgb="FFFFC000"/>
        <color rgb="FFFF0000"/>
      </colorScale>
    </cfRule>
  </conditionalFormatting>
  <conditionalFormatting sqref="X10 AA10 AD10">
    <cfRule type="colorScale" priority="154">
      <colorScale>
        <cfvo type="num" val="0"/>
        <cfvo type="num" val="0.5"/>
        <cfvo type="num" val="1"/>
        <color rgb="FFFF0000"/>
        <color rgb="FFFFC000"/>
        <color rgb="FF92D050"/>
      </colorScale>
    </cfRule>
  </conditionalFormatting>
  <conditionalFormatting sqref="AE10">
    <cfRule type="cellIs" dxfId="108" priority="152" operator="equal">
      <formula>0</formula>
    </cfRule>
    <cfRule type="colorScale" priority="153">
      <colorScale>
        <cfvo type="min"/>
        <cfvo type="percentile" val="50"/>
        <cfvo type="max"/>
        <color rgb="FF92D050"/>
        <color rgb="FFFFC000"/>
        <color rgb="FFFF0000"/>
      </colorScale>
    </cfRule>
  </conditionalFormatting>
  <conditionalFormatting sqref="X11 AA11 AD11">
    <cfRule type="colorScale" priority="151">
      <colorScale>
        <cfvo type="num" val="0"/>
        <cfvo type="num" val="0.5"/>
        <cfvo type="num" val="1"/>
        <color rgb="FFFF0000"/>
        <color rgb="FFFFC000"/>
        <color rgb="FF92D050"/>
      </colorScale>
    </cfRule>
  </conditionalFormatting>
  <conditionalFormatting sqref="AE11">
    <cfRule type="cellIs" dxfId="107" priority="149" operator="equal">
      <formula>0</formula>
    </cfRule>
    <cfRule type="colorScale" priority="150">
      <colorScale>
        <cfvo type="min"/>
        <cfvo type="percentile" val="50"/>
        <cfvo type="max"/>
        <color rgb="FF92D050"/>
        <color rgb="FFFFC000"/>
        <color rgb="FFFF0000"/>
      </colorScale>
    </cfRule>
  </conditionalFormatting>
  <conditionalFormatting sqref="EQ9">
    <cfRule type="colorScale" priority="148">
      <colorScale>
        <cfvo type="num" val="0"/>
        <cfvo type="num" val="0.5"/>
        <cfvo type="num" val="1"/>
        <color rgb="FFFF0000"/>
        <color rgb="FFFFC000"/>
        <color rgb="FF92D050"/>
      </colorScale>
    </cfRule>
  </conditionalFormatting>
  <conditionalFormatting sqref="ET9">
    <cfRule type="colorScale" priority="147">
      <colorScale>
        <cfvo type="num" val="0"/>
        <cfvo type="num" val="0.5"/>
        <cfvo type="num" val="1"/>
        <color rgb="FFFF0000"/>
        <color rgb="FFFFC000"/>
        <color rgb="FF92D050"/>
      </colorScale>
    </cfRule>
  </conditionalFormatting>
  <conditionalFormatting sqref="EW9">
    <cfRule type="colorScale" priority="146">
      <colorScale>
        <cfvo type="num" val="0"/>
        <cfvo type="num" val="0.5"/>
        <cfvo type="num" val="1"/>
        <color rgb="FFFF0000"/>
        <color rgb="FFFFC000"/>
        <color rgb="FF92D050"/>
      </colorScale>
    </cfRule>
  </conditionalFormatting>
  <conditionalFormatting sqref="EZ9">
    <cfRule type="colorScale" priority="145">
      <colorScale>
        <cfvo type="num" val="0"/>
        <cfvo type="num" val="0.5"/>
        <cfvo type="num" val="1"/>
        <color rgb="FFFF0000"/>
        <color rgb="FFFFC000"/>
        <color rgb="FF92D050"/>
      </colorScale>
    </cfRule>
  </conditionalFormatting>
  <conditionalFormatting sqref="FC9:FD9">
    <cfRule type="colorScale" priority="144">
      <colorScale>
        <cfvo type="num" val="0"/>
        <cfvo type="num" val="0.5"/>
        <cfvo type="num" val="1"/>
        <color rgb="FFFF0000"/>
        <color rgb="FFFFC000"/>
        <color rgb="FF92D050"/>
      </colorScale>
    </cfRule>
  </conditionalFormatting>
  <conditionalFormatting sqref="FE9">
    <cfRule type="cellIs" dxfId="106" priority="142" operator="equal">
      <formula>0</formula>
    </cfRule>
    <cfRule type="colorScale" priority="143">
      <colorScale>
        <cfvo type="min"/>
        <cfvo type="percentile" val="50"/>
        <cfvo type="max"/>
        <color rgb="FF92D050"/>
        <color rgb="FFFFC000"/>
        <color rgb="FFFF0000"/>
      </colorScale>
    </cfRule>
  </conditionalFormatting>
  <conditionalFormatting sqref="FD9">
    <cfRule type="colorScale" priority="141">
      <colorScale>
        <cfvo type="min"/>
        <cfvo type="percentile" val="50"/>
        <cfvo type="max"/>
        <color rgb="FF92D050"/>
        <color rgb="FFFFC000"/>
        <color rgb="FFFF0000"/>
      </colorScale>
    </cfRule>
  </conditionalFormatting>
  <conditionalFormatting sqref="EQ10">
    <cfRule type="colorScale" priority="140">
      <colorScale>
        <cfvo type="num" val="0"/>
        <cfvo type="num" val="0.5"/>
        <cfvo type="num" val="1"/>
        <color rgb="FFFF0000"/>
        <color rgb="FFFFC000"/>
        <color rgb="FF92D050"/>
      </colorScale>
    </cfRule>
  </conditionalFormatting>
  <conditionalFormatting sqref="ET10">
    <cfRule type="colorScale" priority="139">
      <colorScale>
        <cfvo type="num" val="0"/>
        <cfvo type="num" val="0.5"/>
        <cfvo type="num" val="1"/>
        <color rgb="FFFF0000"/>
        <color rgb="FFFFC000"/>
        <color rgb="FF92D050"/>
      </colorScale>
    </cfRule>
  </conditionalFormatting>
  <conditionalFormatting sqref="EW10">
    <cfRule type="colorScale" priority="138">
      <colorScale>
        <cfvo type="num" val="0"/>
        <cfvo type="num" val="0.5"/>
        <cfvo type="num" val="1"/>
        <color rgb="FFFF0000"/>
        <color rgb="FFFFC000"/>
        <color rgb="FF92D050"/>
      </colorScale>
    </cfRule>
  </conditionalFormatting>
  <conditionalFormatting sqref="EZ10">
    <cfRule type="colorScale" priority="137">
      <colorScale>
        <cfvo type="num" val="0"/>
        <cfvo type="num" val="0.5"/>
        <cfvo type="num" val="1"/>
        <color rgb="FFFF0000"/>
        <color rgb="FFFFC000"/>
        <color rgb="FF92D050"/>
      </colorScale>
    </cfRule>
  </conditionalFormatting>
  <conditionalFormatting sqref="FC10:FD10">
    <cfRule type="colorScale" priority="136">
      <colorScale>
        <cfvo type="num" val="0"/>
        <cfvo type="num" val="0.5"/>
        <cfvo type="num" val="1"/>
        <color rgb="FFFF0000"/>
        <color rgb="FFFFC000"/>
        <color rgb="FF92D050"/>
      </colorScale>
    </cfRule>
  </conditionalFormatting>
  <conditionalFormatting sqref="FE10">
    <cfRule type="cellIs" dxfId="105" priority="134" operator="equal">
      <formula>0</formula>
    </cfRule>
    <cfRule type="colorScale" priority="135">
      <colorScale>
        <cfvo type="min"/>
        <cfvo type="percentile" val="50"/>
        <cfvo type="max"/>
        <color rgb="FF92D050"/>
        <color rgb="FFFFC000"/>
        <color rgb="FFFF0000"/>
      </colorScale>
    </cfRule>
  </conditionalFormatting>
  <conditionalFormatting sqref="FD10">
    <cfRule type="colorScale" priority="133">
      <colorScale>
        <cfvo type="min"/>
        <cfvo type="percentile" val="50"/>
        <cfvo type="max"/>
        <color rgb="FF92D050"/>
        <color rgb="FFFFC000"/>
        <color rgb="FFFF0000"/>
      </colorScale>
    </cfRule>
  </conditionalFormatting>
  <conditionalFormatting sqref="EQ11">
    <cfRule type="colorScale" priority="132">
      <colorScale>
        <cfvo type="num" val="0"/>
        <cfvo type="num" val="0.5"/>
        <cfvo type="num" val="1"/>
        <color rgb="FFFF0000"/>
        <color rgb="FFFFC000"/>
        <color rgb="FF92D050"/>
      </colorScale>
    </cfRule>
  </conditionalFormatting>
  <conditionalFormatting sqref="ET11">
    <cfRule type="colorScale" priority="131">
      <colorScale>
        <cfvo type="num" val="0"/>
        <cfvo type="num" val="0.5"/>
        <cfvo type="num" val="1"/>
        <color rgb="FFFF0000"/>
        <color rgb="FFFFC000"/>
        <color rgb="FF92D050"/>
      </colorScale>
    </cfRule>
  </conditionalFormatting>
  <conditionalFormatting sqref="EW11">
    <cfRule type="colorScale" priority="130">
      <colorScale>
        <cfvo type="num" val="0"/>
        <cfvo type="num" val="0.5"/>
        <cfvo type="num" val="1"/>
        <color rgb="FFFF0000"/>
        <color rgb="FFFFC000"/>
        <color rgb="FF92D050"/>
      </colorScale>
    </cfRule>
  </conditionalFormatting>
  <conditionalFormatting sqref="EZ11">
    <cfRule type="colorScale" priority="129">
      <colorScale>
        <cfvo type="num" val="0"/>
        <cfvo type="num" val="0.5"/>
        <cfvo type="num" val="1"/>
        <color rgb="FFFF0000"/>
        <color rgb="FFFFC000"/>
        <color rgb="FF92D050"/>
      </colorScale>
    </cfRule>
  </conditionalFormatting>
  <conditionalFormatting sqref="FC11:FD11">
    <cfRule type="colorScale" priority="128">
      <colorScale>
        <cfvo type="num" val="0"/>
        <cfvo type="num" val="0.5"/>
        <cfvo type="num" val="1"/>
        <color rgb="FFFF0000"/>
        <color rgb="FFFFC000"/>
        <color rgb="FF92D050"/>
      </colorScale>
    </cfRule>
  </conditionalFormatting>
  <conditionalFormatting sqref="FE11">
    <cfRule type="cellIs" dxfId="104" priority="126" operator="equal">
      <formula>0</formula>
    </cfRule>
    <cfRule type="colorScale" priority="127">
      <colorScale>
        <cfvo type="min"/>
        <cfvo type="percentile" val="50"/>
        <cfvo type="max"/>
        <color rgb="FF92D050"/>
        <color rgb="FFFFC000"/>
        <color rgb="FFFF0000"/>
      </colorScale>
    </cfRule>
  </conditionalFormatting>
  <conditionalFormatting sqref="FD11">
    <cfRule type="colorScale" priority="125">
      <colorScale>
        <cfvo type="min"/>
        <cfvo type="percentile" val="50"/>
        <cfvo type="max"/>
        <color rgb="FF92D050"/>
        <color rgb="FFFFC000"/>
        <color rgb="FFFF0000"/>
      </colorScale>
    </cfRule>
  </conditionalFormatting>
  <conditionalFormatting sqref="LV10">
    <cfRule type="colorScale" priority="124">
      <colorScale>
        <cfvo type="num" val="0"/>
        <cfvo type="num" val="0.5"/>
        <cfvo type="num" val="1"/>
        <color rgb="FFFF0000"/>
        <color rgb="FFFFC000"/>
        <color rgb="FF92D050"/>
      </colorScale>
    </cfRule>
  </conditionalFormatting>
  <conditionalFormatting sqref="LY10">
    <cfRule type="colorScale" priority="123">
      <colorScale>
        <cfvo type="num" val="0"/>
        <cfvo type="num" val="0.5"/>
        <cfvo type="num" val="1"/>
        <color rgb="FFFF0000"/>
        <color rgb="FFFFC000"/>
        <color rgb="FF92D050"/>
      </colorScale>
    </cfRule>
  </conditionalFormatting>
  <conditionalFormatting sqref="MB10">
    <cfRule type="colorScale" priority="122">
      <colorScale>
        <cfvo type="num" val="0"/>
        <cfvo type="num" val="0.5"/>
        <cfvo type="num" val="1"/>
        <color rgb="FFFF0000"/>
        <color rgb="FFFFC000"/>
        <color rgb="FF92D050"/>
      </colorScale>
    </cfRule>
  </conditionalFormatting>
  <conditionalFormatting sqref="ME10">
    <cfRule type="colorScale" priority="121">
      <colorScale>
        <cfvo type="num" val="0"/>
        <cfvo type="num" val="0.5"/>
        <cfvo type="num" val="1"/>
        <color rgb="FFFF0000"/>
        <color rgb="FFFFC000"/>
        <color rgb="FF92D050"/>
      </colorScale>
    </cfRule>
  </conditionalFormatting>
  <conditionalFormatting sqref="MH10">
    <cfRule type="colorScale" priority="120">
      <colorScale>
        <cfvo type="num" val="0"/>
        <cfvo type="num" val="0.5"/>
        <cfvo type="num" val="1"/>
        <color rgb="FFFF0000"/>
        <color rgb="FFFFC000"/>
        <color rgb="FF92D050"/>
      </colorScale>
    </cfRule>
  </conditionalFormatting>
  <conditionalFormatting sqref="MJ10">
    <cfRule type="cellIs" dxfId="103" priority="118" operator="equal">
      <formula>0</formula>
    </cfRule>
    <cfRule type="colorScale" priority="119">
      <colorScale>
        <cfvo type="min"/>
        <cfvo type="percentile" val="50"/>
        <cfvo type="max"/>
        <color rgb="FF92D050"/>
        <color rgb="FFFFC000"/>
        <color rgb="FFFF0000"/>
      </colorScale>
    </cfRule>
  </conditionalFormatting>
  <conditionalFormatting sqref="MI10">
    <cfRule type="colorScale" priority="117">
      <colorScale>
        <cfvo type="num" val="0"/>
        <cfvo type="num" val="0.5"/>
        <cfvo type="num" val="1"/>
        <color rgb="FFFF0000"/>
        <color rgb="FFFFC000"/>
        <color rgb="FF92D050"/>
      </colorScale>
    </cfRule>
  </conditionalFormatting>
  <conditionalFormatting sqref="MI10">
    <cfRule type="colorScale" priority="116">
      <colorScale>
        <cfvo type="min"/>
        <cfvo type="percentile" val="50"/>
        <cfvo type="max"/>
        <color rgb="FF92D050"/>
        <color rgb="FFFFC000"/>
        <color rgb="FFFF0000"/>
      </colorScale>
    </cfRule>
  </conditionalFormatting>
  <conditionalFormatting sqref="LV11">
    <cfRule type="colorScale" priority="115">
      <colorScale>
        <cfvo type="num" val="0"/>
        <cfvo type="num" val="0.5"/>
        <cfvo type="num" val="1"/>
        <color rgb="FFFF0000"/>
        <color rgb="FFFFC000"/>
        <color rgb="FF92D050"/>
      </colorScale>
    </cfRule>
  </conditionalFormatting>
  <conditionalFormatting sqref="LY11">
    <cfRule type="colorScale" priority="114">
      <colorScale>
        <cfvo type="num" val="0"/>
        <cfvo type="num" val="0.5"/>
        <cfvo type="num" val="1"/>
        <color rgb="FFFF0000"/>
        <color rgb="FFFFC000"/>
        <color rgb="FF92D050"/>
      </colorScale>
    </cfRule>
  </conditionalFormatting>
  <conditionalFormatting sqref="MB11">
    <cfRule type="colorScale" priority="113">
      <colorScale>
        <cfvo type="num" val="0"/>
        <cfvo type="num" val="0.5"/>
        <cfvo type="num" val="1"/>
        <color rgb="FFFF0000"/>
        <color rgb="FFFFC000"/>
        <color rgb="FF92D050"/>
      </colorScale>
    </cfRule>
  </conditionalFormatting>
  <conditionalFormatting sqref="ME11">
    <cfRule type="colorScale" priority="112">
      <colorScale>
        <cfvo type="num" val="0"/>
        <cfvo type="num" val="0.5"/>
        <cfvo type="num" val="1"/>
        <color rgb="FFFF0000"/>
        <color rgb="FFFFC000"/>
        <color rgb="FF92D050"/>
      </colorScale>
    </cfRule>
  </conditionalFormatting>
  <conditionalFormatting sqref="MH11">
    <cfRule type="colorScale" priority="111">
      <colorScale>
        <cfvo type="num" val="0"/>
        <cfvo type="num" val="0.5"/>
        <cfvo type="num" val="1"/>
        <color rgb="FFFF0000"/>
        <color rgb="FFFFC000"/>
        <color rgb="FF92D050"/>
      </colorScale>
    </cfRule>
  </conditionalFormatting>
  <conditionalFormatting sqref="MJ11">
    <cfRule type="cellIs" dxfId="102" priority="109" operator="equal">
      <formula>0</formula>
    </cfRule>
    <cfRule type="colorScale" priority="110">
      <colorScale>
        <cfvo type="min"/>
        <cfvo type="percentile" val="50"/>
        <cfvo type="max"/>
        <color rgb="FF92D050"/>
        <color rgb="FFFFC000"/>
        <color rgb="FFFF0000"/>
      </colorScale>
    </cfRule>
  </conditionalFormatting>
  <conditionalFormatting sqref="MI11">
    <cfRule type="colorScale" priority="108">
      <colorScale>
        <cfvo type="num" val="0"/>
        <cfvo type="num" val="0.5"/>
        <cfvo type="num" val="1"/>
        <color rgb="FFFF0000"/>
        <color rgb="FFFFC000"/>
        <color rgb="FF92D050"/>
      </colorScale>
    </cfRule>
  </conditionalFormatting>
  <conditionalFormatting sqref="MI11">
    <cfRule type="colorScale" priority="107">
      <colorScale>
        <cfvo type="min"/>
        <cfvo type="percentile" val="50"/>
        <cfvo type="max"/>
        <color rgb="FF92D050"/>
        <color rgb="FFFFC000"/>
        <color rgb="FFFF0000"/>
      </colorScale>
    </cfRule>
  </conditionalFormatting>
  <conditionalFormatting sqref="LE10">
    <cfRule type="colorScale" priority="106">
      <colorScale>
        <cfvo type="num" val="0"/>
        <cfvo type="num" val="0.5"/>
        <cfvo type="num" val="1"/>
        <color rgb="FFFF0000"/>
        <color rgb="FFFFC000"/>
        <color rgb="FF92D050"/>
      </colorScale>
    </cfRule>
  </conditionalFormatting>
  <conditionalFormatting sqref="LH10">
    <cfRule type="colorScale" priority="105">
      <colorScale>
        <cfvo type="num" val="0"/>
        <cfvo type="num" val="0.5"/>
        <cfvo type="num" val="1"/>
        <color rgb="FFFF0000"/>
        <color rgb="FFFFC000"/>
        <color rgb="FF92D050"/>
      </colorScale>
    </cfRule>
  </conditionalFormatting>
  <conditionalFormatting sqref="LK10">
    <cfRule type="colorScale" priority="104">
      <colorScale>
        <cfvo type="num" val="0"/>
        <cfvo type="num" val="0.5"/>
        <cfvo type="num" val="1"/>
        <color rgb="FFFF0000"/>
        <color rgb="FFFFC000"/>
        <color rgb="FF92D050"/>
      </colorScale>
    </cfRule>
  </conditionalFormatting>
  <conditionalFormatting sqref="LN10">
    <cfRule type="colorScale" priority="103">
      <colorScale>
        <cfvo type="num" val="0"/>
        <cfvo type="num" val="0.5"/>
        <cfvo type="num" val="1"/>
        <color rgb="FFFF0000"/>
        <color rgb="FFFFC000"/>
        <color rgb="FF92D050"/>
      </colorScale>
    </cfRule>
  </conditionalFormatting>
  <conditionalFormatting sqref="LQ10">
    <cfRule type="colorScale" priority="102">
      <colorScale>
        <cfvo type="num" val="0"/>
        <cfvo type="num" val="0.5"/>
        <cfvo type="num" val="1"/>
        <color rgb="FFFF0000"/>
        <color rgb="FFFFC000"/>
        <color rgb="FF92D050"/>
      </colorScale>
    </cfRule>
  </conditionalFormatting>
  <conditionalFormatting sqref="LS10">
    <cfRule type="cellIs" dxfId="101" priority="100" operator="equal">
      <formula>0</formula>
    </cfRule>
    <cfRule type="colorScale" priority="101">
      <colorScale>
        <cfvo type="min"/>
        <cfvo type="percentile" val="50"/>
        <cfvo type="max"/>
        <color rgb="FF92D050"/>
        <color rgb="FFFFC000"/>
        <color rgb="FFFF0000"/>
      </colorScale>
    </cfRule>
  </conditionalFormatting>
  <conditionalFormatting sqref="LR10">
    <cfRule type="colorScale" priority="99">
      <colorScale>
        <cfvo type="num" val="0"/>
        <cfvo type="num" val="0.5"/>
        <cfvo type="num" val="1"/>
        <color rgb="FFFF0000"/>
        <color rgb="FFFFC000"/>
        <color rgb="FF92D050"/>
      </colorScale>
    </cfRule>
  </conditionalFormatting>
  <conditionalFormatting sqref="LR10">
    <cfRule type="colorScale" priority="98">
      <colorScale>
        <cfvo type="min"/>
        <cfvo type="percentile" val="50"/>
        <cfvo type="max"/>
        <color rgb="FF92D050"/>
        <color rgb="FFFFC000"/>
        <color rgb="FFFF0000"/>
      </colorScale>
    </cfRule>
  </conditionalFormatting>
  <conditionalFormatting sqref="LE11">
    <cfRule type="colorScale" priority="97">
      <colorScale>
        <cfvo type="num" val="0"/>
        <cfvo type="num" val="0.5"/>
        <cfvo type="num" val="1"/>
        <color rgb="FFFF0000"/>
        <color rgb="FFFFC000"/>
        <color rgb="FF92D050"/>
      </colorScale>
    </cfRule>
  </conditionalFormatting>
  <conditionalFormatting sqref="LH11">
    <cfRule type="colorScale" priority="96">
      <colorScale>
        <cfvo type="num" val="0"/>
        <cfvo type="num" val="0.5"/>
        <cfvo type="num" val="1"/>
        <color rgb="FFFF0000"/>
        <color rgb="FFFFC000"/>
        <color rgb="FF92D050"/>
      </colorScale>
    </cfRule>
  </conditionalFormatting>
  <conditionalFormatting sqref="LK11">
    <cfRule type="colorScale" priority="95">
      <colorScale>
        <cfvo type="num" val="0"/>
        <cfvo type="num" val="0.5"/>
        <cfvo type="num" val="1"/>
        <color rgb="FFFF0000"/>
        <color rgb="FFFFC000"/>
        <color rgb="FF92D050"/>
      </colorScale>
    </cfRule>
  </conditionalFormatting>
  <conditionalFormatting sqref="LN11">
    <cfRule type="colorScale" priority="94">
      <colorScale>
        <cfvo type="num" val="0"/>
        <cfvo type="num" val="0.5"/>
        <cfvo type="num" val="1"/>
        <color rgb="FFFF0000"/>
        <color rgb="FFFFC000"/>
        <color rgb="FF92D050"/>
      </colorScale>
    </cfRule>
  </conditionalFormatting>
  <conditionalFormatting sqref="LQ11">
    <cfRule type="colorScale" priority="93">
      <colorScale>
        <cfvo type="num" val="0"/>
        <cfvo type="num" val="0.5"/>
        <cfvo type="num" val="1"/>
        <color rgb="FFFF0000"/>
        <color rgb="FFFFC000"/>
        <color rgb="FF92D050"/>
      </colorScale>
    </cfRule>
  </conditionalFormatting>
  <conditionalFormatting sqref="LS11">
    <cfRule type="cellIs" dxfId="100" priority="91" operator="equal">
      <formula>0</formula>
    </cfRule>
    <cfRule type="colorScale" priority="92">
      <colorScale>
        <cfvo type="min"/>
        <cfvo type="percentile" val="50"/>
        <cfvo type="max"/>
        <color rgb="FF92D050"/>
        <color rgb="FFFFC000"/>
        <color rgb="FFFF0000"/>
      </colorScale>
    </cfRule>
  </conditionalFormatting>
  <conditionalFormatting sqref="LR11">
    <cfRule type="colorScale" priority="90">
      <colorScale>
        <cfvo type="num" val="0"/>
        <cfvo type="num" val="0.5"/>
        <cfvo type="num" val="1"/>
        <color rgb="FFFF0000"/>
        <color rgb="FFFFC000"/>
        <color rgb="FF92D050"/>
      </colorScale>
    </cfRule>
  </conditionalFormatting>
  <conditionalFormatting sqref="LR11">
    <cfRule type="colorScale" priority="89">
      <colorScale>
        <cfvo type="min"/>
        <cfvo type="percentile" val="50"/>
        <cfvo type="max"/>
        <color rgb="FF92D050"/>
        <color rgb="FFFFC000"/>
        <color rgb="FFFF0000"/>
      </colorScale>
    </cfRule>
  </conditionalFormatting>
  <conditionalFormatting sqref="KN10">
    <cfRule type="colorScale" priority="88">
      <colorScale>
        <cfvo type="num" val="0"/>
        <cfvo type="num" val="0.5"/>
        <cfvo type="num" val="1"/>
        <color rgb="FFFF0000"/>
        <color rgb="FFFFC000"/>
        <color rgb="FF92D050"/>
      </colorScale>
    </cfRule>
  </conditionalFormatting>
  <conditionalFormatting sqref="KQ10">
    <cfRule type="colorScale" priority="87">
      <colorScale>
        <cfvo type="num" val="0"/>
        <cfvo type="num" val="0.5"/>
        <cfvo type="num" val="1"/>
        <color rgb="FFFF0000"/>
        <color rgb="FFFFC000"/>
        <color rgb="FF92D050"/>
      </colorScale>
    </cfRule>
  </conditionalFormatting>
  <conditionalFormatting sqref="KT10">
    <cfRule type="colorScale" priority="86">
      <colorScale>
        <cfvo type="num" val="0"/>
        <cfvo type="num" val="0.5"/>
        <cfvo type="num" val="1"/>
        <color rgb="FFFF0000"/>
        <color rgb="FFFFC000"/>
        <color rgb="FF92D050"/>
      </colorScale>
    </cfRule>
  </conditionalFormatting>
  <conditionalFormatting sqref="KW10">
    <cfRule type="colorScale" priority="85">
      <colorScale>
        <cfvo type="num" val="0"/>
        <cfvo type="num" val="0.5"/>
        <cfvo type="num" val="1"/>
        <color rgb="FFFF0000"/>
        <color rgb="FFFFC000"/>
        <color rgb="FF92D050"/>
      </colorScale>
    </cfRule>
  </conditionalFormatting>
  <conditionalFormatting sqref="KZ10">
    <cfRule type="colorScale" priority="84">
      <colorScale>
        <cfvo type="num" val="0"/>
        <cfvo type="num" val="0.5"/>
        <cfvo type="num" val="1"/>
        <color rgb="FFFF0000"/>
        <color rgb="FFFFC000"/>
        <color rgb="FF92D050"/>
      </colorScale>
    </cfRule>
  </conditionalFormatting>
  <conditionalFormatting sqref="LB10">
    <cfRule type="cellIs" dxfId="99" priority="82" operator="equal">
      <formula>0</formula>
    </cfRule>
    <cfRule type="colorScale" priority="83">
      <colorScale>
        <cfvo type="min"/>
        <cfvo type="percentile" val="50"/>
        <cfvo type="max"/>
        <color rgb="FF92D050"/>
        <color rgb="FFFFC000"/>
        <color rgb="FFFF0000"/>
      </colorScale>
    </cfRule>
  </conditionalFormatting>
  <conditionalFormatting sqref="LA10">
    <cfRule type="colorScale" priority="81">
      <colorScale>
        <cfvo type="num" val="0"/>
        <cfvo type="num" val="0.5"/>
        <cfvo type="num" val="1"/>
        <color rgb="FFFF0000"/>
        <color rgb="FFFFC000"/>
        <color rgb="FF92D050"/>
      </colorScale>
    </cfRule>
  </conditionalFormatting>
  <conditionalFormatting sqref="LA10">
    <cfRule type="colorScale" priority="80">
      <colorScale>
        <cfvo type="min"/>
        <cfvo type="percentile" val="50"/>
        <cfvo type="max"/>
        <color rgb="FF92D050"/>
        <color rgb="FFFFC000"/>
        <color rgb="FFFF0000"/>
      </colorScale>
    </cfRule>
  </conditionalFormatting>
  <conditionalFormatting sqref="KN11">
    <cfRule type="colorScale" priority="79">
      <colorScale>
        <cfvo type="num" val="0"/>
        <cfvo type="num" val="0.5"/>
        <cfvo type="num" val="1"/>
        <color rgb="FFFF0000"/>
        <color rgb="FFFFC000"/>
        <color rgb="FF92D050"/>
      </colorScale>
    </cfRule>
  </conditionalFormatting>
  <conditionalFormatting sqref="KQ11">
    <cfRule type="colorScale" priority="78">
      <colorScale>
        <cfvo type="num" val="0"/>
        <cfvo type="num" val="0.5"/>
        <cfvo type="num" val="1"/>
        <color rgb="FFFF0000"/>
        <color rgb="FFFFC000"/>
        <color rgb="FF92D050"/>
      </colorScale>
    </cfRule>
  </conditionalFormatting>
  <conditionalFormatting sqref="KT11">
    <cfRule type="colorScale" priority="77">
      <colorScale>
        <cfvo type="num" val="0"/>
        <cfvo type="num" val="0.5"/>
        <cfvo type="num" val="1"/>
        <color rgb="FFFF0000"/>
        <color rgb="FFFFC000"/>
        <color rgb="FF92D050"/>
      </colorScale>
    </cfRule>
  </conditionalFormatting>
  <conditionalFormatting sqref="KW11">
    <cfRule type="colorScale" priority="76">
      <colorScale>
        <cfvo type="num" val="0"/>
        <cfvo type="num" val="0.5"/>
        <cfvo type="num" val="1"/>
        <color rgb="FFFF0000"/>
        <color rgb="FFFFC000"/>
        <color rgb="FF92D050"/>
      </colorScale>
    </cfRule>
  </conditionalFormatting>
  <conditionalFormatting sqref="KZ11">
    <cfRule type="colorScale" priority="75">
      <colorScale>
        <cfvo type="num" val="0"/>
        <cfvo type="num" val="0.5"/>
        <cfvo type="num" val="1"/>
        <color rgb="FFFF0000"/>
        <color rgb="FFFFC000"/>
        <color rgb="FF92D050"/>
      </colorScale>
    </cfRule>
  </conditionalFormatting>
  <conditionalFormatting sqref="LB11">
    <cfRule type="cellIs" dxfId="98" priority="73" operator="equal">
      <formula>0</formula>
    </cfRule>
    <cfRule type="colorScale" priority="74">
      <colorScale>
        <cfvo type="min"/>
        <cfvo type="percentile" val="50"/>
        <cfvo type="max"/>
        <color rgb="FF92D050"/>
        <color rgb="FFFFC000"/>
        <color rgb="FFFF0000"/>
      </colorScale>
    </cfRule>
  </conditionalFormatting>
  <conditionalFormatting sqref="LA11">
    <cfRule type="colorScale" priority="72">
      <colorScale>
        <cfvo type="num" val="0"/>
        <cfvo type="num" val="0.5"/>
        <cfvo type="num" val="1"/>
        <color rgb="FFFF0000"/>
        <color rgb="FFFFC000"/>
        <color rgb="FF92D050"/>
      </colorScale>
    </cfRule>
  </conditionalFormatting>
  <conditionalFormatting sqref="LA11">
    <cfRule type="colorScale" priority="71">
      <colorScale>
        <cfvo type="min"/>
        <cfvo type="percentile" val="50"/>
        <cfvo type="max"/>
        <color rgb="FF92D050"/>
        <color rgb="FFFFC000"/>
        <color rgb="FFFF0000"/>
      </colorScale>
    </cfRule>
  </conditionalFormatting>
  <conditionalFormatting sqref="JW10">
    <cfRule type="colorScale" priority="70">
      <colorScale>
        <cfvo type="num" val="0"/>
        <cfvo type="num" val="0.5"/>
        <cfvo type="num" val="1"/>
        <color rgb="FFFF0000"/>
        <color rgb="FFFFC000"/>
        <color rgb="FF92D050"/>
      </colorScale>
    </cfRule>
  </conditionalFormatting>
  <conditionalFormatting sqref="JZ10">
    <cfRule type="colorScale" priority="69">
      <colorScale>
        <cfvo type="num" val="0"/>
        <cfvo type="num" val="0.5"/>
        <cfvo type="num" val="1"/>
        <color rgb="FFFF0000"/>
        <color rgb="FFFFC000"/>
        <color rgb="FF92D050"/>
      </colorScale>
    </cfRule>
  </conditionalFormatting>
  <conditionalFormatting sqref="KC10">
    <cfRule type="colorScale" priority="68">
      <colorScale>
        <cfvo type="num" val="0"/>
        <cfvo type="num" val="0.5"/>
        <cfvo type="num" val="1"/>
        <color rgb="FFFF0000"/>
        <color rgb="FFFFC000"/>
        <color rgb="FF92D050"/>
      </colorScale>
    </cfRule>
  </conditionalFormatting>
  <conditionalFormatting sqref="KF10">
    <cfRule type="colorScale" priority="67">
      <colorScale>
        <cfvo type="num" val="0"/>
        <cfvo type="num" val="0.5"/>
        <cfvo type="num" val="1"/>
        <color rgb="FFFF0000"/>
        <color rgb="FFFFC000"/>
        <color rgb="FF92D050"/>
      </colorScale>
    </cfRule>
  </conditionalFormatting>
  <conditionalFormatting sqref="KI10">
    <cfRule type="colorScale" priority="66">
      <colorScale>
        <cfvo type="num" val="0"/>
        <cfvo type="num" val="0.5"/>
        <cfvo type="num" val="1"/>
        <color rgb="FFFF0000"/>
        <color rgb="FFFFC000"/>
        <color rgb="FF92D050"/>
      </colorScale>
    </cfRule>
  </conditionalFormatting>
  <conditionalFormatting sqref="KK10">
    <cfRule type="cellIs" dxfId="97" priority="64" operator="equal">
      <formula>0</formula>
    </cfRule>
    <cfRule type="colorScale" priority="65">
      <colorScale>
        <cfvo type="min"/>
        <cfvo type="percentile" val="50"/>
        <cfvo type="max"/>
        <color rgb="FF92D050"/>
        <color rgb="FFFFC000"/>
        <color rgb="FFFF0000"/>
      </colorScale>
    </cfRule>
  </conditionalFormatting>
  <conditionalFormatting sqref="KJ10">
    <cfRule type="colorScale" priority="63">
      <colorScale>
        <cfvo type="num" val="0"/>
        <cfvo type="num" val="0.5"/>
        <cfvo type="num" val="1"/>
        <color rgb="FFFF0000"/>
        <color rgb="FFFFC000"/>
        <color rgb="FF92D050"/>
      </colorScale>
    </cfRule>
  </conditionalFormatting>
  <conditionalFormatting sqref="KJ10">
    <cfRule type="colorScale" priority="62">
      <colorScale>
        <cfvo type="min"/>
        <cfvo type="percentile" val="50"/>
        <cfvo type="max"/>
        <color rgb="FF92D050"/>
        <color rgb="FFFFC000"/>
        <color rgb="FFFF0000"/>
      </colorScale>
    </cfRule>
  </conditionalFormatting>
  <conditionalFormatting sqref="JW11">
    <cfRule type="colorScale" priority="61">
      <colorScale>
        <cfvo type="num" val="0"/>
        <cfvo type="num" val="0.5"/>
        <cfvo type="num" val="1"/>
        <color rgb="FFFF0000"/>
        <color rgb="FFFFC000"/>
        <color rgb="FF92D050"/>
      </colorScale>
    </cfRule>
  </conditionalFormatting>
  <conditionalFormatting sqref="JZ11">
    <cfRule type="colorScale" priority="60">
      <colorScale>
        <cfvo type="num" val="0"/>
        <cfvo type="num" val="0.5"/>
        <cfvo type="num" val="1"/>
        <color rgb="FFFF0000"/>
        <color rgb="FFFFC000"/>
        <color rgb="FF92D050"/>
      </colorScale>
    </cfRule>
  </conditionalFormatting>
  <conditionalFormatting sqref="KC11">
    <cfRule type="colorScale" priority="59">
      <colorScale>
        <cfvo type="num" val="0"/>
        <cfvo type="num" val="0.5"/>
        <cfvo type="num" val="1"/>
        <color rgb="FFFF0000"/>
        <color rgb="FFFFC000"/>
        <color rgb="FF92D050"/>
      </colorScale>
    </cfRule>
  </conditionalFormatting>
  <conditionalFormatting sqref="KF11">
    <cfRule type="colorScale" priority="58">
      <colorScale>
        <cfvo type="num" val="0"/>
        <cfvo type="num" val="0.5"/>
        <cfvo type="num" val="1"/>
        <color rgb="FFFF0000"/>
        <color rgb="FFFFC000"/>
        <color rgb="FF92D050"/>
      </colorScale>
    </cfRule>
  </conditionalFormatting>
  <conditionalFormatting sqref="KI11">
    <cfRule type="colorScale" priority="57">
      <colorScale>
        <cfvo type="num" val="0"/>
        <cfvo type="num" val="0.5"/>
        <cfvo type="num" val="1"/>
        <color rgb="FFFF0000"/>
        <color rgb="FFFFC000"/>
        <color rgb="FF92D050"/>
      </colorScale>
    </cfRule>
  </conditionalFormatting>
  <conditionalFormatting sqref="KK11">
    <cfRule type="cellIs" dxfId="96" priority="55" operator="equal">
      <formula>0</formula>
    </cfRule>
    <cfRule type="colorScale" priority="56">
      <colorScale>
        <cfvo type="min"/>
        <cfvo type="percentile" val="50"/>
        <cfvo type="max"/>
        <color rgb="FF92D050"/>
        <color rgb="FFFFC000"/>
        <color rgb="FFFF0000"/>
      </colorScale>
    </cfRule>
  </conditionalFormatting>
  <conditionalFormatting sqref="KJ11">
    <cfRule type="colorScale" priority="54">
      <colorScale>
        <cfvo type="num" val="0"/>
        <cfvo type="num" val="0.5"/>
        <cfvo type="num" val="1"/>
        <color rgb="FFFF0000"/>
        <color rgb="FFFFC000"/>
        <color rgb="FF92D050"/>
      </colorScale>
    </cfRule>
  </conditionalFormatting>
  <conditionalFormatting sqref="KJ11">
    <cfRule type="colorScale" priority="53">
      <colorScale>
        <cfvo type="min"/>
        <cfvo type="percentile" val="50"/>
        <cfvo type="max"/>
        <color rgb="FF92D050"/>
        <color rgb="FFFFC000"/>
        <color rgb="FFFF0000"/>
      </colorScale>
    </cfRule>
  </conditionalFormatting>
  <conditionalFormatting sqref="PT3:PT6 PT12">
    <cfRule type="colorScale" priority="52">
      <colorScale>
        <cfvo type="num" val="0"/>
        <cfvo type="num" val="0.5"/>
        <cfvo type="num" val="1"/>
        <color rgb="FFFF0000"/>
        <color rgb="FFFFC000"/>
        <color rgb="FF92D050"/>
      </colorScale>
    </cfRule>
  </conditionalFormatting>
  <conditionalFormatting sqref="PT13">
    <cfRule type="colorScale" priority="51">
      <colorScale>
        <cfvo type="num" val="0"/>
        <cfvo type="num" val="0.5"/>
        <cfvo type="num" val="1"/>
        <color rgb="FFFF0000"/>
        <color rgb="FFFFC000"/>
        <color rgb="FF92D050"/>
      </colorScale>
    </cfRule>
  </conditionalFormatting>
  <conditionalFormatting sqref="PW3:PW6 PW12">
    <cfRule type="colorScale" priority="50">
      <colorScale>
        <cfvo type="num" val="0"/>
        <cfvo type="num" val="0.5"/>
        <cfvo type="num" val="1"/>
        <color rgb="FFFF0000"/>
        <color rgb="FFFFC000"/>
        <color rgb="FF92D050"/>
      </colorScale>
    </cfRule>
  </conditionalFormatting>
  <conditionalFormatting sqref="PW13">
    <cfRule type="colorScale" priority="49">
      <colorScale>
        <cfvo type="num" val="0"/>
        <cfvo type="num" val="0.5"/>
        <cfvo type="num" val="1"/>
        <color rgb="FFFF0000"/>
        <color rgb="FFFFC000"/>
        <color rgb="FF92D050"/>
      </colorScale>
    </cfRule>
  </conditionalFormatting>
  <conditionalFormatting sqref="PZ3:PZ6 PZ12">
    <cfRule type="colorScale" priority="48">
      <colorScale>
        <cfvo type="num" val="0"/>
        <cfvo type="num" val="0.5"/>
        <cfvo type="num" val="1"/>
        <color rgb="FFFF0000"/>
        <color rgb="FFFFC000"/>
        <color rgb="FF92D050"/>
      </colorScale>
    </cfRule>
  </conditionalFormatting>
  <conditionalFormatting sqref="PZ13">
    <cfRule type="colorScale" priority="47">
      <colorScale>
        <cfvo type="num" val="0"/>
        <cfvo type="num" val="0.5"/>
        <cfvo type="num" val="1"/>
        <color rgb="FFFF0000"/>
        <color rgb="FFFFC000"/>
        <color rgb="FF92D050"/>
      </colorScale>
    </cfRule>
  </conditionalFormatting>
  <conditionalFormatting sqref="QC3:QC6 QC12">
    <cfRule type="colorScale" priority="46">
      <colorScale>
        <cfvo type="num" val="0"/>
        <cfvo type="num" val="0.5"/>
        <cfvo type="num" val="1"/>
        <color rgb="FFFF0000"/>
        <color rgb="FFFFC000"/>
        <color rgb="FF92D050"/>
      </colorScale>
    </cfRule>
  </conditionalFormatting>
  <conditionalFormatting sqref="QC13">
    <cfRule type="colorScale" priority="45">
      <colorScale>
        <cfvo type="num" val="0"/>
        <cfvo type="num" val="0.5"/>
        <cfvo type="num" val="1"/>
        <color rgb="FFFF0000"/>
        <color rgb="FFFFC000"/>
        <color rgb="FF92D050"/>
      </colorScale>
    </cfRule>
  </conditionalFormatting>
  <conditionalFormatting sqref="QF3:QF6 QF12">
    <cfRule type="colorScale" priority="44">
      <colorScale>
        <cfvo type="num" val="0"/>
        <cfvo type="num" val="0.5"/>
        <cfvo type="num" val="1"/>
        <color rgb="FFFF0000"/>
        <color rgb="FFFFC000"/>
        <color rgb="FF92D050"/>
      </colorScale>
    </cfRule>
  </conditionalFormatting>
  <conditionalFormatting sqref="QF13">
    <cfRule type="colorScale" priority="43">
      <colorScale>
        <cfvo type="num" val="0"/>
        <cfvo type="num" val="0.5"/>
        <cfvo type="num" val="1"/>
        <color rgb="FFFF0000"/>
        <color rgb="FFFFC000"/>
        <color rgb="FF92D050"/>
      </colorScale>
    </cfRule>
  </conditionalFormatting>
  <conditionalFormatting sqref="QH12">
    <cfRule type="colorScale" priority="42">
      <colorScale>
        <cfvo type="num" val="0"/>
        <cfvo type="num" val="0.5"/>
        <cfvo type="num" val="1"/>
        <color rgb="FFFF0000"/>
        <color rgb="FFFFC000"/>
        <color rgb="FF92D050"/>
      </colorScale>
    </cfRule>
  </conditionalFormatting>
  <conditionalFormatting sqref="QH3:QH6 QH12">
    <cfRule type="cellIs" dxfId="95" priority="40" operator="equal">
      <formula>0</formula>
    </cfRule>
    <cfRule type="colorScale" priority="41">
      <colorScale>
        <cfvo type="min"/>
        <cfvo type="percentile" val="50"/>
        <cfvo type="max"/>
        <color rgb="FF92D050"/>
        <color rgb="FFFFC000"/>
        <color rgb="FFFF0000"/>
      </colorScale>
    </cfRule>
  </conditionalFormatting>
  <conditionalFormatting sqref="QG3:QG9 QG11:QG12">
    <cfRule type="colorScale" priority="38">
      <colorScale>
        <cfvo type="min"/>
        <cfvo type="percentile" val="50"/>
        <cfvo type="max"/>
        <color rgb="FF92D050"/>
        <color rgb="FFFFC000"/>
        <color rgb="FFFF0000"/>
      </colorScale>
    </cfRule>
    <cfRule type="colorScale" priority="39">
      <colorScale>
        <cfvo type="num" val="0"/>
        <cfvo type="num" val="0.5"/>
        <cfvo type="num" val="1"/>
        <color rgb="FFFF0000"/>
        <color rgb="FFFFC000"/>
        <color rgb="FF92D050"/>
      </colorScale>
    </cfRule>
  </conditionalFormatting>
  <conditionalFormatting sqref="PT8">
    <cfRule type="colorScale" priority="37">
      <colorScale>
        <cfvo type="num" val="0"/>
        <cfvo type="num" val="0.5"/>
        <cfvo type="num" val="1"/>
        <color rgb="FFFF0000"/>
        <color rgb="FFFFC000"/>
        <color rgb="FF92D050"/>
      </colorScale>
    </cfRule>
  </conditionalFormatting>
  <conditionalFormatting sqref="PW8">
    <cfRule type="colorScale" priority="36">
      <colorScale>
        <cfvo type="num" val="0"/>
        <cfvo type="num" val="0.5"/>
        <cfvo type="num" val="1"/>
        <color rgb="FFFF0000"/>
        <color rgb="FFFFC000"/>
        <color rgb="FF92D050"/>
      </colorScale>
    </cfRule>
  </conditionalFormatting>
  <conditionalFormatting sqref="PZ8">
    <cfRule type="colorScale" priority="35">
      <colorScale>
        <cfvo type="num" val="0"/>
        <cfvo type="num" val="0.5"/>
        <cfvo type="num" val="1"/>
        <color rgb="FFFF0000"/>
        <color rgb="FFFFC000"/>
        <color rgb="FF92D050"/>
      </colorScale>
    </cfRule>
  </conditionalFormatting>
  <conditionalFormatting sqref="QC8">
    <cfRule type="colorScale" priority="34">
      <colorScale>
        <cfvo type="num" val="0"/>
        <cfvo type="num" val="0.5"/>
        <cfvo type="num" val="1"/>
        <color rgb="FFFF0000"/>
        <color rgb="FFFFC000"/>
        <color rgb="FF92D050"/>
      </colorScale>
    </cfRule>
  </conditionalFormatting>
  <conditionalFormatting sqref="QF8">
    <cfRule type="colorScale" priority="33">
      <colorScale>
        <cfvo type="num" val="0"/>
        <cfvo type="num" val="0.5"/>
        <cfvo type="num" val="1"/>
        <color rgb="FFFF0000"/>
        <color rgb="FFFFC000"/>
        <color rgb="FF92D050"/>
      </colorScale>
    </cfRule>
  </conditionalFormatting>
  <conditionalFormatting sqref="QH8">
    <cfRule type="cellIs" dxfId="94" priority="31" operator="equal">
      <formula>0</formula>
    </cfRule>
    <cfRule type="colorScale" priority="32">
      <colorScale>
        <cfvo type="min"/>
        <cfvo type="percentile" val="50"/>
        <cfvo type="max"/>
        <color rgb="FF92D050"/>
        <color rgb="FFFFC000"/>
        <color rgb="FFFF0000"/>
      </colorScale>
    </cfRule>
  </conditionalFormatting>
  <conditionalFormatting sqref="PT9">
    <cfRule type="colorScale" priority="30">
      <colorScale>
        <cfvo type="num" val="0"/>
        <cfvo type="num" val="0.5"/>
        <cfvo type="num" val="1"/>
        <color rgb="FFFF0000"/>
        <color rgb="FFFFC000"/>
        <color rgb="FF92D050"/>
      </colorScale>
    </cfRule>
  </conditionalFormatting>
  <conditionalFormatting sqref="PW9">
    <cfRule type="colorScale" priority="29">
      <colorScale>
        <cfvo type="num" val="0"/>
        <cfvo type="num" val="0.5"/>
        <cfvo type="num" val="1"/>
        <color rgb="FFFF0000"/>
        <color rgb="FFFFC000"/>
        <color rgb="FF92D050"/>
      </colorScale>
    </cfRule>
  </conditionalFormatting>
  <conditionalFormatting sqref="PZ9">
    <cfRule type="colorScale" priority="28">
      <colorScale>
        <cfvo type="num" val="0"/>
        <cfvo type="num" val="0.5"/>
        <cfvo type="num" val="1"/>
        <color rgb="FFFF0000"/>
        <color rgb="FFFFC000"/>
        <color rgb="FF92D050"/>
      </colorScale>
    </cfRule>
  </conditionalFormatting>
  <conditionalFormatting sqref="QC9">
    <cfRule type="colorScale" priority="27">
      <colorScale>
        <cfvo type="num" val="0"/>
        <cfvo type="num" val="0.5"/>
        <cfvo type="num" val="1"/>
        <color rgb="FFFF0000"/>
        <color rgb="FFFFC000"/>
        <color rgb="FF92D050"/>
      </colorScale>
    </cfRule>
  </conditionalFormatting>
  <conditionalFormatting sqref="QF9">
    <cfRule type="colorScale" priority="26">
      <colorScale>
        <cfvo type="num" val="0"/>
        <cfvo type="num" val="0.5"/>
        <cfvo type="num" val="1"/>
        <color rgb="FFFF0000"/>
        <color rgb="FFFFC000"/>
        <color rgb="FF92D050"/>
      </colorScale>
    </cfRule>
  </conditionalFormatting>
  <conditionalFormatting sqref="QH9">
    <cfRule type="cellIs" dxfId="93" priority="24" operator="equal">
      <formula>0</formula>
    </cfRule>
    <cfRule type="colorScale" priority="25">
      <colorScale>
        <cfvo type="min"/>
        <cfvo type="percentile" val="50"/>
        <cfvo type="max"/>
        <color rgb="FF92D050"/>
        <color rgb="FFFFC000"/>
        <color rgb="FFFF0000"/>
      </colorScale>
    </cfRule>
  </conditionalFormatting>
  <conditionalFormatting sqref="PT7">
    <cfRule type="colorScale" priority="23">
      <colorScale>
        <cfvo type="num" val="0"/>
        <cfvo type="num" val="0.5"/>
        <cfvo type="num" val="1"/>
        <color rgb="FFFF0000"/>
        <color rgb="FFFFC000"/>
        <color rgb="FF92D050"/>
      </colorScale>
    </cfRule>
  </conditionalFormatting>
  <conditionalFormatting sqref="PW7">
    <cfRule type="colorScale" priority="22">
      <colorScale>
        <cfvo type="num" val="0"/>
        <cfvo type="num" val="0.5"/>
        <cfvo type="num" val="1"/>
        <color rgb="FFFF0000"/>
        <color rgb="FFFFC000"/>
        <color rgb="FF92D050"/>
      </colorScale>
    </cfRule>
  </conditionalFormatting>
  <conditionalFormatting sqref="PZ7">
    <cfRule type="colorScale" priority="21">
      <colorScale>
        <cfvo type="num" val="0"/>
        <cfvo type="num" val="0.5"/>
        <cfvo type="num" val="1"/>
        <color rgb="FFFF0000"/>
        <color rgb="FFFFC000"/>
        <color rgb="FF92D050"/>
      </colorScale>
    </cfRule>
  </conditionalFormatting>
  <conditionalFormatting sqref="QC7">
    <cfRule type="colorScale" priority="20">
      <colorScale>
        <cfvo type="num" val="0"/>
        <cfvo type="num" val="0.5"/>
        <cfvo type="num" val="1"/>
        <color rgb="FFFF0000"/>
        <color rgb="FFFFC000"/>
        <color rgb="FF92D050"/>
      </colorScale>
    </cfRule>
  </conditionalFormatting>
  <conditionalFormatting sqref="QF7">
    <cfRule type="colorScale" priority="19">
      <colorScale>
        <cfvo type="num" val="0"/>
        <cfvo type="num" val="0.5"/>
        <cfvo type="num" val="1"/>
        <color rgb="FFFF0000"/>
        <color rgb="FFFFC000"/>
        <color rgb="FF92D050"/>
      </colorScale>
    </cfRule>
  </conditionalFormatting>
  <conditionalFormatting sqref="QH7">
    <cfRule type="cellIs" dxfId="92" priority="17" operator="equal">
      <formula>0</formula>
    </cfRule>
    <cfRule type="colorScale" priority="18">
      <colorScale>
        <cfvo type="min"/>
        <cfvo type="percentile" val="50"/>
        <cfvo type="max"/>
        <color rgb="FF92D050"/>
        <color rgb="FFFFC000"/>
        <color rgb="FFFF0000"/>
      </colorScale>
    </cfRule>
  </conditionalFormatting>
  <conditionalFormatting sqref="PT11">
    <cfRule type="colorScale" priority="16">
      <colorScale>
        <cfvo type="num" val="0"/>
        <cfvo type="num" val="0.5"/>
        <cfvo type="num" val="1"/>
        <color rgb="FFFF0000"/>
        <color rgb="FFFFC000"/>
        <color rgb="FF92D050"/>
      </colorScale>
    </cfRule>
  </conditionalFormatting>
  <conditionalFormatting sqref="PW11">
    <cfRule type="colorScale" priority="15">
      <colorScale>
        <cfvo type="num" val="0"/>
        <cfvo type="num" val="0.5"/>
        <cfvo type="num" val="1"/>
        <color rgb="FFFF0000"/>
        <color rgb="FFFFC000"/>
        <color rgb="FF92D050"/>
      </colorScale>
    </cfRule>
  </conditionalFormatting>
  <conditionalFormatting sqref="PZ11">
    <cfRule type="colorScale" priority="14">
      <colorScale>
        <cfvo type="num" val="0"/>
        <cfvo type="num" val="0.5"/>
        <cfvo type="num" val="1"/>
        <color rgb="FFFF0000"/>
        <color rgb="FFFFC000"/>
        <color rgb="FF92D050"/>
      </colorScale>
    </cfRule>
  </conditionalFormatting>
  <conditionalFormatting sqref="QC11">
    <cfRule type="colorScale" priority="13">
      <colorScale>
        <cfvo type="num" val="0"/>
        <cfvo type="num" val="0.5"/>
        <cfvo type="num" val="1"/>
        <color rgb="FFFF0000"/>
        <color rgb="FFFFC000"/>
        <color rgb="FF92D050"/>
      </colorScale>
    </cfRule>
  </conditionalFormatting>
  <conditionalFormatting sqref="QF11">
    <cfRule type="colorScale" priority="12">
      <colorScale>
        <cfvo type="num" val="0"/>
        <cfvo type="num" val="0.5"/>
        <cfvo type="num" val="1"/>
        <color rgb="FFFF0000"/>
        <color rgb="FFFFC000"/>
        <color rgb="FF92D050"/>
      </colorScale>
    </cfRule>
  </conditionalFormatting>
  <conditionalFormatting sqref="QH11">
    <cfRule type="cellIs" dxfId="91" priority="10" operator="equal">
      <formula>0</formula>
    </cfRule>
    <cfRule type="colorScale" priority="11">
      <colorScale>
        <cfvo type="min"/>
        <cfvo type="percentile" val="50"/>
        <cfvo type="max"/>
        <color rgb="FF92D050"/>
        <color rgb="FFFFC000"/>
        <color rgb="FFFF0000"/>
      </colorScale>
    </cfRule>
  </conditionalFormatting>
  <conditionalFormatting sqref="QG10">
    <cfRule type="colorScale" priority="8">
      <colorScale>
        <cfvo type="min"/>
        <cfvo type="percentile" val="50"/>
        <cfvo type="max"/>
        <color rgb="FF92D050"/>
        <color rgb="FFFFC000"/>
        <color rgb="FFFF0000"/>
      </colorScale>
    </cfRule>
    <cfRule type="colorScale" priority="9">
      <colorScale>
        <cfvo type="num" val="0"/>
        <cfvo type="num" val="0.5"/>
        <cfvo type="num" val="1"/>
        <color rgb="FFFF0000"/>
        <color rgb="FFFFC000"/>
        <color rgb="FF92D050"/>
      </colorScale>
    </cfRule>
  </conditionalFormatting>
  <conditionalFormatting sqref="PT10">
    <cfRule type="colorScale" priority="7">
      <colorScale>
        <cfvo type="num" val="0"/>
        <cfvo type="num" val="0.5"/>
        <cfvo type="num" val="1"/>
        <color rgb="FFFF0000"/>
        <color rgb="FFFFC000"/>
        <color rgb="FF92D050"/>
      </colorScale>
    </cfRule>
  </conditionalFormatting>
  <conditionalFormatting sqref="PW10">
    <cfRule type="colorScale" priority="6">
      <colorScale>
        <cfvo type="num" val="0"/>
        <cfvo type="num" val="0.5"/>
        <cfvo type="num" val="1"/>
        <color rgb="FFFF0000"/>
        <color rgb="FFFFC000"/>
        <color rgb="FF92D050"/>
      </colorScale>
    </cfRule>
  </conditionalFormatting>
  <conditionalFormatting sqref="PZ10">
    <cfRule type="colorScale" priority="5">
      <colorScale>
        <cfvo type="num" val="0"/>
        <cfvo type="num" val="0.5"/>
        <cfvo type="num" val="1"/>
        <color rgb="FFFF0000"/>
        <color rgb="FFFFC000"/>
        <color rgb="FF92D050"/>
      </colorScale>
    </cfRule>
  </conditionalFormatting>
  <conditionalFormatting sqref="QC10">
    <cfRule type="colorScale" priority="4">
      <colorScale>
        <cfvo type="num" val="0"/>
        <cfvo type="num" val="0.5"/>
        <cfvo type="num" val="1"/>
        <color rgb="FFFF0000"/>
        <color rgb="FFFFC000"/>
        <color rgb="FF92D050"/>
      </colorScale>
    </cfRule>
  </conditionalFormatting>
  <conditionalFormatting sqref="QF10">
    <cfRule type="colorScale" priority="3">
      <colorScale>
        <cfvo type="num" val="0"/>
        <cfvo type="num" val="0.5"/>
        <cfvo type="num" val="1"/>
        <color rgb="FFFF0000"/>
        <color rgb="FFFFC000"/>
        <color rgb="FF92D050"/>
      </colorScale>
    </cfRule>
  </conditionalFormatting>
  <conditionalFormatting sqref="QH10">
    <cfRule type="cellIs" dxfId="90" priority="1" operator="equal">
      <formula>0</formula>
    </cfRule>
    <cfRule type="colorScale" priority="2">
      <colorScale>
        <cfvo type="min"/>
        <cfvo type="percentile" val="50"/>
        <cfvo type="max"/>
        <color rgb="FF92D050"/>
        <color rgb="FFFFC000"/>
        <color rgb="FFFF0000"/>
      </colorScale>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tabColor theme="0" tint="-0.499984740745262"/>
  </sheetPr>
  <dimension ref="A1:B46"/>
  <sheetViews>
    <sheetView workbookViewId="0">
      <selection activeCell="B9" sqref="B9"/>
    </sheetView>
  </sheetViews>
  <sheetFormatPr defaultRowHeight="14.4" x14ac:dyDescent="0.3"/>
  <cols>
    <col min="1" max="1" width="5.44140625" customWidth="1"/>
  </cols>
  <sheetData>
    <row r="1" spans="1:2" x14ac:dyDescent="0.3">
      <c r="A1" t="s">
        <v>4</v>
      </c>
      <c r="B1" t="s">
        <v>5586</v>
      </c>
    </row>
    <row r="2" spans="1:2" x14ac:dyDescent="0.3">
      <c r="A2" t="s">
        <v>5587</v>
      </c>
    </row>
    <row r="3" spans="1:2" x14ac:dyDescent="0.3">
      <c r="A3" t="s">
        <v>5588</v>
      </c>
      <c r="B3" t="s">
        <v>5589</v>
      </c>
    </row>
    <row r="4" spans="1:2" x14ac:dyDescent="0.3">
      <c r="A4" t="s">
        <v>5590</v>
      </c>
      <c r="B4" t="s">
        <v>5591</v>
      </c>
    </row>
    <row r="5" spans="1:2" x14ac:dyDescent="0.3">
      <c r="A5" t="s">
        <v>5592</v>
      </c>
      <c r="B5" t="s">
        <v>5593</v>
      </c>
    </row>
    <row r="6" spans="1:2" x14ac:dyDescent="0.3">
      <c r="A6" t="s">
        <v>5594</v>
      </c>
      <c r="B6" t="s">
        <v>5595</v>
      </c>
    </row>
    <row r="7" spans="1:2" x14ac:dyDescent="0.3">
      <c r="A7" t="s">
        <v>5596</v>
      </c>
      <c r="B7" t="s">
        <v>5597</v>
      </c>
    </row>
    <row r="8" spans="1:2" x14ac:dyDescent="0.3">
      <c r="A8" t="s">
        <v>5598</v>
      </c>
      <c r="B8" t="s">
        <v>5599</v>
      </c>
    </row>
    <row r="9" spans="1:2" x14ac:dyDescent="0.3">
      <c r="A9" t="s">
        <v>5600</v>
      </c>
      <c r="B9" t="s">
        <v>5601</v>
      </c>
    </row>
    <row r="10" spans="1:2" x14ac:dyDescent="0.3">
      <c r="A10" t="s">
        <v>5602</v>
      </c>
      <c r="B10" t="s">
        <v>5603</v>
      </c>
    </row>
    <row r="11" spans="1:2" x14ac:dyDescent="0.3">
      <c r="A11" t="s">
        <v>5604</v>
      </c>
      <c r="B11" t="s">
        <v>5605</v>
      </c>
    </row>
    <row r="12" spans="1:2" x14ac:dyDescent="0.3">
      <c r="A12" t="s">
        <v>5606</v>
      </c>
      <c r="B12" t="s">
        <v>5607</v>
      </c>
    </row>
    <row r="13" spans="1:2" x14ac:dyDescent="0.3">
      <c r="A13" t="s">
        <v>5608</v>
      </c>
    </row>
    <row r="14" spans="1:2" x14ac:dyDescent="0.3">
      <c r="A14" t="s">
        <v>5609</v>
      </c>
      <c r="B14" t="s">
        <v>5610</v>
      </c>
    </row>
    <row r="15" spans="1:2" x14ac:dyDescent="0.3">
      <c r="A15" t="s">
        <v>5611</v>
      </c>
    </row>
    <row r="16" spans="1:2" x14ac:dyDescent="0.3">
      <c r="A16" t="s">
        <v>5612</v>
      </c>
      <c r="B16" t="s">
        <v>5613</v>
      </c>
    </row>
    <row r="17" spans="1:2" x14ac:dyDescent="0.3">
      <c r="A17" t="s">
        <v>5614</v>
      </c>
      <c r="B17" t="s">
        <v>5615</v>
      </c>
    </row>
    <row r="18" spans="1:2" x14ac:dyDescent="0.3">
      <c r="A18" t="s">
        <v>5616</v>
      </c>
      <c r="B18" t="s">
        <v>5617</v>
      </c>
    </row>
    <row r="19" spans="1:2" x14ac:dyDescent="0.3">
      <c r="A19" t="s">
        <v>5618</v>
      </c>
      <c r="B19" t="s">
        <v>5619</v>
      </c>
    </row>
    <row r="20" spans="1:2" x14ac:dyDescent="0.3">
      <c r="A20" t="s">
        <v>5620</v>
      </c>
      <c r="B20" t="s">
        <v>5621</v>
      </c>
    </row>
    <row r="21" spans="1:2" x14ac:dyDescent="0.3">
      <c r="A21" t="s">
        <v>5622</v>
      </c>
    </row>
    <row r="22" spans="1:2" x14ac:dyDescent="0.3">
      <c r="A22" t="s">
        <v>5623</v>
      </c>
    </row>
    <row r="23" spans="1:2" x14ac:dyDescent="0.3">
      <c r="A23" t="s">
        <v>5624</v>
      </c>
      <c r="B23" t="s">
        <v>5625</v>
      </c>
    </row>
    <row r="24" spans="1:2" x14ac:dyDescent="0.3">
      <c r="A24" t="s">
        <v>5626</v>
      </c>
      <c r="B24" t="s">
        <v>5627</v>
      </c>
    </row>
    <row r="25" spans="1:2" x14ac:dyDescent="0.3">
      <c r="A25" t="s">
        <v>5628</v>
      </c>
      <c r="B25" t="s">
        <v>5629</v>
      </c>
    </row>
    <row r="26" spans="1:2" x14ac:dyDescent="0.3">
      <c r="A26" t="s">
        <v>5630</v>
      </c>
      <c r="B26" t="s">
        <v>5631</v>
      </c>
    </row>
    <row r="27" spans="1:2" x14ac:dyDescent="0.3">
      <c r="B27" t="s">
        <v>5632</v>
      </c>
    </row>
    <row r="28" spans="1:2" x14ac:dyDescent="0.3">
      <c r="A28" t="s">
        <v>5633</v>
      </c>
    </row>
    <row r="29" spans="1:2" x14ac:dyDescent="0.3">
      <c r="A29" t="s">
        <v>5634</v>
      </c>
      <c r="B29" t="s">
        <v>5635</v>
      </c>
    </row>
    <row r="30" spans="1:2" x14ac:dyDescent="0.3">
      <c r="A30" t="s">
        <v>5636</v>
      </c>
      <c r="B30" t="s">
        <v>5637</v>
      </c>
    </row>
    <row r="31" spans="1:2" x14ac:dyDescent="0.3">
      <c r="A31" t="s">
        <v>5638</v>
      </c>
      <c r="B31" t="s">
        <v>5639</v>
      </c>
    </row>
    <row r="32" spans="1:2" x14ac:dyDescent="0.3">
      <c r="A32" t="s">
        <v>5640</v>
      </c>
      <c r="B32" t="s">
        <v>78</v>
      </c>
    </row>
    <row r="33" spans="1:2" x14ac:dyDescent="0.3">
      <c r="A33" t="s">
        <v>5641</v>
      </c>
      <c r="B33" t="s">
        <v>5642</v>
      </c>
    </row>
    <row r="34" spans="1:2" x14ac:dyDescent="0.3">
      <c r="A34" t="s">
        <v>5643</v>
      </c>
      <c r="B34" t="s">
        <v>5644</v>
      </c>
    </row>
    <row r="35" spans="1:2" x14ac:dyDescent="0.3">
      <c r="A35" t="s">
        <v>5645</v>
      </c>
      <c r="B35" t="s">
        <v>5646</v>
      </c>
    </row>
    <row r="36" spans="1:2" x14ac:dyDescent="0.3">
      <c r="A36" t="s">
        <v>5647</v>
      </c>
      <c r="B36" t="s">
        <v>5648</v>
      </c>
    </row>
    <row r="37" spans="1:2" x14ac:dyDescent="0.3">
      <c r="A37" t="s">
        <v>5649</v>
      </c>
    </row>
    <row r="38" spans="1:2" x14ac:dyDescent="0.3">
      <c r="A38" t="s">
        <v>5650</v>
      </c>
      <c r="B38" t="s">
        <v>5651</v>
      </c>
    </row>
    <row r="39" spans="1:2" x14ac:dyDescent="0.3">
      <c r="A39" t="s">
        <v>5652</v>
      </c>
      <c r="B39" t="s">
        <v>5653</v>
      </c>
    </row>
    <row r="40" spans="1:2" x14ac:dyDescent="0.3">
      <c r="A40" t="s">
        <v>5654</v>
      </c>
      <c r="B40" t="s">
        <v>5655</v>
      </c>
    </row>
    <row r="41" spans="1:2" x14ac:dyDescent="0.3">
      <c r="A41" t="s">
        <v>5656</v>
      </c>
      <c r="B41" t="s">
        <v>5657</v>
      </c>
    </row>
    <row r="42" spans="1:2" x14ac:dyDescent="0.3">
      <c r="A42" t="s">
        <v>5658</v>
      </c>
      <c r="B42" t="s">
        <v>5659</v>
      </c>
    </row>
    <row r="43" spans="1:2" x14ac:dyDescent="0.3">
      <c r="A43" t="s">
        <v>5660</v>
      </c>
      <c r="B43" t="s">
        <v>5661</v>
      </c>
    </row>
    <row r="44" spans="1:2" x14ac:dyDescent="0.3">
      <c r="A44" t="s">
        <v>7319</v>
      </c>
      <c r="B44" t="s">
        <v>7320</v>
      </c>
    </row>
    <row r="45" spans="1:2" x14ac:dyDescent="0.3">
      <c r="A45" t="s">
        <v>5662</v>
      </c>
      <c r="B45" t="s">
        <v>5663</v>
      </c>
    </row>
    <row r="46" spans="1:2" x14ac:dyDescent="0.3">
      <c r="A46" t="s">
        <v>5664</v>
      </c>
      <c r="B46" t="s">
        <v>5665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HALLANGE_draft"/>
  <dimension ref="A1:APV279"/>
  <sheetViews>
    <sheetView topLeftCell="OB1" zoomScaleNormal="100" workbookViewId="0">
      <pane ySplit="2" topLeftCell="A3" activePane="bottomLeft" state="frozen"/>
      <selection pane="bottomLeft" activeCell="OB29" sqref="OB29"/>
    </sheetView>
  </sheetViews>
  <sheetFormatPr defaultRowHeight="14.4" outlineLevelCol="4" x14ac:dyDescent="0.3"/>
  <cols>
    <col min="1" max="1" width="12.109375" customWidth="1"/>
    <col min="2" max="2" width="13.5546875" hidden="1" customWidth="1" outlineLevel="1"/>
    <col min="3" max="4" width="17.44140625" hidden="1" customWidth="1" outlineLevel="1"/>
    <col min="5" max="5" width="26.88671875" hidden="1" customWidth="1" outlineLevel="1"/>
    <col min="6" max="7" width="23.88671875" hidden="1" customWidth="1" outlineLevel="1"/>
    <col min="8" max="8" width="17.109375" hidden="1" customWidth="1" outlineLevel="1"/>
    <col min="9" max="9" width="14.88671875" customWidth="1" collapsed="1"/>
    <col min="10" max="12" width="13.5546875" hidden="1" customWidth="1" outlineLevel="1"/>
    <col min="13" max="13" width="13.5546875" customWidth="1" collapsed="1"/>
    <col min="14" max="14" width="16.44140625" hidden="1" customWidth="1" outlineLevel="1"/>
    <col min="15" max="15" width="16.44140625" hidden="1" customWidth="1" outlineLevel="2"/>
    <col min="16" max="16" width="9.5546875" hidden="1" customWidth="1" outlineLevel="2"/>
    <col min="17" max="17" width="9.33203125" hidden="1" customWidth="1" outlineLevel="2"/>
    <col min="18" max="18" width="13.109375" hidden="1" customWidth="1" outlineLevel="2"/>
    <col min="19" max="19" width="16.5546875" hidden="1" customWidth="1" outlineLevel="2"/>
    <col min="20" max="20" width="16.5546875" hidden="1" customWidth="1" outlineLevel="1" collapsed="1"/>
    <col min="21" max="23" width="16.44140625" hidden="1" customWidth="1" outlineLevel="2"/>
    <col min="24" max="24" width="9.5546875" hidden="1" customWidth="1" outlineLevel="2"/>
    <col min="25" max="25" width="15" hidden="1" customWidth="1" outlineLevel="2"/>
    <col min="26" max="27" width="9.33203125" hidden="1" customWidth="1" outlineLevel="2"/>
    <col min="28" max="28" width="22" hidden="1" customWidth="1" outlineLevel="2"/>
    <col min="29" max="29" width="13.88671875" hidden="1" customWidth="1" outlineLevel="2"/>
    <col min="30" max="30" width="19.109375" hidden="1" customWidth="1" outlineLevel="1" collapsed="1"/>
    <col min="31" max="32" width="16.44140625" hidden="1" customWidth="1" outlineLevel="2"/>
    <col min="33" max="33" width="9.5546875" hidden="1" customWidth="1" outlineLevel="2"/>
    <col min="34" max="34" width="16.44140625" hidden="1" customWidth="1" outlineLevel="2"/>
    <col min="35" max="36" width="13.88671875" hidden="1" customWidth="1" outlineLevel="2"/>
    <col min="37" max="37" width="16.109375" hidden="1" customWidth="1" outlineLevel="1" collapsed="1"/>
    <col min="38" max="38" width="16.109375" customWidth="1" collapsed="1"/>
    <col min="39" max="39" width="12.5546875" hidden="1" customWidth="1" outlineLevel="3"/>
    <col min="40" max="40" width="9.5546875" hidden="1" customWidth="1" outlineLevel="4"/>
    <col min="41" max="41" width="13.44140625" hidden="1" customWidth="1" outlineLevel="4"/>
    <col min="42" max="42" width="16.5546875" hidden="1" customWidth="1" outlineLevel="3" collapsed="1"/>
    <col min="43" max="44" width="11.5546875" hidden="1" customWidth="1" outlineLevel="4"/>
    <col min="45" max="45" width="14.5546875" hidden="1" customWidth="1" outlineLevel="3" collapsed="1"/>
    <col min="46" max="46" width="16.5546875" hidden="1" customWidth="1" outlineLevel="1" collapsed="1"/>
    <col min="47" max="47" width="18.33203125" hidden="1" customWidth="1" outlineLevel="2"/>
    <col min="48" max="49" width="18.33203125" hidden="1" customWidth="1" outlineLevel="3"/>
    <col min="50" max="50" width="18.33203125" hidden="1" customWidth="1" outlineLevel="2" collapsed="1"/>
    <col min="51" max="52" width="17.44140625" hidden="1" customWidth="1" outlineLevel="3"/>
    <col min="53" max="53" width="17.44140625" hidden="1" customWidth="1" outlineLevel="2" collapsed="1"/>
    <col min="54" max="54" width="17.44140625" hidden="1" customWidth="1" outlineLevel="1" collapsed="1"/>
    <col min="55" max="55" width="15.5546875" hidden="1" customWidth="1" outlineLevel="2"/>
    <col min="56" max="56" width="7.88671875" hidden="1" customWidth="1" outlineLevel="2"/>
    <col min="57" max="57" width="12.88671875" hidden="1" customWidth="1" outlineLevel="2"/>
    <col min="58" max="58" width="18.88671875" hidden="1" customWidth="1" outlineLevel="1" collapsed="1"/>
    <col min="59" max="59" width="12.88671875" hidden="1" customWidth="1" outlineLevel="2"/>
    <col min="60" max="60" width="7.88671875" hidden="1" customWidth="1" outlineLevel="2"/>
    <col min="61" max="61" width="12.5546875" hidden="1" customWidth="1" outlineLevel="2"/>
    <col min="62" max="62" width="7.88671875" hidden="1" customWidth="1" outlineLevel="2"/>
    <col min="63" max="63" width="12.88671875" hidden="1" customWidth="1" outlineLevel="2"/>
    <col min="64" max="64" width="15.88671875" hidden="1" customWidth="1" outlineLevel="1" collapsed="1"/>
    <col min="65" max="65" width="9.5546875" hidden="1" customWidth="1" outlineLevel="2"/>
    <col min="66" max="66" width="13.6640625" hidden="1" customWidth="1" outlineLevel="2"/>
    <col min="67" max="67" width="9.88671875" hidden="1" customWidth="1" outlineLevel="2"/>
    <col min="68" max="68" width="10.109375" hidden="1" customWidth="1" outlineLevel="2"/>
    <col min="69" max="69" width="17.5546875" hidden="1" customWidth="1" outlineLevel="1" collapsed="1"/>
    <col min="70" max="70" width="17.5546875" hidden="1" customWidth="1" outlineLevel="2"/>
    <col min="71" max="71" width="11.109375" hidden="1" customWidth="1" outlineLevel="2"/>
    <col min="72" max="72" width="12.88671875" hidden="1" customWidth="1" outlineLevel="2"/>
    <col min="73" max="74" width="9.33203125" hidden="1" customWidth="1" outlineLevel="2"/>
    <col min="75" max="75" width="10.5546875" hidden="1" customWidth="1" outlineLevel="2"/>
    <col min="76" max="76" width="12" hidden="1" customWidth="1" outlineLevel="2"/>
    <col min="77" max="77" width="9.33203125" hidden="1" customWidth="1" outlineLevel="2"/>
    <col min="78" max="78" width="18" hidden="1" customWidth="1" outlineLevel="2"/>
    <col min="79" max="79" width="12.33203125" hidden="1" customWidth="1" outlineLevel="2"/>
    <col min="80" max="80" width="9.5546875" hidden="1" customWidth="1" outlineLevel="2"/>
    <col min="81" max="81" width="21.33203125" hidden="1" customWidth="1" outlineLevel="1" collapsed="1"/>
    <col min="82" max="82" width="8.109375" hidden="1" customWidth="1" outlineLevel="2"/>
    <col min="83" max="83" width="13.109375" hidden="1" customWidth="1" outlineLevel="2"/>
    <col min="84" max="84" width="8.109375" hidden="1" customWidth="1" outlineLevel="2"/>
    <col min="85" max="85" width="9.5546875" hidden="1" customWidth="1" outlineLevel="2"/>
    <col min="86" max="86" width="23.44140625" hidden="1" customWidth="1" outlineLevel="1" collapsed="1"/>
    <col min="87" max="87" width="12.6640625" hidden="1" customWidth="1" outlineLevel="2"/>
    <col min="88" max="88" width="7.109375" hidden="1" customWidth="1" outlineLevel="2"/>
    <col min="89" max="89" width="12.6640625" hidden="1" customWidth="1" outlineLevel="2"/>
    <col min="90" max="90" width="7.109375" hidden="1" customWidth="1" outlineLevel="2"/>
    <col min="91" max="91" width="22" hidden="1" customWidth="1" outlineLevel="1" collapsed="1"/>
    <col min="92" max="92" width="12.88671875" hidden="1" customWidth="1" outlineLevel="2"/>
    <col min="93" max="95" width="9.33203125" hidden="1" customWidth="1" outlineLevel="2"/>
    <col min="96" max="96" width="18" hidden="1" customWidth="1" outlineLevel="2"/>
    <col min="97" max="97" width="12.33203125" hidden="1" customWidth="1" outlineLevel="2"/>
    <col min="98" max="98" width="9.5546875" hidden="1" customWidth="1" outlineLevel="2"/>
    <col min="99" max="99" width="21.33203125" hidden="1" customWidth="1" outlineLevel="1" collapsed="1"/>
    <col min="100" max="100" width="9.33203125" hidden="1" customWidth="1" outlineLevel="2"/>
    <col min="101" max="101" width="18" hidden="1" customWidth="1" outlineLevel="2"/>
    <col min="102" max="102" width="12.33203125" hidden="1" customWidth="1" outlineLevel="2"/>
    <col min="103" max="103" width="9.5546875" hidden="1" customWidth="1" outlineLevel="2"/>
    <col min="104" max="104" width="21.33203125" hidden="1" customWidth="1" outlineLevel="1" collapsed="1"/>
    <col min="105" max="105" width="9.33203125" hidden="1" customWidth="1" outlineLevel="2"/>
    <col min="106" max="106" width="18" hidden="1" customWidth="1" outlineLevel="2"/>
    <col min="107" max="107" width="12.33203125" hidden="1" customWidth="1" outlineLevel="2"/>
    <col min="108" max="108" width="9.5546875" hidden="1" customWidth="1" outlineLevel="2"/>
    <col min="109" max="109" width="21.33203125" hidden="1" customWidth="1" outlineLevel="1" collapsed="1"/>
    <col min="110" max="110" width="9.33203125" hidden="1" customWidth="1" outlineLevel="2"/>
    <col min="111" max="111" width="18" hidden="1" customWidth="1" outlineLevel="2"/>
    <col min="112" max="112" width="12.33203125" hidden="1" customWidth="1" outlineLevel="2"/>
    <col min="113" max="113" width="9.5546875" hidden="1" customWidth="1" outlineLevel="2"/>
    <col min="114" max="114" width="21.33203125" hidden="1" customWidth="1" outlineLevel="1" collapsed="1"/>
    <col min="115" max="115" width="9.33203125" hidden="1" customWidth="1" outlineLevel="2"/>
    <col min="116" max="116" width="18" hidden="1" customWidth="1" outlineLevel="2"/>
    <col min="117" max="117" width="12.33203125" hidden="1" customWidth="1" outlineLevel="2"/>
    <col min="118" max="118" width="9.5546875" hidden="1" customWidth="1" outlineLevel="2"/>
    <col min="119" max="119" width="21.33203125" hidden="1" customWidth="1" outlineLevel="1" collapsed="1"/>
    <col min="120" max="120" width="21.33203125" customWidth="1" collapsed="1"/>
    <col min="121" max="121" width="33.33203125" customWidth="1"/>
    <col min="122" max="124" width="12.5546875" hidden="1" customWidth="1" outlineLevel="1"/>
    <col min="125" max="125" width="15.88671875" hidden="1" customWidth="1" outlineLevel="1"/>
    <col min="126" max="126" width="4.5546875" hidden="1" customWidth="1" outlineLevel="1"/>
    <col min="127" max="129" width="10.109375" hidden="1" customWidth="1" outlineLevel="1"/>
    <col min="130" max="130" width="7.88671875" hidden="1" customWidth="1" outlineLevel="1"/>
    <col min="131" max="131" width="9.5546875" hidden="1" customWidth="1" outlineLevel="1"/>
    <col min="132" max="132" width="13.44140625" hidden="1" customWidth="1" outlineLevel="1"/>
    <col min="133" max="133" width="11.6640625" hidden="1" customWidth="1" outlineLevel="1"/>
    <col min="134" max="134" width="25.88671875" customWidth="1" collapsed="1"/>
    <col min="135" max="135" width="12.88671875" hidden="1" customWidth="1" outlineLevel="2"/>
    <col min="136" max="136" width="9.33203125" hidden="1" customWidth="1" outlineLevel="2"/>
    <col min="137" max="137" width="9.5546875" hidden="1" customWidth="1" outlineLevel="2"/>
    <col min="138" max="138" width="21.33203125" hidden="1" customWidth="1" outlineLevel="1" collapsed="1"/>
    <col min="139" max="139" width="12.88671875" hidden="1" customWidth="1" outlineLevel="2"/>
    <col min="140" max="142" width="9.33203125" hidden="1" customWidth="1" outlineLevel="2"/>
    <col min="143" max="143" width="9.5546875" hidden="1" customWidth="1" outlineLevel="2"/>
    <col min="144" max="144" width="21.33203125" hidden="1" customWidth="1" outlineLevel="1" collapsed="1"/>
    <col min="145" max="146" width="12.88671875" hidden="1" customWidth="1" outlineLevel="2"/>
    <col min="147" max="148" width="9.33203125" hidden="1" customWidth="1" outlineLevel="2"/>
    <col min="149" max="149" width="10.5546875" hidden="1" customWidth="1" outlineLevel="2"/>
    <col min="150" max="150" width="21.33203125" hidden="1" customWidth="1" outlineLevel="1" collapsed="1"/>
    <col min="151" max="151" width="22.33203125" customWidth="1" collapsed="1"/>
    <col min="152" max="152" width="12.88671875" hidden="1" customWidth="1" outlineLevel="2"/>
    <col min="153" max="155" width="12.88671875" style="264" hidden="1" customWidth="1" outlineLevel="2"/>
    <col min="156" max="158" width="9.33203125" hidden="1" customWidth="1" outlineLevel="2"/>
    <col min="159" max="159" width="21.33203125" hidden="1" customWidth="1" outlineLevel="1" collapsed="1"/>
    <col min="160" max="160" width="12.88671875" hidden="1" customWidth="1" outlineLevel="2"/>
    <col min="161" max="161" width="12.88671875" style="264" hidden="1" customWidth="1" outlineLevel="2"/>
    <col min="162" max="162" width="9.33203125" hidden="1" customWidth="1" outlineLevel="2"/>
    <col min="163" max="163" width="21.33203125" hidden="1" customWidth="1" outlineLevel="1" collapsed="1"/>
    <col min="164" max="164" width="12.88671875" hidden="1" customWidth="1" outlineLevel="2"/>
    <col min="165" max="165" width="12.88671875" style="264" hidden="1" customWidth="1" outlineLevel="2"/>
    <col min="166" max="168" width="9.33203125" hidden="1" customWidth="1" outlineLevel="2"/>
    <col min="169" max="169" width="20.6640625" hidden="1" customWidth="1" outlineLevel="2"/>
    <col min="170" max="170" width="12.88671875" hidden="1" customWidth="1" outlineLevel="2"/>
    <col min="171" max="171" width="10.109375" hidden="1" customWidth="1" outlineLevel="2"/>
    <col min="172" max="172" width="12.5546875" hidden="1" customWidth="1" outlineLevel="2"/>
    <col min="173" max="173" width="11.109375" hidden="1" customWidth="1" outlineLevel="2"/>
    <col min="174" max="174" width="12.6640625" hidden="1" customWidth="1" outlineLevel="2"/>
    <col min="175" max="175" width="14.6640625" hidden="1" customWidth="1" outlineLevel="2"/>
    <col min="176" max="176" width="21.33203125" hidden="1" customWidth="1" outlineLevel="1" collapsed="1"/>
    <col min="177" max="178" width="12.88671875" hidden="1" customWidth="1" outlineLevel="2"/>
    <col min="179" max="180" width="12.88671875" style="264" hidden="1" customWidth="1" outlineLevel="2"/>
    <col min="181" max="181" width="23.6640625" hidden="1" customWidth="1" outlineLevel="1" collapsed="1"/>
    <col min="182" max="182" width="16.88671875" hidden="1" customWidth="1" outlineLevel="1"/>
    <col min="183" max="183" width="12.88671875" hidden="1" customWidth="1" outlineLevel="2"/>
    <col min="184" max="186" width="12.88671875" style="264" hidden="1" customWidth="1" outlineLevel="2"/>
    <col min="187" max="189" width="9.33203125" hidden="1" customWidth="1" outlineLevel="2"/>
    <col min="190" max="190" width="23.6640625" hidden="1" customWidth="1" outlineLevel="1" collapsed="1"/>
    <col min="191" max="191" width="12.88671875" hidden="1" customWidth="1" outlineLevel="2"/>
    <col min="192" max="194" width="12.88671875" style="264" hidden="1" customWidth="1" outlineLevel="2"/>
    <col min="195" max="197" width="9.33203125" hidden="1" customWidth="1" outlineLevel="2"/>
    <col min="198" max="198" width="21.33203125" hidden="1" customWidth="1" outlineLevel="1" collapsed="1"/>
    <col min="199" max="199" width="12.88671875" hidden="1" customWidth="1" outlineLevel="2"/>
    <col min="200" max="202" width="12.88671875" style="264" hidden="1" customWidth="1" outlineLevel="2"/>
    <col min="203" max="205" width="9.33203125" hidden="1" customWidth="1" outlineLevel="2"/>
    <col min="206" max="206" width="21.33203125" hidden="1" customWidth="1" outlineLevel="1" collapsed="1"/>
    <col min="207" max="207" width="12.88671875" hidden="1" customWidth="1" outlineLevel="2"/>
    <col min="208" max="210" width="12.88671875" style="264" hidden="1" customWidth="1" outlineLevel="2"/>
    <col min="211" max="213" width="9.33203125" hidden="1" customWidth="1" outlineLevel="2"/>
    <col min="214" max="214" width="21.33203125" hidden="1" customWidth="1" outlineLevel="1" collapsed="1"/>
    <col min="215" max="215" width="12.88671875" hidden="1" customWidth="1" outlineLevel="2"/>
    <col min="216" max="216" width="9.33203125" style="264" hidden="1" customWidth="1" outlineLevel="2"/>
    <col min="217" max="217" width="12.88671875" style="264" hidden="1" customWidth="1" outlineLevel="2"/>
    <col min="218" max="218" width="21.33203125" hidden="1" customWidth="1" outlineLevel="1" collapsed="1"/>
    <col min="219" max="219" width="21.33203125" customWidth="1" collapsed="1"/>
    <col min="220" max="220" width="21.33203125" style="264" customWidth="1"/>
    <col min="221" max="221" width="12.88671875" hidden="1" customWidth="1" outlineLevel="2"/>
    <col min="222" max="224" width="12.88671875" style="264" hidden="1" customWidth="1" outlineLevel="2"/>
    <col min="225" max="225" width="10.88671875" hidden="1" customWidth="1" outlineLevel="2"/>
    <col min="226" max="227" width="9.33203125" hidden="1" customWidth="1" outlineLevel="2"/>
    <col min="228" max="228" width="23.6640625" hidden="1" customWidth="1" outlineLevel="1" collapsed="1"/>
    <col min="229" max="229" width="12.88671875" hidden="1" customWidth="1" outlineLevel="2"/>
    <col min="230" max="232" width="12.88671875" style="264" hidden="1" customWidth="1" outlineLevel="2"/>
    <col min="233" max="233" width="21.33203125" hidden="1" customWidth="1" outlineLevel="1" collapsed="1"/>
    <col min="234" max="234" width="12.88671875" hidden="1" customWidth="1" outlineLevel="2"/>
    <col min="235" max="237" width="12.88671875" style="264" hidden="1" customWidth="1" outlineLevel="2"/>
    <col min="238" max="238" width="21.33203125" hidden="1" customWidth="1" outlineLevel="1" collapsed="1"/>
    <col min="239" max="239" width="12.88671875" hidden="1" customWidth="1" outlineLevel="2"/>
    <col min="240" max="242" width="12.88671875" style="264" hidden="1" customWidth="1" outlineLevel="2"/>
    <col min="243" max="243" width="11.109375" hidden="1" customWidth="1" outlineLevel="2"/>
    <col min="244" max="247" width="9.33203125" hidden="1" customWidth="1" outlineLevel="2"/>
    <col min="248" max="248" width="21.33203125" hidden="1" customWidth="1" outlineLevel="1" collapsed="1"/>
    <col min="249" max="249" width="12.88671875" hidden="1" customWidth="1" outlineLevel="2"/>
    <col min="250" max="252" width="12.88671875" style="264" hidden="1" customWidth="1" outlineLevel="2"/>
    <col min="253" max="253" width="11.109375" hidden="1" customWidth="1" outlineLevel="2"/>
    <col min="254" max="255" width="9.33203125" hidden="1" customWidth="1" outlineLevel="2"/>
    <col min="256" max="256" width="21.33203125" hidden="1" customWidth="1" outlineLevel="1" collapsed="1"/>
    <col min="257" max="257" width="12.88671875" hidden="1" customWidth="1" outlineLevel="2"/>
    <col min="258" max="260" width="12.88671875" style="264" hidden="1" customWidth="1" outlineLevel="2"/>
    <col min="261" max="261" width="9.33203125" hidden="1" customWidth="1" outlineLevel="2"/>
    <col min="262" max="262" width="21.33203125" hidden="1" customWidth="1" outlineLevel="1" collapsed="1"/>
    <col min="263" max="263" width="12.88671875" hidden="1" customWidth="1" outlineLevel="2"/>
    <col min="264" max="266" width="12.88671875" style="264" hidden="1" customWidth="1" outlineLevel="2"/>
    <col min="267" max="267" width="9.33203125" hidden="1" customWidth="1" outlineLevel="2"/>
    <col min="268" max="268" width="21.33203125" hidden="1" customWidth="1" outlineLevel="1" collapsed="1"/>
    <col min="269" max="269" width="12.88671875" hidden="1" customWidth="1" outlineLevel="2"/>
    <col min="270" max="272" width="12.88671875" style="264" hidden="1" customWidth="1" outlineLevel="2"/>
    <col min="273" max="273" width="9.33203125" hidden="1" customWidth="1" outlineLevel="2"/>
    <col min="274" max="274" width="23.44140625" hidden="1" customWidth="1" outlineLevel="1" collapsed="1"/>
    <col min="275" max="275" width="24.33203125" customWidth="1" collapsed="1"/>
    <col min="276" max="276" width="12.88671875" hidden="1" customWidth="1" outlineLevel="2"/>
    <col min="277" max="281" width="12.88671875" style="264" hidden="1" customWidth="1" outlineLevel="2"/>
    <col min="282" max="282" width="12.33203125" hidden="1" customWidth="1" outlineLevel="2"/>
    <col min="283" max="284" width="9.33203125" hidden="1" customWidth="1" outlineLevel="2"/>
    <col min="285" max="285" width="23.6640625" hidden="1" customWidth="1" outlineLevel="1" collapsed="1"/>
    <col min="286" max="286" width="12.88671875" hidden="1" customWidth="1" outlineLevel="2"/>
    <col min="287" max="287" width="12.88671875" style="264" hidden="1" customWidth="1" outlineLevel="2"/>
    <col min="288" max="288" width="21.33203125" hidden="1" customWidth="1" outlineLevel="1" collapsed="1"/>
    <col min="289" max="289" width="12.88671875" hidden="1" customWidth="1" outlineLevel="2"/>
    <col min="290" max="292" width="12.88671875" style="264" hidden="1" customWidth="1" outlineLevel="2"/>
    <col min="293" max="293" width="21.33203125" hidden="1" customWidth="1" outlineLevel="1" collapsed="1"/>
    <col min="294" max="295" width="8.6640625" hidden="1" customWidth="1" outlineLevel="2"/>
    <col min="296" max="297" width="12.88671875" style="264" hidden="1" customWidth="1" outlineLevel="2"/>
    <col min="298" max="298" width="11.6640625" hidden="1" customWidth="1" outlineLevel="2"/>
    <col min="299" max="299" width="8.6640625" hidden="1" customWidth="1" outlineLevel="2"/>
    <col min="300" max="301" width="12.88671875" style="264" hidden="1" customWidth="1" outlineLevel="2"/>
    <col min="302" max="302" width="8.6640625" hidden="1" customWidth="1" outlineLevel="2"/>
    <col min="303" max="303" width="20.44140625" hidden="1" customWidth="1" outlineLevel="1" collapsed="1"/>
    <col min="304" max="305" width="8.6640625" hidden="1" customWidth="1" outlineLevel="2"/>
    <col min="306" max="306" width="20.44140625" hidden="1" customWidth="1" outlineLevel="1" collapsed="1"/>
    <col min="307" max="308" width="8.6640625" hidden="1" customWidth="1" outlineLevel="2"/>
    <col min="309" max="310" width="12.88671875" style="264" hidden="1" customWidth="1" outlineLevel="2"/>
    <col min="311" max="311" width="11.6640625" hidden="1" customWidth="1" outlineLevel="2"/>
    <col min="312" max="313" width="8.6640625" hidden="1" customWidth="1" outlineLevel="2"/>
    <col min="314" max="314" width="20.44140625" hidden="1" customWidth="1" outlineLevel="1" collapsed="1"/>
    <col min="315" max="316" width="8.6640625" hidden="1" customWidth="1" outlineLevel="2"/>
    <col min="317" max="318" width="12.88671875" style="264" hidden="1" customWidth="1" outlineLevel="2"/>
    <col min="319" max="319" width="11.6640625" hidden="1" customWidth="1" outlineLevel="2"/>
    <col min="320" max="322" width="8.6640625" hidden="1" customWidth="1" outlineLevel="2"/>
    <col min="323" max="323" width="20.44140625" hidden="1" customWidth="1" outlineLevel="1" collapsed="1"/>
    <col min="324" max="325" width="8.6640625" hidden="1" customWidth="1" outlineLevel="2"/>
    <col min="326" max="327" width="12.88671875" style="264" hidden="1" customWidth="1" outlineLevel="2"/>
    <col min="328" max="328" width="8.6640625" hidden="1" customWidth="1" outlineLevel="2"/>
    <col min="329" max="329" width="25.88671875" hidden="1" customWidth="1" outlineLevel="1" collapsed="1"/>
    <col min="330" max="331" width="8.6640625" hidden="1" customWidth="1" outlineLevel="2"/>
    <col min="332" max="333" width="12.88671875" style="264" hidden="1" customWidth="1" outlineLevel="2"/>
    <col min="334" max="334" width="8.6640625" hidden="1" customWidth="1" outlineLevel="2"/>
    <col min="335" max="335" width="24" hidden="1" customWidth="1" outlineLevel="1" collapsed="1"/>
    <col min="336" max="336" width="24" customWidth="1" collapsed="1"/>
    <col min="337" max="339" width="12.88671875" hidden="1" customWidth="1" outlineLevel="2"/>
    <col min="340" max="342" width="12.88671875" style="264" hidden="1" customWidth="1" outlineLevel="2"/>
    <col min="343" max="343" width="10.88671875" hidden="1" customWidth="1" outlineLevel="2"/>
    <col min="344" max="345" width="9.33203125" hidden="1" customWidth="1" outlineLevel="2"/>
    <col min="346" max="346" width="23.6640625" hidden="1" customWidth="1" outlineLevel="1" collapsed="1"/>
    <col min="347" max="347" width="12.88671875" hidden="1" customWidth="1" outlineLevel="2"/>
    <col min="348" max="348" width="12.88671875" style="264" hidden="1" customWidth="1" outlineLevel="2"/>
    <col min="349" max="349" width="23.109375" hidden="1" customWidth="1" outlineLevel="1" collapsed="1"/>
    <col min="350" max="350" width="12.88671875" hidden="1" customWidth="1" outlineLevel="2"/>
    <col min="351" max="352" width="12.88671875" style="264" hidden="1" customWidth="1" outlineLevel="2"/>
    <col min="353" max="353" width="35.109375" hidden="1" customWidth="1" outlineLevel="1" collapsed="1"/>
    <col min="354" max="354" width="12.88671875" hidden="1" customWidth="1" outlineLevel="2"/>
    <col min="355" max="356" width="12.88671875" style="264" hidden="1" customWidth="1" outlineLevel="2"/>
    <col min="357" max="357" width="23.6640625" hidden="1" customWidth="1" outlineLevel="1" collapsed="1"/>
    <col min="358" max="358" width="12.88671875" hidden="1" customWidth="1" outlineLevel="2"/>
    <col min="359" max="359" width="12.88671875" style="264" hidden="1" customWidth="1" outlineLevel="2"/>
    <col min="360" max="360" width="23.6640625" hidden="1" customWidth="1" outlineLevel="1" collapsed="1"/>
    <col min="361" max="361" width="23.6640625" customWidth="1" collapsed="1"/>
    <col min="362" max="362" width="7.88671875" hidden="1" customWidth="1" outlineLevel="3"/>
    <col min="363" max="363" width="12.88671875" hidden="1" customWidth="1" outlineLevel="3"/>
    <col min="364" max="367" width="12.88671875" style="264" hidden="1" customWidth="1" outlineLevel="3"/>
    <col min="368" max="370" width="9.33203125" hidden="1" customWidth="1" outlineLevel="3"/>
    <col min="371" max="371" width="23.6640625" hidden="1" customWidth="1" outlineLevel="1" collapsed="1"/>
    <col min="372" max="374" width="12.5546875" hidden="1" customWidth="1" outlineLevel="2"/>
    <col min="375" max="375" width="4.5546875" hidden="1" customWidth="1" outlineLevel="2"/>
    <col min="376" max="378" width="10.109375" hidden="1" customWidth="1" outlineLevel="2"/>
    <col min="379" max="379" width="7.88671875" hidden="1" customWidth="1" outlineLevel="2"/>
    <col min="380" max="380" width="9.5546875" hidden="1" customWidth="1" outlineLevel="2"/>
    <col min="381" max="381" width="13.44140625" hidden="1" customWidth="1" outlineLevel="2"/>
    <col min="382" max="382" width="11.6640625" hidden="1" customWidth="1" outlineLevel="2"/>
    <col min="383" max="383" width="30.33203125" hidden="1" customWidth="1" outlineLevel="1" collapsed="1"/>
    <col min="384" max="384" width="26.109375" customWidth="1" collapsed="1"/>
    <col min="385" max="385" width="12.88671875" hidden="1" customWidth="1" outlineLevel="2"/>
    <col min="386" max="388" width="12.88671875" style="264" hidden="1" customWidth="1" outlineLevel="2"/>
    <col min="389" max="391" width="9.33203125" hidden="1" customWidth="1" outlineLevel="2"/>
    <col min="392" max="392" width="30" customWidth="1" collapsed="1"/>
    <col min="393" max="393" width="7.88671875" hidden="1" customWidth="1" outlineLevel="2"/>
    <col min="394" max="394" width="12.88671875" hidden="1" customWidth="1" outlineLevel="2"/>
    <col min="395" max="398" width="12.88671875" style="264" hidden="1" customWidth="1" outlineLevel="2"/>
    <col min="399" max="401" width="9.33203125" hidden="1" customWidth="1" outlineLevel="2"/>
    <col min="402" max="402" width="23.6640625" hidden="1" customWidth="1" outlineLevel="1" collapsed="1"/>
    <col min="403" max="403" width="7.88671875" hidden="1" customWidth="1" outlineLevel="2"/>
    <col min="404" max="404" width="19.109375" hidden="1" customWidth="1" outlineLevel="1" collapsed="1"/>
    <col min="405" max="405" width="19.109375" customWidth="1" collapsed="1"/>
    <col min="406" max="406" width="6" style="1100" hidden="1" customWidth="1" outlineLevel="1"/>
    <col min="407" max="407" width="12.88671875" hidden="1" customWidth="1" outlineLevel="2"/>
    <col min="408" max="410" width="12.88671875" style="264" hidden="1" customWidth="1" outlineLevel="2"/>
    <col min="411" max="413" width="9.33203125" hidden="1" customWidth="1" outlineLevel="2"/>
    <col min="414" max="414" width="23.6640625" hidden="1" customWidth="1" outlineLevel="1" collapsed="1"/>
    <col min="415" max="415" width="10.88671875" hidden="1" customWidth="1" outlineLevel="2"/>
    <col min="416" max="416" width="8.6640625" hidden="1" customWidth="1" outlineLevel="2"/>
    <col min="417" max="417" width="11.44140625" hidden="1" customWidth="1" outlineLevel="2"/>
    <col min="418" max="419" width="8.6640625" hidden="1" customWidth="1" outlineLevel="2"/>
    <col min="420" max="420" width="33.33203125" hidden="1" customWidth="1" outlineLevel="1" collapsed="1"/>
    <col min="421" max="421" width="10.88671875" hidden="1" customWidth="1" outlineLevel="2"/>
    <col min="422" max="422" width="8.6640625" hidden="1" customWidth="1" outlineLevel="2"/>
    <col min="423" max="423" width="11.44140625" hidden="1" customWidth="1" outlineLevel="2"/>
    <col min="424" max="425" width="8.6640625" hidden="1" customWidth="1" outlineLevel="2"/>
    <col min="426" max="426" width="23.44140625" hidden="1" customWidth="1" outlineLevel="1" collapsed="1"/>
    <col min="427" max="427" width="10.88671875" hidden="1" customWidth="1" outlineLevel="2"/>
    <col min="428" max="428" width="8.6640625" hidden="1" customWidth="1" outlineLevel="2"/>
    <col min="429" max="429" width="11.44140625" hidden="1" customWidth="1" outlineLevel="2"/>
    <col min="430" max="431" width="8.6640625" hidden="1" customWidth="1" outlineLevel="2"/>
    <col min="432" max="432" width="21" hidden="1" customWidth="1" outlineLevel="1" collapsed="1"/>
    <col min="433" max="433" width="10.88671875" hidden="1" customWidth="1" outlineLevel="2"/>
    <col min="434" max="434" width="8.6640625" hidden="1" customWidth="1" outlineLevel="2"/>
    <col min="435" max="435" width="10.44140625" hidden="1" customWidth="1" outlineLevel="2"/>
    <col min="436" max="436" width="10.44140625" style="264" hidden="1" customWidth="1" outlineLevel="2"/>
    <col min="437" max="437" width="11.44140625" hidden="1" customWidth="1" outlineLevel="2"/>
    <col min="438" max="438" width="8.6640625" hidden="1" customWidth="1" outlineLevel="2"/>
    <col min="439" max="439" width="8.6640625" style="264" hidden="1" customWidth="1" outlineLevel="2"/>
    <col min="440" max="440" width="8.6640625" hidden="1" customWidth="1" outlineLevel="2"/>
    <col min="441" max="441" width="28.44140625" hidden="1" customWidth="1" outlineLevel="1" collapsed="1"/>
    <col min="442" max="442" width="10.88671875" hidden="1" customWidth="1" outlineLevel="2"/>
    <col min="443" max="443" width="8.6640625" hidden="1" customWidth="1" outlineLevel="2"/>
    <col min="444" max="445" width="10.44140625" hidden="1" customWidth="1" outlineLevel="2"/>
    <col min="446" max="446" width="11.44140625" hidden="1" customWidth="1" outlineLevel="2"/>
    <col min="447" max="449" width="8.6640625" hidden="1" customWidth="1" outlineLevel="2"/>
    <col min="450" max="450" width="30.33203125" hidden="1" customWidth="1" outlineLevel="1" collapsed="1"/>
    <col min="451" max="451" width="10.88671875" hidden="1" customWidth="1" outlineLevel="2"/>
    <col min="452" max="452" width="8.6640625" hidden="1" customWidth="1" outlineLevel="2"/>
    <col min="453" max="454" width="10.44140625" hidden="1" customWidth="1" outlineLevel="2"/>
    <col min="455" max="455" width="11.44140625" hidden="1" customWidth="1" outlineLevel="2"/>
    <col min="456" max="458" width="8.6640625" hidden="1" customWidth="1" outlineLevel="2"/>
    <col min="459" max="459" width="31.88671875" hidden="1" customWidth="1" outlineLevel="1" collapsed="1"/>
    <col min="460" max="460" width="10.88671875" hidden="1" customWidth="1" outlineLevel="2"/>
    <col min="461" max="461" width="8.6640625" hidden="1" customWidth="1" outlineLevel="2"/>
    <col min="462" max="463" width="10.44140625" hidden="1" customWidth="1" outlineLevel="2"/>
    <col min="464" max="464" width="11.44140625" hidden="1" customWidth="1" outlineLevel="2"/>
    <col min="465" max="467" width="8.6640625" hidden="1" customWidth="1" outlineLevel="2"/>
    <col min="468" max="468" width="33.5546875" hidden="1" customWidth="1" outlineLevel="1" collapsed="1"/>
    <col min="469" max="469" width="9.33203125" customWidth="1" collapsed="1"/>
    <col min="470" max="470" width="23.33203125" style="264" customWidth="1"/>
    <col min="471" max="471" width="6" style="1100" hidden="1" customWidth="1" outlineLevel="1"/>
    <col min="472" max="472" width="12.88671875" hidden="1" customWidth="1" outlineLevel="2"/>
    <col min="473" max="475" width="12.88671875" style="264" hidden="1" customWidth="1" outlineLevel="2"/>
    <col min="476" max="478" width="9.33203125" hidden="1" customWidth="1" outlineLevel="2"/>
    <col min="479" max="479" width="23.6640625" hidden="1" customWidth="1" outlineLevel="1" collapsed="1"/>
    <col min="480" max="480" width="7.88671875" hidden="1" customWidth="1" outlineLevel="2"/>
    <col min="481" max="481" width="12.88671875" hidden="1" customWidth="1" outlineLevel="2"/>
    <col min="482" max="482" width="12.88671875" style="264" hidden="1" customWidth="1" outlineLevel="2"/>
    <col min="483" max="483" width="19.109375" hidden="1" customWidth="1" outlineLevel="1" collapsed="1"/>
    <col min="484" max="484" width="10.88671875" hidden="1" customWidth="1" outlineLevel="2"/>
    <col min="485" max="485" width="8.6640625" hidden="1" customWidth="1" outlineLevel="2"/>
    <col min="486" max="486" width="11.44140625" hidden="1" customWidth="1" outlineLevel="2"/>
    <col min="487" max="488" width="8.6640625" hidden="1" customWidth="1" outlineLevel="2"/>
    <col min="489" max="489" width="36.33203125" hidden="1" customWidth="1" outlineLevel="1" collapsed="1"/>
    <col min="490" max="490" width="10.88671875" hidden="1" customWidth="1" outlineLevel="2"/>
    <col min="491" max="491" width="8.6640625" hidden="1" customWidth="1" outlineLevel="2"/>
    <col min="492" max="492" width="11.44140625" hidden="1" customWidth="1" outlineLevel="2"/>
    <col min="493" max="494" width="8.6640625" hidden="1" customWidth="1" outlineLevel="2"/>
    <col min="495" max="495" width="36.33203125" hidden="1" customWidth="1" outlineLevel="1" collapsed="1"/>
    <col min="496" max="496" width="10.88671875" hidden="1" customWidth="1" outlineLevel="2"/>
    <col min="497" max="497" width="8.6640625" hidden="1" customWidth="1" outlineLevel="2"/>
    <col min="498" max="498" width="11.44140625" hidden="1" customWidth="1" outlineLevel="2"/>
    <col min="499" max="500" width="8.6640625" hidden="1" customWidth="1" outlineLevel="2"/>
    <col min="501" max="501" width="36.33203125" hidden="1" customWidth="1" outlineLevel="1" collapsed="1"/>
    <col min="502" max="502" width="25.44140625" customWidth="1" collapsed="1"/>
    <col min="503" max="503" width="7.88671875" hidden="1" customWidth="1" outlineLevel="2"/>
    <col min="504" max="504" width="12.88671875" hidden="1" customWidth="1" outlineLevel="2"/>
    <col min="505" max="507" width="12.88671875" style="264" hidden="1" customWidth="1" outlineLevel="2"/>
    <col min="508" max="510" width="9.33203125" hidden="1" customWidth="1" outlineLevel="2"/>
    <col min="511" max="511" width="20.6640625" hidden="1" customWidth="1" outlineLevel="1" collapsed="1"/>
    <col min="512" max="512" width="7.109375" hidden="1" customWidth="1" outlineLevel="2"/>
    <col min="513" max="513" width="12.88671875" hidden="1" customWidth="1" outlineLevel="2"/>
    <col min="514" max="514" width="12.88671875" style="264" hidden="1" customWidth="1" outlineLevel="2"/>
    <col min="515" max="515" width="17.44140625" hidden="1" customWidth="1" outlineLevel="1" collapsed="1"/>
    <col min="516" max="518" width="12.5546875" hidden="1" customWidth="1" outlineLevel="2"/>
    <col min="519" max="519" width="4.5546875" hidden="1" customWidth="1" outlineLevel="2"/>
    <col min="520" max="522" width="10.109375" hidden="1" customWidth="1" outlineLevel="2"/>
    <col min="523" max="523" width="7.88671875" hidden="1" customWidth="1" outlineLevel="2"/>
    <col min="524" max="524" width="9.5546875" hidden="1" customWidth="1" outlineLevel="2"/>
    <col min="525" max="525" width="13.44140625" hidden="1" customWidth="1" outlineLevel="2"/>
    <col min="526" max="526" width="11.6640625" hidden="1" customWidth="1" outlineLevel="2"/>
    <col min="527" max="527" width="25.88671875" hidden="1" customWidth="1" outlineLevel="1" collapsed="1"/>
    <col min="528" max="530" width="12.5546875" hidden="1" customWidth="1" outlineLevel="2"/>
    <col min="531" max="531" width="4.5546875" hidden="1" customWidth="1" outlineLevel="2"/>
    <col min="532" max="534" width="10.109375" hidden="1" customWidth="1" outlineLevel="2"/>
    <col min="535" max="535" width="7.88671875" hidden="1" customWidth="1" outlineLevel="2"/>
    <col min="536" max="536" width="9.5546875" hidden="1" customWidth="1" outlineLevel="2"/>
    <col min="537" max="537" width="13.44140625" hidden="1" customWidth="1" outlineLevel="2"/>
    <col min="538" max="538" width="11.6640625" hidden="1" customWidth="1" outlineLevel="2"/>
    <col min="539" max="539" width="25.88671875" hidden="1" customWidth="1" outlineLevel="1" collapsed="1"/>
    <col min="540" max="542" width="12.5546875" hidden="1" customWidth="1" outlineLevel="2"/>
    <col min="543" max="543" width="4.5546875" hidden="1" customWidth="1" outlineLevel="2"/>
    <col min="544" max="546" width="10.109375" hidden="1" customWidth="1" outlineLevel="2"/>
    <col min="547" max="547" width="7.88671875" hidden="1" customWidth="1" outlineLevel="2"/>
    <col min="548" max="548" width="9.5546875" hidden="1" customWidth="1" outlineLevel="2"/>
    <col min="549" max="549" width="13.44140625" hidden="1" customWidth="1" outlineLevel="2"/>
    <col min="550" max="550" width="11.6640625" hidden="1" customWidth="1" outlineLevel="2"/>
    <col min="551" max="551" width="25.88671875" hidden="1" customWidth="1" outlineLevel="1" collapsed="1"/>
    <col min="552" max="554" width="12.5546875" hidden="1" customWidth="1" outlineLevel="2"/>
    <col min="555" max="555" width="4.5546875" hidden="1" customWidth="1" outlineLevel="2"/>
    <col min="556" max="558" width="10.109375" hidden="1" customWidth="1" outlineLevel="2"/>
    <col min="559" max="559" width="7.88671875" hidden="1" customWidth="1" outlineLevel="2"/>
    <col min="560" max="560" width="9.5546875" hidden="1" customWidth="1" outlineLevel="2"/>
    <col min="561" max="561" width="13.44140625" hidden="1" customWidth="1" outlineLevel="2"/>
    <col min="562" max="562" width="11.6640625" hidden="1" customWidth="1" outlineLevel="2"/>
    <col min="563" max="563" width="25.88671875" hidden="1" customWidth="1" outlineLevel="1" collapsed="1"/>
    <col min="564" max="566" width="12.5546875" hidden="1" customWidth="1" outlineLevel="2"/>
    <col min="567" max="567" width="4.5546875" hidden="1" customWidth="1" outlineLevel="2"/>
    <col min="568" max="570" width="10.109375" hidden="1" customWidth="1" outlineLevel="2"/>
    <col min="571" max="571" width="7.88671875" hidden="1" customWidth="1" outlineLevel="2"/>
    <col min="572" max="572" width="9.5546875" hidden="1" customWidth="1" outlineLevel="2"/>
    <col min="573" max="573" width="13.44140625" hidden="1" customWidth="1" outlineLevel="2"/>
    <col min="574" max="574" width="11.6640625" hidden="1" customWidth="1" outlineLevel="2"/>
    <col min="575" max="575" width="25.88671875" hidden="1" customWidth="1" outlineLevel="1" collapsed="1"/>
    <col min="576" max="578" width="12.5546875" hidden="1" customWidth="1" outlineLevel="2"/>
    <col min="579" max="579" width="4.5546875" hidden="1" customWidth="1" outlineLevel="2"/>
    <col min="580" max="582" width="10.109375" hidden="1" customWidth="1" outlineLevel="2"/>
    <col min="583" max="583" width="7.88671875" hidden="1" customWidth="1" outlineLevel="2"/>
    <col min="584" max="584" width="9.5546875" hidden="1" customWidth="1" outlineLevel="2"/>
    <col min="585" max="585" width="13.44140625" hidden="1" customWidth="1" outlineLevel="2"/>
    <col min="586" max="586" width="11.6640625" hidden="1" customWidth="1" outlineLevel="2"/>
    <col min="587" max="587" width="25.88671875" hidden="1" customWidth="1" outlineLevel="1" collapsed="1"/>
    <col min="588" max="590" width="12.5546875" hidden="1" customWidth="1" outlineLevel="2"/>
    <col min="591" max="591" width="4.5546875" hidden="1" customWidth="1" outlineLevel="2"/>
    <col min="592" max="594" width="10.109375" hidden="1" customWidth="1" outlineLevel="2"/>
    <col min="595" max="595" width="7.88671875" hidden="1" customWidth="1" outlineLevel="2"/>
    <col min="596" max="596" width="9.5546875" hidden="1" customWidth="1" outlineLevel="2"/>
    <col min="597" max="597" width="13.44140625" hidden="1" customWidth="1" outlineLevel="2"/>
    <col min="598" max="598" width="11.6640625" hidden="1" customWidth="1" outlineLevel="2"/>
    <col min="599" max="599" width="25.88671875" hidden="1" customWidth="1" outlineLevel="1" collapsed="1"/>
    <col min="600" max="602" width="12.5546875" hidden="1" customWidth="1" outlineLevel="2"/>
    <col min="603" max="603" width="4.5546875" hidden="1" customWidth="1" outlineLevel="2"/>
    <col min="604" max="606" width="10.109375" hidden="1" customWidth="1" outlineLevel="2"/>
    <col min="607" max="607" width="7.88671875" hidden="1" customWidth="1" outlineLevel="2"/>
    <col min="608" max="608" width="9.5546875" hidden="1" customWidth="1" outlineLevel="2"/>
    <col min="609" max="609" width="13.44140625" hidden="1" customWidth="1" outlineLevel="2"/>
    <col min="610" max="610" width="11.6640625" hidden="1" customWidth="1" outlineLevel="2"/>
    <col min="611" max="611" width="25.88671875" hidden="1" customWidth="1" outlineLevel="1" collapsed="1"/>
    <col min="612" max="614" width="12.5546875" hidden="1" customWidth="1" outlineLevel="2"/>
    <col min="615" max="615" width="4.5546875" hidden="1" customWidth="1" outlineLevel="2"/>
    <col min="616" max="618" width="10.109375" hidden="1" customWidth="1" outlineLevel="2"/>
    <col min="619" max="619" width="7.88671875" hidden="1" customWidth="1" outlineLevel="2"/>
    <col min="620" max="620" width="9.5546875" hidden="1" customWidth="1" outlineLevel="2"/>
    <col min="621" max="621" width="13.44140625" hidden="1" customWidth="1" outlineLevel="2"/>
    <col min="622" max="622" width="11.6640625" hidden="1" customWidth="1" outlineLevel="2"/>
    <col min="623" max="623" width="25.88671875" hidden="1" customWidth="1" outlineLevel="1" collapsed="1"/>
    <col min="624" max="626" width="12.5546875" hidden="1" customWidth="1" outlineLevel="2"/>
    <col min="627" max="627" width="4.5546875" hidden="1" customWidth="1" outlineLevel="2"/>
    <col min="628" max="630" width="10.109375" hidden="1" customWidth="1" outlineLevel="2"/>
    <col min="631" max="631" width="7.88671875" hidden="1" customWidth="1" outlineLevel="2"/>
    <col min="632" max="632" width="9.5546875" hidden="1" customWidth="1" outlineLevel="2"/>
    <col min="633" max="633" width="13.44140625" hidden="1" customWidth="1" outlineLevel="2"/>
    <col min="634" max="634" width="11.6640625" hidden="1" customWidth="1" outlineLevel="2"/>
    <col min="635" max="635" width="25.88671875" hidden="1" customWidth="1" outlineLevel="1" collapsed="1"/>
    <col min="636" max="636" width="21.33203125" customWidth="1" collapsed="1"/>
    <col min="637" max="637" width="6.88671875" hidden="1" customWidth="1" outlineLevel="2"/>
    <col min="638" max="638" width="14.109375" hidden="1" customWidth="1" outlineLevel="2"/>
    <col min="639" max="641" width="12.88671875" style="264" hidden="1" customWidth="1" outlineLevel="2"/>
    <col min="642" max="642" width="12.33203125" hidden="1" customWidth="1" outlineLevel="2"/>
    <col min="643" max="644" width="9.33203125" hidden="1" customWidth="1" outlineLevel="2"/>
    <col min="645" max="645" width="23.6640625" hidden="1" customWidth="1" outlineLevel="1" collapsed="1"/>
    <col min="646" max="646" width="7.109375" hidden="1" customWidth="1" outlineLevel="2"/>
    <col min="647" max="647" width="12.88671875" hidden="1" customWidth="1" outlineLevel="2"/>
    <col min="648" max="648" width="12.88671875" style="264" hidden="1" customWidth="1" outlineLevel="2"/>
    <col min="649" max="649" width="17.44140625" hidden="1" customWidth="1" outlineLevel="1" collapsed="1"/>
    <col min="650" max="650" width="12.88671875" hidden="1" customWidth="1" outlineLevel="2"/>
    <col min="651" max="652" width="12.88671875" style="264" hidden="1" customWidth="1" outlineLevel="2"/>
    <col min="653" max="653" width="23.6640625" hidden="1" customWidth="1" outlineLevel="1" collapsed="1"/>
    <col min="654" max="656" width="12.5546875" hidden="1" customWidth="1" outlineLevel="2"/>
    <col min="657" max="657" width="4.5546875" hidden="1" customWidth="1" outlineLevel="2"/>
    <col min="658" max="660" width="10.109375" hidden="1" customWidth="1" outlineLevel="2"/>
    <col min="661" max="661" width="7.88671875" hidden="1" customWidth="1" outlineLevel="2"/>
    <col min="662" max="662" width="9.5546875" hidden="1" customWidth="1" outlineLevel="2"/>
    <col min="663" max="663" width="13.44140625" hidden="1" customWidth="1" outlineLevel="2"/>
    <col min="664" max="664" width="11.6640625" hidden="1" customWidth="1" outlineLevel="2"/>
    <col min="665" max="665" width="32.6640625" hidden="1" customWidth="1" outlineLevel="1" collapsed="1"/>
    <col min="666" max="668" width="12.5546875" hidden="1" customWidth="1" outlineLevel="2"/>
    <col min="669" max="669" width="4.5546875" hidden="1" customWidth="1" outlineLevel="2"/>
    <col min="670" max="672" width="10.109375" hidden="1" customWidth="1" outlineLevel="2"/>
    <col min="673" max="673" width="7.88671875" hidden="1" customWidth="1" outlineLevel="2"/>
    <col min="674" max="674" width="9.5546875" hidden="1" customWidth="1" outlineLevel="2"/>
    <col min="675" max="675" width="13.44140625" hidden="1" customWidth="1" outlineLevel="2"/>
    <col min="676" max="676" width="11.6640625" hidden="1" customWidth="1" outlineLevel="2"/>
    <col min="677" max="677" width="25.88671875" hidden="1" customWidth="1" outlineLevel="1" collapsed="1"/>
    <col min="678" max="680" width="12.5546875" hidden="1" customWidth="1" outlineLevel="2"/>
    <col min="681" max="681" width="4.5546875" hidden="1" customWidth="1" outlineLevel="2"/>
    <col min="682" max="684" width="10.109375" hidden="1" customWidth="1" outlineLevel="2"/>
    <col min="685" max="685" width="7.88671875" hidden="1" customWidth="1" outlineLevel="2"/>
    <col min="686" max="686" width="9.5546875" hidden="1" customWidth="1" outlineLevel="2"/>
    <col min="687" max="687" width="13.44140625" hidden="1" customWidth="1" outlineLevel="2"/>
    <col min="688" max="688" width="11.6640625" hidden="1" customWidth="1" outlineLevel="2"/>
    <col min="689" max="689" width="25.88671875" hidden="1" customWidth="1" outlineLevel="1" collapsed="1"/>
    <col min="690" max="692" width="12.5546875" hidden="1" customWidth="1" outlineLevel="2"/>
    <col min="693" max="693" width="4.5546875" hidden="1" customWidth="1" outlineLevel="2"/>
    <col min="694" max="696" width="10.109375" hidden="1" customWidth="1" outlineLevel="2"/>
    <col min="697" max="697" width="7.88671875" hidden="1" customWidth="1" outlineLevel="2"/>
    <col min="698" max="698" width="9.5546875" hidden="1" customWidth="1" outlineLevel="2"/>
    <col min="699" max="699" width="13.44140625" hidden="1" customWidth="1" outlineLevel="2"/>
    <col min="700" max="700" width="11.6640625" hidden="1" customWidth="1" outlineLevel="2"/>
    <col min="701" max="701" width="25.88671875" hidden="1" customWidth="1" outlineLevel="1" collapsed="1"/>
    <col min="702" max="704" width="12.5546875" hidden="1" customWidth="1" outlineLevel="2"/>
    <col min="705" max="705" width="4.5546875" hidden="1" customWidth="1" outlineLevel="2"/>
    <col min="706" max="708" width="10.109375" hidden="1" customWidth="1" outlineLevel="2"/>
    <col min="709" max="709" width="7.88671875" hidden="1" customWidth="1" outlineLevel="2"/>
    <col min="710" max="710" width="9.5546875" hidden="1" customWidth="1" outlineLevel="2"/>
    <col min="711" max="711" width="13.44140625" hidden="1" customWidth="1" outlineLevel="2"/>
    <col min="712" max="712" width="11.6640625" hidden="1" customWidth="1" outlineLevel="2"/>
    <col min="713" max="713" width="25.88671875" hidden="1" customWidth="1" outlineLevel="1" collapsed="1"/>
    <col min="714" max="714" width="19.5546875" customWidth="1" collapsed="1"/>
    <col min="715" max="715" width="4.88671875" hidden="1" customWidth="1" outlineLevel="1"/>
    <col min="716" max="716" width="12.88671875" hidden="1" customWidth="1" outlineLevel="2"/>
    <col min="717" max="719" width="12.88671875" style="264" hidden="1" customWidth="1" outlineLevel="2"/>
    <col min="720" max="722" width="9.33203125" hidden="1" customWidth="1" outlineLevel="2"/>
    <col min="723" max="723" width="27.88671875" hidden="1" customWidth="1" outlineLevel="1" collapsed="1"/>
    <col min="724" max="724" width="10.88671875" hidden="1" customWidth="1" outlineLevel="2"/>
    <col min="725" max="725" width="8.6640625" hidden="1" customWidth="1" outlineLevel="2"/>
    <col min="726" max="727" width="10.44140625" hidden="1" customWidth="1" outlineLevel="2"/>
    <col min="728" max="728" width="8.6640625" hidden="1" customWidth="1" outlineLevel="2"/>
    <col min="729" max="729" width="36.33203125" hidden="1" customWidth="1" outlineLevel="1" collapsed="1"/>
    <col min="730" max="730" width="16.109375" style="264" customWidth="1" collapsed="1"/>
    <col min="731" max="731" width="5.44140625" hidden="1" customWidth="1" outlineLevel="1"/>
    <col min="732" max="732" width="12.88671875" hidden="1" customWidth="1" outlineLevel="2"/>
    <col min="733" max="735" width="12.88671875" style="264" hidden="1" customWidth="1" outlineLevel="2"/>
    <col min="736" max="736" width="11.109375" hidden="1" customWidth="1" outlineLevel="2"/>
    <col min="737" max="738" width="9.33203125" hidden="1" customWidth="1" outlineLevel="2"/>
    <col min="739" max="739" width="23.6640625" hidden="1" customWidth="1" outlineLevel="1" collapsed="1"/>
    <col min="740" max="740" width="10.88671875" hidden="1" customWidth="1" outlineLevel="2"/>
    <col min="741" max="741" width="8.6640625" hidden="1" customWidth="1" outlineLevel="2"/>
    <col min="742" max="742" width="11.44140625" hidden="1" customWidth="1" outlineLevel="2"/>
    <col min="743" max="744" width="8.6640625" hidden="1" customWidth="1" outlineLevel="2"/>
    <col min="745" max="745" width="36.33203125" hidden="1" customWidth="1" outlineLevel="1" collapsed="1"/>
    <col min="746" max="746" width="10.88671875" hidden="1" customWidth="1" outlineLevel="2"/>
    <col min="747" max="747" width="8.6640625" hidden="1" customWidth="1" outlineLevel="2"/>
    <col min="748" max="748" width="11.44140625" hidden="1" customWidth="1" outlineLevel="2"/>
    <col min="749" max="750" width="8.6640625" hidden="1" customWidth="1" outlineLevel="2"/>
    <col min="751" max="751" width="33.33203125" hidden="1" customWidth="1" outlineLevel="1" collapsed="1"/>
    <col min="752" max="752" width="10.88671875" hidden="1" customWidth="1" outlineLevel="2"/>
    <col min="753" max="753" width="8.6640625" hidden="1" customWidth="1" outlineLevel="2"/>
    <col min="754" max="754" width="11.44140625" hidden="1" customWidth="1" outlineLevel="2"/>
    <col min="755" max="756" width="8.6640625" hidden="1" customWidth="1" outlineLevel="2"/>
    <col min="757" max="757" width="33.33203125" hidden="1" customWidth="1" outlineLevel="1" collapsed="1"/>
    <col min="758" max="758" width="10.88671875" hidden="1" customWidth="1" outlineLevel="2"/>
    <col min="759" max="759" width="8.6640625" hidden="1" customWidth="1" outlineLevel="2"/>
    <col min="760" max="761" width="10.44140625" hidden="1" customWidth="1" outlineLevel="2"/>
    <col min="762" max="762" width="11.44140625" hidden="1" customWidth="1" outlineLevel="2"/>
    <col min="763" max="763" width="8.6640625" hidden="1" customWidth="1" outlineLevel="2"/>
    <col min="764" max="764" width="11.6640625" hidden="1" customWidth="1" outlineLevel="2"/>
    <col min="765" max="766" width="8.6640625" hidden="1" customWidth="1" outlineLevel="2"/>
    <col min="767" max="767" width="33.33203125" hidden="1" customWidth="1" outlineLevel="1" collapsed="1"/>
    <col min="768" max="768" width="10.88671875" hidden="1" customWidth="1" outlineLevel="2"/>
    <col min="769" max="769" width="8.6640625" hidden="1" customWidth="1" outlineLevel="2"/>
    <col min="770" max="771" width="10.44140625" hidden="1" customWidth="1" outlineLevel="2"/>
    <col min="772" max="772" width="11.44140625" hidden="1" customWidth="1" outlineLevel="2"/>
    <col min="773" max="773" width="8.6640625" hidden="1" customWidth="1" outlineLevel="2"/>
    <col min="774" max="774" width="11.6640625" hidden="1" customWidth="1" outlineLevel="2"/>
    <col min="775" max="776" width="8.6640625" hidden="1" customWidth="1" outlineLevel="2"/>
    <col min="777" max="777" width="33.33203125" hidden="1" customWidth="1" outlineLevel="1" collapsed="1"/>
    <col min="778" max="778" width="10.88671875" hidden="1" customWidth="1" outlineLevel="2"/>
    <col min="779" max="779" width="8.6640625" hidden="1" customWidth="1" outlineLevel="2"/>
    <col min="780" max="781" width="10.44140625" hidden="1" customWidth="1" outlineLevel="2"/>
    <col min="782" max="782" width="11.44140625" hidden="1" customWidth="1" outlineLevel="2"/>
    <col min="783" max="783" width="8.6640625" hidden="1" customWidth="1" outlineLevel="2"/>
    <col min="784" max="784" width="11.6640625" hidden="1" customWidth="1" outlineLevel="2"/>
    <col min="785" max="786" width="8.6640625" hidden="1" customWidth="1" outlineLevel="2"/>
    <col min="787" max="787" width="33.33203125" hidden="1" customWidth="1" outlineLevel="1" collapsed="1"/>
    <col min="788" max="788" width="10.88671875" hidden="1" customWidth="1" outlineLevel="2"/>
    <col min="789" max="789" width="8.6640625" hidden="1" customWidth="1" outlineLevel="2"/>
    <col min="790" max="791" width="10.44140625" hidden="1" customWidth="1" outlineLevel="2"/>
    <col min="792" max="792" width="11.44140625" hidden="1" customWidth="1" outlineLevel="2"/>
    <col min="793" max="793" width="8.6640625" hidden="1" customWidth="1" outlineLevel="2"/>
    <col min="794" max="794" width="11.6640625" hidden="1" customWidth="1" outlineLevel="2"/>
    <col min="795" max="796" width="8.6640625" hidden="1" customWidth="1" outlineLevel="2"/>
    <col min="797" max="797" width="33.33203125" hidden="1" customWidth="1" outlineLevel="1" collapsed="1"/>
    <col min="798" max="798" width="24.88671875" style="264" customWidth="1" collapsed="1"/>
    <col min="799" max="799" width="6.5546875" hidden="1" customWidth="1" outlineLevel="1"/>
    <col min="800" max="800" width="12.88671875" hidden="1" customWidth="1" outlineLevel="2"/>
    <col min="801" max="803" width="12.88671875" style="264" hidden="1" customWidth="1" outlineLevel="2"/>
    <col min="804" max="806" width="9.33203125" hidden="1" customWidth="1" outlineLevel="2"/>
    <col min="807" max="807" width="23.6640625" hidden="1" customWidth="1" outlineLevel="1" collapsed="1"/>
    <col min="808" max="808" width="12.88671875" hidden="1" customWidth="1" outlineLevel="2"/>
    <col min="809" max="811" width="12.88671875" style="264" hidden="1" customWidth="1" outlineLevel="2"/>
    <col min="812" max="814" width="9.33203125" hidden="1" customWidth="1" outlineLevel="2"/>
    <col min="815" max="815" width="27.88671875" hidden="1" customWidth="1" outlineLevel="1" collapsed="1"/>
    <col min="816" max="816" width="5.109375" style="264" hidden="1" customWidth="1" outlineLevel="2"/>
    <col min="817" max="817" width="23.6640625" style="264" hidden="1" customWidth="1" outlineLevel="1" collapsed="1"/>
    <col min="818" max="818" width="25.44140625" style="264" hidden="1" customWidth="1" outlineLevel="1"/>
    <col min="819" max="819" width="10.88671875" hidden="1" customWidth="1" outlineLevel="2"/>
    <col min="820" max="820" width="8.6640625" hidden="1" customWidth="1" outlineLevel="2"/>
    <col min="821" max="821" width="11.44140625" hidden="1" customWidth="1" outlineLevel="2"/>
    <col min="822" max="823" width="8.6640625" hidden="1" customWidth="1" outlineLevel="2"/>
    <col min="824" max="824" width="30.33203125" hidden="1" customWidth="1" outlineLevel="1" collapsed="1"/>
    <col min="825" max="825" width="10.88671875" hidden="1" customWidth="1" outlineLevel="2"/>
    <col min="826" max="826" width="8.6640625" hidden="1" customWidth="1" outlineLevel="2"/>
    <col min="827" max="827" width="11.44140625" hidden="1" customWidth="1" outlineLevel="2"/>
    <col min="828" max="829" width="8.6640625" hidden="1" customWidth="1" outlineLevel="2"/>
    <col min="830" max="830" width="24" hidden="1" customWidth="1" outlineLevel="1" collapsed="1"/>
    <col min="831" max="831" width="10.88671875" hidden="1" customWidth="1" outlineLevel="2"/>
    <col min="832" max="832" width="8.6640625" hidden="1" customWidth="1" outlineLevel="2"/>
    <col min="833" max="833" width="28.88671875" hidden="1" customWidth="1" outlineLevel="1" collapsed="1"/>
    <col min="834" max="836" width="12.5546875" hidden="1" customWidth="1" outlineLevel="2"/>
    <col min="837" max="837" width="4.5546875" hidden="1" customWidth="1" outlineLevel="2"/>
    <col min="838" max="840" width="10.109375" hidden="1" customWidth="1" outlineLevel="2"/>
    <col min="841" max="841" width="7.88671875" hidden="1" customWidth="1" outlineLevel="2"/>
    <col min="842" max="842" width="9.5546875" hidden="1" customWidth="1" outlineLevel="2"/>
    <col min="843" max="843" width="13.44140625" hidden="1" customWidth="1" outlineLevel="2"/>
    <col min="844" max="844" width="11.6640625" hidden="1" customWidth="1" outlineLevel="2"/>
    <col min="845" max="845" width="25.88671875" hidden="1" customWidth="1" outlineLevel="1" collapsed="1"/>
    <col min="846" max="848" width="12.5546875" hidden="1" customWidth="1" outlineLevel="2"/>
    <col min="849" max="849" width="4.5546875" hidden="1" customWidth="1" outlineLevel="2"/>
    <col min="850" max="852" width="10.109375" hidden="1" customWidth="1" outlineLevel="2"/>
    <col min="853" max="853" width="7.88671875" hidden="1" customWidth="1" outlineLevel="2"/>
    <col min="854" max="854" width="9.5546875" hidden="1" customWidth="1" outlineLevel="2"/>
    <col min="855" max="855" width="13.44140625" hidden="1" customWidth="1" outlineLevel="2"/>
    <col min="856" max="856" width="11.6640625" hidden="1" customWidth="1" outlineLevel="2"/>
    <col min="857" max="857" width="25.88671875" hidden="1" customWidth="1" outlineLevel="1" collapsed="1"/>
    <col min="858" max="860" width="12.5546875" hidden="1" customWidth="1" outlineLevel="2"/>
    <col min="861" max="861" width="4.5546875" hidden="1" customWidth="1" outlineLevel="2"/>
    <col min="862" max="864" width="10.109375" hidden="1" customWidth="1" outlineLevel="2"/>
    <col min="865" max="865" width="7.88671875" hidden="1" customWidth="1" outlineLevel="2"/>
    <col min="866" max="866" width="9.5546875" hidden="1" customWidth="1" outlineLevel="2"/>
    <col min="867" max="867" width="13.44140625" hidden="1" customWidth="1" outlineLevel="2"/>
    <col min="868" max="868" width="11.6640625" hidden="1" customWidth="1" outlineLevel="2"/>
    <col min="869" max="869" width="25.88671875" hidden="1" customWidth="1" outlineLevel="1" collapsed="1"/>
    <col min="870" max="872" width="12.5546875" hidden="1" customWidth="1" outlineLevel="2"/>
    <col min="873" max="873" width="4.5546875" hidden="1" customWidth="1" outlineLevel="2"/>
    <col min="874" max="876" width="10.109375" hidden="1" customWidth="1" outlineLevel="2"/>
    <col min="877" max="877" width="7.88671875" hidden="1" customWidth="1" outlineLevel="2"/>
    <col min="878" max="878" width="9.5546875" hidden="1" customWidth="1" outlineLevel="2"/>
    <col min="879" max="879" width="13.44140625" hidden="1" customWidth="1" outlineLevel="2"/>
    <col min="880" max="880" width="11.6640625" hidden="1" customWidth="1" outlineLevel="2"/>
    <col min="881" max="881" width="25.88671875" hidden="1" customWidth="1" outlineLevel="1" collapsed="1"/>
    <col min="882" max="884" width="12.5546875" hidden="1" customWidth="1" outlineLevel="2"/>
    <col min="885" max="885" width="4.5546875" hidden="1" customWidth="1" outlineLevel="2"/>
    <col min="886" max="888" width="10.109375" hidden="1" customWidth="1" outlineLevel="2"/>
    <col min="889" max="889" width="7.88671875" hidden="1" customWidth="1" outlineLevel="2"/>
    <col min="890" max="890" width="9.5546875" hidden="1" customWidth="1" outlineLevel="2"/>
    <col min="891" max="891" width="13.44140625" hidden="1" customWidth="1" outlineLevel="2"/>
    <col min="892" max="892" width="11.6640625" hidden="1" customWidth="1" outlineLevel="2"/>
    <col min="893" max="893" width="25.88671875" hidden="1" customWidth="1" outlineLevel="1" collapsed="1"/>
    <col min="894" max="894" width="20.44140625" customWidth="1" collapsed="1"/>
    <col min="895" max="895" width="12.88671875" hidden="1" customWidth="1" outlineLevel="1"/>
    <col min="896" max="896" width="12.88671875" style="264" hidden="1" customWidth="1" outlineLevel="1"/>
    <col min="897" max="897" width="14" hidden="1" customWidth="1" outlineLevel="1"/>
    <col min="898" max="898" width="12" hidden="1" customWidth="1" outlineLevel="1"/>
    <col min="899" max="899" width="10.5546875" hidden="1" customWidth="1" outlineLevel="1"/>
    <col min="900" max="900" width="17.33203125" hidden="1" customWidth="1" outlineLevel="1"/>
    <col min="901" max="902" width="9.109375" hidden="1" customWidth="1" outlineLevel="1"/>
    <col min="903" max="903" width="27.5546875" customWidth="1" collapsed="1"/>
    <col min="904" max="904" width="12.88671875" hidden="1" customWidth="1" outlineLevel="2"/>
    <col min="905" max="905" width="12.88671875" style="264" hidden="1" customWidth="1" outlineLevel="2"/>
    <col min="906" max="906" width="14" hidden="1" customWidth="1" outlineLevel="2"/>
    <col min="907" max="907" width="12" hidden="1" customWidth="1" outlineLevel="2"/>
    <col min="908" max="908" width="10.5546875" hidden="1" customWidth="1" outlineLevel="2"/>
    <col min="909" max="909" width="111.5546875" hidden="1" customWidth="1" outlineLevel="1" collapsed="1"/>
    <col min="910" max="910" width="12.6640625" hidden="1" customWidth="1" outlineLevel="2"/>
    <col min="911" max="911" width="14.33203125" hidden="1" customWidth="1" outlineLevel="2"/>
    <col min="912" max="912" width="10.6640625" hidden="1" customWidth="1" outlineLevel="2"/>
    <col min="913" max="913" width="11.5546875" hidden="1" customWidth="1" outlineLevel="2"/>
    <col min="914" max="914" width="13.88671875" hidden="1" customWidth="1" outlineLevel="2"/>
    <col min="915" max="918" width="12.6640625" hidden="1" customWidth="1" outlineLevel="2"/>
    <col min="919" max="919" width="11.33203125" hidden="1" customWidth="1" outlineLevel="1" collapsed="1"/>
    <col min="920" max="920" width="12.6640625" hidden="1" customWidth="1" outlineLevel="2"/>
    <col min="921" max="921" width="14.33203125" hidden="1" customWidth="1" outlineLevel="2"/>
    <col min="922" max="922" width="10.6640625" hidden="1" customWidth="1" outlineLevel="2"/>
    <col min="923" max="923" width="15" hidden="1" customWidth="1" outlineLevel="2"/>
    <col min="924" max="924" width="18.88671875" hidden="1" customWidth="1" outlineLevel="2"/>
    <col min="925" max="928" width="12.6640625" hidden="1" customWidth="1" outlineLevel="2"/>
    <col min="929" max="929" width="22.6640625" hidden="1" customWidth="1" outlineLevel="1" collapsed="1"/>
    <col min="930" max="930" width="12.6640625" hidden="1" customWidth="1" outlineLevel="2"/>
    <col min="931" max="931" width="14.33203125" hidden="1" customWidth="1" outlineLevel="2"/>
    <col min="932" max="932" width="10.6640625" hidden="1" customWidth="1" outlineLevel="2"/>
    <col min="933" max="933" width="11.5546875" hidden="1" customWidth="1" outlineLevel="2"/>
    <col min="934" max="934" width="13.88671875" hidden="1" customWidth="1" outlineLevel="2"/>
    <col min="935" max="942" width="12.6640625" hidden="1" customWidth="1" outlineLevel="2"/>
    <col min="943" max="943" width="18.109375" hidden="1" customWidth="1" outlineLevel="1" collapsed="1"/>
    <col min="944" max="944" width="12.6640625" hidden="1" customWidth="1" outlineLevel="2"/>
    <col min="945" max="945" width="14.33203125" hidden="1" customWidth="1" outlineLevel="2"/>
    <col min="946" max="946" width="10.6640625" hidden="1" customWidth="1" outlineLevel="2"/>
    <col min="947" max="947" width="11.5546875" hidden="1" customWidth="1" outlineLevel="2"/>
    <col min="948" max="948" width="13.88671875" hidden="1" customWidth="1" outlineLevel="2"/>
    <col min="949" max="952" width="12.6640625" hidden="1" customWidth="1" outlineLevel="2"/>
    <col min="953" max="953" width="16" hidden="1" customWidth="1" outlineLevel="1" collapsed="1"/>
    <col min="954" max="954" width="12.6640625" hidden="1" customWidth="1" outlineLevel="2"/>
    <col min="955" max="955" width="14.33203125" hidden="1" customWidth="1" outlineLevel="2"/>
    <col min="956" max="956" width="10.6640625" hidden="1" customWidth="1" outlineLevel="2"/>
    <col min="957" max="957" width="11.5546875" hidden="1" customWidth="1" outlineLevel="2"/>
    <col min="958" max="958" width="13.88671875" hidden="1" customWidth="1" outlineLevel="2"/>
    <col min="959" max="962" width="12.6640625" hidden="1" customWidth="1" outlineLevel="2"/>
    <col min="963" max="963" width="22" hidden="1" customWidth="1" outlineLevel="1" collapsed="1"/>
    <col min="964" max="964" width="12.6640625" hidden="1" customWidth="1" outlineLevel="2"/>
    <col min="965" max="965" width="14.33203125" hidden="1" customWidth="1" outlineLevel="2"/>
    <col min="966" max="966" width="10.6640625" hidden="1" customWidth="1" outlineLevel="2"/>
    <col min="967" max="967" width="11.5546875" hidden="1" customWidth="1" outlineLevel="2"/>
    <col min="968" max="968" width="13.88671875" hidden="1" customWidth="1" outlineLevel="2"/>
    <col min="969" max="972" width="12.6640625" hidden="1" customWidth="1" outlineLevel="2"/>
    <col min="973" max="973" width="22" hidden="1" customWidth="1" outlineLevel="1" collapsed="1"/>
    <col min="974" max="974" width="12.6640625" hidden="1" customWidth="1" outlineLevel="2"/>
    <col min="975" max="975" width="14.33203125" hidden="1" customWidth="1" outlineLevel="2"/>
    <col min="976" max="976" width="10.6640625" hidden="1" customWidth="1" outlineLevel="2"/>
    <col min="977" max="977" width="11.5546875" hidden="1" customWidth="1" outlineLevel="2"/>
    <col min="978" max="978" width="13.88671875" hidden="1" customWidth="1" outlineLevel="2"/>
    <col min="979" max="982" width="12.6640625" hidden="1" customWidth="1" outlineLevel="2"/>
    <col min="983" max="983" width="9.109375" hidden="1" customWidth="1" outlineLevel="1" collapsed="1"/>
    <col min="984" max="984" width="12.6640625" hidden="1" customWidth="1" outlineLevel="2"/>
    <col min="985" max="985" width="14.33203125" hidden="1" customWidth="1" outlineLevel="2"/>
    <col min="986" max="986" width="10.6640625" hidden="1" customWidth="1" outlineLevel="2"/>
    <col min="987" max="987" width="11.5546875" hidden="1" customWidth="1" outlineLevel="2"/>
    <col min="988" max="988" width="13.88671875" hidden="1" customWidth="1" outlineLevel="2"/>
    <col min="989" max="992" width="12.6640625" hidden="1" customWidth="1" outlineLevel="2"/>
    <col min="993" max="993" width="12" hidden="1" customWidth="1" outlineLevel="1" collapsed="1"/>
    <col min="994" max="994" width="12.6640625" hidden="1" customWidth="1" outlineLevel="2"/>
    <col min="995" max="995" width="14.33203125" hidden="1" customWidth="1" outlineLevel="2"/>
    <col min="996" max="996" width="10.6640625" hidden="1" customWidth="1" outlineLevel="2"/>
    <col min="997" max="997" width="11.5546875" hidden="1" customWidth="1" outlineLevel="2"/>
    <col min="998" max="998" width="13.88671875" hidden="1" customWidth="1" outlineLevel="2"/>
    <col min="999" max="1002" width="12.6640625" hidden="1" customWidth="1" outlineLevel="2"/>
    <col min="1003" max="1003" width="12" hidden="1" customWidth="1" outlineLevel="1" collapsed="1"/>
    <col min="1004" max="1004" width="97.88671875" customWidth="1" collapsed="1"/>
    <col min="1005" max="1005" width="12.88671875" hidden="1" customWidth="1" outlineLevel="2"/>
    <col min="1006" max="1006" width="12.88671875" style="264" hidden="1" customWidth="1" outlineLevel="2"/>
    <col min="1007" max="1007" width="14" hidden="1" customWidth="1" outlineLevel="2"/>
    <col min="1008" max="1008" width="12" hidden="1" customWidth="1" outlineLevel="2"/>
    <col min="1009" max="1009" width="10.5546875" hidden="1" customWidth="1" outlineLevel="2"/>
    <col min="1010" max="1010" width="47.33203125" hidden="1" customWidth="1" outlineLevel="1" collapsed="1"/>
    <col min="1011" max="1011" width="12.6640625" hidden="1" customWidth="1" outlineLevel="2"/>
    <col min="1012" max="1012" width="14.33203125" hidden="1" customWidth="1" outlineLevel="2"/>
    <col min="1013" max="1013" width="10.6640625" hidden="1" customWidth="1" outlineLevel="2"/>
    <col min="1014" max="1014" width="11.5546875" hidden="1" customWidth="1" outlineLevel="2"/>
    <col min="1015" max="1015" width="13.88671875" hidden="1" customWidth="1" outlineLevel="2"/>
    <col min="1016" max="1019" width="12.6640625" hidden="1" customWidth="1" outlineLevel="2"/>
    <col min="1020" max="1020" width="11.33203125" hidden="1" customWidth="1" outlineLevel="1" collapsed="1"/>
    <col min="1021" max="1021" width="12.6640625" hidden="1" customWidth="1" outlineLevel="2"/>
    <col min="1022" max="1022" width="14.33203125" hidden="1" customWidth="1" outlineLevel="2"/>
    <col min="1023" max="1023" width="10.6640625" hidden="1" customWidth="1" outlineLevel="2"/>
    <col min="1024" max="1024" width="11.5546875" hidden="1" customWidth="1" outlineLevel="2"/>
    <col min="1025" max="1025" width="13.88671875" hidden="1" customWidth="1" outlineLevel="2"/>
    <col min="1026" max="1029" width="12.6640625" hidden="1" customWidth="1" outlineLevel="2"/>
    <col min="1030" max="1030" width="23.33203125" hidden="1" customWidth="1" outlineLevel="1" collapsed="1"/>
    <col min="1031" max="1031" width="12.6640625" hidden="1" customWidth="1" outlineLevel="2"/>
    <col min="1032" max="1032" width="14.33203125" hidden="1" customWidth="1" outlineLevel="2"/>
    <col min="1033" max="1033" width="10.6640625" hidden="1" customWidth="1" outlineLevel="2"/>
    <col min="1034" max="1034" width="11.5546875" hidden="1" customWidth="1" outlineLevel="2"/>
    <col min="1035" max="1035" width="13.88671875" hidden="1" customWidth="1" outlineLevel="2"/>
    <col min="1036" max="1043" width="12.6640625" hidden="1" customWidth="1" outlineLevel="2"/>
    <col min="1044" max="1044" width="15.44140625" hidden="1" customWidth="1" outlineLevel="1" collapsed="1"/>
    <col min="1045" max="1045" width="12.6640625" hidden="1" customWidth="1" outlineLevel="2"/>
    <col min="1046" max="1046" width="14.33203125" hidden="1" customWidth="1" outlineLevel="2"/>
    <col min="1047" max="1047" width="10.6640625" hidden="1" customWidth="1" outlineLevel="2"/>
    <col min="1048" max="1048" width="11.5546875" hidden="1" customWidth="1" outlineLevel="2"/>
    <col min="1049" max="1049" width="13.88671875" hidden="1" customWidth="1" outlineLevel="2"/>
    <col min="1050" max="1053" width="12.6640625" hidden="1" customWidth="1" outlineLevel="2"/>
    <col min="1054" max="1054" width="16.33203125" hidden="1" customWidth="1" outlineLevel="1" collapsed="1"/>
    <col min="1055" max="1055" width="12.6640625" hidden="1" customWidth="1" outlineLevel="2"/>
    <col min="1056" max="1056" width="14.33203125" hidden="1" customWidth="1" outlineLevel="2"/>
    <col min="1057" max="1057" width="10.6640625" hidden="1" customWidth="1" outlineLevel="2"/>
    <col min="1058" max="1058" width="11.5546875" hidden="1" customWidth="1" outlineLevel="2"/>
    <col min="1059" max="1059" width="13.88671875" hidden="1" customWidth="1" outlineLevel="2"/>
    <col min="1060" max="1063" width="12.6640625" hidden="1" customWidth="1" outlineLevel="2"/>
    <col min="1064" max="1064" width="22" hidden="1" customWidth="1" outlineLevel="1" collapsed="1"/>
    <col min="1065" max="1065" width="12.6640625" hidden="1" customWidth="1" outlineLevel="2"/>
    <col min="1066" max="1066" width="14.33203125" hidden="1" customWidth="1" outlineLevel="2"/>
    <col min="1067" max="1067" width="10.6640625" hidden="1" customWidth="1" outlineLevel="2"/>
    <col min="1068" max="1068" width="11.5546875" hidden="1" customWidth="1" outlineLevel="2"/>
    <col min="1069" max="1069" width="13.88671875" hidden="1" customWidth="1" outlineLevel="2"/>
    <col min="1070" max="1073" width="12.6640625" hidden="1" customWidth="1" outlineLevel="2"/>
    <col min="1074" max="1074" width="13.88671875" hidden="1" customWidth="1" outlineLevel="1" collapsed="1"/>
    <col min="1075" max="1075" width="12.6640625" hidden="1" customWidth="1" outlineLevel="2"/>
    <col min="1076" max="1076" width="14.33203125" hidden="1" customWidth="1" outlineLevel="2"/>
    <col min="1077" max="1077" width="10.6640625" hidden="1" customWidth="1" outlineLevel="2"/>
    <col min="1078" max="1078" width="11.5546875" hidden="1" customWidth="1" outlineLevel="2"/>
    <col min="1079" max="1079" width="13.88671875" hidden="1" customWidth="1" outlineLevel="2"/>
    <col min="1080" max="1083" width="12.6640625" hidden="1" customWidth="1" outlineLevel="2"/>
    <col min="1084" max="1084" width="9.109375" hidden="1" customWidth="1" outlineLevel="1" collapsed="1"/>
    <col min="1085" max="1085" width="12.6640625" hidden="1" customWidth="1" outlineLevel="2"/>
    <col min="1086" max="1086" width="14.33203125" hidden="1" customWidth="1" outlineLevel="2"/>
    <col min="1087" max="1087" width="10.6640625" hidden="1" customWidth="1" outlineLevel="2"/>
    <col min="1088" max="1088" width="11.5546875" hidden="1" customWidth="1" outlineLevel="2"/>
    <col min="1089" max="1089" width="13.88671875" hidden="1" customWidth="1" outlineLevel="2"/>
    <col min="1090" max="1093" width="12.6640625" hidden="1" customWidth="1" outlineLevel="2"/>
    <col min="1094" max="1094" width="12" hidden="1" customWidth="1" outlineLevel="1" collapsed="1"/>
    <col min="1095" max="1095" width="12.6640625" hidden="1" customWidth="1" outlineLevel="2"/>
    <col min="1096" max="1096" width="14.33203125" hidden="1" customWidth="1" outlineLevel="2"/>
    <col min="1097" max="1097" width="10.6640625" hidden="1" customWidth="1" outlineLevel="2"/>
    <col min="1098" max="1098" width="11.5546875" hidden="1" customWidth="1" outlineLevel="2"/>
    <col min="1099" max="1099" width="13.88671875" hidden="1" customWidth="1" outlineLevel="2"/>
    <col min="1100" max="1103" width="12.6640625" hidden="1" customWidth="1" outlineLevel="2"/>
    <col min="1104" max="1104" width="12" hidden="1" customWidth="1" outlineLevel="1" collapsed="1"/>
    <col min="1105" max="1105" width="110.6640625" customWidth="1" collapsed="1"/>
    <col min="1106" max="1106" width="12.88671875" hidden="1" customWidth="1" outlineLevel="1"/>
    <col min="1107" max="1107" width="12.88671875" style="264" hidden="1" customWidth="1" outlineLevel="1"/>
    <col min="1108" max="1108" width="14" hidden="1" customWidth="1" outlineLevel="1"/>
    <col min="1109" max="1109" width="12" hidden="1" customWidth="1" outlineLevel="1"/>
    <col min="1110" max="1110" width="10.5546875" hidden="1" customWidth="1" outlineLevel="1"/>
    <col min="1111" max="1111" width="17.33203125" hidden="1" customWidth="1" outlineLevel="1"/>
    <col min="1112" max="1113" width="9.109375" hidden="1" customWidth="1" outlineLevel="1"/>
    <col min="1114" max="1114" width="27.5546875" customWidth="1" collapsed="1"/>
  </cols>
  <sheetData>
    <row r="1" spans="1:1114" ht="14.4" customHeight="1" thickTop="1" x14ac:dyDescent="0.3">
      <c r="A1" s="814" t="str">
        <f>CLEAN(A2)</f>
        <v>СЛУЖБА ФИНАНСОВОГО УПОЛНОМОЧЕННОГОРЕШЕНИЕ«_____» _______________20____ г.  дата подписания№ г. Москва ОБ УДОВЛЕТВОРЕНИИ ТРЕБОВАНИЙУполномоченный по правам потребителей финансовых услуг в сферах страхования, микрофинансирования, кредитной кооперации и деятельности кредитных организаций Е.Л. Писаревский (далее – Финансовый уполномоченный) по результатам рассмотрения обращения от 26.11.2020 № У-20-175174 (далее – Обращение) Истомина Владимира Васильевича (паспорт серия 60 03 № 672915; место жительства: 344092, г. Ростов-на-Дону, ул. Верная, д. 17/88; почтовый адрес: 344092, г. Ростов-на-Дону, ул. Верная, д. 17/88) (далее – Заявитель) в отношении АО СК «БАСК» (место нахождения: 652600, Кемеровская область, г. Белово, пер. Цинкзаводской, д. 8 А; почтовый адрес: 652600, Кемеровская область, г. Белово, пер. Цинкзаводской, д. 8 А; дата государственной регистрации: 07.05.1993; идентификационный номер налогоплательщика: 4202000716) (далее – Финансовая организация),УСТАНОВИЛФинансовому уполномоченному на рассмотрение поступило Обращение в отношении Финансовой организации с требованием о взыскании неустойки за несоблюдение срока выплаты страхового возмещения по договору обязательного страхования гражданской ответственности владельцев транспортных средств (далее – ОСАГО) в размере 100 000 рублей 00 копеек.В рамках рассмотрения Обращения в адрес Финансовой организации направлено уведомление о принятии Обращения к рассмотрению от 26.11.2020 № У-20-175174/2040-002, содержащее требование о предоставлении сведений и документов по предмету спора, указанному в Обращении.Финансовой организацией запрошенные сведения и документы предоставлены.Рассмотрев имеющиеся в деле документы, Финансовый уполномоченный установил следующее.05.04.2019 между Заявителем и Финансовой организацией заключен договор ОСАГО серия ККК № 3002162227 со сроком страхования с 05.04.2019 до 04.04.2020 (далее – Договор ОСАГО).В результате дорожно-транспортного происшествия, произошедшего 10.06.2019 (далее – ДТП), вследствие действий Женишбека Бекназара, управлявшего транспортным средством ВАЗ 2106, государственный регистрационный номер А086НТ61, был причинен вред принадлежащему Заявителю транспортному средству Toyota Camry, государственный регистрационный номер Е718ТР161, год выпуска 2016 (далее – Транспортное средство).Гражданская ответственность Женишбека Бекназара застрахована в СПАО «РЕСО-Гарантия» в рамках договора ОСАГО серия ККК № 3001108454.11.06.2019 Заявитель обратился в Финансовую организацию с заявлением о прямом возмещении убытков, предоставив все документы, предусмотренные Правилами обязательного страхования гражданской ответственности владельцев транспортных средств, утвержденными Положением Банка России от 19.09.2014 № 431-П (далее – Правила ОСАГО).Заявление также содержало требования о выплате расходов на проведение независимой технической экспертизы.11.06.2019 Финансовой организацей проведен осмотр принадлежащего Заявителю Транспортного средства с привлечением независимой экспертной организации ООО «Альянс».На основании результатов осмотра от 11.06.2019 независимой экспертной организацией ООО «Сибирская Ассистанская Компания» подготовлено экспертное заключение от 28.06.2019 № 45/06/19, согласно которому стоимость восстановительного ремонта Транспортного средства Повреждения на Транспортном средстве возникли вне заявленных обстоятельств дорожно-транспортного происшествия от 10.06.2019.Финансовая организация направила Заявителю письмо от 08.07.2019 № 757/19, в котором сообщалось, что согласно выводам проведенной экспертизы, все повреждения Транспортного средства Заявителя не могли образоваться при заявленных обстоятельствах ДТП, в связи с чем, правовых оснований для урегулирования данного убытка у Финансовой организации не имеется.02.08.2019 Заявитель обратился в Финансовую организацию с заявлением (претензией) о несогласии с отказом Финансовой организации в выплате страхового возмещения, содержащим требование о выплате страхового возмещения по Договору ОСАГО, неустойки за несоблюдение срока выплаты страхового возмещения по Договору ОСАГО.Финансовая организация в ответ на заявление (претензию) от 02.08.2019 письмом от 05.08.2019 № 902/19 отказала Заявителю в удовлетворении заявленных требований.Не согласившись с отказом в выплате страхового возмещения, Заявитель 02.09.2019 обратился в порядке, установленным Федеральным законом от 04.06.2018 № 123-ФЗ «Об уполномоченном по правам потребителей финансовых услуг» (далее – Закон № 123-ФЗ), с обращением к Финансовому уполномоченному с требованиями о взыскании с Финансовой организации страхового возмещения по Договору ОСАГО в размере 400 000 рублей 00 копеек.Руководствуясь частью 4 статьи 18 Закона № 123-ФЗ, Финансовым уполномоченным Обращение Заявителя от 02.09.2019 принято к рассмотрению, Обращению от 02.09.2019 присвоен № У-19-24659.22.10.2019 Финансовым уполномоченным по Обращению от 02.09.2019 № У-19-24659 вынесено решение об отказе в удовлетворении требований № У-19-24659/5010-010 (далее – Решение от 22.10.2019 № У-19-24659/5010-010). Требования о взыскании неустойки при рассмотрении Обращения от 22.10.2019 № У-19-24659 не заявлялись и не рассматривались.Решение от 22.10.2019 № У-19-24659/5010-010 вступило в силу 07.11.2019.Не согласившись с Решением от 22.10.2019 № У-19-24659/5010-010, Заявитель обратился в суд с исковыми требованиями к Финансовой организации о взыскании страхового возмещения по Договору ОСАГО в размере 400 000 рублей 00 копеек, неустойки за несоблюдение срока выплаты страхового возмещения по Договору ОСАГО за период с 02.07.2019 по 30.12.2019 в размере 400 000 рублей 00 копеек, расходов на проведение независимой технической экспертизы в размере 7 000 рублей 00 копеек и иных расходов.20.02.2020 Ворошиловским районным судом города Ростова-на-Дону по делу № 2-129/2020 вынесено решение об удовлетворении исковых требований Заявителя (далее – Решение Суда), в соответствии с которым с Финансовой организации в пользу Заявителя взыскано страховое возмещение по Договору ОСАГО в размере 400 000 рублей 00 копеек, неустойка за несоблюдение срока выплаты страхового возмещения по Договору ОСАГО за период с 02.07.2019 по 30.12.2019 в размере 300 000 рублей 00 копеек, расходы на проведение независимой технической экспертизы в размере 7 000 рублей 00 копеек и иные расходы.Решением Суда установлено, что Решение Суда вступило в силу 27.03.2020.25.05.2020 Решение Суда было исполнено в полном объеме, что подтверждается инкассовым поручением от 22.05.2020 № 7856.19.10.2020 Заявитель обратился в Финансовую организацию с заявлением (претензией), содержащим требование о выплате неустойки за несоблюдение срока выплаты страхового возмещения по Договору ОСАГО за период с 08.01.2020 по 20.02.2020 в размере 100 000 рублей 00 копеек.В соответствии со статьей 16 Закона № 123-ФЗ Финансовая организация должна рассмотреть заявление (претензию) и направить Заявителю ответ не позднее 18.11.2020.Финансовая организация в ответ на заявление (претензию) от 19.10.2020 письмом от 09.11.2020 № 1560/20 отказала Заявителю в удовлетворении заявленных требований.Рассмотрев требования Заявителя о взыскании с Финансовой организации неустойки за несоблюдение срока выплаты страхового возмещения по Договору ОСАГО, Финансовый уполномоченный приходит к следующему.Согласно статье 12 Гражданского кодекса Российской Федерации (далее – ГК РФ) взыскание неустойки является одним из способов защиты нарушенного гражданского права.По смыслу статьи 330 ГК РФ неустойкой (штрафом, пеней) признается определенная законом или договором денежная сумма, которую должник обязан уплатить кредитору в случае неисполнения или ненадлежащего исполнения обязательства, в частности в случае просрочки исполнения. По требованию об уплате неустойки кредитор не обязан доказывать причинение ему убытков.Положения пункта 21 статьи 12 Федерального закона от 25.04.2002 № 40-ФЗ «Об обязательном страховании гражданской ответственности владельцев транспортных средств» (далее – Закон № 40-ФЗ) предусматривают выплату страховщиком потерпевшему неустойки за нарушение сроков исполнения обязательств.Таким образом, требования о взыскании неустойки по правилам статьи 12 Закона № 40-ФЗ подлежат рассмотрению финансовым уполномоченным, поскольку обязанность страховщика по выплате неустойки в случае нарушения срока исполнения обязательств прямо предусмотрена Законом № 40-ФЗ, не связана с вопросами взыскания обязательных платежей и санкций. Пунктом 21 статьи 12 Федерального закона от 25.04.2002 № 40-ФЗ «Об обязательном страховании гражданской ответственности владельцев транспортных средств» (далее – Закон № 40-ФЗ) установлено, что в течение 20 календарных дней, за исключением нерабочих праздничных дней, а в случае, предусмотренном пунктом 15.3 статьи 12 Закона № 40-ФЗ, 30 календарных дней, за исключением нерабочих праздничных дней, со дня принятия к рассмотрению заявления потерпевшего о страховом возмещении или прямом возмещении убытков и приложенных к нему документов, предусмотренных Правилами ОСАГО, страховщик обязан произвести страховую выплату потерпевшему или после осмотра и (или) независимой технической экспертизы поврежденного транспортного средства выдать потерпевшему направление на ремонт транспортного средства с указанием станции технического обслуживания, на которой будет отремонтировано его транспортное средство и которой страховщик оплатит восстановительный ремонт поврежденного транспортного средства, и срока ремонта либо направить потерпевшему мотивированный отказ в страховом возмещении.При несоблюдении срока осуществления страховой выплаты или срока выдачи потерпевшему направления на ремонт транспортного средства страховщик за каждый день просрочки уплачивает потерпевшему неустойку (пеню) в размере одного процента от определенного в соответствии с Законом № 40-ФЗ размера страхового возмещения по виду причиненного вреда каждому потерпевшему.В пункте 78 постановления Пленума Верховного Суда Российской Федерации от 26.12.2017 № 58 «О применении судами законодательства об обязательном страховании гражданской ответственности владельцев транспортных средств» указано, что неустойка исчисляется со дня, следующего за днем, установленным для принятия решения о выплате страхового возмещения, то есть с 21-го дня после получения страховщиком заявления потерпевшего о страховой выплате и документов, предусмотренных Правилами ОСАГО, и до дня фактического исполнения страховщиком обязательства по договору включительно.Следовательно, неустойка является мерой гражданско-правовой ответственности, которая при наличии условий, необходимых для наступления гражданско-правовой ответственности, подлежит взысканию в случае неисполнения или ненадлежащего исполнения обязательства, то есть при наличии противоправного поведения.В силу части 1 статьи 2 Закона № 123-ФЗ должность финансового уполномоченного учреждена для рассмотрения обращений потребителей финансовых услуг об удовлетворении требований имущественного характера, предъявляемых к финансовым организациям, оказавшим им финансовые услуги.Финансовая организация, являясь участником обязательного взаимодействия с финансовым уполномоченным, в силу пункта 4 части 3 статьи 28 Закона № 123-ФЗ обязана добровольно исполнять решения финансового уполномоченного.В силу статьи 24 Закона № 123-ФЗ исполнение финансовой организацией вступившего в силу решения финансового уполномоченного признается надлежащим исполнением финансовой организацией обязанностей по соответствующему договору с потребителем финансовых услуг об оказании ему или в его пользу финансовой услуги.В случае неисполнения финансовой организацией вступившего в силу решения финансового уполномоченного либо условий соглашения финансовый уполномоченный выдает потребителю финансовых услуг удостоверение, являющееся исполнительным документом, форма которого устанавливается Правительством Российской Федерации (часть 3 статьи 23 Закона № 123-ФЗ).Принимая Решение от 22.10.2019 № У-19-24659/5010-010 об отказе Заявителю во взыскании страхового возмещения, финансовый уполномоченный исходил из отсутствия обязательства по выплате страхового возмещения.Учитывая, что данное решение вынесено официальным должностным лицом в рамках предоставленных ему публичных полномочий, финансовая организация была вправе разумно полагаться на содержащиеся в нем выводы и ссылаться на них в своих взаимоотношениях с потребителем финансовых услуг.При таких обстоятельствах Финансовый уполномоченный приходит к выводу, что в рассматриваемом случае взыскание неустойки в связи с невыплатой Заявителю страхового возмещения, не основано на законе.Вместе с тем, Решением Суда частично удовлетворены требования Заявителя к Финансовой организации.Согласно части 2 статьи 13 Гражданского процессуального кодекса Российской Федерации (далее – ГПК РФ), вступившие в законную силу судебные постановления, а также законные распоряжения, требования, поручения, вызовы и обращения судов являются обязательными для всех без исключения органов государственной власти, органов местного самоуправления, общественных объединений, должностных лиц, граждан, организаций и подлежат неукоснительному исполнению на всей территории Российской Федерации.По смыслу положений части 1 статьи 209, части 2 статьи 321, части 5 статьи 329 ГПК РФ решение суда вступает в законную силу по истечении месячного срока на апелляционное обжалование со дня принятия решения суда в окончательной форме, если оно не было обжаловано; апелляционное определение вступает в законную силу со дня его принятия.В соответствии с частью 1 статьи 108 ГПК РФ срок, исчисляемый месяцами, истекает в соответствующее число последнего месяца срока.Таким образом, обязанность по возмещению взысканного Решением Суда ущерба, причиненного Заявителю, возникла у Финансовой организации с момента вступления Решения Суда в законную силу – 27.03.2020.20.02.2020 Решением Суда с Финансовой организации в пользу Заявителя взыскано страховое возмещение по Договору ОСАГО в размере 400 000 рублей 00 копеек, неустойка за несоблюдение срока выплаты страхового возмещения по Договору ОСАГО за период с 02.07.2019 по 30.12.2019 в размере 300 000 рублей 00 копеек, расходы на проведение независимой технической экспертизы в размере 7 000 рублей 00 копеек и иные расходы.25.05.2020 Решение Суда было исполнено в полном объеме, что подтверждается инкассовым поручением от 22.05.2020 № 7856.Таким образом, с Финансовой организации подлежит взысканию неустойка на сумму страхового возмещения в размере 400 000 рублей 00 копеек, взысканную по Решению Суда, за период с 27.03.2020 по 22.05.2020 (57 дней).В соответствии с требованиями, установленными пунктом 21 статьи 12 Закона № 40-ФЗ, размер неустойки, подлежащий выплате за период с 27.03.2020 по 22.05.2020 (включительно) составляет 228 000 рублей 00 копеек (400 000 рублей 00 копеек × 57 дней × 1%).В силу пункта 6 статьи 16.1 Закона № 40-ФЗ общий размер неустойки (пени), суммы финансовой санкции, которые подлежат выплате потерпевшему – физическому лицу, не может превышать размер страховой суммы по виду причиненного вреда, установленный Законом № 40-ФЗ.Согласно статье 7 Закона № 40-ФЗ страховая сумма, в пределах которой страховщик при наступлении каждого страхового случая (независимо от их числа в течение срока действия договора обязательного страховая) обязуется возместить потерпевшим причиненный вред, составляет: в части возмещения вреда, причиненного имуществу каждого потерпевшего, 400 000 рублей 00 копеек.20.02.2020 Решением Суда с Финансовой организации в пользу Заявителя взыскана в том числе неустойка за несоблюдение срока выплаты страхового возмещения по Договору ОСАГО за период с 02.07.2019 по 30.12.2019 в размере 300 000 рублей 00 копеек.25.05.2020 Решение Суда было исполнено в полном объеме, что подтверждается инкассовым поручением от 22.05.2020 № 7856.Таким образом, общий размер неустойки за несоблюдение срока выплаты страхового возмещения по Договору ОСАГО подлежащий взысканию в пользу Заявителя составляет 100 000 рублей 00 копеек (400 000 рублей 00 копеек – 300 000 рублей 00 копеек).Заявление Финансовой организации об уменьшении неустойки на основании пункта 1 статьи 333 ГК РФ удовлетворению не подлежит, в силу того, что согласно положениям указанной статьи, вопрос о снижении неустойки находится в исключительной компетенции суда.Руководствуясь статьей 22 Закона № 123-ФЗ, Финансовый уполномоченныйРЕШИЛтребования Истомина Владимира Васильевича о взыскании с АО СК «БАСК» неустойки за несоблюдение срока выплаты страхового возмещения по Договору ОСАГО удовлетворить.Взыскать с АО СК «БАСК» в пользу Истомина Владимира Васильевича неустойку за несоблюдение срока выплаты страхового возмещения по Договору ОСАГО в размере 100 000 (сто тысяч) рублей 00 копеек.Решение вступает в силу по истечении десяти рабочих дней после даты его подписания.Решение подлежит исполнению АО СК «БАСК» в течение 10 рабочих дней после дня вступления в силу.В случае несогласия с решением Финансового уполномоченного в соответствии с частью 1 статьи 26 Закона № 123-ФЗ АО СК «БАСК» вправе в течение десяти рабочих дней после дня вступления в силу решения Финансового уполномоченного обратиться в суд в порядке, установленном законодательством Российской Федерации. В случае обращения финансовой организации в суд копия заявления подлежит направлению финансовому уполномоченному, рассматривавшему дело, и потребителю финансовых услуг, в отношении обращения которого принято решение Финансового уполномоченного, в течение одного дня со дня подачи указанного заявления.В соответствии с частью 2 статьи 26 Закона № 123-ФЗ финансовая организация при обращении в суд вправе направить финансовому уполномоченному ходатайство о приостановлении исполнения его решения. При получении ходатайства финансовый уполномоченный выносит решение о приостановлении исполнения решения, которое оспаривается финансовой организацией, до вынесения решения судом.В случае несогласия с вступившим в силу решением Финансового уполномоченного Заявитель в соответствии с частью 3 статьи 25 Закона № 123-ФЗ вправе в течение тридцати дней после дня вступления в силу указанного решения обратиться в суд и заявить требования к финансовой организации по предмету, содержащемуся в обращении, в порядке, установленном законодательством Российской Федерации. Копия обращения в суд подлежит направлению Финансовому уполномоченному.Уполномоченный по правам потребителей финансовых услуг в сферах страхования, микрофинансирования, кредитной кооперации и деятельности кредитных организаций PodpisantЕ.Л. Писаревский</v>
      </c>
      <c r="B1" s="1516" t="s">
        <v>8377</v>
      </c>
      <c r="C1" s="1516"/>
      <c r="D1" s="1516"/>
      <c r="E1" s="1516"/>
      <c r="F1" s="1516"/>
      <c r="G1" s="1516"/>
      <c r="H1" s="1516"/>
      <c r="I1" s="1516"/>
      <c r="J1" s="1517" t="s">
        <v>8380</v>
      </c>
      <c r="K1" s="1518"/>
      <c r="L1" s="1518"/>
      <c r="M1" s="1519"/>
      <c r="N1" s="1520" t="s">
        <v>8376</v>
      </c>
      <c r="O1" s="1522" t="s">
        <v>8296</v>
      </c>
      <c r="P1" s="1523"/>
      <c r="Q1" s="1523"/>
      <c r="R1" s="1523"/>
      <c r="S1" s="1523"/>
      <c r="T1" s="1524"/>
      <c r="U1" s="1515" t="s">
        <v>8298</v>
      </c>
      <c r="V1" s="1515"/>
      <c r="W1" s="1515"/>
      <c r="X1" s="1515"/>
      <c r="Y1" s="1515"/>
      <c r="Z1" s="1515"/>
      <c r="AA1" s="1515"/>
      <c r="AB1" s="1515"/>
      <c r="AC1" s="1515"/>
      <c r="AD1" s="1515"/>
      <c r="AE1" s="1515" t="s">
        <v>8297</v>
      </c>
      <c r="AF1" s="1515"/>
      <c r="AG1" s="1515"/>
      <c r="AH1" s="1515"/>
      <c r="AI1" s="1515"/>
      <c r="AJ1" s="1515"/>
      <c r="AK1" s="1515"/>
      <c r="AL1" s="1483" t="s">
        <v>2</v>
      </c>
      <c r="AM1" s="1481" t="s">
        <v>8376</v>
      </c>
      <c r="AN1" s="1529" t="s">
        <v>8289</v>
      </c>
      <c r="AO1" s="1530"/>
      <c r="AP1" s="1531"/>
      <c r="AQ1" s="1529" t="s">
        <v>8290</v>
      </c>
      <c r="AR1" s="1530"/>
      <c r="AS1" s="1531"/>
      <c r="AT1" s="1493" t="s">
        <v>3</v>
      </c>
      <c r="AU1" s="1532" t="s">
        <v>8376</v>
      </c>
      <c r="AV1" s="1506" t="s">
        <v>8291</v>
      </c>
      <c r="AW1" s="1506"/>
      <c r="AX1" s="1507"/>
      <c r="AY1" s="1505" t="s">
        <v>8292</v>
      </c>
      <c r="AZ1" s="1506"/>
      <c r="BA1" s="1507"/>
      <c r="BB1" s="1527" t="s">
        <v>8382</v>
      </c>
      <c r="BC1" s="1499" t="s">
        <v>8391</v>
      </c>
      <c r="BD1" s="1499"/>
      <c r="BE1" s="1499"/>
      <c r="BF1" s="1499"/>
      <c r="BG1" s="1499" t="s">
        <v>8395</v>
      </c>
      <c r="BH1" s="1499"/>
      <c r="BI1" s="1499"/>
      <c r="BJ1" s="1499"/>
      <c r="BK1" s="1499"/>
      <c r="BL1" s="1499"/>
      <c r="BM1" s="1509" t="s">
        <v>8396</v>
      </c>
      <c r="BN1" s="1512"/>
      <c r="BO1" s="1512"/>
      <c r="BP1" s="1512"/>
      <c r="BQ1" s="1510"/>
      <c r="BR1" s="1509" t="s">
        <v>8397</v>
      </c>
      <c r="BS1" s="1512"/>
      <c r="BT1" s="1512"/>
      <c r="BU1" s="1512"/>
      <c r="BV1" s="1512"/>
      <c r="BW1" s="1512"/>
      <c r="BX1" s="1512"/>
      <c r="BY1" s="1512"/>
      <c r="BZ1" s="1512"/>
      <c r="CA1" s="1512"/>
      <c r="CB1" s="1512"/>
      <c r="CC1" s="1510"/>
      <c r="CD1" s="1478" t="s">
        <v>8399</v>
      </c>
      <c r="CE1" s="1479"/>
      <c r="CF1" s="1479"/>
      <c r="CG1" s="1479"/>
      <c r="CH1" s="1480"/>
      <c r="CI1" s="1478" t="s">
        <v>8402</v>
      </c>
      <c r="CJ1" s="1479"/>
      <c r="CK1" s="1479"/>
      <c r="CL1" s="1479"/>
      <c r="CM1" s="1480"/>
      <c r="CN1" s="1483" t="s">
        <v>8416</v>
      </c>
      <c r="CO1" s="1483"/>
      <c r="CP1" s="1483"/>
      <c r="CQ1" s="1483"/>
      <c r="CR1" s="1483"/>
      <c r="CS1" s="1483"/>
      <c r="CT1" s="1483"/>
      <c r="CU1" s="1483"/>
      <c r="CV1" s="1483" t="s">
        <v>8418</v>
      </c>
      <c r="CW1" s="1483"/>
      <c r="CX1" s="1483"/>
      <c r="CY1" s="1483"/>
      <c r="CZ1" s="1483"/>
      <c r="DA1" s="1483" t="s">
        <v>8419</v>
      </c>
      <c r="DB1" s="1483"/>
      <c r="DC1" s="1483"/>
      <c r="DD1" s="1483"/>
      <c r="DE1" s="1483"/>
      <c r="DF1" s="1483" t="s">
        <v>8421</v>
      </c>
      <c r="DG1" s="1483"/>
      <c r="DH1" s="1483"/>
      <c r="DI1" s="1483"/>
      <c r="DJ1" s="1483"/>
      <c r="DK1" s="1483" t="s">
        <v>8422</v>
      </c>
      <c r="DL1" s="1483"/>
      <c r="DM1" s="1483"/>
      <c r="DN1" s="1483"/>
      <c r="DO1" s="1483"/>
      <c r="DP1" s="1493" t="s">
        <v>8378</v>
      </c>
      <c r="DQ1" s="1495"/>
      <c r="DR1" s="1481" t="s">
        <v>8376</v>
      </c>
      <c r="DS1" s="1466" t="s">
        <v>1</v>
      </c>
      <c r="DT1" s="1467"/>
      <c r="DU1" s="1467"/>
      <c r="DV1" s="1467"/>
      <c r="DW1" s="1467"/>
      <c r="DX1" s="1467"/>
      <c r="DY1" s="1467"/>
      <c r="DZ1" s="1467"/>
      <c r="EA1" s="1467"/>
      <c r="EB1" s="1467"/>
      <c r="EC1" s="1468"/>
      <c r="ED1" s="1481" t="s">
        <v>1</v>
      </c>
      <c r="EE1" s="1483" t="s">
        <v>8442</v>
      </c>
      <c r="EF1" s="1483"/>
      <c r="EG1" s="1483"/>
      <c r="EH1" s="1483"/>
      <c r="EI1" s="1483" t="s">
        <v>8445</v>
      </c>
      <c r="EJ1" s="1483"/>
      <c r="EK1" s="1483"/>
      <c r="EL1" s="1483"/>
      <c r="EM1" s="1483"/>
      <c r="EN1" s="1483"/>
      <c r="EO1" s="1483" t="s">
        <v>5568</v>
      </c>
      <c r="EP1" s="1483"/>
      <c r="EQ1" s="1483"/>
      <c r="ER1" s="1483"/>
      <c r="ES1" s="1483"/>
      <c r="ET1" s="1483"/>
      <c r="EU1" s="1481" t="s">
        <v>7730</v>
      </c>
      <c r="EV1" s="1483" t="s">
        <v>8452</v>
      </c>
      <c r="EW1" s="1483"/>
      <c r="EX1" s="1483"/>
      <c r="EY1" s="1483"/>
      <c r="EZ1" s="1483"/>
      <c r="FA1" s="1483"/>
      <c r="FB1" s="1483"/>
      <c r="FC1" s="1483"/>
      <c r="FD1" s="1483" t="s">
        <v>8453</v>
      </c>
      <c r="FE1" s="1483"/>
      <c r="FF1" s="1483"/>
      <c r="FG1" s="1483"/>
      <c r="FH1" s="1483" t="s">
        <v>8455</v>
      </c>
      <c r="FI1" s="1483"/>
      <c r="FJ1" s="1483"/>
      <c r="FK1" s="1483"/>
      <c r="FL1" s="1483"/>
      <c r="FM1" s="1483"/>
      <c r="FN1" s="1483"/>
      <c r="FO1" s="1483"/>
      <c r="FP1" s="1483"/>
      <c r="FQ1" s="1483"/>
      <c r="FR1" s="1483"/>
      <c r="FS1" s="1483"/>
      <c r="FT1" s="1483"/>
      <c r="FU1" s="1483" t="s">
        <v>8504</v>
      </c>
      <c r="FV1" s="1483"/>
      <c r="FW1" s="1483"/>
      <c r="FX1" s="1483"/>
      <c r="FY1" s="1483"/>
      <c r="FZ1" s="1478" t="s">
        <v>8508</v>
      </c>
      <c r="GA1" s="1479"/>
      <c r="GB1" s="1479"/>
      <c r="GC1" s="1479"/>
      <c r="GD1" s="1479"/>
      <c r="GE1" s="1479"/>
      <c r="GF1" s="1479"/>
      <c r="GG1" s="1479"/>
      <c r="GH1" s="1480"/>
      <c r="GI1" s="1483" t="s">
        <v>8507</v>
      </c>
      <c r="GJ1" s="1483"/>
      <c r="GK1" s="1483"/>
      <c r="GL1" s="1483"/>
      <c r="GM1" s="1483"/>
      <c r="GN1" s="1483"/>
      <c r="GO1" s="1483"/>
      <c r="GP1" s="1483"/>
      <c r="GQ1" s="1483" t="s">
        <v>8522</v>
      </c>
      <c r="GR1" s="1483"/>
      <c r="GS1" s="1483"/>
      <c r="GT1" s="1483"/>
      <c r="GU1" s="1483"/>
      <c r="GV1" s="1483"/>
      <c r="GW1" s="1483"/>
      <c r="GX1" s="1483"/>
      <c r="GY1" s="1483" t="s">
        <v>8458</v>
      </c>
      <c r="GZ1" s="1483"/>
      <c r="HA1" s="1483"/>
      <c r="HB1" s="1483"/>
      <c r="HC1" s="1483"/>
      <c r="HD1" s="1483"/>
      <c r="HE1" s="1483"/>
      <c r="HF1" s="1483"/>
      <c r="HG1" s="1483" t="s">
        <v>8481</v>
      </c>
      <c r="HH1" s="1483"/>
      <c r="HI1" s="1483"/>
      <c r="HJ1" s="1483"/>
      <c r="HK1" s="1493" t="s">
        <v>2188</v>
      </c>
      <c r="HL1" s="1495"/>
      <c r="HM1" s="1483" t="s">
        <v>8460</v>
      </c>
      <c r="HN1" s="1483"/>
      <c r="HO1" s="1483"/>
      <c r="HP1" s="1483"/>
      <c r="HQ1" s="1483"/>
      <c r="HR1" s="1483"/>
      <c r="HS1" s="1483"/>
      <c r="HT1" s="1483"/>
      <c r="HU1" s="1483" t="s">
        <v>8663</v>
      </c>
      <c r="HV1" s="1483"/>
      <c r="HW1" s="1483"/>
      <c r="HX1" s="1483"/>
      <c r="HY1" s="1483"/>
      <c r="HZ1" s="1483" t="s">
        <v>8459</v>
      </c>
      <c r="IA1" s="1483"/>
      <c r="IB1" s="1483"/>
      <c r="IC1" s="1483"/>
      <c r="ID1" s="1483"/>
      <c r="IE1" s="1483" t="s">
        <v>8459</v>
      </c>
      <c r="IF1" s="1483"/>
      <c r="IG1" s="1483"/>
      <c r="IH1" s="1483"/>
      <c r="II1" s="1483"/>
      <c r="IJ1" s="1483"/>
      <c r="IK1" s="1483"/>
      <c r="IL1" s="1483"/>
      <c r="IM1" s="1483"/>
      <c r="IN1" s="1483"/>
      <c r="IO1" s="1483" t="s">
        <v>8462</v>
      </c>
      <c r="IP1" s="1483"/>
      <c r="IQ1" s="1483"/>
      <c r="IR1" s="1483"/>
      <c r="IS1" s="1483"/>
      <c r="IT1" s="1483"/>
      <c r="IU1" s="1483"/>
      <c r="IV1" s="1483"/>
      <c r="IW1" s="1483" t="s">
        <v>8463</v>
      </c>
      <c r="IX1" s="1483"/>
      <c r="IY1" s="1483"/>
      <c r="IZ1" s="1483"/>
      <c r="JA1" s="1483"/>
      <c r="JB1" s="1483"/>
      <c r="JC1" s="1483" t="s">
        <v>8465</v>
      </c>
      <c r="JD1" s="1483"/>
      <c r="JE1" s="1483"/>
      <c r="JF1" s="1483"/>
      <c r="JG1" s="1483"/>
      <c r="JH1" s="1483"/>
      <c r="JI1" s="1483" t="s">
        <v>8466</v>
      </c>
      <c r="JJ1" s="1483"/>
      <c r="JK1" s="1483"/>
      <c r="JL1" s="1483"/>
      <c r="JM1" s="1483"/>
      <c r="JN1" s="1483"/>
      <c r="JO1" s="1481" t="s">
        <v>8618</v>
      </c>
      <c r="JP1" s="1483" t="s">
        <v>8469</v>
      </c>
      <c r="JQ1" s="1483"/>
      <c r="JR1" s="1483"/>
      <c r="JS1" s="1483"/>
      <c r="JT1" s="1483"/>
      <c r="JU1" s="1483"/>
      <c r="JV1" s="1483"/>
      <c r="JW1" s="1483"/>
      <c r="JX1" s="1483"/>
      <c r="JY1" s="1483"/>
      <c r="JZ1" s="1483" t="s">
        <v>8662</v>
      </c>
      <c r="KA1" s="1483"/>
      <c r="KB1" s="1483"/>
      <c r="KC1" s="1483" t="s">
        <v>8471</v>
      </c>
      <c r="KD1" s="1483"/>
      <c r="KE1" s="1483"/>
      <c r="KF1" s="1483"/>
      <c r="KG1" s="1483"/>
      <c r="KH1" s="1483" t="s">
        <v>8471</v>
      </c>
      <c r="KI1" s="1483"/>
      <c r="KJ1" s="1483"/>
      <c r="KK1" s="1483"/>
      <c r="KL1" s="1483"/>
      <c r="KM1" s="1483"/>
      <c r="KN1" s="1483"/>
      <c r="KO1" s="1483"/>
      <c r="KP1" s="1483"/>
      <c r="KQ1" s="1483"/>
      <c r="KR1" s="1483" t="s">
        <v>8473</v>
      </c>
      <c r="KS1" s="1483"/>
      <c r="KT1" s="1483"/>
      <c r="KU1" s="1483" t="s">
        <v>8475</v>
      </c>
      <c r="KV1" s="1483"/>
      <c r="KW1" s="1483"/>
      <c r="KX1" s="1483"/>
      <c r="KY1" s="1483"/>
      <c r="KZ1" s="1483"/>
      <c r="LA1" s="1483"/>
      <c r="LB1" s="1483"/>
      <c r="LC1" s="1483" t="s">
        <v>8476</v>
      </c>
      <c r="LD1" s="1483"/>
      <c r="LE1" s="1483"/>
      <c r="LF1" s="1483"/>
      <c r="LG1" s="1483"/>
      <c r="LH1" s="1483"/>
      <c r="LI1" s="1483"/>
      <c r="LJ1" s="1483"/>
      <c r="LK1" s="1483"/>
      <c r="LL1" s="1483" t="s">
        <v>8477</v>
      </c>
      <c r="LM1" s="1483"/>
      <c r="LN1" s="1483"/>
      <c r="LO1" s="1483"/>
      <c r="LP1" s="1483"/>
      <c r="LQ1" s="1483"/>
      <c r="LR1" s="1483" t="s">
        <v>8478</v>
      </c>
      <c r="LS1" s="1483"/>
      <c r="LT1" s="1483"/>
      <c r="LU1" s="1483"/>
      <c r="LV1" s="1483"/>
      <c r="LW1" s="1483"/>
      <c r="LX1" s="1481" t="s">
        <v>8619</v>
      </c>
      <c r="LY1" s="1483" t="s">
        <v>8490</v>
      </c>
      <c r="LZ1" s="1483"/>
      <c r="MA1" s="1483"/>
      <c r="MB1" s="1483"/>
      <c r="MC1" s="1483"/>
      <c r="MD1" s="1483"/>
      <c r="ME1" s="1483"/>
      <c r="MF1" s="1483"/>
      <c r="MG1" s="1483"/>
      <c r="MH1" s="1483"/>
      <c r="MI1" s="1479" t="s">
        <v>10076</v>
      </c>
      <c r="MJ1" s="1479"/>
      <c r="MK1" s="1480"/>
      <c r="ML1" s="1483" t="s">
        <v>8491</v>
      </c>
      <c r="MM1" s="1483"/>
      <c r="MN1" s="1483"/>
      <c r="MO1" s="1483"/>
      <c r="MP1" s="1483" t="s">
        <v>8493</v>
      </c>
      <c r="MQ1" s="1483"/>
      <c r="MR1" s="1483"/>
      <c r="MS1" s="1483"/>
      <c r="MT1" s="1483" t="s">
        <v>8892</v>
      </c>
      <c r="MU1" s="1483"/>
      <c r="MV1" s="1483"/>
      <c r="MW1" s="1481" t="s">
        <v>8620</v>
      </c>
      <c r="MX1" s="1478" t="s">
        <v>8706</v>
      </c>
      <c r="MY1" s="1479"/>
      <c r="MZ1" s="1479"/>
      <c r="NA1" s="1479"/>
      <c r="NB1" s="1479"/>
      <c r="NC1" s="1479"/>
      <c r="ND1" s="1479"/>
      <c r="NE1" s="1479"/>
      <c r="NF1" s="1479"/>
      <c r="NG1" s="1480"/>
      <c r="NH1" s="1466" t="s">
        <v>8710</v>
      </c>
      <c r="NI1" s="1467"/>
      <c r="NJ1" s="1467"/>
      <c r="NK1" s="1467"/>
      <c r="NL1" s="1467"/>
      <c r="NM1" s="1467"/>
      <c r="NN1" s="1467"/>
      <c r="NO1" s="1467"/>
      <c r="NP1" s="1467"/>
      <c r="NQ1" s="1467"/>
      <c r="NR1" s="1467"/>
      <c r="NS1" s="1468"/>
      <c r="NT1" s="1481" t="s">
        <v>8709</v>
      </c>
      <c r="NU1" s="1478" t="s">
        <v>8727</v>
      </c>
      <c r="NV1" s="1479"/>
      <c r="NW1" s="1479"/>
      <c r="NX1" s="1479"/>
      <c r="NY1" s="1479"/>
      <c r="NZ1" s="1479"/>
      <c r="OA1" s="1479"/>
      <c r="OB1" s="1480"/>
      <c r="OC1" s="1478" t="s">
        <v>8705</v>
      </c>
      <c r="OD1" s="1479"/>
      <c r="OE1" s="1479"/>
      <c r="OF1" s="1479"/>
      <c r="OG1" s="1479"/>
      <c r="OH1" s="1479"/>
      <c r="OI1" s="1479"/>
      <c r="OJ1" s="1479"/>
      <c r="OK1" s="1479"/>
      <c r="OL1" s="1480"/>
      <c r="OM1" s="1478" t="s">
        <v>8494</v>
      </c>
      <c r="ON1" s="1480"/>
      <c r="OO1" s="1481" t="s">
        <v>8621</v>
      </c>
      <c r="OP1" s="1478" t="s">
        <v>8575</v>
      </c>
      <c r="OQ1" s="1479"/>
      <c r="OR1" s="1479"/>
      <c r="OS1" s="1479"/>
      <c r="OT1" s="1479"/>
      <c r="OU1" s="1479"/>
      <c r="OV1" s="1479"/>
      <c r="OW1" s="1479"/>
      <c r="OX1" s="1480"/>
      <c r="OY1" s="1466" t="s">
        <v>8578</v>
      </c>
      <c r="OZ1" s="1467"/>
      <c r="PA1" s="1467"/>
      <c r="PB1" s="1467"/>
      <c r="PC1" s="1467"/>
      <c r="PD1" s="1468"/>
      <c r="PE1" s="1466" t="s">
        <v>8580</v>
      </c>
      <c r="PF1" s="1467"/>
      <c r="PG1" s="1467"/>
      <c r="PH1" s="1467"/>
      <c r="PI1" s="1467"/>
      <c r="PJ1" s="1468"/>
      <c r="PK1" s="1466" t="s">
        <v>8583</v>
      </c>
      <c r="PL1" s="1467"/>
      <c r="PM1" s="1467"/>
      <c r="PN1" s="1467"/>
      <c r="PO1" s="1467"/>
      <c r="PP1" s="1468"/>
      <c r="PQ1" s="1466" t="s">
        <v>8587</v>
      </c>
      <c r="PR1" s="1467"/>
      <c r="PS1" s="1467"/>
      <c r="PT1" s="1467"/>
      <c r="PU1" s="1467"/>
      <c r="PV1" s="1467"/>
      <c r="PW1" s="1467"/>
      <c r="PX1" s="1467"/>
      <c r="PY1" s="1468"/>
      <c r="PZ1" s="1466" t="s">
        <v>8591</v>
      </c>
      <c r="QA1" s="1467"/>
      <c r="QB1" s="1467"/>
      <c r="QC1" s="1467"/>
      <c r="QD1" s="1467"/>
      <c r="QE1" s="1467"/>
      <c r="QF1" s="1467"/>
      <c r="QG1" s="1467"/>
      <c r="QH1" s="1468"/>
      <c r="QI1" s="1466" t="s">
        <v>8592</v>
      </c>
      <c r="QJ1" s="1467"/>
      <c r="QK1" s="1467"/>
      <c r="QL1" s="1467"/>
      <c r="QM1" s="1467"/>
      <c r="QN1" s="1467"/>
      <c r="QO1" s="1467"/>
      <c r="QP1" s="1467"/>
      <c r="QQ1" s="1468"/>
      <c r="QR1" s="1466" t="s">
        <v>8595</v>
      </c>
      <c r="QS1" s="1467"/>
      <c r="QT1" s="1467"/>
      <c r="QU1" s="1467"/>
      <c r="QV1" s="1467"/>
      <c r="QW1" s="1467"/>
      <c r="QX1" s="1467"/>
      <c r="QY1" s="1467"/>
      <c r="QZ1" s="1468"/>
      <c r="RA1" s="1484" t="s">
        <v>8593</v>
      </c>
      <c r="RB1" s="1496"/>
      <c r="RC1" s="1478" t="s">
        <v>8897</v>
      </c>
      <c r="RD1" s="1479"/>
      <c r="RE1" s="1479"/>
      <c r="RF1" s="1479"/>
      <c r="RG1" s="1479"/>
      <c r="RH1" s="1479"/>
      <c r="RI1" s="1479"/>
      <c r="RJ1" s="1479"/>
      <c r="RK1" s="1480"/>
      <c r="RL1" s="1478" t="s">
        <v>8899</v>
      </c>
      <c r="RM1" s="1479"/>
      <c r="RN1" s="1479"/>
      <c r="RO1" s="1480"/>
      <c r="RP1" s="1466" t="s">
        <v>8898</v>
      </c>
      <c r="RQ1" s="1467"/>
      <c r="RR1" s="1467"/>
      <c r="RS1" s="1467"/>
      <c r="RT1" s="1467"/>
      <c r="RU1" s="1468"/>
      <c r="RV1" s="1466" t="s">
        <v>8900</v>
      </c>
      <c r="RW1" s="1467"/>
      <c r="RX1" s="1467"/>
      <c r="RY1" s="1467"/>
      <c r="RZ1" s="1467"/>
      <c r="SA1" s="1468"/>
      <c r="SB1" s="1466" t="s">
        <v>8900</v>
      </c>
      <c r="SC1" s="1467"/>
      <c r="SD1" s="1467"/>
      <c r="SE1" s="1467"/>
      <c r="SF1" s="1467"/>
      <c r="SG1" s="1467"/>
      <c r="SH1" s="1544" t="s">
        <v>8904</v>
      </c>
      <c r="SI1" s="1479" t="s">
        <v>8523</v>
      </c>
      <c r="SJ1" s="1479"/>
      <c r="SK1" s="1479"/>
      <c r="SL1" s="1479"/>
      <c r="SM1" s="1479"/>
      <c r="SN1" s="1479"/>
      <c r="SO1" s="1479"/>
      <c r="SP1" s="1479"/>
      <c r="SQ1" s="1480"/>
      <c r="SR1" s="1478" t="s">
        <v>8553</v>
      </c>
      <c r="SS1" s="1479"/>
      <c r="ST1" s="1479"/>
      <c r="SU1" s="1480"/>
      <c r="SV1" s="1466" t="s">
        <v>8524</v>
      </c>
      <c r="SW1" s="1467"/>
      <c r="SX1" s="1467"/>
      <c r="SY1" s="1467"/>
      <c r="SZ1" s="1467"/>
      <c r="TA1" s="1467"/>
      <c r="TB1" s="1467"/>
      <c r="TC1" s="1467"/>
      <c r="TD1" s="1467"/>
      <c r="TE1" s="1467"/>
      <c r="TF1" s="1467"/>
      <c r="TG1" s="1468"/>
      <c r="TH1" s="1466" t="s">
        <v>8881</v>
      </c>
      <c r="TI1" s="1467"/>
      <c r="TJ1" s="1467"/>
      <c r="TK1" s="1467"/>
      <c r="TL1" s="1467"/>
      <c r="TM1" s="1467"/>
      <c r="TN1" s="1467"/>
      <c r="TO1" s="1467"/>
      <c r="TP1" s="1467"/>
      <c r="TQ1" s="1467"/>
      <c r="TR1" s="1467"/>
      <c r="TS1" s="1468"/>
      <c r="TT1" s="1466" t="s">
        <v>8527</v>
      </c>
      <c r="TU1" s="1467"/>
      <c r="TV1" s="1467"/>
      <c r="TW1" s="1467"/>
      <c r="TX1" s="1467"/>
      <c r="TY1" s="1467"/>
      <c r="TZ1" s="1467"/>
      <c r="UA1" s="1467"/>
      <c r="UB1" s="1467"/>
      <c r="UC1" s="1467"/>
      <c r="UD1" s="1467"/>
      <c r="UE1" s="1468"/>
      <c r="UF1" s="1466" t="s">
        <v>8884</v>
      </c>
      <c r="UG1" s="1467"/>
      <c r="UH1" s="1467"/>
      <c r="UI1" s="1467"/>
      <c r="UJ1" s="1467"/>
      <c r="UK1" s="1467"/>
      <c r="UL1" s="1467"/>
      <c r="UM1" s="1467"/>
      <c r="UN1" s="1467"/>
      <c r="UO1" s="1467"/>
      <c r="UP1" s="1467"/>
      <c r="UQ1" s="1468"/>
      <c r="UR1" s="1466" t="s">
        <v>8528</v>
      </c>
      <c r="US1" s="1467"/>
      <c r="UT1" s="1467"/>
      <c r="UU1" s="1467"/>
      <c r="UV1" s="1467"/>
      <c r="UW1" s="1467"/>
      <c r="UX1" s="1467"/>
      <c r="UY1" s="1467"/>
      <c r="UZ1" s="1467"/>
      <c r="VA1" s="1467"/>
      <c r="VB1" s="1467"/>
      <c r="VC1" s="1468"/>
      <c r="VD1" s="1466" t="s">
        <v>8885</v>
      </c>
      <c r="VE1" s="1467"/>
      <c r="VF1" s="1467"/>
      <c r="VG1" s="1467"/>
      <c r="VH1" s="1467"/>
      <c r="VI1" s="1467"/>
      <c r="VJ1" s="1467"/>
      <c r="VK1" s="1467"/>
      <c r="VL1" s="1467"/>
      <c r="VM1" s="1467"/>
      <c r="VN1" s="1467"/>
      <c r="VO1" s="1468"/>
      <c r="VP1" s="1466" t="s">
        <v>8551</v>
      </c>
      <c r="VQ1" s="1467"/>
      <c r="VR1" s="1467"/>
      <c r="VS1" s="1467"/>
      <c r="VT1" s="1467"/>
      <c r="VU1" s="1467"/>
      <c r="VV1" s="1467"/>
      <c r="VW1" s="1467"/>
      <c r="VX1" s="1467"/>
      <c r="VY1" s="1467"/>
      <c r="VZ1" s="1467"/>
      <c r="WA1" s="1468"/>
      <c r="WB1" s="1466" t="s">
        <v>8886</v>
      </c>
      <c r="WC1" s="1467"/>
      <c r="WD1" s="1467"/>
      <c r="WE1" s="1467"/>
      <c r="WF1" s="1467"/>
      <c r="WG1" s="1467"/>
      <c r="WH1" s="1467"/>
      <c r="WI1" s="1467"/>
      <c r="WJ1" s="1467"/>
      <c r="WK1" s="1467"/>
      <c r="WL1" s="1467"/>
      <c r="WM1" s="1468"/>
      <c r="WN1" s="1466" t="s">
        <v>8552</v>
      </c>
      <c r="WO1" s="1467"/>
      <c r="WP1" s="1467"/>
      <c r="WQ1" s="1467"/>
      <c r="WR1" s="1467"/>
      <c r="WS1" s="1467"/>
      <c r="WT1" s="1467"/>
      <c r="WU1" s="1467"/>
      <c r="WV1" s="1467"/>
      <c r="WW1" s="1467"/>
      <c r="WX1" s="1467"/>
      <c r="WY1" s="1468"/>
      <c r="WZ1" s="1466" t="s">
        <v>8887</v>
      </c>
      <c r="XA1" s="1467"/>
      <c r="XB1" s="1467"/>
      <c r="XC1" s="1467"/>
      <c r="XD1" s="1467"/>
      <c r="XE1" s="1467"/>
      <c r="XF1" s="1467"/>
      <c r="XG1" s="1467"/>
      <c r="XH1" s="1467"/>
      <c r="XI1" s="1467"/>
      <c r="XJ1" s="1467"/>
      <c r="XK1" s="1468"/>
      <c r="XL1" s="1493" t="s">
        <v>8572</v>
      </c>
      <c r="XM1" s="1478" t="s">
        <v>8495</v>
      </c>
      <c r="XN1" s="1479"/>
      <c r="XO1" s="1479"/>
      <c r="XP1" s="1479"/>
      <c r="XQ1" s="1479"/>
      <c r="XR1" s="1479"/>
      <c r="XS1" s="1479"/>
      <c r="XT1" s="1479"/>
      <c r="XU1" s="1480"/>
      <c r="XV1" s="1478" t="s">
        <v>8496</v>
      </c>
      <c r="XW1" s="1479"/>
      <c r="XX1" s="1479"/>
      <c r="XY1" s="1480"/>
      <c r="XZ1" s="1478" t="s">
        <v>8516</v>
      </c>
      <c r="YA1" s="1479"/>
      <c r="YB1" s="1479"/>
      <c r="YC1" s="1480"/>
      <c r="YD1" s="1466" t="s">
        <v>8497</v>
      </c>
      <c r="YE1" s="1467"/>
      <c r="YF1" s="1467"/>
      <c r="YG1" s="1467"/>
      <c r="YH1" s="1467"/>
      <c r="YI1" s="1467"/>
      <c r="YJ1" s="1467"/>
      <c r="YK1" s="1467"/>
      <c r="YL1" s="1467"/>
      <c r="YM1" s="1467"/>
      <c r="YN1" s="1467"/>
      <c r="YO1" s="1468"/>
      <c r="YP1" s="1466" t="s">
        <v>8499</v>
      </c>
      <c r="YQ1" s="1467"/>
      <c r="YR1" s="1467"/>
      <c r="YS1" s="1467"/>
      <c r="YT1" s="1467"/>
      <c r="YU1" s="1467"/>
      <c r="YV1" s="1467"/>
      <c r="YW1" s="1467"/>
      <c r="YX1" s="1467"/>
      <c r="YY1" s="1467"/>
      <c r="YZ1" s="1467"/>
      <c r="ZA1" s="1468"/>
      <c r="ZB1" s="1466" t="s">
        <v>8503</v>
      </c>
      <c r="ZC1" s="1467"/>
      <c r="ZD1" s="1467"/>
      <c r="ZE1" s="1467"/>
      <c r="ZF1" s="1467"/>
      <c r="ZG1" s="1467"/>
      <c r="ZH1" s="1467"/>
      <c r="ZI1" s="1467"/>
      <c r="ZJ1" s="1467"/>
      <c r="ZK1" s="1467"/>
      <c r="ZL1" s="1467"/>
      <c r="ZM1" s="1468"/>
      <c r="ZN1" s="1466" t="s">
        <v>8529</v>
      </c>
      <c r="ZO1" s="1467"/>
      <c r="ZP1" s="1467"/>
      <c r="ZQ1" s="1467"/>
      <c r="ZR1" s="1467"/>
      <c r="ZS1" s="1467"/>
      <c r="ZT1" s="1467"/>
      <c r="ZU1" s="1467"/>
      <c r="ZV1" s="1467"/>
      <c r="ZW1" s="1467"/>
      <c r="ZX1" s="1467"/>
      <c r="ZY1" s="1468"/>
      <c r="ZZ1" s="1466" t="s">
        <v>8530</v>
      </c>
      <c r="AAA1" s="1467"/>
      <c r="AAB1" s="1467"/>
      <c r="AAC1" s="1467"/>
      <c r="AAD1" s="1467"/>
      <c r="AAE1" s="1467"/>
      <c r="AAF1" s="1467"/>
      <c r="AAG1" s="1467"/>
      <c r="AAH1" s="1467"/>
      <c r="AAI1" s="1467"/>
      <c r="AAJ1" s="1467"/>
      <c r="AAK1" s="1468"/>
      <c r="AAL1" s="1481" t="s">
        <v>8537</v>
      </c>
      <c r="AAM1" s="1493" t="s">
        <v>8643</v>
      </c>
      <c r="AAN1" s="1494"/>
      <c r="AAO1" s="1494"/>
      <c r="AAP1" s="1494"/>
      <c r="AAQ1" s="1494"/>
      <c r="AAR1" s="1494"/>
      <c r="AAS1" s="1494"/>
      <c r="AAT1" s="1494"/>
      <c r="AAU1" s="1495"/>
      <c r="AAV1" s="1466" t="s">
        <v>8645</v>
      </c>
      <c r="AAW1" s="1467"/>
      <c r="AAX1" s="1467"/>
      <c r="AAY1" s="1467"/>
      <c r="AAZ1" s="1467"/>
      <c r="ABA1" s="1468"/>
      <c r="ABB1" s="1484" t="s">
        <v>8646</v>
      </c>
      <c r="ABC1" s="1478" t="s">
        <v>8596</v>
      </c>
      <c r="ABD1" s="1479"/>
      <c r="ABE1" s="1479"/>
      <c r="ABF1" s="1479"/>
      <c r="ABG1" s="1479"/>
      <c r="ABH1" s="1479"/>
      <c r="ABI1" s="1479"/>
      <c r="ABJ1" s="1479"/>
      <c r="ABK1" s="1480"/>
      <c r="ABL1" s="1466" t="s">
        <v>8598</v>
      </c>
      <c r="ABM1" s="1467"/>
      <c r="ABN1" s="1467"/>
      <c r="ABO1" s="1467"/>
      <c r="ABP1" s="1467"/>
      <c r="ABQ1" s="1468"/>
      <c r="ABR1" s="1466" t="s">
        <v>8600</v>
      </c>
      <c r="ABS1" s="1467"/>
      <c r="ABT1" s="1467"/>
      <c r="ABU1" s="1467"/>
      <c r="ABV1" s="1467"/>
      <c r="ABW1" s="1468"/>
      <c r="ABX1" s="1466" t="s">
        <v>8601</v>
      </c>
      <c r="ABY1" s="1467"/>
      <c r="ABZ1" s="1467"/>
      <c r="ACA1" s="1467"/>
      <c r="ACB1" s="1467"/>
      <c r="ACC1" s="1468"/>
      <c r="ACD1" s="1466" t="s">
        <v>8603</v>
      </c>
      <c r="ACE1" s="1467"/>
      <c r="ACF1" s="1467"/>
      <c r="ACG1" s="1467"/>
      <c r="ACH1" s="1467"/>
      <c r="ACI1" s="1467"/>
      <c r="ACJ1" s="1467"/>
      <c r="ACK1" s="1467"/>
      <c r="ACL1" s="1467"/>
      <c r="ACM1" s="1468"/>
      <c r="ACN1" s="1466" t="s">
        <v>8604</v>
      </c>
      <c r="ACO1" s="1467"/>
      <c r="ACP1" s="1467"/>
      <c r="ACQ1" s="1467"/>
      <c r="ACR1" s="1467"/>
      <c r="ACS1" s="1467"/>
      <c r="ACT1" s="1467"/>
      <c r="ACU1" s="1467"/>
      <c r="ACV1" s="1467"/>
      <c r="ACW1" s="1468"/>
      <c r="ACX1" s="1466" t="s">
        <v>8606</v>
      </c>
      <c r="ACY1" s="1467"/>
      <c r="ACZ1" s="1467"/>
      <c r="ADA1" s="1467"/>
      <c r="ADB1" s="1467"/>
      <c r="ADC1" s="1467"/>
      <c r="ADD1" s="1467"/>
      <c r="ADE1" s="1467"/>
      <c r="ADF1" s="1467"/>
      <c r="ADG1" s="1468"/>
      <c r="ADH1" s="1466" t="s">
        <v>8607</v>
      </c>
      <c r="ADI1" s="1467"/>
      <c r="ADJ1" s="1467"/>
      <c r="ADK1" s="1467"/>
      <c r="ADL1" s="1467"/>
      <c r="ADM1" s="1467"/>
      <c r="ADN1" s="1467"/>
      <c r="ADO1" s="1467"/>
      <c r="ADP1" s="1467"/>
      <c r="ADQ1" s="1468"/>
      <c r="ADR1" s="1484" t="s">
        <v>8608</v>
      </c>
      <c r="ADS1" s="1478" t="s">
        <v>8624</v>
      </c>
      <c r="ADT1" s="1479"/>
      <c r="ADU1" s="1479"/>
      <c r="ADV1" s="1479"/>
      <c r="ADW1" s="1479"/>
      <c r="ADX1" s="1479"/>
      <c r="ADY1" s="1479"/>
      <c r="ADZ1" s="1479"/>
      <c r="AEA1" s="1480"/>
      <c r="AEB1" s="1478" t="s">
        <v>8639</v>
      </c>
      <c r="AEC1" s="1479"/>
      <c r="AED1" s="1479"/>
      <c r="AEE1" s="1479"/>
      <c r="AEF1" s="1479"/>
      <c r="AEG1" s="1479"/>
      <c r="AEH1" s="1479"/>
      <c r="AEI1" s="1480"/>
      <c r="AEJ1" s="1478" t="s">
        <v>8627</v>
      </c>
      <c r="AEK1" s="1480"/>
      <c r="AEL1" s="944" t="s">
        <v>8641</v>
      </c>
      <c r="AEM1" s="1466" t="s">
        <v>8625</v>
      </c>
      <c r="AEN1" s="1467"/>
      <c r="AEO1" s="1467"/>
      <c r="AEP1" s="1467"/>
      <c r="AEQ1" s="1467"/>
      <c r="AER1" s="1468"/>
      <c r="AES1" s="1466" t="s">
        <v>8628</v>
      </c>
      <c r="AET1" s="1467"/>
      <c r="AEU1" s="1467"/>
      <c r="AEV1" s="1467"/>
      <c r="AEW1" s="1467"/>
      <c r="AEX1" s="1468"/>
      <c r="AEY1" s="1466" t="s">
        <v>8628</v>
      </c>
      <c r="AEZ1" s="1467"/>
      <c r="AFA1" s="1468"/>
      <c r="AFB1" s="1466" t="s">
        <v>713</v>
      </c>
      <c r="AFC1" s="1467"/>
      <c r="AFD1" s="1467"/>
      <c r="AFE1" s="1467"/>
      <c r="AFF1" s="1467"/>
      <c r="AFG1" s="1467"/>
      <c r="AFH1" s="1467"/>
      <c r="AFI1" s="1467"/>
      <c r="AFJ1" s="1467"/>
      <c r="AFK1" s="1467"/>
      <c r="AFL1" s="1467"/>
      <c r="AFM1" s="1468"/>
      <c r="AFN1" s="1466" t="s">
        <v>712</v>
      </c>
      <c r="AFO1" s="1467"/>
      <c r="AFP1" s="1467"/>
      <c r="AFQ1" s="1467"/>
      <c r="AFR1" s="1467"/>
      <c r="AFS1" s="1467"/>
      <c r="AFT1" s="1467"/>
      <c r="AFU1" s="1467"/>
      <c r="AFV1" s="1467"/>
      <c r="AFW1" s="1467"/>
      <c r="AFX1" s="1467"/>
      <c r="AFY1" s="1468"/>
      <c r="AFZ1" s="1466" t="s">
        <v>8635</v>
      </c>
      <c r="AGA1" s="1467"/>
      <c r="AGB1" s="1467"/>
      <c r="AGC1" s="1467"/>
      <c r="AGD1" s="1467"/>
      <c r="AGE1" s="1467"/>
      <c r="AGF1" s="1467"/>
      <c r="AGG1" s="1467"/>
      <c r="AGH1" s="1467"/>
      <c r="AGI1" s="1467"/>
      <c r="AGJ1" s="1467"/>
      <c r="AGK1" s="1468"/>
      <c r="AGL1" s="1466" t="s">
        <v>8636</v>
      </c>
      <c r="AGM1" s="1467"/>
      <c r="AGN1" s="1467"/>
      <c r="AGO1" s="1467"/>
      <c r="AGP1" s="1467"/>
      <c r="AGQ1" s="1467"/>
      <c r="AGR1" s="1467"/>
      <c r="AGS1" s="1467"/>
      <c r="AGT1" s="1467"/>
      <c r="AGU1" s="1467"/>
      <c r="AGV1" s="1467"/>
      <c r="AGW1" s="1468"/>
      <c r="AGX1" s="1466" t="s">
        <v>8637</v>
      </c>
      <c r="AGY1" s="1467"/>
      <c r="AGZ1" s="1467"/>
      <c r="AHA1" s="1467"/>
      <c r="AHB1" s="1467"/>
      <c r="AHC1" s="1467"/>
      <c r="AHD1" s="1467"/>
      <c r="AHE1" s="1467"/>
      <c r="AHF1" s="1467"/>
      <c r="AHG1" s="1467"/>
      <c r="AHH1" s="1467"/>
      <c r="AHI1" s="1467"/>
      <c r="AHJ1" s="1483" t="s">
        <v>8638</v>
      </c>
      <c r="AHK1" s="1460" t="s">
        <v>9514</v>
      </c>
      <c r="AHL1" s="1461"/>
      <c r="AHM1" s="1461"/>
      <c r="AHN1" s="1461"/>
      <c r="AHO1" s="1461"/>
      <c r="AHP1" s="1461"/>
      <c r="AHQ1" s="1461"/>
      <c r="AHR1" s="1461"/>
      <c r="AHS1" s="1461"/>
      <c r="AHT1" s="1460" t="s">
        <v>9516</v>
      </c>
      <c r="AHU1" s="1461"/>
      <c r="AHV1" s="1461"/>
      <c r="AHW1" s="1461"/>
      <c r="AHX1" s="1461"/>
      <c r="AHY1" s="1461"/>
      <c r="AHZ1" s="1461"/>
      <c r="AIA1" s="1461"/>
      <c r="AIB1" s="1461"/>
      <c r="AIC1" s="1461"/>
      <c r="AID1" s="1461"/>
      <c r="AIE1" s="1461"/>
      <c r="AIF1" s="1461"/>
      <c r="AIG1" s="1461"/>
      <c r="AIH1" s="1461"/>
      <c r="AII1" s="1461"/>
      <c r="AIJ1" s="1461"/>
      <c r="AIK1" s="1461"/>
      <c r="AIL1" s="1461"/>
      <c r="AIM1" s="1461"/>
      <c r="AIN1" s="1461"/>
      <c r="AIO1" s="1461"/>
      <c r="AIP1" s="1461"/>
      <c r="AIQ1" s="1461"/>
      <c r="AIR1" s="1461"/>
      <c r="AIS1" s="1461"/>
      <c r="AIT1" s="1461"/>
      <c r="AIU1" s="1461"/>
      <c r="AIV1" s="1461"/>
      <c r="AIW1" s="1461"/>
      <c r="AIX1" s="1461"/>
      <c r="AIY1" s="1461"/>
      <c r="AIZ1" s="1461"/>
      <c r="AJA1" s="1461"/>
      <c r="AJB1" s="1461"/>
      <c r="AJC1" s="1461"/>
      <c r="AJD1" s="1461"/>
      <c r="AJE1" s="1461"/>
      <c r="AJF1" s="1461"/>
      <c r="AJG1" s="1461"/>
      <c r="AJH1" s="1461"/>
      <c r="AJI1" s="1461"/>
      <c r="AJJ1" s="1461"/>
      <c r="AJK1" s="1461"/>
      <c r="AJL1" s="1461"/>
      <c r="AJM1" s="1461"/>
      <c r="AJN1" s="1461"/>
      <c r="AJO1" s="1461"/>
      <c r="AJP1" s="1461"/>
      <c r="AJQ1" s="1461"/>
      <c r="AJR1" s="1461"/>
      <c r="AJS1" s="1461"/>
      <c r="AJT1" s="1461"/>
      <c r="AJU1" s="1461"/>
      <c r="AJV1" s="1461"/>
      <c r="AJW1" s="1461"/>
      <c r="AJX1" s="1461"/>
      <c r="AJY1" s="1461"/>
      <c r="AJZ1" s="1461"/>
      <c r="AKA1" s="1461"/>
      <c r="AKB1" s="1461"/>
      <c r="AKC1" s="1461"/>
      <c r="AKD1" s="1461"/>
      <c r="AKE1" s="1461"/>
      <c r="AKF1" s="1461"/>
      <c r="AKG1" s="1461"/>
      <c r="AKH1" s="1461"/>
      <c r="AKI1" s="1461"/>
      <c r="AKJ1" s="1461"/>
      <c r="AKK1" s="1461"/>
      <c r="AKL1" s="1461"/>
      <c r="AKM1" s="1461"/>
      <c r="AKN1" s="1461"/>
      <c r="AKO1" s="1461"/>
      <c r="AKP1" s="1461"/>
      <c r="AKQ1" s="1461"/>
      <c r="AKR1" s="1461"/>
      <c r="AKS1" s="1461"/>
      <c r="AKT1" s="1461"/>
      <c r="AKU1" s="1461"/>
      <c r="AKV1" s="1461"/>
      <c r="AKW1" s="1461"/>
      <c r="AKX1" s="1461"/>
      <c r="AKY1" s="1461"/>
      <c r="AKZ1" s="1461"/>
      <c r="ALA1" s="1461"/>
      <c r="ALB1" s="1461"/>
      <c r="ALC1" s="1461"/>
      <c r="ALD1" s="1461"/>
      <c r="ALE1" s="1461"/>
      <c r="ALF1" s="1461"/>
      <c r="ALG1" s="1461"/>
      <c r="ALH1" s="1461"/>
      <c r="ALI1" s="1461"/>
      <c r="ALJ1" s="1461"/>
      <c r="ALK1" s="1461"/>
      <c r="ALL1" s="1461"/>
      <c r="ALM1" s="1461"/>
      <c r="ALN1" s="1461"/>
      <c r="ALO1" s="1461"/>
      <c r="ALP1" s="1462"/>
      <c r="ALQ1" s="1460" t="s">
        <v>9544</v>
      </c>
      <c r="ALR1" s="1461"/>
      <c r="ALS1" s="1461"/>
      <c r="ALT1" s="1461"/>
      <c r="ALU1" s="1461"/>
      <c r="ALV1" s="1461"/>
      <c r="ALW1" s="1461"/>
      <c r="ALX1" s="1461"/>
      <c r="ALY1" s="1461"/>
      <c r="ALZ1" s="1461"/>
      <c r="AMA1" s="1461"/>
      <c r="AMB1" s="1461"/>
      <c r="AMC1" s="1461"/>
      <c r="AMD1" s="1461"/>
      <c r="AME1" s="1461"/>
      <c r="AMF1" s="1461"/>
      <c r="AMG1" s="1461"/>
      <c r="AMH1" s="1461"/>
      <c r="AMI1" s="1461"/>
      <c r="AMJ1" s="1461"/>
      <c r="AMK1" s="1461"/>
      <c r="AML1" s="1461"/>
      <c r="AMM1" s="1461"/>
      <c r="AMN1" s="1461"/>
      <c r="AMO1" s="1461"/>
      <c r="AMP1" s="1461"/>
      <c r="AMQ1" s="1461"/>
      <c r="AMR1" s="1461"/>
      <c r="AMS1" s="1461"/>
      <c r="AMT1" s="1461"/>
      <c r="AMU1" s="1461"/>
      <c r="AMV1" s="1461"/>
      <c r="AMW1" s="1461"/>
      <c r="AMX1" s="1461"/>
      <c r="AMY1" s="1461"/>
      <c r="AMZ1" s="1461"/>
      <c r="ANA1" s="1461"/>
      <c r="ANB1" s="1461"/>
      <c r="ANC1" s="1461"/>
      <c r="AND1" s="1461"/>
      <c r="ANE1" s="1461"/>
      <c r="ANF1" s="1461"/>
      <c r="ANG1" s="1461"/>
      <c r="ANH1" s="1461"/>
      <c r="ANI1" s="1461"/>
      <c r="ANJ1" s="1461"/>
      <c r="ANK1" s="1461"/>
      <c r="ANL1" s="1461"/>
      <c r="ANM1" s="1461"/>
      <c r="ANN1" s="1461"/>
      <c r="ANO1" s="1461"/>
      <c r="ANP1" s="1461"/>
      <c r="ANQ1" s="1461"/>
      <c r="ANR1" s="1461"/>
      <c r="ANS1" s="1461"/>
      <c r="ANT1" s="1461"/>
      <c r="ANU1" s="1461"/>
      <c r="ANV1" s="1461"/>
      <c r="ANW1" s="1461"/>
      <c r="ANX1" s="1461"/>
      <c r="ANY1" s="1461"/>
      <c r="ANZ1" s="1461"/>
      <c r="AOA1" s="1461"/>
      <c r="AOB1" s="1461"/>
      <c r="AOC1" s="1461"/>
      <c r="AOD1" s="1461"/>
      <c r="AOE1" s="1461"/>
      <c r="AOF1" s="1461"/>
      <c r="AOG1" s="1461"/>
      <c r="AOH1" s="1461"/>
      <c r="AOI1" s="1461"/>
      <c r="AOJ1" s="1461"/>
      <c r="AOK1" s="1461"/>
      <c r="AOL1" s="1461"/>
      <c r="AOM1" s="1461"/>
      <c r="AON1" s="1461"/>
      <c r="AOO1" s="1461"/>
      <c r="AOP1" s="1461"/>
      <c r="AOQ1" s="1461"/>
      <c r="AOR1" s="1461"/>
      <c r="AOS1" s="1461"/>
      <c r="AOT1" s="1461"/>
      <c r="AOU1" s="1461"/>
      <c r="AOV1" s="1461"/>
      <c r="AOW1" s="1461"/>
      <c r="AOX1" s="1461"/>
      <c r="AOY1" s="1461"/>
      <c r="AOZ1" s="1461"/>
      <c r="APA1" s="1461"/>
      <c r="APB1" s="1461"/>
      <c r="APC1" s="1461"/>
      <c r="APD1" s="1461"/>
      <c r="APE1" s="1461"/>
      <c r="APF1" s="1461"/>
      <c r="APG1" s="1461"/>
      <c r="APH1" s="1461"/>
      <c r="API1" s="1461"/>
      <c r="APJ1" s="1461"/>
      <c r="APK1" s="1461"/>
      <c r="APL1" s="1461"/>
      <c r="APM1" s="1461"/>
      <c r="APN1" s="1460" t="s">
        <v>9837</v>
      </c>
      <c r="APO1" s="1461"/>
      <c r="APP1" s="1461"/>
      <c r="APQ1" s="1461"/>
      <c r="APR1" s="1461"/>
      <c r="APS1" s="1461"/>
      <c r="APT1" s="1461"/>
      <c r="APU1" s="1461"/>
      <c r="APV1" s="1461"/>
    </row>
    <row r="2" spans="1:1114" s="5" customFormat="1" ht="14.4" customHeight="1" thickBot="1" x14ac:dyDescent="0.35">
      <c r="A2" s="797" t="str">
        <f>TRIM(DATES!H1)</f>
        <v xml:space="preserve">
СЛУЖБА ФИНАНСОВОГО УПОЛНОМОЧЕННОГО
РЕШЕНИЕ
«_____» _______________20____ г. 
 дата подписания
№ 
г. Москва
ОБ УДОВЛЕТВОРЕНИИ ТРЕБОВАНИЙ
Уполномоченный по правам потребителей финансовых услуг в сферах страхования, микрофинансирования, кредитной кооперации и деятельности кредитных организаций Е.Л. Писаревский (далее – Финансовый уполномоченный) по результатам рассмотрения обращения от 26.11.2020 № У-20-175174 (далее – Обращение) Истомина Владимира Васильевича (паспорт серия 60 03 № 672915; место жительства: 344092, г. Ростов-на-Дону, ул. Верная, д. 17/88; почтовый адрес: 344092, г. Ростов-на-Дону, ул. Верная, д. 17/88) (далее – Заявитель) в отношении АО СК «БАСК» (место нахождения: 652600, Кемеровская область, г. Белово, пер. Цинкзаводской, д. 8 А; почтовый адрес: 652600, Кемеровская область, г. Белово, пер. Цинкзаводской, д. 8 А; дата государственной регистрации: 07.05.1993; идентификационный номер налогоплательщика: 4202000716) (далее – Финансовая организация),
УСТАНОВИЛ
Финансовому уполномоченному на рассмотрение поступило Обращение в отношении Финансовой организации с требованием о взыскании неустойки за несоблюдение срока выплаты страхового возмещения по договору обязательного страхования гражданской ответственности владельцев транспортных средств (далее – ОСАГО) в размере 100 000 рублей 00 копеек.
В рамках рассмотрения Обращения в адрес Финансовой организации направлено уведомление о принятии Обращения к рассмотрению от 26.11.2020 № У-20-175174/2040-002, содержащее требование о предоставлении сведений и документов по предмету спора, указанному в Обращении.
Финансовой организацией запрошенные сведения и документы предоставлены.
Рассмотрев имеющиеся в деле документы, Финансовый уполномоченный установил следующее.
05.04.2019 между Заявителем и Финансовой организацией заключен договор ОСАГО серия ККК № 3002162227 со сроком страхования с 05.04.2019 до 04.04.2020 (далее – Договор ОСАГО).
В результате дорожно-транспортного происшествия, произошедшего 10.06.2019 (далее – ДТП), вследствие действий Женишбека Бекназара, управлявшего транспортным средством ВАЗ 2106, государственный регистрационный номер А086НТ61, был причинен вред принадлежащему Заявителю транспортному средству Toyota Camry, государственный регистрационный номер Е718ТР161, год выпуска 2016 (далее – Транспортное средство).
Гражданская ответственность Женишбека Бекназара застрахована в СПАО «РЕСО-Гарантия» в рамках договора ОСАГО серия ККК № 3001108454.
11.06.2019 Заявитель обратился в Финансовую организацию с заявлением о прямом возмещении убытков, предоставив все документы, предусмотренные Правилами обязательного страхования гражданской ответственности владельцев транспортных средств, утвержденными Положением Банка России от 19.09.2014 № 431-П (далее – Правила ОСАГО).
Заявление также содержало требования о выплате расходов на проведение независимой технической экспертизы.
11.06.2019 Финансовой организацей проведен осмотр принадлежащего Заявителю Транспортного средства с привлечением независимой экспертной организации ООО «Альянс».
На основании результатов осмотра от 11.06.2019 независимой экспертной организацией ООО «Сибирская Ассистанская Компания» подготовлено экспертное заключение от 28.06.2019 № 45/06/19, согласно которому стоимость восстановительного ремонта Транспортного средства Повреждения на Транспортном средстве возникли вне заявленных обстоятельств дорожно-транспортного происшествия от 10.06.2019.
Финансовая организация направила Заявителю письмо от 08.07.2019 № 757/19, в котором сообщалось, что согласно выводам проведенной экспертизы, все повреждения Транспортного средства Заявителя не могли образоваться при заявленных обстоятельствах ДТП, в связи с чем, правовых оснований для урегулирования данного убытка у Финансовой организации не имеется.
02.08.2019 Заявитель обратился в Финансовую организацию с заявлением (претензией) о несогласии с отказом Финансовой организации в выплате страхового возмещения, содержащим требование о выплате страхового возмещения по Договору ОСАГО, неустойки за несоблюдение срока выплаты страхового возмещения по Договору ОСАГО.
Финансовая организация в ответ на заявление (претензию) от 02.08.2019 письмом от 05.08.2019 № 902/19 отказала Заявителю в удовлетворении заявленных требований.
Не согласившись с отказом в выплате страхового возмещения, Заявитель 02.09.2019 обратился в порядке, установленным Федеральным законом от 04.06.2018 № 123-ФЗ «Об уполномоченном по правам потребителей финансовых услуг» (далее – Закон № 123-ФЗ), с обращением к Финансовому уполномоченному с требованиями о взыскании с Финансовой организации страхового возмещения по Договору ОСАГО в размере 400 000 рублей 00 копеек.
Руководствуясь частью 4 статьи 18 Закона № 123-ФЗ, Финансовым уполномоченным Обращение Заявителя от 02.09.2019 принято к рассмотрению, Обращению от 02.09.2019 присвоен № У-19-24659.
22.10.2019 Финансовым уполномоченным по Обращению от 02.09.2019 № У-19-24659 вынесено решение об отказе в удовлетворении требований № У-19-24659/5010-010 (далее – Решение от 22.10.2019 № У-19-24659/5010-010). Требования о взыскании неустойки при рассмотрении Обращения от 22.10.2019 № У-19-24659 не заявлялись и не рассматривались.
Решение от 22.10.2019 № У-19-24659/5010-010 вступило в силу 07.11.2019.
Не согласившись с Решением от 22.10.2019 № У-19-24659/5010-010, Заявитель обратился в суд с исковыми требованиями к Финансовой организации о взыскании страхового возмещения по Договору ОСАГО в размере 400 000 рублей 00 копеек, неустойки за несоблюдение срока выплаты страхового возмещения по Договору ОСАГО за период с 02.07.2019 по 30.12.2019 в размере 400 000 рублей 00 копеек, расходов на проведение независимой технической экспертизы в размере 7 000 рублей 00 копеек и иных расходов.
20.02.2020 Ворошиловским районным судом города Ростова-на-Дону по делу № 2-129/2020 вынесено решение об удовлетворении исковых требований Заявителя (далее – Решение Суда), в соответствии с которым с Финансовой организации в пользу Заявителя взыскано страховое возмещение по Договору ОСАГО в размере 400 000 рублей 00 копеек, неустойка за несоблюдение срока выплаты страхового возмещения по Договору ОСАГО за период с 02.07.2019 по 30.12.2019 в размере 300 000 рублей 00 копеек, расходы на проведение независимой технической экспертизы в размере 7 000 рублей 00 копеек и иные расходы.
Решением Суда установлено, что Решение Суда вступило в силу 27.03.2020.
25.05.2020 Решение Суда было исполнено в полном объеме, что подтверждается инкассовым поручением от 22.05.2020 № 7856.
19.10.2020 Заявитель обратился в Финансовую организацию с заявлением (претензией), содержащим требование о выплате неустойки за несоблюдение срока выплаты страхового возмещения по Договору ОСАГО за период с 08.01.2020 по 20.02.2020 в размере 100 000 рублей 00 копеек.
В соответствии со статьей 16 Закона № 123-ФЗ Финансовая организация должна рассмотреть заявление (претензию) и направить Заявителю ответ не позднее 18.11.2020.
Финансовая организация в ответ на заявление (претензию) от 19.10.2020 письмом от 09.11.2020 № 1560/20 отказала Заявителю в удовлетворении заявленных требований.
Рассмотрев требования Заявителя о взыскании с Финансовой организации неустойки за несоблюдение срока выплаты страхового возмещения по Договору ОСАГО, Финансовый уполномоченный приходит к следующему.
Согласно статье 12 Гражданского кодекса Российской Федерации (далее – ГК РФ) взыскание неустойки является одним из способов защиты нарушенного гражданского права.
По смыслу статьи 330 ГК РФ неустойкой (штрафом, пеней) признается определенная законом или договором денежная сумма, которую должник обязан уплатить кредитору в случае неисполнения или ненадлежащего исполнения обязательства, в частности в случае просрочки исполнения. По требованию об уплате неустойки кредитор не обязан доказывать причинение ему убытков.
Положения пункта 21 статьи 12 Федерального закона от 25.04.2002 № 40-ФЗ «Об обязательном страховании гражданской ответственности владельцев транспортных средств» (далее – Закон № 40-ФЗ) предусматривают выплату страховщиком потерпевшему неустойки за нарушение сроков исполнения обязательств.
Таким образом, требования о взыскании неустойки по правилам статьи 12 Закона № 40-ФЗ подлежат рассмотрению финансовым уполномоченным, поскольку обязанность страховщика по выплате неустойки в случае нарушения срока исполнения обязательств прямо предусмотрена Законом № 40-ФЗ, не связана с вопросами взыскания обязательных платежей и санкций. 
Пунктом 21 статьи 12 Федерального закона от 25.04.2002 № 40-ФЗ «Об обязательном страховании гражданской ответственности владельцев транспортных средств» (далее – Закон № 40-ФЗ) установлено, что в течение 20 календарных дней, за исключением нерабочих праздничных дней, а в случае, предусмотренном пунктом 15.3 статьи 12 Закона № 40-ФЗ, 30 календарных дней, за исключением нерабочих праздничных дней, со дня принятия к рассмотрению заявления потерпевшего о страховом возмещении или прямом возмещении убытков и приложенных к нему документов, предусмотренных Правилами ОСАГО, страховщик обязан произвести страховую выплату потерпевшему или после осмотра и (или) независимой технической экспертизы поврежденного транспортного средства выдать потерпевшему направление на ремонт транспортного средства с указанием станции технического обслуживания, на которой будет отремонтировано его транспортное средство и которой страховщик оплатит восстановительный ремонт поврежденного транспортного средства, и срока ремонта либо направить потерпевшему мотивированный отказ в страховом возмещении.
При несоблюдении срока осуществления страховой выплаты или срока выдачи потерпевшему направления на ремонт транспортного средства страховщик за каждый день просрочки уплачивает потерпевшему неустойку (пеню) в размере одного процента от определенного в соответствии с Законом № 40-ФЗ размера страхового возмещения по виду причиненного вреда каждому потерпевшему.
В пункте 78 постановления Пленума Верховного Суда Российской Федерации от 26.12.2017 № 58 «О применении судами законодательства об обязательном страховании гражданской ответственности владельцев транспортных средств» указано, что неустойка исчисляется со дня, следующего за днем, установленным для принятия решения о выплате страхового возмещения, то есть с 21-го дня после получения страховщиком заявления потерпевшего о страховой выплате и документов, предусмотренных Правилами ОСАГО, и до дня фактического исполнения страховщиком обязательства по договору включительно.
Следовательно, неустойка является мерой гражданско-правовой ответственности, которая при наличии условий, необходимых для наступления гражданско-правовой ответственности, подлежит взысканию в случае неисполнения или ненадлежащего исполнения обязательства, то есть при наличии противоправного поведения.
В силу части 1 статьи 2 Закона № 123-ФЗ должность финансового уполномоченного учреждена для рассмотрения обращений потребителей финансовых услуг об удовлетворении требований имущественного характера, предъявляемых к финансовым организациям, оказавшим им финансовые услуги.
Финансовая организация, являясь участником обязательного взаимодействия с финансовым уполномоченным, в силу пункта 4 части 3 статьи 28 Закона № 123-ФЗ обязана добровольно исполнять решения финансового уполномоченного.
В силу статьи 24 Закона № 123-ФЗ исполнение финансовой организацией вступившего в силу решения финансового уполномоченного признается надлежащим исполнением финансовой организацией обязанностей по соответствующему договору с потребителем финансовых услуг об оказании ему или в его пользу финансовой услуги.
В случае неисполнения финансовой организацией вступившего в силу решения финансового уполномоченного либо условий соглашения финансовый уполномоченный выдает потребителю финансовых услуг удостоверение, являющееся исполнительным документом, форма которого устанавливается Правительством Российской Федерации (часть 3 статьи 23 Закона № 123-ФЗ).
Принимая Решение от 22.10.2019 № У-19-24659/5010-010 об отказе Заявителю во взыскании страхового возмещения, финансовый уполномоченный исходил из отсутствия обязательства по выплате страхового возмещения.
Учитывая, что данное решение вынесено официальным должностным лицом в рамках предоставленных ему публичных полномочий, финансовая организация была вправе разумно полагаться на содержащиеся в нем выводы и ссылаться на них в своих взаимоотношениях с потребителем финансовых услуг.
При таких обстоятельствах Финансовый уполномоченный приходит к выводу, что в рассматриваемом случае взыскание неустойки в связи с невыплатой Заявителю страхового возмещения, не основано на законе.
Вместе с тем, Решением Суда частично удовлетворены требования Заявителя к Финансовой организации.
Согласно части 2 статьи 13 Гражданского процессуального кодекса Российской Федерации (далее – ГПК РФ), вступившие в законную силу судебные постановления, а также законные распоряжения, требования, поручения, вызовы и обращения судов являются обязательными для всех без исключения органов государственной власти, органов местного самоуправления, общественных объединений, должностных лиц, граждан, организаций и подлежат неукоснительному исполнению на всей территории Российской Федерации.
По смыслу положений части 1 статьи 209, части 2 статьи 321, части 5 статьи 329 ГПК РФ решение суда вступает в законную силу по истечении месячного срока на апелляционное обжалование со дня принятия решения суда в окончательной форме, если оно не было обжаловано; апелляционное определение вступает в законную силу со дня его принятия.
В соответствии с частью 1 статьи 108 ГПК РФ срок, исчисляемый месяцами, истекает в соответствующее число последнего месяца срока.
Таким образом, обязанность по возмещению взысканного Решением Суда ущерба, причиненного Заявителю, возникла у Финансовой организации с момента вступления Решения Суда в законную силу – 27.03.2020.
20.02.2020 Решением Суда с Финансовой организации в пользу Заявителя взыскано страховое возмещение по Договору ОСАГО в размере 400 000 рублей 00 копеек, неустойка за несоблюдение срока выплаты страхового возмещения по Договору ОСАГО за период с 02.07.2019 по 30.12.2019 в размере 300 000 рублей 00 копеек, расходы на проведение независимой технической экспертизы в размере 7 000 рублей 00 копеек и иные расходы.
25.05.2020 Решение Суда было исполнено в полном объеме, что подтверждается инкассовым поручением от 22.05.2020 № 7856.
Таким образом, с Финансовой организации подлежит взысканию неустойка на сумму страхового возмещения в размере 400 000 рублей 00 копеек, взысканную по Решению Суда, за период с 27.03.2020 по 22.05.2020 (57 дней).
В соответствии с требованиями, установленными пунктом 21 статьи 12 Закона № 40-ФЗ, размер неустойки, подлежащий выплате за период с 27.03.2020 по 22.05.2020 (включительно) составляет 228 000 рублей 00 копеек (400 000 рублей 00 копеек × 57 дней × 1%).
В силу пункта 6 статьи 16.1 Закона № 40-ФЗ общий размер неустойки (пени), суммы финансовой санкции, которые подлежат выплате потерпевшему – физическому лицу, не может превышать размер страховой суммы по виду причиненного вреда, установленный Законом № 40-ФЗ.
Согласно статье 7 Закона № 40-ФЗ страховая сумма, в пределах которой страховщик при наступлении каждого страхового случая (независимо от их числа в течение срока действия договора обязательного страховая) обязуется возместить потерпевшим причиненный вред, составляет: в части возмещения вреда, причиненного имуществу каждого потерпевшего, 400 000 рублей 00 копеек.
20.02.2020 Решением Суда с Финансовой организации в пользу Заявителя взыскана в том числе неустойка за несоблюдение срока выплаты страхового возмещения по Договору ОСАГО за период с 02.07.2019 по 30.12.2019 в размере 300 000 рублей 00 копеек.
25.05.2020 Решение Суда было исполнено в полном объеме, что подтверждается инкассовым поручением от 22.05.2020 № 7856.
Таким образом, общий размер неустойки за несоблюдение срока выплаты страхового возмещения по Договору ОСАГО подлежащий взысканию в пользу Заявителя составляет 100 000 рублей 00 копеек (400 000 рублей 00 копеек – 300 000 рублей 00 копеек).
Заявление Финансовой организации об уменьшении неустойки на основании пункта 1 статьи 333 ГК РФ удовлетворению не подлежит, в силу того, что согласно положениям указанной статьи, вопрос о снижении неустойки находится в исключительной компетенции суда.
Руководствуясь статьей 22 Закона № 123-ФЗ, Финансовый уполномоченный
РЕШИЛ
требования Истомина Владимира Васильевича о взыскании с АО СК «БАСК» неустойки за несоблюдение срока выплаты страхового возмещения по Договору ОСАГО удовлетворить.
Взыскать с АО СК «БАСК» в пользу Истомина Владимира Васильевича неустойку за несоблюдение срока выплаты страхового возмещения по Договору ОСАГО в размере 100 000 (сто тысяч) рублей 00 копеек.
Решение вступает в силу по истечении десяти рабочих дней после даты его подписания.
Решение подлежит исполнению АО СК «БАСК» в течение 10 рабочих дней после дня вступления в силу.
В случае несогласия с решением Финансового уполномоченного в соответствии с частью 1 статьи 26 Закона № 123-ФЗ АО СК «БАСК» вправе в течение десяти рабочих дней после дня вступления в силу решения Финансового уполномоченного обратиться в суд в порядке, установленном законодательством Российской Федерации. В случае обращения финансовой организации в суд копия заявления подлежит направлению финансовому уполномоченному, рассматривавшему дело, и потребителю финансовых услуг, в отношении обращения которого принято решение Финансового уполномоченного, в течение одного дня со дня подачи указанного заявления.
В соответствии с частью 2 статьи 26 Закона № 123-ФЗ финансовая организация при обращении в суд вправе направить финансовому уполномоченному ходатайство о приостановлении исполнения его решения. При получении ходатайства финансовый уполномоченный выносит решение о приостановлении исполнения решения, которое оспаривается финансовой организацией, до вынесения решения судом.
В случае несогласия с вступившим в силу решением Финансового уполномоченного Заявитель в соответствии с частью 3 статьи 25 Закона № 123-ФЗ вправе в течение тридцати дней после дня вступления в силу указанного решения обратиться в суд и заявить требования к финансовой организации по предмету, содержащемуся в обращении, в порядке, установленном законодательством Российской Федерации. Копия обращения в суд подлежит направлению Финансовому уполномоченному.
Уполномоченный по правам потребителей финансовых услуг в сферах страхования, микрофинансирования, кредитной кооперации и деятельности кредитных организаций Podpisant
Е.Л. Писаревский
</v>
      </c>
      <c r="B2" s="798" t="s">
        <v>8378</v>
      </c>
      <c r="C2" s="798" t="s">
        <v>8425</v>
      </c>
      <c r="D2" s="798" t="s">
        <v>8443</v>
      </c>
      <c r="E2" s="798" t="s">
        <v>5675</v>
      </c>
      <c r="F2" s="798" t="s">
        <v>8386</v>
      </c>
      <c r="G2" s="798" t="s">
        <v>8648</v>
      </c>
      <c r="H2" s="801" t="s">
        <v>8383</v>
      </c>
      <c r="I2" s="798" t="s">
        <v>8379</v>
      </c>
      <c r="J2" s="799" t="s">
        <v>8381</v>
      </c>
      <c r="K2" s="799" t="s">
        <v>8424</v>
      </c>
      <c r="L2" s="799" t="s">
        <v>8295</v>
      </c>
      <c r="M2" s="799"/>
      <c r="N2" s="1521"/>
      <c r="O2" s="791" t="s">
        <v>8374</v>
      </c>
      <c r="P2" s="791" t="s">
        <v>8355</v>
      </c>
      <c r="Q2" s="791" t="s">
        <v>8356</v>
      </c>
      <c r="R2" s="791" t="s">
        <v>8232</v>
      </c>
      <c r="S2" s="791" t="s">
        <v>8363</v>
      </c>
      <c r="T2" s="791" t="s">
        <v>8360</v>
      </c>
      <c r="U2" s="791" t="s">
        <v>8373</v>
      </c>
      <c r="V2" s="791" t="s">
        <v>8384</v>
      </c>
      <c r="W2" s="791" t="s">
        <v>8359</v>
      </c>
      <c r="X2" s="791" t="s">
        <v>8355</v>
      </c>
      <c r="Y2" s="791" t="s">
        <v>8354</v>
      </c>
      <c r="Z2" s="791" t="s">
        <v>8356</v>
      </c>
      <c r="AA2" s="791" t="s">
        <v>8232</v>
      </c>
      <c r="AB2" s="791" t="s">
        <v>8358</v>
      </c>
      <c r="AC2" s="791" t="s">
        <v>8357</v>
      </c>
      <c r="AD2" s="791" t="s">
        <v>8360</v>
      </c>
      <c r="AE2" s="791" t="s">
        <v>8374</v>
      </c>
      <c r="AF2" s="791" t="s">
        <v>8385</v>
      </c>
      <c r="AG2" s="791" t="s">
        <v>8355</v>
      </c>
      <c r="AH2" s="791" t="s">
        <v>8358</v>
      </c>
      <c r="AI2" s="791" t="s">
        <v>8357</v>
      </c>
      <c r="AJ2" s="791" t="s">
        <v>8363</v>
      </c>
      <c r="AK2" s="791" t="s">
        <v>8360</v>
      </c>
      <c r="AL2" s="1483"/>
      <c r="AM2" s="1492"/>
      <c r="AN2" s="792" t="s">
        <v>8375</v>
      </c>
      <c r="AO2" s="792" t="s">
        <v>8363</v>
      </c>
      <c r="AP2" s="792" t="s">
        <v>8360</v>
      </c>
      <c r="AQ2" s="792" t="s">
        <v>8375</v>
      </c>
      <c r="AR2" s="792" t="s">
        <v>8363</v>
      </c>
      <c r="AS2" s="792" t="s">
        <v>8360</v>
      </c>
      <c r="AT2" s="1509"/>
      <c r="AU2" s="1533"/>
      <c r="AV2" s="800" t="s">
        <v>8375</v>
      </c>
      <c r="AW2" s="800" t="s">
        <v>8363</v>
      </c>
      <c r="AX2" s="800" t="s">
        <v>8360</v>
      </c>
      <c r="AY2" s="800" t="s">
        <v>8375</v>
      </c>
      <c r="AZ2" s="800" t="s">
        <v>8363</v>
      </c>
      <c r="BA2" s="800" t="s">
        <v>8360</v>
      </c>
      <c r="BB2" s="1528"/>
      <c r="BC2" s="792" t="s">
        <v>8374</v>
      </c>
      <c r="BD2" s="792" t="s">
        <v>8392</v>
      </c>
      <c r="BE2" s="792" t="s">
        <v>8394</v>
      </c>
      <c r="BF2" s="802" t="s">
        <v>8360</v>
      </c>
      <c r="BG2" s="792" t="s">
        <v>8374</v>
      </c>
      <c r="BH2" s="792" t="s">
        <v>8392</v>
      </c>
      <c r="BI2" s="792" t="s">
        <v>8374</v>
      </c>
      <c r="BJ2" s="792" t="s">
        <v>8393</v>
      </c>
      <c r="BK2" s="792" t="s">
        <v>8394</v>
      </c>
      <c r="BL2" s="802" t="s">
        <v>8360</v>
      </c>
      <c r="BM2" s="792" t="s">
        <v>8392</v>
      </c>
      <c r="BN2" s="792" t="s">
        <v>8374</v>
      </c>
      <c r="BO2" s="792" t="s">
        <v>8393</v>
      </c>
      <c r="BP2" s="792" t="s">
        <v>8394</v>
      </c>
      <c r="BQ2" s="802" t="s">
        <v>8360</v>
      </c>
      <c r="BR2" s="812" t="s">
        <v>8376</v>
      </c>
      <c r="BS2" s="792" t="s">
        <v>8439</v>
      </c>
      <c r="BT2" s="792" t="s">
        <v>8374</v>
      </c>
      <c r="BU2" s="792" t="s">
        <v>8392</v>
      </c>
      <c r="BV2" s="792"/>
      <c r="BW2" s="792" t="s">
        <v>8415</v>
      </c>
      <c r="BX2" s="792" t="s">
        <v>8439</v>
      </c>
      <c r="BY2" s="792" t="s">
        <v>8398</v>
      </c>
      <c r="BZ2" s="792" t="s">
        <v>8374</v>
      </c>
      <c r="CA2" s="792" t="s">
        <v>8393</v>
      </c>
      <c r="CB2" s="792" t="s">
        <v>8394</v>
      </c>
      <c r="CC2" s="802" t="s">
        <v>8360</v>
      </c>
      <c r="CD2" s="792" t="s">
        <v>8392</v>
      </c>
      <c r="CE2" s="792" t="s">
        <v>8374</v>
      </c>
      <c r="CF2" s="792" t="s">
        <v>8393</v>
      </c>
      <c r="CG2" s="792" t="s">
        <v>8394</v>
      </c>
      <c r="CH2" s="802" t="s">
        <v>8360</v>
      </c>
      <c r="CI2" s="792" t="s">
        <v>8392</v>
      </c>
      <c r="CJ2" s="792" t="s">
        <v>8374</v>
      </c>
      <c r="CK2" s="792" t="s">
        <v>8393</v>
      </c>
      <c r="CL2" s="792" t="s">
        <v>8394</v>
      </c>
      <c r="CM2" s="802" t="s">
        <v>8360</v>
      </c>
      <c r="CN2" s="792" t="s">
        <v>8374</v>
      </c>
      <c r="CO2" s="792" t="s">
        <v>8392</v>
      </c>
      <c r="CP2" s="792" t="s">
        <v>8375</v>
      </c>
      <c r="CQ2" s="792" t="s">
        <v>8451</v>
      </c>
      <c r="CR2" s="792" t="s">
        <v>8374</v>
      </c>
      <c r="CS2" s="792" t="s">
        <v>8393</v>
      </c>
      <c r="CT2" s="792" t="s">
        <v>8394</v>
      </c>
      <c r="CU2" s="812" t="s">
        <v>8360</v>
      </c>
      <c r="CV2" s="792" t="s">
        <v>8392</v>
      </c>
      <c r="CW2" s="792" t="s">
        <v>8374</v>
      </c>
      <c r="CX2" s="792" t="s">
        <v>8393</v>
      </c>
      <c r="CY2" s="792" t="s">
        <v>8394</v>
      </c>
      <c r="CZ2" s="812" t="s">
        <v>8360</v>
      </c>
      <c r="DA2" s="792" t="s">
        <v>8392</v>
      </c>
      <c r="DB2" s="792" t="s">
        <v>8374</v>
      </c>
      <c r="DC2" s="792" t="s">
        <v>8393</v>
      </c>
      <c r="DD2" s="792" t="s">
        <v>8394</v>
      </c>
      <c r="DE2" s="812" t="s">
        <v>8360</v>
      </c>
      <c r="DF2" s="792" t="s">
        <v>8392</v>
      </c>
      <c r="DG2" s="792" t="s">
        <v>8374</v>
      </c>
      <c r="DH2" s="792" t="s">
        <v>8393</v>
      </c>
      <c r="DI2" s="792" t="s">
        <v>8394</v>
      </c>
      <c r="DJ2" s="812" t="s">
        <v>8360</v>
      </c>
      <c r="DK2" s="792" t="s">
        <v>8392</v>
      </c>
      <c r="DL2" s="792" t="s">
        <v>8374</v>
      </c>
      <c r="DM2" s="792" t="s">
        <v>8393</v>
      </c>
      <c r="DN2" s="792" t="s">
        <v>8394</v>
      </c>
      <c r="DO2" s="812" t="s">
        <v>8360</v>
      </c>
      <c r="DP2" s="1509"/>
      <c r="DQ2" s="1510"/>
      <c r="DR2" s="1492"/>
      <c r="DS2" s="792" t="s">
        <v>8373</v>
      </c>
      <c r="DT2" s="792" t="s">
        <v>8374</v>
      </c>
      <c r="DU2" s="792" t="s">
        <v>8429</v>
      </c>
      <c r="DV2" s="823" t="s">
        <v>4</v>
      </c>
      <c r="DW2" s="823"/>
      <c r="DX2" s="823" t="s">
        <v>8392</v>
      </c>
      <c r="DY2" s="823"/>
      <c r="DZ2" s="823" t="s">
        <v>8393</v>
      </c>
      <c r="EA2" s="823" t="s">
        <v>8394</v>
      </c>
      <c r="EB2" s="823" t="s">
        <v>8363</v>
      </c>
      <c r="EC2" s="823" t="s">
        <v>8415</v>
      </c>
      <c r="ED2" s="1492"/>
      <c r="EE2" s="792" t="s">
        <v>8374</v>
      </c>
      <c r="EF2" s="792" t="s">
        <v>8392</v>
      </c>
      <c r="EG2" s="792" t="s">
        <v>8394</v>
      </c>
      <c r="EH2" s="847" t="s">
        <v>8360</v>
      </c>
      <c r="EI2" s="792" t="s">
        <v>8374</v>
      </c>
      <c r="EJ2" s="792" t="s">
        <v>8392</v>
      </c>
      <c r="EK2" s="792"/>
      <c r="EL2" s="792"/>
      <c r="EM2" s="792" t="s">
        <v>8394</v>
      </c>
      <c r="EN2" s="847" t="s">
        <v>8360</v>
      </c>
      <c r="EO2" s="792" t="s">
        <v>8376</v>
      </c>
      <c r="EP2" s="792"/>
      <c r="EQ2" s="792" t="s">
        <v>8392</v>
      </c>
      <c r="ER2" s="792" t="s">
        <v>8375</v>
      </c>
      <c r="ES2" s="792" t="s">
        <v>8415</v>
      </c>
      <c r="ET2" s="847" t="s">
        <v>8360</v>
      </c>
      <c r="EU2" s="1492"/>
      <c r="EV2" s="792" t="s">
        <v>8374</v>
      </c>
      <c r="EW2" s="792" t="s">
        <v>8392</v>
      </c>
      <c r="EX2" s="792"/>
      <c r="EY2" s="792" t="s">
        <v>8547</v>
      </c>
      <c r="EZ2" s="792" t="s">
        <v>8374</v>
      </c>
      <c r="FA2" s="792" t="s">
        <v>8393</v>
      </c>
      <c r="FB2" s="792" t="s">
        <v>8394</v>
      </c>
      <c r="FC2" s="847" t="s">
        <v>8360</v>
      </c>
      <c r="FD2" s="792" t="s">
        <v>8374</v>
      </c>
      <c r="FE2" s="792" t="s">
        <v>8392</v>
      </c>
      <c r="FF2" s="792" t="s">
        <v>8394</v>
      </c>
      <c r="FG2" s="855" t="s">
        <v>8360</v>
      </c>
      <c r="FH2" s="792" t="s">
        <v>8374</v>
      </c>
      <c r="FI2" s="792" t="s">
        <v>8392</v>
      </c>
      <c r="FJ2" s="792" t="s">
        <v>8374</v>
      </c>
      <c r="FK2" s="792" t="s">
        <v>8393</v>
      </c>
      <c r="FL2" s="792" t="s">
        <v>8394</v>
      </c>
      <c r="FM2" s="792" t="s">
        <v>8375</v>
      </c>
      <c r="FN2" s="792" t="s">
        <v>8374</v>
      </c>
      <c r="FO2" s="792" t="s">
        <v>8392</v>
      </c>
      <c r="FP2" s="792" t="s">
        <v>8374</v>
      </c>
      <c r="FQ2" s="792" t="s">
        <v>8393</v>
      </c>
      <c r="FR2" s="792" t="s">
        <v>8394</v>
      </c>
      <c r="FS2" s="792" t="s">
        <v>8375</v>
      </c>
      <c r="FT2" s="855" t="s">
        <v>8360</v>
      </c>
      <c r="FU2" s="792" t="s">
        <v>8376</v>
      </c>
      <c r="FV2" s="792" t="s">
        <v>8374</v>
      </c>
      <c r="FW2" s="792" t="s">
        <v>8392</v>
      </c>
      <c r="FX2" s="792" t="s">
        <v>8375</v>
      </c>
      <c r="FY2" s="874" t="s">
        <v>8360</v>
      </c>
      <c r="FZ2" s="874" t="s">
        <v>8509</v>
      </c>
      <c r="GA2" s="792" t="s">
        <v>8374</v>
      </c>
      <c r="GB2" s="792" t="s">
        <v>8392</v>
      </c>
      <c r="GC2" s="792" t="s">
        <v>8375</v>
      </c>
      <c r="GD2" s="792" t="s">
        <v>8451</v>
      </c>
      <c r="GE2" s="792" t="s">
        <v>8374</v>
      </c>
      <c r="GF2" s="792" t="s">
        <v>8393</v>
      </c>
      <c r="GG2" s="792" t="s">
        <v>8394</v>
      </c>
      <c r="GH2" s="855" t="s">
        <v>8360</v>
      </c>
      <c r="GI2" s="792" t="s">
        <v>8374</v>
      </c>
      <c r="GJ2" s="792" t="s">
        <v>8392</v>
      </c>
      <c r="GK2" s="792" t="s">
        <v>8375</v>
      </c>
      <c r="GL2" s="792" t="s">
        <v>8451</v>
      </c>
      <c r="GM2" s="792" t="s">
        <v>8374</v>
      </c>
      <c r="GN2" s="792" t="s">
        <v>8393</v>
      </c>
      <c r="GO2" s="792" t="s">
        <v>8394</v>
      </c>
      <c r="GP2" s="855" t="s">
        <v>8360</v>
      </c>
      <c r="GQ2" s="792" t="s">
        <v>8374</v>
      </c>
      <c r="GR2" s="792" t="s">
        <v>8392</v>
      </c>
      <c r="GS2" s="792" t="s">
        <v>8375</v>
      </c>
      <c r="GT2" s="792" t="s">
        <v>8451</v>
      </c>
      <c r="GU2" s="792" t="s">
        <v>8374</v>
      </c>
      <c r="GV2" s="792" t="s">
        <v>8393</v>
      </c>
      <c r="GW2" s="792" t="s">
        <v>8394</v>
      </c>
      <c r="GX2" s="878" t="s">
        <v>8360</v>
      </c>
      <c r="GY2" s="792" t="s">
        <v>8374</v>
      </c>
      <c r="GZ2" s="792" t="s">
        <v>8392</v>
      </c>
      <c r="HA2" s="792" t="s">
        <v>8375</v>
      </c>
      <c r="HB2" s="792" t="s">
        <v>8451</v>
      </c>
      <c r="HC2" s="792" t="s">
        <v>8374</v>
      </c>
      <c r="HD2" s="792" t="s">
        <v>8393</v>
      </c>
      <c r="HE2" s="792" t="s">
        <v>8394</v>
      </c>
      <c r="HF2" s="855" t="s">
        <v>8360</v>
      </c>
      <c r="HG2" s="792" t="s">
        <v>8374</v>
      </c>
      <c r="HH2" s="792" t="s">
        <v>8392</v>
      </c>
      <c r="HI2" s="792" t="s">
        <v>8375</v>
      </c>
      <c r="HJ2" s="862" t="s">
        <v>8360</v>
      </c>
      <c r="HK2" s="1509"/>
      <c r="HL2" s="1510"/>
      <c r="HM2" s="792" t="s">
        <v>8374</v>
      </c>
      <c r="HN2" s="792" t="s">
        <v>8392</v>
      </c>
      <c r="HO2" s="792" t="s">
        <v>8375</v>
      </c>
      <c r="HP2" s="792" t="s">
        <v>8451</v>
      </c>
      <c r="HQ2" s="792" t="s">
        <v>8374</v>
      </c>
      <c r="HR2" s="792" t="s">
        <v>8393</v>
      </c>
      <c r="HS2" s="792" t="s">
        <v>8394</v>
      </c>
      <c r="HT2" s="855" t="s">
        <v>8360</v>
      </c>
      <c r="HU2" s="792" t="s">
        <v>8374</v>
      </c>
      <c r="HV2" s="792" t="s">
        <v>8392</v>
      </c>
      <c r="HW2" s="792" t="s">
        <v>8375</v>
      </c>
      <c r="HX2" s="792" t="s">
        <v>8451</v>
      </c>
      <c r="HY2" s="976" t="s">
        <v>8360</v>
      </c>
      <c r="HZ2" s="792" t="s">
        <v>8374</v>
      </c>
      <c r="IA2" s="792" t="s">
        <v>8392</v>
      </c>
      <c r="IB2" s="792" t="s">
        <v>8375</v>
      </c>
      <c r="IC2" s="792" t="s">
        <v>8451</v>
      </c>
      <c r="ID2" s="917" t="s">
        <v>8360</v>
      </c>
      <c r="IE2" s="792" t="s">
        <v>8374</v>
      </c>
      <c r="IF2" s="792" t="s">
        <v>8392</v>
      </c>
      <c r="IG2" s="792" t="s">
        <v>8375</v>
      </c>
      <c r="IH2" s="792" t="s">
        <v>8451</v>
      </c>
      <c r="II2" s="792" t="s">
        <v>8374</v>
      </c>
      <c r="IJ2" s="792" t="s">
        <v>8393</v>
      </c>
      <c r="IK2" s="792"/>
      <c r="IL2" s="792"/>
      <c r="IM2" s="792" t="s">
        <v>8394</v>
      </c>
      <c r="IN2" s="855" t="s">
        <v>8360</v>
      </c>
      <c r="IO2" s="792" t="s">
        <v>8374</v>
      </c>
      <c r="IP2" s="792" t="s">
        <v>8392</v>
      </c>
      <c r="IQ2" s="792" t="s">
        <v>8375</v>
      </c>
      <c r="IR2" s="792" t="s">
        <v>8451</v>
      </c>
      <c r="IS2" s="792" t="s">
        <v>8374</v>
      </c>
      <c r="IT2" s="792" t="s">
        <v>8393</v>
      </c>
      <c r="IU2" s="792" t="s">
        <v>8394</v>
      </c>
      <c r="IV2" s="855" t="s">
        <v>8360</v>
      </c>
      <c r="IW2" s="792" t="s">
        <v>8374</v>
      </c>
      <c r="IX2" s="792" t="s">
        <v>8392</v>
      </c>
      <c r="IY2" s="792" t="s">
        <v>8375</v>
      </c>
      <c r="IZ2" s="792" t="s">
        <v>8451</v>
      </c>
      <c r="JA2" s="792" t="s">
        <v>8394</v>
      </c>
      <c r="JB2" s="855" t="s">
        <v>8360</v>
      </c>
      <c r="JC2" s="792" t="s">
        <v>8374</v>
      </c>
      <c r="JD2" s="792" t="s">
        <v>8392</v>
      </c>
      <c r="JE2" s="792" t="s">
        <v>8375</v>
      </c>
      <c r="JF2" s="792" t="s">
        <v>8451</v>
      </c>
      <c r="JG2" s="792" t="s">
        <v>8394</v>
      </c>
      <c r="JH2" s="855" t="s">
        <v>8360</v>
      </c>
      <c r="JI2" s="792" t="s">
        <v>8374</v>
      </c>
      <c r="JJ2" s="792" t="s">
        <v>8392</v>
      </c>
      <c r="JK2" s="792" t="s">
        <v>8375</v>
      </c>
      <c r="JL2" s="792" t="s">
        <v>8451</v>
      </c>
      <c r="JM2" s="792" t="s">
        <v>8394</v>
      </c>
      <c r="JN2" s="855" t="s">
        <v>8360</v>
      </c>
      <c r="JO2" s="1492"/>
      <c r="JP2" s="792" t="s">
        <v>8374</v>
      </c>
      <c r="JQ2" s="792" t="s">
        <v>8392</v>
      </c>
      <c r="JR2" s="792" t="s">
        <v>8375</v>
      </c>
      <c r="JS2" s="792" t="s">
        <v>8451</v>
      </c>
      <c r="JT2" s="792"/>
      <c r="JU2" s="792" t="s">
        <v>8547</v>
      </c>
      <c r="JV2" s="792" t="s">
        <v>8374</v>
      </c>
      <c r="JW2" s="792" t="s">
        <v>8393</v>
      </c>
      <c r="JX2" s="792" t="s">
        <v>8394</v>
      </c>
      <c r="JY2" s="855" t="s">
        <v>8360</v>
      </c>
      <c r="JZ2" s="792" t="s">
        <v>8374</v>
      </c>
      <c r="KA2" s="792" t="s">
        <v>8375</v>
      </c>
      <c r="KB2" s="976" t="s">
        <v>8360</v>
      </c>
      <c r="KC2" s="792" t="s">
        <v>8374</v>
      </c>
      <c r="KD2" s="792" t="s">
        <v>8392</v>
      </c>
      <c r="KE2" s="792" t="s">
        <v>8375</v>
      </c>
      <c r="KF2" s="792" t="s">
        <v>8451</v>
      </c>
      <c r="KG2" s="917" t="s">
        <v>8360</v>
      </c>
      <c r="KH2" s="792" t="s">
        <v>8374</v>
      </c>
      <c r="KI2" s="792" t="s">
        <v>8392</v>
      </c>
      <c r="KJ2" s="792" t="s">
        <v>8375</v>
      </c>
      <c r="KK2" s="792" t="s">
        <v>8451</v>
      </c>
      <c r="KL2" s="792" t="s">
        <v>8374</v>
      </c>
      <c r="KM2" s="792" t="s">
        <v>8393</v>
      </c>
      <c r="KN2" s="792" t="s">
        <v>8375</v>
      </c>
      <c r="KO2" s="792" t="s">
        <v>8546</v>
      </c>
      <c r="KP2" s="792" t="s">
        <v>8394</v>
      </c>
      <c r="KQ2" s="855" t="s">
        <v>8360</v>
      </c>
      <c r="KR2" s="792" t="s">
        <v>8392</v>
      </c>
      <c r="KS2" s="792" t="s">
        <v>8394</v>
      </c>
      <c r="KT2" s="855" t="s">
        <v>8360</v>
      </c>
      <c r="KU2" s="792" t="s">
        <v>8374</v>
      </c>
      <c r="KV2" s="792" t="s">
        <v>8392</v>
      </c>
      <c r="KW2" s="792" t="s">
        <v>8375</v>
      </c>
      <c r="KX2" s="792"/>
      <c r="KY2" s="792" t="s">
        <v>8374</v>
      </c>
      <c r="KZ2" s="792" t="s">
        <v>8393</v>
      </c>
      <c r="LA2" s="792" t="s">
        <v>8394</v>
      </c>
      <c r="LB2" s="855" t="s">
        <v>8360</v>
      </c>
      <c r="LC2" s="792" t="s">
        <v>8374</v>
      </c>
      <c r="LD2" s="792" t="s">
        <v>8392</v>
      </c>
      <c r="LE2" s="792" t="s">
        <v>8375</v>
      </c>
      <c r="LF2" s="792"/>
      <c r="LG2" s="792" t="s">
        <v>8374</v>
      </c>
      <c r="LH2" s="792" t="s">
        <v>8393</v>
      </c>
      <c r="LI2" s="792" t="s">
        <v>8546</v>
      </c>
      <c r="LJ2" s="792" t="s">
        <v>8394</v>
      </c>
      <c r="LK2" s="855" t="s">
        <v>8360</v>
      </c>
      <c r="LL2" s="792" t="s">
        <v>8374</v>
      </c>
      <c r="LM2" s="792" t="s">
        <v>8392</v>
      </c>
      <c r="LN2" s="792" t="s">
        <v>8375</v>
      </c>
      <c r="LO2" s="792" t="s">
        <v>8393</v>
      </c>
      <c r="LP2" s="792" t="s">
        <v>8394</v>
      </c>
      <c r="LQ2" s="855" t="s">
        <v>8360</v>
      </c>
      <c r="LR2" s="792" t="s">
        <v>8374</v>
      </c>
      <c r="LS2" s="792" t="s">
        <v>8392</v>
      </c>
      <c r="LT2" s="792" t="s">
        <v>8375</v>
      </c>
      <c r="LU2" s="792" t="s">
        <v>8451</v>
      </c>
      <c r="LV2" s="792" t="s">
        <v>8394</v>
      </c>
      <c r="LW2" s="855" t="s">
        <v>8360</v>
      </c>
      <c r="LX2" s="1492"/>
      <c r="LY2" s="792" t="s">
        <v>8374</v>
      </c>
      <c r="LZ2" s="792" t="s">
        <v>8479</v>
      </c>
      <c r="MA2" s="792" t="s">
        <v>8487</v>
      </c>
      <c r="MB2" s="792" t="s">
        <v>8392</v>
      </c>
      <c r="MC2" s="792"/>
      <c r="MD2" s="792" t="s">
        <v>8547</v>
      </c>
      <c r="ME2" s="792" t="s">
        <v>8374</v>
      </c>
      <c r="MF2" s="792" t="s">
        <v>8393</v>
      </c>
      <c r="MG2" s="792" t="s">
        <v>8394</v>
      </c>
      <c r="MH2" s="855" t="s">
        <v>8360</v>
      </c>
      <c r="MI2" s="792" t="s">
        <v>8374</v>
      </c>
      <c r="MJ2" s="792" t="s">
        <v>8392</v>
      </c>
      <c r="MK2" s="862" t="s">
        <v>8360</v>
      </c>
      <c r="ML2" s="792" t="s">
        <v>8376</v>
      </c>
      <c r="MM2" s="792" t="s">
        <v>8392</v>
      </c>
      <c r="MN2" s="792" t="s">
        <v>8375</v>
      </c>
      <c r="MO2" s="862" t="s">
        <v>8360</v>
      </c>
      <c r="MP2" s="792" t="s">
        <v>8376</v>
      </c>
      <c r="MQ2" s="792" t="s">
        <v>8392</v>
      </c>
      <c r="MR2" s="792" t="s">
        <v>8375</v>
      </c>
      <c r="MS2" s="862" t="s">
        <v>8360</v>
      </c>
      <c r="MT2" s="792" t="s">
        <v>8376</v>
      </c>
      <c r="MU2" s="792" t="s">
        <v>8392</v>
      </c>
      <c r="MV2" s="1023" t="s">
        <v>8360</v>
      </c>
      <c r="MW2" s="1492"/>
      <c r="MX2" s="792" t="s">
        <v>4</v>
      </c>
      <c r="MY2" s="792" t="s">
        <v>8374</v>
      </c>
      <c r="MZ2" s="792" t="s">
        <v>8392</v>
      </c>
      <c r="NA2" s="792" t="s">
        <v>8451</v>
      </c>
      <c r="NB2" s="792"/>
      <c r="NC2" s="792" t="s">
        <v>8547</v>
      </c>
      <c r="ND2" s="792" t="s">
        <v>8374</v>
      </c>
      <c r="NE2" s="792" t="s">
        <v>8393</v>
      </c>
      <c r="NF2" s="792" t="s">
        <v>8394</v>
      </c>
      <c r="NG2" s="986" t="s">
        <v>8360</v>
      </c>
      <c r="NH2" s="792" t="s">
        <v>8373</v>
      </c>
      <c r="NI2" s="823" t="s">
        <v>8392</v>
      </c>
      <c r="NJ2" s="823" t="s">
        <v>8375</v>
      </c>
      <c r="NK2" s="823" t="s">
        <v>4</v>
      </c>
      <c r="NL2" s="823"/>
      <c r="NM2" s="823" t="s">
        <v>8392</v>
      </c>
      <c r="NN2" s="823"/>
      <c r="NO2" s="823" t="s">
        <v>8393</v>
      </c>
      <c r="NP2" s="823" t="s">
        <v>8394</v>
      </c>
      <c r="NQ2" s="823" t="s">
        <v>8363</v>
      </c>
      <c r="NR2" s="823" t="s">
        <v>8415</v>
      </c>
      <c r="NS2" s="822" t="s">
        <v>8360</v>
      </c>
      <c r="NT2" s="1482"/>
      <c r="NU2" s="792" t="s">
        <v>8374</v>
      </c>
      <c r="NV2" s="792" t="s">
        <v>8392</v>
      </c>
      <c r="NW2" s="792"/>
      <c r="NX2" s="792" t="s">
        <v>8547</v>
      </c>
      <c r="NY2" s="792" t="s">
        <v>8374</v>
      </c>
      <c r="NZ2" s="792" t="s">
        <v>8393</v>
      </c>
      <c r="OA2" s="792" t="s">
        <v>8394</v>
      </c>
      <c r="OB2" s="1054" t="s">
        <v>8360</v>
      </c>
      <c r="OC2" s="792" t="s">
        <v>4</v>
      </c>
      <c r="OD2" s="792" t="s">
        <v>8374</v>
      </c>
      <c r="OE2" s="792" t="s">
        <v>8392</v>
      </c>
      <c r="OF2" s="792" t="s">
        <v>8451</v>
      </c>
      <c r="OG2" s="792"/>
      <c r="OH2" s="792" t="s">
        <v>8547</v>
      </c>
      <c r="OI2" s="792" t="s">
        <v>8374</v>
      </c>
      <c r="OJ2" s="792" t="s">
        <v>8393</v>
      </c>
      <c r="OK2" s="792" t="s">
        <v>8394</v>
      </c>
      <c r="OL2" s="945" t="s">
        <v>8360</v>
      </c>
      <c r="OM2" s="823" t="s">
        <v>4</v>
      </c>
      <c r="ON2" s="860" t="s">
        <v>8360</v>
      </c>
      <c r="OO2" s="1482"/>
      <c r="OP2" s="792" t="s">
        <v>4</v>
      </c>
      <c r="OQ2" s="792" t="s">
        <v>8374</v>
      </c>
      <c r="OR2" s="792" t="s">
        <v>8392</v>
      </c>
      <c r="OS2" s="792"/>
      <c r="OT2" s="792" t="s">
        <v>8547</v>
      </c>
      <c r="OU2" s="792" t="s">
        <v>8374</v>
      </c>
      <c r="OV2" s="792" t="s">
        <v>8393</v>
      </c>
      <c r="OW2" s="792" t="s">
        <v>8394</v>
      </c>
      <c r="OX2" s="934" t="s">
        <v>8360</v>
      </c>
      <c r="OY2" s="792" t="s">
        <v>8374</v>
      </c>
      <c r="OZ2" s="823" t="s">
        <v>8392</v>
      </c>
      <c r="PA2" s="792" t="s">
        <v>8374</v>
      </c>
      <c r="PB2" s="823" t="s">
        <v>8393</v>
      </c>
      <c r="PC2" s="823" t="s">
        <v>8394</v>
      </c>
      <c r="PD2" s="1108" t="s">
        <v>8360</v>
      </c>
      <c r="PE2" s="792" t="s">
        <v>8374</v>
      </c>
      <c r="PF2" s="823" t="s">
        <v>8392</v>
      </c>
      <c r="PG2" s="792" t="s">
        <v>8374</v>
      </c>
      <c r="PH2" s="823" t="s">
        <v>8393</v>
      </c>
      <c r="PI2" s="823" t="s">
        <v>8394</v>
      </c>
      <c r="PJ2" s="1108" t="s">
        <v>8360</v>
      </c>
      <c r="PK2" s="792" t="s">
        <v>8374</v>
      </c>
      <c r="PL2" s="823" t="s">
        <v>8392</v>
      </c>
      <c r="PM2" s="792" t="s">
        <v>8374</v>
      </c>
      <c r="PN2" s="823" t="s">
        <v>8393</v>
      </c>
      <c r="PO2" s="823" t="s">
        <v>8394</v>
      </c>
      <c r="PP2" s="1108" t="s">
        <v>8360</v>
      </c>
      <c r="PQ2" s="792" t="s">
        <v>8374</v>
      </c>
      <c r="PR2" s="823" t="s">
        <v>8392</v>
      </c>
      <c r="PS2" s="823" t="s">
        <v>8375</v>
      </c>
      <c r="PT2" s="823" t="s">
        <v>8451</v>
      </c>
      <c r="PU2" s="792" t="s">
        <v>8374</v>
      </c>
      <c r="PV2" s="823" t="s">
        <v>8393</v>
      </c>
      <c r="PW2" s="823" t="s">
        <v>8394</v>
      </c>
      <c r="PX2" s="823" t="s">
        <v>8602</v>
      </c>
      <c r="PY2" s="822" t="s">
        <v>8360</v>
      </c>
      <c r="PZ2" s="792" t="s">
        <v>8374</v>
      </c>
      <c r="QA2" s="823" t="s">
        <v>8392</v>
      </c>
      <c r="QB2" s="823" t="s">
        <v>8375</v>
      </c>
      <c r="QC2" s="823" t="s">
        <v>8451</v>
      </c>
      <c r="QD2" s="792" t="s">
        <v>8374</v>
      </c>
      <c r="QE2" s="823" t="s">
        <v>8393</v>
      </c>
      <c r="QF2" s="823" t="s">
        <v>8394</v>
      </c>
      <c r="QG2" s="823" t="s">
        <v>8586</v>
      </c>
      <c r="QH2" s="822" t="s">
        <v>8360</v>
      </c>
      <c r="QI2" s="792" t="s">
        <v>8374</v>
      </c>
      <c r="QJ2" s="823" t="s">
        <v>8392</v>
      </c>
      <c r="QK2" s="823" t="s">
        <v>8375</v>
      </c>
      <c r="QL2" s="823" t="s">
        <v>8451</v>
      </c>
      <c r="QM2" s="792" t="s">
        <v>8374</v>
      </c>
      <c r="QN2" s="823" t="s">
        <v>8393</v>
      </c>
      <c r="QO2" s="823" t="s">
        <v>8394</v>
      </c>
      <c r="QP2" s="823" t="s">
        <v>8586</v>
      </c>
      <c r="QQ2" s="822" t="s">
        <v>8360</v>
      </c>
      <c r="QR2" s="792" t="s">
        <v>8374</v>
      </c>
      <c r="QS2" s="823" t="s">
        <v>8392</v>
      </c>
      <c r="QT2" s="823" t="s">
        <v>8375</v>
      </c>
      <c r="QU2" s="823" t="s">
        <v>8451</v>
      </c>
      <c r="QV2" s="792" t="s">
        <v>8374</v>
      </c>
      <c r="QW2" s="823" t="s">
        <v>8393</v>
      </c>
      <c r="QX2" s="823" t="s">
        <v>8394</v>
      </c>
      <c r="QY2" s="823" t="s">
        <v>8586</v>
      </c>
      <c r="QZ2" s="822" t="s">
        <v>8360</v>
      </c>
      <c r="RA2" s="1484"/>
      <c r="RB2" s="1496"/>
      <c r="RC2" s="792" t="s">
        <v>4</v>
      </c>
      <c r="RD2" s="792" t="s">
        <v>8374</v>
      </c>
      <c r="RE2" s="792" t="s">
        <v>8392</v>
      </c>
      <c r="RF2" s="792"/>
      <c r="RG2" s="792" t="s">
        <v>8547</v>
      </c>
      <c r="RH2" s="792" t="s">
        <v>8374</v>
      </c>
      <c r="RI2" s="792" t="s">
        <v>8393</v>
      </c>
      <c r="RJ2" s="792" t="s">
        <v>8394</v>
      </c>
      <c r="RK2" s="1052" t="s">
        <v>8360</v>
      </c>
      <c r="RL2" s="823" t="s">
        <v>4</v>
      </c>
      <c r="RM2" s="792" t="s">
        <v>8374</v>
      </c>
      <c r="RN2" s="792" t="s">
        <v>8392</v>
      </c>
      <c r="RO2" s="1054" t="s">
        <v>8360</v>
      </c>
      <c r="RP2" s="792" t="s">
        <v>8374</v>
      </c>
      <c r="RQ2" s="823" t="s">
        <v>8392</v>
      </c>
      <c r="RR2" s="792" t="s">
        <v>8374</v>
      </c>
      <c r="RS2" s="823" t="s">
        <v>8393</v>
      </c>
      <c r="RT2" s="823" t="s">
        <v>8394</v>
      </c>
      <c r="RU2" s="822" t="s">
        <v>8360</v>
      </c>
      <c r="RV2" s="792" t="s">
        <v>8374</v>
      </c>
      <c r="RW2" s="823" t="s">
        <v>8392</v>
      </c>
      <c r="RX2" s="792" t="s">
        <v>8374</v>
      </c>
      <c r="RY2" s="823" t="s">
        <v>8393</v>
      </c>
      <c r="RZ2" s="823" t="s">
        <v>8394</v>
      </c>
      <c r="SA2" s="1108" t="s">
        <v>8360</v>
      </c>
      <c r="SB2" s="792" t="s">
        <v>8374</v>
      </c>
      <c r="SC2" s="823" t="s">
        <v>8392</v>
      </c>
      <c r="SD2" s="792" t="s">
        <v>8374</v>
      </c>
      <c r="SE2" s="823" t="s">
        <v>8393</v>
      </c>
      <c r="SF2" s="823" t="s">
        <v>8394</v>
      </c>
      <c r="SG2" s="1110" t="s">
        <v>8360</v>
      </c>
      <c r="SH2" s="1545"/>
      <c r="SI2" s="1111" t="s">
        <v>4</v>
      </c>
      <c r="SJ2" s="792" t="s">
        <v>8374</v>
      </c>
      <c r="SK2" s="792" t="s">
        <v>8392</v>
      </c>
      <c r="SL2" s="792"/>
      <c r="SM2" s="792" t="s">
        <v>8547</v>
      </c>
      <c r="SN2" s="792" t="s">
        <v>8374</v>
      </c>
      <c r="SO2" s="792" t="s">
        <v>8393</v>
      </c>
      <c r="SP2" s="792" t="s">
        <v>8394</v>
      </c>
      <c r="SQ2" s="878" t="s">
        <v>8360</v>
      </c>
      <c r="SR2" s="792" t="s">
        <v>4</v>
      </c>
      <c r="SS2" s="792" t="s">
        <v>8374</v>
      </c>
      <c r="ST2" s="792" t="s">
        <v>8392</v>
      </c>
      <c r="SU2" s="1172" t="s">
        <v>8360</v>
      </c>
      <c r="SV2" s="792" t="s">
        <v>8373</v>
      </c>
      <c r="SW2" s="823" t="s">
        <v>8392</v>
      </c>
      <c r="SX2" s="823" t="s">
        <v>8375</v>
      </c>
      <c r="SY2" s="823" t="s">
        <v>4</v>
      </c>
      <c r="SZ2" s="823"/>
      <c r="TA2" s="823" t="s">
        <v>8392</v>
      </c>
      <c r="TB2" s="823"/>
      <c r="TC2" s="823" t="s">
        <v>8393</v>
      </c>
      <c r="TD2" s="823" t="s">
        <v>8394</v>
      </c>
      <c r="TE2" s="823" t="s">
        <v>8363</v>
      </c>
      <c r="TF2" s="823" t="s">
        <v>8415</v>
      </c>
      <c r="TG2" s="822" t="s">
        <v>8360</v>
      </c>
      <c r="TH2" s="792" t="s">
        <v>8373</v>
      </c>
      <c r="TI2" s="823" t="s">
        <v>8392</v>
      </c>
      <c r="TJ2" s="823" t="s">
        <v>8375</v>
      </c>
      <c r="TK2" s="823" t="s">
        <v>4</v>
      </c>
      <c r="TL2" s="823"/>
      <c r="TM2" s="823" t="s">
        <v>8392</v>
      </c>
      <c r="TN2" s="823"/>
      <c r="TO2" s="823" t="s">
        <v>8393</v>
      </c>
      <c r="TP2" s="823" t="s">
        <v>8394</v>
      </c>
      <c r="TQ2" s="823" t="s">
        <v>8363</v>
      </c>
      <c r="TR2" s="823" t="s">
        <v>8415</v>
      </c>
      <c r="TS2" s="822" t="s">
        <v>8360</v>
      </c>
      <c r="TT2" s="792" t="s">
        <v>8373</v>
      </c>
      <c r="TU2" s="823" t="s">
        <v>8392</v>
      </c>
      <c r="TV2" s="823" t="s">
        <v>8375</v>
      </c>
      <c r="TW2" s="823" t="s">
        <v>4</v>
      </c>
      <c r="TX2" s="823"/>
      <c r="TY2" s="823" t="s">
        <v>8392</v>
      </c>
      <c r="TZ2" s="823"/>
      <c r="UA2" s="823" t="s">
        <v>8393</v>
      </c>
      <c r="UB2" s="823" t="s">
        <v>8394</v>
      </c>
      <c r="UC2" s="823" t="s">
        <v>8363</v>
      </c>
      <c r="UD2" s="823" t="s">
        <v>8415</v>
      </c>
      <c r="UE2" s="822" t="s">
        <v>8360</v>
      </c>
      <c r="UF2" s="792" t="s">
        <v>8373</v>
      </c>
      <c r="UG2" s="823" t="s">
        <v>8392</v>
      </c>
      <c r="UH2" s="823" t="s">
        <v>8375</v>
      </c>
      <c r="UI2" s="823" t="s">
        <v>4</v>
      </c>
      <c r="UJ2" s="823"/>
      <c r="UK2" s="823" t="s">
        <v>8392</v>
      </c>
      <c r="UL2" s="823"/>
      <c r="UM2" s="823" t="s">
        <v>8393</v>
      </c>
      <c r="UN2" s="823" t="s">
        <v>8394</v>
      </c>
      <c r="UO2" s="823" t="s">
        <v>8363</v>
      </c>
      <c r="UP2" s="823" t="s">
        <v>8415</v>
      </c>
      <c r="UQ2" s="822" t="s">
        <v>8360</v>
      </c>
      <c r="UR2" s="792" t="s">
        <v>8373</v>
      </c>
      <c r="US2" s="823" t="s">
        <v>8392</v>
      </c>
      <c r="UT2" s="823" t="s">
        <v>8375</v>
      </c>
      <c r="UU2" s="823" t="s">
        <v>4</v>
      </c>
      <c r="UV2" s="823"/>
      <c r="UW2" s="823" t="s">
        <v>8392</v>
      </c>
      <c r="UX2" s="823"/>
      <c r="UY2" s="823" t="s">
        <v>8393</v>
      </c>
      <c r="UZ2" s="823" t="s">
        <v>8394</v>
      </c>
      <c r="VA2" s="823" t="s">
        <v>8363</v>
      </c>
      <c r="VB2" s="823" t="s">
        <v>8415</v>
      </c>
      <c r="VC2" s="822" t="s">
        <v>8360</v>
      </c>
      <c r="VD2" s="792" t="s">
        <v>8373</v>
      </c>
      <c r="VE2" s="823" t="s">
        <v>8392</v>
      </c>
      <c r="VF2" s="823" t="s">
        <v>8375</v>
      </c>
      <c r="VG2" s="823" t="s">
        <v>4</v>
      </c>
      <c r="VH2" s="823"/>
      <c r="VI2" s="823" t="s">
        <v>8392</v>
      </c>
      <c r="VJ2" s="823"/>
      <c r="VK2" s="823" t="s">
        <v>8393</v>
      </c>
      <c r="VL2" s="823" t="s">
        <v>8394</v>
      </c>
      <c r="VM2" s="823" t="s">
        <v>8363</v>
      </c>
      <c r="VN2" s="823" t="s">
        <v>8415</v>
      </c>
      <c r="VO2" s="822" t="s">
        <v>8360</v>
      </c>
      <c r="VP2" s="792" t="s">
        <v>8373</v>
      </c>
      <c r="VQ2" s="823" t="s">
        <v>8392</v>
      </c>
      <c r="VR2" s="823" t="s">
        <v>8375</v>
      </c>
      <c r="VS2" s="823" t="s">
        <v>4</v>
      </c>
      <c r="VT2" s="823"/>
      <c r="VU2" s="823" t="s">
        <v>8392</v>
      </c>
      <c r="VV2" s="823"/>
      <c r="VW2" s="823" t="s">
        <v>8393</v>
      </c>
      <c r="VX2" s="823" t="s">
        <v>8394</v>
      </c>
      <c r="VY2" s="823" t="s">
        <v>8363</v>
      </c>
      <c r="VZ2" s="823" t="s">
        <v>8415</v>
      </c>
      <c r="WA2" s="822" t="s">
        <v>8360</v>
      </c>
      <c r="WB2" s="792" t="s">
        <v>8373</v>
      </c>
      <c r="WC2" s="823" t="s">
        <v>8392</v>
      </c>
      <c r="WD2" s="823" t="s">
        <v>8375</v>
      </c>
      <c r="WE2" s="823" t="s">
        <v>4</v>
      </c>
      <c r="WF2" s="823"/>
      <c r="WG2" s="823" t="s">
        <v>8392</v>
      </c>
      <c r="WH2" s="823"/>
      <c r="WI2" s="823" t="s">
        <v>8393</v>
      </c>
      <c r="WJ2" s="823" t="s">
        <v>8394</v>
      </c>
      <c r="WK2" s="823" t="s">
        <v>8363</v>
      </c>
      <c r="WL2" s="823" t="s">
        <v>8415</v>
      </c>
      <c r="WM2" s="822" t="s">
        <v>8360</v>
      </c>
      <c r="WN2" s="792" t="s">
        <v>8373</v>
      </c>
      <c r="WO2" s="823" t="s">
        <v>8392</v>
      </c>
      <c r="WP2" s="823" t="s">
        <v>8375</v>
      </c>
      <c r="WQ2" s="823" t="s">
        <v>4</v>
      </c>
      <c r="WR2" s="823"/>
      <c r="WS2" s="823" t="s">
        <v>8392</v>
      </c>
      <c r="WT2" s="823"/>
      <c r="WU2" s="823" t="s">
        <v>8393</v>
      </c>
      <c r="WV2" s="823" t="s">
        <v>8394</v>
      </c>
      <c r="WW2" s="823" t="s">
        <v>8363</v>
      </c>
      <c r="WX2" s="823" t="s">
        <v>8415</v>
      </c>
      <c r="WY2" s="822" t="s">
        <v>8360</v>
      </c>
      <c r="WZ2" s="792" t="s">
        <v>8373</v>
      </c>
      <c r="XA2" s="823" t="s">
        <v>8392</v>
      </c>
      <c r="XB2" s="823" t="s">
        <v>8375</v>
      </c>
      <c r="XC2" s="823" t="s">
        <v>4</v>
      </c>
      <c r="XD2" s="823"/>
      <c r="XE2" s="823" t="s">
        <v>8392</v>
      </c>
      <c r="XF2" s="823"/>
      <c r="XG2" s="823" t="s">
        <v>8393</v>
      </c>
      <c r="XH2" s="823" t="s">
        <v>8394</v>
      </c>
      <c r="XI2" s="823" t="s">
        <v>8363</v>
      </c>
      <c r="XJ2" s="823" t="s">
        <v>8415</v>
      </c>
      <c r="XK2" s="822" t="s">
        <v>8360</v>
      </c>
      <c r="XL2" s="1484"/>
      <c r="XM2" s="823" t="s">
        <v>4</v>
      </c>
      <c r="XN2" s="792" t="s">
        <v>8374</v>
      </c>
      <c r="XO2" s="792" t="s">
        <v>8451</v>
      </c>
      <c r="XP2" s="792"/>
      <c r="XQ2" s="792" t="s">
        <v>8547</v>
      </c>
      <c r="XR2" s="792" t="s">
        <v>8374</v>
      </c>
      <c r="XS2" s="792" t="s">
        <v>8393</v>
      </c>
      <c r="XT2" s="792" t="s">
        <v>8394</v>
      </c>
      <c r="XU2" s="862" t="s">
        <v>8360</v>
      </c>
      <c r="XV2" s="792" t="s">
        <v>4</v>
      </c>
      <c r="XW2" s="792" t="s">
        <v>8374</v>
      </c>
      <c r="XX2" s="792" t="s">
        <v>8392</v>
      </c>
      <c r="XY2" s="862" t="s">
        <v>8360</v>
      </c>
      <c r="XZ2" s="792" t="s">
        <v>8376</v>
      </c>
      <c r="YA2" s="792" t="s">
        <v>8392</v>
      </c>
      <c r="YB2" s="792" t="s">
        <v>8375</v>
      </c>
      <c r="YC2" s="874" t="s">
        <v>8360</v>
      </c>
      <c r="YD2" s="792" t="s">
        <v>8373</v>
      </c>
      <c r="YE2" s="823" t="s">
        <v>8392</v>
      </c>
      <c r="YF2" s="823" t="s">
        <v>8375</v>
      </c>
      <c r="YG2" s="823" t="s">
        <v>4</v>
      </c>
      <c r="YH2" s="823"/>
      <c r="YI2" s="823" t="s">
        <v>8392</v>
      </c>
      <c r="YJ2" s="823"/>
      <c r="YK2" s="823" t="s">
        <v>8393</v>
      </c>
      <c r="YL2" s="823" t="s">
        <v>8394</v>
      </c>
      <c r="YM2" s="823" t="s">
        <v>8363</v>
      </c>
      <c r="YN2" s="823" t="s">
        <v>8415</v>
      </c>
      <c r="YO2" s="822" t="s">
        <v>8360</v>
      </c>
      <c r="YP2" s="792" t="s">
        <v>8373</v>
      </c>
      <c r="YQ2" s="823" t="s">
        <v>8392</v>
      </c>
      <c r="YR2" s="823" t="s">
        <v>8375</v>
      </c>
      <c r="YS2" s="823" t="s">
        <v>4</v>
      </c>
      <c r="YT2" s="823"/>
      <c r="YU2" s="823" t="s">
        <v>8392</v>
      </c>
      <c r="YV2" s="823"/>
      <c r="YW2" s="823" t="s">
        <v>8393</v>
      </c>
      <c r="YX2" s="823" t="s">
        <v>8394</v>
      </c>
      <c r="YY2" s="823" t="s">
        <v>8363</v>
      </c>
      <c r="YZ2" s="823" t="s">
        <v>8415</v>
      </c>
      <c r="ZA2" s="822" t="s">
        <v>8360</v>
      </c>
      <c r="ZB2" s="792" t="s">
        <v>8373</v>
      </c>
      <c r="ZC2" s="823" t="s">
        <v>8392</v>
      </c>
      <c r="ZD2" s="823" t="s">
        <v>8375</v>
      </c>
      <c r="ZE2" s="823" t="s">
        <v>4</v>
      </c>
      <c r="ZF2" s="823"/>
      <c r="ZG2" s="823" t="s">
        <v>8392</v>
      </c>
      <c r="ZH2" s="823"/>
      <c r="ZI2" s="823" t="s">
        <v>8393</v>
      </c>
      <c r="ZJ2" s="823" t="s">
        <v>8394</v>
      </c>
      <c r="ZK2" s="823" t="s">
        <v>8363</v>
      </c>
      <c r="ZL2" s="823" t="s">
        <v>8415</v>
      </c>
      <c r="ZM2" s="822" t="s">
        <v>8360</v>
      </c>
      <c r="ZN2" s="792" t="s">
        <v>8373</v>
      </c>
      <c r="ZO2" s="823" t="s">
        <v>8392</v>
      </c>
      <c r="ZP2" s="823" t="s">
        <v>8375</v>
      </c>
      <c r="ZQ2" s="823" t="s">
        <v>4</v>
      </c>
      <c r="ZR2" s="823"/>
      <c r="ZS2" s="823" t="s">
        <v>8392</v>
      </c>
      <c r="ZT2" s="823"/>
      <c r="ZU2" s="823" t="s">
        <v>8393</v>
      </c>
      <c r="ZV2" s="823" t="s">
        <v>8394</v>
      </c>
      <c r="ZW2" s="823" t="s">
        <v>8363</v>
      </c>
      <c r="ZX2" s="823" t="s">
        <v>8415</v>
      </c>
      <c r="ZY2" s="822" t="s">
        <v>8360</v>
      </c>
      <c r="ZZ2" s="792" t="s">
        <v>8373</v>
      </c>
      <c r="AAA2" s="823" t="s">
        <v>8392</v>
      </c>
      <c r="AAB2" s="823" t="s">
        <v>8375</v>
      </c>
      <c r="AAC2" s="823" t="s">
        <v>4</v>
      </c>
      <c r="AAD2" s="823"/>
      <c r="AAE2" s="823" t="s">
        <v>8392</v>
      </c>
      <c r="AAF2" s="823"/>
      <c r="AAG2" s="823" t="s">
        <v>8393</v>
      </c>
      <c r="AAH2" s="823" t="s">
        <v>8394</v>
      </c>
      <c r="AAI2" s="823" t="s">
        <v>8363</v>
      </c>
      <c r="AAJ2" s="823" t="s">
        <v>8415</v>
      </c>
      <c r="AAK2" s="822" t="s">
        <v>8360</v>
      </c>
      <c r="AAL2" s="1482"/>
      <c r="AAM2" s="1041" t="s">
        <v>4</v>
      </c>
      <c r="AAN2" s="792" t="s">
        <v>8374</v>
      </c>
      <c r="AAO2" s="792" t="s">
        <v>8451</v>
      </c>
      <c r="AAP2" s="792"/>
      <c r="AAQ2" s="792" t="s">
        <v>8547</v>
      </c>
      <c r="AAR2" s="792" t="s">
        <v>8374</v>
      </c>
      <c r="AAS2" s="792" t="s">
        <v>8393</v>
      </c>
      <c r="AAT2" s="792" t="s">
        <v>8394</v>
      </c>
      <c r="AAU2" s="945" t="s">
        <v>8360</v>
      </c>
      <c r="AAV2" s="792" t="s">
        <v>8374</v>
      </c>
      <c r="AAW2" s="823" t="s">
        <v>8392</v>
      </c>
      <c r="AAX2" s="823" t="s">
        <v>8375</v>
      </c>
      <c r="AAY2" s="823" t="s">
        <v>8451</v>
      </c>
      <c r="AAZ2" s="823" t="s">
        <v>8394</v>
      </c>
      <c r="ABA2" s="822" t="s">
        <v>8360</v>
      </c>
      <c r="ABB2" s="1484"/>
      <c r="ABC2" s="792" t="s">
        <v>4</v>
      </c>
      <c r="ABD2" s="792" t="s">
        <v>8374</v>
      </c>
      <c r="ABE2" s="792" t="s">
        <v>8392</v>
      </c>
      <c r="ABF2" s="792" t="s">
        <v>8675</v>
      </c>
      <c r="ABG2" s="792" t="s">
        <v>8547</v>
      </c>
      <c r="ABH2" s="792" t="s">
        <v>8675</v>
      </c>
      <c r="ABI2" s="792" t="s">
        <v>8393</v>
      </c>
      <c r="ABJ2" s="792" t="s">
        <v>8394</v>
      </c>
      <c r="ABK2" s="1041" t="s">
        <v>8360</v>
      </c>
      <c r="ABL2" s="792" t="s">
        <v>8374</v>
      </c>
      <c r="ABM2" s="823" t="s">
        <v>8392</v>
      </c>
      <c r="ABN2" s="792" t="s">
        <v>8374</v>
      </c>
      <c r="ABO2" s="823" t="s">
        <v>8393</v>
      </c>
      <c r="ABP2" s="823" t="s">
        <v>8394</v>
      </c>
      <c r="ABQ2" s="822" t="s">
        <v>8360</v>
      </c>
      <c r="ABR2" s="792" t="s">
        <v>8374</v>
      </c>
      <c r="ABS2" s="823" t="s">
        <v>8392</v>
      </c>
      <c r="ABT2" s="792" t="s">
        <v>8374</v>
      </c>
      <c r="ABU2" s="823" t="s">
        <v>8393</v>
      </c>
      <c r="ABV2" s="823" t="s">
        <v>8394</v>
      </c>
      <c r="ABW2" s="822" t="s">
        <v>8360</v>
      </c>
      <c r="ABX2" s="792" t="s">
        <v>8374</v>
      </c>
      <c r="ABY2" s="823" t="s">
        <v>8392</v>
      </c>
      <c r="ABZ2" s="792" t="s">
        <v>8374</v>
      </c>
      <c r="ACA2" s="823" t="s">
        <v>8393</v>
      </c>
      <c r="ACB2" s="823" t="s">
        <v>8394</v>
      </c>
      <c r="ACC2" s="822" t="s">
        <v>8360</v>
      </c>
      <c r="ACD2" s="792" t="s">
        <v>8374</v>
      </c>
      <c r="ACE2" s="823" t="s">
        <v>8392</v>
      </c>
      <c r="ACF2" s="823" t="s">
        <v>8393</v>
      </c>
      <c r="ACG2" s="823" t="s">
        <v>8394</v>
      </c>
      <c r="ACH2" s="792" t="s">
        <v>8586</v>
      </c>
      <c r="ACI2" s="823" t="s">
        <v>8392</v>
      </c>
      <c r="ACJ2" s="823" t="s">
        <v>8393</v>
      </c>
      <c r="ACK2" s="823" t="s">
        <v>8394</v>
      </c>
      <c r="ACL2" s="823" t="s">
        <v>8712</v>
      </c>
      <c r="ACM2" s="822" t="s">
        <v>8360</v>
      </c>
      <c r="ACN2" s="792" t="s">
        <v>8374</v>
      </c>
      <c r="ACO2" s="823" t="s">
        <v>8392</v>
      </c>
      <c r="ACP2" s="823" t="s">
        <v>8393</v>
      </c>
      <c r="ACQ2" s="823" t="s">
        <v>8394</v>
      </c>
      <c r="ACR2" s="792" t="s">
        <v>8586</v>
      </c>
      <c r="ACS2" s="823" t="s">
        <v>8392</v>
      </c>
      <c r="ACT2" s="823" t="s">
        <v>8393</v>
      </c>
      <c r="ACU2" s="823" t="s">
        <v>8394</v>
      </c>
      <c r="ACV2" s="823" t="s">
        <v>8712</v>
      </c>
      <c r="ACW2" s="822" t="s">
        <v>8360</v>
      </c>
      <c r="ACX2" s="792" t="s">
        <v>8374</v>
      </c>
      <c r="ACY2" s="823" t="s">
        <v>8392</v>
      </c>
      <c r="ACZ2" s="823" t="s">
        <v>8393</v>
      </c>
      <c r="ADA2" s="823" t="s">
        <v>8394</v>
      </c>
      <c r="ADB2" s="792" t="s">
        <v>8586</v>
      </c>
      <c r="ADC2" s="823" t="s">
        <v>8392</v>
      </c>
      <c r="ADD2" s="823" t="s">
        <v>8393</v>
      </c>
      <c r="ADE2" s="823" t="s">
        <v>8394</v>
      </c>
      <c r="ADF2" s="823" t="s">
        <v>8712</v>
      </c>
      <c r="ADG2" s="822" t="s">
        <v>8360</v>
      </c>
      <c r="ADH2" s="792" t="s">
        <v>8374</v>
      </c>
      <c r="ADI2" s="823" t="s">
        <v>8392</v>
      </c>
      <c r="ADJ2" s="823" t="s">
        <v>8393</v>
      </c>
      <c r="ADK2" s="823" t="s">
        <v>8394</v>
      </c>
      <c r="ADL2" s="792" t="s">
        <v>8586</v>
      </c>
      <c r="ADM2" s="823" t="s">
        <v>8392</v>
      </c>
      <c r="ADN2" s="823" t="s">
        <v>8393</v>
      </c>
      <c r="ADO2" s="823" t="s">
        <v>8394</v>
      </c>
      <c r="ADP2" s="823" t="s">
        <v>8712</v>
      </c>
      <c r="ADQ2" s="822" t="s">
        <v>8360</v>
      </c>
      <c r="ADR2" s="1484"/>
      <c r="ADS2" s="792" t="s">
        <v>4</v>
      </c>
      <c r="ADT2" s="792" t="s">
        <v>8374</v>
      </c>
      <c r="ADU2" s="792" t="s">
        <v>8392</v>
      </c>
      <c r="ADV2" s="792"/>
      <c r="ADW2" s="792" t="s">
        <v>8547</v>
      </c>
      <c r="ADX2" s="792" t="s">
        <v>8374</v>
      </c>
      <c r="ADY2" s="792" t="s">
        <v>8393</v>
      </c>
      <c r="ADZ2" s="792" t="s">
        <v>8394</v>
      </c>
      <c r="AEA2" s="945" t="s">
        <v>8360</v>
      </c>
      <c r="AEB2" s="792" t="s">
        <v>8374</v>
      </c>
      <c r="AEC2" s="792" t="s">
        <v>8392</v>
      </c>
      <c r="AED2" s="792"/>
      <c r="AEE2" s="792" t="s">
        <v>8547</v>
      </c>
      <c r="AEF2" s="792" t="s">
        <v>8374</v>
      </c>
      <c r="AEG2" s="792" t="s">
        <v>8393</v>
      </c>
      <c r="AEH2" s="792" t="s">
        <v>8394</v>
      </c>
      <c r="AEI2" s="945" t="s">
        <v>8360</v>
      </c>
      <c r="AEJ2" s="792" t="s">
        <v>4</v>
      </c>
      <c r="AEK2" s="945" t="s">
        <v>8360</v>
      </c>
      <c r="AEL2" s="945" t="s">
        <v>8360</v>
      </c>
      <c r="AEM2" s="792" t="s">
        <v>8374</v>
      </c>
      <c r="AEN2" s="823" t="s">
        <v>8392</v>
      </c>
      <c r="AEO2" s="792" t="s">
        <v>8374</v>
      </c>
      <c r="AEP2" s="823" t="s">
        <v>8393</v>
      </c>
      <c r="AEQ2" s="823" t="s">
        <v>8394</v>
      </c>
      <c r="AER2" s="822" t="s">
        <v>8360</v>
      </c>
      <c r="AES2" s="792" t="s">
        <v>8374</v>
      </c>
      <c r="AET2" s="823" t="s">
        <v>8392</v>
      </c>
      <c r="AEU2" s="792" t="s">
        <v>8374</v>
      </c>
      <c r="AEV2" s="823" t="s">
        <v>8393</v>
      </c>
      <c r="AEW2" s="823" t="s">
        <v>8394</v>
      </c>
      <c r="AEX2" s="822" t="s">
        <v>8360</v>
      </c>
      <c r="AEY2" s="792" t="s">
        <v>8374</v>
      </c>
      <c r="AEZ2" s="823" t="s">
        <v>8392</v>
      </c>
      <c r="AFA2" s="822" t="s">
        <v>8360</v>
      </c>
      <c r="AFB2" s="792" t="s">
        <v>8373</v>
      </c>
      <c r="AFC2" s="823" t="s">
        <v>8392</v>
      </c>
      <c r="AFD2" s="823" t="s">
        <v>8375</v>
      </c>
      <c r="AFE2" s="823" t="s">
        <v>4</v>
      </c>
      <c r="AFF2" s="823"/>
      <c r="AFG2" s="823" t="s">
        <v>8392</v>
      </c>
      <c r="AFH2" s="823"/>
      <c r="AFI2" s="823" t="s">
        <v>8393</v>
      </c>
      <c r="AFJ2" s="823" t="s">
        <v>8394</v>
      </c>
      <c r="AFK2" s="823" t="s">
        <v>8363</v>
      </c>
      <c r="AFL2" s="823" t="s">
        <v>8415</v>
      </c>
      <c r="AFM2" s="822" t="s">
        <v>8360</v>
      </c>
      <c r="AFN2" s="792" t="s">
        <v>8373</v>
      </c>
      <c r="AFO2" s="823" t="s">
        <v>8392</v>
      </c>
      <c r="AFP2" s="823" t="s">
        <v>8375</v>
      </c>
      <c r="AFQ2" s="823" t="s">
        <v>4</v>
      </c>
      <c r="AFR2" s="823"/>
      <c r="AFS2" s="823" t="s">
        <v>8392</v>
      </c>
      <c r="AFT2" s="823"/>
      <c r="AFU2" s="823" t="s">
        <v>8393</v>
      </c>
      <c r="AFV2" s="823" t="s">
        <v>8394</v>
      </c>
      <c r="AFW2" s="823" t="s">
        <v>8363</v>
      </c>
      <c r="AFX2" s="823" t="s">
        <v>8415</v>
      </c>
      <c r="AFY2" s="822" t="s">
        <v>8360</v>
      </c>
      <c r="AFZ2" s="792" t="s">
        <v>8373</v>
      </c>
      <c r="AGA2" s="823" t="s">
        <v>8392</v>
      </c>
      <c r="AGB2" s="823" t="s">
        <v>8375</v>
      </c>
      <c r="AGC2" s="823" t="s">
        <v>4</v>
      </c>
      <c r="AGD2" s="823"/>
      <c r="AGE2" s="823" t="s">
        <v>8392</v>
      </c>
      <c r="AGF2" s="823"/>
      <c r="AGG2" s="823" t="s">
        <v>8393</v>
      </c>
      <c r="AGH2" s="823" t="s">
        <v>8394</v>
      </c>
      <c r="AGI2" s="823" t="s">
        <v>8363</v>
      </c>
      <c r="AGJ2" s="823" t="s">
        <v>8415</v>
      </c>
      <c r="AGK2" s="822" t="s">
        <v>8360</v>
      </c>
      <c r="AGL2" s="792" t="s">
        <v>8373</v>
      </c>
      <c r="AGM2" s="823" t="s">
        <v>8392</v>
      </c>
      <c r="AGN2" s="823" t="s">
        <v>8375</v>
      </c>
      <c r="AGO2" s="823" t="s">
        <v>4</v>
      </c>
      <c r="AGP2" s="823"/>
      <c r="AGQ2" s="823" t="s">
        <v>8392</v>
      </c>
      <c r="AGR2" s="823"/>
      <c r="AGS2" s="823" t="s">
        <v>8393</v>
      </c>
      <c r="AGT2" s="823" t="s">
        <v>8394</v>
      </c>
      <c r="AGU2" s="823" t="s">
        <v>8363</v>
      </c>
      <c r="AGV2" s="823" t="s">
        <v>8415</v>
      </c>
      <c r="AGW2" s="822" t="s">
        <v>8360</v>
      </c>
      <c r="AGX2" s="792" t="s">
        <v>8373</v>
      </c>
      <c r="AGY2" s="823" t="s">
        <v>8392</v>
      </c>
      <c r="AGZ2" s="823" t="s">
        <v>8375</v>
      </c>
      <c r="AHA2" s="823" t="s">
        <v>4</v>
      </c>
      <c r="AHB2" s="823"/>
      <c r="AHC2" s="823" t="s">
        <v>8392</v>
      </c>
      <c r="AHD2" s="823"/>
      <c r="AHE2" s="823" t="s">
        <v>8393</v>
      </c>
      <c r="AHF2" s="823" t="s">
        <v>8394</v>
      </c>
      <c r="AHG2" s="823" t="s">
        <v>8363</v>
      </c>
      <c r="AHH2" s="823" t="s">
        <v>8415</v>
      </c>
      <c r="AHI2" s="963" t="s">
        <v>8360</v>
      </c>
      <c r="AHJ2" s="1481"/>
      <c r="AHK2" s="792" t="s">
        <v>8374</v>
      </c>
      <c r="AHL2" s="792" t="s">
        <v>8392</v>
      </c>
      <c r="AHM2" s="792" t="s">
        <v>8374</v>
      </c>
      <c r="AHN2" s="792" t="s">
        <v>8393</v>
      </c>
      <c r="AHO2" s="792" t="s">
        <v>8394</v>
      </c>
      <c r="AHP2" s="792" t="s">
        <v>8375</v>
      </c>
      <c r="AHQ2" s="792" t="s">
        <v>9515</v>
      </c>
      <c r="AHR2" s="792" t="s">
        <v>4</v>
      </c>
      <c r="AHS2" s="792" t="s">
        <v>8360</v>
      </c>
      <c r="AHT2" s="792" t="s">
        <v>8374</v>
      </c>
      <c r="AHU2" s="792" t="s">
        <v>8392</v>
      </c>
      <c r="AHV2" s="792" t="s">
        <v>8374</v>
      </c>
      <c r="AHW2" s="792" t="s">
        <v>8393</v>
      </c>
      <c r="AHX2" s="792" t="s">
        <v>8394</v>
      </c>
      <c r="AHY2" s="822" t="s">
        <v>8675</v>
      </c>
      <c r="AHZ2" s="792" t="s">
        <v>8374</v>
      </c>
      <c r="AIA2" s="792" t="s">
        <v>9538</v>
      </c>
      <c r="AIB2" s="792" t="s">
        <v>8392</v>
      </c>
      <c r="AIC2" s="792" t="s">
        <v>8375</v>
      </c>
      <c r="AID2" s="792" t="s">
        <v>9538</v>
      </c>
      <c r="AIE2" s="792" t="s">
        <v>8392</v>
      </c>
      <c r="AIF2" s="792" t="s">
        <v>8374</v>
      </c>
      <c r="AIG2" s="792" t="s">
        <v>8393</v>
      </c>
      <c r="AIH2" s="792" t="s">
        <v>8394</v>
      </c>
      <c r="AII2" s="822" t="s">
        <v>9522</v>
      </c>
      <c r="AIJ2" s="792" t="s">
        <v>8374</v>
      </c>
      <c r="AIK2" s="792" t="s">
        <v>9538</v>
      </c>
      <c r="AIL2" s="792" t="s">
        <v>8392</v>
      </c>
      <c r="AIM2" s="792" t="s">
        <v>8375</v>
      </c>
      <c r="AIN2" s="792" t="s">
        <v>9538</v>
      </c>
      <c r="AIO2" s="792" t="s">
        <v>8392</v>
      </c>
      <c r="AIP2" s="792" t="s">
        <v>8374</v>
      </c>
      <c r="AIQ2" s="792" t="s">
        <v>8393</v>
      </c>
      <c r="AIR2" s="792" t="s">
        <v>8394</v>
      </c>
      <c r="AIS2" s="822" t="s">
        <v>1768</v>
      </c>
      <c r="AIT2" s="792" t="s">
        <v>8374</v>
      </c>
      <c r="AIU2" s="792" t="s">
        <v>9538</v>
      </c>
      <c r="AIV2" s="792" t="s">
        <v>8392</v>
      </c>
      <c r="AIW2" s="792" t="s">
        <v>8375</v>
      </c>
      <c r="AIX2" s="792" t="s">
        <v>9538</v>
      </c>
      <c r="AIY2" s="792" t="s">
        <v>8392</v>
      </c>
      <c r="AIZ2" s="792" t="s">
        <v>8479</v>
      </c>
      <c r="AJA2" s="792" t="s">
        <v>8451</v>
      </c>
      <c r="AJB2" s="792" t="s">
        <v>8374</v>
      </c>
      <c r="AJC2" s="792" t="s">
        <v>8393</v>
      </c>
      <c r="AJD2" s="792" t="s">
        <v>8394</v>
      </c>
      <c r="AJE2" s="792" t="s">
        <v>8546</v>
      </c>
      <c r="AJF2" s="792" t="s">
        <v>9559</v>
      </c>
      <c r="AJG2" s="822" t="s">
        <v>9556</v>
      </c>
      <c r="AJH2" s="792" t="s">
        <v>8374</v>
      </c>
      <c r="AJI2" s="792" t="s">
        <v>9538</v>
      </c>
      <c r="AJJ2" s="792" t="s">
        <v>8392</v>
      </c>
      <c r="AJK2" s="792" t="s">
        <v>8375</v>
      </c>
      <c r="AJL2" s="792" t="s">
        <v>9538</v>
      </c>
      <c r="AJM2" s="792" t="s">
        <v>8392</v>
      </c>
      <c r="AJN2" s="792" t="s">
        <v>8374</v>
      </c>
      <c r="AJO2" s="792" t="s">
        <v>8393</v>
      </c>
      <c r="AJP2" s="792" t="s">
        <v>8394</v>
      </c>
      <c r="AJQ2" s="822" t="s">
        <v>9523</v>
      </c>
      <c r="AJR2" s="792" t="s">
        <v>8374</v>
      </c>
      <c r="AJS2" s="792" t="s">
        <v>9538</v>
      </c>
      <c r="AJT2" s="792" t="s">
        <v>8392</v>
      </c>
      <c r="AJU2" s="792" t="s">
        <v>8375</v>
      </c>
      <c r="AJV2" s="792" t="s">
        <v>9538</v>
      </c>
      <c r="AJW2" s="792" t="s">
        <v>8392</v>
      </c>
      <c r="AJX2" s="792" t="s">
        <v>8374</v>
      </c>
      <c r="AJY2" s="792" t="s">
        <v>8393</v>
      </c>
      <c r="AJZ2" s="792" t="s">
        <v>8394</v>
      </c>
      <c r="AKA2" s="822" t="s">
        <v>9835</v>
      </c>
      <c r="AKB2" s="792" t="s">
        <v>8374</v>
      </c>
      <c r="AKC2" s="792" t="s">
        <v>9538</v>
      </c>
      <c r="AKD2" s="792" t="s">
        <v>8392</v>
      </c>
      <c r="AKE2" s="792" t="s">
        <v>8375</v>
      </c>
      <c r="AKF2" s="792" t="s">
        <v>9538</v>
      </c>
      <c r="AKG2" s="792" t="s">
        <v>8392</v>
      </c>
      <c r="AKH2" s="792" t="s">
        <v>8374</v>
      </c>
      <c r="AKI2" s="792" t="s">
        <v>8393</v>
      </c>
      <c r="AKJ2" s="792" t="s">
        <v>8394</v>
      </c>
      <c r="AKK2" s="822" t="s">
        <v>9524</v>
      </c>
      <c r="AKL2" s="792" t="s">
        <v>8374</v>
      </c>
      <c r="AKM2" s="792" t="s">
        <v>9538</v>
      </c>
      <c r="AKN2" s="792" t="s">
        <v>8392</v>
      </c>
      <c r="AKO2" s="792" t="s">
        <v>8375</v>
      </c>
      <c r="AKP2" s="792" t="s">
        <v>9538</v>
      </c>
      <c r="AKQ2" s="792" t="s">
        <v>8392</v>
      </c>
      <c r="AKR2" s="792" t="s">
        <v>8374</v>
      </c>
      <c r="AKS2" s="792" t="s">
        <v>8393</v>
      </c>
      <c r="AKT2" s="792" t="s">
        <v>8394</v>
      </c>
      <c r="AKU2" s="822" t="s">
        <v>9525</v>
      </c>
      <c r="AKV2" s="792" t="s">
        <v>8374</v>
      </c>
      <c r="AKW2" s="792" t="s">
        <v>9538</v>
      </c>
      <c r="AKX2" s="792" t="s">
        <v>8392</v>
      </c>
      <c r="AKY2" s="792" t="s">
        <v>8375</v>
      </c>
      <c r="AKZ2" s="792" t="s">
        <v>9538</v>
      </c>
      <c r="ALA2" s="792" t="s">
        <v>8392</v>
      </c>
      <c r="ALB2" s="792" t="s">
        <v>8374</v>
      </c>
      <c r="ALC2" s="792" t="s">
        <v>8393</v>
      </c>
      <c r="ALD2" s="792" t="s">
        <v>8394</v>
      </c>
      <c r="ALE2" s="822" t="s">
        <v>9546</v>
      </c>
      <c r="ALF2" s="792" t="s">
        <v>8374</v>
      </c>
      <c r="ALG2" s="792" t="s">
        <v>9538</v>
      </c>
      <c r="ALH2" s="792" t="s">
        <v>8392</v>
      </c>
      <c r="ALI2" s="792" t="s">
        <v>8375</v>
      </c>
      <c r="ALJ2" s="792" t="s">
        <v>9538</v>
      </c>
      <c r="ALK2" s="792" t="s">
        <v>8392</v>
      </c>
      <c r="ALL2" s="792" t="s">
        <v>8374</v>
      </c>
      <c r="ALM2" s="792" t="s">
        <v>8393</v>
      </c>
      <c r="ALN2" s="792" t="s">
        <v>8394</v>
      </c>
      <c r="ALO2" s="822" t="s">
        <v>9526</v>
      </c>
      <c r="ALP2" s="1183" t="s">
        <v>8360</v>
      </c>
      <c r="ALQ2" s="792" t="s">
        <v>8374</v>
      </c>
      <c r="ALR2" s="792" t="s">
        <v>8392</v>
      </c>
      <c r="ALS2" s="792" t="s">
        <v>8374</v>
      </c>
      <c r="ALT2" s="792" t="s">
        <v>8393</v>
      </c>
      <c r="ALU2" s="792" t="s">
        <v>8394</v>
      </c>
      <c r="ALV2" s="822" t="s">
        <v>8675</v>
      </c>
      <c r="ALW2" s="792" t="s">
        <v>8374</v>
      </c>
      <c r="ALX2" s="792" t="s">
        <v>9538</v>
      </c>
      <c r="ALY2" s="792" t="s">
        <v>8392</v>
      </c>
      <c r="ALZ2" s="792" t="s">
        <v>8375</v>
      </c>
      <c r="AMA2" s="792" t="s">
        <v>9538</v>
      </c>
      <c r="AMB2" s="792" t="s">
        <v>8392</v>
      </c>
      <c r="AMC2" s="792" t="s">
        <v>8374</v>
      </c>
      <c r="AMD2" s="792" t="s">
        <v>8393</v>
      </c>
      <c r="AME2" s="792" t="s">
        <v>8394</v>
      </c>
      <c r="AMF2" s="822" t="s">
        <v>9522</v>
      </c>
      <c r="AMG2" s="792" t="s">
        <v>8374</v>
      </c>
      <c r="AMH2" s="792" t="s">
        <v>9538</v>
      </c>
      <c r="AMI2" s="792" t="s">
        <v>8392</v>
      </c>
      <c r="AMJ2" s="792" t="s">
        <v>8375</v>
      </c>
      <c r="AMK2" s="792" t="s">
        <v>9538</v>
      </c>
      <c r="AML2" s="792" t="s">
        <v>8392</v>
      </c>
      <c r="AMM2" s="792" t="s">
        <v>8374</v>
      </c>
      <c r="AMN2" s="792" t="s">
        <v>8393</v>
      </c>
      <c r="AMO2" s="792" t="s">
        <v>8394</v>
      </c>
      <c r="AMP2" s="822" t="s">
        <v>1768</v>
      </c>
      <c r="AMQ2" s="792" t="s">
        <v>8374</v>
      </c>
      <c r="AMR2" s="792" t="s">
        <v>9538</v>
      </c>
      <c r="AMS2" s="792" t="s">
        <v>8392</v>
      </c>
      <c r="AMT2" s="792" t="s">
        <v>8375</v>
      </c>
      <c r="AMU2" s="792" t="s">
        <v>9538</v>
      </c>
      <c r="AMV2" s="792" t="s">
        <v>8392</v>
      </c>
      <c r="AMW2" s="792" t="s">
        <v>8479</v>
      </c>
      <c r="AMX2" s="792" t="s">
        <v>8451</v>
      </c>
      <c r="AMY2" s="792" t="s">
        <v>8374</v>
      </c>
      <c r="AMZ2" s="792" t="s">
        <v>8393</v>
      </c>
      <c r="ANA2" s="792" t="s">
        <v>8394</v>
      </c>
      <c r="ANB2" s="792" t="s">
        <v>8546</v>
      </c>
      <c r="ANC2" s="792" t="s">
        <v>9559</v>
      </c>
      <c r="AND2" s="822" t="s">
        <v>9556</v>
      </c>
      <c r="ANE2" s="792" t="s">
        <v>8374</v>
      </c>
      <c r="ANF2" s="792" t="s">
        <v>9538</v>
      </c>
      <c r="ANG2" s="792" t="s">
        <v>8392</v>
      </c>
      <c r="ANH2" s="792" t="s">
        <v>8375</v>
      </c>
      <c r="ANI2" s="792" t="s">
        <v>9538</v>
      </c>
      <c r="ANJ2" s="792" t="s">
        <v>8392</v>
      </c>
      <c r="ANK2" s="792" t="s">
        <v>8374</v>
      </c>
      <c r="ANL2" s="792" t="s">
        <v>8393</v>
      </c>
      <c r="ANM2" s="792" t="s">
        <v>8394</v>
      </c>
      <c r="ANN2" s="822" t="s">
        <v>9523</v>
      </c>
      <c r="ANO2" s="792" t="s">
        <v>8374</v>
      </c>
      <c r="ANP2" s="792" t="s">
        <v>9538</v>
      </c>
      <c r="ANQ2" s="792" t="s">
        <v>8392</v>
      </c>
      <c r="ANR2" s="792" t="s">
        <v>8375</v>
      </c>
      <c r="ANS2" s="792" t="s">
        <v>9538</v>
      </c>
      <c r="ANT2" s="792" t="s">
        <v>8392</v>
      </c>
      <c r="ANU2" s="792" t="s">
        <v>8374</v>
      </c>
      <c r="ANV2" s="792" t="s">
        <v>8393</v>
      </c>
      <c r="ANW2" s="792" t="s">
        <v>8394</v>
      </c>
      <c r="ANX2" s="822" t="s">
        <v>9835</v>
      </c>
      <c r="ANY2" s="792" t="s">
        <v>8374</v>
      </c>
      <c r="ANZ2" s="792" t="s">
        <v>9538</v>
      </c>
      <c r="AOA2" s="792" t="s">
        <v>8392</v>
      </c>
      <c r="AOB2" s="792" t="s">
        <v>8375</v>
      </c>
      <c r="AOC2" s="792" t="s">
        <v>9538</v>
      </c>
      <c r="AOD2" s="792" t="s">
        <v>8392</v>
      </c>
      <c r="AOE2" s="792" t="s">
        <v>8374</v>
      </c>
      <c r="AOF2" s="792" t="s">
        <v>8393</v>
      </c>
      <c r="AOG2" s="792" t="s">
        <v>8394</v>
      </c>
      <c r="AOH2" s="822" t="s">
        <v>9524</v>
      </c>
      <c r="AOI2" s="792" t="s">
        <v>8374</v>
      </c>
      <c r="AOJ2" s="792" t="s">
        <v>9538</v>
      </c>
      <c r="AOK2" s="792" t="s">
        <v>8392</v>
      </c>
      <c r="AOL2" s="792" t="s">
        <v>8375</v>
      </c>
      <c r="AOM2" s="792" t="s">
        <v>9538</v>
      </c>
      <c r="AON2" s="792" t="s">
        <v>8392</v>
      </c>
      <c r="AOO2" s="792" t="s">
        <v>8374</v>
      </c>
      <c r="AOP2" s="792" t="s">
        <v>8393</v>
      </c>
      <c r="AOQ2" s="792" t="s">
        <v>8394</v>
      </c>
      <c r="AOR2" s="822" t="s">
        <v>9525</v>
      </c>
      <c r="AOS2" s="792" t="s">
        <v>8374</v>
      </c>
      <c r="AOT2" s="792" t="s">
        <v>9538</v>
      </c>
      <c r="AOU2" s="792" t="s">
        <v>8392</v>
      </c>
      <c r="AOV2" s="792" t="s">
        <v>8375</v>
      </c>
      <c r="AOW2" s="792" t="s">
        <v>9538</v>
      </c>
      <c r="AOX2" s="792" t="s">
        <v>8392</v>
      </c>
      <c r="AOY2" s="792" t="s">
        <v>8374</v>
      </c>
      <c r="AOZ2" s="792" t="s">
        <v>8393</v>
      </c>
      <c r="APA2" s="792" t="s">
        <v>8394</v>
      </c>
      <c r="APB2" s="822" t="s">
        <v>9546</v>
      </c>
      <c r="APC2" s="792" t="s">
        <v>8374</v>
      </c>
      <c r="APD2" s="792" t="s">
        <v>9538</v>
      </c>
      <c r="APE2" s="792" t="s">
        <v>8392</v>
      </c>
      <c r="APF2" s="792" t="s">
        <v>8375</v>
      </c>
      <c r="APG2" s="792" t="s">
        <v>9538</v>
      </c>
      <c r="APH2" s="792" t="s">
        <v>8392</v>
      </c>
      <c r="API2" s="792" t="s">
        <v>8374</v>
      </c>
      <c r="APJ2" s="792" t="s">
        <v>8393</v>
      </c>
      <c r="APK2" s="792" t="s">
        <v>8394</v>
      </c>
      <c r="APL2" s="822" t="s">
        <v>9526</v>
      </c>
      <c r="APM2" s="1183" t="s">
        <v>8360</v>
      </c>
      <c r="APN2" s="792" t="s">
        <v>8374</v>
      </c>
      <c r="APO2" s="792" t="s">
        <v>8392</v>
      </c>
      <c r="APP2" s="792" t="s">
        <v>8374</v>
      </c>
      <c r="APQ2" s="792" t="s">
        <v>8393</v>
      </c>
      <c r="APR2" s="792" t="s">
        <v>8394</v>
      </c>
      <c r="APS2" s="792" t="s">
        <v>8375</v>
      </c>
      <c r="APT2" s="792" t="s">
        <v>8586</v>
      </c>
      <c r="APU2" s="792" t="s">
        <v>8712</v>
      </c>
      <c r="APV2" s="1246" t="s">
        <v>8360</v>
      </c>
    </row>
    <row r="3" spans="1:1114" ht="14.4" customHeight="1" thickTop="1" x14ac:dyDescent="0.3">
      <c r="A3" t="str">
        <f>SUBSTITUTE(DATES!I1,CHAR(10)," ")</f>
        <v>1. Номер обращения и дата Номер обращения У-20-175174 Дата обращения 26.11.2020 2. Контактная информация заявителя Фамилия Истомин Имя Владимир Отчество (при наличии) Васильевич Дата рождения 31.12.1980 Место рождения Ростов-На-Дону Телефон 9282700993 Электронная почта 2700993@mail.ru Вид документа, удостоверяющего личность Паспорт гражданина РФ Серия, номер и дата выдачи документа, удостоверяющего личность 60 03 672915 27.03.2003 Место жительства или пребывания 344092 г Ростов-на-Дону, ул Верная, д 17/88 Почтовый адрес 344092 г Ростов-на-Дону, ул Верная, д 17/88 3. Потребитель финансовой услуги (опционально, заполняется в случае переуступки прав) Фамилия Имя Отчество 4. Суть обращения Наименование финансовой организации АО СК «БАСК» ИНН финансовой организации 4202000716 ОГРН финансовой организации 1024200540704 Адрес местонахождения финансовой организации 652600, Кемеровская область, город Белово, переулок Цинкзаводской, дом 8 А Адрес финансовой организации 652600, Кемеровская область, город Белово, переулок Цинкзаводской, дом 8 А Телефон +7 (384) 522-22-17 Сфера деятельности Страхование Финансовая услуга Обязательное страхование гражданской ответственности владельцев транспортных средств Предмет спора Нарушение срока выплаты страхового возмещения Размер требования 100000.0 Номер договора с финансовой организацией ККК 3002162227 Дата договора с финансовой организацией Были ли ранее обращения в суд по данному вопросу нет Текст обращения Обратился с претензией о выплате неустойки</v>
      </c>
      <c r="B3" t="str">
        <f>MID($A$1,SEARCH(J3,$A$1)+LEN(J3),SEARCH("УСТАНОВИЛ",$A$1)-(SEARCH(J3,$A$1)+LEN(J3)))</f>
        <v>Уполномоченный по правам потребителей финансовых услуг в сферах страхования, микрофинансирования, кредитной кооперации и деятельности кредитных организаций Е.Л. Писаревский (далее – Финансовый уполномоченный) по результатам рассмотрения обращения от 26.11.2020 № У-20-175174 (далее – Обращение) Истомина Владимира Васильевича (паспорт серия 60 03 № 672915; место жительства: 344092, г. Ростов-на-Дону, ул. Верная, д. 17/88; почтовый адрес: 344092, г. Ростов-на-Дону, ул. Верная, д. 17/88) (далее – Заявитель) в отношении АО СК «БАСК» (место нахождения: 652600, Кемеровская область, г. Белово, пер. Цинкзаводской, д. 8 А; почтовый адрес: 652600, Кемеровская область, г. Белово, пер. Цинкзаводской, д. 8 А; дата государственной регистрации: 07.05.1993; идентификационный номер налогоплательщика: 4202000716) (далее – Финансовая организация),</v>
      </c>
      <c r="C3" t="str">
        <f>MID(A1,SEARCH(K3,A1)+LEN(K3),SEARCH("В рамках рассмотрения Обращения",A1,SEARCH(K3,A1)+LEN(K3))-(SEARCH(K3,A1)+LEN(K3)))</f>
        <v>Финансовому уполномоченному на рассмотрение поступило Обращение в отношении Финансовой организации с требованием о взыскании неустойки за несоблюдение срока выплаты страхового возмещения по договору обязательного страхования гражданской ответственности владельцев транспортных средств (далее – ОСАГО) в размере 100 000 рублей 00 копеек.</v>
      </c>
      <c r="D3" t="str">
        <f>MID(A1,SEARCH("В рамках рассмотрения Обращения",A1,SEARCH(K3,A1)+LEN(K3)),(SEARCH("Рассмотрев",A1))-(SEARCH("В рамках рассмотрения Обращения",A1,SEARCH(K3,A1)+LEN(K3))))</f>
        <v>В рамках рассмотрения Обращения в адрес Финансовой организации направлено уведомление о принятии Обращения к рассмотрению от 26.11.2020 № У-20-175174/2040-002, содержащее требование о предоставлении сведений и документов по предмету спора, указанному в Обращении.Финансовой организацией запрошенные сведения и документы предоставлены.</v>
      </c>
      <c r="E3" t="str">
        <f>MID($A$1,SEARCH("Рассмотрев имеющиеся в деле документы, Финансовый уполномоченный установил следующее.",$A$1)+LEN("Рассмотрев имеющиеся в деле документы, Финансовый уполномоченный установил следующее."),(SEARCH("Рассмотрев",$A$1,SEARCH("Рассмотрев имеющиеся в деле документы, Финансовый уполномоченный установил следующее.",$A$1)+LEN("Рассмотрев имеющиеся в деле документы, Финансовый уполномоченный установил следующее.")))-(SEARCH("Рассмотрев имеющиеся в деле документы, Финансовый уполномоченный установил следующее.",$A$1)+LEN("Рассмотрев имеющиеся в деле документы, Финансовый уполномоченный установил следующее.")))</f>
        <v>05.04.2019 между Заявителем и Финансовой организацией заключен договор ОСАГО серия ККК № 3002162227 со сроком страхования с 05.04.2019 до 04.04.2020 (далее – Договор ОСАГО).В результате дорожно-транспортного происшествия, произошедшего 10.06.2019 (далее – ДТП), вследствие действий Женишбека Бекназара, управлявшего транспортным средством ВАЗ 2106, государственный регистрационный номер А086НТ61, был причинен вред принадлежащему Заявителю транспортному средству Toyota Camry, государственный регистрационный номер Е718ТР161, год выпуска 2016 (далее – Транспортное средство).Гражданская ответственность Женишбека Бекназара застрахована в СПАО «РЕСО-Гарантия» в рамках договора ОСАГО серия ККК № 3001108454.11.06.2019 Заявитель обратился в Финансовую организацию с заявлением о прямом возмещении убытков, предоставив все документы, предусмотренные Правилами обязательного страхования гражданской ответственности владельцев транспортных средств, утвержденными Положением Банка России от 19.09.2014 № 431-П (далее – Правила ОСАГО).Заявление также содержало требования о выплате расходов на проведение независимой технической экспертизы.11.06.2019 Финансовой организацей проведен осмотр принадлежащего Заявителю Транспортного средства с привлечением независимой экспертной организации ООО «Альянс».На основании результатов осмотра от 11.06.2019 независимой экспертной организацией ООО «Сибирская Ассистанская Компания» подготовлено экспертное заключение от 28.06.2019 № 45/06/19, согласно которому стоимость восстановительного ремонта Транспортного средства Повреждения на Транспортном средстве возникли вне заявленных обстоятельств дорожно-транспортного происшествия от 10.06.2019.Финансовая организация направила Заявителю письмо от 08.07.2019 № 757/19, в котором сообщалось, что согласно выводам проведенной экспертизы, все повреждения Транспортного средства Заявителя не могли образоваться при заявленных обстоятельствах ДТП, в связи с чем, правовых оснований для урегулирования данного убытка у Финансовой организации не имеется.02.08.2019 Заявитель обратился в Финансовую организацию с заявлением (претензией) о несогласии с отказом Финансовой организации в выплате страхового возмещения, содержащим требование о выплате страхового возмещения по Договору ОСАГО, неустойки за несоблюдение срока выплаты страхового возмещения по Договору ОСАГО.Финансовая организация в ответ на заявление (претензию) от 02.08.2019 письмом от 05.08.2019 № 902/19 отказала Заявителю в удовлетворении заявленных требований.Не согласившись с отказом в выплате страхового возмещения, Заявитель 02.09.2019 обратился в порядке, установленным Федеральным законом от 04.06.2018 № 123-ФЗ «Об уполномоченном по правам потребителей финансовых услуг» (далее – Закон № 123-ФЗ), с обращением к Финансовому уполномоченному с требованиями о взыскании с Финансовой организации страхового возмещения по Договору ОСАГО в размере 400 000 рублей 00 копеек.Руководствуясь частью 4 статьи 18 Закона № 123-ФЗ, Финансовым уполномоченным Обращение Заявителя от 02.09.2019 принято к рассмотрению, Обращению от 02.09.2019 присвоен № У-19-24659.22.10.2019 Финансовым уполномоченным по Обращению от 02.09.2019 № У-19-24659 вынесено решение об отказе в удовлетворении требований № У-19-24659/5010-010 (далее – Решение от 22.10.2019 № У-19-24659/5010-010). Требования о взыскании неустойки при рассмотрении Обращения от 22.10.2019 № У-19-24659 не заявлялись и не рассматривались.Решение от 22.10.2019 № У-19-24659/5010-010 вступило в силу 07.11.2019.Не согласившись с Решением от 22.10.2019 № У-19-24659/5010-010, Заявитель обратился в суд с исковыми требованиями к Финансовой организации о взыскании страхового возмещения по Договору ОСАГО в размере 400 000 рублей 00 копеек, неустойки за несоблюдение срока выплаты страхового возмещения по Договору ОСАГО за период с 02.07.2019 по 30.12.2019 в размере 400 000 рублей 00 копеек, расходов на проведение независимой технической экспертизы в размере 7 000 рублей 00 копеек и иных расходов.20.02.2020 Ворошиловским районным судом города Ростова-на-Дону по делу № 2-129/2020 вынесено решение об удовлетворении исковых требований Заявителя (далее – Решение Суда), в соответствии с которым с Финансовой организации в пользу Заявителя взыскано страховое возмещение по Договору ОСАГО в размере 400 000 рублей 00 копеек, неустойка за несоблюдение срока выплаты страхового возмещения по Договору ОСАГО за период с 02.07.2019 по 30.12.2019 в размере 300 000 рублей 00 копеек, расходы на проведение независимой технической экспертизы в размере 7 000 рублей 00 копеек и иные расходы.Решением Суда установлено, что Решение Суда вступило в силу 27.03.2020.25.05.2020 Решение Суда было исполнено в полном объеме, что подтверждается инкассовым поручением от 22.05.2020 № 7856.19.10.2020 Заявитель обратился в Финансовую организацию с заявлением (претензией), содержащим требование о выплате неустойки за несоблюдение срока выплаты страхового возмещения по Договору ОСАГО за период с 08.01.2020 по 20.02.2020 в размере 100 000 рублей 00 копеек.В соответствии со статьей 16 Закона № 123-ФЗ Финансовая организация должна рассмотреть заявление (претензию) и направить Заявителю ответ не позднее 18.11.2020.Финансовая организация в ответ на заявление (претензию) от 19.10.2020 письмом от 09.11.2020 № 1560/20 отказала Заявителю в удовлетворении заявленных требований.</v>
      </c>
      <c r="F3" t="str">
        <f>MID(A1,SEARCH("Рассмотрев",A1,SEARCH("Рассмотрев имеющиеся в деле документы, Финансовый уполномоченный установил следующее.",$A$1)+LEN("Рассмотрев имеющиеся в деле документы, Финансовый уполномоченный установил следующее.")),
SEARCH(".",A1,SEARCH("Рассмотрев",A1,SEARCH("Рассмотрев имеющиеся в деле документы, Финансовый уполномоченный установил следующее.",$A$1)+LEN("Рассмотрев имеющиеся в деле документы, Финансовый уполномоченный установил следующее.")))-SEARCH("Рассмотрев",A1,SEARCH("Рассмотрев имеющиеся в деле документы, Финансовый уполномоченный установил следующее.",$A$1)+LEN("Рассмотрев имеющиеся в деле документы, Финансовый уполномоченный установил следующее."))+1)</f>
        <v>Рассмотрев требования Заявителя о взыскании с Финансовой организации неустойки за несоблюдение срока выплаты страхового возмещения по Договору ОСАГО, Финансовый уполномоченный приходит к следующему.</v>
      </c>
      <c r="G3" t="str">
        <f>MID(A2,SEARCH(CHAR(10),A2,SEARCH(F3,A2))+1,(SEARCH(L3,A2))-(SEARCH(CHAR(10),A2,SEARCH(F3,A2))))</f>
        <v>Согласно статье 12 Гражданского кодекса Российской Федерации (далее – ГК РФ) взыскание неустойки является одним из способов защиты нарушенного гражданского права.
По смыслу статьи 330 ГК РФ неустойкой (штрафом, пеней) признается определенная законом или договором денежная сумма, которую должник обязан уплатить кредитору в случае неисполнения или ненадлежащего исполнения обязательства, в частности в случае просрочки исполнения. По требованию об уплате неустойки кредитор не обязан доказывать причинение ему убытков.
Положения пункта 21 статьи 12 Федерального закона от 25.04.2002 № 40-ФЗ «Об обязательном страховании гражданской ответственности владельцев транспортных средств» (далее – Закон № 40-ФЗ) предусматривают выплату страховщиком потерпевшему неустойки за нарушение сроков исполнения обязательств.
Таким образом, требования о взыскании неустойки по правилам статьи 12 Закона № 40-ФЗ подлежат рассмотрению финансовым уполномоченным, поскольку обязанность страховщика по выплате неустойки в случае нарушения срока исполнения обязательств прямо предусмотрена Законом № 40-ФЗ, не связана с вопросами взыскания обязательных платежей и санкций. 
Пунктом 21 статьи 12 Федерального закона от 25.04.2002 № 40-ФЗ «Об обязательном страховании гражданской ответственности владельцев транспортных средств» (далее – Закон № 40-ФЗ) установлено, что в течение 20 календарных дней, за исключением нерабочих праздничных дней, а в случае, предусмотренном пунктом 15.3 статьи 12 Закона № 40-ФЗ, 30 календарных дней, за исключением нерабочих праздничных дней, со дня принятия к рассмотрению заявления потерпевшего о страховом возмещении или прямом возмещении убытков и приложенных к нему документов, предусмотренных Правилами ОСАГО, страховщик обязан произвести страховую выплату потерпевшему или после осмотра и (или) независимой технической экспертизы поврежденного транспортного средства выдать потерпевшему направление на ремонт транспортного средства с указанием станции технического обслуживания, на которой будет отремонтировано его транспортное средство и которой страховщик оплатит восстановительный ремонт поврежденного транспортного средства, и срока ремонта либо направить потерпевшему мотивированный отказ в страховом возмещении.
При несоблюдении срока осуществления страховой выплаты или срока выдачи потерпевшему направления на ремонт транспортного средства страховщик за каждый день просрочки уплачивает потерпевшему неустойку (пеню) в размере одного процента от определенного в соответствии с Законом № 40-ФЗ размера страхового возмещения по виду причиненного вреда каждому потерпевшему.
В пункте 78 постановления Пленума Верховного Суда Российской Федерации от 26.12.2017 № 58 «О применении судами законодательства об обязательном страховании гражданской ответственности владельцев транспортных средств» указано, что неустойка исчисляется со дня, следующего за днем, установленным для принятия решения о выплате страхового возмещения, то есть с 21-го дня после получения страховщиком заявления потерпевшего о страховой выплате и документов, предусмотренных Правилами ОСАГО, и до дня фактического исполнения страховщиком обязательства по договору включительно.
Следовательно, неустойка является мерой гражданско-правовой ответственности, которая при наличии условий, необходимых для наступления гражданско-правовой ответственности, подлежит взысканию в случае неисполнения или ненадлежащего исполнения обязательства, то есть при наличии противоправного поведения.
В силу части 1 статьи 2 Закона № 123-ФЗ должность финансового уполномоченного учреждена для рассмотрения обращений потребителей финансовых услуг об удовлетворении требований имущественного характера, предъявляемых к финансовым организациям, оказавшим им финансовые услуги.
Финансовая организация, являясь участником обязательного взаимодействия с финансовым уполномоченным, в силу пункта 4 части 3 статьи 28 Закона № 123-ФЗ обязана добровольно исполнять решения финансового уполномоченного.
В силу статьи 24 Закона № 123-ФЗ исполнение финансовой организацией вступившего в силу решения финансового уполномоченного признается надлежащим исполнением финансовой организацией обязанностей по соответствующему договору с потребителем финансовых услуг об оказании ему или в его пользу финансовой услуги.
В случае неисполнения финансовой организацией вступившего в силу решения финансового уполномоченного либо условий соглашения финансовый уполномоченный выдает потребителю финансовых услуг удостоверение, являющееся исполнительным документом, форма которого устанавливается Правительством Российской Федерации (часть 3 статьи 23 Закона № 123-ФЗ).
Принимая Решение от 22.10.2019 № У-19-24659/5010-010 об отказе Заявителю во взыскании страхового возмещения, финансовый уполномоченный исходил из отсутствия обязательства по выплате страхового возмещения.
Учитывая, что данное решение вынесено официальным должностным лицом в рамках предоставленных ему публичных полномочий, финансовая организация была вправе разумно полагаться на содержащиеся в нем выводы и ссылаться на них в своих взаимоотношениях с потребителем финансовых услуг.
При таких обстоятельствах Финансовый уполномоченный приходит к выводу, что в рассматриваемом случае взыскание неустойки в связи с невыплатой Заявителю страхового возмещения, не основано на законе.
Вместе с тем, Решением Суда частично удовлетворены требования Заявителя к Финансовой организации.
Согласно части 2 статьи 13 Гражданского процессуального кодекса Российской Федерации (далее – ГПК РФ), вступившие в законную силу судебные постановления, а также законные распоряжения, требования, поручения, вызовы и обращения судов являются обязательными для всех без исключения органов государственной власти, органов местного самоуправления, общественных объединений, должностных лиц, граждан, организаций и подлежат неукоснительному исполнению на всей территории Российской Федерации.
По смыслу положений части 1 статьи 209, части 2 статьи 321, части 5 статьи 329 ГПК РФ решение суда вступает в законную силу по истечении месячного срока на апелляционное обжалование со дня принятия решения суда в окончательной форме, если оно не было обжаловано; апелляционное определение вступает в законную силу со дня его принятия.
В соответствии с частью 1 статьи 108 ГПК РФ срок, исчисляемый месяцами, истекает в соответствующее число последнего месяца срока.
Таким образом, обязанность по возмещению взысканного Решением Суда ущерба, причиненного Заявителю, возникла у Финансовой организации с момента вступления Решения Суда в законную силу – 27.03.2020.
20.02.2020 Решением Суда с Финансовой организации в пользу Заявителя взыскано страховое возмещение по Договору ОСАГО в размере 400 000 рублей 00 копеек, неустойка за несоблюдение срока выплаты страхового возмещения по Договору ОСАГО за период с 02.07.2019 по 30.12.2019 в размере 300 000 рублей 00 копеек, расходы на проведение независимой технической экспертизы в размере 7 000 рублей 00 копеек и иные расходы.
25.05.2020 Решение Суда было исполнено в полном объеме, что подтверждается инкассовым поручением от 22.05.2020 № 7856.
Таким образом, с Финансовой организации подлежит взысканию неустойка на сумму страхового возмещения в размере 400 000 рублей 00 копеек, взысканную по Решению Суда, за период с 27.03.2020 по 22.05.2020 (57 дней).
В соответствии с требованиями, установленными пунктом 21 статьи 12 Закона № 40-ФЗ, размер неустойки, подлежащий выплате за период с 27.03.2020 по 22.05.2020 (включительно) составляет 228 000 рублей 00 копеек (400 000 рублей 00 копеек × 57 дней × 1%).
В силу пункта 6 статьи 16.1 Закона № 40-ФЗ общий размер неустойки (пени), суммы финансовой санкции, которые подлежат выплате потерпевшему – физическому лицу, не может превышать размер страховой суммы по виду причиненного вреда, установленный Законом № 40-ФЗ.
Согласно статье 7 Закона № 40-ФЗ страховая сумма, в пределах которой страховщик при наступлении каждого страхового случая (независимо от их числа в течение срока действия договора обязательного страховая) обязуется возместить потерпевшим причиненный вред, составляет: в части возмещения вреда, причиненного имуществу каждого потерпевшего, 400 000 рублей 00 копеек.
20.02.2020 Решением Суда с Финансовой организации в пользу Заявителя взыскана в том числе неустойка за несоблюдение срока выплаты страхового возмещения по Договору ОСАГО за период с 02.07.2019 по 30.12.2019 в размере 300 000 рублей 00 копеек.
25.05.2020 Решение Суда было исполнено в полном объеме, что подтверждается инкассовым поручением от 22.05.2020 № 7856.
Таким образом, общий размер неустойки за несоблюдение срока выплаты страхового возмещения по Договору ОСАГО подлежащий взысканию в пользу Заявителя составляет 100 000 рублей 00 копеек (400 000 рублей 00 копеек – 300 000 рублей 00 копеек).
Заявление Финансовой организации об уменьшении неустойки на основании пункта 1 статьи 333 ГК РФ удовлетворению не подлежит, в силу того, что согласно положениям указанной статьи, вопрос о снижении неустойки находится в исключительной компетенции суда.
Руководствуясь статьей 22 Закона № 123-ФЗ, Финансовый уполномоченный
Р</v>
      </c>
      <c r="H3" t="str">
        <f>MID($A$1,SEARCH(L3,$A$1)+LEN(L3),SEARCH(".",$A$1,SEARCH(L3,$A$1)+LEN(L3))-SEARCH(L3,$A$1)+LEN(L3))</f>
        <v xml:space="preserve">требования Истомина Владимира Васильевича о взыскании с АО СК «БАСК» неустойки за несоблюдение срока выплаты страхового возмещения по Договору ОСАГО удовлетворить.Взыскать </v>
      </c>
      <c r="I3" t="str">
        <f>MID($A$1,SEARCH(L3,$A$1)+LEN(L3),LEN($A$1)-SEARCH(L3,$A$1))</f>
        <v>требования Истомина Владимира Васильевича о взыскании с АО СК «БАСК» неустойки за несоблюдение срока выплаты страхового возмещения по Договору ОСАГО удовлетворить.Взыскать с АО СК «БАСК» в пользу Истомина Владимира Васильевича неустойку за несоблюдение срока выплаты страхового возмещения по Договору ОСАГО в размере 100 000 (сто тысяч) рублей 00 копеек.Решение вступает в силу по истечении десяти рабочих дней после даты его подписания.Решение подлежит исполнению АО СК «БАСК» в течение 10 рабочих дней после дня вступления в силу.В случае несогласия с решением Финансового уполномоченного в соответствии с частью 1 статьи 26 Закона № 123-ФЗ АО СК «БАСК» вправе в течение десяти рабочих дней после дня вступления в силу решения Финансового уполномоченного обратиться в суд в порядке, установленном законодательством Российской Федерации. В случае обращения финансовой организации в суд копия заявления подлежит направлению финансовому уполномоченному, рассматривавшему дело, и потребителю финансовых услуг, в отношении обращения которого принято решение Финансового уполномоченного, в течение одного дня со дня подачи указанного заявления.В соответствии с частью 2 статьи 26 Закона № 123-ФЗ финансовая организация при обращении в суд вправе направить финансовому уполномоченному ходатайство о приостановлении исполнения его решения. При получении ходатайства финансовый уполномоченный выносит решение о приостановлении исполнения решения, которое оспаривается финансовой организацией, до вынесения решения судом.В случае несогласия с вступившим в силу решением Финансового уполномоченного Заявитель в соответствии с частью 3 статьи 25 Закона № 123-ФЗ вправе в течение тридцати дней после дня вступления в силу указанного решения обратиться в суд и заявить требования к финансовой организации по предмету, содержащемуся в обращении, в порядке, установленном законодательством Российской Федерации. Копия обращения в суд подлежит направлению Финансовому уполномоченному.Уполномоченный по правам потребителей финансовых услуг в сферах страхования, микрофинансирования, кредитной кооперации и деятельности кредитных организаций PodpisantЕ.Л. Писаревский</v>
      </c>
      <c r="J3" s="794" t="str">
        <f>S3</f>
        <v>ОБ УДОВЛЕТВОРЕНИИ ТРЕБОВАНИЙ</v>
      </c>
      <c r="K3" s="815" t="s">
        <v>8424</v>
      </c>
      <c r="L3" s="793" t="s">
        <v>8295</v>
      </c>
      <c r="N3" t="s">
        <v>17</v>
      </c>
      <c r="O3" s="5" t="s">
        <v>28</v>
      </c>
      <c r="P3" s="854">
        <f>MIN(IFERROR(SEARCH(O$3,$A$2),99999),
IFERROR(SEARCH(O$4,$A$2),99999),
IFERROR(SEARCH(O$5,$A$2),99999))</f>
        <v>120</v>
      </c>
      <c r="Q3">
        <f>SEARCH(CHAR(10),A2,P3+1)</f>
        <v>148</v>
      </c>
      <c r="R3">
        <f>Q3-P3</f>
        <v>28</v>
      </c>
      <c r="S3" t="str">
        <f>MID($A$2,P3,R3)</f>
        <v>ОБ УДОВЛЕТВОРЕНИИ ТРЕБОВАНИЙ</v>
      </c>
      <c r="T3" s="1525" t="str">
        <f>INDEX(N:N,MATCH(S3,O:O,0),1)</f>
        <v>Удовлетворить</v>
      </c>
      <c r="U3" s="5" t="s">
        <v>8299</v>
      </c>
      <c r="V3" t="s">
        <v>828</v>
      </c>
      <c r="W3" t="s">
        <v>17</v>
      </c>
      <c r="X3" t="e">
        <f>SEARCH(U3,$A$1)+LEN(U3)</f>
        <v>#VALUE!</v>
      </c>
      <c r="Y3" s="5" t="s">
        <v>8273</v>
      </c>
      <c r="Z3" t="e">
        <f>SEARCH(Y3,$A$1,X3)</f>
        <v>#VALUE!</v>
      </c>
      <c r="AA3" t="e">
        <f>Z3-X3</f>
        <v>#VALUE!</v>
      </c>
      <c r="AB3" s="5" t="e">
        <f>MID($A$1,X3,AA3)</f>
        <v>#VALUE!</v>
      </c>
      <c r="AC3" s="796" t="e">
        <f>INDEX(W:W,MATCH(AB3,V:V,0),1)</f>
        <v>#VALUE!</v>
      </c>
      <c r="AD3" s="1514">
        <f>IFERROR(AC3,
IFERROR(AC4,
IFERROR(AC5,
"")))</f>
        <v>0</v>
      </c>
      <c r="AE3" t="s">
        <v>797</v>
      </c>
      <c r="AF3" t="s">
        <v>17</v>
      </c>
      <c r="AG3">
        <f>SEARCH(AE3,$H$3)</f>
        <v>150</v>
      </c>
      <c r="AH3" s="5" t="str">
        <f>IF(ISERROR(AG3),AG3,AE3)</f>
        <v>удовлетворить</v>
      </c>
      <c r="AI3" s="5" t="str">
        <f>INDEX(AF:AF,MATCH(AH3,AE:AE,0),1)</f>
        <v>Удовлетворить</v>
      </c>
      <c r="AJ3" s="1514" t="str">
        <f>IFERROR(AH3,
IFERROR(AH4,
IFERROR(AH5,
IFERROR(AH6,
""))))</f>
        <v>удовлетворить</v>
      </c>
      <c r="AK3" s="1514" t="str">
        <f>IFERROR(AI3,
IFERROR(AI4,
IFERROR(AI5,
IFERROR(AI6,
""))))</f>
        <v>Удовлетворить</v>
      </c>
      <c r="AL3" s="1526" t="str">
        <f>IF(AND(T3=N3,AD3=N3,AK3=N3),N3,
IF(AND(T3=N4,AD3=N4,AK3=N4),N4,
IF(AND(T3=N5,AD3=N5,AK3=N5),N5,
"ОШИБКИ")))</f>
        <v>ОШИБКИ</v>
      </c>
      <c r="AM3" t="s">
        <v>923</v>
      </c>
      <c r="AN3" t="e">
        <f>MID(B$3,SEARCH(AM3,B$3),LEN(AM3))</f>
        <v>#VALUE!</v>
      </c>
      <c r="AO3" s="1503" t="str">
        <f>IFERROR(AN3,
IFERROR(AN4,
IFERROR(AN5,
"")))</f>
        <v>Е.Л. Писаревский</v>
      </c>
      <c r="AP3" s="1514" t="str">
        <f>IFERROR(AN3,
IFERROR(AN4,
IFERROR(AN5,
"")))</f>
        <v>Е.Л. Писаревский</v>
      </c>
      <c r="AQ3" t="e">
        <f>MID(I$3,SEARCH(AM3,I$3),LEN(AM3))</f>
        <v>#VALUE!</v>
      </c>
      <c r="AR3" s="1503" t="str">
        <f>IFERROR(AQ3,
IFERROR(AQ4,
IFERROR(AQ5,
"")))</f>
        <v>Е.Л. Писаревский</v>
      </c>
      <c r="AS3" s="1514" t="str">
        <f>IFERROR(AQ3,
IFERROR(AQ4,
IFERROR(AQ5,
"")))</f>
        <v>Е.Л. Писаревский</v>
      </c>
      <c r="AT3" s="1525" t="str">
        <f>IF(AND(AP3=AM3,AS3=AM3),AM3,
IF(AND(AP3=AM4,AS3=AM4),AM4,
IF(AND(AP3=AM5,AS3=AM5),AM5,
"ОШИБКИ")))</f>
        <v>Е.Л. Писаревский</v>
      </c>
      <c r="AU3" t="s">
        <v>8294</v>
      </c>
      <c r="AV3" t="e">
        <f>MID(B$3,SEARCH(AU3,B$3),LEN(AU3))</f>
        <v>#VALUE!</v>
      </c>
      <c r="AW3" s="1502" t="str">
        <f>IFERROR(AV3,
IFERROR(AV4,
IFERROR(AV5,
"")))</f>
        <v>Уполномоченный по правам потребителей финансовых услуг в сферах страхования, микрофинансирования, кредитной кооперации и деятельности кредитных организаций</v>
      </c>
      <c r="AX3" s="1502" t="str">
        <f>IFERROR(AV3,
IFERROR(AV4,
IFERROR(AV5,
"")))</f>
        <v>Уполномоченный по правам потребителей финансовых услуг в сферах страхования, микрофинансирования, кредитной кооперации и деятельности кредитных организаций</v>
      </c>
      <c r="AY3" t="e">
        <f>MID(I$3,SEARCH(AU3,I$3),LEN(AU3))</f>
        <v>#VALUE!</v>
      </c>
      <c r="AZ3" s="1502" t="str">
        <f>IFERROR(AY3,
IFERROR(AY4,
IFERROR(AY5,
"")))</f>
        <v>Уполномоченный по правам потребителей финансовых услуг в сферах страхования, микрофинансирования, кредитной кооперации и деятельности кредитных организаций</v>
      </c>
      <c r="BA3" s="1502" t="str">
        <f>IFERROR(AY3,
IFERROR(AY4,
IFERROR(AY5,
"")))</f>
        <v>Уполномоченный по правам потребителей финансовых услуг в сферах страхования, микрофинансирования, кредитной кооперации и деятельности кредитных организаций</v>
      </c>
      <c r="BB3" s="1504" t="str">
        <f>IF(AND(AX3=AU3,BA3=AU3),AU3,
IF(AND(AX3=AU4,BA3=AU4),AU4,
"ОШИБКИ"))</f>
        <v>Уполномоченный по правам потребителей финансовых услуг в сферах страхования, микрофинансирования, кредитной кооперации и деятельности кредитных организаций</v>
      </c>
      <c r="BC3" t="s">
        <v>8390</v>
      </c>
      <c r="BD3" s="793">
        <f>SEARCH(BC3,$B3)+LEN(BC3)</f>
        <v>251</v>
      </c>
      <c r="BE3" s="793">
        <v>10</v>
      </c>
      <c r="BF3" s="1500">
        <f>DATEVALUE(MID($B3,BD3,BE3))</f>
        <v>44161</v>
      </c>
      <c r="BG3" t="s">
        <v>8233</v>
      </c>
      <c r="BH3" s="793">
        <f>SEARCH(BG3,$B3)+LEN(BG3)</f>
        <v>264</v>
      </c>
      <c r="BI3" s="794" t="s">
        <v>9568</v>
      </c>
      <c r="BJ3" s="793">
        <f>SEARCH(BI3,$B3,BH3)</f>
        <v>275</v>
      </c>
      <c r="BK3" s="793">
        <f>BJ3-BH3</f>
        <v>11</v>
      </c>
      <c r="BL3" s="1500" t="str">
        <f>MID($B3,BH3,BK3)</f>
        <v>У-20-175174</v>
      </c>
      <c r="BM3" s="793">
        <f>SEARCH(") ",$B3,BJ3)+LEN(") ")</f>
        <v>296</v>
      </c>
      <c r="BN3" t="s">
        <v>8234</v>
      </c>
      <c r="BO3" s="793">
        <f>SEARCH(BN3,$B3,BM3)</f>
        <v>326</v>
      </c>
      <c r="BP3" s="793">
        <f>BO3-BM3</f>
        <v>30</v>
      </c>
      <c r="BQ3" s="1485" t="str">
        <f>MID($B3,BM3,BP3)</f>
        <v>Истомина Владимира Васильевича</v>
      </c>
      <c r="BR3" s="817" t="s">
        <v>8413</v>
      </c>
      <c r="BS3" s="817" t="s">
        <v>8440</v>
      </c>
      <c r="BT3" s="794" t="s">
        <v>8235</v>
      </c>
      <c r="BU3" s="793">
        <f t="shared" ref="BU3:BU10" si="0">SEARCH(BT3,$B$3,BO$3)+LEN(BT3)</f>
        <v>342</v>
      </c>
      <c r="BV3" s="806" t="str">
        <f>IF(ISERROR(BU3),
IF(ISERROR(BU4),
IF(ISERROR(BU5),
IF(ISERROR(BU6),
IF(ISERROR(BU7),
IF(ISERROR(BU8),
IF(ISERROR(BU9),
IF(ISERROR(BU10),
"ОШИБКА",
BT10),
BT9),
BT8),
BT7),
BT6),
BT5),
BT4),
BT3)</f>
        <v xml:space="preserve">(паспорт серия </v>
      </c>
      <c r="BW3" s="818" t="str">
        <f>INDEX(BR:BR,MATCH(BV3,BT:BT,0),1)</f>
        <v>Паспорт есть</v>
      </c>
      <c r="BX3" s="846" t="str">
        <f>INDEX(BS:BS,MATCH(BV3,BT:BT,0),1)</f>
        <v>ДА</v>
      </c>
      <c r="BY3" s="816">
        <f>SEARCH(BV3,$B$3,BO$3)+LEN(BV3)</f>
        <v>342</v>
      </c>
      <c r="BZ3" t="s">
        <v>8400</v>
      </c>
      <c r="CA3" s="793">
        <f>SEARCH(BZ3,$B3,BY$3)-2</f>
        <v>356</v>
      </c>
      <c r="CB3" s="793">
        <f>CA3-BY3</f>
        <v>14</v>
      </c>
      <c r="CC3" s="1504" t="str">
        <f>IF(BW3=BR3,MID($B3,BY3,CB3),BW3)</f>
        <v>60 03 № 672915</v>
      </c>
      <c r="CD3" s="793">
        <f>SEARCH(" ",$B$3,CA3+LEN(BZ3))+1</f>
        <v>376</v>
      </c>
      <c r="CE3" t="s">
        <v>8401</v>
      </c>
      <c r="CF3" s="793">
        <f>SEARCH(CE3,$B3,CD$3)-2</f>
        <v>423</v>
      </c>
      <c r="CG3" s="793">
        <f>CF3-CD3</f>
        <v>47</v>
      </c>
      <c r="CH3" s="1504" t="str">
        <f>MID($B3,CD3,CG3)</f>
        <v>344092, г. Ростов-на-Дону, ул. Верная, д. 17/88</v>
      </c>
      <c r="CI3" s="793">
        <f>SEARCH(" ",$B$3,CF3+LEN(CE3)+2)+1</f>
        <v>441</v>
      </c>
      <c r="CJ3" t="s">
        <v>805</v>
      </c>
      <c r="CK3" s="793">
        <f>SEARCH(CJ3,$B3,CI$3)</f>
        <v>488</v>
      </c>
      <c r="CL3" s="793">
        <f>CK3-CI3</f>
        <v>47</v>
      </c>
      <c r="CM3" s="1504" t="str">
        <f>MID($B3,CI3,CL3)</f>
        <v>344092, г. Ростов-на-Дону, ул. Верная, д. 17/88</v>
      </c>
      <c r="CN3" s="811" t="s">
        <v>8237</v>
      </c>
      <c r="CO3" s="810">
        <f>SEARCH(CN3,$B$3)+LEN(CN3)</f>
        <v>522</v>
      </c>
      <c r="CP3" s="806" t="str">
        <f>IF(ISERROR(CO3),
IF(ISERROR(CO4),
IF(ISERROR(CO5),
IF(ISERROR(CO6),
IF(ISERROR(CO7),
"ОШИБКА",
CN7),
CN6),
CN5),
CN4),
CN3)</f>
        <v xml:space="preserve">в отношении </v>
      </c>
      <c r="CQ3" s="876">
        <f>SEARCH(CP3,$B$3)+LEN(CP3)</f>
        <v>522</v>
      </c>
      <c r="CR3" t="s">
        <v>8417</v>
      </c>
      <c r="CS3" s="810">
        <f>SEARCH(CR3,$B$3,CQ3)</f>
        <v>534</v>
      </c>
      <c r="CT3" s="810">
        <f>CS3-CQ3</f>
        <v>12</v>
      </c>
      <c r="CU3" s="1504" t="str">
        <f>MID($B$3,CQ3,CT3)</f>
        <v>АО СК «БАСК»</v>
      </c>
      <c r="CV3" s="810">
        <f>SEARCH(" ",$B$3,CS3+LEN(CR3))+1</f>
        <v>554</v>
      </c>
      <c r="CW3" t="s">
        <v>8401</v>
      </c>
      <c r="CX3" s="810">
        <f>SEARCH(CW3,$B3,CV3)-2</f>
        <v>620</v>
      </c>
      <c r="CY3" s="810">
        <f>CX3-CV3</f>
        <v>66</v>
      </c>
      <c r="CZ3" s="1504" t="str">
        <f>MID($B3,CV3,CY3)</f>
        <v>652600, Кемеровская область, г. Белово, пер. Цинкзаводской, д. 8 А</v>
      </c>
      <c r="DA3" s="810">
        <f>SEARCH(" ",$B$3,CX3+LEN(CW3))+1</f>
        <v>638</v>
      </c>
      <c r="DB3" t="s">
        <v>8420</v>
      </c>
      <c r="DC3" s="810">
        <f>SEARCH(DB3,$B3,DA3)-2</f>
        <v>704</v>
      </c>
      <c r="DD3" s="810">
        <f>DC3-DA3</f>
        <v>66</v>
      </c>
      <c r="DE3" s="1504" t="str">
        <f>MID($B3,DA3,DD3)</f>
        <v>652600, Кемеровская область, г. Белово, пер. Цинкзаводской, д. 8 А</v>
      </c>
      <c r="DF3" s="810">
        <f>SEARCH(" ",$B$3,DC3+LEN(DB3))</f>
        <v>739</v>
      </c>
      <c r="DG3" t="s">
        <v>8347</v>
      </c>
      <c r="DH3" s="810">
        <f>SEARCH(DG3,$B3,DF3)-2</f>
        <v>750</v>
      </c>
      <c r="DI3" s="810">
        <f>DH3-DF3</f>
        <v>11</v>
      </c>
      <c r="DJ3" s="1485">
        <f>DATEVALUE(MID($B3,DF3,DI3))</f>
        <v>34096</v>
      </c>
      <c r="DK3" s="810">
        <f>SEARCH(")",$B$3,DH3)-10</f>
        <v>795</v>
      </c>
      <c r="DL3" t="s">
        <v>805</v>
      </c>
      <c r="DM3" s="810">
        <f>SEARCH(DL3,$B3,DK3)</f>
        <v>805</v>
      </c>
      <c r="DN3" s="810">
        <f>DM3-DK3</f>
        <v>10</v>
      </c>
      <c r="DO3" s="1471" t="str">
        <f>TEXT(MID($B3,DK3,DN3),"##########")</f>
        <v>4202000716</v>
      </c>
      <c r="DP3" s="941" t="s">
        <v>3</v>
      </c>
      <c r="DQ3" s="949" t="str">
        <f>AT3</f>
        <v>Е.Л. Писаревский</v>
      </c>
      <c r="DR3" s="933" t="s">
        <v>1246</v>
      </c>
      <c r="DS3" s="10" t="s">
        <v>8430</v>
      </c>
      <c r="DT3" t="s">
        <v>8250</v>
      </c>
      <c r="DU3" s="10" t="s">
        <v>1246</v>
      </c>
      <c r="DV3" s="1475">
        <v>1</v>
      </c>
      <c r="DW3" s="833" t="s">
        <v>8433</v>
      </c>
      <c r="DX3" s="406">
        <f>SEARCH(DS3,$C$3)+LEN(DS3)</f>
        <v>126</v>
      </c>
      <c r="DY3" s="406" t="str">
        <f>IF(DZ3=IFERROR(SEARCH(".",C$3,DX3),99999),".",
IF(DZ3=IFERROR(SEARCH(",",C$3,DX3),99999),",",
IF(DZ3=IFERROR(SEARCH(" за период",C$3,DX3),999999)," за период",
IF(DZ3=IFERROR(SEARCH(" в размере",C$3,DX3),99999)," в размере",
))))</f>
        <v xml:space="preserve"> в размере</v>
      </c>
      <c r="DZ3" s="406">
        <f>IFERROR(MIN(IFERROR(SEARCH(".",$C$3,DX3),99999),IFERROR(SEARCH(",",$C$3,DX3),99999),IFERROR(SEARCH(" за период",$C$3,DX3),999999),IFERROR(SEARCH(" в размере",$C$3,DX3),99999)),"ОШИБКА")</f>
        <v>301</v>
      </c>
      <c r="EA3" s="406">
        <f>DZ3-DX3</f>
        <v>175</v>
      </c>
      <c r="EB3" s="824" t="str">
        <f>MID($C$3,DX3,EA3)</f>
        <v>неустойки за несоблюдение срока выплаты страхового возмещения по договору обязательного страхования гражданской ответственности владельцев транспортных средств (далее – ОСАГО)</v>
      </c>
      <c r="EC3" s="952" t="str">
        <f>IFERROR(INDEX(DU:DU,MATCH(MID($C$3,DX3,EA3),DT:DT,0),1),"")</f>
        <v>Неустойка</v>
      </c>
      <c r="ED3" s="956" t="str">
        <f>IF(ISERROR(DX3),"",CONCATENATE(DV3,". ",EC3," ",IFERROR(CONCATENATE(EB7,",",EB8),""),IF(ISERROR(CONCATENATE(EB7,",",EB8)),"","₽")))</f>
        <v>1. Неустойка 100 000,00₽</v>
      </c>
      <c r="EE3" s="849" t="s">
        <v>8444</v>
      </c>
      <c r="EF3" s="848">
        <f>SEARCH(EE3,$D$3)+LEN(EE3)</f>
        <v>126</v>
      </c>
      <c r="EG3" s="848">
        <v>10</v>
      </c>
      <c r="EH3" s="1485">
        <f>DATEVALUE(MID($D3,EF3,EG3))</f>
        <v>44161</v>
      </c>
      <c r="EI3" s="849" t="s">
        <v>8233</v>
      </c>
      <c r="EJ3" s="848">
        <f>SEARCH(EI3,$D$3)+LEN(EI3)</f>
        <v>139</v>
      </c>
      <c r="EK3" s="848" t="s">
        <v>8236</v>
      </c>
      <c r="EL3" s="848">
        <f>SEARCH(EK3,$D$3,EJ3)</f>
        <v>159</v>
      </c>
      <c r="EM3" s="848">
        <f>EL3-EJ3</f>
        <v>20</v>
      </c>
      <c r="EN3" s="1471" t="str">
        <f>MID($D3,EJ3,EM3)</f>
        <v>У-20-175174/2040-002</v>
      </c>
      <c r="EO3" s="849" t="s">
        <v>8446</v>
      </c>
      <c r="EP3" s="849" t="s">
        <v>8448</v>
      </c>
      <c r="EQ3" s="848">
        <f>SEARCH(EP3,$D$3)+LEN(EP3)</f>
        <v>334</v>
      </c>
      <c r="ER3" s="806" t="str">
        <f>IF(ISERROR(EQ3),
IF(ISERROR(EQ4),
IF(ISERROR(EQ5),
IF(ISERROR(EQ6),
IF(ISERROR(EQ7),
"ОШИБКА",
EP7),
EP6),
EP5),
EP4),
EP3)</f>
        <v>документы предоставлены</v>
      </c>
      <c r="ES3" s="818" t="str">
        <f>INDEX(EO:EO,MATCH(ER3,EP:EP,0),1)</f>
        <v>Предоставлены</v>
      </c>
      <c r="ET3" s="1471" t="str">
        <f>ES3</f>
        <v>Предоставлены</v>
      </c>
      <c r="EU3" s="949" t="str">
        <f>EN3</f>
        <v>У-20-175174/2040-002</v>
      </c>
      <c r="EV3" s="849" t="s">
        <v>8666</v>
      </c>
      <c r="EW3" s="854">
        <f>MIN(IFERROR(SEARCH(EV$3,$E$4),99999),
IFERROR(SEARCH(EV$4,$E$4),99999),
IFERROR(SEARCH(EV$5,$E$4),99999),
IFERROR(SEARCH(EV$6,$E$4),99999),
IFERROR(SEARCH(EV$7,$E$4),99999),
IFERROR(SEARCH(EV$8,$E$4),99999),
IFERROR(SEARCH(EV$9,$E$4),99999),
IFERROR(SEARCH(EV$10,$E$4),99999),
IFERROR(SEARCH(EV$11,$E$4),99999),
IFERROR(SEARCH(EV$12,$E$4),99999),
IFERROR(SEARCH(EV$13,$E$4),99999),
IFERROR(SEARCH(EV$14,$E$4),99999)
)</f>
        <v>175</v>
      </c>
      <c r="EX3" s="870" t="str">
        <f>CHAR(10)</f>
        <v xml:space="preserve">
</v>
      </c>
      <c r="EY3" s="334">
        <f>LEN(MID($E$4,1,EW3))-LEN(IF(ISERROR(FIND(" ",MID($E$4,1,EW3))),MID($E$4,1,EW3),RIGHT(MID($E$4,1,EW3),LEN(MID($E$4,1,EW3))-FIND("~",SUBSTITUTE(MID($E$4,1,EW3),EX3,"~",LEN(MID($E$4,1,EW3))-LEN(SUBSTITUTE(MID($E$4,1,EW3),EX3,"")))))))+1</f>
        <v>175</v>
      </c>
      <c r="EZ3" s="850" t="str">
        <f>CHAR(10)</f>
        <v xml:space="preserve">
</v>
      </c>
      <c r="FA3" s="851">
        <f>SEARCH(EZ3,$E$4,EY3)</f>
        <v>577</v>
      </c>
      <c r="FB3" s="854">
        <f>FA3-EY3</f>
        <v>402</v>
      </c>
      <c r="FC3" s="1471" t="str">
        <f>CLEAN(MID($E$4,EY3,FB3))</f>
        <v>В результате дорожно-транспортного происшествия, произошедшего 10.06.2019 (далее – ДТП), вследствие действий Женишбека Бекназара, управлявшего транспортным средством ВАЗ 2106, государственный регистрационный номер А086НТ61, был причинен вред принадлежащему Заявителю транспортному средству Toyota Camry, государственный регистрационный номер Е718ТР161, год выпуска 2016 (далее – Транспортное средство).</v>
      </c>
      <c r="FD3" s="858" t="s">
        <v>8454</v>
      </c>
      <c r="FE3" s="854">
        <f>MIN(IFERROR(SEARCH(FD$3,$FC$3)+LEN(FD$3),99999),
IFERROR(SEARCH(FD$4,$FC$3)+LEN(FD$4),99999),
IFERROR(SEARCH(FD$5,$FC$3+LEN(FD$5)),99999),
IFERROR(SEARCH(FD$6,$FC$3)+LEN(FD$6),99999),
IFERROR(SEARCH(FD$7,$FC$3)+LEN(FD$7),99999),
IFERROR(SEARCH(FD$8,$FC$3)+LEN(FD$8),99999),
IFERROR(SEARCH(FD$9,$FC$3)+LEN(FD$9),99999),
IFERROR(SEARCH(FD$10,$FC$3)+LEN(FD$10),99999),
IFERROR(SEARCH(FD$11,$FC$3)+LEN(FD$11),99999),
IFERROR(SEARCH(FD$12,$FC$3)+LEN(FD$12),99999),
IFERROR(SEARCH(FD$13,$FC$3)+LEN(FD$13),99999),
IFERROR(SEARCH(FD$14,$FC$3)+LEN(FD$14),99999)
)</f>
        <v>64</v>
      </c>
      <c r="FF3" s="854">
        <v>10</v>
      </c>
      <c r="FG3" s="1485">
        <f>DATEVALUE(MID(FC3,FE3,FF3))</f>
        <v>43626</v>
      </c>
      <c r="FH3" s="858" t="s">
        <v>8329</v>
      </c>
      <c r="FI3" s="854">
        <f>MIN(IFERROR(SEARCH(FH$3,$FC$3)+LEN(FH$3),99999),
IFERROR(SEARCH(FH$4,$FC$3)+LEN(FH$4),99999),
IFERROR(SEARCH(FH$5,$FC$3+LEN(FH$5)),99999),
IFERROR(SEARCH(FH$6,$FC$3)+LEN(FH$6),99999),
IFERROR(SEARCH(FH$7,$FC$3)+LEN(FH$7),99999),
IFERROR(SEARCH(FH$8,$FC$3)+LEN(FH$8),99999),
IFERROR(SEARCH(FH$9,$FC$3)+LEN(FH$9),99999),
IFERROR(SEARCH(FH$10,$FC$3)+LEN(FH$10),99999),
IFERROR(SEARCH(FH$11,$FC$3)+LEN(FH$11),99999),
IFERROR(SEARCH(FH$12,$FC$3)+LEN(FH$12),99999),
IFERROR(SEARCH(FH$13,$FC$3)+LEN(FH$13),99999),
IFERROR(SEARCH(FH$14,$FC$3)+LEN(FH$14),99999)
)</f>
        <v>110</v>
      </c>
      <c r="FJ3" s="856" t="s">
        <v>8236</v>
      </c>
      <c r="FK3" s="857">
        <f>SEARCH(FJ3,$FC$3,FI3)</f>
        <v>129</v>
      </c>
      <c r="FL3" s="854">
        <f>FK3-FI3</f>
        <v>19</v>
      </c>
      <c r="FM3" s="854" t="str">
        <f>MID($FC$3,FI3,FL3)</f>
        <v>Женишбека Бекназара</v>
      </c>
      <c r="FN3" s="768" t="s">
        <v>8667</v>
      </c>
      <c r="FO3" s="854">
        <f>MIN(IFERROR(SEARCH(FN$3,$E$4)+LEN(FN$3),99999),
IFERROR(SEARCH(FN$4,$E$4)+LEN(FN$4),99999),
IFERROR(SEARCH(FN$5,$E$4+LEN(FN$5)),99999),
IFERROR(SEARCH(FN$6,$E$4)+LEN(FN$6),99999),
IFERROR(SEARCH(FN$7,$E$4)+LEN(FN$7),99999),
IFERROR(SEARCH(FN$8,$E$4)+LEN(FN$8),99999),
IFERROR(SEARCH(FN$9,$E$4)+LEN(FN$9),99999),
IFERROR(SEARCH(FN$10,$E$4)+LEN(FN$10),99999),
IFERROR(SEARCH(FN$11,$E$4)+LEN(FN$11),99999),
IFERROR(SEARCH(FN$12,$E$4)+LEN(FN$12),99999),
IFERROR(SEARCH(FN$13,$E$4)+LEN(FN$13),99999),
IFERROR(SEARCH(FN$14,$E$4)+LEN(FN$14),99999)
)</f>
        <v>99999</v>
      </c>
      <c r="FP3" s="1174" t="str">
        <f>CHAR(10)</f>
        <v xml:space="preserve">
</v>
      </c>
      <c r="FQ3" s="1174" t="e">
        <f>SEARCH(FP3,$E$4,FO3)</f>
        <v>#VALUE!</v>
      </c>
      <c r="FR3" s="854" t="e">
        <f>FQ3-FO3</f>
        <v>#VALUE!</v>
      </c>
      <c r="FS3" s="887" t="e">
        <f>MID($E$4,FO3,FR3)</f>
        <v>#VALUE!</v>
      </c>
      <c r="FT3" s="1471" t="str">
        <f>IFERROR(FM3,
IFERROR(FS3,
"ОШБКА"))</f>
        <v>Женишбека Бекназара</v>
      </c>
      <c r="FU3" s="877" t="s">
        <v>717</v>
      </c>
      <c r="FV3" s="877" t="s">
        <v>8505</v>
      </c>
      <c r="FW3" s="876">
        <f>SEARCH(FV3,$FC$3)</f>
        <v>131</v>
      </c>
      <c r="FX3" s="859" t="str">
        <f>IF(ISERROR(FW3),
IF(ISERROR(FW4),
"ОШИБКА",
FU4),
FU3)</f>
        <v>МУЖ</v>
      </c>
      <c r="FY3" s="1471" t="str">
        <f>FX3</f>
        <v>МУЖ</v>
      </c>
      <c r="FZ3" s="1471" t="s">
        <v>8510</v>
      </c>
      <c r="GA3" s="858" t="s">
        <v>8456</v>
      </c>
      <c r="GB3" s="857">
        <f t="shared" ref="GB3:GB8" si="1">SEARCH(GA3,$FC$3)</f>
        <v>144</v>
      </c>
      <c r="GC3" s="859" t="str">
        <f>IF(ISERROR(GB3),
IF(ISERROR(GB4),
"ОШИБКА",
GA4),
GA3)</f>
        <v xml:space="preserve">транспортным средством </v>
      </c>
      <c r="GD3" s="854">
        <f>SEARCH(GC3,$FC$3)+LEN(GC3)</f>
        <v>167</v>
      </c>
      <c r="GE3" s="856" t="s">
        <v>8236</v>
      </c>
      <c r="GF3" s="857">
        <f>SEARCH(GE3,$FC$3,GD3)</f>
        <v>175</v>
      </c>
      <c r="GG3" s="854">
        <f>GF3-GD3</f>
        <v>8</v>
      </c>
      <c r="GH3" s="1471" t="str">
        <f>MID($FC$3,GD3,GG3)</f>
        <v>ВАЗ 2106</v>
      </c>
      <c r="GI3" s="858" t="s">
        <v>8457</v>
      </c>
      <c r="GJ3" s="857">
        <f>SEARCH(GI3,$FC$3,GF3)</f>
        <v>209</v>
      </c>
      <c r="GK3" s="859" t="str">
        <f>IF(ISERROR(GJ3),
IF(ISERROR(GJ4),
"ОШИБКА",
GI4),
GI3)</f>
        <v xml:space="preserve">номер </v>
      </c>
      <c r="GL3" s="854">
        <f>SEARCH(GK3,$FC$3)+LEN(GK3)</f>
        <v>215</v>
      </c>
      <c r="GM3" s="856" t="s">
        <v>8236</v>
      </c>
      <c r="GN3" s="857">
        <f>IFERROR(MIN(IFERROR(SEARCH($GM$3,$FC$3,GL3),99999),IFERROR(SEARCH($GM$4,$FC$3,GL3),99999),IFERROR(SEARCH($GM$5,$FC$3,GL3),999999),IFERROR(SEARCH($GM$6,$FC$3,GL3),99999)),"ОШИБКА")</f>
        <v>223</v>
      </c>
      <c r="GO3" s="854">
        <f>GN3-GL3</f>
        <v>8</v>
      </c>
      <c r="GP3" s="1471" t="str">
        <f>MID($FC$3,GL3,GO3)</f>
        <v>А086НТ61</v>
      </c>
      <c r="GQ3" s="879"/>
      <c r="GR3" s="880"/>
      <c r="GS3" s="887"/>
      <c r="GT3" s="854"/>
      <c r="GU3" s="881"/>
      <c r="GV3" s="880"/>
      <c r="GW3" s="854"/>
      <c r="GX3" s="1471"/>
      <c r="GY3" s="858" t="s">
        <v>8335</v>
      </c>
      <c r="GZ3" s="857">
        <f>SEARCH(GY3,$FC$3)</f>
        <v>354</v>
      </c>
      <c r="HA3" s="859" t="str">
        <f>IF(ISERROR(GZ3),
IF(ISERROR(GZ4),
"ОШИБКА",
GY4),
GY3)</f>
        <v xml:space="preserve">год выпуска </v>
      </c>
      <c r="HB3" s="854">
        <f>SEARCH(HA3,$FC$3)+LEN(HA3)</f>
        <v>366</v>
      </c>
      <c r="HC3" s="856" t="s">
        <v>149</v>
      </c>
      <c r="HD3" s="857">
        <f>SEARCH(HC3,$FC$3,HB3)</f>
        <v>370</v>
      </c>
      <c r="HE3" s="854">
        <f>HD3-HB3</f>
        <v>4</v>
      </c>
      <c r="HF3" s="1471" t="str">
        <f>MID($FC$3,HB3,HE3)</f>
        <v>2016</v>
      </c>
      <c r="HG3" s="864" t="s">
        <v>8482</v>
      </c>
      <c r="HH3" s="863" t="e">
        <f>SEARCH(HG3,$E$3)</f>
        <v>#VALUE!</v>
      </c>
      <c r="HI3" s="859">
        <f>IF(ISERROR(HH3),
IF(ISERROR(HH4),
IF(ISERROR(HH5),
IF(ISERROR(HH6),
IF(ISERROR(HH7),
"ОШИБКА",
HG7),
HG6),
HG5),
HG4),
HG3)</f>
        <v>0</v>
      </c>
      <c r="HJ3" s="1471" t="str">
        <f>IF(HI3=0,"ГИБДД","ЕВРОПРОТОКОЛ")</f>
        <v>ГИБДД</v>
      </c>
      <c r="HK3" s="949" t="s">
        <v>5</v>
      </c>
      <c r="HL3" s="950">
        <f>FG3</f>
        <v>43626</v>
      </c>
      <c r="HM3" s="858" t="str">
        <f>CONCATENATE("Гражданская ответственность ",FT3)</f>
        <v>Гражданская ответственность Женишбека Бекназара</v>
      </c>
      <c r="HN3" s="857">
        <f>SEARCH(HM3,$E$4)</f>
        <v>578</v>
      </c>
      <c r="HO3" s="859" t="str">
        <f>IF(ISERROR(HN3),
IF(ISERROR(HN4),
IF(ISERROR(HN5),
IF(ISERROR(HN6),
IF(ISERROR(HN7),
"ОШИБКА",
HM7),
HM6),
HM5),
HM4),
HM3)</f>
        <v>Гражданская ответственность Женишбека Бекназара</v>
      </c>
      <c r="HP3" s="854">
        <f>SEARCH(HO3,$E$4)+LEN(HO3)</f>
        <v>625</v>
      </c>
      <c r="HQ3" s="883" t="str">
        <f>CHAR(10)</f>
        <v xml:space="preserve">
</v>
      </c>
      <c r="HR3" s="857">
        <f>SEARCH(HQ3,$E$4,HP3)</f>
        <v>709</v>
      </c>
      <c r="HS3" s="854">
        <f>HR3-HN3</f>
        <v>131</v>
      </c>
      <c r="HT3" s="1471" t="str">
        <f>CLEAN(MID($E$4,HN3,HS3))</f>
        <v>Гражданская ответственность Женишбека Бекназара застрахована в СПАО «РЕСО-Гарантия» в рамках договора ОСАГО серия ККК № 3001108454.</v>
      </c>
      <c r="HU3" s="977" t="s">
        <v>140</v>
      </c>
      <c r="HV3" s="975" t="e">
        <f>SEARCH(HU3,$HT$3)</f>
        <v>#VALUE!</v>
      </c>
      <c r="HW3" s="859" t="str">
        <f>IF(ISERROR(HV3),
IF(ISERROR(HV4),
IF(ISERROR(HV5),
"ОШИБКА",
HU5),
HU4),
HU3)</f>
        <v>ОШИБКА</v>
      </c>
      <c r="HX3" s="854" t="e">
        <f>SEARCH(HW3,HT3)+LEN(HW3)</f>
        <v>#VALUE!</v>
      </c>
      <c r="HY3" s="1471" t="str">
        <f>IF(ISERROR(HX3),"","ОСАГО НЕТ")</f>
        <v/>
      </c>
      <c r="HZ3" s="919" t="s">
        <v>8556</v>
      </c>
      <c r="IA3" s="918" t="e">
        <f>SEARCH(HZ3,$HT$3)</f>
        <v>#VALUE!</v>
      </c>
      <c r="IB3" s="859" t="str">
        <f>IF(ISERROR(IA3),
IF(ISERROR(IA4),
"ОШИБКА",
HZ4),
HZ3)</f>
        <v>ОШИБКА</v>
      </c>
      <c r="IC3" s="854" t="e">
        <f>SEARCH(IB3,$HT$3)+LEN(IB3)</f>
        <v>#VALUE!</v>
      </c>
      <c r="ID3" s="1471" t="str">
        <f>IF(ISERROR(IC3),"НЕ ТОТ","ТОТ")</f>
        <v>НЕ ТОТ</v>
      </c>
      <c r="IE3" s="858" t="s">
        <v>8341</v>
      </c>
      <c r="IF3" s="857">
        <f>SEARCH(IE3,$HT$3)</f>
        <v>62</v>
      </c>
      <c r="IG3" s="859" t="str">
        <f>IF(ISERROR(IF3),
IF(ISERROR(IF4),
IF(ISERROR(IF5),
IF(ISERROR(IF6),
IF(ISERROR(IF7),
"ОШИБКА",
IE7),
IE6),
IE5),
IE4),
IE3)</f>
        <v xml:space="preserve">в </v>
      </c>
      <c r="IH3" s="854">
        <f>SEARCH(IG3,$HT$3)+LEN(IG3)</f>
        <v>64</v>
      </c>
      <c r="II3" s="856" t="s">
        <v>8461</v>
      </c>
      <c r="IJ3" s="857">
        <f>SEARCH(II3,$HT$3,IH$3)</f>
        <v>84</v>
      </c>
      <c r="IK3" s="859" t="str">
        <f>IF(ISERROR(IJ3),
IF(ISERROR(IJ4),
IF(ISERROR(IJ5),
IF(ISERROR(IJ6),
IF(ISERROR(IJ7),
"ОШИБКА",
II7),
II6),
II5),
II4),
II3)</f>
        <v xml:space="preserve"> в рамках договора</v>
      </c>
      <c r="IL3" s="854">
        <f>SEARCH(IK3,$HT$3)</f>
        <v>84</v>
      </c>
      <c r="IM3" s="854">
        <f>IL3-IH3</f>
        <v>20</v>
      </c>
      <c r="IN3" s="1471" t="str">
        <f>MID($HT$3,IH3,IM3)</f>
        <v>СПАО «РЕСО-Гарантия»</v>
      </c>
      <c r="IO3" s="858" t="s">
        <v>8324</v>
      </c>
      <c r="IP3" s="857">
        <f>SEARCH(IO3,$HT$3)</f>
        <v>109</v>
      </c>
      <c r="IQ3" s="859" t="str">
        <f>IF(ISERROR(IP3),
IF(ISERROR(IP4),
IF(ISERROR(IP5),
IF(ISERROR(IP6),
IF(ISERROR(IP7),
"ОШИБКА",
IO7),
IO6),
IO5),
IO4),
IO3)</f>
        <v xml:space="preserve">серия </v>
      </c>
      <c r="IR3" s="854">
        <f>SEARCH(IQ3,$HT$3)+LEN(IQ3)</f>
        <v>115</v>
      </c>
      <c r="IS3" s="856" t="s">
        <v>149</v>
      </c>
      <c r="IT3" s="857">
        <f>SEARCH(IS3,$HT$3,IR3)</f>
        <v>118</v>
      </c>
      <c r="IU3" s="854">
        <f>IT3-IR3</f>
        <v>3</v>
      </c>
      <c r="IV3" s="1471" t="str">
        <f>MID($HT$3,IR3,IU3)</f>
        <v>ККК</v>
      </c>
      <c r="IW3" s="858" t="s">
        <v>8233</v>
      </c>
      <c r="IX3" s="857">
        <f>SEARCH(IW3,$HT$3)</f>
        <v>119</v>
      </c>
      <c r="IY3" s="859" t="str">
        <f>IF(ISERROR(IX3),
IF(ISERROR(IX4),
IF(ISERROR(IX5),
IF(ISERROR(IX6),
IF(ISERROR(IX7),
"ОШИБКА",
IW7),
IW6),
IW5),
IW4),
IW3)</f>
        <v xml:space="preserve">№ </v>
      </c>
      <c r="IZ3" s="854">
        <f>SEARCH(IY3,$HT$3)+LEN(IY3)</f>
        <v>121</v>
      </c>
      <c r="JA3" s="854">
        <v>10</v>
      </c>
      <c r="JB3" s="1471" t="str">
        <f>MID($HT$3,IZ3,JA3)</f>
        <v>3001108454</v>
      </c>
      <c r="JC3" s="858" t="s">
        <v>8464</v>
      </c>
      <c r="JD3" s="857" t="e">
        <f>SEARCH(JC3,$HT$3)</f>
        <v>#VALUE!</v>
      </c>
      <c r="JE3" s="859">
        <f>IF(ISERROR(JD3),
IF(ISERROR(JD4),
IF(ISERROR(JD5),
IF(ISERROR(JD6),
IF(ISERROR(JD7),
"ОШИБКА",
JC7),
JC6),
JC5),
JC4),
JC3)</f>
        <v>0</v>
      </c>
      <c r="JF3" s="854">
        <f>SEARCH(JE3,$HT$3)+LEN(JE3)</f>
        <v>123</v>
      </c>
      <c r="JG3" s="854">
        <v>10</v>
      </c>
      <c r="JH3" s="1485" t="e">
        <f>DATEVALUE(MID($HT$3,JF3,JG3))</f>
        <v>#VALUE!</v>
      </c>
      <c r="JI3" s="858" t="s">
        <v>8467</v>
      </c>
      <c r="JJ3" s="857" t="e">
        <f>SEARCH(JI3,$HT$3,JF3)</f>
        <v>#VALUE!</v>
      </c>
      <c r="JK3" s="859">
        <f>IF(ISERROR(JJ3),
IF(ISERROR(JJ4),
IF(ISERROR(JJ5),
IF(ISERROR(JJ6),
IF(ISERROR(JJ7),
"ОШИБКА",
JI7),
JI6),
JI5),
JI4),
JI3)</f>
        <v>0</v>
      </c>
      <c r="JL3" s="854">
        <f>SEARCH(JK3,$HT$3,JF3)+LEN(JK3)</f>
        <v>124</v>
      </c>
      <c r="JM3" s="854">
        <v>10</v>
      </c>
      <c r="JN3" s="1485" t="e">
        <f>DATEVALUE(MID($HT$3,JL3,JM3))</f>
        <v>#VALUE!</v>
      </c>
      <c r="JO3" s="978" t="str">
        <f>HY3</f>
        <v/>
      </c>
      <c r="JP3" s="858" t="s">
        <v>8470</v>
      </c>
      <c r="JQ3" s="857" t="e">
        <f>SEARCH(JP3,$E$4)</f>
        <v>#VALUE!</v>
      </c>
      <c r="JR3" s="859" t="str">
        <f>IF(ISERROR(JQ3),
IF(ISERROR(JQ4),
IF(ISERROR(JQ5),
IF(ISERROR(JQ6),
IF(ISERROR(JQ7),
"ОШИБКА",
JP7),
JP6),
JP5),
JP4),
JP3)</f>
        <v xml:space="preserve">между Заявителем и </v>
      </c>
      <c r="JS3" s="854">
        <f>IF(ISERROR(JQ3),
IF(ISERROR(JQ4),
IF(ISERROR(JQ5),
IF(ISERROR(JQ6),
IF(ISERROR(JQ7),
"ОШИБКА",
JQ7),
JQ6),
JQ5),
JQ4),
JQ3)</f>
        <v>12</v>
      </c>
      <c r="JT3" s="870" t="str">
        <f>CHAR(10)</f>
        <v xml:space="preserve">
</v>
      </c>
      <c r="JU3" s="334">
        <f>IFERROR(LEN(MID($E$4,1,JS3))-LEN(IF(ISERROR(FIND(" ",MID($E$4,1,JS3))),MID($E$4,1,JS3),RIGHT(MID($E$4,1,JS3),LEN(MID($E$4,1,JS3))-FIND("~",SUBSTITUTE(MID($E$4,1,JS3),JT3,"~",LEN(MID($E$4,1,JS3))-LEN(SUBSTITUTE(MID($E$4,1,JS3),JT3,"")))))))+1,1)</f>
        <v>1</v>
      </c>
      <c r="JV3" s="856" t="str">
        <f>CHAR(10)</f>
        <v xml:space="preserve">
</v>
      </c>
      <c r="JW3" s="857">
        <f>SEARCH(JV3,$E$4,JU3)</f>
        <v>174</v>
      </c>
      <c r="JX3" s="854">
        <f>JW3-JU3</f>
        <v>173</v>
      </c>
      <c r="JY3" s="1471" t="str">
        <f>CLEAN(MID($E$4,JU3,JX3))</f>
        <v>05.04.2019 между Заявителем и Финансовой организацией заключен договор ОСАГО серия ККК № 3002162227 со сроком страхования с 05.04.2019 до 04.04.2020 (далее – Договор ОСАГО).</v>
      </c>
      <c r="JZ3" s="977" t="s">
        <v>140</v>
      </c>
      <c r="KA3" s="859" t="str">
        <f>IFERROR(SEARCH(JZ3,$JY$3),
IFERROR(SEARCH(JZ4,$JY$3),
IFERROR(SEARCH(JZ5,$JY$3),
IFERROR(SEARCH(JZ6,$JY$3),
IFERROR(SEARCH(JZ7,$JY$3),
IFERROR(SEARCH(JZ8,$JY$3),
IFERROR(SEARCH(JZ9,$JY$3),
IFERROR(SEARCH(JZ10,$JY$3),
IFERROR(SEARCH(JZ11,$JY$3),
IFERROR(SEARCH(JZ12,$JY$3),
"ОШИБКА"))))))))))</f>
        <v>ОШИБКА</v>
      </c>
      <c r="KB3" s="1471" t="str">
        <f>IF(KA3="ОШИБКА","","ОСАГО НЕТ")</f>
        <v/>
      </c>
      <c r="KC3" s="919" t="s">
        <v>8556</v>
      </c>
      <c r="KD3" s="918">
        <f>SEARCH(KC3,$JY$3)</f>
        <v>151</v>
      </c>
      <c r="KE3" s="859" t="str">
        <f>IF(ISERROR(KD3),
IF(ISERROR(KD4),
"ОШИБКА",
KC4),
KC3)</f>
        <v>далее – Договор ОСАГО</v>
      </c>
      <c r="KF3" s="854">
        <f>SEARCH(KE3,JY3)+LEN(KE3)</f>
        <v>172</v>
      </c>
      <c r="KG3" s="1471" t="str">
        <f>IF(ISERROR(KF3),"НЕ ТОТ","ТОТ")</f>
        <v>ТОТ</v>
      </c>
      <c r="KH3" s="858" t="s">
        <v>8671</v>
      </c>
      <c r="KI3" s="857">
        <f>SEARCH(KH3,$JY$3)+LEN(KH3)</f>
        <v>31</v>
      </c>
      <c r="KJ3" s="859" t="str">
        <f>IF(ISERROR(KI3),
IF(ISERROR(KI4),
IF(ISERROR(KI5),
IF(ISERROR(KI6),
IF(ISERROR(KI7),
"ОШИБКА",
KH7),
KH6),
KH5),
KH4),
KH3)</f>
        <v xml:space="preserve">между Заявителем и </v>
      </c>
      <c r="KK3" s="854">
        <f>IF(ISERROR(KI3),
IF(ISERROR(KI4),
IF(ISERROR(KI5),
IF(ISERROR(KI6),
IF(ISERROR(KI7),
"ОШИБКА",
KI7),
KI6),
KI5),
KI4),
KI3)</f>
        <v>31</v>
      </c>
      <c r="KL3" s="867" t="s">
        <v>8472</v>
      </c>
      <c r="KM3" s="857">
        <f>SEARCH(KL3,$JY$3,$KK$3)</f>
        <v>54</v>
      </c>
      <c r="KN3" s="859" t="str">
        <f>IF(ISERROR(KM3),
IF(ISERROR(KM4),
IF(ISERROR(KM5),
IF(ISERROR(KM6),
IF(ISERROR(KM7),
"ОШИБКА",
KL7),
KL6),
KL5),
KL4),
KL3)</f>
        <v xml:space="preserve"> заключен договор</v>
      </c>
      <c r="KO3" s="854">
        <f>IF(ISERROR(KM3),
IF(ISERROR(KM4),
IF(ISERROR(KM5),
IF(ISERROR(KM6),
IF(ISERROR(KM7),
"ОШИБКА",
KM7),
KM6),
KM5),
KM4),
KM3)</f>
        <v>54</v>
      </c>
      <c r="KP3" s="854">
        <f>KO3-KK3</f>
        <v>23</v>
      </c>
      <c r="KQ3" s="1471" t="str">
        <f>MID($JY$3,KK3,KP3)</f>
        <v>Финансовой организацией</v>
      </c>
      <c r="KR3" s="857">
        <v>1</v>
      </c>
      <c r="KS3" s="854">
        <v>10</v>
      </c>
      <c r="KT3" s="1485">
        <f>DATEVALUE(MID($JY$3,KR3,KS3))</f>
        <v>43560</v>
      </c>
      <c r="KU3" s="858" t="s">
        <v>8324</v>
      </c>
      <c r="KV3" s="857">
        <f>SEARCH(KU3,$JY$3)+LEN(KU3)</f>
        <v>84</v>
      </c>
      <c r="KW3" s="859" t="str">
        <f>IF(ISERROR(KV3),
IF(ISERROR(KV4),
IF(ISERROR(KV5),
IF(ISERROR(KV6),
IF(ISERROR(KV7),
"ОШИБКА",
KU7),
KU6),
KU5),
KU4),
KU3)</f>
        <v xml:space="preserve">серия </v>
      </c>
      <c r="KX3" s="857">
        <f>SEARCH(KW3,$JY$3)+LEN(KW3)</f>
        <v>84</v>
      </c>
      <c r="KY3" s="867" t="s">
        <v>149</v>
      </c>
      <c r="KZ3" s="857">
        <f>SEARCH(KY3,$JY$3,KX3)</f>
        <v>87</v>
      </c>
      <c r="LA3" s="854">
        <f>KZ3-KX3</f>
        <v>3</v>
      </c>
      <c r="LB3" s="1471" t="str">
        <f>MID($JY$3,KX3,LA3)</f>
        <v>ККК</v>
      </c>
      <c r="LC3" s="858" t="s">
        <v>8233</v>
      </c>
      <c r="LD3" s="857">
        <f>SEARCH(LC3,$JY$3)+LEN(LC3)</f>
        <v>90</v>
      </c>
      <c r="LE3" s="859" t="str">
        <f>IF(ISERROR(LD3),
IF(ISERROR(LD4),
IF(ISERROR(LD5),
IF(ISERROR(LD6),
IF(ISERROR(LD7),
"ОШИБКА",
LC7),
LC6),
LC5),
LC4),
LC3)</f>
        <v xml:space="preserve">№ </v>
      </c>
      <c r="LF3" s="857">
        <f>SEARCH(LE3,$JY$3)+LEN(LE3)</f>
        <v>90</v>
      </c>
      <c r="LG3" s="867" t="s">
        <v>149</v>
      </c>
      <c r="LH3" s="857">
        <f t="shared" ref="LH3:LH12" si="2">SEARCH(LG3,$JY$3,$LF$3)</f>
        <v>100</v>
      </c>
      <c r="LI3" s="984">
        <f>MIN(IFERROR(LH3,99999),IFERROR(LH4,99999),IFERROR(LH5,99999),IFERROR(LH6,99999),IFERROR(LH7,99999),IFERROR(LH8,99999),IFERROR(LH9,99999),IFERROR(LH10,99999),IFERROR(LH11,99999),IFERROR(LH12,99999))</f>
        <v>100</v>
      </c>
      <c r="LJ3" s="854">
        <f>LI3-LF3</f>
        <v>10</v>
      </c>
      <c r="LK3" s="1471" t="str">
        <f>MID($JY$3,LD3,LJ3)</f>
        <v>3002162227</v>
      </c>
      <c r="LL3" s="858" t="s">
        <v>8464</v>
      </c>
      <c r="LM3" s="857">
        <f>SEARCH(LL3,$JY$3)+LEN(LL3)</f>
        <v>125</v>
      </c>
      <c r="LN3" s="859" t="str">
        <f>IF(ISERROR(LM3),
IF(ISERROR(LM4),
IF(ISERROR(LM5),
IF(ISERROR(LM6),
IF(ISERROR(LM7),
"ОШИБКА",
LL7),
LL6),
LL5),
LL4),
LL3)</f>
        <v xml:space="preserve"> с </v>
      </c>
      <c r="LO3" s="857">
        <f>SEARCH(LN3,$JY$3)+LEN(LN3)</f>
        <v>125</v>
      </c>
      <c r="LP3" s="854">
        <v>10</v>
      </c>
      <c r="LQ3" s="1485">
        <f>DATEVALUE(MID($JY$3,LO3,LP3))</f>
        <v>43560</v>
      </c>
      <c r="LR3" s="858" t="s">
        <v>8468</v>
      </c>
      <c r="LS3" s="857" t="e">
        <f>SEARCH(LR3,$JY$3,LO3)+LEN(LR3)</f>
        <v>#VALUE!</v>
      </c>
      <c r="LT3" s="859" t="str">
        <f>IF(ISERROR(LS3),
IF(ISERROR(LS4),
IF(ISERROR(LS5),
IF(ISERROR(LS6),
IF(ISERROR(LS7),
"ОШИБКА",
LR7),
LR6),
LR5),
LR4),
LR3)</f>
        <v xml:space="preserve"> до </v>
      </c>
      <c r="LU3" s="857">
        <f>SEARCH(LT3,$JY$3,LO3)+LEN(LT3)</f>
        <v>139</v>
      </c>
      <c r="LV3" s="854">
        <v>10</v>
      </c>
      <c r="LW3" s="1485">
        <f>DATEVALUE(MID($JY$3,LU3,LV3))</f>
        <v>43925</v>
      </c>
      <c r="LX3" s="978" t="str">
        <f>KB3</f>
        <v/>
      </c>
      <c r="LY3" s="858" t="str">
        <f>CONCATENATE(" Заявитель ",$MA$3,$CU$3," с заявлением о ",$LZ$3)</f>
        <v xml:space="preserve"> Заявитель обратился в АО СК «БАСК» с заявлением о страховом возмещении по Договору ОСАГО</v>
      </c>
      <c r="LZ3" s="858" t="s">
        <v>8480</v>
      </c>
      <c r="MA3" s="864" t="s">
        <v>8488</v>
      </c>
      <c r="MB3" s="854">
        <f>MIN(IFERROR(SEARCH(LY$3,$E$4),99999),
IFERROR(SEARCH(LY$4,$E$4),99999),
IFERROR(SEARCH(LY$5,$E$4),99999),
IFERROR(SEARCH(LY$6,$E$4),99999),
IFERROR(SEARCH(LY$7,$E$4),99999),
IFERROR(SEARCH(LY$8,$E$4),99999),
IFERROR(SEARCH(LY$9,$E$4),99999),
IFERROR(SEARCH(LY$10,$E$4),99999),
IFERROR(SEARCH(LY$11,$E$4),99999),
IFERROR(SEARCH(LY$12,$E$4),99999),
IFERROR(SEARCH(LY$13,$E$4),99999),
IFERROR(SEARCH(LY$14,$E$4),99999),
IFERROR(SEARCH(LY$15,$E$4),99999),
IFERROR(SEARCH(LY$16,$E$4),99999),
IFERROR(SEARCH(LY$17,$E$4),99999),
IFERROR(SEARCH(LY$18,$E$4),99999),
IFERROR(SEARCH(LY$19,$E$4),99999),
IFERROR(SEARCH(LY$20,$E$4),99999),
IFERROR(SEARCH(LY$21,$E$4),99999),
IFERROR(SEARCH(LY$22,$E$4),99999),
IFERROR(SEARCH(LY$23,$E$4),99999),
IFERROR(SEARCH(LY$24,$E$4),99999),
IFERROR(SEARCH(LY$25,$E$4),99999),
IFERROR(SEARCH(LY$26,$E$4),99999),
IFERROR(SEARCH(LY$27,$E$4),99999),
IFERROR(SEARCH(LY$28,$E$4),99999),
IFERROR(SEARCH(LY$29,$E$4),99999),
IFERROR(SEARCH(LY$30,$E$4),99999),
IFERROR(SEARCH(LY$31,$E$4),99999),
IFERROR(SEARCH(LY$32,$E$4),99999),
IFERROR(SEARCH(LY$33,$E$4),99999),
IFERROR(SEARCH(LY$34,$E$4),99999)
)</f>
        <v>720</v>
      </c>
      <c r="MC3" s="870" t="str">
        <f>CHAR(10)</f>
        <v xml:space="preserve">
</v>
      </c>
      <c r="MD3" s="334">
        <f>IFERROR(LEN(MID($E$4,1,MB3))-LEN(IF(ISERROR(FIND(" ",MID($E$4,1,MB3))),MID($E$4,1,MB3),RIGHT(MID($E$4,1,MB3),LEN(MID($E$4,1,MB3))-FIND("~",SUBSTITUTE(MID($E$4,1,MB3),MC3,"~",LEN(MID($E$4,1,MB3))-LEN(SUBSTITUTE(MID($E$4,1,MB3),MC3,"")))))))+1,1)</f>
        <v>710</v>
      </c>
      <c r="ME3" s="856" t="str">
        <f>CHAR(10)</f>
        <v xml:space="preserve">
</v>
      </c>
      <c r="MF3" s="857">
        <f>SEARCH(ME3,$E$4,MD3)</f>
        <v>1032</v>
      </c>
      <c r="MG3" s="854">
        <f>MF3-MD3</f>
        <v>322</v>
      </c>
      <c r="MH3" s="1471" t="str">
        <f>CLEAN(MID($E$4,MD3,MG3))</f>
        <v>11.06.2019 Заявитель обратился в Финансовую организацию с заявлением о прямом возмещении убытков, предоставив все документы, предусмотренные Правилами обязательного страхования гражданской ответственности владельцев транспортных средств, утвержденными Положением Банка России от 19.09.2014 № 431-П (далее – Правила ОСАГО).</v>
      </c>
      <c r="MI3" s="1186" t="s">
        <v>9456</v>
      </c>
      <c r="MJ3" s="854">
        <f>MIN(IFERROR(SEARCH(MI$3,MH3)+LEN(MI$3),99999),
IFERROR(SEARCH(MI$4,MH3)+LEN(MI$4),99999),
IFERROR(SEARCH(MI$5,MH3)+LEN(MI$5),99999),
IFERROR(SEARCH(MI$6,MH3)+LEN(MI$6),99999),
IFERROR(SEARCH(MI$7,MH3)+LEN(MI$7),99999),
IFERROR(SEARCH(MI$8,MH3)+LEN(MI$8),99999),
IFERROR(SEARCH(MI$9,MH3)+LEN(MI$9),99999),
IFERROR(SEARCH(MI$10,MH3)+LEN(MI$10),99999),
IFERROR(SEARCH(MI$11,MH3)+LEN(MI$11),99999),
IFERROR(SEARCH(MI$12,MH3)+LEN(MI$12),99999),
IFERROR(SEARCH(MI$13,MH3)+LEN(MI$13),99999),
IFERROR(SEARCH(MI$14,MH3)+LEN(MI$14),99999)
)</f>
        <v>99999</v>
      </c>
      <c r="MK3" s="1184">
        <f>IFERROR(DATEVALUE(MID(MH3,1,10)),
IFERROR(DATEVALUE(MID(MH3,MJ3,10)),
IFERROR(DATEVALUE(MID(MH3,MJ3+LEN(MI4)+1,10)),
"")))</f>
        <v>43627</v>
      </c>
      <c r="ML3" s="864" t="s">
        <v>8492</v>
      </c>
      <c r="MM3" s="863" t="e">
        <f>SEARCH(LZ3,$MH$3)</f>
        <v>#VALUE!</v>
      </c>
      <c r="MN3" s="859" t="str">
        <f>IF(ISERROR(MM3),
IF(ISERROR(MM4),
"ОШИБКА",
ML4),
ML3)</f>
        <v>ПВУ</v>
      </c>
      <c r="MO3" s="1182" t="str">
        <f>MN3</f>
        <v>ПВУ</v>
      </c>
      <c r="MP3" s="864" t="s">
        <v>717</v>
      </c>
      <c r="MQ3" s="863">
        <f>SEARCH(MA3,$MH$3)</f>
        <v>22</v>
      </c>
      <c r="MR3" s="859" t="str">
        <f>IF(ISERROR(MQ3),
IF(ISERROR(MQ4),
IF(ISERROR(MQ5),
IF(ISERROR(MQ6),
IF(ISERROR(MQ7),
"ОШИБКА",
MP7),
MP6),
MP5),
MP4),
MP3)</f>
        <v>МУЖ</v>
      </c>
      <c r="MS3" s="1182" t="str">
        <f>MR3</f>
        <v>МУЖ</v>
      </c>
      <c r="MT3" s="1024" t="s">
        <v>8893</v>
      </c>
      <c r="MU3" s="1025" t="e">
        <f>SEARCH(MT3,$MH$3)</f>
        <v>#VALUE!</v>
      </c>
      <c r="MV3" s="1053" t="str">
        <f>IF(ISERROR(MU3),"САМ","ПРЕДСТАВИТЕЛЬ")</f>
        <v>САМ</v>
      </c>
      <c r="MW3" s="950">
        <f>MK3</f>
        <v>43627</v>
      </c>
      <c r="MX3" s="1471">
        <v>1</v>
      </c>
      <c r="MY3" s="988" t="s">
        <v>8707</v>
      </c>
      <c r="MZ3" s="984">
        <f t="shared" ref="MZ3:MZ14" si="3">SEARCH(MY3,$E$4)</f>
        <v>1033</v>
      </c>
      <c r="NA3" s="984">
        <f>MIN(IFERROR(MZ3,99999),IFERROR(MZ4,99999),IFERROR(MZ5,99999),IFERROR(MZ6,99999),IFERROR(MZ7,99999),IFERROR(MZ8,99999),IFERROR(MZ9,99999),IFERROR(MZ10,99999),IFERROR(MZ11,99999),IFERROR(MZ12,99999),IFERROR(MZ13,99999),IFERROR(MZ14,99999))</f>
        <v>1033</v>
      </c>
      <c r="NB3" s="870" t="str">
        <f>CHAR(10)</f>
        <v xml:space="preserve">
</v>
      </c>
      <c r="NC3" s="334">
        <f>LEN(MID($E$4,1,NA3))-LEN(IF(ISERROR(FIND(" ",MID($E$4,1,NA3))),MID($E$4,1,NA3),RIGHT(MID($E$4,1,NA3),LEN(MID($E$4,1,NA3))-FIND("~",SUBSTITUTE(MID($E$4,1,NA3),NB3,"~",LEN(MID($E$4,1,NA3))-LEN(SUBSTITUTE(MID($E$4,1,NA3),NB3,"")))))))+1</f>
        <v>1033</v>
      </c>
      <c r="ND3" s="870" t="str">
        <f>CHAR(10)</f>
        <v xml:space="preserve">
</v>
      </c>
      <c r="NE3" s="984">
        <f>SEARCH(ND3,$E$4,NC3)</f>
        <v>1138</v>
      </c>
      <c r="NF3" s="854">
        <f>NE3-NC3</f>
        <v>105</v>
      </c>
      <c r="NG3" s="1473" t="str">
        <f>CLEAN(MID($E$4,NC3,NF3))</f>
        <v>Заявление также содержало требования о выплате расходов на проведение независимой технической экспертизы.</v>
      </c>
      <c r="NH3" t="s">
        <v>8708</v>
      </c>
      <c r="NI3" s="984">
        <f>SEARCH(NH3,$NG$3)</f>
        <v>40</v>
      </c>
      <c r="NJ3" s="859" t="str">
        <f>IF(ISERROR(NI3),
IF(ISERROR(NI5),
IF(ISERROR(NI6),
"ОШИБКА",
NH6),
NH5),
NH3)</f>
        <v xml:space="preserve">выплате </v>
      </c>
      <c r="NK3" s="1475">
        <v>1</v>
      </c>
      <c r="NL3" s="833" t="s">
        <v>8433</v>
      </c>
      <c r="NM3" s="406">
        <f>SEARCH(NJ3,NJ$4)+LEN(NJ3)</f>
        <v>48</v>
      </c>
      <c r="NN3" s="406" t="str">
        <f>IF(NO3=IFERROR(SEARCH(".",NJ$4,NM3),99999),".",
IF(NO3=IFERROR(SEARCH(",",NJ$4,NM3),99999),",",
IF(NO3=IFERROR(SEARCH(" за период",NJ$4,NM3),999999)," за период",
IF(NO3=IFERROR(SEARCH(" в размере",NJ$4,NM3),99999)," в размере",
))))</f>
        <v>.</v>
      </c>
      <c r="NO3" s="406">
        <f>IFERROR(MIN(IFERROR(SEARCH(".",NJ$4,NM3),99999),IFERROR(SEARCH(",",NJ$4,NM3),99999),IFERROR(SEARCH(" за период",NJ$4,NM3),999999),IFERROR(SEARCH(" в размере",NJ$4,NM3),99999)),"ОШИБКА")</f>
        <v>105</v>
      </c>
      <c r="NP3" s="406">
        <f>NO3-NM3</f>
        <v>57</v>
      </c>
      <c r="NQ3" s="873" t="str">
        <f>MID(NJ$4,NM3,NP3)</f>
        <v>расходов на проведение независимой технической экспертизы</v>
      </c>
      <c r="NR3" s="825" t="str">
        <f>IFERROR(INDEX($DU:$DU,MATCH(MID(NJ$4,NM3,NP3),$DT:$DT,0),1),"")</f>
        <v>Экспертиза</v>
      </c>
      <c r="NS3" s="842" t="str">
        <f>IF(NR3="","",CONCATENATE(NK3,". ",NR3," ",IFERROR(CONCATENATE(NQ7,",",NQ8),""),IF(ISERROR(CONCATENATE(NQ7,",",NQ8)),"","₽")))</f>
        <v xml:space="preserve">1. Экспертиза </v>
      </c>
      <c r="NT3" s="1104" t="str">
        <f t="shared" ref="NT3:NT17" si="4">NS3</f>
        <v xml:space="preserve">1. Экспертиза </v>
      </c>
      <c r="NU3" s="993" t="str">
        <f>CONCATENATE("в ответ на заявление от ",MW3)</f>
        <v>в ответ на заявление от 43627</v>
      </c>
      <c r="NV3" s="854">
        <f>MIN(IFERROR(SEARCH(NU$3,$E$4),99999),
IFERROR(SEARCH(NU$4,$E$4),99999),
IFERROR(SEARCH(NU$5,$E$4),99999),
IFERROR(SEARCH(NU$6,$E$4),99999),
IFERROR(SEARCH(NU$7,$E$4),99999),
IFERROR(SEARCH(NU$8,$E$4),99999),
IFERROR(SEARCH(NU$9,$E$4),99999),
IFERROR(SEARCH(NU$10,$E$4),99999),
IFERROR(SEARCH(NU$11,$E$4),99999),
IFERROR(SEARCH(NU$12,$E$4),99999),
IFERROR(SEARCH(NU$13,$E$4),99999),
IFERROR(SEARCH(NU$14,$E$4),99999)
)</f>
        <v>99999</v>
      </c>
      <c r="NW3" s="870" t="str">
        <f>CHAR(10)</f>
        <v xml:space="preserve">
</v>
      </c>
      <c r="NX3" s="334">
        <f>LEN(MID($E$4,1,NV3))-LEN(IF(ISERROR(FIND(" ",MID($E$4,1,NV3))),MID($E$4,1,NV3),RIGHT(MID($E$4,1,NV3),LEN(MID($E$4,1,NV3))-FIND("~",SUBSTITUTE(MID($E$4,1,NV3),NW3,"~",LEN(MID($E$4,1,NV3))-LEN(SUBSTITUTE(MID($E$4,1,NV3),NW3,"")))))))+1</f>
        <v>5367</v>
      </c>
      <c r="NY3" s="870" t="str">
        <f>CHAR(10)</f>
        <v xml:space="preserve">
</v>
      </c>
      <c r="NZ3" s="994" t="e">
        <f>SEARCH(NY3,$E$4,NX3)</f>
        <v>#VALUE!</v>
      </c>
      <c r="OA3" s="854" t="e">
        <f>NZ3-NX3</f>
        <v>#VALUE!</v>
      </c>
      <c r="OB3" s="1534" t="str">
        <f>IFERROR(CLEAN(MID($E$4,NX3,OA3)),"ОТВЕТА НЕТ")</f>
        <v>ОТВЕТА НЕТ</v>
      </c>
      <c r="OC3" s="1471">
        <v>1</v>
      </c>
      <c r="OD3" s="946" t="s">
        <v>8622</v>
      </c>
      <c r="OE3" s="947">
        <f t="shared" ref="OE3:OE14" si="5">SEARCH(OD3,$E$4)</f>
        <v>1182</v>
      </c>
      <c r="OF3" s="947">
        <f>MIN(IFERROR(OE3,99999),IFERROR(OE4,99999),IFERROR(OE5,99999),IFERROR(OE6,99999),IFERROR(OE7,99999),IFERROR(OE8,99999),IFERROR(OE9,99999),IFERROR(OE10,99999),IFERROR(OE11,99999),IFERROR(OE12,99999),IFERROR(OE13,99999),IFERROR(OE14,99999))</f>
        <v>1182</v>
      </c>
      <c r="OG3" s="870" t="str">
        <f>CHAR(10)</f>
        <v xml:space="preserve">
</v>
      </c>
      <c r="OH3" s="334">
        <f>LEN(MID($E$4,1,OF3))-LEN(IF(ISERROR(FIND(" ",MID($E$4,1,OF3))),MID($E$4,1,OF3),RIGHT(MID($E$4,1,OF3),LEN(MID($E$4,1,OF3))-FIND("~",SUBSTITUTE(MID($E$4,1,OF3),OG3,"~",LEN(MID($E$4,1,OF3))-LEN(SUBSTITUTE(MID($E$4,1,OF3),OG3,"")))))))+1</f>
        <v>1139</v>
      </c>
      <c r="OI3" s="870" t="str">
        <f>CHAR(10)</f>
        <v xml:space="preserve">
</v>
      </c>
      <c r="OJ3" s="947">
        <f>SEARCH(OI3,$E$4,OH3)</f>
        <v>1300</v>
      </c>
      <c r="OK3" s="854">
        <f>OJ3-OH3</f>
        <v>161</v>
      </c>
      <c r="OL3" s="1473" t="str">
        <f>CLEAN(MID($E$4,OH3,OK3))</f>
        <v>11.06.2019 Финансовой организацей проведен осмотр принадлежащего Заявителю Транспортного средства с привлечением независимой экспертной организации ООО «Альянс».</v>
      </c>
      <c r="OM3" s="869">
        <v>1</v>
      </c>
      <c r="ON3" s="817">
        <f>DATEVALUE(MID(OL3,1,10))</f>
        <v>43627</v>
      </c>
      <c r="OO3" s="1101">
        <f>IFERROR(ON3,"")</f>
        <v>43627</v>
      </c>
      <c r="OP3" s="1068">
        <v>1</v>
      </c>
      <c r="OQ3" s="935" t="s">
        <v>574</v>
      </c>
      <c r="OR3" s="854">
        <f>MIN(IFERROR(SEARCH(OQ$3,$E$4),99999),
IFERROR(SEARCH(OQ$4,$E$4),99999),
IFERROR(SEARCH(OQ$5,$E$4),99999),
IFERROR(SEARCH(OQ$6,$E$4),99999),
IFERROR(SEARCH(OQ$7,$E$4),99999),
IFERROR(SEARCH(OQ$8,$E$4),99999),
IFERROR(SEARCH(OQ$9,$E$4),99999),
IFERROR(SEARCH(OQ$10,$E$4),99999),
IFERROR(SEARCH(OQ$11,$E$4),99999),
IFERROR(SEARCH(OQ$12,$E$4),99999),
IFERROR(SEARCH(OQ$13,$E$4),99999),
IFERROR(SEARCH(OQ$14,$E$4),99999)
)</f>
        <v>1301</v>
      </c>
      <c r="OS3" s="870" t="str">
        <f>CHAR(10)</f>
        <v xml:space="preserve">
</v>
      </c>
      <c r="OT3" s="334">
        <f>LEN(MID($E$4,1,OR3))-LEN(IF(ISERROR(FIND(" ",MID($E$4,1,OR3))),MID($E$4,1,OR3),RIGHT(MID($E$4,1,OR3),LEN(MID($E$4,1,OR3))-FIND("~",SUBSTITUTE(MID($E$4,1,OR3),OS$3,"~",LEN(MID($E$4,1,OR3))-LEN(SUBSTITUTE(MID($E$4,1,OR3),OS$3,"")))))))+1</f>
        <v>1301</v>
      </c>
      <c r="OU3" s="870" t="str">
        <f>CHAR(10)</f>
        <v xml:space="preserve">
</v>
      </c>
      <c r="OV3" s="937">
        <f>SEARCH(OU$3,$E$4,OT3)</f>
        <v>1685</v>
      </c>
      <c r="OW3" s="854">
        <f>OV3-OT3</f>
        <v>384</v>
      </c>
      <c r="OX3" s="1063" t="str">
        <f>CLEAN(MID($E$4,OT3,OW3))</f>
        <v>На основании результатов осмотра от 11.06.2019 независимой экспертной организацией ООО «Сибирская Ассистанская Компания» подготовлено экспертное заключение от 28.06.2019 № 45/06/19, согласно которому стоимость восстановительного ремонта Транспортного средства Повреждения на Транспортном средстве возникли вне заявленных обстоятельств дорожно-транспортного происшествия от 10.06.2019.</v>
      </c>
      <c r="OY3" t="s">
        <v>8574</v>
      </c>
      <c r="OZ3" s="854">
        <f>MIN(IFERROR(SEARCH(OY$3,$OX3)+LEN(OY$3),99999),
IFERROR(SEARCH(OY$4,$OX3)+LEN(OY$4),99999),
IFERROR(SEARCH(OY$5,$OX3)+LEN(OY$5),99999),
IFERROR(SEARCH(OY$6,$OX3)+LEN(OY$6),99999),
IFERROR(SEARCH(OY$7,$OX3)+LEN(OY$7),99999),
IFERROR(SEARCH(OY$8,$OX3)+LEN(OY$8),99999),
IFERROR(SEARCH(OY$9,$OX3)+LEN(OY$9),99999),
IFERROR(SEARCH(OY$10,$OX3)+LEN(OY$10),99999),
IFERROR(SEARCH(OY$11,$OX3)+LEN(OY$11),99999),
IFERROR(SEARCH(OY$12,$OX3)+LEN(OY$12),99999),
IFERROR(SEARCH(OY$13,$OX3)+LEN(OY$13),99999),
IFERROR(SEARCH(OY$14,$OX3)+LEN(OY$14),99999)
)</f>
        <v>84</v>
      </c>
      <c r="PA3" s="935" t="s">
        <v>8579</v>
      </c>
      <c r="PB3" s="854">
        <f>MIN(IFERROR(SEARCH(PA$3,$OX3,OZ3),99999),
IFERROR(SEARCH(PA$4,$OX3,OZ3),99999),
IFERROR(SEARCH(PA$5,$OX3,OZ3),99999),
IFERROR(SEARCH(PA$6,$OX3,OZ3),99999),
IFERROR(SEARCH(PA$7,$OX3,OZ3),99999),
IFERROR(SEARCH(PA$8,$OX3,OZ3),99999),
IFERROR(SEARCH(PA$9,$OX3,OZ3),99999),
IFERROR(SEARCH(PA$10,$OX3,OZ3),99999),
IFERROR(SEARCH(PA$11,$OX3,OZ3),99999),
IFERROR(SEARCH(PA$12,$OX3,OZ3),99999),
IFERROR(SEARCH(PA$13,$OX3,OZ3),99999),
IFERROR(SEARCH(PA$14,$OX3,OZ3),99999)
)</f>
        <v>121</v>
      </c>
      <c r="PC3">
        <f>PB3-OZ3</f>
        <v>37</v>
      </c>
      <c r="PD3" s="1214" t="str">
        <f>MID($OX3,OZ3,PC3)</f>
        <v>ООО «Сибирская Ассистанская Компания»</v>
      </c>
      <c r="PE3" s="264" t="s">
        <v>8581</v>
      </c>
      <c r="PF3" s="854">
        <f>MIN(IFERROR(SEARCH(PE$3,$OX3)+LEN(PE$3),99999),
IFERROR(SEARCH(PE$4,$OX3)+LEN(PE$4),99999),
IFERROR(SEARCH(PE$5,$OX3)+LEN(PE$5),99999),
IFERROR(SEARCH(PE$6,$OX3)+LEN(PE$6),99999),
IFERROR(SEARCH(PE$7,$OX3)+LEN(PE$7),99999),
IFERROR(SEARCH(PE$8,$OX3)+LEN(PE$8),99999),
IFERROR(SEARCH(PE$9,$OX3)+LEN(PE$9),99999),
IFERROR(SEARCH(PE$10,$OX3)+LEN(PE$10),99999),
IFERROR(SEARCH(PE$11,$OX3)+LEN(PE$11),99999),
IFERROR(SEARCH(PE$12,$OX3)+LEN(PE$12),99999),
IFERROR(SEARCH(PE$13,$OX3)+LEN(PE$13),99999),
IFERROR(SEARCH(PE$14,$OX3)+LEN(PE$14),99999)
)</f>
        <v>37</v>
      </c>
      <c r="PG3" s="1213" t="s">
        <v>8582</v>
      </c>
      <c r="PH3" s="854">
        <f>MIN(IFERROR(SEARCH(PG$3,$OX3,PF3),99999),
IFERROR(SEARCH(PG$4,$OX3,PF3),99999),
IFERROR(SEARCH(PG$5,$OX3,PF3),99999),
IFERROR(SEARCH(PG$6,$OX3,PF3),99999),
IFERROR(SEARCH(PG$7,$OX3,PF3),99999),
IFERROR(SEARCH(PG$8,$OX3,PF3),99999),
IFERROR(SEARCH(PG$9,$OX3,PF3),99999),
IFERROR(SEARCH(PG$10,$OX3,PF3),99999),
IFERROR(SEARCH(PG$11,$OX3,PF3),99999),
IFERROR(SEARCH(PG$12,$OX3,PF3),99999),
IFERROR(SEARCH(PG$13,$OX3,PF3),99999),
IFERROR(SEARCH(PG$14,$OX3,PF3),99999)
)</f>
        <v>170</v>
      </c>
      <c r="PI3" s="264">
        <f>PH3-PF3</f>
        <v>133</v>
      </c>
      <c r="PJ3" s="1216" t="e">
        <f>DATEVALUE(MID($OX3,PF3,PI3))</f>
        <v>#VALUE!</v>
      </c>
      <c r="PK3" s="264" t="s">
        <v>8582</v>
      </c>
      <c r="PL3" s="854">
        <f>MIN(IFERROR(SEARCH(PK$3,$OX3)+LEN(PK$3),99999),
IFERROR(SEARCH(PK$4,$OX3)+LEN(PK$4),99999),
IFERROR(SEARCH(PK$5,$OX3)+LEN(PK$5),99999),
IFERROR(SEARCH(PK$6,$OX3)+LEN(PK$6),99999),
IFERROR(SEARCH(PK$7,$OX3)+LEN(PK$7),99999),
IFERROR(SEARCH(PK$8,$OX3)+LEN(PK$8),99999),
IFERROR(SEARCH(PK$9,$OX3)+LEN(PK$9),99999),
IFERROR(SEARCH(PK$10,$OX3)+LEN(PK$10),99999),
IFERROR(SEARCH(PK$11,$OX3)+LEN(PK$11),99999),
IFERROR(SEARCH(PK$12,$OX3)+LEN(PK$12),99999),
IFERROR(SEARCH(PK$13,$OX3)+LEN(PK$13),99999),
IFERROR(SEARCH(PK$14,$OX3)+LEN(PK$14),99999)
)</f>
        <v>173</v>
      </c>
      <c r="PM3" s="1213" t="s">
        <v>8236</v>
      </c>
      <c r="PN3" s="854">
        <f>MIN(IFERROR(SEARCH(PM$3,$OX3,PL3),99999),
IFERROR(SEARCH(PM$4,$OX3,PL3),99999),
IFERROR(SEARCH(PM$5,$OX3,PL3),99999),
IFERROR(SEARCH(PM$6,$OX3,PL3),99999),
IFERROR(SEARCH(PM$7,$OX3,PL3),99999),
IFERROR(SEARCH(PM$8,$OX3,PL3),99999),
IFERROR(SEARCH(PM$9,$OX3,PL3),99999),
IFERROR(SEARCH(PM$10,$OX3,PL3),99999),
IFERROR(SEARCH(PM$11,$OX3,PL3),99999),
IFERROR(SEARCH(PM$12,$OX3,PL3),99999),
IFERROR(SEARCH(PM$13,$OX3,PL3),99999),
IFERROR(SEARCH(PM$14,$OX3,PL3),99999)
)</f>
        <v>181</v>
      </c>
      <c r="PO3" s="853">
        <f>PN3-PL3</f>
        <v>8</v>
      </c>
      <c r="PP3" s="1211" t="str">
        <f>MID($OX3,PL3,PO3)</f>
        <v>45/06/19</v>
      </c>
      <c r="PQ3" t="s">
        <v>8584</v>
      </c>
      <c r="PR3" s="937" t="e">
        <f>SEARCH(PQ3,$OX$3)</f>
        <v>#VALUE!</v>
      </c>
      <c r="PS3" s="859" t="str">
        <f>IF(ISERROR(PR3),
IF(ISERROR(PR4),
IF(ISERROR(PR5),
IF(ISERROR(PR6),
"ОШИБКА",
PQ6),
PQ5),
PQ4),
PQ3)</f>
        <v>ОШИБКА</v>
      </c>
      <c r="PT3" s="937" t="e">
        <f>SEARCH(PS3,$OX$3)+LEN(PS3)</f>
        <v>#VALUE!</v>
      </c>
      <c r="PU3" s="935" t="s">
        <v>8431</v>
      </c>
      <c r="PV3" s="937" t="e">
        <f>SEARCH(PU3,$OX$3,PT3)</f>
        <v>#VALUE!</v>
      </c>
      <c r="PW3" s="264" t="e">
        <f>PV3-PT3</f>
        <v>#VALUE!</v>
      </c>
      <c r="PX3" t="e">
        <f>MID($OX$3,PT3,PW3)</f>
        <v>#VALUE!</v>
      </c>
      <c r="PY3" s="1469" t="e">
        <f>VALUE(CONCATENATE(PX3,",",PX4))</f>
        <v>#VALUE!</v>
      </c>
      <c r="PZ3" t="s">
        <v>8588</v>
      </c>
      <c r="QA3" s="937" t="e">
        <f t="shared" ref="QA3:QA14" si="6">SEARCH(PZ3,$OX$3)</f>
        <v>#VALUE!</v>
      </c>
      <c r="QB3" s="859" t="str">
        <f>IF(ISERROR(QA3),
IF(ISERROR(QA4),
IF(ISERROR(QA5),
IF(ISERROR(QA6),
"ОШИБКА",
PZ6),
PZ5),
PZ4),
PZ3)</f>
        <v>ОШИБКА</v>
      </c>
      <c r="QC3" s="937" t="e">
        <f>SEARCH(QB3,$OX$3)+LEN(QB3)</f>
        <v>#VALUE!</v>
      </c>
      <c r="QD3" s="935" t="s">
        <v>8431</v>
      </c>
      <c r="QE3" s="937" t="e">
        <f>SEARCH(QD3,$OX$3,QC3)</f>
        <v>#VALUE!</v>
      </c>
      <c r="QF3" s="264" t="e">
        <f>QE3-QC3</f>
        <v>#VALUE!</v>
      </c>
      <c r="QG3" t="e">
        <f>MID($OX$3,QC3,QF3)</f>
        <v>#VALUE!</v>
      </c>
      <c r="QH3" s="1469" t="e">
        <f>VALUE(CONCATENATE(QG3,",",QG4))</f>
        <v>#VALUE!</v>
      </c>
      <c r="QI3" t="s">
        <v>8589</v>
      </c>
      <c r="QJ3" s="937" t="e">
        <f t="shared" ref="QJ3:QJ14" si="7">SEARCH(QI3,$OX$3)</f>
        <v>#VALUE!</v>
      </c>
      <c r="QK3" s="859" t="str">
        <f>IF(ISERROR(QJ3),
IF(ISERROR(QJ4),
IF(ISERROR(QJ5),
IF(ISERROR(QJ6),
"ОШИБКА",
QI6),
QI5),
QI4),
QI3)</f>
        <v>ОШИБКА</v>
      </c>
      <c r="QL3" s="937" t="e">
        <f>SEARCH(QK3,$OX$3)+LEN(QK3)</f>
        <v>#VALUE!</v>
      </c>
      <c r="QM3" s="935" t="s">
        <v>8431</v>
      </c>
      <c r="QN3" s="937" t="e">
        <f>SEARCH(QM3,$OX$3,QL3)</f>
        <v>#VALUE!</v>
      </c>
      <c r="QO3" s="264" t="e">
        <f>QN3-QL3</f>
        <v>#VALUE!</v>
      </c>
      <c r="QP3" t="e">
        <f>MID($OX$3,QL3,QO3)</f>
        <v>#VALUE!</v>
      </c>
      <c r="QQ3" s="1469" t="e">
        <f>VALUE(CONCATENATE(QP3,",",QP4))</f>
        <v>#VALUE!</v>
      </c>
      <c r="QR3" t="s">
        <v>8590</v>
      </c>
      <c r="QS3" s="937" t="e">
        <f t="shared" ref="QS3:QS14" si="8">SEARCH(QR3,$OX$3)</f>
        <v>#VALUE!</v>
      </c>
      <c r="QT3" s="859" t="str">
        <f>IF(ISERROR(QS3),
IF(ISERROR(QS4),
IF(ISERROR(QS5),
IF(ISERROR(QS6),
"ОШИБКА",
QR6),
QR5),
QR4),
QR3)</f>
        <v>ОШИБКА</v>
      </c>
      <c r="QU3" s="937" t="e">
        <f>SEARCH(QT3,$OX$3)+LEN(QT3)</f>
        <v>#VALUE!</v>
      </c>
      <c r="QV3" s="935" t="s">
        <v>8431</v>
      </c>
      <c r="QW3" s="937" t="e">
        <f>SEARCH(QV3,$OX$3,QU3)</f>
        <v>#VALUE!</v>
      </c>
      <c r="QX3" s="264" t="e">
        <f>QW3-QU3</f>
        <v>#VALUE!</v>
      </c>
      <c r="QY3" t="e">
        <f>MID($OX$3,QU3,QX3)</f>
        <v>#VALUE!</v>
      </c>
      <c r="QZ3" s="1469" t="e">
        <f>VALUE(CONCATENATE(QY3,",",QY4))</f>
        <v>#VALUE!</v>
      </c>
      <c r="RA3" s="1092" t="s">
        <v>8594</v>
      </c>
      <c r="RB3" s="1217" t="str">
        <f>IFERROR(PD3,"")</f>
        <v>ООО «Сибирская Ассистанская Компания»</v>
      </c>
      <c r="RC3" s="1068">
        <v>1</v>
      </c>
      <c r="RD3" s="1058" t="s">
        <v>8896</v>
      </c>
      <c r="RE3" s="854">
        <f>MIN(IFERROR(SEARCH(RD$3,$E$4),99999),
IFERROR(SEARCH(RD$4,$E$4),99999),
IFERROR(SEARCH(RD$5,$E$4),99999),
IFERROR(SEARCH(RD$6,$E$4),99999),
IFERROR(SEARCH(RD$7,$E$4),99999),
IFERROR(SEARCH(RD$8,$E$4),99999),
IFERROR(SEARCH(RD$9,$E$4),99999),
IFERROR(SEARCH(RD$10,$E$4),99999),
IFERROR(SEARCH(RD$11,$E$4),99999),
IFERROR(SEARCH(RD$12,$E$4),99999),
IFERROR(SEARCH(RD$13,$E$4),99999),
IFERROR(SEARCH(RD$14,$E$4),99999)
)</f>
        <v>99999</v>
      </c>
      <c r="RF3" s="870" t="str">
        <f>CHAR(10)</f>
        <v xml:space="preserve">
</v>
      </c>
      <c r="RG3" s="334">
        <f>LEN(MID($E$4,1,RE3))-LEN(IF(ISERROR(FIND(" ",MID($E$4,1,RE3))),MID($E$4,1,RE3),RIGHT(MID($E$4,1,RE3),LEN(MID($E$4,1,RE3))-FIND("~",SUBSTITUTE(MID($E$4,1,RE3),RF$3,"~",LEN(MID($E$4,1,RE3))-LEN(SUBSTITUTE(MID($E$4,1,RE3),RF$3,"")))))))+1</f>
        <v>5367</v>
      </c>
      <c r="RH3" s="870" t="str">
        <f>CHAR(10)</f>
        <v xml:space="preserve">
</v>
      </c>
      <c r="RI3" s="1059" t="e">
        <f>SEARCH(RH$3,$E$4,RG3)</f>
        <v>#VALUE!</v>
      </c>
      <c r="RJ3" s="854" t="e">
        <f>RI3-RG3</f>
        <v>#VALUE!</v>
      </c>
      <c r="RK3" s="1063" t="e">
        <f>CLEAN(MID($E$4,RG3,RJ3))</f>
        <v>#VALUE!</v>
      </c>
      <c r="RL3" s="1055">
        <v>1</v>
      </c>
      <c r="RM3" s="1180" t="s">
        <v>9456</v>
      </c>
      <c r="RN3" s="854">
        <f>MIN(IFERROR(SEARCH(RM$3,RK3)+LEN(RM$3),99999),
IFERROR(SEARCH(RM$4,RK3)+LEN(RM$4),99999),
IFERROR(SEARCH(RM$5,RK3)+LEN(RM$5),99999),
IFERROR(SEARCH(RM$6,RK3)+LEN(RM$6),99999),
IFERROR(SEARCH(RM$7,RK3)+LEN(RM$7),99999),
IFERROR(SEARCH(RM$8,RK3)+LEN(RM$8),99999),
IFERROR(SEARCH(RM$9,RK3)+LEN(RM$9),99999),
IFERROR(SEARCH(RM$10,RK3)+LEN(RM$10),99999),
IFERROR(SEARCH(RM$11,RK3)+LEN(RM$11),99999),
IFERROR(SEARCH(RM$12,RK3)+LEN(RM$12),99999),
IFERROR(SEARCH(RM$13,RK3)+LEN(RM$13),99999),
IFERROR(SEARCH(RM$14,RK3)+LEN(RM$14),99999)
)</f>
        <v>99999</v>
      </c>
      <c r="RO3" s="1179" t="str">
        <f>IFERROR(DATEVALUE(MID(RK3,1,10)),
IFERROR(DATEVALUE(MID(RK3,RN3,10)),
""))</f>
        <v/>
      </c>
      <c r="RP3" t="s">
        <v>8444</v>
      </c>
      <c r="RQ3" s="854">
        <f>MIN(IFERROR(SEARCH(RP$3,$RK3)+LEN(RP$3),99999),
IFERROR(SEARCH(RP$4,$RK3)+LEN(RP$4),99999),
IFERROR(SEARCH(RP$5,$RK3)+LEN(RP$5),99999),
IFERROR(SEARCH(RP$6,$RK3)+LEN(RP$6),99999),
IFERROR(SEARCH(RP$7,$RK3)+LEN(RP$7),99999),
IFERROR(SEARCH(RP$8,$RK3)+LEN(RP$8),99999),
IFERROR(SEARCH(RP$9,$RK3)+LEN(RP$9),99999),
IFERROR(SEARCH(RP$10,$RK3)+LEN(RP$10),99999),
IFERROR(SEARCH(RP$11,$RK3+LEN(RP$11)),99999),
IFERROR(SEARCH(RP$12,$RK3)+LEN(RP$12),99999),
IFERROR(SEARCH(RP$13,$RK3)+LEN(RP$13),99999),
IFERROR(SEARCH(RP$14,$RK3)+LEN(RP$14),99999)
)</f>
        <v>99999</v>
      </c>
      <c r="RR3" s="1058" t="s">
        <v>149</v>
      </c>
      <c r="RS3" s="854">
        <f>MIN(IFERROR(SEARCH(RR$3,$RK3,RQ3),99999),
IFERROR(SEARCH(RR$4,$RK3,RQ3),99999),
IFERROR(SEARCH(RR$5,$RK3,RQ3),99999),
IFERROR(SEARCH(RR$6,$RK3,RQ3),99999),
IFERROR(SEARCH(RR$7,$RK3,RQ3),99999),
IFERROR(SEARCH(RR$8,$RK3,RQ3),99999),
IFERROR(SEARCH(RR$9,$RK3,RQ3),99999),
IFERROR(SEARCH(RR$10,$RK3,RQ3),99999),
IFERROR(SEARCH(RR$11,$RK3,RQ3),99999),
IFERROR(SEARCH(RR$12,$RK3,RQ3),99999),
IFERROR(SEARCH(RR$13,$RK3,RQ3),99999),
IFERROR(SEARCH(RR$14,$RK3,RQ3),99999)
)</f>
        <v>99999</v>
      </c>
      <c r="RT3">
        <f>RS3-RQ3</f>
        <v>0</v>
      </c>
      <c r="RU3" s="1057" t="e">
        <f>MID($RK3,RQ3,RT3)</f>
        <v>#VALUE!</v>
      </c>
      <c r="RV3" t="s">
        <v>8901</v>
      </c>
      <c r="RW3" s="854">
        <f>MIN(IFERROR(SEARCH(RV$3,$RK3)+LEN(RV$3),99999),
IFERROR(SEARCH(RV$4,$RK3)+LEN(RV$4),99999),
IFERROR(SEARCH(RV$5,$RK3)+LEN(RV$5),99999),
IFERROR(SEARCH(RV$6,$RK3)+LEN(RV$6),99999),
IFERROR(SEARCH(RV$7,$RK3)+LEN(RV$7),99999),
IFERROR(SEARCH(RV$8,$RK3)+LEN(RV$8),99999),
IFERROR(SEARCH(RV$9,$RK3)+LEN(RV$9),99999),
IFERROR(SEARCH(RV$10,$RK3)+LEN(RV$10),99999),
IFERROR(SEARCH(RV$11,$RK3+LEN(RV$11)),99999),
IFERROR(SEARCH(RV$12,$RK3)+LEN(RV$12),99999),
IFERROR(SEARCH(RV$13,$RK3)+LEN(RV$13),99999),
IFERROR(SEARCH(RV$14,$RK3)+LEN(RV$14),99999)
)</f>
        <v>99999</v>
      </c>
      <c r="RX3" s="1058" t="s">
        <v>8902</v>
      </c>
      <c r="RY3" s="854">
        <f>MIN(IFERROR(SEARCH(RX$3,$RK3,RW3),99999),
IFERROR(SEARCH(RX$4,$RK3,RW3),99999),
IFERROR(SEARCH(RX$5,$RK3,RW3),99999),
IFERROR(SEARCH(RX$6,$RK3,RW3),99999),
IFERROR(SEARCH(RX$7,$RK3,RW3),99999),
IFERROR(SEARCH(RX$8,$RK3,RW3),99999),
IFERROR(SEARCH(RX$9,$RK3,RW3),99999),
IFERROR(SEARCH(RX$10,$RK3,RW3),99999),
IFERROR(SEARCH(RX$11,$RK3,RW3),99999),
IFERROR(SEARCH(RX$12,$RK3,RW3),99999),
IFERROR(SEARCH(RX$13,$RK3,RW3),99999),
IFERROR(SEARCH(RX$14,$RK3,RW3),99999)
)</f>
        <v>99999</v>
      </c>
      <c r="RZ3">
        <f>RY3-RW3</f>
        <v>0</v>
      </c>
      <c r="SA3" s="1060" t="e">
        <f>MID($RK3,RW3,RZ3)</f>
        <v>#VALUE!</v>
      </c>
      <c r="SB3" t="s">
        <v>8903</v>
      </c>
      <c r="SC3" s="854">
        <f>MIN(IFERROR(SEARCH(SB$3,$RK3)+LEN(SB$3),99999),
IFERROR(SEARCH(SB$4,$RK3)+LEN(SB$4),99999),
IFERROR(SEARCH(SB$5,$RK3)+LEN(SB$5),99999),
IFERROR(SEARCH(SB$6,$RK3)+LEN(SB$6),99999),
IFERROR(SEARCH(SB$7,$RK3)+LEN(SB$7),99999),
IFERROR(SEARCH(SB$8,$RK3)+LEN(SB$8),99999),
IFERROR(SEARCH(SB$9,$RK3)+LEN(SB$9),99999),
IFERROR(SEARCH(SB$10,$RK3)+LEN(SB$10),99999),
IFERROR(SEARCH(SB$11,$RK3+LEN(SB$11)),99999),
IFERROR(SEARCH(SB$12,$RK3)+LEN(SB$12),99999),
IFERROR(SEARCH(SB$13,$RK3)+LEN(SB$13),99999),
IFERROR(SEARCH(SB$14,$RK3)+LEN(SB$14),99999)
)</f>
        <v>99999</v>
      </c>
      <c r="SD3" s="1058" t="s">
        <v>8273</v>
      </c>
      <c r="SE3" s="854">
        <f>MIN(IFERROR(SEARCH(SD$3,$RK3,SC3),99999),
IFERROR(SEARCH(SD$4,$RK3,SC3),99999),
IFERROR(SEARCH(SD$5,$RK3,SC3),99999),
IFERROR(SEARCH(SD$6,$RK3,SC3),99999),
IFERROR(SEARCH(SD$7,$RK3,SC3),99999),
IFERROR(SEARCH(SD$8,$RK3,SC3),99999),
IFERROR(SEARCH(SD$9,$RK3,SC3),99999),
IFERROR(SEARCH(SD$10,$RK3,SC3),99999),
IFERROR(SEARCH(SD$11,$RK3,SC3),99999),
IFERROR(SEARCH(SD$12,$RK3,SC3),99999),
IFERROR(SEARCH(SD$13,$RK3,SC3),99999),
IFERROR(SEARCH(SD$14,$RK3,SC3),99999)
)</f>
        <v>99999</v>
      </c>
      <c r="SF3">
        <f>SE3-SC3</f>
        <v>0</v>
      </c>
      <c r="SG3" s="1060" t="e">
        <f>MID($RK3,SC3,SF3)</f>
        <v>#VALUE!</v>
      </c>
      <c r="SH3" s="1112" t="str">
        <f>RO3</f>
        <v/>
      </c>
      <c r="SI3" s="1053">
        <v>1</v>
      </c>
      <c r="SJ3" s="879" t="s">
        <v>8573</v>
      </c>
      <c r="SK3" s="854">
        <f>MIN(IFERROR(SEARCH(SJ$3,$E$4),99999),
IFERROR(SEARCH(SJ$4,$E$4),99999),
IFERROR(SEARCH(SJ$5,$E$4),99999),
IFERROR(SEARCH(SJ$6,$E$4),99999),
IFERROR(SEARCH(SJ$7,$E$4),99999),
IFERROR(SEARCH(SJ$8,$E$4),99999),
IFERROR(SEARCH(SJ$9,$E$4),99999),
IFERROR(SEARCH(SJ$10,$E$4),99999),
IFERROR(SEARCH(SJ$11,$E$4),99999),
IFERROR(SEARCH(SJ$12,$E$4),99999),
IFERROR(SEARCH(SJ$13,$E$4),99999),
IFERROR(SEARCH(SJ$14,$E$4),99999),
IFERROR(SEARCH(SJ$15,$E$4),99999),
IFERROR(SEARCH(SJ$16,$E$4),99999),
IFERROR(SEARCH(SJ$17,$E$4),99999),
IFERROR(SEARCH(SJ$18,$E$4),99999),
IFERROR(SEARCH(SJ$19,$E$4),99999)
)</f>
        <v>99999</v>
      </c>
      <c r="SL3" s="870" t="str">
        <f>CHAR(10)</f>
        <v xml:space="preserve">
</v>
      </c>
      <c r="SM3" s="334">
        <f>LEN(MID($E$4,1,SK3))-LEN(IF(ISERROR(FIND(" ",MID($E$4,1,SK3))),MID($E$4,1,SK3),RIGHT(MID($E$4,1,SK3),LEN(MID($E$4,1,SK3))-FIND("~",SUBSTITUTE(MID($E$4,1,SK3),SL$3,"~",LEN(MID($E$4,1,SK3))-LEN(SUBSTITUTE(MID($E$4,1,SK3),SL$3,"")))))))+1</f>
        <v>5367</v>
      </c>
      <c r="SN3" s="870" t="str">
        <f>CHAR(10)</f>
        <v xml:space="preserve">
</v>
      </c>
      <c r="SO3" s="880" t="e">
        <f>SEARCH(SN$3,$E$4,SM3)</f>
        <v>#VALUE!</v>
      </c>
      <c r="SP3" s="854" t="e">
        <f>SO3-SM3</f>
        <v>#VALUE!</v>
      </c>
      <c r="SQ3" s="1063" t="e">
        <f>CLEAN(MID($E$4,SM3,SP3))</f>
        <v>#VALUE!</v>
      </c>
      <c r="SR3" s="882">
        <v>1</v>
      </c>
      <c r="SS3" s="1173" t="s">
        <v>9456</v>
      </c>
      <c r="ST3" s="854">
        <f>MIN(IFERROR(SEARCH(SS$3,SQ3)+LEN(SS$3),99999),
IFERROR(SEARCH(SS$4,SQ3)+LEN(SS$4),99999),
IFERROR(SEARCH(SS$5,SQ3)+LEN(SS$5),99999),
IFERROR(SEARCH(SS$6,SQ3)+LEN(SS$6),99999),
IFERROR(SEARCH(SS$7,SQ3)+LEN(SS$7),99999),
IFERROR(SEARCH(SS$8,SQ3)+LEN(SS$8),99999),
IFERROR(SEARCH(SS$9,SQ3)+LEN(SS$9),99999),
IFERROR(SEARCH(SS$10,SQ3)+LEN(SS$10),99999),
IFERROR(SEARCH(SS$11,SQ3)+LEN(SS$11),99999),
IFERROR(SEARCH(SS$12,SQ3)+LEN(SS$12),99999),
IFERROR(SEARCH(SS$13,SQ3)+LEN(SS$13),99999),
IFERROR(SEARCH(SS$14,SQ3)+LEN(SS$14),99999)
)</f>
        <v>99999</v>
      </c>
      <c r="SU3" s="1175" t="str">
        <f>IFERROR(DATEVALUE(MID(SQ3,1,10)),
IFERROR(DATEVALUE(MID(SQ3,ST3,10)),
IFERROR(DATEVALUE(MID(SQ3,ST3+LEN(DQ12)+1,10)),
"")))</f>
        <v/>
      </c>
      <c r="SV3" t="s">
        <v>8526</v>
      </c>
      <c r="SW3" s="880" t="e">
        <f>SEARCH(SV3,SX$4)</f>
        <v>#VALUE!</v>
      </c>
      <c r="SX3" s="885">
        <f>MIN(IFERROR(SEARCH(SV$3,SX4)+LEN(SV3),99999),
IFERROR(SEARCH(SV$5,SX4)+LEN(SV5),99999),
IFERROR(SEARCH(SV$6,SX4)+LEN(SV6),99999),
IFERROR(SEARCH(SV$7,SX4)+LEN(SV7),99999),
IFERROR(SEARCH(SV$8,SX4)+LEN(SV8),99999),
IFERROR(SEARCH(SV$9,SX4)+LEN(SV9),99999),
IFERROR(SEARCH(SV$10,SX4)+LEN(SV10),99999),
IFERROR(SEARCH(SV$11,SX4)+LEN(SV11),99999),
IFERROR(SEARCH(SV$12,SX4)+LEN(SV12),99999),
IFERROR(SEARCH(SV$13,SX4)+LEN(SV13),99999),
IFERROR(SEARCH(SV$14,SX4)+LEN(SV14),99999),
IFERROR(SEARCH(SV$15,SX4)+LEN(SV15),99999),
IFERROR(SEARCH(SV$16,SX4)+LEN(SV16),99999),
IFERROR(SEARCH(SV$17,SX4)+LEN(SV17),99999),
IFERROR(SEARCH(SV$18,SX4)+LEN(SV18),99999),
IFERROR(SEARCH(SV$19,SX4)+LEN(SV19),99999)
)</f>
        <v>99999</v>
      </c>
      <c r="SY3" s="1475">
        <v>1</v>
      </c>
      <c r="SZ3" s="833" t="s">
        <v>8433</v>
      </c>
      <c r="TA3" s="406">
        <f>SX3</f>
        <v>99999</v>
      </c>
      <c r="TB3" s="406" t="str">
        <f>IF(TC3=IFERROR(SEARCH(".",$SQ$3,TA3),99999),".",
IF(TC3=IFERROR(SEARCH(",",$SQ$3,TA3),99999),",",
IF(TC3=IFERROR(SEARCH(" за период",$SQ$3,TA3),999999)," за период",
IF(TC3=IFERROR(SEARCH(" в размере",$SQ$3,TA3),99999)," в размере",
))))</f>
        <v>.</v>
      </c>
      <c r="TC3" s="406">
        <f>IFERROR(MIN(IFERROR(SEARCH(".",$SQ$3,TA3),99999),IFERROR(SEARCH(",",$SQ$3,TA3),99999),IFERROR(SEARCH(" за период",$SQ$3,TA3),999999),IFERROR(SEARCH(" в размере",$SQ$3,TA3),99999)),"ОШИБКА")</f>
        <v>99999</v>
      </c>
      <c r="TD3" s="406">
        <f>TC3-TA3</f>
        <v>0</v>
      </c>
      <c r="TE3" s="873" t="e">
        <f>MID($SQ$3,TA3,TD3)</f>
        <v>#VALUE!</v>
      </c>
      <c r="TF3" s="825" t="str">
        <f>IFERROR(INDEX($DU:$DU,MATCH(MID($SQ$3,TA3,TD3),$DT:$DT,0),1),"")</f>
        <v/>
      </c>
      <c r="TG3" s="842" t="str">
        <f>IF(TF3="","",CONCATENATE(SY3,". ",TF3," ",IFERROR(CONCATENATE(TE7,",",TE8),""),IF(ISERROR(CONCATENATE(TE7,",",TE8)),"","₽")))</f>
        <v/>
      </c>
      <c r="TH3" t="s">
        <v>8729</v>
      </c>
      <c r="TI3" s="1013" t="e">
        <f>SEARCH(TH3,TJ$4)</f>
        <v>#VALUE!</v>
      </c>
      <c r="TJ3" s="885" t="str">
        <f>IFERROR(TI3+LEN(TH3),
IFERROR(TI5+LEN(TH5),
IFERROR(TI6+LEN(TH6),
IFERROR(TI7+LEN(TH7),
IFERROR(TI8+LEN(TH8),
IFERROR(TI9+LEN(TH9),
"ОШИБКА"))))))</f>
        <v>ОШИБКА</v>
      </c>
      <c r="TK3" s="1488" t="s">
        <v>149</v>
      </c>
      <c r="TL3" s="835" t="s">
        <v>8730</v>
      </c>
      <c r="TM3" s="836" t="str">
        <f>TJ3</f>
        <v>ОШИБКА</v>
      </c>
      <c r="TN3" s="306" t="s">
        <v>8431</v>
      </c>
      <c r="TO3" s="306" t="e">
        <f>SEARCH(TN3,TJ4,TM3)</f>
        <v>#VALUE!</v>
      </c>
      <c r="TP3" s="306" t="e">
        <f>TO3-TM3</f>
        <v>#VALUE!</v>
      </c>
      <c r="TQ3" s="826" t="e">
        <f>MID(TJ4,TM3,TP3)</f>
        <v>#VALUE!</v>
      </c>
      <c r="TR3" s="1029" t="e">
        <f>VALUE(CONCATENATE(TQ3,",",TQ4))</f>
        <v>#VALUE!</v>
      </c>
      <c r="TS3" s="842" t="str">
        <f>IF(TR5="","",CONCATENATE(TK5,". ",TR5," ",IFERROR(CONCATENATE(TQ6,",",TQ7),""),IF(ISERROR(CONCATENATE(TQ6,",",TQ7)),"","₽")))</f>
        <v/>
      </c>
      <c r="TT3" t="str">
        <f>SV3</f>
        <v xml:space="preserve">выплата </v>
      </c>
      <c r="TU3" s="1181" t="e">
        <f>SEARCH(TT3,TV$4)</f>
        <v>#VALUE!</v>
      </c>
      <c r="TV3" s="885">
        <f>MIN(IFERROR(SEARCH(TT$3,TV4)+LEN(TT3),99999),
IFERROR(SEARCH(TT$5,TV4)+LEN(TT5),99999),
IFERROR(SEARCH(TT$6,TV4)+LEN(TT6),99999),
IFERROR(SEARCH(TT$7,TV4)+LEN(TT7),99999),
IFERROR(SEARCH(TT$8,TV4)+LEN(TT8),99999),
IFERROR(SEARCH(TT$9,TV4)+LEN(TT9),99999),
IFERROR(SEARCH(TT$10,TV4)+LEN(TT10),99999),
IFERROR(SEARCH(TT$11,TV4)+LEN(TT11),99999),
IFERROR(SEARCH(TT$12,TV4)+LEN(TT12),99999),
IFERROR(SEARCH(TT$13,TV4)+LEN(TT13),99999),
IFERROR(SEARCH(TT$14,TV4)+LEN(TT14),99999),
IFERROR(SEARCH(TT$15,TV4)+LEN(TT15),99999),
IFERROR(SEARCH(TT$16,TV4)+LEN(TT16),99999),
IFERROR(SEARCH(TT$17,TV4)+LEN(TT17),99999),
IFERROR(SEARCH(TT$18,TV4)+LEN(TT18),99999),
IFERROR(SEARCH(TT$19,TV4)+LEN(TT19),99999)
)</f>
        <v>99999</v>
      </c>
      <c r="TW3" s="1475">
        <v>1</v>
      </c>
      <c r="TX3" s="833" t="s">
        <v>8433</v>
      </c>
      <c r="TY3" s="406">
        <f>TV3</f>
        <v>99999</v>
      </c>
      <c r="TZ3" s="406" t="str">
        <f>IF(UA3=IFERROR(SEARCH(".",$SQ$4,TY3),99999),".",
IF(UA3=IFERROR(SEARCH(",",$SQ$4,TY3),99999),",",
IF(UA3=IFERROR(SEARCH(" за период",$SQ$4,TY3),999999)," за период",
IF(UA3=IFERROR(SEARCH(" в размере",$SQ$4,TY3),99999)," в размере",
))))</f>
        <v>.</v>
      </c>
      <c r="UA3" s="406">
        <f>IFERROR(MIN(IFERROR(SEARCH(".",$SQ$4,TY3),99999),IFERROR(SEARCH(",",$SQ$4,TY3),99999),IFERROR(SEARCH(" за период",$SQ$4,TY3),999999),IFERROR(SEARCH(" в размере",$SQ$4,TY3),99999)),"ОШИБКА")</f>
        <v>99999</v>
      </c>
      <c r="UB3" s="406">
        <f>UA3-TY3</f>
        <v>0</v>
      </c>
      <c r="UC3" s="873" t="e">
        <f>MID($SQ$4,TY3,UB3)</f>
        <v>#VALUE!</v>
      </c>
      <c r="UD3" s="825" t="str">
        <f>IFERROR(INDEX($DU:$DU,MATCH(MID($SQ$4,TY3,UB3),$DT:$DT,0),1),"")</f>
        <v/>
      </c>
      <c r="UE3" s="842" t="str">
        <f>IF(UD3="","",CONCATENATE(TW3,". ",UD3," ",IFERROR(CONCATENATE(UC7,",",UC8),""),IF(ISERROR(CONCATENATE(UC7,",",UC8)),"","₽")))</f>
        <v/>
      </c>
      <c r="UF3" t="s">
        <v>8729</v>
      </c>
      <c r="UG3" s="1025" t="e">
        <f>SEARCH(UF3,UH$4)</f>
        <v>#VALUE!</v>
      </c>
      <c r="UH3" s="859" t="str">
        <f>IF(ISERROR(UG3),
IF(ISERROR(UG5),
IF(ISERROR(UG6),
"ОШИБКА",
UF6),
UF5),
UF3)</f>
        <v>ОШИБКА</v>
      </c>
      <c r="UI3" s="1488" t="s">
        <v>149</v>
      </c>
      <c r="UJ3" s="835" t="s">
        <v>8730</v>
      </c>
      <c r="UK3" s="836" t="e">
        <f>SEARCH(UH3,UH4)+LEN(UH3)</f>
        <v>#VALUE!</v>
      </c>
      <c r="UL3" s="306" t="s">
        <v>8431</v>
      </c>
      <c r="UM3" s="306" t="e">
        <f>SEARCH(UL3,UH4,UK3)</f>
        <v>#VALUE!</v>
      </c>
      <c r="UN3" s="306" t="e">
        <f>UM3-UK3</f>
        <v>#VALUE!</v>
      </c>
      <c r="UO3" s="826" t="e">
        <f>MID(UH4,UK3,UN3)</f>
        <v>#VALUE!</v>
      </c>
      <c r="UP3" s="1029" t="e">
        <f>VALUE(CONCATENATE(UO3,",",UO4))</f>
        <v>#VALUE!</v>
      </c>
      <c r="UQ3" s="842" t="str">
        <f>IF(UP5="","",CONCATENATE(UI5,". ",UP5," ",IFERROR(CONCATENATE(UO6,",",UO7),""),IF(ISERROR(CONCATENATE(UO6,",",UO7)),"","₽")))</f>
        <v/>
      </c>
      <c r="UR3" t="str">
        <f>SV3</f>
        <v xml:space="preserve">выплата </v>
      </c>
      <c r="US3" s="1181" t="e">
        <f>SEARCH(UR3,UT$4)</f>
        <v>#VALUE!</v>
      </c>
      <c r="UT3" s="885" t="str">
        <f>IFERROR(US3+LEN(UR3),
IFERROR(US5+LEN(UR5),
IFERROR(US6+LEN(UR6),
IFERROR(US7+LEN(UR7),
IFERROR(US8+LEN(UR8),
IFERROR(US9+LEN(UR9),
IFERROR(US10+LEN(UR10),
IFERROR(US11+LEN(UR11),
IFERROR(US12+LEN(UR12),
"ОШИБКА")))))))))</f>
        <v>ОШИБКА</v>
      </c>
      <c r="UU3" s="1475">
        <v>1</v>
      </c>
      <c r="UV3" s="833" t="s">
        <v>8433</v>
      </c>
      <c r="UW3" s="406" t="str">
        <f>UT3</f>
        <v>ОШИБКА</v>
      </c>
      <c r="UX3" s="406" t="str">
        <f>IF(UY3=IFERROR(SEARCH(".",$SQ$5,UW3),99999),".",
IF(UY3=IFERROR(SEARCH(",",$SQ$5,UW3),99999),",",
IF(UY3=IFERROR(SEARCH(" за период",$SQ$5,UW3),999999)," за период",
IF(UY3=IFERROR(SEARCH(" в размере",$SQ$5,UW3),99999)," в размере",
))))</f>
        <v>.</v>
      </c>
      <c r="UY3" s="406">
        <f>IFERROR(MIN(IFERROR(SEARCH(".",$SQ$5,UW3),99999),IFERROR(SEARCH(",",$SQ$5,UW3),99999),IFERROR(SEARCH(" за период",$SQ$5,UW3),999999),IFERROR(SEARCH(" в размере",$SQ$5,UW3),99999)),"ОШИБКА")</f>
        <v>99999</v>
      </c>
      <c r="UZ3" s="406" t="e">
        <f>UY3-UW3</f>
        <v>#VALUE!</v>
      </c>
      <c r="VA3" s="873" t="e">
        <f>MID($SQ$5,UW3,UZ3)</f>
        <v>#VALUE!</v>
      </c>
      <c r="VB3" s="825" t="str">
        <f>IFERROR(INDEX($DU:$DU,MATCH(MID($SQ$5,UW3,UZ3),$DT:$DT,0),1),"")</f>
        <v/>
      </c>
      <c r="VC3" s="842" t="str">
        <f>IF(VB3="","",CONCATENATE(UU3,". ",VB3," ",IFERROR(CONCATENATE(VA7,",",VA8),""),IF(ISERROR(CONCATENATE(VA7,",",VA8)),"","₽")))</f>
        <v/>
      </c>
      <c r="VD3" t="s">
        <v>8729</v>
      </c>
      <c r="VE3" s="1025" t="e">
        <f>SEARCH(VD3,VF$4)</f>
        <v>#VALUE!</v>
      </c>
      <c r="VF3" s="859" t="str">
        <f>IF(ISERROR(VE3),
IF(ISERROR(VE5),
IF(ISERROR(VE6),
"ОШИБКА",
VD6),
VD5),
VD3)</f>
        <v>ОШИБКА</v>
      </c>
      <c r="VG3" s="1488" t="s">
        <v>149</v>
      </c>
      <c r="VH3" s="835" t="s">
        <v>8730</v>
      </c>
      <c r="VI3" s="836" t="e">
        <f>SEARCH(VF3,VF4)+LEN(VF3)</f>
        <v>#VALUE!</v>
      </c>
      <c r="VJ3" s="306" t="s">
        <v>8431</v>
      </c>
      <c r="VK3" s="306" t="e">
        <f>SEARCH(VJ3,VF4,VI3)</f>
        <v>#VALUE!</v>
      </c>
      <c r="VL3" s="306" t="e">
        <f>VK3-VI3</f>
        <v>#VALUE!</v>
      </c>
      <c r="VM3" s="826" t="e">
        <f>MID(VF4,VI3,VL3)</f>
        <v>#VALUE!</v>
      </c>
      <c r="VN3" s="1029" t="e">
        <f>VALUE(CONCATENATE(VM3,",",VM4))</f>
        <v>#VALUE!</v>
      </c>
      <c r="VO3" s="842" t="str">
        <f>IF(VN5="","",CONCATENATE(VG5,". ",VN5," ",IFERROR(CONCATENATE(VM6,",",VM7),""),IF(ISERROR(CONCATENATE(VM6,",",VM7)),"","₽")))</f>
        <v/>
      </c>
      <c r="VP3" t="str">
        <f>SV3</f>
        <v xml:space="preserve">выплата </v>
      </c>
      <c r="VQ3" s="1181" t="e">
        <f>SEARCH(VP3,VR$4)</f>
        <v>#VALUE!</v>
      </c>
      <c r="VR3" s="885" t="str">
        <f>IFERROR(VQ3+LEN(VP3),
IFERROR(VQ5+LEN(VP5),
IFERROR(VQ6+LEN(VP6),
IFERROR(VQ7+LEN(VP7),
IFERROR(VQ8+LEN(VP8),
IFERROR(VQ9+LEN(VP9),
IFERROR(VQ10+LEN(VP10),
IFERROR(VQ11+LEN(VP11),
IFERROR(VQ12+LEN(VP12),
"ОШИБКА")))))))))</f>
        <v>ОШИБКА</v>
      </c>
      <c r="VS3" s="1475">
        <v>1</v>
      </c>
      <c r="VT3" s="833" t="s">
        <v>8433</v>
      </c>
      <c r="VU3" s="406" t="str">
        <f>VR3</f>
        <v>ОШИБКА</v>
      </c>
      <c r="VV3" s="406" t="str">
        <f>IF(VW3=IFERROR(SEARCH(".",$SQ$6,VU3),99999),".",
IF(VW3=IFERROR(SEARCH(",",$SQ$6,VU3),99999),",",
IF(VW3=IFERROR(SEARCH(" за период",$SQ$6,VU3),999999)," за период",
IF(VW3=IFERROR(SEARCH(" в размере",$SQ$6,VU3),99999)," в размере",
))))</f>
        <v>.</v>
      </c>
      <c r="VW3" s="406">
        <f>IFERROR(MIN(IFERROR(SEARCH(".",$SQ$6,VU3),99999),IFERROR(SEARCH(",",$SQ$6,VU3),99999),IFERROR(SEARCH(" за период",$SQ$6,VU3),999999),IFERROR(SEARCH(" в размере",$SQ$6,VU3),99999)),"ОШИБКА")</f>
        <v>99999</v>
      </c>
      <c r="VX3" s="406" t="e">
        <f>VW3-VU3</f>
        <v>#VALUE!</v>
      </c>
      <c r="VY3" s="873" t="e">
        <f>MID($SQ$6,VU3,VX3)</f>
        <v>#VALUE!</v>
      </c>
      <c r="VZ3" s="825" t="str">
        <f>IFERROR(INDEX($DU:$DU,MATCH(MID($SQ$6,VU3,VX3),$DT:$DT,0),1),"")</f>
        <v/>
      </c>
      <c r="WA3" s="842" t="str">
        <f>IF(VZ3="","",CONCATENATE(VS3,". ",VZ3," ",IFERROR(CONCATENATE(VY7,",",VY8),""),IF(ISERROR(CONCATENATE(VY7,",",VY8)),"","₽")))</f>
        <v/>
      </c>
      <c r="WB3" t="s">
        <v>8729</v>
      </c>
      <c r="WC3" s="1025" t="e">
        <f>SEARCH(WB3,WD$4)</f>
        <v>#VALUE!</v>
      </c>
      <c r="WD3" s="859" t="str">
        <f>IF(ISERROR(WC3),
IF(ISERROR(WC5),
IF(ISERROR(WC6),
"ОШИБКА",
WB6),
WB5),
WB3)</f>
        <v>ОШИБКА</v>
      </c>
      <c r="WE3" s="1488" t="s">
        <v>149</v>
      </c>
      <c r="WF3" s="835" t="s">
        <v>8730</v>
      </c>
      <c r="WG3" s="836" t="e">
        <f>SEARCH(WD3,WD4)+LEN(WD3)</f>
        <v>#VALUE!</v>
      </c>
      <c r="WH3" s="306" t="s">
        <v>8431</v>
      </c>
      <c r="WI3" s="306" t="e">
        <f>SEARCH(WH3,WD4,WG3)</f>
        <v>#VALUE!</v>
      </c>
      <c r="WJ3" s="306" t="e">
        <f>WI3-WG3</f>
        <v>#VALUE!</v>
      </c>
      <c r="WK3" s="826" t="e">
        <f>MID(WD4,WG3,WJ3)</f>
        <v>#VALUE!</v>
      </c>
      <c r="WL3" s="1029" t="e">
        <f>VALUE(CONCATENATE(WK3,",",WK4))</f>
        <v>#VALUE!</v>
      </c>
      <c r="WM3" s="842" t="str">
        <f>IF(WL5="","",CONCATENATE(WE5,". ",WL5," ",IFERROR(CONCATENATE(WK6,",",WK7),""),IF(ISERROR(CONCATENATE(WK6,",",WK7)),"","₽")))</f>
        <v/>
      </c>
      <c r="WN3" t="str">
        <f>SV3</f>
        <v xml:space="preserve">выплата </v>
      </c>
      <c r="WO3" s="1181" t="e">
        <f>SEARCH(WN3,WP$4)</f>
        <v>#VALUE!</v>
      </c>
      <c r="WP3" s="885" t="str">
        <f>IFERROR(WO3+LEN(WN3),
IFERROR(WO5+LEN(WN5),
IFERROR(WO6+LEN(WN6),
IFERROR(WO7+LEN(WN7),
IFERROR(WO8+LEN(WN8),
IFERROR(WO9+LEN(WN9),
IFERROR(WO10+LEN(WN10),
IFERROR(WO11+LEN(WN11),
IFERROR(WO12+LEN(WN12),
"ОШИБКА")))))))))</f>
        <v>ОШИБКА</v>
      </c>
      <c r="WQ3" s="1475">
        <v>1</v>
      </c>
      <c r="WR3" s="833" t="s">
        <v>8433</v>
      </c>
      <c r="WS3" s="406" t="str">
        <f>WP3</f>
        <v>ОШИБКА</v>
      </c>
      <c r="WT3" s="406" t="str">
        <f>IF(WU3=IFERROR(SEARCH(".",$SQ$7,WS3),99999),".",
IF(WU3=IFERROR(SEARCH(",",$SQ$7,WS3),99999),",",
IF(WU3=IFERROR(SEARCH(" за период",$SQ$7,WS3),999999)," за период",
IF(WU3=IFERROR(SEARCH(" в размере",$SQ$7,WS3),99999)," в размере",
))))</f>
        <v>.</v>
      </c>
      <c r="WU3" s="406">
        <f>IFERROR(MIN(IFERROR(SEARCH(".",$SQ$7,WS3),99999),IFERROR(SEARCH(",",$SQ$7,WS3),99999),IFERROR(SEARCH(" за период",$SQ$7,WS3),999999),IFERROR(SEARCH(" в размере",$SQ$7,WS3),99999)),"ОШИБКА")</f>
        <v>99999</v>
      </c>
      <c r="WV3" s="406" t="e">
        <f>WU3-WS3</f>
        <v>#VALUE!</v>
      </c>
      <c r="WW3" s="873" t="e">
        <f>MID($SQ$7,WS3,WV3)</f>
        <v>#VALUE!</v>
      </c>
      <c r="WX3" s="825" t="str">
        <f>IFERROR(INDEX($DU:$DU,MATCH(MID($SQ$7,WS3,WV3),$DT:$DT,0),1),"")</f>
        <v/>
      </c>
      <c r="WY3" s="842" t="str">
        <f>IF(WX3="","",CONCATENATE(WQ3,". ",WX3," ",IFERROR(CONCATENATE(WW7,",",WW8),""),IF(ISERROR(CONCATENATE(WW7,",",WW8)),"","₽")))</f>
        <v/>
      </c>
      <c r="WZ3" t="s">
        <v>8729</v>
      </c>
      <c r="XA3" s="1025" t="e">
        <f>SEARCH(WZ3,XB$4)</f>
        <v>#VALUE!</v>
      </c>
      <c r="XB3" s="859" t="str">
        <f>IF(ISERROR(XA3),
IF(ISERROR(XA5),
IF(ISERROR(XA6),
"ОШИБКА",
WZ6),
WZ5),
WZ3)</f>
        <v>ОШИБКА</v>
      </c>
      <c r="XC3" s="1488" t="s">
        <v>149</v>
      </c>
      <c r="XD3" s="835" t="s">
        <v>8730</v>
      </c>
      <c r="XE3" s="836" t="e">
        <f>SEARCH(XB3,XB4)+LEN(XB3)</f>
        <v>#VALUE!</v>
      </c>
      <c r="XF3" s="306" t="s">
        <v>8431</v>
      </c>
      <c r="XG3" s="306" t="e">
        <f>SEARCH(XF3,XB4,XE3)</f>
        <v>#VALUE!</v>
      </c>
      <c r="XH3" s="306" t="e">
        <f>XG3-XE3</f>
        <v>#VALUE!</v>
      </c>
      <c r="XI3" s="826" t="e">
        <f>MID(XB4,XE3,XH3)</f>
        <v>#VALUE!</v>
      </c>
      <c r="XJ3" s="1029" t="e">
        <f>VALUE(CONCATENATE(XI3,",",XI4))</f>
        <v>#VALUE!</v>
      </c>
      <c r="XK3" s="842" t="str">
        <f>IF(XJ5="","",CONCATENATE(XC5,". ",XJ5," ",IFERROR(CONCATENATE(XI6,",",XI7),""),IF(ISERROR(CONCATENATE(XI6,",",XI7)),"","₽")))</f>
        <v/>
      </c>
      <c r="XL3" s="1089" t="str">
        <f>IFERROR(CONCATENATE(DATES!C15," ",TEXT(VALUE(CONCATENATE(LEFT(DATES!E15,SEARCH(",",TEXT(DATES!E15,"0,00"))-1),",",RIGHT(TEXT(DATES!E15,"0,00"),2))),"0 000,00"),"₽"),"")</f>
        <v>Ущерб 400 000,00₽</v>
      </c>
      <c r="XM3" s="1044">
        <v>1</v>
      </c>
      <c r="XN3" s="1173" t="s">
        <v>9189</v>
      </c>
      <c r="XO3" s="854">
        <f>MIN(IFERROR(SEARCH(XN$3,$E$4,$MF$3),99999),
IFERROR(SEARCH(XN$4,$E$4,$MF$3),99999),
IFERROR(SEARCH(XN$5,$E$4,$MF$3),99999),
IFERROR(SEARCH(XN$6,$E$4,$MF$3),99999),
IFERROR(SEARCH(XN$7,$E$4,$MF$3),99999),
IFERROR(SEARCH(XN$8,$E$4,$MF$3),99999),
IFERROR(SEARCH(XN$9,$E$4,$MF$3),99999),
IFERROR(SEARCH(XN$10,$E$4,$MF$3),99999),
IFERROR(SEARCH(XN$11,$E$4,$MF$3),99999),
IFERROR(SEARCH(XN$12,$E$4,$MF$3),99999),
IFERROR(SEARCH(XN$13,$E$4,$MF$3),99999),
IFERROR(SEARCH(XN$14,$E$4,$MF$3),99999),
IFERROR(SEARCH(XN$15,$E$4,$MF$3),99999),
IFERROR(SEARCH(XN$16,$E$4,$MF$3),99999),
IFERROR(SEARCH(XN$17,$E$4,$MF$3),99999)
)</f>
        <v>2049</v>
      </c>
      <c r="XP3" s="870" t="str">
        <f>CHAR(10)</f>
        <v xml:space="preserve">
</v>
      </c>
      <c r="XQ3" s="334">
        <f>LEN(MID($E$4,1,XO3))-LEN(IF(ISERROR(FIND(" ",MID($E$4,1,XO3))),MID($E$4,1,XO3),RIGHT(MID($E$4,1,XO3),LEN(MID($E$4,1,XO3))-FIND("~",SUBSTITUTE(MID($E$4,1,XO3),XP$3,"~",LEN(MID($E$4,1,XO3))-LEN(SUBSTITUTE(MID($E$4,1,XO3),XP$3,"")))))))+1</f>
        <v>2039</v>
      </c>
      <c r="XR3" s="861" t="str">
        <f>CHAR(10)</f>
        <v xml:space="preserve">
</v>
      </c>
      <c r="XS3" s="863">
        <f>SEARCH(XR3,$E$4,XQ3)</f>
        <v>2353</v>
      </c>
      <c r="XT3" s="854">
        <f>XS3-XQ3</f>
        <v>314</v>
      </c>
      <c r="XU3" s="1158" t="str">
        <f>CLEAN(MID($E$4,XQ3,XT3))</f>
        <v>02.08.2019 Заявитель обратился в Финансовую организацию с заявлением (претензией) о несогласии с отказом Финансовой организации в выплате страхового возмещения, содержащим требование о выплате страхового возмещения по Договору ОСАГО, неустойки за несоблюдение срока выплаты страхового возмещения по Договору ОСАГО.</v>
      </c>
      <c r="XV3" s="869">
        <v>1</v>
      </c>
      <c r="XW3" s="1180" t="s">
        <v>9456</v>
      </c>
      <c r="XX3" s="854">
        <f>MIN(IFERROR(SEARCH(XW$3,XU3)+LEN(XW$3),99999),
IFERROR(SEARCH(XW$4,XU3)+LEN(XW$4),99999),
IFERROR(SEARCH(XW$5,XU3)+LEN(XW$5),99999),
IFERROR(SEARCH(XW$6,XU3)+LEN(XW$6),99999),
IFERROR(SEARCH(XW$7,XU3)+LEN(XW$7),99999),
IFERROR(SEARCH(XW$8,XU3)+LEN(XW$8),99999),
IFERROR(SEARCH(XW$9,XU3)+LEN(XW$9),99999),
IFERROR(SEARCH(XW$10,XU3)+LEN(XW$10),99999),
IFERROR(SEARCH(XW$11,XU3)+LEN(XW$11),99999),
IFERROR(SEARCH(XW$12,XU3)+LEN(XW$12),99999),
IFERROR(SEARCH(XW$13,XU3)+LEN(XW$13),99999),
IFERROR(SEARCH(XW$14,XU3)+LEN(XW$14),99999)
)</f>
        <v>99999</v>
      </c>
      <c r="XY3" s="1179">
        <f>IFERROR(DATEVALUE(MID(XU3,1,10)),
IFERROR(DATEVALUE(MID(XU3,XX3,10)),
""))</f>
        <v>43679</v>
      </c>
      <c r="XZ3" s="876" t="s">
        <v>717</v>
      </c>
      <c r="YA3" s="876">
        <f>SEARCH(MA3,$XU$3)</f>
        <v>22</v>
      </c>
      <c r="YB3" s="885" t="str">
        <f>IF(ISERROR(YA3),
IF(ISERROR(YA4),
"ОШИБКА",
XZ4),
XZ3)</f>
        <v>МУЖ</v>
      </c>
      <c r="YC3" s="1471" t="str">
        <f>YB3</f>
        <v>МУЖ</v>
      </c>
      <c r="YD3" t="s">
        <v>8498</v>
      </c>
      <c r="YE3" s="876">
        <f>SEARCH(YD3,$XU$3)</f>
        <v>184</v>
      </c>
      <c r="YF3" s="885">
        <f>IFERROR(YE3+LEN(YD3),
IFERROR(YE5+LEN(YD5),
IFERROR(YE6+LEN(YD6),
IFERROR(YE7+LEN(YD7),
IFERROR(YE8+LEN(YD8),
IFERROR(YE9+LEN(YD9),
IFERROR(YE10+LEN(YD10),
IFERROR(YE11+LEN(YD11),
IFERROR(YE12+LEN(YD12),
"ОШИБКА")))))))))</f>
        <v>194</v>
      </c>
      <c r="YG3" s="1475">
        <v>1</v>
      </c>
      <c r="YH3" s="833" t="s">
        <v>8433</v>
      </c>
      <c r="YI3" s="406">
        <f>YF3</f>
        <v>194</v>
      </c>
      <c r="YJ3" s="406" t="str">
        <f>IF(YK3=IFERROR(SEARCH(".",$XU$3,YI3),99999),".",
IF(YK3=IFERROR(SEARCH(",",$XU$3,YI3),99999),",",
IF(YK3=IFERROR(SEARCH(" за период",$XU$3,YI3),999999)," за период",
IF(YK3=IFERROR(SEARCH(" в размере",$XU$3,YI3),99999)," в размере",
))))</f>
        <v>,</v>
      </c>
      <c r="YK3" s="406">
        <f>IFERROR(MIN(IFERROR(SEARCH(".",$XU$3,YI3),99999),IFERROR(SEARCH(",",$XU$3,YI3),99999),IFERROR(SEARCH(" за период",$XU$3,YI3),999999),IFERROR(SEARCH(" в размере",$XU$3,YI3),99999)),"ОШИБКА")</f>
        <v>233</v>
      </c>
      <c r="YL3" s="406">
        <f>YK3-YI3</f>
        <v>39</v>
      </c>
      <c r="YM3" s="873" t="str">
        <f>MID($XU$3,YI3,YL3)</f>
        <v>страхового возмещения по Договору ОСАГО</v>
      </c>
      <c r="YN3" s="825" t="str">
        <f>IFERROR(INDEX($DU:$DU,MATCH(MID($XU$3,YI3,YL3),$DT:$DT,0),1),"")</f>
        <v>Ущерб</v>
      </c>
      <c r="YO3" s="842" t="str">
        <f>IF(ISERROR(YI3),"",CONCATENATE(YG3,". ",YN3," ",IFERROR(CONCATENATE(YM7,",",YM8),""),IF(ISERROR(CONCATENATE(YM7,",",YM8)),"","₽")))</f>
        <v xml:space="preserve">1. Ущерб </v>
      </c>
      <c r="YP3" t="str">
        <f>YD3</f>
        <v xml:space="preserve">о выплате </v>
      </c>
      <c r="YQ3" s="876" t="e">
        <f>SEARCH(YP3,$XU$4)</f>
        <v>#VALUE!</v>
      </c>
      <c r="YR3" s="885" t="str">
        <f>IFERROR(YQ3+LEN(YP3),
IFERROR(YQ5+LEN(YP5),
IFERROR(YQ6+LEN(YP6),
IFERROR(YQ7+LEN(YP7),
IFERROR(YQ8+LEN(YP8),
IFERROR(YQ9+LEN(YP9),
IFERROR(YQ10+LEN(YP10),
IFERROR(YQ11+LEN(YP11),
IFERROR(YQ12+LEN(YP12),
"ОШИБКА")))))))))</f>
        <v>ОШИБКА</v>
      </c>
      <c r="YS3" s="1475">
        <v>1</v>
      </c>
      <c r="YT3" s="833" t="s">
        <v>8433</v>
      </c>
      <c r="YU3" s="406" t="str">
        <f>YR3</f>
        <v>ОШИБКА</v>
      </c>
      <c r="YV3" s="406" t="str">
        <f>IF(YW3=IFERROR(SEARCH(".",$XU$4,YU3),99999),".",
IF(YW3=IFERROR(SEARCH(",",$XU$4,YU3),99999),",",
IF(YW3=IFERROR(SEARCH(" за период",$XU$4,YU3),999999)," за период",
IF(YW3=IFERROR(SEARCH(" в размере",$XU$4,YU3),99999)," в размере",
))))</f>
        <v>.</v>
      </c>
      <c r="YW3" s="406">
        <f>IFERROR(MIN(IFERROR(SEARCH(".",$XU$4,YU3),99999),IFERROR(SEARCH(",",$XU$4,YU3),99999),IFERROR(SEARCH(" за период",$XU$4,YU3),999999),IFERROR(SEARCH(" в размере",$XU$4,YU3),99999)),"ОШИБКА")</f>
        <v>99999</v>
      </c>
      <c r="YX3" s="406" t="e">
        <f>YW3-YU3</f>
        <v>#VALUE!</v>
      </c>
      <c r="YY3" s="873" t="e">
        <f>MID($XU$4,YU3,YX3)</f>
        <v>#VALUE!</v>
      </c>
      <c r="YZ3" s="825" t="str">
        <f>IFERROR(INDEX($DU:$DU,MATCH(MID($XU$4,YU3,YX3),$DT:$DT,0),1),"")</f>
        <v/>
      </c>
      <c r="ZA3" s="842" t="str">
        <f>IF(YU3="ОШИБКА","",CONCATENATE(YS3,". ",YZ3," ",IFERROR(CONCATENATE(YY7,",",YY8),""),IF(ISERROR(CONCATENATE(YY7,",",YY8)),"","₽")))</f>
        <v/>
      </c>
      <c r="ZB3" t="str">
        <f>YD3</f>
        <v xml:space="preserve">о выплате </v>
      </c>
      <c r="ZC3" s="876" t="e">
        <f>SEARCH(ZB3,$XU$5)</f>
        <v>#VALUE!</v>
      </c>
      <c r="ZD3" s="885" t="str">
        <f>IFERROR(ZC3+LEN(ZB3),
IFERROR(ZC5+LEN(ZB5),
IFERROR(ZC6+LEN(ZB6),
IFERROR(ZC7+LEN(ZB7),
IFERROR(ZC8+LEN(ZB8),
IFERROR(ZC9+LEN(ZB9),
IFERROR(ZC10+LEN(ZB10),
IFERROR(ZC11+LEN(ZB11),
IFERROR(ZC12+LEN(ZB12),
"ОШИБКА")))))))))</f>
        <v>ОШИБКА</v>
      </c>
      <c r="ZE3" s="1475">
        <v>1</v>
      </c>
      <c r="ZF3" s="833" t="s">
        <v>8433</v>
      </c>
      <c r="ZG3" s="406" t="str">
        <f>ZD3</f>
        <v>ОШИБКА</v>
      </c>
      <c r="ZH3" s="406" t="str">
        <f>IF(ZI3=IFERROR(SEARCH(".",$XU$5,ZG3),99999),".",
IF(ZI3=IFERROR(SEARCH(",",$XU$5,ZG3),99999),",",
IF(ZI3=IFERROR(SEARCH(" за период",$XU$5,ZG3),999999)," за период",
IF(ZI3=IFERROR(SEARCH(" в размере",$XU$5,ZG3),99999)," в размере",
))))</f>
        <v>.</v>
      </c>
      <c r="ZI3" s="406">
        <f>IFERROR(MIN(IFERROR(SEARCH(".",$XU$5,ZG3),99999),IFERROR(SEARCH(",",$XU$5,ZG3),99999),IFERROR(SEARCH(" за период",$XU$5,ZG3),999999),IFERROR(SEARCH(" в размере",$XU$5,ZG3),99999)),"ОШИБКА")</f>
        <v>99999</v>
      </c>
      <c r="ZJ3" s="406" t="e">
        <f>ZI3-ZG3</f>
        <v>#VALUE!</v>
      </c>
      <c r="ZK3" s="873" t="e">
        <f>MID($XU$5,ZG3,ZJ3)</f>
        <v>#VALUE!</v>
      </c>
      <c r="ZL3" s="825" t="str">
        <f>IFERROR(INDEX($DU:$DU,MATCH(MID($XU$5,ZG3,ZJ3),$DT:$DT,0),1),"")</f>
        <v/>
      </c>
      <c r="ZM3" s="842" t="str">
        <f>IF(ZG3="ОШИБКА","",CONCATENATE(ZE3,". ",ZL3," ",IFERROR(CONCATENATE(ZK7,",",ZK8),""),IF(ISERROR(CONCATENATE(ZK7,",",ZK8)),"","₽")))</f>
        <v/>
      </c>
      <c r="ZN3" t="str">
        <f>YD3</f>
        <v xml:space="preserve">о выплате </v>
      </c>
      <c r="ZO3" s="880">
        <f>SEARCH(ZN3,$XU$6)</f>
        <v>106</v>
      </c>
      <c r="ZP3" s="885">
        <f>IFERROR(ZO3+LEN(ZN3),
IFERROR(ZO5+LEN(ZN5),
IFERROR(ZO6+LEN(ZN6),
IFERROR(ZO7+LEN(ZN7),
IFERROR(ZO8+LEN(ZN8),
IFERROR(ZO9+LEN(ZN9),
IFERROR(ZO10+LEN(ZN10),
IFERROR(ZO11+LEN(ZN11),
IFERROR(ZO12+LEN(ZN12),
"ОШИБКА")))))))))</f>
        <v>116</v>
      </c>
      <c r="ZQ3" s="1475">
        <v>1</v>
      </c>
      <c r="ZR3" s="833" t="s">
        <v>8433</v>
      </c>
      <c r="ZS3" s="406">
        <f>ZP3</f>
        <v>116</v>
      </c>
      <c r="ZT3" s="406" t="str">
        <f>IF(ZU3=IFERROR(SEARCH(".",$XU$6,ZS3),99999),".",
IF(ZU3=IFERROR(SEARCH(",",$XU$6,ZS3),99999),",",
IF(ZU3=IFERROR(SEARCH(" за период",$XU$6,ZS3),999999)," за период",
IF(ZU3=IFERROR(SEARCH(" в размере",$XU$6,ZS3),99999)," в размере",
))))</f>
        <v xml:space="preserve"> за период</v>
      </c>
      <c r="ZU3" s="406">
        <f>IFERROR(MIN(IFERROR(SEARCH(".",$XU$6,ZS3),99999),IFERROR(SEARCH(",",$XU$6,ZS3),99999),IFERROR(SEARCH(" за период",$XU$6,ZS3),999999),IFERROR(SEARCH(" в размере",$XU$6,ZS3),99999)),"ОШИБКА")</f>
        <v>195</v>
      </c>
      <c r="ZV3" s="406">
        <f>ZU3-ZS3</f>
        <v>79</v>
      </c>
      <c r="ZW3" s="873" t="str">
        <f>MID($XU$6,ZS3,ZV3)</f>
        <v>неустойки за несоблюдение срока выплаты страхового возмещения по Договору ОСАГО</v>
      </c>
      <c r="ZX3" s="825" t="str">
        <f>IFERROR(INDEX($DU:$DU,MATCH(MID($XU$6,ZS3,ZV3),$DT:$DT,0),1),"")</f>
        <v>Неустойка</v>
      </c>
      <c r="ZY3" s="842" t="str">
        <f>IF(ZS3="ОШИБКА","",CONCATENATE(ZQ3,". ",ZX3," ",IFERROR(CONCATENATE(ZW7,",",ZW8),""),IF(ISERROR(CONCATENATE(ZW7,",",ZW8)),"","₽")))</f>
        <v>1. Неустойка 100 000,00₽</v>
      </c>
      <c r="ZZ3" t="str">
        <f>YD3</f>
        <v xml:space="preserve">о выплате </v>
      </c>
      <c r="AAA3" s="880" t="e">
        <f>SEARCH(ZZ3,$XU$7)</f>
        <v>#VALUE!</v>
      </c>
      <c r="AAB3" s="885" t="str">
        <f>IFERROR(AAA3+LEN(ZZ3),
IFERROR(AAA5+LEN(ZZ5),
IFERROR(AAA6+LEN(ZZ6),
IFERROR(AAA7+LEN(ZZ7),
IFERROR(AAA8+LEN(ZZ8),
IFERROR(AAA9+LEN(ZZ9),
IFERROR(AAA10+LEN(ZZ10),
IFERROR(AAA11+LEN(ZZ11),
IFERROR(AAA12+LEN(ZZ12),
"ОШИБКА")))))))))</f>
        <v>ОШИБКА</v>
      </c>
      <c r="AAC3" s="1475">
        <v>1</v>
      </c>
      <c r="AAD3" s="833" t="s">
        <v>8433</v>
      </c>
      <c r="AAE3" s="406" t="str">
        <f>AAB3</f>
        <v>ОШИБКА</v>
      </c>
      <c r="AAF3" s="406" t="str">
        <f>IF(AAG3=IFERROR(SEARCH(".",$XU$7,AAE3),99999),".",
IF(AAG3=IFERROR(SEARCH(",",$XU$7,AAE3),99999),",",
IF(AAG3=IFERROR(SEARCH(" за период",$XU$7,AAE3),999999)," за период",
IF(AAG3=IFERROR(SEARCH(" в размере",$XU$7,AAE3),99999)," в размере",
))))</f>
        <v>.</v>
      </c>
      <c r="AAG3" s="406">
        <f>IFERROR(MIN(IFERROR(SEARCH(".",$XU$7,AAE3),99999),IFERROR(SEARCH(",",$XU$7,AAE3),99999),IFERROR(SEARCH(" за период",$XU$7,AAE3),999999),IFERROR(SEARCH(" в размере",$XU$7,AAE3),99999)),"ОШИБКА")</f>
        <v>99999</v>
      </c>
      <c r="AAH3" s="406" t="e">
        <f>AAG3-AAE3</f>
        <v>#VALUE!</v>
      </c>
      <c r="AAI3" s="873" t="e">
        <f>MID($XU$7,AAE3,AAH3)</f>
        <v>#VALUE!</v>
      </c>
      <c r="AAJ3" s="825" t="str">
        <f>IFERROR(INDEX($DU:$DU,MATCH(MID($XU$7,AAE3,AAH3),$DT:$DT,0),1),"")</f>
        <v/>
      </c>
      <c r="AAK3" s="842" t="str">
        <f>IF(AAE3="ОШИБКА","",CONCATENATE(AAC3,". ",AAJ3," ",IFERROR(CONCATENATE(AAI7,",",AAI8),""),IF(ISERROR(CONCATENATE(AAI7,",",AAI8)),"","₽")))</f>
        <v/>
      </c>
      <c r="AAL3" s="1089" t="str">
        <f>IF(DATES!O2="","",DATES!O2)</f>
        <v>Ущерб</v>
      </c>
      <c r="AAM3" s="974">
        <v>1</v>
      </c>
      <c r="AAN3" s="946" t="s">
        <v>8642</v>
      </c>
      <c r="AAO3" s="854">
        <f>MIN(IFERROR(SEARCH(AAN$3,$E$4),99999),
IFERROR(SEARCH(AAN$4,$E$4),99999),
IFERROR(SEARCH(AAN$5,$E$4),99999),
IFERROR(SEARCH(AAN$6,$E$4),99999),
IFERROR(SEARCH(AAN$7,$E$4),99999),
IFERROR(SEARCH(AAN$8,$E$4),99999),
IFERROR(SEARCH(AAN$9,$E$4),99999),
IFERROR(SEARCH(AAN$10,$E$4),99999),
IFERROR(SEARCH(AAN$11,$E$4),99999),
IFERROR(SEARCH(AAN$12,$E$4),99999),
IFERROR(SEARCH(AAN$13,$E$4),99999),
IFERROR(SEARCH(AAN$14,$E$4),99999)
)</f>
        <v>99999</v>
      </c>
      <c r="AAP3" s="870" t="str">
        <f>CHAR(10)</f>
        <v xml:space="preserve">
</v>
      </c>
      <c r="AAQ3" s="334">
        <f>LEN(MID($E$4,1,AAO3))-LEN(IF(ISERROR(FIND(" ",MID($E$4,1,AAO3))),MID($E$4,1,AAO3),RIGHT(MID($E$4,1,AAO3),LEN(MID($E$4,1,AAO3))-FIND("~",SUBSTITUTE(MID($E$4,1,AAO3),AAP3,"~",LEN(MID($E$4,1,AAO3))-LEN(SUBSTITUTE(MID($E$4,1,AAO3),AAP3,"")))))))+1</f>
        <v>5367</v>
      </c>
      <c r="AAR3" s="870" t="str">
        <f>CHAR(10)</f>
        <v xml:space="preserve">
</v>
      </c>
      <c r="AAS3" s="947" t="e">
        <f>SEARCH(AAR$3,$E$4,AAQ3)</f>
        <v>#VALUE!</v>
      </c>
      <c r="AAT3" s="854" t="e">
        <f>AAS3-AAQ3</f>
        <v>#VALUE!</v>
      </c>
      <c r="AAU3" s="1063" t="e">
        <f>CLEAN(MID($E$4,AAQ3,AAT3))</f>
        <v>#VALUE!</v>
      </c>
      <c r="AAV3" t="s">
        <v>8644</v>
      </c>
      <c r="AAW3" s="947" t="e">
        <f t="shared" ref="AAW3:AAW14" si="9">SEARCH(AAV3,$AAU$3)</f>
        <v>#VALUE!</v>
      </c>
      <c r="AAX3" s="859" t="str">
        <f>IF(ISERROR(AAW3),
IF(ISERROR(AAW4),
IF(ISERROR(AAW5),
IF(ISERROR(AAW6),
"ОШИБКА",
AAV6),
AAV5),
AAV4),
AAV3)</f>
        <v>ОШИБКА</v>
      </c>
      <c r="AAY3" s="947" t="e">
        <f>SEARCH(AAX3,$AAU$3)+LEN(AAX3)</f>
        <v>#VALUE!</v>
      </c>
      <c r="AAZ3">
        <v>10</v>
      </c>
      <c r="ABA3" s="1485" t="e">
        <f>DATEVALUE(MID($AAU$3,AAY3,AAZ3))</f>
        <v>#VALUE!</v>
      </c>
      <c r="ABB3" s="1086" t="str">
        <f>IFERROR(ABA3,"")</f>
        <v/>
      </c>
      <c r="ABC3" s="1068">
        <v>1</v>
      </c>
      <c r="ABD3" s="935" t="s">
        <v>8597</v>
      </c>
      <c r="ABE3" s="854">
        <f>MIN(IFERROR(SEARCH(ABD$3,$E$4),99999),
IFERROR(SEARCH(ABD$4,$E$4),99999),
IFERROR(SEARCH(ABD$5,$E$4),99999),
IFERROR(SEARCH(ABD$6,$E$4),99999),
IFERROR(SEARCH(ABD$7,$E$4),99999),
IFERROR(SEARCH(ABD$8,$E$4),99999),
IFERROR(SEARCH(ABD$9,$E$4),99999),
IFERROR(SEARCH(ABD$10,$E$4),99999),
IFERROR(SEARCH(ABD$11,$E$4),99999),
IFERROR(SEARCH(ABD$12,$E$4),99999),
IFERROR(SEARCH(ABD$13,$E$4),99999),
IFERROR(SEARCH(ABD$14,$E$4),99999)
)</f>
        <v>99999</v>
      </c>
      <c r="ABF3" s="870" t="str">
        <f>CHAR(10)</f>
        <v xml:space="preserve">
</v>
      </c>
      <c r="ABG3" s="334">
        <f>LEN(MID($E$4,1,ABE3))-LEN(IF(ISERROR(FIND(" ",MID($E$4,1,ABE3))),MID($E$4,1,ABE3),RIGHT(MID($E$4,1,ABE3),LEN(MID($E$4,1,ABE3))-FIND("~",SUBSTITUTE(MID($E$4,1,ABE3),ABF$3,"~",LEN(MID($E$4,1,ABE3))-LEN(SUBSTITUTE(MID($E$4,1,ABE3),ABF$3,"")))))))+1</f>
        <v>5367</v>
      </c>
      <c r="ABH3" s="870" t="str">
        <f>CHAR(10)</f>
        <v xml:space="preserve">
</v>
      </c>
      <c r="ABI3" s="937" t="e">
        <f>SEARCH(ABH$3,$E$4,ABG3)</f>
        <v>#VALUE!</v>
      </c>
      <c r="ABJ3" s="854" t="e">
        <f>ABI3-ABG3</f>
        <v>#VALUE!</v>
      </c>
      <c r="ABK3" s="979" t="e">
        <f>CLEAN(MID($E$4,ABG3,ABJ3))</f>
        <v>#VALUE!</v>
      </c>
      <c r="ABL3" t="s">
        <v>8599</v>
      </c>
      <c r="ABM3" s="854">
        <f>MIN(IFERROR(SEARCH(ABL$3,$ABK3)+LEN(ABL$3),99999),
IFERROR(SEARCH(ABL$4,$ABK3)+LEN(ABL$4),99999),
IFERROR(SEARCH(ABL$5,$ABK3)+LEN(ABL$5),99999),
IFERROR(SEARCH(ABL$6,$ABK3)+LEN(ABL$6),99999),
IFERROR(SEARCH(ABL$7,$ABK3)+LEN(ABL$7),99999),
IFERROR(SEARCH(ABL$8,$ABK3)+LEN(ABL$8),99999),
IFERROR(SEARCH(ABL$9,$ABK3)+LEN(ABL$9),99999),
IFERROR(SEARCH(ABL$10,$ABK3)+LEN(ABL$10),99999),
IFERROR(SEARCH(ABL$11,$ABK3+LEN(ABL$11)),99999),
IFERROR(SEARCH(ABL$12,$ABK3)+LEN(ABL$12),99999),
IFERROR(SEARCH(ABL$13,$ABK3)+LEN(ABL$13),99999),
IFERROR(SEARCH(ABL$14,$ABK3)+LEN(ABL$14),99999)
)</f>
        <v>99999</v>
      </c>
      <c r="ABN3" s="935" t="s">
        <v>8581</v>
      </c>
      <c r="ABO3" s="854">
        <f>MIN(IFERROR(SEARCH(ABN$3,$ABK3,ABM3),99999),
IFERROR(SEARCH(ABN$4,$ABK3,ABM3),99999),
IFERROR(SEARCH(ABN$5,$ABK3,ABM3),99999),
IFERROR(SEARCH(ABN$6,$ABK3,ABM3),99999),
IFERROR(SEARCH(ABN$7,$ABK3,ABM3),99999),
IFERROR(SEARCH(ABN$8,$ABK3,ABM3),99999),
IFERROR(SEARCH(ABN$9,$ABK3,ABM3),99999),
IFERROR(SEARCH(ABN$10,$ABK3,ABM3),99999),
IFERROR(SEARCH(ABN$11,$ABK3,ABM3),99999),
IFERROR(SEARCH(ABN$12,$ABK3,ABM3),99999),
IFERROR(SEARCH(ABN$13,$ABK3,ABM3),99999),
IFERROR(SEARCH(ABN$14,$ABK3,ABM3),99999)
)</f>
        <v>99999</v>
      </c>
      <c r="ABP3">
        <f>ABO3-ABM3</f>
        <v>0</v>
      </c>
      <c r="ABQ3" s="1045" t="e">
        <f>MID($ABK$3,ABM3,ABP3)</f>
        <v>#VALUE!</v>
      </c>
      <c r="ABR3" t="s">
        <v>8581</v>
      </c>
      <c r="ABS3" s="854">
        <f>MIN(IFERROR(SEARCH(ABR$3,$ABK3)+LEN(ABR$3),99999),
IFERROR(SEARCH(ABR$4,$ABK3)+LEN(ABR$4),99999),
IFERROR(SEARCH(ABR$5,$ABK3)+LEN(ABR$5),99999),
IFERROR(SEARCH(ABR$6,$ABK3)+LEN(ABR$6),99999),
IFERROR(SEARCH(ABR$7,$ABK3)+LEN(ABR$7),99999),
IFERROR(SEARCH(ABR$8,$ABK3)+LEN(ABR$8),99999),
IFERROR(SEARCH(ABR$9,$ABK3)+LEN(ABR$9),99999),
IFERROR(SEARCH(ABR$10,$ABK3)+LEN(ABR$10),99999),
IFERROR(SEARCH(ABR$11,$ABK3+LEN(ABR$11)),99999),
IFERROR(SEARCH(ABR$12,$ABK3)+LEN(ABR$12),99999),
IFERROR(SEARCH(ABR$13,$ABK3)+LEN(ABR$13),99999),
IFERROR(SEARCH(ABR$14,$ABK3)+LEN(ABR$14),99999)
)</f>
        <v>99999</v>
      </c>
      <c r="ABT3" s="935" t="s">
        <v>149</v>
      </c>
      <c r="ABU3" s="854">
        <f>MIN(IFERROR(SEARCH(ABT$3,$ABK3,ABS3),99999),
IFERROR(SEARCH(ABT$4,$ABK3,ABS3),99999),
IFERROR(SEARCH(ABT$5,$ABK3,ABS3),99999),
IFERROR(SEARCH(ABT$6,$ABK3,ABS3),99999),
IFERROR(SEARCH(ABT$7,$ABK3,ABS3),99999),
IFERROR(SEARCH(ABT$8,$ABK3,ABS3),99999),
IFERROR(SEARCH(ABT$9,$ABK3,ABS3),99999),
IFERROR(SEARCH(ABT$10,$ABK3,ABS3),99999),
IFERROR(SEARCH(ABT$11,$ABK3,ABS3),99999),
IFERROR(SEARCH(ABT$12,$ABK3,ABS3),99999),
IFERROR(SEARCH(ABT$13,$ABK3,ABS3),99999),
IFERROR(SEARCH(ABT$14,$ABK3,ABS3),99999)
)</f>
        <v>99999</v>
      </c>
      <c r="ABV3">
        <f>ABU3-ABS3</f>
        <v>0</v>
      </c>
      <c r="ABW3" s="1056" t="e">
        <f>DATEVALUE(MID($ABK$3,ABS3,ABV3))</f>
        <v>#VALUE!</v>
      </c>
      <c r="ABX3" t="s">
        <v>8582</v>
      </c>
      <c r="ABY3" s="854">
        <f>MIN(IFERROR(SEARCH(ABX$3,$ABK3)+LEN(ABX$3),99999),
IFERROR(SEARCH(ABX$4,$ABK3)+LEN(ABX$4),99999),
IFERROR(SEARCH(ABX$5,$ABK3)+LEN(ABX$5),99999),
IFERROR(SEARCH(ABX$6,$ABK3)+LEN(ABX$6),99999),
IFERROR(SEARCH(ABX$7,$ABK3)+LEN(ABX$7),99999),
IFERROR(SEARCH(ABX$8,$ABK3)+LEN(ABX$8),99999),
IFERROR(SEARCH(ABX$9,$ABK3)+LEN(ABX$9),99999),
IFERROR(SEARCH(ABX$10,$ABK3)+LEN(ABX$10),99999),
IFERROR(SEARCH(ABX$11,$ABK3+LEN(ABX$11)),99999),
IFERROR(SEARCH(ABX$12,$ABK3)+LEN(ABX$12),99999),
IFERROR(SEARCH(ABX$13,$ABK3)+LEN(ABX$13),99999),
IFERROR(SEARCH(ABX$14,$ABK3)+LEN(ABX$14),99999)
)</f>
        <v>99999</v>
      </c>
      <c r="ABZ3" s="935" t="s">
        <v>8236</v>
      </c>
      <c r="ACA3" s="854">
        <f>MIN(IFERROR(SEARCH(ABZ$3,$ABK3,ABY3),99999),
IFERROR(SEARCH(ABZ$4,$ABK3,ABY3),99999),
IFERROR(SEARCH(ABZ$5,$ABK3,ABY3),99999),
IFERROR(SEARCH(ABZ$6,$ABK3,ABY3),99999),
IFERROR(SEARCH(ABZ$7,$ABK3,ABY3),99999),
IFERROR(SEARCH(ABZ$8,$ABK3,ABY3),99999),
IFERROR(SEARCH(ABZ$9,$ABK3,ABY3),99999),
IFERROR(SEARCH(ABZ$10,$ABK3,ABY3),99999),
IFERROR(SEARCH(ABZ$11,$ABK3,ABY3),99999),
IFERROR(SEARCH(ABZ$12,$ABK3,ABY3),99999),
IFERROR(SEARCH(ABZ$13,$ABK3,ABY3),99999),
IFERROR(SEARCH(ABZ$14,$ABK3,ABY3),99999)
)</f>
        <v>99999</v>
      </c>
      <c r="ACB3">
        <f>ACA3-ABY3</f>
        <v>0</v>
      </c>
      <c r="ACC3" s="1053" t="e">
        <f>MID($ABK$3,ABY3,ACB3)</f>
        <v>#VALUE!</v>
      </c>
      <c r="ACD3" t="s">
        <v>8584</v>
      </c>
      <c r="ACE3" s="854">
        <f>MIN(IFERROR(SEARCH(ACD$3,$ABK3)+LEN(ACD$3),99999),
IFERROR(SEARCH(ACD$4,$ABK3)+LEN(ACD$4),99999),
IFERROR(SEARCH(ACD$5,$ABK3)+LEN(ACD$5),99999),
IFERROR(SEARCH(ACD$6,$ABK3)+LEN(ACD$6),99999),
IFERROR(SEARCH(ACD$7,$ABK3)+LEN(ACD$7),99999),
IFERROR(SEARCH(ACD$8,$ABK3)+LEN(ACD$8),99999),
IFERROR(SEARCH(ACD$9,$ABK3)+LEN(ACD$9),99999),
IFERROR(SEARCH(ACD$10,$ABK3)+LEN(ACD$10),99999),
IFERROR(SEARCH(ACD$11,$ABK3+LEN(ACD$11)),99999),
IFERROR(SEARCH(ACD$12,$ABK3)+LEN(ACD$12),99999),
IFERROR(SEARCH(ACD$13,$ABK3)+LEN(ACD$13),99999),
IFERROR(SEARCH(ACD$14,$ABK3)+LEN(ACD$14),99999)
)</f>
        <v>99999</v>
      </c>
      <c r="ACF3" s="937" t="e">
        <f>SEARCH(" руб",$ABK3,ACE3)</f>
        <v>#VALUE!</v>
      </c>
      <c r="ACG3" s="264" t="e">
        <f>ACF3-ACE3</f>
        <v>#VALUE!</v>
      </c>
      <c r="ACH3" t="e">
        <f>MID($ABK3,ACE3,ACG3)</f>
        <v>#VALUE!</v>
      </c>
      <c r="ACI3" s="264" t="e">
        <f>SEARCH(" ",$ABK3,ACF3+1)+1</f>
        <v>#VALUE!</v>
      </c>
      <c r="ACJ3" s="937" t="e">
        <f>SEARCH(" коп",$ABK3,ACI3)</f>
        <v>#VALUE!</v>
      </c>
      <c r="ACK3" s="264" t="e">
        <f>ACJ3-ACI3</f>
        <v>#VALUE!</v>
      </c>
      <c r="ACL3" t="e">
        <f>MID($ABK3,ACI3,ACK3)</f>
        <v>#VALUE!</v>
      </c>
      <c r="ACM3" s="1062" t="e">
        <f>VALUE(CONCATENATE(ACH3,",",ACL3))</f>
        <v>#VALUE!</v>
      </c>
      <c r="ACN3" t="s">
        <v>8588</v>
      </c>
      <c r="ACO3" s="854">
        <f>MIN(IFERROR(SEARCH(ACN$3,$ABK3)+LEN(ACN$3),99999),
IFERROR(SEARCH(ACN$4,$ABK3)+LEN(ACN$4),99999),
IFERROR(SEARCH(ACN$5,$ABK3)+LEN(ACN$5),99999),
IFERROR(SEARCH(ACN$6,$ABK3)+LEN(ACN$6),99999),
IFERROR(SEARCH(ACN$7,$ABK3)+LEN(ACN$7),99999),
IFERROR(SEARCH(ACN$8,$ABK3)+LEN(ACN$8),99999),
IFERROR(SEARCH(ACN$9,$ABK3)+LEN(ACN$9),99999),
IFERROR(SEARCH(ACN$10,$ABK3)+LEN(ACN$10),99999),
IFERROR(SEARCH(ACN$11,$ABK3+LEN(ACN$11)),99999),
IFERROR(SEARCH(ACN$12,$ABK3)+LEN(ACN$12),99999),
IFERROR(SEARCH(ACN$13,$ABK3)+LEN(ACN$13),99999),
IFERROR(SEARCH(ACN$14,$ABK3)+LEN(ACN$14),99999)
)</f>
        <v>99999</v>
      </c>
      <c r="ACP3" s="1059" t="e">
        <f>SEARCH(" руб",$ABK3,ACO3)</f>
        <v>#VALUE!</v>
      </c>
      <c r="ACQ3" s="264" t="e">
        <f>ACP3-ACO3</f>
        <v>#VALUE!</v>
      </c>
      <c r="ACR3" t="e">
        <f>MID($ABK3,ACO3,ACQ3)</f>
        <v>#VALUE!</v>
      </c>
      <c r="ACS3" s="264" t="e">
        <f>SEARCH(" ",$ABK3,ACP3+1)+1</f>
        <v>#VALUE!</v>
      </c>
      <c r="ACT3" s="1059" t="e">
        <f>SEARCH(" коп",$ABK3,ACS3)</f>
        <v>#VALUE!</v>
      </c>
      <c r="ACU3" s="264" t="e">
        <f>ACT3-ACS3</f>
        <v>#VALUE!</v>
      </c>
      <c r="ACV3" t="e">
        <f>MID($ABK3,ACS3,ACU3)</f>
        <v>#VALUE!</v>
      </c>
      <c r="ACW3" s="1062" t="e">
        <f>VALUE(CONCATENATE(ACR3,",",ACV3))</f>
        <v>#VALUE!</v>
      </c>
      <c r="ACX3" t="s">
        <v>8605</v>
      </c>
      <c r="ACY3" s="854">
        <f>MIN(IFERROR(SEARCH(ACX$3,$ABK3)+LEN(ACX$3),99999),
IFERROR(SEARCH(ACX$4,$ABK3)+LEN(ACX$4),99999),
IFERROR(SEARCH(ACX$5,$ABK3)+LEN(ACX$5),99999),
IFERROR(SEARCH(ACX$6,$ABK3)+LEN(ACX$6),99999),
IFERROR(SEARCH(ACX$7,$ABK3)+LEN(ACX$7),99999),
IFERROR(SEARCH(ACX$8,$ABK3)+LEN(ACX$8),99999),
IFERROR(SEARCH(ACX$9,$ABK3)+LEN(ACX$9),99999),
IFERROR(SEARCH(ACX$10,$ABK3)+LEN(ACX$10),99999),
IFERROR(SEARCH(ACX$11,$ABK3+LEN(ACX$11)),99999),
IFERROR(SEARCH(ACX$12,$ABK3)+LEN(ACX$12),99999),
IFERROR(SEARCH(ACX$13,$ABK3)+LEN(ACX$13),99999),
IFERROR(SEARCH(ACX$14,$ABK3)+LEN(ACX$14),99999)
)</f>
        <v>99999</v>
      </c>
      <c r="ACZ3" s="1059" t="e">
        <f>SEARCH(" руб",$ABK3,ACY3)</f>
        <v>#VALUE!</v>
      </c>
      <c r="ADA3" s="264" t="e">
        <f>ACZ3-ACY3</f>
        <v>#VALUE!</v>
      </c>
      <c r="ADB3" t="e">
        <f>MID($ABK3,ACY3,ADA3)</f>
        <v>#VALUE!</v>
      </c>
      <c r="ADC3" s="264" t="e">
        <f>SEARCH(" ",$ABK3,ACZ3+1)+1</f>
        <v>#VALUE!</v>
      </c>
      <c r="ADD3" s="1059" t="e">
        <f>SEARCH(" коп",$ABK3,ADC3)</f>
        <v>#VALUE!</v>
      </c>
      <c r="ADE3" s="264" t="e">
        <f>ADD3-ADC3</f>
        <v>#VALUE!</v>
      </c>
      <c r="ADF3" t="e">
        <f>MID($ABK3,ADC3,ADE3)</f>
        <v>#VALUE!</v>
      </c>
      <c r="ADG3" s="1074" t="e">
        <f>VALUE(CONCATENATE(ADB3,",",ADF3))</f>
        <v>#VALUE!</v>
      </c>
      <c r="ADH3" t="s">
        <v>8590</v>
      </c>
      <c r="ADI3" s="854">
        <f>MIN(IFERROR(SEARCH(ADH$3,$ABK3)+LEN(ADH$3),99999),
IFERROR(SEARCH(ADH$4,$ABK3)+LEN(ADH$4),99999),
IFERROR(SEARCH(ADH$5,$ABK3)+LEN(ADH$5),99999),
IFERROR(SEARCH(ADH$6,$ABK3)+LEN(ADH$6),99999),
IFERROR(SEARCH(ADH$7,$ABK3)+LEN(ADH$7),99999),
IFERROR(SEARCH(ADH$8,$ABK3)+LEN(ADH$8),99999),
IFERROR(SEARCH(ADH$9,$ABK3)+LEN(ADH$9),99999),
IFERROR(SEARCH(ADH$10,$ABK3)+LEN(ADH$10),99999),
IFERROR(SEARCH(ADH$11,$ABK3+LEN(ADH$11)),99999),
IFERROR(SEARCH(ADH$12,$ABK3)+LEN(ADH$12),99999),
IFERROR(SEARCH(ADH$13,$ABK3)+LEN(ADH$13),99999),
IFERROR(SEARCH(ADH$14,$ABK3)+LEN(ADH$14),99999)
)</f>
        <v>99999</v>
      </c>
      <c r="ADJ3" s="1059" t="e">
        <f>SEARCH(" руб",$ABK3,ADI3)</f>
        <v>#VALUE!</v>
      </c>
      <c r="ADK3" s="264" t="e">
        <f>ADJ3-ADI3</f>
        <v>#VALUE!</v>
      </c>
      <c r="ADL3" t="e">
        <f>MID($ABK3,ADI3,ADK3)</f>
        <v>#VALUE!</v>
      </c>
      <c r="ADM3" s="264" t="e">
        <f>SEARCH(" ",$ABK3,ADJ3+1)+1</f>
        <v>#VALUE!</v>
      </c>
      <c r="ADN3" s="1059" t="e">
        <f>SEARCH(" коп",$ABK3,ADM3)</f>
        <v>#VALUE!</v>
      </c>
      <c r="ADO3" s="264" t="e">
        <f>ADN3-ADM3</f>
        <v>#VALUE!</v>
      </c>
      <c r="ADP3" t="e">
        <f>MID($ABK3,ADM3,ADO3)</f>
        <v>#VALUE!</v>
      </c>
      <c r="ADQ3" s="1074" t="e">
        <f>VALUE(CONCATENATE(ADL3,",",ADP3))</f>
        <v>#VALUE!</v>
      </c>
      <c r="ADR3" s="1077" t="str">
        <f>IFERROR(ABQ3,"")</f>
        <v/>
      </c>
      <c r="ADS3" s="1068">
        <v>1</v>
      </c>
      <c r="ADT3" s="946" t="s">
        <v>9809</v>
      </c>
      <c r="ADU3" s="854">
        <f>MIN(IFERROR(SEARCH(ADT$3,$E$4),99999),
IFERROR(SEARCH(ADT$4,$E$4),99999),
IFERROR(SEARCH(ADT$5,$E$4),99999),
IFERROR(SEARCH(ADT$6,$E$4),99999),
IFERROR(SEARCH(ADT$7,$E$4),99999),
IFERROR(SEARCH(ADT$8,$E$4),99999),
IFERROR(SEARCH(ADT$9,$E$4),99999),
IFERROR(SEARCH(ADT$10,$E$4),99999),
IFERROR(SEARCH(ADT$11,$E$4),99999),
IFERROR(SEARCH(ADT$12,$E$4),99999),
IFERROR(SEARCH(ADT$13,$E$4),99999),
IFERROR(SEARCH(ADT$14,$E$4),99999)
)</f>
        <v>4028</v>
      </c>
      <c r="ADV3" s="870" t="str">
        <f>CHAR(10)</f>
        <v xml:space="preserve">
</v>
      </c>
      <c r="ADW3" s="334">
        <f>LEN(MID($E$4,1,ADU3))-LEN(IF(ISERROR(FIND(" ",MID($E$4,1,ADU3))),MID($E$4,1,ADU3),RIGHT(MID($E$4,1,ADU3),LEN(MID($E$4,1,ADU3))-FIND("~",SUBSTITUTE(MID($E$4,1,ADU3),ADV$3,"~",LEN(MID($E$4,1,ADU3))-LEN(SUBSTITUTE(MID($E$4,1,ADU3),ADV$3,"")))))))+1</f>
        <v>4003</v>
      </c>
      <c r="ADX3" s="870" t="str">
        <f>CHAR(10)</f>
        <v xml:space="preserve">
</v>
      </c>
      <c r="ADY3" s="947">
        <f>SEARCH(ADX$3,$E$4,ADW3)</f>
        <v>4586</v>
      </c>
      <c r="ADZ3" s="854">
        <f>ADY3-ADW3</f>
        <v>583</v>
      </c>
      <c r="AEA3" s="1063" t="str">
        <f>CLEAN(MID($E$4,ADW3,ADZ3))</f>
        <v>20.02.2020 Ворошиловским районным судом города Ростова-на-Дону по делу № 2-129/2020 вынесено решение об удовлетворении исковых требований Заявителя (далее – Решение Суда), в соответствии с которым с Финансовой организации в пользу Заявителя взыскано страховое возмещение по Договору ОСАГО в размере 400 000 рублей 00 копеек, неустойка за несоблюдение срока выплаты страхового возмещения по Договору ОСАГО за период с 02.07.2019 по 30.12.2019 в размере 300 000 рублей 00 копеек, расходы на проведение независимой технической экспертизы в размере 7 000 рублей 00 копеек и иные расходы.</v>
      </c>
      <c r="AEB3" s="946" t="s">
        <v>8640</v>
      </c>
      <c r="AEC3" s="854">
        <f>MIN(IFERROR(SEARCH(AEB$3,$E$4),99999),
IFERROR(SEARCH(AEB$4,$E$4),99999),
IFERROR(SEARCH(AEB$5,$E$4),99999),
IFERROR(SEARCH(AEB$6,$E$4),99999),
IFERROR(SEARCH(AEB$7,$E$4),99999),
IFERROR(SEARCH(AEB$8,$E$4),99999),
IFERROR(SEARCH(AEB$9,$E$4),99999),
IFERROR(SEARCH(AEB$10,$E$4),99999),
IFERROR(SEARCH(AEB$11,$E$4),99999),
IFERROR(SEARCH(AEB$12,$E$4),99999),
IFERROR(SEARCH(AEB$13,$E$4),99999),
IFERROR(SEARCH(AEB$14,$E$4),99999)
)</f>
        <v>4670</v>
      </c>
      <c r="AED3" s="870" t="str">
        <f>CHAR(10)</f>
        <v xml:space="preserve">
</v>
      </c>
      <c r="AEE3" s="334">
        <f>LEN(MID($E$4,1,AEC3))-LEN(IF(ISERROR(FIND(" ",MID($E$4,1,AEC3))),MID($E$4,1,AEC3),RIGHT(MID($E$4,1,AEC3),LEN(MID($E$4,1,AEC3))-FIND("~",SUBSTITUTE(MID($E$4,1,AEC3),AED$3,"~",LEN(MID($E$4,1,AEC3))-LEN(SUBSTITUTE(MID($E$4,1,AEC3),AED$3,"")))))))+1</f>
        <v>4659</v>
      </c>
      <c r="AEF3" s="870" t="str">
        <f>CHAR(10)</f>
        <v xml:space="preserve">
</v>
      </c>
      <c r="AEG3" s="947">
        <f>SEARCH(AEF$3,$E$4,AEE3)</f>
        <v>4777</v>
      </c>
      <c r="AEH3" s="854">
        <f>AEG3-AEE3</f>
        <v>118</v>
      </c>
      <c r="AEI3" s="1063" t="str">
        <f>CLEAN(MID($E$4,AEE3,AEH3))</f>
        <v>25.05.2020 Решение Суда было исполнено в полном объеме, что подтверждается инкассовым поручением от 22.05.2020 № 7856.</v>
      </c>
      <c r="AEJ3" s="961">
        <v>1</v>
      </c>
      <c r="AEK3" s="962">
        <f>DATEVALUE(MID($AEA$3,1,10))</f>
        <v>43881</v>
      </c>
      <c r="AEL3" s="962">
        <f>IFERROR(DATEVALUE(MID($AEI$3,1,10)),"")</f>
        <v>43976</v>
      </c>
      <c r="AEM3" t="s">
        <v>149</v>
      </c>
      <c r="AEN3" s="854">
        <f>MIN(IFERROR(SEARCH(AEM$3,$AEA3)+LEN(AEM$3),99999),
IFERROR(SEARCH(AEM$4,$AEA3)+LEN(AEM$4),99999),
IFERROR(SEARCH(AEM$5,$AEA3)+LEN(AEM$5),99999),
IFERROR(SEARCH(AEM$6,$AEA3)+LEN(AEM$6),99999),
IFERROR(SEARCH(AEM$7,$AEA3)+LEN(AEM$7),99999),
IFERROR(SEARCH(AEM$8,$AEA3)+LEN(AEM$8),99999),
IFERROR(SEARCH(AEM$9,$AEA3)+LEN(AEM$9),99999),
IFERROR(SEARCH(AEM$10,$AEA3)+LEN(AEM$10),99999),
IFERROR(SEARCH(AEM$11,$AEA3+LEN(AEM$11)),99999),
IFERROR(SEARCH(AEM$12,$AEA3)+LEN(AEM$12),99999),
IFERROR(SEARCH(AEM$13,$AEA3)+LEN(AEM$13),99999),
IFERROR(SEARCH(AEM$14,$AEA3)+LEN(AEM$14),99999)
)</f>
        <v>12</v>
      </c>
      <c r="AEO3" s="946" t="s">
        <v>8629</v>
      </c>
      <c r="AEP3" s="854">
        <f>MIN(IFERROR(SEARCH(AEO$3,$AEA3,AEN3),99999),
IFERROR(SEARCH(AEO$4,$AEA3,AEN3),99999),
IFERROR(SEARCH(AEO$5,$AEA3,AEN3),99999),
IFERROR(SEARCH(AEO$6,$AEA3,AEN3),99999),
IFERROR(SEARCH(AEO$7,$AEA3,AEN3),99999),
IFERROR(SEARCH(AEO$8,$AEA3,AEN3),99999),
IFERROR(SEARCH(AEO$9,$AEA3,AEN3),99999),
IFERROR(SEARCH(AEO$10,$AEA3,AEN3),99999),
IFERROR(SEARCH(AEO$11,$AEA3,AEN3),99999),
IFERROR(SEARCH(AEO$12,$AEA3,AEN3),99999),
IFERROR(SEARCH(AEO$13,$AEA3,AEN3),99999),
IFERROR(SEARCH(AEO$14,$AEA3,AEN3),99999)
)</f>
        <v>63</v>
      </c>
      <c r="AEQ3">
        <f>AEP3-AEN3</f>
        <v>51</v>
      </c>
      <c r="AER3" s="1076" t="str">
        <f>MID($AEA$3,AEN3,AEQ3)</f>
        <v>Ворошиловским районным судом города Ростова-на-Дону</v>
      </c>
      <c r="AES3" t="s">
        <v>8626</v>
      </c>
      <c r="AET3" s="854">
        <f>MIN(IFERROR(SEARCH(AES$3,$AEA3)+LEN(AES$3),99999),
IFERROR(SEARCH(AES$4,$AEA3)+LEN(AES$4),99999),
IFERROR(SEARCH(AES$5,$AEA3)+LEN(AES$5),99999),
IFERROR(SEARCH(AES$6,$AEA3)+LEN(AES$6),99999),
IFERROR(SEARCH(AES$7,$AEA3)+LEN(AES$7),99999),
IFERROR(SEARCH(AES$8,$AEA3)+LEN(AES$8),99999),
IFERROR(SEARCH(AES$9,$AEA3)+LEN(AES$9),99999),
IFERROR(SEARCH(AES$10,$AEA3)+LEN(AES$10),99999),
IFERROR(SEARCH(AES$11,$AEA3+LEN(AES$11)),99999),
IFERROR(SEARCH(AES$12,$AEA3)+LEN(AES$12),99999),
IFERROR(SEARCH(AES$13,$AEA3)+LEN(AES$13),99999),
IFERROR(SEARCH(AES$14,$AEA3)+LEN(AES$14),99999)
)</f>
        <v>72</v>
      </c>
      <c r="AEU3" s="946" t="s">
        <v>149</v>
      </c>
      <c r="AEV3" s="854">
        <f>MIN(IFERROR(SEARCH(AEU$3,$AEA3,AET3),99999),
IFERROR(SEARCH(AEU$4,$AEA3,AET3),99999),
IFERROR(SEARCH(AEU$5,$AEA3,AET3),99999),
IFERROR(SEARCH(AEU$6,$AEA3,AET3),99999),
IFERROR(SEARCH(AEU$7,$AEA3,AET3),99999),
IFERROR(SEARCH(AEU$8,$AEA3,AET3),99999),
IFERROR(SEARCH(AEU$9,$AEA3,AET3),99999),
IFERROR(SEARCH(AEU$10,$AEA3,AET3),99999),
IFERROR(SEARCH(AEU$11,$AEA3,AET3),99999),
IFERROR(SEARCH(AEU$12,$AEA3,AET3),99999),
IFERROR(SEARCH(AEU$13,$AEA3,AET3),99999),
IFERROR(SEARCH(AEU$14,$AEA3,AET3),99999)
)</f>
        <v>73</v>
      </c>
      <c r="AEW3">
        <f>AEV3-AET3</f>
        <v>1</v>
      </c>
      <c r="AEX3" s="1076" t="str">
        <f>MID($AEA$3,AET3,AEW3)</f>
        <v>№</v>
      </c>
      <c r="AEY3" t="s">
        <v>8630</v>
      </c>
      <c r="AEZ3" s="854">
        <f>MIN(IFERROR(SEARCH(AEY$3,$AEA3)+LEN(AEY$3),99999),
IFERROR(SEARCH(AEY$4,$AEA3)+LEN(AEY$4),99999),
IFERROR(SEARCH(AEY$5,$AEA3)+LEN(AEY$5),99999),
IFERROR(SEARCH(AEY$6,$AEA3)+LEN(AEY$6),99999),
IFERROR(SEARCH(AEY$7,$AEA3)+LEN(AEY$7),99999),
IFERROR(SEARCH(AEY$8,$AEA3)+LEN(AEY$8),99999),
IFERROR(SEARCH(AEY$9,$AEA3)+LEN(AEY$9),99999),
IFERROR(SEARCH(AEY$10,$AEA3)+LEN(AEY$10),99999),
IFERROR(SEARCH(AEY$11,$AEA3+LEN(AEY$11)),99999),
IFERROR(SEARCH(AEY$12,$AEA3)+LEN(AEY$12),99999),
IFERROR(SEARCH(AEY$13,$AEA3)+LEN(AEY$13),99999),
IFERROR(SEARCH(AEY$14,$AEA3)+LEN(AEY$14),99999)
)</f>
        <v>119</v>
      </c>
      <c r="AFA3" s="1057" t="str">
        <f>IF(ISERROR(AEA3),"",IF(AEZ3=99999,"ОТКАЗАТЬ","УДОВЛЕТВОРИТЬ"))</f>
        <v>УДОВЛЕТВОРИТЬ</v>
      </c>
      <c r="AFB3" t="s">
        <v>8631</v>
      </c>
      <c r="AFC3" s="947">
        <f>SEARCH(AFB3,AFD4)</f>
        <v>242</v>
      </c>
      <c r="AFD3" s="859" t="str">
        <f>IF(ISERROR(AFC3),
IF(ISERROR(AFC5),
IF(ISERROR(AFC6),
"ОШИБКА",
AFB6),
AFB5),
AFB3)</f>
        <v xml:space="preserve">взыскано </v>
      </c>
      <c r="AFE3" s="1475">
        <v>1</v>
      </c>
      <c r="AFF3" s="833" t="s">
        <v>8433</v>
      </c>
      <c r="AFG3" s="406">
        <f>SEARCH(AFD3,AFD$4)+LEN(AFD3)</f>
        <v>251</v>
      </c>
      <c r="AFH3" s="406" t="str">
        <f>IF(AFI3=IFERROR(SEARCH(".",AFD$4,AFG3),99999),".",
IF(AFI3=IFERROR(SEARCH(",",AFD$4,AFG3),99999),",",
IF(AFI3=IFERROR(SEARCH(" за период",AFD$4,AFG3),999999)," за период",
IF(AFI3=IFERROR(SEARCH(" в размере",AFD$4,AFG3),99999)," в размере",
))))</f>
        <v xml:space="preserve"> в размере</v>
      </c>
      <c r="AFI3" s="406">
        <f>IFERROR(MIN(IFERROR(SEARCH(".",AFD$4,AFG3),99999),IFERROR(SEARCH(",",AFD$4,AFG3),99999),IFERROR(SEARCH(" за период",AFD$4,AFG3),999999),IFERROR(SEARCH(" в размере",AFD$4,AFG3),99999)),"ОШИБКА")</f>
        <v>289</v>
      </c>
      <c r="AFJ3" s="406">
        <f>AFI3-AFG3</f>
        <v>38</v>
      </c>
      <c r="AFK3" s="873" t="str">
        <f>MID(AFD$4,AFG3,AFJ3)</f>
        <v>страховое возмещение по Договору ОСАГО</v>
      </c>
      <c r="AFL3" s="825" t="str">
        <f>IFERROR(INDEX($DU:$DU,MATCH(MID(AFD$4,AFG3,AFJ3),$DT:$DT,0),1),"")</f>
        <v>Ущерб</v>
      </c>
      <c r="AFM3" s="842" t="str">
        <f>IF(AFL3="","",CONCATENATE(AFE3,". ",AFL3," ",IFERROR(CONCATENATE(AFK7,",",AFK8),""),IF(ISERROR(CONCATENATE(AFK7,",",AFK8)),"","₽")))</f>
        <v>1. Ущерб 400 000,00₽</v>
      </c>
      <c r="AFN3" t="str">
        <f>AFB3</f>
        <v xml:space="preserve">взыскано </v>
      </c>
      <c r="AFO3" s="947" t="e">
        <f>SEARCH(AFN3,AFP4)</f>
        <v>#VALUE!</v>
      </c>
      <c r="AFP3" s="859" t="str">
        <f>IF(ISERROR(AFO3),
IF(ISERROR(AFO5),
IF(ISERROR(AFO6),
"ОШИБКА",
AFN6),
AFN5),
AFN3)</f>
        <v>ОШИБКА</v>
      </c>
      <c r="AFQ3" s="1475">
        <v>1</v>
      </c>
      <c r="AFR3" s="833" t="s">
        <v>8433</v>
      </c>
      <c r="AFS3" s="406" t="e">
        <f>SEARCH(AFP3,AFP$4)+LEN(AFP3)</f>
        <v>#VALUE!</v>
      </c>
      <c r="AFT3" s="406" t="str">
        <f>IF(AFU3=IFERROR(SEARCH(".",AFP$4,AFS3),99999),".",
IF(AFU3=IFERROR(SEARCH(",",AFP$4,AFS3),99999),",",
IF(AFU3=IFERROR(SEARCH(" за период",AFP$4,AFS3),999999)," за период",
IF(AFU3=IFERROR(SEARCH(" в размере",AFP$4,AFS3),99999)," в размере",
))))</f>
        <v>.</v>
      </c>
      <c r="AFU3" s="406">
        <f>IFERROR(MIN(IFERROR(SEARCH(".",AFP$4,AFS3),99999),IFERROR(SEARCH(",",AFP$4,AFS3),99999),IFERROR(SEARCH(" за период",AFP$4,AFS3),999999),IFERROR(SEARCH(" в размере",AFP$4,AFS3),99999)),"ОШИБКА")</f>
        <v>99999</v>
      </c>
      <c r="AFV3" s="406" t="e">
        <f>AFU3-AFS3</f>
        <v>#VALUE!</v>
      </c>
      <c r="AFW3" s="873" t="e">
        <f>MID(AFP$4,AFS3,AFV3)</f>
        <v>#VALUE!</v>
      </c>
      <c r="AFX3" s="825" t="str">
        <f>IFERROR(INDEX($DU:$DU,MATCH(MID(AFP$4,AFS3,AFV3),$DT:$DT,0),1),"")</f>
        <v/>
      </c>
      <c r="AFY3" s="842" t="str">
        <f>IF(AFX3="","",CONCATENATE(AFQ3,". ",AFX3," ",IFERROR(CONCATENATE(AFW7,",",AFW8),""),IF(ISERROR(CONCATENATE(AFW7,",",AFW8)),"","₽")))</f>
        <v/>
      </c>
      <c r="AFZ3" t="s">
        <v>8631</v>
      </c>
      <c r="AGA3" s="947" t="e">
        <f>SEARCH(AFZ3,AGB4)</f>
        <v>#VALUE!</v>
      </c>
      <c r="AGB3" s="859" t="str">
        <f>IF(ISERROR(AGA3),
IF(ISERROR(AGA5),
IF(ISERROR(AGA6),
"ОШИБКА",
AFZ6),
AFZ5),
AFZ3)</f>
        <v>ОШИБКА</v>
      </c>
      <c r="AGC3" s="1475">
        <v>1</v>
      </c>
      <c r="AGD3" s="833" t="s">
        <v>8433</v>
      </c>
      <c r="AGE3" s="406" t="e">
        <f>SEARCH(AGB3,AGB$4)+LEN(AGB3)</f>
        <v>#VALUE!</v>
      </c>
      <c r="AGF3" s="406" t="str">
        <f>IF(AGG3=IFERROR(SEARCH(".",AGB$4,AGE3),99999),".",
IF(AGG3=IFERROR(SEARCH(",",AGB$4,AGE3),99999),",",
IF(AGG3=IFERROR(SEARCH(" за период",AGB$4,AGE3),999999)," за период",
IF(AGG3=IFERROR(SEARCH(" в размере",AGB$4,AGE3),99999)," в размере",
))))</f>
        <v>.</v>
      </c>
      <c r="AGG3" s="406">
        <f>IFERROR(MIN(IFERROR(SEARCH(".",AGB$4,AGE3),99999),IFERROR(SEARCH(",",AGB$4,AGE3),99999),IFERROR(SEARCH(" за период",AGB$4,AGE3),999999),IFERROR(SEARCH(" в размере",AGB$4,AGE3),99999)),"ОШИБКА")</f>
        <v>99999</v>
      </c>
      <c r="AGH3" s="406" t="e">
        <f>AGG3-AGE3</f>
        <v>#VALUE!</v>
      </c>
      <c r="AGI3" s="873" t="e">
        <f>MID(AGB$4,AGE3,AGH3)</f>
        <v>#VALUE!</v>
      </c>
      <c r="AGJ3" s="825" t="str">
        <f>IFERROR(INDEX($DU:$DU,MATCH(MID(AGB$4,AGE3,AGH3),$DT:$DT,0),1),"")</f>
        <v/>
      </c>
      <c r="AGK3" s="842" t="str">
        <f>IF(AGJ3="","",CONCATENATE(AGC3,". ",AGJ3," ",IFERROR(CONCATENATE(AGI7,",",AGI8),""),IF(ISERROR(CONCATENATE(AGI7,",",AGI8)),"","₽")))</f>
        <v/>
      </c>
      <c r="AGL3" t="s">
        <v>8631</v>
      </c>
      <c r="AGM3" s="947" t="e">
        <f>SEARCH(AGL3,AGN4)</f>
        <v>#VALUE!</v>
      </c>
      <c r="AGN3" s="859" t="str">
        <f>IF(ISERROR(AGM3),
IF(ISERROR(AGM5),
IF(ISERROR(AGM6),
"ОШИБКА",
AGL6),
AGL5),
AGL3)</f>
        <v>ОШИБКА</v>
      </c>
      <c r="AGO3" s="1475">
        <v>1</v>
      </c>
      <c r="AGP3" s="833" t="s">
        <v>8433</v>
      </c>
      <c r="AGQ3" s="406" t="e">
        <f>SEARCH(AGN3,AGN$4)+LEN(AGN3)</f>
        <v>#VALUE!</v>
      </c>
      <c r="AGR3" s="406" t="str">
        <f>IF(AGS3=IFERROR(SEARCH(".",AGN$4,AGQ3),99999),".",
IF(AGS3=IFERROR(SEARCH(",",AGN$4,AGQ3),99999),",",
IF(AGS3=IFERROR(SEARCH(" за период",AGN$4,AGQ3),999999)," за период",
IF(AGS3=IFERROR(SEARCH(" в размере",AGN$4,AGQ3),99999)," в размере",
))))</f>
        <v>.</v>
      </c>
      <c r="AGS3" s="406">
        <f>IFERROR(MIN(IFERROR(SEARCH(".",AGN$4,AGQ3),99999),IFERROR(SEARCH(",",AGN$4,AGQ3),99999),IFERROR(SEARCH(" за период",AGN$4,AGQ3),999999),IFERROR(SEARCH(" в размере",AGN$4,AGQ3),99999)),"ОШИБКА")</f>
        <v>99999</v>
      </c>
      <c r="AGT3" s="406" t="e">
        <f>AGS3-AGQ3</f>
        <v>#VALUE!</v>
      </c>
      <c r="AGU3" s="873" t="e">
        <f>MID(AGN$4,AGQ3,AGT3)</f>
        <v>#VALUE!</v>
      </c>
      <c r="AGV3" s="825" t="str">
        <f>IFERROR(INDEX($DU:$DU,MATCH(MID(AGN$4,AGQ3,AGT3),$DT:$DT,0),1),"")</f>
        <v/>
      </c>
      <c r="AGW3" s="842" t="str">
        <f>IF(AGV3="","",CONCATENATE(AGO3,". ",AGV3," ",IFERROR(CONCATENATE(AGU7,",",AGU8),""),IF(ISERROR(CONCATENATE(AGU7,",",AGU8)),"","₽")))</f>
        <v/>
      </c>
      <c r="AGX3" t="s">
        <v>8631</v>
      </c>
      <c r="AGY3" s="947" t="e">
        <f>SEARCH(AGX3,AGZ4)</f>
        <v>#VALUE!</v>
      </c>
      <c r="AGZ3" s="859" t="str">
        <f>IF(ISERROR(AGY3),
IF(ISERROR(AGY5),
IF(ISERROR(AGY6),
"ОШИБКА",
AGX6),
AGX5),
AGX3)</f>
        <v>ОШИБКА</v>
      </c>
      <c r="AHA3" s="1475">
        <v>1</v>
      </c>
      <c r="AHB3" s="833" t="s">
        <v>8433</v>
      </c>
      <c r="AHC3" s="406" t="e">
        <f>SEARCH(AGZ3,AGZ$4)+LEN(AGZ3)</f>
        <v>#VALUE!</v>
      </c>
      <c r="AHD3" s="406" t="str">
        <f>IF(AHE3=IFERROR(SEARCH(".",AGZ$4,AHC3),99999),".",
IF(AHE3=IFERROR(SEARCH(",",AGZ$4,AHC3),99999),",",
IF(AHE3=IFERROR(SEARCH(" за период",AGZ$4,AHC3),999999)," за период",
IF(AHE3=IFERROR(SEARCH(" в размере",AGZ$4,AHC3),99999)," в размере",
))))</f>
        <v>.</v>
      </c>
      <c r="AHE3" s="406">
        <f>IFERROR(MIN(IFERROR(SEARCH(".",AGZ$4,AHC3),99999),IFERROR(SEARCH(",",AGZ$4,AHC3),99999),IFERROR(SEARCH(" за период",AGZ$4,AHC3),999999),IFERROR(SEARCH(" в размере",AGZ$4,AHC3),99999)),"ОШИБКА")</f>
        <v>99999</v>
      </c>
      <c r="AHF3" s="406" t="e">
        <f>AHE3-AHC3</f>
        <v>#VALUE!</v>
      </c>
      <c r="AHG3" s="873" t="e">
        <f>MID(AGZ$4,AHC3,AHF3)</f>
        <v>#VALUE!</v>
      </c>
      <c r="AHH3" s="825" t="str">
        <f>IFERROR(INDEX($DU:$DU,MATCH(MID(AGZ$4,AHC3,AHF3),$DT:$DT,0),1),"")</f>
        <v/>
      </c>
      <c r="AHI3" s="842" t="str">
        <f>IF(AHH3="","",CONCATENATE(AHA3,". ",AHH3," ",IFERROR(CONCATENATE(AHG7,",",AHG8),""),IF(ISERROR(CONCATENATE(AHG7,",",AHG8)),"","₽")))</f>
        <v/>
      </c>
      <c r="AHJ3" s="1083"/>
      <c r="AHK3" s="870" t="s">
        <v>9518</v>
      </c>
      <c r="AHL3" s="854">
        <f>MIN(IFERROR(SEARCH(AHK$3,$A$3)+LEN(AHK3),99999),
IFERROR(SEARCH(AHK$4,$A$3)+LEN(AHK4),99999),
IFERROR(SEARCH(AHK$5,$A$3)+LEN(AHK5),99999),
IFERROR(SEARCH(AHK$6,$A$3)+LEN(AHK6),99999),
IFERROR(SEARCH(AHK$7,$A$3)+LEN(AHK7),99999),
IFERROR(SEARCH(AHK$8,$A$3)+LEN(AHK8),99999),
IFERROR(SEARCH(AHK$9,$A$3)+LEN(AHK9),99999),
IFERROR(SEARCH(AHK$10,$A$3)+LEN(AHK10),99999),
IFERROR(SEARCH(AHK$11,$A$3)+LEN(AHK11),99999),
IFERROR(SEARCH(AHK$12,$A$3)+LEN(AHK12),99999),
IFERROR(SEARCH(AHK$13,$A$3)+LEN(AHK13),99999),
IFERROR(SEARCH(AHK$14,$A$3)+LEN(AHK14),99999)
)</f>
        <v>412</v>
      </c>
      <c r="AHM3" t="s">
        <v>149</v>
      </c>
      <c r="AHN3" s="854">
        <f>MIN(IFERROR(SEARCH(AHM$3,$A$3,AHL3+7),99999),
IFERROR(SEARCH(AHM$4,$A$3,AHL3+7),99999),
IFERROR(SEARCH(AHM$5,$A$3,AHL3+7),99999),
IFERROR(SEARCH(AHM$6,$A$3,AHL3+7),99999),
IFERROR(SEARCH(AHM$7,$A$3,AHL3+7),99999),
IFERROR(SEARCH(AHM$8,$A$3,AHL3+7),99999),
IFERROR(SEARCH(AHM$9,$A$3,AHL3+7),99999),
IFERROR(SEARCH(AHM$10,$A$3,AHL3+7),99999),
IFERROR(SEARCH(AHM$11,$A$3,AHL3+7),99999),
IFERROR(SEARCH(AHM$12,$A$3,AHL3+7),99999),
IFERROR(SEARCH(AHM$13,$A$3,AHL3+7),99999),
IFERROR(SEARCH(AHM$14,$A$3,AHL3+7),99999)
)</f>
        <v>424</v>
      </c>
      <c r="AHO3" s="1187">
        <f>AHN3-AHL3</f>
        <v>12</v>
      </c>
      <c r="AHP3" t="str">
        <f>MID($A$3,AHL3,AHO3)</f>
        <v>60 03 672915</v>
      </c>
      <c r="AHQ3" t="str">
        <f>LEFT(AHP3,5)</f>
        <v>60 03</v>
      </c>
      <c r="AHR3" t="str">
        <f>RIGHT(AHP3,6)</f>
        <v>672915</v>
      </c>
      <c r="AHS3" s="1187" t="str">
        <f>IF(CONCATENATE(AHQ3," № ",AHR3)="Место № льства","НЕТ",CONCATENATE(AHQ3," № ",AHR3))</f>
        <v>60 03 № 672915</v>
      </c>
      <c r="AHT3" s="754" t="s">
        <v>9519</v>
      </c>
      <c r="AHU3" s="854">
        <f>MIN(IFERROR(SEARCH(AHT$3,$A$3)+LEN(AHT3),99999),
IFERROR(SEARCH(AHT$4,$A$3)+LEN(AHT4),99999),
IFERROR(SEARCH(AHT$5,$A$3)+LEN(AHT5),99999),
IFERROR(SEARCH(AHT$6,$A$3)+LEN(AHT6),99999),
IFERROR(SEARCH(AHT$7,$A$3)+LEN(AHT7),99999),
IFERROR(SEARCH(AHT$8,$A$3)+LEN(AHT8),99999),
IFERROR(SEARCH(AHT$9,$A$3)+LEN(AHT9),99999),
IFERROR(SEARCH(AHT$10,$A$3)+LEN(AHT10),99999),
IFERROR(SEARCH(AHT$11,$A$3)+LEN(AHT11),99999),
IFERROR(SEARCH(AHT$12,$A$3)+LEN(AHT12),99999),
IFERROR(SEARCH(AHT$13,$A$3)+LEN(AHT13),99999),
IFERROR(SEARCH(AHT$14,$A$3)+LEN(AHT14),99999)
)</f>
        <v>468</v>
      </c>
      <c r="AHV3" t="s">
        <v>9517</v>
      </c>
      <c r="AHW3" s="854">
        <f>MIN(IFERROR(SEARCH(AHV$3,$A$3,AHU3+7),99999),
IFERROR(SEARCH(AHV$4,$A$3,AHU3+7),99999),
IFERROR(SEARCH(AHV$5,$A$3,AHU3+7),99999),
IFERROR(SEARCH(AHV$6,$A$3,AHU3+7),99999),
IFERROR(SEARCH(AHV$7,$A$3,AHU3+7),99999),
IFERROR(SEARCH(AHV$8,$A$3,AHU3+7),99999),
IFERROR(SEARCH(AHV$9,$A$3,AHU3+7),99999),
IFERROR(SEARCH(AHV$10,$A$3,AHU3+7),99999),
IFERROR(SEARCH(AHV$11,$A$3,AHU3+7),99999),
IFERROR(SEARCH(AHV$12,$A$3,AHU3+7),99999),
IFERROR(SEARCH(AHV$13,$A$3,AHU3+7),99999),
IFERROR(SEARCH(AHV$14,$A$3,AHU3+7),99999)
)</f>
        <v>512</v>
      </c>
      <c r="AHX3" s="1187">
        <f>AHW3-AHU3</f>
        <v>44</v>
      </c>
      <c r="AHY3" t="str">
        <f>MID($A$3,AHU3,AHX3)</f>
        <v xml:space="preserve">344092 г Ростов-на-Дону, ул Верная, д 17/88 </v>
      </c>
      <c r="AHZ3" t="s">
        <v>8513</v>
      </c>
      <c r="AIB3" s="1187" t="e">
        <f>SEARCH(AHZ3,$AHY$3)</f>
        <v>#VALUE!</v>
      </c>
      <c r="AIC3" s="1187" t="str">
        <f>IF(NOT(ISERROR(AIB3)),AHZ3,
IF(NOT(ISERROR(AIB4)),AHZ4,
IF(NOT(ISERROR(AIB5)),AHZ5,
IF(NOT(ISERROR(AIB6)),AHZ6,
IF(NOT(ISERROR(AIB7)),AHZ7,
IF(NOT(ISERROR(AIB8)),AHZ8,
IF(NOT(ISERROR(AIB9)),AHZ9,
IF(NOT(ISERROR(AIB10)),AHZ10,
IF(NOT(ISERROR(AIB11)),AHZ11,
IF(NOT(ISERROR(AIB12)),AHZ12,
IF(NOT(ISERROR(AIB13)),AHZ13,
IF(NOT(ISERROR(AIB14)),AHZ14,
"НЕТ"))))))))))))</f>
        <v>НЕТ</v>
      </c>
      <c r="AID3" s="1187" t="str">
        <f>IFERROR(INDEX(AIA:AIA,MATCH(AIC3,AHZ:AHZ,0),1),"")</f>
        <v/>
      </c>
      <c r="AIE3" s="854">
        <f>MIN(IFERROR(SEARCH(AHZ$3,$AHY$3)+LEN(AHZ3),99999),
IFERROR(SEARCH(AHZ$4,$AHY$3)+LEN(AHZ4),99999),
IFERROR(SEARCH(AHZ$5,$AHY$3)+LEN(AHZ5),99999),
IFERROR(SEARCH(AHZ$6,$AHY$3)+LEN(AHZ6),99999),
IFERROR(SEARCH(AHZ$7,$AHY$3)+LEN(AHZ7),99999),
IFERROR(SEARCH(AHZ$8,$AHY$3)+LEN(AHZ8),99999),
IFERROR(SEARCH(AHZ$9,$AHY$3)+LEN(AHZ9),99999),
IFERROR(SEARCH(AHZ$10,$AHY$3)+LEN(AHZ10),99999),
IFERROR(SEARCH(AHZ$11,$AHY$3)+LEN(AHZ11),99999),
IFERROR(SEARCH(AHZ$12,$AHY$3)+LEN(AHZ12),99999),
IFERROR(SEARCH(AHZ$13,$AHY$3)+LEN(AHZ13),99999),
IFERROR(SEARCH(AHZ$14,$AHY$3)+LEN(AHZ14),99999)
)</f>
        <v>99999</v>
      </c>
      <c r="AIF3" t="s">
        <v>8236</v>
      </c>
      <c r="AIG3" s="854">
        <f>MIN(IFERROR(SEARCH(AIF$3,$AHY$3,AIE3),99999),
IFERROR(SEARCH(AIF$4,$AHY$3,AIE3),99999),
IFERROR(SEARCH(AIF$5,$AHY$3,AIE3),99999),
IFERROR(SEARCH(AIF$6,$AHY$3,AIE3),99999),
IFERROR(SEARCH(AIF$7,$AHY$3,AIE3),99999),
IFERROR(SEARCH(AIF$8,$AHY$3,AIE3),99999),
IFERROR(SEARCH(AIF$9,$AHY$3,AIE3),99999),
IFERROR(SEARCH(AIF$10,$AHY$3,AIE3),99999),
IFERROR(SEARCH(AIF$11,$AHY$3,AIE3),99999),
IFERROR(SEARCH(AIF$12,$AHY$3,AIE3),99999),
IFERROR(SEARCH(AIF$13,$AHY$3,AIE3),99999),
IFERROR(SEARCH(AIF$14,$AHY$3,AIE3),99999)
)</f>
        <v>99999</v>
      </c>
      <c r="AIH3" s="854">
        <f>AIG3-AIE3</f>
        <v>0</v>
      </c>
      <c r="AII3" t="str">
        <f>IF(ISNUMBER(VALUE(MID(AHY3,1,6))),MID(AHY3,1,6),"")</f>
        <v>344092</v>
      </c>
      <c r="AIJ3" t="s">
        <v>9561</v>
      </c>
      <c r="AIK3" t="s">
        <v>1472</v>
      </c>
      <c r="AIL3" s="1187" t="e">
        <f>SEARCH(AIJ3,$AHY$3)</f>
        <v>#VALUE!</v>
      </c>
      <c r="AIM3" s="1187" t="str">
        <f>IF(NOT(ISERROR(AIL3)),AIJ3,
IF(NOT(ISERROR(AIL4)),AIJ4,
IF(NOT(ISERROR(AIL5)),AIJ5,
IF(NOT(ISERROR(AIL6)),AIJ6,
IF(NOT(ISERROR(AIL7)),AIJ7,
IF(NOT(ISERROR(AIL8)),AIJ8,
IF(NOT(ISERROR(AIL9)),AIJ9,
IF(NOT(ISERROR(AIL10)),AIJ10,
IF(NOT(ISERROR(AIL11)),AIJ11,
IF(NOT(ISERROR(AIL12)),AIJ12,
IF(NOT(ISERROR(AIL13)),AIJ13,
IF(NOT(ISERROR(AIL14)),AIJ14,
IF(NOT(ISERROR(AIL15)),AIJ15,
IF(NOT(ISERROR(AIL16)),AIJ16,
IF(NOT(ISERROR(AIL17)),AIJ17,
IF(NOT(ISERROR(AIL18)),AIJ18,
IF(NOT(ISERROR(AIL19)),AIJ19,
IF(NOT(ISERROR(AIL20)),AIJ20,
IF(NOT(ISERROR(AIL21)),AIJ21,
IF(NOT(ISERROR(AIL22)),AIJ22,
IF(NOT(ISERROR(AIL23)),AIJ23,
IF(NOT(ISERROR(AIL24)),AIJ24,
IF(NOT(ISERROR(AIL25)),AIJ25,
IF(NOT(ISERROR(AIL26)),AIJ26,
IF(NOT(ISERROR(AIL27)),AIJ27,
IF(NOT(ISERROR(AIL28)),AIJ28,
IF(NOT(ISERROR(AIL29)),AIJ29,
IF(NOT(ISERROR(AIL30)),AIJ30,
IF(NOT(ISERROR(AIL31)),AIJ31,
"НЕТ")))))))))))))))))))))))))))))</f>
        <v>НЕТ</v>
      </c>
      <c r="AIN3" s="1187" t="str">
        <f>IFERROR(INDEX(AIK:AIK,MATCH(AIM3,AIJ:AIJ,0),1),"")</f>
        <v/>
      </c>
      <c r="AIO3" s="854">
        <f>MIN(IFERROR(SEARCH(AIJ$3,$AHY$3)+LEN(AIJ3),99999),
IFERROR(SEARCH(AIJ$4,$AHY$3)+LEN(AIJ4),99999),
IFERROR(SEARCH(AIJ$5,$AHY$3)+LEN(AIJ5),99999),
IFERROR(SEARCH(AIJ$6,$AHY$3)+LEN(AIJ6),99999),
IFERROR(SEARCH(AIJ$7,$AHY$3)+LEN(AIJ7),99999),
IFERROR(SEARCH(AIJ$8,$AHY$3)+LEN(AIJ8),99999),
IFERROR(SEARCH(AIJ$9,$AHY$3)+LEN(AIJ9),99999),
IFERROR(SEARCH(AIJ$10,$AHY$3)+LEN(AIJ10),99999),
IFERROR(SEARCH(AIJ$11,$AHY$3)+LEN(AIJ11),99999),
IFERROR(SEARCH(AIJ$12,$AHY$3)+LEN(AIJ12),99999),
IFERROR(SEARCH(AIJ$13,$AHY$3)+LEN(AIJ13),99999),
IFERROR(SEARCH(AIJ$14,$AHY$3)+LEN(AIJ14),99999)
)</f>
        <v>99999</v>
      </c>
      <c r="AIP3" t="s">
        <v>8236</v>
      </c>
      <c r="AIQ3" s="854">
        <f>MIN(IFERROR(SEARCH(AIP$3,$AHY$3,AIO3),99999),
IFERROR(SEARCH(AIP$4,$AHY$3,AIO3),99999),
IFERROR(SEARCH(AIP$5,$AHY$3,AIO3),99999),
IFERROR(SEARCH(AIP$6,$AHY$3,AIO3),99999),
IFERROR(SEARCH(AIP$7,$AHY$3,AIO3),99999),
IFERROR(SEARCH(AIP$8,$AHY$3,AIO3),99999),
IFERROR(SEARCH(AIP$9,$AHY$3,AIO3),99999),
IFERROR(SEARCH(AIP$10,$AHY$3,AIO3),99999),
IFERROR(SEARCH(AIP$11,$AHY$3,AIO3),99999),
IFERROR(SEARCH(AIP$12,$AHY$3,AIO3),99999),
IFERROR(SEARCH(AIP$13,$AHY$3,AIO3),99999),
IFERROR(SEARCH(AIP$14,$AHY$3,AIO3),99999)
)</f>
        <v>99999</v>
      </c>
      <c r="AIR3" s="854">
        <f>AIQ3-AIO3</f>
        <v>0</v>
      </c>
      <c r="AIS3" t="str">
        <f>AIN3</f>
        <v/>
      </c>
      <c r="AIT3" t="s">
        <v>9557</v>
      </c>
      <c r="AIU3" t="s">
        <v>9560</v>
      </c>
      <c r="AIV3" s="1187" t="e">
        <f>SEARCH(AIT3,$AHY$3)</f>
        <v>#VALUE!</v>
      </c>
      <c r="AIW3" s="1187" t="str">
        <f>IF(NOT(ISERROR(AIV3)),AIT3,
IF(NOT(ISERROR(AIV4)),AIT4,
IF(NOT(ISERROR(AIV5)),AIT5,
IF(NOT(ISERROR(AIV6)),AIT6,
IF(NOT(ISERROR(AIV7)),AIT7,
IF(NOT(ISERROR(AIV8)),AIT8,
IF(NOT(ISERROR(AIV9)),AIT9,
IF(NOT(ISERROR(AIV10)),AIT10,
IF(NOT(ISERROR(AIV11)),AIT11,
IF(NOT(ISERROR(AIV12)),AIT12,
IF(NOT(ISERROR(AIV13)),AIT13,
IF(NOT(ISERROR(AIV14)),AIT14,
"НЕТ"))))))))))))</f>
        <v>НЕТ</v>
      </c>
      <c r="AIX3" s="1187" t="str">
        <f>IFERROR(INDEX(AIU:AIU,MATCH(AIW3,AIT:AIT,0),1),"")</f>
        <v/>
      </c>
      <c r="AIY3" s="854">
        <f>MIN(IFERROR(SEARCH(AIT$3,$AHY$3)+LEN(AIT3),99999),
IFERROR(SEARCH(AIT$4,$AHY$3)+LEN(AIT4),99999),
IFERROR(SEARCH(AIT$5,$AHY$3)+LEN(AIT5),99999),
IFERROR(SEARCH(AIT$6,$AHY$3)+LEN(AIT6),99999),
IFERROR(SEARCH(AIT$7,$AHY$3)+LEN(AIT7),99999),
IFERROR(SEARCH(AIT$8,$AHY$3)+LEN(AIT8),99999),
IFERROR(SEARCH(AIT$9,$AHY$3)+LEN(AIT9),99999),
IFERROR(SEARCH(AIT$10,$AHY$3)+LEN(AIT10),99999),
IFERROR(SEARCH(AIT$11,$AHY$3)+LEN(AIT11),99999),
IFERROR(SEARCH(AIT$12,$AHY$3)+LEN(AIT12),99999),
IFERROR(SEARCH(AIT$13,$AHY$3)+LEN(AIT13),99999),
IFERROR(SEARCH(AIT$14,$AHY$3)+LEN(AIT14),99999)
)</f>
        <v>99999</v>
      </c>
      <c r="AIZ3" s="854" t="s">
        <v>149</v>
      </c>
      <c r="AJA3" s="334">
        <f>IFERROR(LEN(MID(AHY3,1,AIY3-LEN(AIW3)-1))-LEN(IF(ISERROR(FIND(" ",MID(AHY3,1,AIY3-LEN(AIW3)-1))),MID(AHY3,1,AIY3-LEN(AIW3)-1),RIGHT(MID(AHY3,1,AIY3-LEN(AIW3)-1),LEN(MID(AHY3,1,AIY3-LEN(AIW3)-1))-FIND("~",SUBSTITUTE(MID(AHY3,1,AIY3-LEN(AIW3)-1),AIZ3,"~",LEN(MID(AHY3,1,AIY3-LEN(AIW3)-1))-LEN(SUBSTITUTE(MID(AHY3,1,AIY3-LEN(AIW3)-1),AIZ3,"")))))))+1,1)</f>
        <v>45</v>
      </c>
      <c r="AJB3" t="s">
        <v>8236</v>
      </c>
      <c r="AJC3" s="854">
        <f>MIN(IFERROR(SEARCH(AJB$3,$AHY$3,AIY3),99999),
IFERROR(SEARCH(AJB$4,$AHY$3,AIY3),99999),
IFERROR(SEARCH(AJB$5,$AHY$3,AIY3),99999),
IFERROR(SEARCH(AJB$6,$AHY$3,AIY3),99999),
IFERROR(SEARCH(AJB$7,$AHY$3,AIY3),99999),
IFERROR(SEARCH(AJB$8,$AHY$3,AIY3),99999),
IFERROR(SEARCH(AJB$9,$AHY$3,AIY3),99999),
IFERROR(SEARCH(AJB$10,$AHY$3,AIY3),99999),
IFERROR(SEARCH(AJB$11,$AHY$3,AIY3),99999),
IFERROR(SEARCH(AJB$12,$AHY$3,AIY3),99999),
IFERROR(SEARCH(AJB$13,$AHY$3,AIY3),99999),
IFERROR(SEARCH(AJB$14,$AHY$3,AIY3),99999)
)</f>
        <v>99999</v>
      </c>
      <c r="AJD3" s="854">
        <f>AJC3-AIY3</f>
        <v>0</v>
      </c>
      <c r="AJE3" s="854">
        <f>MIN(IFERROR(SEARCH(AJB$3,$AHY$3,AJA3),99999),
IFERROR(SEARCH(AJB$4,$AHY$3,AJA3),99999),
IFERROR(SEARCH(AJB$5,$AHY$3,AJA3),99999),
IFERROR(SEARCH(AJB$6,$AHY$3,AJA3),99999),
IFERROR(SEARCH(AJB$7,$AHY$3,AJA3),99999),
IFERROR(SEARCH(AJB$8,$AHY$3,AJA3),99999),
IFERROR(SEARCH(AJB$9,$AHY$3,AJA3),99999),
IFERROR(SEARCH(AJB$10,$AHY$3,AJA3),99999),
IFERROR(SEARCH(AJB$11,$AHY$3,AJA3),99999),
IFERROR(SEARCH(AJB$12,$AHY$3,AJA3),99999),
IFERROR(SEARCH(AJB$13,$AHY$3,AJA3),99999),
IFERROR(SEARCH(AJB$14,$AHY$3,AJA3),99999)
)</f>
        <v>99999</v>
      </c>
      <c r="AJF3" s="854">
        <f>AJE3-AJA3</f>
        <v>99954</v>
      </c>
      <c r="AJG3" s="1187" t="str">
        <f>IF(MID($AHY$3,AIY3,AJD3)="",
MID($AHY$3,AJA3,AJF3),
MID($AHY$3,AIY3,AJD3))</f>
        <v/>
      </c>
      <c r="AJH3" t="s">
        <v>9527</v>
      </c>
      <c r="AJI3" t="s">
        <v>9539</v>
      </c>
      <c r="AJJ3" s="1187">
        <f t="shared" ref="AJJ3:AJJ14" si="10">SEARCH(AJH3,$AHY$3)</f>
        <v>7</v>
      </c>
      <c r="AJK3" s="1187" t="str">
        <f>IF(NOT(ISERROR(AJJ3)),AJH3,
IF(NOT(ISERROR(AJJ4)),AJH4,
IF(NOT(ISERROR(AJJ5)),AJH5,
IF(NOT(ISERROR(AJJ6)),AJH6,
IF(NOT(ISERROR(AJJ7)),AJH7,
IF(NOT(ISERROR(AJJ8)),AJH8,
IF(NOT(ISERROR(AJJ9)),AJH9,
IF(NOT(ISERROR(AJJ10)),AJH10,
IF(NOT(ISERROR(AJJ11)),AJH11,
IF(NOT(ISERROR(AJJ12)),AJH12,
IF(NOT(ISERROR(AJJ13)),AJH13,
IF(NOT(ISERROR(AJJ14)),AJH14,
"НЕТ"))))))))))))</f>
        <v xml:space="preserve"> г </v>
      </c>
      <c r="AJL3" s="1187" t="str">
        <f>IFERROR(INDEX(AJI:AJI,MATCH(AJK3,AJH:AJH,0),1),"")</f>
        <v xml:space="preserve">г. </v>
      </c>
      <c r="AJM3" s="854">
        <f>MIN(IFERROR(SEARCH(AJH$3,$AHY$3)+LEN(AJH3),99999),
IFERROR(SEARCH(AJH$4,$AHY$3)+LEN(AJH4),99999),
IFERROR(SEARCH(AJH$5,$AHY$3)+LEN(AJH5),99999),
IFERROR(SEARCH(AJH$6,$AHY$3)+LEN(AJH6),99999),
IFERROR(SEARCH(AJH$7,$AHY$3)+LEN(AJH7),99999),
IFERROR(SEARCH(AJH$8,$AHY$3)+LEN(AJH8),99999),
IFERROR(SEARCH(AJH$9,$AHY$3)+LEN(AJH9),99999),
IFERROR(SEARCH(AJH$10,$AHY$3)+LEN(AJH10),99999),
IFERROR(SEARCH(AJH$11,$AHY$3)+LEN(AJH11),99999),
IFERROR(SEARCH(AJH$12,$AHY$3)+LEN(AJH12),99999),
IFERROR(SEARCH(AJH$13,$AHY$3)+LEN(AJH13),99999),
IFERROR(SEARCH(AJH$14,$AHY$3)+LEN(AJH14),99999)
)</f>
        <v>10</v>
      </c>
      <c r="AJN3" t="s">
        <v>9573</v>
      </c>
      <c r="AJO3" s="854">
        <f>MIN(IFERROR(SEARCH(AJN$3,$AHY$3,AJM3),99999),
IFERROR(SEARCH(AJN$4,$AHY$3,AJM3),99999),
IFERROR(SEARCH(AJN$5,$AHY$3,AJM3),99999),
IFERROR(SEARCH(AJN$6,$AHY$3,AJM3),99999),
IFERROR(SEARCH(AJN$7,$AHY$3,AJM3),99999),
IFERROR(SEARCH(AJN$8,$AHY$3,AJM3),99999),
IFERROR(SEARCH(AJN$9,$AHY$3,AJM3),99999),
IFERROR(SEARCH(AJN$10,$AHY$3,AJM3),99999),
IFERROR(SEARCH(AJN$11,$AHY$3,AJM3),99999),
IFERROR(SEARCH(AJN$12,$AHY$3,AJM3),99999),
IFERROR(SEARCH(AJN$13,$AHY$3,AJM3),99999),
IFERROR(SEARCH(AJN$14,$AHY$3,AJM3),99999)
)</f>
        <v>24</v>
      </c>
      <c r="AJP3" s="854">
        <f>AJO3-AJM3</f>
        <v>14</v>
      </c>
      <c r="AJQ3" s="1187" t="str">
        <f>MID($AHY$3,AJM3,AJP3)</f>
        <v>Ростов-на-Дону</v>
      </c>
      <c r="AJR3" t="s">
        <v>9836</v>
      </c>
      <c r="AJS3" t="s">
        <v>9587</v>
      </c>
      <c r="AJT3" s="1245" t="e">
        <f>SEARCH(AJR3,$AHY$3)</f>
        <v>#VALUE!</v>
      </c>
      <c r="AJU3" s="1245" t="str">
        <f>IF(NOT(ISERROR(AJT3)),AJR3,
IF(NOT(ISERROR(AJT4)),AJR4,
IF(NOT(ISERROR(AJT5)),AJR5,
IF(NOT(ISERROR(AJT6)),AJR6,
IF(NOT(ISERROR(AJT7)),AJR7,
IF(NOT(ISERROR(AJT8)),AJR8,
IF(NOT(ISERROR(AJT9)),AJR9,
IF(NOT(ISERROR(AJT10)),AJR10,
IF(NOT(ISERROR(AJT11)),AJR11,
IF(NOT(ISERROR(AJT12)),AJR12,
IF(NOT(ISERROR(AJT13)),AJR13,
IF(NOT(ISERROR(AJT14)),AJR14,
"НЕТ"))))))))))))</f>
        <v>НЕТ</v>
      </c>
      <c r="AJV3" s="1245" t="str">
        <f>IFERROR(INDEX(AJS:AJS,MATCH(AJU3,AJR:AJR,0),1),"")</f>
        <v/>
      </c>
      <c r="AJW3" s="854">
        <f>MIN(IFERROR(SEARCH(AJR$3,$AHY$3)+LEN(AJR3),99999),
IFERROR(SEARCH(AJR$4,$AHY$3)+LEN(AJR4),99999),
IFERROR(SEARCH(AJR$5,$AHY$3)+LEN(AJR5),99999),
IFERROR(SEARCH(AJR$6,$AHY$3)+LEN(AJR6),99999),
IFERROR(SEARCH(AJR$7,$AHY$3)+LEN(AJR7),99999),
IFERROR(SEARCH(AJR$8,$AHY$3)+LEN(AJR8),99999),
IFERROR(SEARCH(AJR$9,$AHY$3)+LEN(AJR9),99999),
IFERROR(SEARCH(AJR$10,$AHY$3)+LEN(AJR10),99999),
IFERROR(SEARCH(AJR$11,$AHY$3)+LEN(AJR11),99999),
IFERROR(SEARCH(AJR$12,$AHY$3)+LEN(AJR12),99999),
IFERROR(SEARCH(AJR$13,$AHY$3)+LEN(AJR13),99999),
IFERROR(SEARCH(AJR$14,$AHY$3)+LEN(AJR14),99999)
)</f>
        <v>99999</v>
      </c>
      <c r="AJX3" t="s">
        <v>9603</v>
      </c>
      <c r="AJY3" s="854">
        <f>MIN(IFERROR(SEARCH(AJX$3,$AHY$3,AJW3),99999),
IFERROR(SEARCH(AJX$4,$AHY$3,AJW3),99999),
IFERROR(SEARCH(AJX$5,$AHY$3,AJW3),99999),
IFERROR(SEARCH(AJX$6,$AHY$3,AJW3),99999),
IFERROR(SEARCH(AJX$7,$AHY$3,AJW3),99999),
IFERROR(SEARCH(AJX$8,$AHY$3,AJW3),99999),
IFERROR(SEARCH(AJX$9,$AHY$3,AJW3),99999),
IFERROR(SEARCH(AJX$10,$AHY$3,AJW3),99999),
IFERROR(SEARCH(AJX$11,$AHY$3,AJW3),99999),
IFERROR(SEARCH(AJX$12,$AHY$3,AJW3),99999),
IFERROR(SEARCH(AJX$13,$AHY$3,AJW3),99999),
IFERROR(SEARCH(AJX$14,$AHY$3,AJW3),99999)
)</f>
        <v>99999</v>
      </c>
      <c r="AJZ3" s="854">
        <f>AJY3-AJW3</f>
        <v>0</v>
      </c>
      <c r="AKA3" s="1245" t="str">
        <f>MID($AHY$3,AJW3,AJZ3)</f>
        <v/>
      </c>
      <c r="AKB3" t="s">
        <v>9528</v>
      </c>
      <c r="AKC3" t="s">
        <v>9540</v>
      </c>
      <c r="AKD3" s="1187">
        <f>SEARCH(AKB3,$AHY$3)</f>
        <v>25</v>
      </c>
      <c r="AKE3" s="1187" t="str">
        <f>IF(NOT(ISERROR(AKD3)),AKB3,
IF(NOT(ISERROR(AKD4)),AKB4,
IF(NOT(ISERROR(AKD5)),AKB5,
IF(NOT(ISERROR(AKD6)),AKB6,
IF(NOT(ISERROR(AKD7)),AKB7,
IF(NOT(ISERROR(AKD8)),AKB8,
IF(NOT(ISERROR(AKD9)),AKB9,
IF(NOT(ISERROR(AKD10)),AKB10,
IF(NOT(ISERROR(AKD11)),AKB11,
IF(NOT(ISERROR(AKD12)),AKB12,
IF(NOT(ISERROR(AKD13)),AKB13,
IF(NOT(ISERROR(AKD14)),AKB14,
IF(NOT(ISERROR(AKD15)),AKB15,
"НЕТ")))))))))))))</f>
        <v xml:space="preserve"> ул </v>
      </c>
      <c r="AKF3" s="1187" t="str">
        <f>IFERROR(INDEX(AKC:AKC,MATCH(AKE3,AKB:AKB,0),1),"")</f>
        <v xml:space="preserve">ул. </v>
      </c>
      <c r="AKG3" s="854">
        <f>MIN(IFERROR(SEARCH(AKB$3,$AHY$3)+LEN(AKB3),99999),
IFERROR(SEARCH(AKB$4,$AHY$3)+LEN(AKB4),99999),
IFERROR(SEARCH(AKB$5,$AHY$3)+LEN(AKB5),99999),
IFERROR(SEARCH(AKB$6,$AHY$3)+LEN(AKB6),99999),
IFERROR(SEARCH(AKB$7,$AHY$3)+LEN(AKB7),99999),
IFERROR(SEARCH(AKB$8,$AHY$3)+LEN(AKB8),99999),
IFERROR(SEARCH(AKB$9,$AHY$3)+LEN(AKB9),99999),
IFERROR(SEARCH(AKB$10,$AHY$3)+LEN(AKB10),99999),
IFERROR(SEARCH(AKB$11,$AHY$3)+LEN(AKB11),99999),
IFERROR(SEARCH(AKB$12,$AHY$3)+LEN(AKB12),99999),
IFERROR(SEARCH(AKB$13,$AHY$3)+LEN(AKB13),99999),
IFERROR(SEARCH(AKB$14,$AHY$3)+LEN(AKB14),99999),
IFERROR(SEARCH(AKB$15,$AHY$3)+LEN(AKB15),99999)
)</f>
        <v>29</v>
      </c>
      <c r="AKH3" t="s">
        <v>9603</v>
      </c>
      <c r="AKI3" s="854">
        <f>MIN(IFERROR(SEARCH(AKH$3,$AHY$3,AKG3),99999),
IFERROR(SEARCH(AKH$4,$AHY$3,AKG3),99999),
IFERROR(SEARCH(AKH$5,$AHY$3,AKG3),99999),
IFERROR(SEARCH(AKH$6,$AHY$3,AKG3),99999),
IFERROR(SEARCH(AKH$7,$AHY$3,AKG3),99999),
IFERROR(SEARCH(AKH$8,$AHY$3,AKG3),99999),
IFERROR(SEARCH(AKH$9,$AHY$3,AKG3),99999),
IFERROR(SEARCH(AKH$10,$AHY$3,AKG3),99999),
IFERROR(SEARCH(AKH$11,$AHY$3,AKG3),99999),
IFERROR(SEARCH(AKH$12,$AHY$3,AKG3),99999),
IFERROR(SEARCH(AKH$13,$AHY$3,AKG3),99999),
IFERROR(SEARCH(AKH$14,$AHY$3,AKG3),99999)
)</f>
        <v>35</v>
      </c>
      <c r="AKJ3" s="854">
        <f>AKI3-AKG3</f>
        <v>6</v>
      </c>
      <c r="AKK3" s="1187" t="str">
        <f>MID($AHY$3,AKG3,AKJ3)</f>
        <v>Верная</v>
      </c>
      <c r="AKL3" t="s">
        <v>9532</v>
      </c>
      <c r="AKM3" t="s">
        <v>9542</v>
      </c>
      <c r="AKN3" s="1187" t="e">
        <f>SEARCH(AKL3,$AHY$3,AKI$3+2)</f>
        <v>#VALUE!</v>
      </c>
      <c r="AKO3" s="1187" t="str">
        <f>IF(NOT(ISERROR(AKN3)),AKL3,
IF(NOT(ISERROR(AKN4)),AKL4,
IF(NOT(ISERROR(AKN5)),AKL5,
IF(NOT(ISERROR(AKN6)),AKL6,
IF(NOT(ISERROR(AKN7)),AKL7,
IF(NOT(ISERROR(AKN8)),AKL8,
IF(NOT(ISERROR(AKN9)),AKL9,
IF(NOT(ISERROR(AKN10)),AKL10,
IF(NOT(ISERROR(AKN11)),AKL11,
IF(NOT(ISERROR(AKN12)),AKL12,
IF(NOT(ISERROR(AKN13)),AKL13,
IF(NOT(ISERROR(AKN14)),AKL14,
"НЕТ"))))))))))))</f>
        <v xml:space="preserve"> </v>
      </c>
      <c r="AKP3" s="1187" t="str">
        <f>IFERROR(INDEX(AKM:AKM,MATCH(AKO3,AKL:AKL,0),1),"")</f>
        <v xml:space="preserve">д. </v>
      </c>
      <c r="AKQ3" s="854">
        <f>MIN(IFERROR(SEARCH(AKL$3,$AHY$3,AKI$3+2)+LEN(AKL3),99999),
IFERROR(SEARCH(AKL$4,$AHY$3,AKI$3+2)+LEN(AKL4),99999),
IFERROR(SEARCH(AKL$5,$AHY$3,AKI$3+2)+LEN(AKL5),99999),
IFERROR(SEARCH(AKL$6,$AHY$3,AKI$3+2)+LEN(AKL6),99999),
IFERROR(SEARCH(AKL$7,$AHY$3,AKI$3+2)+LEN(AKL7),99999),
IFERROR(SEARCH(AKL$8,$AHY$3,AKI$3+2)+LEN(AKL8),99999),
IFERROR(SEARCH(AKL$9,$AHY$3,AKI$3+2)+LEN(AKL9),99999),
IFERROR(SEARCH(AKL$10,$AHY$3,AKI$3+2)+LEN(AKL10),99999),
IFERROR(SEARCH(AKL$11,$AHY$3,AKI$3+2)+LEN(AKL11),99999),
IFERROR(SEARCH(AKL$12,$AHY$3,AKI$3+2)+LEN(AKL12),99999),
IFERROR(SEARCH(AKL$13,$AHY$3,AKI$3+2)+LEN(AKL13),99999),
IFERROR(SEARCH(AKL$14,$AHY$3,AKI$3+2)+LEN(AKL14),99999)
)</f>
        <v>39</v>
      </c>
      <c r="AKR3" t="s">
        <v>8236</v>
      </c>
      <c r="AKS3" s="854">
        <f>MIN(IFERROR(SEARCH(AKR$3,$AHY$3,AKQ3),99999),
IFERROR(SEARCH(AKR$4,$AHY$3,AKQ3),99999),
IFERROR(SEARCH(AKR$5,$AHY$3,AKQ3),99999),
IFERROR(SEARCH(AKR$6,$AHY$3,AKQ3),99999),
IFERROR(SEARCH(AKR$7,$AHY$3,AKQ3),99999),
IFERROR(SEARCH(AKR$8,$AHY$3,AKQ3),99999),
IFERROR(SEARCH(AKR$9,$AHY$3,AKQ3),99999),
IFERROR(SEARCH(AKR$10,$AHY$3,AKQ3),99999),
IFERROR(SEARCH(AKR$11,$AHY$3,AKQ3),99999),
IFERROR(SEARCH(AKR$12,$AHY$3,AKQ3),99999),
IFERROR(SEARCH(AKR$13,$AHY$3,AKQ3),99999),
IFERROR(SEARCH(AKR$14,$AHY$3,AKQ3),99999)
)</f>
        <v>44</v>
      </c>
      <c r="AKT3" s="854">
        <f>AKS3-AKQ3</f>
        <v>5</v>
      </c>
      <c r="AKU3" s="1187" t="str">
        <f>MID($AHY$3,AKQ3,AKT3)</f>
        <v>17/88</v>
      </c>
      <c r="AKV3" t="s">
        <v>9547</v>
      </c>
      <c r="AKW3" t="s">
        <v>9549</v>
      </c>
      <c r="AKX3" s="1187" t="e">
        <f>SEARCH(AKV3,$AHY$3)</f>
        <v>#VALUE!</v>
      </c>
      <c r="AKY3" s="1187" t="str">
        <f>IF(NOT(ISERROR(AKX3)),AKV3,
IF(NOT(ISERROR(AKX4)),AKV4,
IF(NOT(ISERROR(AKX5)),AKV5,
IF(NOT(ISERROR(AKX6)),AKV6,
IF(NOT(ISERROR(AKX7)),AKV7,
IF(NOT(ISERROR(AKX8)),AKV8,
IF(NOT(ISERROR(AKX9)),AKV9,
IF(NOT(ISERROR(AKX10)),AKV10,
IF(NOT(ISERROR(AKX11)),AKV11,
IF(NOT(ISERROR(AKX12)),AKV12,
IF(NOT(ISERROR(AKX13)),AKV13,
IF(NOT(ISERROR(AKX14)),AKV14,
"НЕТ"))))))))))))</f>
        <v>НЕТ</v>
      </c>
      <c r="AKZ3" s="1187" t="str">
        <f>IFERROR(INDEX(AKW:AKW,MATCH(AKY3,AKV:AKV,0),1),"")</f>
        <v/>
      </c>
      <c r="ALA3" s="854">
        <f>MIN(IFERROR(SEARCH(AKV$3,$AHY$3)+LEN(AKV3),99999),
IFERROR(SEARCH(AKV$4,$AHY$3)+LEN(AKV4),99999),
IFERROR(SEARCH(AKV$5,$AHY$3)+LEN(AKV5),99999),
IFERROR(SEARCH(AKV$6,$AHY$3)+LEN(AKV6),99999),
IFERROR(SEARCH(AKV$7,$AHY$3)+LEN(AKV7),99999),
IFERROR(SEARCH(AKV$8,$AHY$3)+LEN(AKV8),99999),
IFERROR(SEARCH(AKV$9,$AHY$3)+LEN(AKV9),99999),
IFERROR(SEARCH(AKV$10,$AHY$3)+LEN(AKV10),99999),
IFERROR(SEARCH(AKV$11,$AHY$3)+LEN(AKV11),99999),
IFERROR(SEARCH(AKV$12,$AHY$3)+LEN(AKV12),99999),
IFERROR(SEARCH(AKV$13,$AHY$3)+LEN(AKV13),99999),
IFERROR(SEARCH(AKV$14,$AHY$3)+LEN(AKV14),99999)
)</f>
        <v>99999</v>
      </c>
      <c r="ALB3" t="s">
        <v>8236</v>
      </c>
      <c r="ALC3" s="854">
        <f>MIN(IFERROR(SEARCH(ALB$3,$AHY$3,ALA3),99999),
IFERROR(SEARCH(ALB$4,$AHY$3,ALA3),99999),
IFERROR(SEARCH(ALB$5,$AHY$3,ALA3),99999),
IFERROR(SEARCH(ALB$6,$AHY$3,ALA3),99999),
IFERROR(SEARCH(ALB$7,$AHY$3,ALA3),99999),
IFERROR(SEARCH(ALB$8,$AHY$3,ALA3),99999),
IFERROR(SEARCH(ALB$9,$AHY$3,ALA3),99999),
IFERROR(SEARCH(ALB$10,$AHY$3,ALA3),99999),
IFERROR(SEARCH(ALB$11,$AHY$3,ALA3),99999),
IFERROR(SEARCH(ALB$12,$AHY$3,ALA3),99999),
IFERROR(SEARCH(ALB$13,$AHY$3,ALA3),99999),
IFERROR(SEARCH(ALB$14,$AHY$3,ALA3),99999)
)</f>
        <v>99999</v>
      </c>
      <c r="ALD3" s="854">
        <f>ALC3-ALA3</f>
        <v>0</v>
      </c>
      <c r="ALE3" s="1187" t="str">
        <f>MID($AHY$3,ALA3,ALD3)</f>
        <v/>
      </c>
      <c r="ALF3" t="s">
        <v>9535</v>
      </c>
      <c r="ALG3" t="s">
        <v>9543</v>
      </c>
      <c r="ALH3" s="1187" t="e">
        <f>SEARCH(ALF3,$AHY$3)</f>
        <v>#VALUE!</v>
      </c>
      <c r="ALI3" s="1187" t="str">
        <f>IF(NOT(ISERROR(ALH3)),ALF3,
IF(NOT(ISERROR(ALH4)),ALF4,
IF(NOT(ISERROR(ALH5)),ALF5,
IF(NOT(ISERROR(ALH6)),ALF6,
IF(NOT(ISERROR(ALH7)),ALF7,
IF(NOT(ISERROR(ALH8)),ALF8,
IF(NOT(ISERROR(ALH9)),ALF9,
IF(NOT(ISERROR(ALH10)),ALF10,
IF(NOT(ISERROR(ALH11)),ALF11,
IF(NOT(ISERROR(ALH12)),ALF12,
IF(NOT(ISERROR(ALH13)),ALF13,
IF(NOT(ISERROR(ALH14)),ALF14,
"НЕТ"))))))))))))</f>
        <v>НЕТ</v>
      </c>
      <c r="ALJ3" s="1187" t="str">
        <f>IFERROR(INDEX(ALG:ALG,MATCH(ALI3,ALF:ALF,0),1),"")</f>
        <v/>
      </c>
      <c r="ALK3" s="854">
        <f>MIN(IFERROR(SEARCH(ALF$3,$AHY$3)+LEN(ALF3),99999),
IFERROR(SEARCH(ALF$4,$AHY$3)+LEN(ALF4),99999),
IFERROR(SEARCH(ALF$5,$AHY$3)+LEN(ALF5),99999),
IFERROR(SEARCH(ALF$6,$AHY$3)+LEN(ALF6),99999),
IFERROR(SEARCH(ALF$7,$AHY$3)+LEN(ALF7),99999),
IFERROR(SEARCH(ALF$8,$AHY$3)+LEN(ALF8),99999),
IFERROR(SEARCH(ALF$9,$AHY$3)+LEN(ALF9),99999),
IFERROR(SEARCH(ALF$10,$AHY$3)+LEN(ALF10),99999),
IFERROR(SEARCH(ALF$11,$AHY$3)+LEN(ALF11),99999),
IFERROR(SEARCH(ALF$12,$AHY$3)+LEN(ALF12),99999),
IFERROR(SEARCH(ALF$13,$AHY$3)+LEN(ALF13),99999),
IFERROR(SEARCH(ALF$14,$AHY$3)+LEN(ALF14),99999)
)</f>
        <v>99999</v>
      </c>
      <c r="ALL3" t="s">
        <v>8236</v>
      </c>
      <c r="ALM3" s="854">
        <f>MIN(IFERROR(SEARCH(ALL$3,$AHY$3,ALK3),99999),
IFERROR(SEARCH(ALL$4,$AHY$3,ALK3),99999),
IFERROR(SEARCH(ALL$5,$AHY$3,ALK3),99999),
IFERROR(SEARCH(ALL$6,$AHY$3,ALK3),99999),
IFERROR(SEARCH(ALL$7,$AHY$3,ALK3),99999),
IFERROR(SEARCH(ALL$8,$AHY$3,ALK3),99999),
IFERROR(SEARCH(ALL$9,$AHY$3,ALK3),99999),
IFERROR(SEARCH(ALL$10,$AHY$3,ALK3),99999),
IFERROR(SEARCH(ALL$11,$AHY$3,ALK3),99999),
IFERROR(SEARCH(ALL$12,$AHY$3,ALK3),99999),
IFERROR(SEARCH(ALL$13,$AHY$3,ALK3),99999),
IFERROR(SEARCH(ALL$14,$AHY$3,ALK3),99999)
)</f>
        <v>99999</v>
      </c>
      <c r="ALN3" s="854">
        <f>ALM3-ALK3</f>
        <v>0</v>
      </c>
      <c r="ALO3" s="1187" t="str">
        <f>MID($AHY$3,ALK3,ALN3)</f>
        <v/>
      </c>
      <c r="ALP3" s="1187" t="str">
        <f>CONCATENATE(IF(NOT(AII3=""),AII3,""),IF(AND(NOT(AII3="")),", ",""),
IF(NOT(AIS3=""),AIS3,""),IF(NOT(AIS3=""),", ",""),
IF(NOT(AJG3=""),AJG3,""),IF(NOT(AJG3=""),AIX3,""),IF(AND(NOT(AJG3=""),OR(NOT(AJQ3=""),NOT(AKA3=""))),", ",""),
IF(NOT(AJQ3=""),AJL3,""),IF(NOT(AJQ3=""),AJQ3,""),IF(AND(NOT(AJQ3=""),OR(NOT(AKK3=""),NOT(AKA3=""))),", ",""),
IF(NOT(AKA3=""),AJV3,""),IF(NOT(AKA3=""),AKA3,""),IF(AND(NOT(AKA3=""),NOT(AKK3="")),", ",""),
IF(NOT(AKK3=""),AKF3,""),IF(NOT(AKK3=""),AKK3,""),IF(NOT(AKU3=""),", ",""),
IF(NOT(AKU3=""),AKP3,""),IF(NOT(AKU3=""),AKU3,""),IF(NOT(ALE3=""),", ",""),
IF(NOT(ALE3=""),AKZ3,""),IF(NOT(ALE3=""),ALE3,""),IF(NOT(ALO3=""),", ",""),
IF(NOT(ALO3=""),ALJ3,""),IF(NOT(ALO3=""),ALO3,""))</f>
        <v>344092, г. Ростов-на-Дону, ул. Верная, д. 17/88</v>
      </c>
      <c r="ALQ3" t="s">
        <v>9520</v>
      </c>
      <c r="ALR3" s="854">
        <f>MIN(IFERROR(SEARCH(ALQ$3,$A$3)+LEN(ALQ3),99999),
IFERROR(SEARCH(ALQ$4,$A$3)+LEN(ALQ4),99999),
IFERROR(SEARCH(ALQ$5,$A$3)+LEN(ALQ5),99999),
IFERROR(SEARCH(ALQ$6,$A$3)+LEN(ALQ6),99999),
IFERROR(SEARCH(ALQ$7,$A$3)+LEN(ALQ7),99999),
IFERROR(SEARCH(ALQ$8,$A$3)+LEN(ALQ8),99999),
IFERROR(SEARCH(ALQ$9,$A$3)+LEN(ALQ9),99999),
IFERROR(SEARCH(ALQ$10,$A$3)+LEN(ALQ10),99999),
IFERROR(SEARCH(ALQ$11,$A$3)+LEN(ALQ11),99999),
IFERROR(SEARCH(ALQ$12,$A$3)+LEN(ALQ12),99999),
IFERROR(SEARCH(ALQ$13,$A$3)+LEN(ALQ13),99999),
IFERROR(SEARCH(ALQ$14,$A$3)+LEN(ALQ14),99999)
)</f>
        <v>527</v>
      </c>
      <c r="ALS3" t="s">
        <v>9521</v>
      </c>
      <c r="ALT3" s="854">
        <f>MIN(IFERROR(SEARCH(ALS$3,$A$3,ALR3+7),99999),
IFERROR(SEARCH(ALS$4,$A$3,ALR3+7),99999),
IFERROR(SEARCH(ALS$5,$A$3,ALR3+7),99999),
IFERROR(SEARCH(ALS$6,$A$3,ALR3+7),99999),
IFERROR(SEARCH(ALS$7,$A$3,ALR3+7),99999),
IFERROR(SEARCH(ALS$8,$A$3,ALR3+7),99999),
IFERROR(SEARCH(ALS$9,$A$3,ALR3+7),99999),
IFERROR(SEARCH(ALS$10,$A$3,ALR3+7),99999),
IFERROR(SEARCH(ALS$11,$A$3,ALR3+7),99999),
IFERROR(SEARCH(ALS$12,$A$3,ALR3+7),99999),
IFERROR(SEARCH(ALS$13,$A$3,ALR3+7),99999),
IFERROR(SEARCH(ALS$14,$A$3,ALR3+7),99999)
)</f>
        <v>570</v>
      </c>
      <c r="ALU3" s="1187">
        <f>ALT3-ALR3</f>
        <v>43</v>
      </c>
      <c r="ALV3" t="str">
        <f>MID($A$3,ALR3,ALU3)</f>
        <v>344092 г Ростов-на-Дону, ул Верная, д 17/88</v>
      </c>
      <c r="ALW3" t="s">
        <v>9527</v>
      </c>
      <c r="ALX3" t="s">
        <v>9539</v>
      </c>
      <c r="ALY3" s="1187">
        <f>SEARCH(ALW3,$AHY$3)</f>
        <v>7</v>
      </c>
      <c r="ALZ3" s="1187" t="str">
        <f>IF(NOT(ISERROR(ALY3)),ALW3,
IF(NOT(ISERROR(ALY4)),ALW4,
IF(NOT(ISERROR(ALY5)),ALW5,
IF(NOT(ISERROR(ALY6)),ALW6,
IF(NOT(ISERROR(ALY7)),ALW7,
IF(NOT(ISERROR(ALY8)),ALW8,
IF(NOT(ISERROR(ALY9)),ALW9,
IF(NOT(ISERROR(ALY10)),ALW10,
IF(NOT(ISERROR(ALY11)),ALW11,
IF(NOT(ISERROR(ALY12)),ALW12,
IF(NOT(ISERROR(ALY13)),ALW13,
IF(NOT(ISERROR(ALY14)),ALW14,
"НЕТ"))))))))))))</f>
        <v xml:space="preserve"> г </v>
      </c>
      <c r="AMA3" s="1187" t="str">
        <f>IFERROR(INDEX(ALX:ALX,MATCH(ALZ3,ALW:ALW,0),1),"")</f>
        <v xml:space="preserve">г. </v>
      </c>
      <c r="AMB3" s="854">
        <f>MIN(IFERROR(SEARCH(ALW$3,$AHY$3)+LEN(ALW3),99999),
IFERROR(SEARCH(ALW$4,$AHY$3)+LEN(ALW4),99999),
IFERROR(SEARCH(ALW$5,$AHY$3)+LEN(ALW5),99999),
IFERROR(SEARCH(ALW$6,$AHY$3)+LEN(ALW6),99999),
IFERROR(SEARCH(ALW$7,$AHY$3)+LEN(ALW7),99999),
IFERROR(SEARCH(ALW$8,$AHY$3)+LEN(ALW8),99999),
IFERROR(SEARCH(ALW$9,$AHY$3)+LEN(ALW9),99999),
IFERROR(SEARCH(ALW$10,$AHY$3)+LEN(ALW10),99999),
IFERROR(SEARCH(ALW$11,$AHY$3)+LEN(ALW11),99999),
IFERROR(SEARCH(ALW$12,$AHY$3)+LEN(ALW12),99999),
IFERROR(SEARCH(ALW$13,$AHY$3)+LEN(ALW13),99999),
IFERROR(SEARCH(ALW$14,$AHY$3)+LEN(ALW14),99999)
)</f>
        <v>10</v>
      </c>
      <c r="AMC3" t="s">
        <v>8236</v>
      </c>
      <c r="AMD3" s="854">
        <f>MIN(IFERROR(SEARCH(AMC$3,$AHY$3,AMB3),99999),
IFERROR(SEARCH(AMC$4,$AHY$3,AMB3),99999),
IFERROR(SEARCH(AMC$5,$AHY$3,AMB3),99999),
IFERROR(SEARCH(AMC$6,$AHY$3,AMB3),99999),
IFERROR(SEARCH(AMC$7,$AHY$3,AMB3),99999),
IFERROR(SEARCH(AMC$8,$AHY$3,AMB3),99999),
IFERROR(SEARCH(AMC$9,$AHY$3,AMB3),99999),
IFERROR(SEARCH(AMC$10,$AHY$3,AMB3),99999),
IFERROR(SEARCH(AMC$11,$AHY$3,AMB3),99999),
IFERROR(SEARCH(AMC$12,$AHY$3,AMB3),99999),
IFERROR(SEARCH(AMC$13,$AHY$3,AMB3),99999),
IFERROR(SEARCH(AMC$14,$AHY$3,AMB3),99999)
)</f>
        <v>24</v>
      </c>
      <c r="AME3" s="854">
        <f>AMD3-AMB3</f>
        <v>14</v>
      </c>
      <c r="AMF3" t="str">
        <f>IF(ISNUMBER(VALUE(MID(ALV3,1,6))),MID(ALV3,1,6),"")</f>
        <v>344092</v>
      </c>
      <c r="AMG3" t="str">
        <f t="shared" ref="AMG3:AMG14" si="11">AIJ3</f>
        <v>Респ Крым</v>
      </c>
      <c r="AMH3" t="str">
        <f t="shared" ref="AMH3:AMH14" si="12">AIK3</f>
        <v>Республика Крым</v>
      </c>
      <c r="AMI3" s="1187" t="e">
        <f>SEARCH(AMG3,ALV$3)</f>
        <v>#VALUE!</v>
      </c>
      <c r="AMJ3" s="1235" t="str">
        <f>IF(NOT(ISERROR(AMI3)),AMG3,
IF(NOT(ISERROR(AMI4)),AMG4,
IF(NOT(ISERROR(AMI5)),AMG5,
IF(NOT(ISERROR(AMI6)),AMG6,
IF(NOT(ISERROR(AMI7)),AMG7,
IF(NOT(ISERROR(AMI8)),AMG8,
IF(NOT(ISERROR(AMI9)),AMG9,
IF(NOT(ISERROR(AMI10)),AMG10,
IF(NOT(ISERROR(AMI11)),AMG11,
IF(NOT(ISERROR(AMI12)),AMG12,
IF(NOT(ISERROR(AMI13)),AMG13,
IF(NOT(ISERROR(AMI14)),AMG14,
IF(NOT(ISERROR(AMI15)),AMG15,
IF(NOT(ISERROR(AMI16)),AMG16,
IF(NOT(ISERROR(AMI17)),AMG17,
IF(NOT(ISERROR(AMI18)),AMG18,
IF(NOT(ISERROR(AMI19)),AMG19,
IF(NOT(ISERROR(AMI20)),AMG20,
IF(NOT(ISERROR(AMI21)),AMG21,
IF(NOT(ISERROR(AMI22)),AMG22,
IF(NOT(ISERROR(AMI23)),AMG23,
IF(NOT(ISERROR(AMI24)),AMG24,
IF(NOT(ISERROR(AMI25)),AMG25,
IF(NOT(ISERROR(AMI26)),AMG26,
IF(NOT(ISERROR(AMI27)),AMG27,
IF(NOT(ISERROR(AMI28)),AMG28,
IF(NOT(ISERROR(AMI29)),AMG29,
IF(NOT(ISERROR(AMI30)),AMG30,
IF(NOT(ISERROR(AMI31)),AMG31,
"НЕТ")))))))))))))))))))))))))))))</f>
        <v>НЕТ</v>
      </c>
      <c r="AMK3" s="1187" t="str">
        <f>IFERROR(INDEX(AMH:AMH,MATCH(AMJ3,AMG:AMG,0),1),"")</f>
        <v/>
      </c>
      <c r="AML3" s="854">
        <f>MIN(IFERROR(SEARCH(AMG$3,ALV3)+LEN(AMG3),99999),
IFERROR(SEARCH(AMG$4,ALV3)+LEN(AMG4),99999),
IFERROR(SEARCH(AMG$5,ALV3)+LEN(AMG5),99999),
IFERROR(SEARCH(AMG$6,ALV3)+LEN(AMG6),99999),
IFERROR(SEARCH(AMG$7,ALV3)+LEN(AMG7),99999),
IFERROR(SEARCH(AMG$8,ALV3)+LEN(AMG8),99999),
IFERROR(SEARCH(AMG$9,ALV3)+LEN(AMG9),99999),
IFERROR(SEARCH(AMG$10,ALV3)+LEN(AMG10),99999),
IFERROR(SEARCH(AMG$11,ALV3)+LEN(AMG11),99999),
IFERROR(SEARCH(AMG$12,ALV3)+LEN(AMG12),99999),
IFERROR(SEARCH(AMG$13,ALV3)+LEN(AMG13),99999),
IFERROR(SEARCH(AMG$14,ALV3)+LEN(AMG14),99999)
)</f>
        <v>99999</v>
      </c>
      <c r="AMM3" t="s">
        <v>8236</v>
      </c>
      <c r="AMN3" s="854">
        <f>MIN(IFERROR(SEARCH(AMM$3,ALV3,AML3),99999),
IFERROR(SEARCH(AMM$4,ALV3,AML3),99999),
IFERROR(SEARCH(AMM$5,ALV3,AML3),99999),
IFERROR(SEARCH(AMM$6,ALV3,AML3),99999),
IFERROR(SEARCH(AMM$7,ALV3,AML3),99999),
IFERROR(SEARCH(AMM$8,ALV3,AML3),99999),
IFERROR(SEARCH(AMM$9,ALV3,AML3),99999),
IFERROR(SEARCH(AMM$10,ALV3,AML3),99999),
IFERROR(SEARCH(AMM$11,ALV3,AML3),99999),
IFERROR(SEARCH(AMM$12,ALV3,AML3),99999),
IFERROR(SEARCH(AMM$13,ALV3,AML3),99999),
IFERROR(SEARCH(AMM$14,ALV3,AML3),99999)
)</f>
        <v>99999</v>
      </c>
      <c r="AMO3" s="854">
        <f>AMN3-AML3</f>
        <v>0</v>
      </c>
      <c r="AMP3" t="str">
        <f>AMK3</f>
        <v/>
      </c>
      <c r="AMQ3" t="str">
        <f t="shared" ref="AMQ3:AMQ14" si="13">AIT3</f>
        <v xml:space="preserve"> р-н </v>
      </c>
      <c r="AMR3" t="str">
        <f t="shared" ref="AMR3:AMR14" si="14">AIU3</f>
        <v xml:space="preserve"> р-н</v>
      </c>
      <c r="AMS3" s="1187" t="e">
        <f>SEARCH(AMQ3,ALV$3)</f>
        <v>#VALUE!</v>
      </c>
      <c r="AMT3" s="1187" t="str">
        <f>IF(NOT(ISERROR(AMS3)),AMQ3,
IF(NOT(ISERROR(AMS4)),AMQ4,
IF(NOT(ISERROR(AMS5)),AMQ5,
IF(NOT(ISERROR(AMS6)),AMQ6,
IF(NOT(ISERROR(AMS7)),AMQ7,
IF(NOT(ISERROR(AMS8)),AMQ8,
IF(NOT(ISERROR(AMS9)),AMQ9,
IF(NOT(ISERROR(AMS10)),AMQ10,
IF(NOT(ISERROR(AMS11)),AMQ11,
IF(NOT(ISERROR(AMS12)),AMQ12,
IF(NOT(ISERROR(AMS13)),AMQ13,
IF(NOT(ISERROR(AMS14)),AMQ14,
"НЕТ"))))))))))))</f>
        <v>НЕТ</v>
      </c>
      <c r="AMU3" s="1187" t="str">
        <f>IFERROR(INDEX(AMR:AMR,MATCH(AMT3,AMQ:AMQ,0),1),"")</f>
        <v/>
      </c>
      <c r="AMV3" s="854">
        <f>MIN(IFERROR(SEARCH(AMQ$3,ALV3)+LEN(AMQ3),99999),
IFERROR(SEARCH(AMQ$4,ALV3)+LEN(AMQ4),99999),
IFERROR(SEARCH(AMQ$5,ALV3)+LEN(AMQ5),99999),
IFERROR(SEARCH(AMQ$6,ALV3)+LEN(AMQ6),99999),
IFERROR(SEARCH(AMQ$7,ALV3)+LEN(AMQ7),99999),
IFERROR(SEARCH(AMQ$8,ALV3)+LEN(AMQ8),99999),
IFERROR(SEARCH(AMQ$9,ALV3)+LEN(AMQ9),99999),
IFERROR(SEARCH(AMQ$10,ALV3)+LEN(AMQ10),99999),
IFERROR(SEARCH(AMQ$11,ALV3)+LEN(AMQ11),99999),
IFERROR(SEARCH(AMQ$12,ALV3)+LEN(AMQ12),99999),
IFERROR(SEARCH(AMQ$13,ALV3)+LEN(AMQ13),99999),
IFERROR(SEARCH(AMQ$14,ALV3)+LEN(AMQ14),99999)
)</f>
        <v>99999</v>
      </c>
      <c r="AMW3" s="854" t="s">
        <v>149</v>
      </c>
      <c r="AMX3" s="334" t="str">
        <f>IF(AMT3="НЕТ","9999",IFERROR(LEN(MID(ALV3,1,AMV3-LEN(AMT3)-1))-LEN(IF(ISERROR(FIND(" ",MID(ALV3,1,AMV3-LEN(AMT3)-1))),MID(ALV3,1,AMV3-LEN(AMT3)-1),RIGHT(MID(ALV3,1,AMV3-LEN(AMT3)-1),LEN(MID(ALV3,1,AMV3-LEN(AMT3)-1))-FIND("~",SUBSTITUTE(MID(ALV3,1,AMV3-LEN(AMT3)-1),AMW3,"~",LEN(MID(ALV3,1,AMV3-LEN(AMT3)-1))-LEN(SUBSTITUTE(MID(ALV3,1,AMV3-LEN(AMT3)-1),AMW3,"")))))))+1,1))</f>
        <v>9999</v>
      </c>
      <c r="AMY3" t="s">
        <v>8236</v>
      </c>
      <c r="AMZ3" s="854">
        <f>MIN(IFERROR(SEARCH(AMY$3,ALV3,AMV3),99999),
IFERROR(SEARCH(AMY$4,ALV3,AMV3),99999),
IFERROR(SEARCH(AMY$5,ALV3,AMV3),99999),
IFERROR(SEARCH(AMY$6,ALV3,AMV3),99999),
IFERROR(SEARCH(AMY$7,ALV3,AMV3),99999),
IFERROR(SEARCH(AMY$8,ALV3,AMV3),99999),
IFERROR(SEARCH(AMY$9,ALV3,AMV3),99999),
IFERROR(SEARCH(AMY$10,ALV3,AMV3),99999),
IFERROR(SEARCH(AMY$11,ALV3,AMV3),99999),
IFERROR(SEARCH(AMY$12,ALV3,AMV3),99999),
IFERROR(SEARCH(AMY$13,ALV3,AMV3),99999),
IFERROR(SEARCH(AMY$14,ALV3,AMV3),99999)
)</f>
        <v>99999</v>
      </c>
      <c r="ANA3" s="854">
        <f>AMZ3-AMV3</f>
        <v>0</v>
      </c>
      <c r="ANB3" s="854">
        <f>MIN(IFERROR(SEARCH(AMY$3,ALV3,AMX3),99999),
IFERROR(SEARCH(AMY$4,ALV3,AMX3),99999),
IFERROR(SEARCH(AMY$5,ALV3,AMX3),99999),
IFERROR(SEARCH(AMY$6,ALV3,AMX3),99999),
IFERROR(SEARCH(AMY$7,ALV3,AMX3),99999),
IFERROR(SEARCH(AMY$8,ALV3,AMX3),99999),
IFERROR(SEARCH(AMY$9,ALV3,AMX3),99999),
IFERROR(SEARCH(AMY$10,ALV3,AMX3),99999),
IFERROR(SEARCH(AMY$11,ALV3,AMX3),99999),
IFERROR(SEARCH(AMY$12,ALV3,AMX3),99999),
IFERROR(SEARCH(AMY$13,ALV3,AMX3),99999),
IFERROR(SEARCH(AMY$14,ALV3,AMX3),99999)
)</f>
        <v>99999</v>
      </c>
      <c r="ANC3" s="854">
        <f>ANB3-AMX3</f>
        <v>90000</v>
      </c>
      <c r="AND3" s="1187" t="str">
        <f>IF(MID(ALV3,AMV3,ANA3)="",
MID(ALV3,AMX3,ANC3),
MID(ALV3,AMV3,ANA3))</f>
        <v/>
      </c>
      <c r="ANE3" t="str">
        <f t="shared" ref="ANE3:ANE14" si="15">AJH3</f>
        <v xml:space="preserve"> г </v>
      </c>
      <c r="ANF3" t="str">
        <f t="shared" ref="ANF3:ANF14" si="16">AJI3</f>
        <v xml:space="preserve">г. </v>
      </c>
      <c r="ANG3" s="1187">
        <f>SEARCH(ANE3,ALV$3)</f>
        <v>7</v>
      </c>
      <c r="ANH3" s="1187" t="str">
        <f>IF(NOT(ISERROR(ANG3)),ANE3,
IF(NOT(ISERROR(ANG4)),ANE4,
IF(NOT(ISERROR(ANG5)),ANE5,
IF(NOT(ISERROR(ANG6)),ANE6,
IF(NOT(ISERROR(ANG7)),ANE7,
IF(NOT(ISERROR(ANG8)),ANE8,
IF(NOT(ISERROR(ANG9)),ANE9,
IF(NOT(ISERROR(ANG10)),ANE10,
IF(NOT(ISERROR(ANG11)),ANE11,
IF(NOT(ISERROR(ANG12)),ANE12,
IF(NOT(ISERROR(ANG13)),ANE13,
IF(NOT(ISERROR(ANG14)),ANE14,
"НЕТ"))))))))))))</f>
        <v xml:space="preserve"> г </v>
      </c>
      <c r="ANI3" s="1187" t="str">
        <f>IFERROR(INDEX(ANF:ANF,MATCH(ANH3,ANE:ANE,0),1),"")</f>
        <v xml:space="preserve">г. </v>
      </c>
      <c r="ANJ3" s="854">
        <f>MIN(IFERROR(SEARCH(ANE$3,ALV3)+LEN(ANE3),99999),
IFERROR(SEARCH(ANE$4,ALV3)+LEN(ANE4),99999),
IFERROR(SEARCH(ANE$5,ALV3)+LEN(ANE5),99999),
IFERROR(SEARCH(ANE$6,ALV3)+LEN(ANE6),99999),
IFERROR(SEARCH(ANE$7,ALV3)+LEN(ANE7),99999),
IFERROR(SEARCH(ANE$8,ALV3)+LEN(ANE8),99999),
IFERROR(SEARCH(ANE$9,ALV3)+LEN(ANE9),99999),
IFERROR(SEARCH(ANE$10,ALV3)+LEN(ANE10),99999),
IFERROR(SEARCH(ANE$11,ALV3)+LEN(ANE11),99999),
IFERROR(SEARCH(ANE$12,ALV3)+LEN(ANE12),99999),
IFERROR(SEARCH(ANE$13,ALV3)+LEN(ANE13),99999),
IFERROR(SEARCH(ANE$14,ALV3)+LEN(ANE14),99999)
)</f>
        <v>10</v>
      </c>
      <c r="ANK3" t="str">
        <f t="shared" ref="ANK3:ANK14" si="17">AJN3</f>
        <v>, ул</v>
      </c>
      <c r="ANL3" s="854">
        <f>MIN(IFERROR(SEARCH(ANK$3,ALV3,ANJ3),99999),
IFERROR(SEARCH(ANK$4,ALV3,ANJ3),99999),
IFERROR(SEARCH(ANK$5,ALV3,ANJ3),99999),
IFERROR(SEARCH(ANK$6,ALV3,ANJ3),99999),
IFERROR(SEARCH(ANK$7,ALV3,ANJ3),99999),
IFERROR(SEARCH(ANK$8,ALV3,ANJ3),99999),
IFERROR(SEARCH(ANK$9,ALV3,ANJ3),99999),
IFERROR(SEARCH(ANK$10,ALV3,ANJ3),99999),
IFERROR(SEARCH(ANK$11,ALV3,ANJ3),99999),
IFERROR(SEARCH(ANK$12,ALV3,ANJ3),99999),
IFERROR(SEARCH(ANK$13,ALV3,ANJ3),99999),
IFERROR(SEARCH(ANK$14,ALV3,ANJ3),99999)
)</f>
        <v>24</v>
      </c>
      <c r="ANM3" s="854">
        <f>ANL3-ANJ3</f>
        <v>14</v>
      </c>
      <c r="ANN3" s="1187" t="str">
        <f>MID(ALV3,ANJ3,ANM3)</f>
        <v>Ростов-на-Дону</v>
      </c>
      <c r="ANO3" t="str">
        <f>AJR3</f>
        <v xml:space="preserve">поселок </v>
      </c>
      <c r="ANP3" t="str">
        <f>AJS3</f>
        <v xml:space="preserve">пос. </v>
      </c>
      <c r="ANQ3" s="1245" t="e">
        <f>SEARCH(ANO3,ALV$3)</f>
        <v>#VALUE!</v>
      </c>
      <c r="ANR3" s="1245" t="str">
        <f>IF(NOT(ISERROR(ANQ3)),ANO3,
IF(NOT(ISERROR(ANQ4)),ANO4,
IF(NOT(ISERROR(ANQ5)),ANO5,
IF(NOT(ISERROR(ANQ6)),ANO6,
IF(NOT(ISERROR(ANQ7)),ANO7,
IF(NOT(ISERROR(ANQ8)),ANO8,
IF(NOT(ISERROR(ANQ9)),ANO9,
IF(NOT(ISERROR(ANQ10)),ANO10,
IF(NOT(ISERROR(ANQ11)),ANO11,
IF(NOT(ISERROR(ANQ12)),ANO12,
IF(NOT(ISERROR(ANQ13)),ANO13,
IF(NOT(ISERROR(ANQ14)),ANO14,
"НЕТ"))))))))))))</f>
        <v>НЕТ</v>
      </c>
      <c r="ANS3" s="1245" t="str">
        <f>IFERROR(INDEX(ANP:ANP,MATCH(ANR3,ANO:ANO,0),1),"")</f>
        <v/>
      </c>
      <c r="ANT3" s="854">
        <f>MIN(IFERROR(SEARCH(ANO$3,ALV$3)+LEN(ANO3),99999),
IFERROR(SEARCH(ANO$4,ALV$3)+LEN(ANO4),99999),
IFERROR(SEARCH(ANO$5,ALV$3)+LEN(ANO5),99999),
IFERROR(SEARCH(ANO$6,ALV$3)+LEN(ANO6),99999),
IFERROR(SEARCH(ANO$7,ALV$3)+LEN(ANO7),99999),
IFERROR(SEARCH(ANO$8,ALV$3)+LEN(ANO8),99999),
IFERROR(SEARCH(ANO$9,ALV$3)+LEN(ANO9),99999),
IFERROR(SEARCH(ANO$10,ALV$3)+LEN(ANO10),99999),
IFERROR(SEARCH(ANO$11,ALV$3)+LEN(ANO11),99999),
IFERROR(SEARCH(ANO$12,ALV$3)+LEN(ANO12),99999),
IFERROR(SEARCH(ANO$13,ALV$3)+LEN(ANO13),99999),
IFERROR(SEARCH(ANO$14,ALV$3)+LEN(ANO14),99999)
)</f>
        <v>99999</v>
      </c>
      <c r="ANU3" t="str">
        <f>AJX3</f>
        <v>, д</v>
      </c>
      <c r="ANV3" s="854">
        <f>MIN(IFERROR(SEARCH(ANU$3,ALV3,ANT3),99999),
IFERROR(SEARCH(ANU$4,ALV3,ANT3),99999),
IFERROR(SEARCH(ANU$5,ALV3,ANT3),99999),
IFERROR(SEARCH(ANU$6,ALV3,ANT3),99999),
IFERROR(SEARCH(ANU$7,ALV3,ANT3),99999),
IFERROR(SEARCH(ANU$8,ALV3,ANT3),99999),
IFERROR(SEARCH(ANU$9,ALV3,ANT3),99999),
IFERROR(SEARCH(ANU$10,ALV3,ANT3),99999),
IFERROR(SEARCH(ANU$11,ALV3,ANT3),99999),
IFERROR(SEARCH(ANU$12,ALV3,ANT3),99999),
IFERROR(SEARCH(ANU$13,ALV3,ANT3),99999),
IFERROR(SEARCH(ANU$14,ALV3,ANT3),99999)
)</f>
        <v>99999</v>
      </c>
      <c r="ANW3" s="854">
        <f>ANV3-ANT3</f>
        <v>0</v>
      </c>
      <c r="ANX3" s="1245" t="str">
        <f>MID(ALV3,ANT3,ANW3)</f>
        <v/>
      </c>
      <c r="ANY3" t="str">
        <f>AKB3</f>
        <v xml:space="preserve"> ул </v>
      </c>
      <c r="ANZ3" t="str">
        <f>AKC3</f>
        <v xml:space="preserve">ул. </v>
      </c>
      <c r="AOA3" s="1187">
        <f>SEARCH(ANY3,ALV$3)</f>
        <v>25</v>
      </c>
      <c r="AOB3" s="1187" t="str">
        <f>IF(NOT(ISERROR(AOA3)),ANY3,
IF(NOT(ISERROR(AOA4)),ANY4,
IF(NOT(ISERROR(AOA5)),ANY5,
IF(NOT(ISERROR(AOA6)),ANY6,
IF(NOT(ISERROR(AOA7)),ANY7,
IF(NOT(ISERROR(AOA8)),ANY8,
IF(NOT(ISERROR(AOA9)),ANY9,
IF(NOT(ISERROR(AOA10)),ANY10,
IF(NOT(ISERROR(AOA11)),ANY11,
IF(NOT(ISERROR(AOA12)),ANY12,
IF(NOT(ISERROR(AOA13)),ANY13,
IF(NOT(ISERROR(AOA14)),ANY14,
IF(NOT(ISERROR(AOA15)),ANY15,
"НЕТ")))))))))))))</f>
        <v xml:space="preserve"> ул </v>
      </c>
      <c r="AOC3" s="1187" t="str">
        <f>IFERROR(INDEX(ANZ:ANZ,MATCH(AOB3,ANY:ANY,0),1),"")</f>
        <v xml:space="preserve">ул. </v>
      </c>
      <c r="AOD3" s="854">
        <f>MIN(IFERROR(SEARCH(ANY$3,ALV3)+LEN(ANY3),99999),
IFERROR(SEARCH(ANY$4,ALV3)+LEN(ANY4),99999),
IFERROR(SEARCH(ANY$5,ALV3)+LEN(ANY5),99999),
IFERROR(SEARCH(ANY$6,ALV3)+LEN(ANY6),99999),
IFERROR(SEARCH(ANY$7,ALV3)+LEN(ANY7),99999),
IFERROR(SEARCH(ANY$8,ALV3)+LEN(ANY8),99999),
IFERROR(SEARCH(ANY$9,ALV3)+LEN(ANY9),99999),
IFERROR(SEARCH(ANY$10,ALV3)+LEN(ANY10),99999),
IFERROR(SEARCH(ANY$11,ALV3)+LEN(ANY11),99999),
IFERROR(SEARCH(ANY$12,ALV3)+LEN(ANY12),99999),
IFERROR(SEARCH(ANY$13,ALV3)+LEN(ANY13),99999),
IFERROR(SEARCH(ANY$14,ALV3)+LEN(ANY14),99999),
IFERROR(SEARCH(ANY$15,ALV3)+LEN(ANY15),99999)
)</f>
        <v>29</v>
      </c>
      <c r="AOE3" t="str">
        <f>AKH3</f>
        <v>, д</v>
      </c>
      <c r="AOF3" s="854">
        <f>MIN(IFERROR(SEARCH(AOE$3,ALV3,AOD3),99999),
IFERROR(SEARCH(AOE$4,ALV3,AOD3),99999),
IFERROR(SEARCH(AOE$5,ALV3,AOD3),99999),
IFERROR(SEARCH(AOE$6,ALV3,AOD3),99999),
IFERROR(SEARCH(AOE$7,ALV3,AOD3),99999),
IFERROR(SEARCH(AOE$8,ALV3,AOD3),99999),
IFERROR(SEARCH(AOE$9,ALV3,AOD3),99999),
IFERROR(SEARCH(AOE$10,ALV3,AOD3),99999),
IFERROR(SEARCH(AOE$11,ALV3,AOD3),99999),
IFERROR(SEARCH(AOE$12,ALV3,AOD3),99999),
IFERROR(SEARCH(AOE$13,ALV3,AOD3),99999),
IFERROR(SEARCH(AOE$14,ALV3,AOD3),99999)
)</f>
        <v>35</v>
      </c>
      <c r="AOG3" s="854">
        <f>AOF3-AOD3</f>
        <v>6</v>
      </c>
      <c r="AOH3" s="1187" t="str">
        <f>MID(ALV3,AOD3,AOG3)</f>
        <v>Верная</v>
      </c>
      <c r="AOI3" t="str">
        <f>AKL3</f>
        <v xml:space="preserve"> д </v>
      </c>
      <c r="AOJ3" t="str">
        <f>AKM3</f>
        <v xml:space="preserve">д. </v>
      </c>
      <c r="AOK3" s="1187" t="e">
        <f>SEARCH(AOI3,ALV$3,AOF$3+2)</f>
        <v>#VALUE!</v>
      </c>
      <c r="AOL3" s="1187" t="str">
        <f>IF(NOT(ISERROR(AOK3)),AOI3,
IF(NOT(ISERROR(AOK4)),AOI4,
IF(NOT(ISERROR(AOK5)),AOI5,
IF(NOT(ISERROR(AOK6)),AOI6,
IF(NOT(ISERROR(AOK7)),AOI7,
IF(NOT(ISERROR(AOK8)),AOI8,
IF(NOT(ISERROR(AOK9)),AOI9,
IF(NOT(ISERROR(AOK10)),AOI10,
IF(NOT(ISERROR(AOK11)),AOI11,
IF(NOT(ISERROR(AOK12)),AOI12,
IF(NOT(ISERROR(AOK13)),AOI13,
IF(NOT(ISERROR(AOK14)),AOI14,
"НЕТ"))))))))))))</f>
        <v xml:space="preserve"> </v>
      </c>
      <c r="AOM3" s="1187" t="str">
        <f>IFERROR(INDEX(AOJ:AOJ,MATCH(AOL3,AOI:AOI,0),1),"")</f>
        <v xml:space="preserve">д. </v>
      </c>
      <c r="AON3" s="854">
        <f>MIN(IFERROR(SEARCH(AOI$3,ALV3,AOF$3+2)+LEN(AOI3),99999),
IFERROR(SEARCH(AOI$4,ALV3,AOF$3+2)+LEN(AOI4),99999),
IFERROR(SEARCH(AOI$5,ALV3,AOF$3+2)+LEN(AOI5),99999),
IFERROR(SEARCH(AOI$6,ALV3,AOF$3+2)+LEN(AOI6),99999),
IFERROR(SEARCH(AOI$7,ALV3,AOF$3+2)+LEN(AOI7),99999),
IFERROR(SEARCH(AOI$8,ALV3,AOF$3+2)+LEN(AOI8),99999),
IFERROR(SEARCH(AOI$9,ALV3,AOF$3+2)+LEN(AOI9),99999),
IFERROR(SEARCH(AOI$10,ALV3,AOF$3+2)+LEN(AOI10),99999),
IFERROR(SEARCH(AOI$11,ALV3,AOF$3+2)+LEN(AOI11),99999),
IFERROR(SEARCH(AOI$12,ALV3,AOF$3+2)+LEN(AOI12),99999),
IFERROR(SEARCH(AOI$13,ALV3,AOF$3+2)+LEN(AOI13),99999),
IFERROR(SEARCH(AOI$14,ALV3,AOF$3+2)+LEN(AOI14),99999)
)</f>
        <v>39</v>
      </c>
      <c r="AOO3" t="s">
        <v>8236</v>
      </c>
      <c r="AOP3" s="854">
        <f>MIN(IFERROR(SEARCH(AOO$3,ALV3,AON3),99999),
IFERROR(SEARCH(AOO$4,ALV3,AON3),99999),
IFERROR(SEARCH(AOO$5,ALV3,AON3),99999),
IFERROR(SEARCH(AOO$6,ALV3,AON3),99999),
IFERROR(SEARCH(AOO$7,ALV3,AON3),99999),
IFERROR(SEARCH(AOO$8,ALV3,AON3),99999),
IFERROR(SEARCH(AOO$9,ALV3,AON3),99999),
IFERROR(SEARCH(AOO$10,ALV3,AON3),99999),
IFERROR(SEARCH(AOO$11,ALV3,AON3),99999),
IFERROR(SEARCH(AOO$12,ALV3,AON3),99999),
IFERROR(SEARCH(AOO$13,ALV3,AON3),99999),
IFERROR(SEARCH(AOO$14,ALV3,AON3),99999)
)</f>
        <v>99999</v>
      </c>
      <c r="AOQ3" s="854">
        <f>AOP3-AON3</f>
        <v>99960</v>
      </c>
      <c r="AOR3" s="1187" t="str">
        <f>MID(ALV3,AON3,AOQ3)</f>
        <v>17/88</v>
      </c>
      <c r="AOS3" t="str">
        <f>AKV3</f>
        <v xml:space="preserve"> к </v>
      </c>
      <c r="AOT3" t="str">
        <f>AKW3</f>
        <v xml:space="preserve">к. </v>
      </c>
      <c r="AOU3" s="1187" t="e">
        <f>SEARCH(AOS3,ALV$3)</f>
        <v>#VALUE!</v>
      </c>
      <c r="AOV3" s="1187" t="str">
        <f>IF(NOT(ISERROR(AOU3)),AOS3,
IF(NOT(ISERROR(AOU4)),AOS4,
IF(NOT(ISERROR(AOU5)),AOS5,
IF(NOT(ISERROR(AOU6)),AOS6,
IF(NOT(ISERROR(AOU7)),AOS7,
IF(NOT(ISERROR(AOU8)),AOS8,
IF(NOT(ISERROR(AOU9)),AOS9,
IF(NOT(ISERROR(AOU10)),AOS10,
IF(NOT(ISERROR(AOU11)),AOS11,
IF(NOT(ISERROR(AOU12)),AOS12,
IF(NOT(ISERROR(AOU13)),AOS13,
IF(NOT(ISERROR(AOU14)),AOS14,
"НЕТ"))))))))))))</f>
        <v>НЕТ</v>
      </c>
      <c r="AOW3" s="1187" t="str">
        <f>IFERROR(INDEX(AOT:AOT,MATCH(AOV3,AOS:AOS,0),1),"")</f>
        <v/>
      </c>
      <c r="AOX3" s="854">
        <f>MIN(IFERROR(SEARCH(AOS$3,ALV3)+LEN(AOS3),99999),
IFERROR(SEARCH(AOS$4,ALV3)+LEN(AOS4),99999),
IFERROR(SEARCH(AOS$5,ALV3)+LEN(AOS5),99999),
IFERROR(SEARCH(AOS$6,ALV3)+LEN(AOS6),99999),
IFERROR(SEARCH(AOS$7,ALV3)+LEN(AOS7),99999),
IFERROR(SEARCH(AOS$8,ALV3)+LEN(AOS8),99999),
IFERROR(SEARCH(AOS$9,ALV3)+LEN(AOS9),99999),
IFERROR(SEARCH(AOS$10,ALV3)+LEN(AOS10),99999),
IFERROR(SEARCH(AOS$11,ALV3)+LEN(AOS11),99999),
IFERROR(SEARCH(AOS$12,ALV3)+LEN(AOS12),99999),
IFERROR(SEARCH(AOS$13,ALV3)+LEN(AOS13),99999),
IFERROR(SEARCH(AOS$14,ALV3)+LEN(AOS14),99999)
)</f>
        <v>99999</v>
      </c>
      <c r="AOY3" t="str">
        <f>ALB3</f>
        <v>,</v>
      </c>
      <c r="AOZ3" s="854">
        <f>MIN(IFERROR(SEARCH(AOY$3,ALV3,AOX3),99999),
IFERROR(SEARCH(AOY$4,ALV3,AOX3),99999),
IFERROR(SEARCH(AOY$5,ALV3,AOX3),99999),
IFERROR(SEARCH(AOY$6,ALV3,AOX3),99999),
IFERROR(SEARCH(AOY$7,ALV3,AOX3),99999),
IFERROR(SEARCH(AOY$8,ALV3,AOX3),99999),
IFERROR(SEARCH(AOY$9,ALV3,AOX3),99999),
IFERROR(SEARCH(AOY$10,ALV3,AOX3),99999),
IFERROR(SEARCH(AOY$11,ALV3,AOX3),99999),
IFERROR(SEARCH(AOY$12,ALV3,AOX3),99999),
IFERROR(SEARCH(AOY$13,ALV3,AOX3),99999),
IFERROR(SEARCH(AOY$14,ALV3,AOX3),99999)
)</f>
        <v>99999</v>
      </c>
      <c r="APA3" s="854">
        <f>AOZ3-AOX3</f>
        <v>0</v>
      </c>
      <c r="APB3" s="1187" t="str">
        <f>MID(ALV3,AOX3,APA3)</f>
        <v/>
      </c>
      <c r="APC3" t="str">
        <f>ALF3</f>
        <v xml:space="preserve"> кв </v>
      </c>
      <c r="APD3" t="str">
        <f>ALG3</f>
        <v xml:space="preserve">кв. </v>
      </c>
      <c r="APE3" s="1187" t="e">
        <f>SEARCH(APC3,ALV$3)</f>
        <v>#VALUE!</v>
      </c>
      <c r="APF3" s="1187" t="str">
        <f>IF(NOT(ISERROR(APE3)),APC3,
IF(NOT(ISERROR(APE4)),APC4,
IF(NOT(ISERROR(APE5)),APC5,
IF(NOT(ISERROR(APE6)),APC6,
IF(NOT(ISERROR(APE7)),APC7,
IF(NOT(ISERROR(APE8)),APC8,
IF(NOT(ISERROR(APE9)),APC9,
IF(NOT(ISERROR(APE10)),APC10,
IF(NOT(ISERROR(APE11)),APC11,
IF(NOT(ISERROR(APE12)),APC12,
IF(NOT(ISERROR(APE13)),APC13,
IF(NOT(ISERROR(APE14)),APC14,
"НЕТ"))))))))))))</f>
        <v>НЕТ</v>
      </c>
      <c r="APG3" s="1187" t="str">
        <f>IFERROR(INDEX(APD:APD,MATCH(APF3,APC:APC,0),1),"")</f>
        <v/>
      </c>
      <c r="APH3" s="854">
        <f>MIN(IFERROR(SEARCH(APC$3,ALV3)+LEN(APC3),99999),
IFERROR(SEARCH(APC$4,ALV3)+LEN(APC4),99999),
IFERROR(SEARCH(APC$5,ALV3)+LEN(APC5),99999),
IFERROR(SEARCH(APC$6,ALV3)+LEN(APC6),99999),
IFERROR(SEARCH(APC$7,ALV3)+LEN(APC7),99999),
IFERROR(SEARCH(APC$8,ALV3)+LEN(APC8),99999),
IFERROR(SEARCH(APC$9,ALV3)+LEN(APC9),99999),
IFERROR(SEARCH(APC$10,ALV3)+LEN(APC10),99999),
IFERROR(SEARCH(APC$11,ALV3)+LEN(APC11),99999),
IFERROR(SEARCH(APC$12,ALV3)+LEN(APC12),99999),
IFERROR(SEARCH(APC$13,ALV3)+LEN(APC13),99999),
IFERROR(SEARCH(APC$14,ALV3)+LEN(APC14),99999)
)</f>
        <v>99999</v>
      </c>
      <c r="API3" t="s">
        <v>8236</v>
      </c>
      <c r="APJ3" s="854">
        <f>MIN(IFERROR(SEARCH(API$3,ALV3,APH3),99999),
IFERROR(SEARCH(API$4,ALV3,APH3),99999),
IFERROR(SEARCH(API$5,ALV3,APH3),99999),
IFERROR(SEARCH(API$6,ALV3,APH3),99999),
IFERROR(SEARCH(API$7,ALV3,APH3),99999),
IFERROR(SEARCH(API$8,ALV3,APH3),99999),
IFERROR(SEARCH(API$9,ALV3,APH3),99999),
IFERROR(SEARCH(API$10,ALV3,APH3),99999),
IFERROR(SEARCH(API$11,ALV3,APH3),99999),
IFERROR(SEARCH(API$12,ALV3,APH3),99999),
IFERROR(SEARCH(API$13,ALV3,APH3),99999),
IFERROR(SEARCH(API$14,ALV3,APH3),99999)
)</f>
        <v>99999</v>
      </c>
      <c r="APK3" s="854">
        <f>APJ3-APH3</f>
        <v>0</v>
      </c>
      <c r="APL3" s="1187" t="str">
        <f>MID(ALV3,APH3,APK3)</f>
        <v/>
      </c>
      <c r="APM3" s="1248" t="str">
        <f>CONCATENATE(IF(NOT(AMF3=""),AMF3,""),IF(AND(NOT(AMF3="")),", ",""),
IF(NOT(AMP3=""),AMP3,""),IF(NOT(AMP3=""),", ",""),
IF(NOT(AND3=""),AND3,""),IF(NOT(AND3=""),AMU3,""),IF(AND(NOT(AND3=""),OR(NOT(ANN3=""),NOT(ANX3=""))),", ",""),
IF(NOT(ANN3=""),ANI3,""),IF(NOT(ANN3=""),ANN3,""),IF(AND(NOT(ANN3=""),OR(NOT(AOH3=""),NOT(ANX3=""))),", ",""),
IF(NOT(ANX3=""),ANS3,""),IF(NOT(ANX3=""),ANX3,""),IF(AND(NOT(ANX3=""),NOT(AOH3="")),", ",""),
IF(NOT(AOH3=""),AOC3,""),IF(NOT(AOH3=""),AOH3,""),IF(NOT(AOR3=""),", ",""),
IF(NOT(AOR3=""),AOM3,""),IF(NOT(AOR3=""),AOR3,""),IF(NOT(APB3=""),", ",""),
IF(NOT(APB3=""),AOW3,""),IF(NOT(APB3=""),APB3,""),IF(NOT(APL3=""),", ",""),
IF(NOT(APL3=""),APG3,""),IF(NOT(APL3=""),APL3,""))</f>
        <v>344092, г. Ростов-на-Дону, ул. Верная, д. 17/88</v>
      </c>
      <c r="APN3" s="870" t="s">
        <v>9838</v>
      </c>
      <c r="APO3" s="854">
        <f>MIN(IFERROR(SEARCH(APN$3,$A$3)+LEN(APN3),99999),
IFERROR(SEARCH(APN$4,$A$3)+LEN(APN4),99999),
IFERROR(SEARCH(APN$5,$A$3)+LEN(APN5),99999),
IFERROR(SEARCH(APN$6,$A$3)+LEN(APN6),99999),
IFERROR(SEARCH(APN$7,$A$3)+LEN(APN7),99999),
IFERROR(SEARCH(APN$8,$A$3)+LEN(APN8),99999),
IFERROR(SEARCH(APN$9,$A$3)+LEN(APN9),99999),
IFERROR(SEARCH(APN$10,$A$3)+LEN(APN10),99999),
IFERROR(SEARCH(APN$11,$A$3)+LEN(APN11),99999),
IFERROR(SEARCH(APN$12,$A$3)+LEN(APN12),99999),
IFERROR(SEARCH(APN$13,$A$3)+LEN(APN13),99999),
IFERROR(SEARCH(APN$14,$A$3)+LEN(APN14),99999)
)</f>
        <v>1288</v>
      </c>
      <c r="APP3" t="s">
        <v>149</v>
      </c>
      <c r="APQ3" s="854">
        <f>MIN(IFERROR(SEARCH(APP$3,$A$3,APO3+7),99999),
IFERROR(SEARCH(APP$4,$A$3,APO3+7),99999),
IFERROR(SEARCH(APP$5,$A$3,APO3+7),99999),
IFERROR(SEARCH(APP$6,$A$3,APO3+7),99999),
IFERROR(SEARCH(APP$7,$A$3,APO3+7),99999),
IFERROR(SEARCH(APP$8,$A$3,APO3+7),99999),
IFERROR(SEARCH(APP$9,$A$3,APO3+7),99999),
IFERROR(SEARCH(APP$10,$A$3,APO3+7),99999),
IFERROR(SEARCH(APP$11,$A$3,APO3+7),99999),
IFERROR(SEARCH(APP$12,$A$3,APO3+7),99999),
IFERROR(SEARCH(APP$13,$A$3,APO3+7),99999),
IFERROR(SEARCH(APP$14,$A$3,APO3+7),99999)
)</f>
        <v>1296</v>
      </c>
      <c r="APR3" s="1245">
        <f>APQ3-APO3</f>
        <v>8</v>
      </c>
      <c r="APS3" t="str">
        <f>MID($A$3,APO3,APR3)</f>
        <v>100000.0</v>
      </c>
      <c r="APT3" t="str">
        <f>LEFT(APS3,SEARCH(".",APS3)-1)</f>
        <v>100000</v>
      </c>
      <c r="APU3" t="str">
        <f>IF((LEN(APS3))-(SEARCH(".",APS3))=1,RIGHT(APS3,1),RIGHT(APS3,2))</f>
        <v>0</v>
      </c>
      <c r="APV3" s="1015">
        <f>APT3+APU3/100</f>
        <v>100000</v>
      </c>
    </row>
    <row r="4" spans="1:1114" ht="14.4" customHeight="1" thickBot="1" x14ac:dyDescent="0.35">
      <c r="E4" s="865" t="str">
        <f>MID($A$2,SEARCH("Рассмотрев имеющиеся в деле документы, Финансовый уполномоченный установил следующее.",$A$2)+LEN("Рассмотрев имеющиеся в деле документы, Финансовый уполномоченный установил следующее.")+1,(SEARCH("Рассмотрев",$A$2,SEARCH("Рассмотрев имеющиеся в деле документы, Финансовый уполномоченный установил следующее.",$A$2)+LEN("Рассмотрев имеющиеся в деле документы, Финансовый уполномоченный установил следующее.")))-(SEARCH("Рассмотрев имеющиеся в деле документы, Финансовый уполномоченный установил следующее.",$A$2)+LEN("Рассмотрев имеющиеся в деле документы, Финансовый уполномоченный установил следующее.")))</f>
        <v>05.04.2019 между Заявителем и Финансовой организацией заключен договор ОСАГО серия ККК № 3002162227 со сроком страхования с 05.04.2019 до 04.04.2020 (далее – Договор ОСАГО).
В результате дорожно-транспортного происшествия, произошедшего 10.06.2019 (далее – ДТП), вследствие действий Женишбека Бекназара, управлявшего транспортным средством ВАЗ 2106, государственный регистрационный номер А086НТ61, был причинен вред принадлежащему Заявителю транспортному средству Toyota Camry, государственный регистрационный номер Е718ТР161, год выпуска 2016 (далее – Транспортное средство).
Гражданская ответственность Женишбека Бекназара застрахована в СПАО «РЕСО-Гарантия» в рамках договора ОСАГО серия ККК № 3001108454.
11.06.2019 Заявитель обратился в Финансовую организацию с заявлением о прямом возмещении убытков, предоставив все документы, предусмотренные Правилами обязательного страхования гражданской ответственности владельцев транспортных средств, утвержденными Положением Банка России от 19.09.2014 № 431-П (далее – Правила ОСАГО).
Заявление также содержало требования о выплате расходов на проведение независимой технической экспертизы.
11.06.2019 Финансовой организацей проведен осмотр принадлежащего Заявителю Транспортного средства с привлечением независимой экспертной организации ООО «Альянс».
На основании результатов осмотра от 11.06.2019 независимой экспертной организацией ООО «Сибирская Ассистанская Компания» подготовлено экспертное заключение от 28.06.2019 № 45/06/19, согласно которому стоимость восстановительного ремонта Транспортного средства Повреждения на Транспортном средстве возникли вне заявленных обстоятельств дорожно-транспортного происшествия от 10.06.2019.
Финансовая организация направила Заявителю письмо от 08.07.2019 № 757/19, в котором сообщалось, что согласно выводам проведенной экспертизы, все повреждения Транспортного средства Заявителя не могли образоваться при заявленных обстоятельствах ДТП, в связи с чем, правовых оснований для урегулирования данного убытка у Финансовой организации не имеется.
02.08.2019 Заявитель обратился в Финансовую организацию с заявлением (претензией) о несогласии с отказом Финансовой организации в выплате страхового возмещения, содержащим требование о выплате страхового возмещения по Договору ОСАГО, неустойки за несоблюдение срока выплаты страхового возмещения по Договору ОСАГО.
Финансовая организация в ответ на заявление (претензию) от 02.08.2019 письмом от 05.08.2019 № 902/19 отказала Заявителю в удовлетворении заявленных требований.
Не согласившись с отказом в выплате страхового возмещения, Заявитель 02.09.2019 обратился в порядке, установленным Федеральным законом от 04.06.2018 № 123-ФЗ «Об уполномоченном по правам потребителей финансовых услуг» (далее – Закон № 123-ФЗ), с обращением к Финансовому уполномоченному с требованиями о взыскании с Финансовой организации страхового возмещения по Договору ОСАГО в размере 400 000 рублей 00 копеек.
Руководствуясь частью 4 статьи 18 Закона № 123-ФЗ, Финансовым уполномоченным Обращение Заявителя от 02.09.2019 принято к рассмотрению, Обращению от 02.09.2019 присвоен № У-19-24659.
22.10.2019 Финансовым уполномоченным по Обращению от 02.09.2019 № У-19-24659 вынесено решение об отказе в удовлетворении требований № У-19-24659/5010-010 (далее – Решение от 22.10.2019 № У-19-24659/5010-010). Требования о взыскании неустойки при рассмотрении Обращения от 22.10.2019 № У-19-24659 не заявлялись и не рассматривались.
Решение от 22.10.2019 № У-19-24659/5010-010 вступило в силу 07.11.2019.
Не согласившись с Решением от 22.10.2019 № У-19-24659/5010-010, Заявитель обратился в суд с исковыми требованиями к Финансовой организации о взыскании страхового возмещения по Договору ОСАГО в размере 400 000 рублей 00 копеек, неустойки за несоблюдение срока выплаты страхового возмещения по Договору ОСАГО за период с 02.07.2019 по 30.12.2019 в размере 400 000 рублей 00 копеек, расходов на проведение независимой технической экспертизы в размере 7 000 рублей 00 копеек и иных расходов.
20.02.2020 Ворошиловским районным судом города Ростова-на-Дону по делу № 2-129/2020 вынесено решение об удовлетворении исковых требований Заявителя (далее – Решение Суда), в соответствии с которым с Финансовой организации в пользу Заявителя взыскано страховое возмещение по Договору ОСАГО в размере 400 000 рублей 00 копеек, неустойка за несоблюдение срока выплаты страхового возмещения по Договору ОСАГО за период с 02.07.2019 по 30.12.2019 в размере 300 000 рублей 00 копеек, расходы на проведение независимой технической экспертизы в размере 7 000 рублей 00 копеек и иные расходы.
Решением Суда установлено, что Решение Суда вступило в силу 27.03.2020.
25.05.2020 Решение Суда было исполнено в полном объеме, что подтверждается инкассовым поручением от 22.05.2020 № 7856.
19.10.2020 Заявитель обратился в Финансовую организацию с заявлением (претензией), содержащим требование о выплате неустойки за несоблюдение срока выплаты страхового возмещения по Договору ОСАГО за период с 08.01.2020 по 20.02.2020 в размере 100 000 рублей 00 копеек.
В соответствии со статьей 16 Закона № 123-ФЗ Финансовая организация должна рассмотреть заявление (претензию) и направить Заявителю ответ не позднее 18.11.2020.
Финансовая организация в ответ на заявление (претензию) от 19.10.2020 письмом от 09.11.2020 № 1560/20 отказала Заявителю в удовлетворении заявленных требований.
Р</v>
      </c>
      <c r="I4" t="str">
        <f>MID($A$2,SEARCH(L3,$A$2)+LEN(L3)+1,LEN($A$2)-SEARCH(L3,$A$2))</f>
        <v xml:space="preserve">требования Истомина Владимира Васильевича о взыскании с АО СК «БАСК» неустойки за несоблюдение срока выплаты страхового возмещения по Договору ОСАГО удовлетворить.
Взыскать с АО СК «БАСК» в пользу Истомина Владимира Васильевича неустойку за несоблюдение срока выплаты страхового возмещения по Договору ОСАГО в размере 100 000 (сто тысяч) рублей 00 копеек.
Решение вступает в силу по истечении десяти рабочих дней после даты его подписания.
Решение подлежит исполнению АО СК «БАСК» в течение 10 рабочих дней после дня вступления в силу.
В случае несогласия с решением Финансового уполномоченного в соответствии с частью 1 статьи 26 Закона № 123-ФЗ АО СК «БАСК» вправе в течение десяти рабочих дней после дня вступления в силу решения Финансового уполномоченного обратиться в суд в порядке, установленном законодательством Российской Федерации. В случае обращения финансовой организации в суд копия заявления подлежит направлению финансовому уполномоченному, рассматривавшему дело, и потребителю финансовых услуг, в отношении обращения которого принято решение Финансового уполномоченного, в течение одного дня со дня подачи указанного заявления.
В соответствии с частью 2 статьи 26 Закона № 123-ФЗ финансовая организация при обращении в суд вправе направить финансовому уполномоченному ходатайство о приостановлении исполнения его решения. При получении ходатайства финансовый уполномоченный выносит решение о приостановлении исполнения решения, которое оспаривается финансовой организацией, до вынесения решения судом.
В случае несогласия с вступившим в силу решением Финансового уполномоченного Заявитель в соответствии с частью 3 статьи 25 Закона № 123-ФЗ вправе в течение тридцати дней после дня вступления в силу указанного решения обратиться в суд и заявить требования к финансовой организации по предмету, содержащемуся в обращении, в порядке, установленном законодательством Российской Федерации. Копия обращения в суд подлежит направлению Финансовому уполномоченному.
Уполномоченный по правам потребителей финансовых услуг в сферах страхования, микрофинансирования, кредитной кооперации и деятельности кредитных организаций Podpisant
Е.Л. Писаревский
</v>
      </c>
      <c r="N4" t="s">
        <v>18</v>
      </c>
      <c r="O4" s="5" t="s">
        <v>29</v>
      </c>
      <c r="S4" s="100"/>
      <c r="T4" s="1514"/>
      <c r="U4" s="5"/>
      <c r="V4" t="s">
        <v>829</v>
      </c>
      <c r="W4" t="s">
        <v>17</v>
      </c>
      <c r="Y4" s="5"/>
      <c r="AB4" s="5"/>
      <c r="AC4" s="5"/>
      <c r="AD4" s="1514"/>
      <c r="AE4" t="s">
        <v>807</v>
      </c>
      <c r="AF4" t="s">
        <v>18</v>
      </c>
      <c r="AG4" t="e">
        <f>SEARCH(AE4,$H$3)</f>
        <v>#VALUE!</v>
      </c>
      <c r="AH4" s="5" t="e">
        <f>IF(ISERROR(AG4),AG4,AE4)</f>
        <v>#VALUE!</v>
      </c>
      <c r="AI4" s="5" t="e">
        <f>INDEX(AF:AF,MATCH(AH4,AE:AE,0),1)</f>
        <v>#VALUE!</v>
      </c>
      <c r="AJ4" s="1514"/>
      <c r="AK4" s="1514"/>
      <c r="AL4" s="1526"/>
      <c r="AM4" t="s">
        <v>924</v>
      </c>
      <c r="AN4" t="e">
        <f>MID(B$3,SEARCH(AM4,B$3),LEN(AM4))</f>
        <v>#VALUE!</v>
      </c>
      <c r="AO4" s="1503"/>
      <c r="AP4" s="1514"/>
      <c r="AQ4" t="e">
        <f>MID(I$3,SEARCH(AM4,I$3),LEN(AM4))</f>
        <v>#VALUE!</v>
      </c>
      <c r="AR4" s="1503"/>
      <c r="AS4" s="1514"/>
      <c r="AT4" s="1514"/>
      <c r="AU4" t="s">
        <v>8293</v>
      </c>
      <c r="AV4" t="str">
        <f>MID(B$3,SEARCH(AU4,B$3),LEN(AU4))</f>
        <v>Уполномоченный по правам потребителей финансовых услуг в сферах страхования, микрофинансирования, кредитной кооперации и деятельности кредитных организаций</v>
      </c>
      <c r="AW4" s="1503"/>
      <c r="AX4" s="1503"/>
      <c r="AY4" t="str">
        <f>MID(I$3,SEARCH(AU4,I$3),LEN(AU4))</f>
        <v>Уполномоченный по правам потребителей финансовых услуг в сферах страхования, микрофинансирования, кредитной кооперации и деятельности кредитных организаций</v>
      </c>
      <c r="AZ4" s="1503"/>
      <c r="BA4" s="1503"/>
      <c r="BB4" s="1487"/>
      <c r="BF4" s="1501"/>
      <c r="BL4" s="1501"/>
      <c r="BM4" s="1206"/>
      <c r="BQ4" s="1508"/>
      <c r="BR4" s="817" t="s">
        <v>8413</v>
      </c>
      <c r="BS4" s="817" t="s">
        <v>8440</v>
      </c>
      <c r="BT4" s="768" t="s">
        <v>8367</v>
      </c>
      <c r="BU4" s="793" t="e">
        <f t="shared" si="0"/>
        <v>#VALUE!</v>
      </c>
      <c r="BV4" s="793"/>
      <c r="BW4" s="810"/>
      <c r="BX4" s="820"/>
      <c r="BY4" s="805"/>
      <c r="CA4" s="793"/>
      <c r="CB4" s="793"/>
      <c r="CC4" s="1513"/>
      <c r="CH4" s="1513"/>
      <c r="CM4" s="1513"/>
      <c r="CN4" s="768" t="s">
        <v>8500</v>
      </c>
      <c r="CO4" s="868">
        <f>SEARCH(CN4,$B$3)+LEN(CN4)</f>
        <v>521</v>
      </c>
      <c r="CP4" s="868"/>
      <c r="CQ4" s="876"/>
      <c r="CS4" s="810"/>
      <c r="CT4" s="810"/>
      <c r="CU4" s="1513"/>
      <c r="CV4" s="810"/>
      <c r="CX4" s="810"/>
      <c r="CY4" s="810"/>
      <c r="CZ4" s="1513"/>
      <c r="DA4" s="810"/>
      <c r="DC4" s="810"/>
      <c r="DD4" s="810"/>
      <c r="DE4" s="1513"/>
      <c r="DF4" s="810"/>
      <c r="DH4" s="810"/>
      <c r="DI4" s="810"/>
      <c r="DJ4" s="1508"/>
      <c r="DK4" s="810"/>
      <c r="DM4" s="810"/>
      <c r="DN4" s="810"/>
      <c r="DO4" s="1498"/>
      <c r="DP4" s="941" t="s">
        <v>8225</v>
      </c>
      <c r="DQ4" s="950" t="str">
        <f>BL3</f>
        <v>У-20-175174</v>
      </c>
      <c r="DR4" s="933" t="s">
        <v>604</v>
      </c>
      <c r="DS4" s="10" t="s">
        <v>8437</v>
      </c>
      <c r="DT4" t="s">
        <v>4735</v>
      </c>
      <c r="DU4" s="10" t="s">
        <v>1246</v>
      </c>
      <c r="DV4" s="1476"/>
      <c r="DW4" s="834" t="s">
        <v>8435</v>
      </c>
      <c r="DX4" s="306" t="str">
        <f>IF(DY3=" за период",SEARCH(" за период",$C$3,DZ3)+LEN(" за период")+3,"НЕТ")</f>
        <v>НЕТ</v>
      </c>
      <c r="DY4" s="306" t="s">
        <v>8434</v>
      </c>
      <c r="DZ4" s="306" t="e">
        <f>SEARCH(DY4,$C$3,DX4)</f>
        <v>#VALUE!</v>
      </c>
      <c r="EA4" s="306" t="e">
        <f>DZ4-DX4</f>
        <v>#VALUE!</v>
      </c>
      <c r="EB4" s="827" t="e">
        <f>DATEVALUE(MID($C$3,DX4,EA4))</f>
        <v>#VALUE!</v>
      </c>
      <c r="EC4" s="953" t="str">
        <f>IF(DY3=" за период",EB4,"")</f>
        <v/>
      </c>
      <c r="ED4" s="951" t="str">
        <f>IF(ISERROR(DX10),"",CONCATENATE(DV10,". ",EC10," ",IFERROR(CONCATENATE(EB14,",",EB15),""),IF(ISERROR(CONCATENATE(EB14,",",EB15)),"","₽")))</f>
        <v/>
      </c>
      <c r="EE4" s="768"/>
      <c r="EF4" s="848"/>
      <c r="EG4" s="848"/>
      <c r="EH4" s="1508"/>
      <c r="EI4" s="768"/>
      <c r="EJ4" s="848"/>
      <c r="EK4" s="848"/>
      <c r="EL4" s="848"/>
      <c r="EM4" s="848"/>
      <c r="EN4" s="1498"/>
      <c r="EO4" s="768" t="s">
        <v>8447</v>
      </c>
      <c r="EP4" s="768" t="s">
        <v>8449</v>
      </c>
      <c r="EQ4" s="848" t="e">
        <f>SEARCH(EP4,$D$3)+LEN(EP4)</f>
        <v>#VALUE!</v>
      </c>
      <c r="ER4" s="848"/>
      <c r="ES4" s="848"/>
      <c r="ET4" s="1498"/>
      <c r="EU4" s="950">
        <f>EH3</f>
        <v>44161</v>
      </c>
      <c r="EV4" s="768" t="s">
        <v>9458</v>
      </c>
      <c r="EZ4" s="848"/>
      <c r="FA4" s="848"/>
      <c r="FB4" s="848"/>
      <c r="FC4" s="1498"/>
      <c r="FD4" s="768" t="s">
        <v>8513</v>
      </c>
      <c r="FE4" s="982"/>
      <c r="FF4" s="857"/>
      <c r="FG4" s="1508"/>
      <c r="FH4" s="768" t="s">
        <v>8513</v>
      </c>
      <c r="FI4" s="1174"/>
      <c r="FJ4" s="857"/>
      <c r="FK4" s="857"/>
      <c r="FL4" s="857"/>
      <c r="FM4" s="982"/>
      <c r="FN4" s="803" t="s">
        <v>8668</v>
      </c>
      <c r="FO4" s="1174"/>
      <c r="FP4" s="1174"/>
      <c r="FQ4" s="1174"/>
      <c r="FR4" s="1174"/>
      <c r="FS4" s="1174"/>
      <c r="FT4" s="1498"/>
      <c r="FU4" s="877" t="s">
        <v>718</v>
      </c>
      <c r="FV4" s="877" t="s">
        <v>8506</v>
      </c>
      <c r="FW4" s="876" t="e">
        <f>SEARCH(FV4,$FC$3)</f>
        <v>#VALUE!</v>
      </c>
      <c r="FY4" s="1498"/>
      <c r="FZ4" s="1472"/>
      <c r="GA4" s="768" t="s">
        <v>8513</v>
      </c>
      <c r="GB4" s="876" t="e">
        <f t="shared" si="1"/>
        <v>#VALUE!</v>
      </c>
      <c r="GE4" s="857"/>
      <c r="GF4" s="857"/>
      <c r="GG4" s="857"/>
      <c r="GH4" s="1472"/>
      <c r="GI4" s="768" t="s">
        <v>8513</v>
      </c>
      <c r="GJ4" s="876" t="e">
        <f>SEARCH(GI4,$FC$3,GF3)</f>
        <v>#VALUE!</v>
      </c>
      <c r="GM4" s="857" t="s">
        <v>149</v>
      </c>
      <c r="GN4" s="857"/>
      <c r="GO4" s="857"/>
      <c r="GP4" s="1472"/>
      <c r="GQ4" s="768"/>
      <c r="GR4" s="880"/>
      <c r="GU4" s="880"/>
      <c r="GV4" s="880"/>
      <c r="GW4" s="880"/>
      <c r="GX4" s="1472"/>
      <c r="GY4" s="768" t="s">
        <v>8513</v>
      </c>
      <c r="GZ4" s="876" t="e">
        <f>SEARCH(GY4,$FC$3)</f>
        <v>#VALUE!</v>
      </c>
      <c r="HC4" s="857"/>
      <c r="HD4" s="857"/>
      <c r="HE4" s="857"/>
      <c r="HF4" s="1498"/>
      <c r="HG4" s="768" t="s">
        <v>8985</v>
      </c>
      <c r="HH4" s="1129" t="e">
        <f>SEARCH(HG4,$E$3)</f>
        <v>#VALUE!</v>
      </c>
      <c r="HJ4" s="1498"/>
      <c r="HK4" s="1511" t="s">
        <v>124</v>
      </c>
      <c r="HL4" s="949" t="str">
        <f>FT3</f>
        <v>Женишбека Бекназара</v>
      </c>
      <c r="HM4" s="768"/>
      <c r="HQ4" s="857"/>
      <c r="HR4" s="857"/>
      <c r="HS4" s="857"/>
      <c r="HT4" s="1498"/>
      <c r="HU4" s="768" t="s">
        <v>8661</v>
      </c>
      <c r="HV4" s="994" t="e">
        <f>SEARCH(HU4,$HT$3)</f>
        <v>#VALUE!</v>
      </c>
      <c r="HY4" s="1498"/>
      <c r="HZ4" s="768" t="s">
        <v>8513</v>
      </c>
      <c r="IA4" s="918" t="e">
        <f>SEARCH(HZ4,$HT$3)</f>
        <v>#VALUE!</v>
      </c>
      <c r="ID4" s="1498"/>
      <c r="IE4" s="768"/>
      <c r="II4" s="857" t="s">
        <v>8348</v>
      </c>
      <c r="IJ4" s="876" t="e">
        <f>SEARCH(II4,$HT$3,IH$3)</f>
        <v>#VALUE!</v>
      </c>
      <c r="IK4" s="876"/>
      <c r="IL4" s="876"/>
      <c r="IM4" s="857"/>
      <c r="IN4" s="1498"/>
      <c r="IO4" s="768" t="s">
        <v>8474</v>
      </c>
      <c r="IS4" s="857"/>
      <c r="IT4" s="857"/>
      <c r="IU4" s="857"/>
      <c r="IV4" s="1498"/>
      <c r="IW4" s="768"/>
      <c r="JA4" s="857"/>
      <c r="JB4" s="1498"/>
      <c r="JC4" s="768"/>
      <c r="JG4" s="857"/>
      <c r="JH4" s="1508"/>
      <c r="JI4" s="768" t="s">
        <v>8468</v>
      </c>
      <c r="JJ4" s="857" t="e">
        <f>SEARCH(JI4,$HT$3,JF3)</f>
        <v>#VALUE!</v>
      </c>
      <c r="JM4" s="857"/>
      <c r="JN4" s="1508"/>
      <c r="JO4" s="950" t="str">
        <f>IFERROR(IN3,"")</f>
        <v>СПАО «РЕСО-Гарантия»</v>
      </c>
      <c r="JP4" s="768" t="s">
        <v>8671</v>
      </c>
      <c r="JQ4" s="857">
        <f>SEARCH(JP4,$E$4)</f>
        <v>12</v>
      </c>
      <c r="JV4" s="857"/>
      <c r="JW4" s="857"/>
      <c r="JX4" s="857"/>
      <c r="JY4" s="1472"/>
      <c r="JZ4" s="768" t="s">
        <v>8661</v>
      </c>
      <c r="KB4" s="1498"/>
      <c r="KC4" s="768" t="s">
        <v>8513</v>
      </c>
      <c r="KD4" s="918" t="e">
        <f>SEARCH(KC4,$JY$3)</f>
        <v>#VALUE!</v>
      </c>
      <c r="KG4" s="1498"/>
      <c r="KH4" s="768" t="s">
        <v>8545</v>
      </c>
      <c r="KI4" s="903" t="e">
        <f>SEARCH(KH4,$JY$3)+LEN(KH4)</f>
        <v>#VALUE!</v>
      </c>
      <c r="KL4" s="857" t="s">
        <v>8348</v>
      </c>
      <c r="KM4" s="903" t="e">
        <f>SEARCH(KL4,$JY$3,$KK$3)</f>
        <v>#VALUE!</v>
      </c>
      <c r="KP4" s="857"/>
      <c r="KQ4" s="1498"/>
      <c r="KR4" s="264"/>
      <c r="KS4" s="857"/>
      <c r="KT4" s="1508"/>
      <c r="KU4" s="768" t="s">
        <v>8474</v>
      </c>
      <c r="KV4" s="857" t="e">
        <f>SEARCH(KU4,$JY$3)+LEN(KU4)</f>
        <v>#VALUE!</v>
      </c>
      <c r="KY4" s="857"/>
      <c r="KZ4" s="857"/>
      <c r="LA4" s="857"/>
      <c r="LB4" s="1498"/>
      <c r="LC4" s="768"/>
      <c r="LD4" s="857"/>
      <c r="LG4" s="857" t="s">
        <v>8273</v>
      </c>
      <c r="LH4" s="984">
        <f t="shared" si="2"/>
        <v>127</v>
      </c>
      <c r="LI4" s="984"/>
      <c r="LJ4" s="857"/>
      <c r="LK4" s="1498"/>
      <c r="LL4" s="768"/>
      <c r="LM4" s="857"/>
      <c r="LP4" s="857"/>
      <c r="LQ4" s="1508"/>
      <c r="LR4" s="768" t="s">
        <v>8467</v>
      </c>
      <c r="LS4" s="857">
        <f>SEARCH(LR4,$JY$3,LO3)+LEN(LR4)</f>
        <v>139</v>
      </c>
      <c r="LV4" s="857"/>
      <c r="LW4" s="1508"/>
      <c r="LX4" s="950" t="str">
        <f>IFERROR(KQ3,"")</f>
        <v>Финансовой организацией</v>
      </c>
      <c r="LY4" s="864" t="str">
        <f>CONCATENATE(" Заявитель ",MA4,$CU$3," с заявлением о ",LZ3)</f>
        <v xml:space="preserve"> Заявитель обратилась в АО СК «БАСК» с заявлением о страховом возмещении по Договору ОСАГО</v>
      </c>
      <c r="LZ4" s="768" t="s">
        <v>8342</v>
      </c>
      <c r="MA4" s="768" t="s">
        <v>8489</v>
      </c>
      <c r="MB4" s="863"/>
      <c r="ME4" s="857"/>
      <c r="MF4" s="857"/>
      <c r="MG4" s="857"/>
      <c r="MH4" s="1498"/>
      <c r="MI4" s="1186" t="s">
        <v>9552</v>
      </c>
      <c r="MJ4" s="854"/>
      <c r="MK4" s="1207"/>
      <c r="ML4" s="864" t="s">
        <v>4594</v>
      </c>
      <c r="MM4" s="863">
        <f>SEARCH(LZ4,$MH$3)</f>
        <v>72</v>
      </c>
      <c r="MO4" s="1107"/>
      <c r="MP4" s="864" t="s">
        <v>718</v>
      </c>
      <c r="MQ4" s="1025" t="e">
        <f>SEARCH(MA4,$MH$3)</f>
        <v>#VALUE!</v>
      </c>
      <c r="MS4" s="1185"/>
      <c r="MT4" s="1024"/>
      <c r="MU4" s="1025"/>
      <c r="MV4" s="1107"/>
      <c r="MW4" s="949" t="str">
        <f>MO3</f>
        <v>ПВУ</v>
      </c>
      <c r="MX4" s="1472"/>
      <c r="MY4" s="988" t="s">
        <v>8513</v>
      </c>
      <c r="MZ4" s="984" t="e">
        <f t="shared" si="3"/>
        <v>#VALUE!</v>
      </c>
      <c r="NA4" s="984"/>
      <c r="NB4" s="920"/>
      <c r="NC4" s="920"/>
      <c r="ND4" s="984"/>
      <c r="NE4" s="984"/>
      <c r="NF4" s="984"/>
      <c r="NG4" s="1474"/>
      <c r="NH4" t="s">
        <v>8437</v>
      </c>
      <c r="NJ4" t="str">
        <f>NG3</f>
        <v>Заявление также содержало требования о выплате расходов на проведение независимой технической экспертизы.</v>
      </c>
      <c r="NK4" s="1476"/>
      <c r="NL4" s="834" t="s">
        <v>8435</v>
      </c>
      <c r="NM4" s="306" t="str">
        <f>IF(NN3=" за период",SEARCH(" за период",NJ$4,NO3)+LEN(" за период")+3,"НЕТ")</f>
        <v>НЕТ</v>
      </c>
      <c r="NN4" s="306" t="s">
        <v>8434</v>
      </c>
      <c r="NO4" s="306" t="e">
        <f>SEARCH(NN4,NJ$4,NM4)</f>
        <v>#VALUE!</v>
      </c>
      <c r="NP4" s="306" t="e">
        <f>NO4-NM4</f>
        <v>#VALUE!</v>
      </c>
      <c r="NQ4" s="827" t="e">
        <f>DATEVALUE(MID(NJ$4,NM4,NP4))</f>
        <v>#VALUE!</v>
      </c>
      <c r="NR4" s="828" t="str">
        <f>IF(NN3=" за период",NQ4,"")</f>
        <v/>
      </c>
      <c r="NS4" s="843" t="str">
        <f>IF(NR10="","",CONCATENATE(NK10,". ",NR10," ",IFERROR(CONCATENATE(NQ14,",",NQ15),""),IF(ISERROR(CONCATENATE(NQ14,",",NQ15)),"","₽")))</f>
        <v/>
      </c>
      <c r="NT4" s="1105" t="str">
        <f t="shared" si="4"/>
        <v/>
      </c>
      <c r="NU4" s="993" t="s">
        <v>8971</v>
      </c>
      <c r="NV4" s="994"/>
      <c r="NW4" s="920"/>
      <c r="NX4" s="920"/>
      <c r="NY4" s="994"/>
      <c r="NZ4" s="994"/>
      <c r="OA4" s="994"/>
      <c r="OB4" s="1535"/>
      <c r="OC4" s="1472"/>
      <c r="OD4" s="946" t="s">
        <v>8513</v>
      </c>
      <c r="OE4" s="947" t="e">
        <f t="shared" si="5"/>
        <v>#VALUE!</v>
      </c>
      <c r="OF4" s="947"/>
      <c r="OG4" s="920"/>
      <c r="OH4" s="920"/>
      <c r="OI4" s="947"/>
      <c r="OJ4" s="947"/>
      <c r="OK4" s="947"/>
      <c r="OL4" s="1474"/>
      <c r="OM4" s="869">
        <v>2</v>
      </c>
      <c r="ON4" s="817" t="e">
        <f>DATEVALUE(MID(OL15,1,10))</f>
        <v>#VALUE!</v>
      </c>
      <c r="OO4" s="1102" t="str">
        <f>IFERROR(ON4,"")</f>
        <v/>
      </c>
      <c r="OP4" s="1069">
        <v>2</v>
      </c>
      <c r="OQ4" s="935" t="s">
        <v>8576</v>
      </c>
      <c r="OR4" s="854">
        <f>MIN(IFERROR(SEARCH(OQ$3,$E$4,OV3),99999),
IFERROR(SEARCH(OQ$4,$E$4,OV3),99999),
IFERROR(SEARCH(OQ$5,$E$4,OV3),99999),
IFERROR(SEARCH(OQ$6,$E$4,OV3),99999),
IFERROR(SEARCH(OQ$7,$E$4,OV3),99999),
IFERROR(SEARCH(OQ$8,$E$4,OV3),99999),
IFERROR(SEARCH(OQ$9,$E$4,OV3),99999),
IFERROR(SEARCH(OQ$10,$E$4,OV3),99999),
IFERROR(SEARCH(OQ$11,$E$4,OV3),99999),
IFERROR(SEARCH(OQ$12,$E$4,OV3),99999),
IFERROR(SEARCH(OQ$13,$E$4,OV3),99999),
IFERROR(SEARCH(OQ$14,$E$4,OV3),99999)
)</f>
        <v>99999</v>
      </c>
      <c r="OS4" s="920"/>
      <c r="OT4" s="334">
        <f>LEN(MID($E$4,1,OR4))-LEN(IF(ISERROR(FIND(" ",MID($E$4,1,OR4))),MID($E$4,1,OR4),RIGHT(MID($E$4,1,OR4),LEN(MID($E$4,1,OR4))-FIND("~",SUBSTITUTE(MID($E$4,1,OR4),OS$3,"~",LEN(MID($E$4,1,OR4))-LEN(SUBSTITUTE(MID($E$4,1,OR4),OS$3,"")))))))+1</f>
        <v>5367</v>
      </c>
      <c r="OU4" s="937"/>
      <c r="OV4" s="1059" t="e">
        <f>SEARCH(OU$3,$E$4,OT4)</f>
        <v>#VALUE!</v>
      </c>
      <c r="OW4" s="854" t="e">
        <f>OV4-OT4</f>
        <v>#VALUE!</v>
      </c>
      <c r="OX4" s="979" t="e">
        <f>CLEAN(MID($E$4,OT4,OW4))</f>
        <v>#VALUE!</v>
      </c>
      <c r="OY4" t="str">
        <f>CONCATENATE("по инициативе ",DQ12," ")</f>
        <v xml:space="preserve">по инициативе АО СК «БАСК» </v>
      </c>
      <c r="OZ4" s="854">
        <f t="shared" ref="OZ4:OZ7" si="18">MIN(IFERROR(SEARCH(OY$3,$OX4)+LEN(OY$3),99999),
IFERROR(SEARCH(OY$4,$OX4)+LEN(OY$4),99999),
IFERROR(SEARCH(OY$5,$OX4)+LEN(OY$5),99999),
IFERROR(SEARCH(OY$6,$OX4)+LEN(OY$6),99999),
IFERROR(SEARCH(OY$7,$OX4)+LEN(OY$7),99999),
IFERROR(SEARCH(OY$8,$OX4)+LEN(OY$8),99999),
IFERROR(SEARCH(OY$9,$OX4)+LEN(OY$9),99999),
IFERROR(SEARCH(OY$10,$OX4)+LEN(OY$10),99999),
IFERROR(SEARCH(OY$11,$OX4)+LEN(OY$11),99999),
IFERROR(SEARCH(OY$12,$OX4)+LEN(OY$12),99999),
IFERROR(SEARCH(OY$13,$OX4)+LEN(OY$13),99999),
IFERROR(SEARCH(OY$14,$OX4)+LEN(OY$14),99999)
)</f>
        <v>99999</v>
      </c>
      <c r="PA4" t="s">
        <v>8613</v>
      </c>
      <c r="PB4" s="854">
        <f>MIN(IFERROR(SEARCH(PA$3,$OX4,OZ4),99999),
IFERROR(SEARCH(PA$4,$OX4,OZ4),99999),
IFERROR(SEARCH(PA$5,$OX4,OZ4),99999),
IFERROR(SEARCH(PA$6,$OX4,OZ4),99999),
IFERROR(SEARCH(PA$7,$OX4,OZ4),99999),
IFERROR(SEARCH(PA$8,$OX4,OZ4),99999),
IFERROR(SEARCH(PA$9,$OX4,OZ4),99999),
IFERROR(SEARCH(PA$10,$OX4,OZ4),99999),
IFERROR(SEARCH(PA$11,$OX4,OZ4),99999),
IFERROR(SEARCH(PA$12,$OX4,OZ4),99999),
IFERROR(SEARCH(PA$13,$OX4,OZ4),99999),
IFERROR(SEARCH(PA$14,$OX4,OZ4),99999)
)</f>
        <v>99999</v>
      </c>
      <c r="PC4">
        <f t="shared" ref="PC4:PC7" si="19">PB4-OZ4</f>
        <v>0</v>
      </c>
      <c r="PD4" s="1214" t="e">
        <f>MID($OX4,OZ4,PC4)</f>
        <v>#VALUE!</v>
      </c>
      <c r="PE4" s="264" t="s">
        <v>8513</v>
      </c>
      <c r="PF4" s="854">
        <f t="shared" ref="PF4" si="20">MIN(IFERROR(SEARCH(PE$3,$OX4)+LEN(PE$3),99999),
IFERROR(SEARCH(PE$4,$OX4)+LEN(PE$4),99999),
IFERROR(SEARCH(PE$5,$OX4)+LEN(PE$5),99999),
IFERROR(SEARCH(PE$6,$OX4)+LEN(PE$6),99999),
IFERROR(SEARCH(PE$7,$OX4)+LEN(PE$7),99999),
IFERROR(SEARCH(PE$8,$OX4)+LEN(PE$8),99999),
IFERROR(SEARCH(PE$9,$OX4)+LEN(PE$9),99999),
IFERROR(SEARCH(PE$10,$OX4)+LEN(PE$10),99999),
IFERROR(SEARCH(PE$11,$OX4)+LEN(PE$11),99999),
IFERROR(SEARCH(PE$12,$OX4)+LEN(PE$12),99999),
IFERROR(SEARCH(PE$13,$OX4)+LEN(PE$13),99999),
IFERROR(SEARCH(PE$14,$OX4)+LEN(PE$14),99999)
)</f>
        <v>99999</v>
      </c>
      <c r="PG4" s="264" t="s">
        <v>8513</v>
      </c>
      <c r="PH4" s="854">
        <f>MIN(IFERROR(SEARCH(PG$3,$OX4,PF4),99999),
IFERROR(SEARCH(PG$4,$OX4,PF4),99999),
IFERROR(SEARCH(PG$5,$OX4,PF4),99999),
IFERROR(SEARCH(PG$6,$OX4,PF4),99999),
IFERROR(SEARCH(PG$7,$OX4,PF4),99999),
IFERROR(SEARCH(PG$8,$OX4,PF4),99999),
IFERROR(SEARCH(PG$9,$OX4,PF4),99999),
IFERROR(SEARCH(PG$10,$OX4,PF4),99999),
IFERROR(SEARCH(PG$11,$OX4,PF4),99999),
IFERROR(SEARCH(PG$12,$OX4,PF4),99999),
IFERROR(SEARCH(PG$13,$OX4,PF4),99999),
IFERROR(SEARCH(PG$14,$OX4,PF4),99999)
)</f>
        <v>99999</v>
      </c>
      <c r="PI4" s="264">
        <f>PH4-PF4</f>
        <v>0</v>
      </c>
      <c r="PJ4" s="1216" t="e">
        <f>DATEVALUE(MID($OX4,PF4,PI4))</f>
        <v>#VALUE!</v>
      </c>
      <c r="PK4" s="264" t="s">
        <v>8513</v>
      </c>
      <c r="PL4" s="854">
        <f t="shared" ref="PL4" si="21">MIN(IFERROR(SEARCH(PK$3,$OX4)+LEN(PK$3),99999),
IFERROR(SEARCH(PK$4,$OX4)+LEN(PK$4),99999),
IFERROR(SEARCH(PK$5,$OX4)+LEN(PK$5),99999),
IFERROR(SEARCH(PK$6,$OX4)+LEN(PK$6),99999),
IFERROR(SEARCH(PK$7,$OX4)+LEN(PK$7),99999),
IFERROR(SEARCH(PK$8,$OX4)+LEN(PK$8),99999),
IFERROR(SEARCH(PK$9,$OX4)+LEN(PK$9),99999),
IFERROR(SEARCH(PK$10,$OX4)+LEN(PK$10),99999),
IFERROR(SEARCH(PK$11,$OX4)+LEN(PK$11),99999),
IFERROR(SEARCH(PK$12,$OX4)+LEN(PK$12),99999),
IFERROR(SEARCH(PK$13,$OX4)+LEN(PK$13),99999),
IFERROR(SEARCH(PK$14,$OX4)+LEN(PK$14),99999)
)</f>
        <v>99999</v>
      </c>
      <c r="PM4" s="264" t="s">
        <v>149</v>
      </c>
      <c r="PN4" s="854">
        <f>MIN(IFERROR(SEARCH(PM$3,$OX4,PL4),99999),
IFERROR(SEARCH(PM$4,$OX4,PL4),99999),
IFERROR(SEARCH(PM$5,$OX4,PL4),99999),
IFERROR(SEARCH(PM$6,$OX4,PL4),99999),
IFERROR(SEARCH(PM$7,$OX4,PL4),99999),
IFERROR(SEARCH(PM$8,$OX4,PL4),99999),
IFERROR(SEARCH(PM$9,$OX4,PL4),99999),
IFERROR(SEARCH(PM$10,$OX4,PL4),99999),
IFERROR(SEARCH(PM$11,$OX4,PL4),99999),
IFERROR(SEARCH(PM$12,$OX4,PL4),99999),
IFERROR(SEARCH(PM$13,$OX4,PL4),99999),
IFERROR(SEARCH(PM$14,$OX4,PL4),99999)
)</f>
        <v>99999</v>
      </c>
      <c r="PO4" s="853">
        <f>PN4-PL4</f>
        <v>0</v>
      </c>
      <c r="PP4" s="1211" t="e">
        <f>MID($OX4,PL4,PO4)</f>
        <v>#VALUE!</v>
      </c>
      <c r="PQ4" t="s">
        <v>8669</v>
      </c>
      <c r="PR4" s="937" t="e">
        <f t="shared" ref="PR4:PR14" si="22">SEARCH(PQ4,$OX$3)</f>
        <v>#VALUE!</v>
      </c>
      <c r="PT4" s="264" t="e">
        <f>SEARCH(" ",$OX$3,PV3+1)+1</f>
        <v>#VALUE!</v>
      </c>
      <c r="PU4" t="s">
        <v>8432</v>
      </c>
      <c r="PV4" s="937" t="e">
        <f>SEARCH(PU4,$OX$3,PT4)</f>
        <v>#VALUE!</v>
      </c>
      <c r="PW4" s="264" t="e">
        <f>PV4-PT4</f>
        <v>#VALUE!</v>
      </c>
      <c r="PX4" t="e">
        <f>MID($OX$3,PT4,PW4)</f>
        <v>#VALUE!</v>
      </c>
      <c r="PY4" s="1470"/>
      <c r="PZ4" t="s">
        <v>8670</v>
      </c>
      <c r="QA4" s="937" t="e">
        <f t="shared" si="6"/>
        <v>#VALUE!</v>
      </c>
      <c r="QC4" s="264" t="e">
        <f>SEARCH(" ",$OX$3,QE3+1)+1</f>
        <v>#VALUE!</v>
      </c>
      <c r="QD4" t="s">
        <v>8432</v>
      </c>
      <c r="QE4" s="937" t="e">
        <f>SEARCH(QD4,$OX$3,QC4)</f>
        <v>#VALUE!</v>
      </c>
      <c r="QF4" s="264" t="e">
        <f>QE4-QC4</f>
        <v>#VALUE!</v>
      </c>
      <c r="QG4" t="e">
        <f>MID($OX$3,QC4,QF4)</f>
        <v>#VALUE!</v>
      </c>
      <c r="QH4" s="1470"/>
      <c r="QI4" t="s">
        <v>9580</v>
      </c>
      <c r="QJ4" s="937" t="e">
        <f t="shared" si="7"/>
        <v>#VALUE!</v>
      </c>
      <c r="QL4" s="264" t="e">
        <f>SEARCH(" ",$OX$3,QN3+1)+1</f>
        <v>#VALUE!</v>
      </c>
      <c r="QM4" t="s">
        <v>8432</v>
      </c>
      <c r="QN4" s="937" t="e">
        <f>SEARCH(QM4,$OX$3,QL4)</f>
        <v>#VALUE!</v>
      </c>
      <c r="QO4" s="264" t="e">
        <f>QN4-QL4</f>
        <v>#VALUE!</v>
      </c>
      <c r="QP4" t="e">
        <f>MID($OX$3,QL4,QO4)</f>
        <v>#VALUE!</v>
      </c>
      <c r="QQ4" s="1470"/>
      <c r="QR4" s="8" t="s">
        <v>9201</v>
      </c>
      <c r="QS4" s="937" t="e">
        <f t="shared" si="8"/>
        <v>#VALUE!</v>
      </c>
      <c r="QU4" s="264" t="e">
        <f>SEARCH(" ",$OX$3,QW3+1)+1</f>
        <v>#VALUE!</v>
      </c>
      <c r="QV4" t="s">
        <v>8432</v>
      </c>
      <c r="QW4" s="937" t="e">
        <f>SEARCH(QV4,$OX$3,QU4)</f>
        <v>#VALUE!</v>
      </c>
      <c r="QX4" s="264" t="e">
        <f>QW4-QU4</f>
        <v>#VALUE!</v>
      </c>
      <c r="QY4" t="e">
        <f>MID($OX$3,QU4,QX4)</f>
        <v>#VALUE!</v>
      </c>
      <c r="QZ4" s="1470"/>
      <c r="RA4" s="1094" t="s">
        <v>5</v>
      </c>
      <c r="RB4" s="1095" t="str">
        <f>IFERROR(PJ3,"")</f>
        <v/>
      </c>
      <c r="RC4" s="1069">
        <v>2</v>
      </c>
      <c r="RD4" s="1058" t="s">
        <v>9000</v>
      </c>
      <c r="RE4" s="854">
        <f>MIN(IFERROR(SEARCH(RD$3,$E$4,RI3),99999),
IFERROR(SEARCH(RD$4,$E$4,RI3),99999),
IFERROR(SEARCH(RD$5,$E$4,RI3),99999),
IFERROR(SEARCH(RD$6,$E$4,RI3),99999),
IFERROR(SEARCH(RD$7,$E$4,RI3),99999),
IFERROR(SEARCH(RD$8,$E$4,RI3),99999),
IFERROR(SEARCH(RD$9,$E$4,RI3),99999),
IFERROR(SEARCH(RD$10,$E$4,RI3),99999),
IFERROR(SEARCH(RD$11,$E$4,RI3),99999),
IFERROR(SEARCH(RD$12,$E$4,RI3),99999),
IFERROR(SEARCH(RD$13,$E$4,RI3),99999),
IFERROR(SEARCH(RD$14,$E$4,RI3),99999)
)</f>
        <v>99999</v>
      </c>
      <c r="RF4" s="920"/>
      <c r="RG4" s="334">
        <f>LEN(MID($E$4,1,RE4))-LEN(IF(ISERROR(FIND(" ",MID($E$4,1,RE4))),MID($E$4,1,RE4),RIGHT(MID($E$4,1,RE4),LEN(MID($E$4,1,RE4))-FIND("~",SUBSTITUTE(MID($E$4,1,RE4),RF$3,"~",LEN(MID($E$4,1,RE4))-LEN(SUBSTITUTE(MID($E$4,1,RE4),RF$3,"")))))))+1</f>
        <v>5367</v>
      </c>
      <c r="RH4" s="1059"/>
      <c r="RI4" s="1059" t="e">
        <f>SEARCH(RH$3,$E$4,RG4)</f>
        <v>#VALUE!</v>
      </c>
      <c r="RJ4" s="854" t="e">
        <f>RI4-RG4</f>
        <v>#VALUE!</v>
      </c>
      <c r="RK4" s="979" t="e">
        <f>CLEAN(MID($E$4,RG4,RJ4))</f>
        <v>#VALUE!</v>
      </c>
      <c r="RL4" s="1055">
        <v>2</v>
      </c>
      <c r="RM4" s="1180" t="s">
        <v>8513</v>
      </c>
      <c r="RN4" s="854">
        <f>MIN(IFERROR(SEARCH(RM$3,RK4),99999),
IFERROR(SEARCH(RM$4,RK4),99999),
IFERROR(SEARCH(RM$5,RK4),99999),
IFERROR(SEARCH(RM$6,RK4),99999),
IFERROR(SEARCH(RM$7,RK4),99999),
IFERROR(SEARCH(RM$8,RK4),99999),
IFERROR(SEARCH(RM$9,RK4),99999),
IFERROR(SEARCH(RM$10,RK4),99999),
IFERROR(SEARCH(RM$11,RK4),99999),
IFERROR(SEARCH(RM$12,RK4),99999),
IFERROR(SEARCH(RM$13,RK4),99999),
IFERROR(SEARCH(RM$14,RK4),99999)
)</f>
        <v>99999</v>
      </c>
      <c r="RO4" s="1179" t="str">
        <f t="shared" ref="RO4:RO7" si="23">IFERROR(DATEVALUE(MID(RK4,1,10)),
IFERROR(DATEVALUE(MID(RK4,RN4,10)),
""))</f>
        <v/>
      </c>
      <c r="RP4" t="s">
        <v>8513</v>
      </c>
      <c r="RQ4" s="854">
        <f>MIN(IFERROR(SEARCH(RP$3,$RK4)+LEN(RP$3),99999),
IFERROR(SEARCH(RP$4,$RK4)+LEN(RP$4),99999),
IFERROR(SEARCH(RP$5,$RK4)+LEN(RP$5),99999),
IFERROR(SEARCH(RP$6,$RK4)+LEN(RP$6),99999),
IFERROR(SEARCH(RP$7,$RK4)+LEN(RP$7),99999),
IFERROR(SEARCH(RP$8,$RK4)+LEN(RP$8),99999),
IFERROR(SEARCH(RP$9,$RK4)+LEN(RP$9),99999),
IFERROR(SEARCH(RP$10,$RK4)+LEN(RP$10),99999),
IFERROR(SEARCH(RP$11,$RK4+LEN(RP$11)),99999),
IFERROR(SEARCH(RP$12,$RK4)+LEN(RP$12),99999),
IFERROR(SEARCH(RP$13,$RK4)+LEN(RP$13),99999),
IFERROR(SEARCH(RP$14,$RK4)+LEN(RP$14),99999)
)</f>
        <v>99999</v>
      </c>
      <c r="RR4" t="s">
        <v>8513</v>
      </c>
      <c r="RS4" s="854">
        <f>MIN(IFERROR(SEARCH(RR$3,$RK4,RQ4),99999),
IFERROR(SEARCH(RR$4,$RK4,RQ4),99999),
IFERROR(SEARCH(RR$5,$RK4,RQ4),99999),
IFERROR(SEARCH(RR$6,$RK4,RQ4),99999),
IFERROR(SEARCH(RR$7,$RK4,RQ4),99999),
IFERROR(SEARCH(RR$8,$RK4,RQ4),99999),
IFERROR(SEARCH(RR$9,$RK4,RQ4),99999),
IFERROR(SEARCH(RR$10,$RK4,RQ4),99999),
IFERROR(SEARCH(RR$11,$RK4,RQ4),99999),
IFERROR(SEARCH(RR$12,$RK4,RQ4),99999),
IFERROR(SEARCH(RR$13,$RK4,RQ4),99999),
IFERROR(SEARCH(RR$14,$RK4,RQ4),99999)
)</f>
        <v>99999</v>
      </c>
      <c r="RT4">
        <f>RS4-RQ4</f>
        <v>0</v>
      </c>
      <c r="RU4" s="1070" t="e">
        <f>MID(RK4,RQ4,RT4)</f>
        <v>#VALUE!</v>
      </c>
      <c r="RV4" t="s">
        <v>8513</v>
      </c>
      <c r="RW4" s="854">
        <f>MIN(IFERROR(SEARCH(RV$3,$RK4)+LEN(RV$3),99999),
IFERROR(SEARCH(RV$4,$RK4)+LEN(RV$4),99999),
IFERROR(SEARCH(RV$5,$RK4)+LEN(RV$5),99999),
IFERROR(SEARCH(RV$6,$RK4)+LEN(RV$6),99999),
IFERROR(SEARCH(RV$7,$RK4)+LEN(RV$7),99999),
IFERROR(SEARCH(RV$8,$RK4)+LEN(RV$8),99999),
IFERROR(SEARCH(RV$9,$RK4)+LEN(RV$9),99999),
IFERROR(SEARCH(RV$10,$RK4)+LEN(RV$10),99999),
IFERROR(SEARCH(RV$11,$RK4+LEN(RV$11)),99999),
IFERROR(SEARCH(RV$12,$RK4)+LEN(RV$12),99999),
IFERROR(SEARCH(RV$13,$RK4)+LEN(RV$13),99999),
IFERROR(SEARCH(RV$14,$RK4)+LEN(RV$14),99999)
)</f>
        <v>99999</v>
      </c>
      <c r="RX4" t="s">
        <v>8513</v>
      </c>
      <c r="RY4" s="854">
        <f>MIN(IFERROR(SEARCH(RX$3,$RK4,RW4),99999),
IFERROR(SEARCH(RX$4,$RK4,RW4),99999),
IFERROR(SEARCH(RX$5,$RK4,RW4),99999),
IFERROR(SEARCH(RX$6,$RK4,RW4),99999),
IFERROR(SEARCH(RX$7,$RK4,RW4),99999),
IFERROR(SEARCH(RX$8,$RK4,RW4),99999),
IFERROR(SEARCH(RX$9,$RK4,RW4),99999),
IFERROR(SEARCH(RX$10,$RK4,RW4),99999),
IFERROR(SEARCH(RX$11,$RK4,RW4),99999),
IFERROR(SEARCH(RX$12,$RK4,RW4),99999),
IFERROR(SEARCH(RX$13,$RK4,RW4),99999),
IFERROR(SEARCH(RX$14,$RK4,RW4),99999)
)</f>
        <v>99999</v>
      </c>
      <c r="RZ4">
        <f>RY4-RW4</f>
        <v>0</v>
      </c>
      <c r="SA4" s="1060" t="e">
        <f t="shared" ref="SA4:SA7" si="24">MID($RK4,RW4,RZ4)</f>
        <v>#VALUE!</v>
      </c>
      <c r="SB4" t="s">
        <v>8513</v>
      </c>
      <c r="SC4" s="854">
        <f>MIN(IFERROR(SEARCH(SB$3,$RK4)+LEN(SB$3),99999),
IFERROR(SEARCH(SB$4,$RK4)+LEN(SB$4),99999),
IFERROR(SEARCH(SB$5,$RK4)+LEN(SB$5),99999),
IFERROR(SEARCH(SB$6,$RK4)+LEN(SB$6),99999),
IFERROR(SEARCH(SB$7,$RK4)+LEN(SB$7),99999),
IFERROR(SEARCH(SB$8,$RK4)+LEN(SB$8),99999),
IFERROR(SEARCH(SB$9,$RK4)+LEN(SB$9),99999),
IFERROR(SEARCH(SB$10,$RK4)+LEN(SB$10),99999),
IFERROR(SEARCH(SB$11,$RK4+LEN(SB$11)),99999),
IFERROR(SEARCH(SB$12,$RK4)+LEN(SB$12),99999),
IFERROR(SEARCH(SB$13,$RK4)+LEN(SB$13),99999),
IFERROR(SEARCH(SB$14,$RK4)+LEN(SB$14),99999)
)</f>
        <v>99999</v>
      </c>
      <c r="SD4" t="s">
        <v>8513</v>
      </c>
      <c r="SE4" s="854">
        <f>MIN(IFERROR(SEARCH(SD$3,$RK4,SC4),99999),
IFERROR(SEARCH(SD$4,$RK4,SC4),99999),
IFERROR(SEARCH(SD$5,$RK4,SC4),99999),
IFERROR(SEARCH(SD$6,$RK4,SC4),99999),
IFERROR(SEARCH(SD$7,$RK4,SC4),99999),
IFERROR(SEARCH(SD$8,$RK4,SC4),99999),
IFERROR(SEARCH(SD$9,$RK4,SC4),99999),
IFERROR(SEARCH(SD$10,$RK4,SC4),99999),
IFERROR(SEARCH(SD$11,$RK4,SC4),99999),
IFERROR(SEARCH(SD$12,$RK4,SC4),99999),
IFERROR(SEARCH(SD$13,$RK4,SC4),99999),
IFERROR(SEARCH(SD$14,$RK4,SC4),99999)
)</f>
        <v>99999</v>
      </c>
      <c r="SF4">
        <f>SE4-SC4</f>
        <v>0</v>
      </c>
      <c r="SG4" s="1060" t="e">
        <f t="shared" ref="SG4:SG7" si="25">MID($RK4,SC4,SF4)</f>
        <v>#VALUE!</v>
      </c>
      <c r="SH4" s="1109" t="e">
        <f>RU3</f>
        <v>#VALUE!</v>
      </c>
      <c r="SI4" s="1055">
        <v>2</v>
      </c>
      <c r="SJ4" s="870" t="s">
        <v>8565</v>
      </c>
      <c r="SK4" s="854">
        <f>MIN(IFERROR(SEARCH(SJ$3,$E$4,SO3),99999),
IFERROR(SEARCH(SJ$4,$E$4,SO3),99999),
IFERROR(SEARCH(SJ$5,$E$4,SO3),99999),
IFERROR(SEARCH(SJ$6,$E$4,SO3),99999),
IFERROR(SEARCH(SJ$7,$E$4,SO3),99999),
IFERROR(SEARCH(SJ$8,$E$4,SO3),99999),
IFERROR(SEARCH(SJ$9,$E$4,SO3),99999),
IFERROR(SEARCH(SJ$10,$E$4,SO3),99999),
IFERROR(SEARCH(SJ$11,$E$4,SO3),99999),
IFERROR(SEARCH(SJ$12,$E$4,SO3),99999),
IFERROR(SEARCH(SJ$13,$E$4,SO3),99999),
IFERROR(SEARCH(SJ$14,$E$4,SO3),99999),
IFERROR(SEARCH(SJ$15,$E$4,SO3),99999),
IFERROR(SEARCH(SJ$16,$E$4,SO3),99999),
IFERROR(SEARCH(SJ$17,$E$4,SO3),99999),
IFERROR(SEARCH(SJ$18,$E$4,SO3),99999),
IFERROR(SEARCH(SJ$19,$E$4,SO3),99999)
)</f>
        <v>99999</v>
      </c>
      <c r="SL4" s="920"/>
      <c r="SM4" s="334">
        <f t="shared" ref="SM4:SM7" si="26">LEN(MID($E$4,1,SK4))-LEN(IF(ISERROR(FIND(" ",MID($E$4,1,SK4))),MID($E$4,1,SK4),RIGHT(MID($E$4,1,SK4),LEN(MID($E$4,1,SK4))-FIND("~",SUBSTITUTE(MID($E$4,1,SK4),SL$3,"~",LEN(MID($E$4,1,SK4))-LEN(SUBSTITUTE(MID($E$4,1,SK4),SL$3,"")))))))+1</f>
        <v>5367</v>
      </c>
      <c r="SN4" s="880"/>
      <c r="SO4" s="1059" t="e">
        <f>SEARCH(SN$3,$E$4,SM4)</f>
        <v>#VALUE!</v>
      </c>
      <c r="SP4" s="854" t="e">
        <f>SO4-SM4</f>
        <v>#VALUE!</v>
      </c>
      <c r="SQ4" s="979" t="e">
        <f>CLEAN(MID($E$4,SM4,SP4))</f>
        <v>#VALUE!</v>
      </c>
      <c r="SR4" s="882">
        <v>2</v>
      </c>
      <c r="SS4" s="1180" t="s">
        <v>8513</v>
      </c>
      <c r="ST4" s="854">
        <f>MIN(IFERROR(SEARCH(SS$3,SQ4),99999),
IFERROR(SEARCH(SS$4,SQ4),99999),
IFERROR(SEARCH(SS$5,SQ4),99999),
IFERROR(SEARCH(SS$6,SQ4),99999),
IFERROR(SEARCH(SS$7,SQ4),99999),
IFERROR(SEARCH(SS$8,SQ4),99999),
IFERROR(SEARCH(SS$9,SQ4),99999),
IFERROR(SEARCH(SS$10,SQ4),99999),
IFERROR(SEARCH(SS$11,SQ4),99999),
IFERROR(SEARCH(SS$12,SQ4),99999),
IFERROR(SEARCH(SS$13,SQ4),99999),
IFERROR(SEARCH(SS$14,SQ4),99999)
)</f>
        <v>99999</v>
      </c>
      <c r="SU4" s="1179" t="str">
        <f>IFERROR(DATEVALUE(MID(SQ4,1,10)),
IFERROR(DATEVALUE(MID(SQ4,ST4,10)),
IFERROR(DATEVALUE(MID(SQ4,ST4+LEN(DQ13)+1,10)),
"")))</f>
        <v/>
      </c>
      <c r="SV4" t="s">
        <v>8437</v>
      </c>
      <c r="SX4" t="e">
        <f>SQ3</f>
        <v>#VALUE!</v>
      </c>
      <c r="SY4" s="1476"/>
      <c r="SZ4" s="834" t="s">
        <v>8435</v>
      </c>
      <c r="TA4" s="306" t="str">
        <f>IF(TB3=" за период",SEARCH(" за период",$SQ$3,TC3)+LEN(" за период")+3,"НЕТ")</f>
        <v>НЕТ</v>
      </c>
      <c r="TB4" s="306" t="s">
        <v>8434</v>
      </c>
      <c r="TC4" s="306" t="e">
        <f>SEARCH(TB4,$SQ$3,TA4)</f>
        <v>#VALUE!</v>
      </c>
      <c r="TD4" s="306" t="e">
        <f>TC4-TA4</f>
        <v>#VALUE!</v>
      </c>
      <c r="TE4" s="827" t="e">
        <f>DATEVALUE(MID($SQ$3,TA4,TD4))</f>
        <v>#VALUE!</v>
      </c>
      <c r="TF4" s="828" t="str">
        <f>IF(TB3=" за период",TE4,"")</f>
        <v/>
      </c>
      <c r="TG4" s="843" t="str">
        <f>IF(TF10="","",CONCATENATE(SY10,". ",TF10," ",IFERROR(CONCATENATE(TE14,",",TE15),""),IF(ISERROR(CONCATENATE(TE14,",",TE15)),"","₽")))</f>
        <v/>
      </c>
      <c r="TH4" t="s">
        <v>8437</v>
      </c>
      <c r="TJ4" t="e">
        <f>$SQ$3</f>
        <v>#VALUE!</v>
      </c>
      <c r="TK4" s="1491"/>
      <c r="TL4" s="401"/>
      <c r="TM4" s="836" t="e">
        <f>SEARCH(" ",TJ4,TO3+1)+1</f>
        <v>#VALUE!</v>
      </c>
      <c r="TN4" s="306" t="s">
        <v>8432</v>
      </c>
      <c r="TO4" s="306" t="e">
        <f>SEARCH(TN4,TJ4,TM4)</f>
        <v>#VALUE!</v>
      </c>
      <c r="TP4" s="306" t="e">
        <f>TO4-TM4</f>
        <v>#VALUE!</v>
      </c>
      <c r="TQ4" s="1027" t="e">
        <f>MID(TJ4,TM4,TP4)</f>
        <v>#VALUE!</v>
      </c>
      <c r="TR4" s="828"/>
      <c r="TS4" s="843" t="str">
        <f>IF(TR9="","",CONCATENATE(TK9,". ",TR9," ",IFERROR(CONCATENATE(TQ10,",",TQ11),""),IF(ISERROR(CONCATENATE(TQ10,",",TQ11)),"","₽")))</f>
        <v/>
      </c>
      <c r="TT4" t="str">
        <f t="shared" ref="TT4:TT28" si="27">SV4</f>
        <v xml:space="preserve">, </v>
      </c>
      <c r="TV4" t="e">
        <f>$SQ$4</f>
        <v>#VALUE!</v>
      </c>
      <c r="TW4" s="1476"/>
      <c r="TX4" s="834" t="s">
        <v>8435</v>
      </c>
      <c r="TY4" s="306" t="str">
        <f>IF(TZ3=" за период",SEARCH(" за период",$SQ$4,UA3)+LEN(" за период")+3,"НЕТ")</f>
        <v>НЕТ</v>
      </c>
      <c r="TZ4" s="306" t="s">
        <v>8434</v>
      </c>
      <c r="UA4" s="306" t="e">
        <f>SEARCH(TZ4,$SQ$4,TY4)</f>
        <v>#VALUE!</v>
      </c>
      <c r="UB4" s="306" t="e">
        <f>UA4-TY4</f>
        <v>#VALUE!</v>
      </c>
      <c r="UC4" s="827" t="e">
        <f>DATEVALUE(MID($SQ$4,TY4,UB4))</f>
        <v>#VALUE!</v>
      </c>
      <c r="UD4" s="828" t="str">
        <f>IF(TZ3=" за период",UC4,"")</f>
        <v/>
      </c>
      <c r="UE4" s="843" t="str">
        <f>IF(UD10="","",CONCATENATE(TW10,". ",UD10," ",IFERROR(CONCATENATE(UC14,",",UC15),""),IF(ISERROR(CONCATENATE(UC14,",",UC15)),"","₽")))</f>
        <v/>
      </c>
      <c r="UF4" t="s">
        <v>8437</v>
      </c>
      <c r="UH4" t="e">
        <f>$SQ$4</f>
        <v>#VALUE!</v>
      </c>
      <c r="UI4" s="1491"/>
      <c r="UJ4" s="401"/>
      <c r="UK4" s="836" t="e">
        <f>SEARCH(" ",UH4,UM3+1)+1</f>
        <v>#VALUE!</v>
      </c>
      <c r="UL4" s="306" t="s">
        <v>8432</v>
      </c>
      <c r="UM4" s="306" t="e">
        <f>SEARCH(UL4,UH4,UK4)</f>
        <v>#VALUE!</v>
      </c>
      <c r="UN4" s="306" t="e">
        <f>UM4-UK4</f>
        <v>#VALUE!</v>
      </c>
      <c r="UO4" s="1027" t="e">
        <f>MID(UH4,UK4,UN4)</f>
        <v>#VALUE!</v>
      </c>
      <c r="UP4" s="828"/>
      <c r="UQ4" s="843" t="str">
        <f>IF(UP9="","",CONCATENATE(UI9,". ",UP9," ",IFERROR(CONCATENATE(UO10,",",UO11),""),IF(ISERROR(CONCATENATE(UO10,",",UO11)),"","₽")))</f>
        <v/>
      </c>
      <c r="UR4" t="str">
        <f t="shared" ref="UR4:UR12" si="28">SV4</f>
        <v xml:space="preserve">, </v>
      </c>
      <c r="UT4" t="e">
        <f>$SQ$5</f>
        <v>#VALUE!</v>
      </c>
      <c r="UU4" s="1476"/>
      <c r="UV4" s="834" t="s">
        <v>8435</v>
      </c>
      <c r="UW4" s="306" t="str">
        <f>IF(UX3=" за период",SEARCH(" за период",$SQ$5,UY3)+LEN(" за период")+3,"НЕТ")</f>
        <v>НЕТ</v>
      </c>
      <c r="UX4" s="306" t="s">
        <v>8434</v>
      </c>
      <c r="UY4" s="306" t="e">
        <f>SEARCH(UX4,$SQ$5,UW4)</f>
        <v>#VALUE!</v>
      </c>
      <c r="UZ4" s="306" t="e">
        <f>UY4-UW4</f>
        <v>#VALUE!</v>
      </c>
      <c r="VA4" s="827" t="e">
        <f>DATEVALUE(MID($SQ$5,UW4,UZ4))</f>
        <v>#VALUE!</v>
      </c>
      <c r="VB4" s="828" t="str">
        <f>IF(UX3=" за период",VA4,"")</f>
        <v/>
      </c>
      <c r="VC4" s="843" t="str">
        <f>IF(VB10="","",CONCATENATE(UU10,". ",VB10," ",IFERROR(CONCATENATE(VA14,",",VA15),""),IF(ISERROR(CONCATENATE(VA14,",",VA15)),"","₽")))</f>
        <v/>
      </c>
      <c r="VD4" t="s">
        <v>8437</v>
      </c>
      <c r="VF4" t="e">
        <f>$SQ$5</f>
        <v>#VALUE!</v>
      </c>
      <c r="VG4" s="1491"/>
      <c r="VH4" s="401"/>
      <c r="VI4" s="836" t="e">
        <f>SEARCH(" ",VF4,VK3+1)+1</f>
        <v>#VALUE!</v>
      </c>
      <c r="VJ4" s="306" t="s">
        <v>8432</v>
      </c>
      <c r="VK4" s="306" t="e">
        <f>SEARCH(VJ4,VF4,VI4)</f>
        <v>#VALUE!</v>
      </c>
      <c r="VL4" s="306" t="e">
        <f>VK4-VI4</f>
        <v>#VALUE!</v>
      </c>
      <c r="VM4" s="1027" t="e">
        <f>MID(VF4,VI4,VL4)</f>
        <v>#VALUE!</v>
      </c>
      <c r="VN4" s="828"/>
      <c r="VO4" s="843" t="str">
        <f>IF(VN9="","",CONCATENATE(VG9,". ",VN9," ",IFERROR(CONCATENATE(VM10,",",VM11),""),IF(ISERROR(CONCATENATE(VM10,",",VM11)),"","₽")))</f>
        <v/>
      </c>
      <c r="VP4" t="str">
        <f t="shared" ref="VP4:VP12" si="29">SV4</f>
        <v xml:space="preserve">, </v>
      </c>
      <c r="VR4" t="e">
        <f>SQ6</f>
        <v>#VALUE!</v>
      </c>
      <c r="VS4" s="1476"/>
      <c r="VT4" s="834" t="s">
        <v>8435</v>
      </c>
      <c r="VU4" s="306" t="str">
        <f>IF(VV3=" за период",SEARCH(" за период",$SQ$6,VW3)+LEN(" за период")+3,"НЕТ")</f>
        <v>НЕТ</v>
      </c>
      <c r="VV4" s="306" t="s">
        <v>8434</v>
      </c>
      <c r="VW4" s="306" t="e">
        <f>SEARCH(VV4,$SQ$6,VU4)</f>
        <v>#VALUE!</v>
      </c>
      <c r="VX4" s="306" t="e">
        <f>VW4-VU4</f>
        <v>#VALUE!</v>
      </c>
      <c r="VY4" s="827" t="e">
        <f>DATEVALUE(MID($SQ$6,VU4,VX4))</f>
        <v>#VALUE!</v>
      </c>
      <c r="VZ4" s="828" t="str">
        <f>IF(VV3=" за период",VY4,"")</f>
        <v/>
      </c>
      <c r="WA4" s="843" t="str">
        <f>IF(VZ10="","",CONCATENATE(VS10,". ",VZ10," ",IFERROR(CONCATENATE(VY14,",",VY15),""),IF(ISERROR(CONCATENATE(VY14,",",VY15)),"","₽")))</f>
        <v/>
      </c>
      <c r="WB4" t="s">
        <v>8437</v>
      </c>
      <c r="WD4" t="e">
        <f>$SQ$6</f>
        <v>#VALUE!</v>
      </c>
      <c r="WE4" s="1491"/>
      <c r="WF4" s="401"/>
      <c r="WG4" s="836" t="e">
        <f>SEARCH(" ",WD4,WI3+1)+1</f>
        <v>#VALUE!</v>
      </c>
      <c r="WH4" s="306" t="s">
        <v>8432</v>
      </c>
      <c r="WI4" s="306" t="e">
        <f>SEARCH(WH4,WD4,WG4)</f>
        <v>#VALUE!</v>
      </c>
      <c r="WJ4" s="306" t="e">
        <f>WI4-WG4</f>
        <v>#VALUE!</v>
      </c>
      <c r="WK4" s="1027" t="e">
        <f>MID(WD4,WG4,WJ4)</f>
        <v>#VALUE!</v>
      </c>
      <c r="WL4" s="828"/>
      <c r="WM4" s="843" t="str">
        <f>IF(WL9="","",CONCATENATE(WE9,". ",WL9," ",IFERROR(CONCATENATE(WK10,",",WK11),""),IF(ISERROR(CONCATENATE(WK10,",",WK11)),"","₽")))</f>
        <v/>
      </c>
      <c r="WN4" t="str">
        <f t="shared" ref="WN4:WN12" si="30">SV4</f>
        <v xml:space="preserve">, </v>
      </c>
      <c r="WP4" t="e">
        <f>SQ7</f>
        <v>#VALUE!</v>
      </c>
      <c r="WQ4" s="1476"/>
      <c r="WR4" s="834" t="s">
        <v>8435</v>
      </c>
      <c r="WS4" s="306" t="str">
        <f>IF(WT3=" за период",SEARCH(" за период",$SQ$7,WU3)+LEN(" за период")+3,"НЕТ")</f>
        <v>НЕТ</v>
      </c>
      <c r="WT4" s="306" t="s">
        <v>8434</v>
      </c>
      <c r="WU4" s="306" t="e">
        <f>SEARCH(WT4,$SQ$7,WS4)</f>
        <v>#VALUE!</v>
      </c>
      <c r="WV4" s="306" t="e">
        <f>WU4-WS4</f>
        <v>#VALUE!</v>
      </c>
      <c r="WW4" s="827" t="e">
        <f>DATEVALUE(MID($SQ$7,WS4,WV4))</f>
        <v>#VALUE!</v>
      </c>
      <c r="WX4" s="828" t="str">
        <f>IF(WT3=" за период",WW4,"")</f>
        <v/>
      </c>
      <c r="WY4" s="843" t="str">
        <f>IF(WX10="","",CONCATENATE(WQ10,". ",WX10," ",IFERROR(CONCATENATE(WW14,",",WW15),""),IF(ISERROR(CONCATENATE(WW14,",",WW15)),"","₽")))</f>
        <v/>
      </c>
      <c r="WZ4" t="s">
        <v>8437</v>
      </c>
      <c r="XB4" t="e">
        <f>$SQ$7</f>
        <v>#VALUE!</v>
      </c>
      <c r="XC4" s="1491"/>
      <c r="XD4" s="401"/>
      <c r="XE4" s="836" t="e">
        <f>SEARCH(" ",XB4,XG3+1)+1</f>
        <v>#VALUE!</v>
      </c>
      <c r="XF4" s="306" t="s">
        <v>8432</v>
      </c>
      <c r="XG4" s="306" t="e">
        <f>SEARCH(XF4,XB4,XE4)</f>
        <v>#VALUE!</v>
      </c>
      <c r="XH4" s="306" t="e">
        <f>XG4-XE4</f>
        <v>#VALUE!</v>
      </c>
      <c r="XI4" s="1027" t="e">
        <f>MID(XB4,XE4,XH4)</f>
        <v>#VALUE!</v>
      </c>
      <c r="XJ4" s="828"/>
      <c r="XK4" s="843" t="str">
        <f>IF(XJ9="","",CONCATENATE(XC9,". ",XJ9," ",IFERROR(CONCATENATE(XI10,",",XI11),""),IF(ISERROR(CONCATENATE(XI10,",",XI11)),"","₽")))</f>
        <v/>
      </c>
      <c r="XL4" s="1090" t="str">
        <f>IFERROR(CONCATENATE(DATES!C16," ",TEXT(VALUE(CONCATENATE(LEFT(DATES!E16,SEARCH(",",TEXT(DATES!E16,"0,00"))-1),",",RIGHT(TEXT(DATES!E16,"0,00"),2))),"0 000,00"),"₽"),"")</f>
        <v xml:space="preserve"> 0 000,00₽</v>
      </c>
      <c r="XM4" s="1044">
        <v>2</v>
      </c>
      <c r="XN4" s="901" t="s">
        <v>9464</v>
      </c>
      <c r="XO4" s="854">
        <f>MIN(IFERROR(SEARCH(XN$3,$E$4,XS3),99999),
IFERROR(SEARCH(XN$4,$E$4,XS3),99999),
IFERROR(SEARCH(XN$5,$E$4,XS3),99999),
IFERROR(SEARCH(XN$6,$E$4,XS3),99999),
IFERROR(SEARCH(XN$7,$E$4,XS3),99999),
IFERROR(SEARCH(XN$8,$E$4,XS3),99999),
IFERROR(SEARCH(XN$9,$E$4,XS3),99999),
IFERROR(SEARCH(XN$10,$E$4,XS3),99999),
IFERROR(SEARCH(XN$11,$E$4,XS3),99999),
IFERROR(SEARCH(XN$12,$E$4,XS3),99999),
IFERROR(SEARCH(XN$13,$E$4,XS3),99999),
IFERROR(SEARCH(XN$14,$E$4,XS3),99999),
IFERROR(SEARCH(XN$15,$E$4,XS3),99999),
IFERROR(SEARCH(XN$16,$E$4,XS3),99999),
IFERROR(SEARCH(XN$17,$E$4,XS3),99999)
)</f>
        <v>2388</v>
      </c>
      <c r="XP4" s="920"/>
      <c r="XQ4" s="334">
        <f>LEN(MID($E$4,1,XO4))-LEN(IF(ISERROR(FIND(" ",MID($E$4,1,XO4))),MID($E$4,1,XO4),RIGHT(MID($E$4,1,XO4),LEN(MID($E$4,1,XO4))-FIND("~",SUBSTITUTE(MID($E$4,1,XO4),XP$3,"~",LEN(MID($E$4,1,XO4))-LEN(SUBSTITUTE(MID($E$4,1,XO4),XP$3,"")))))))+1</f>
        <v>2354</v>
      </c>
      <c r="XR4" s="902"/>
      <c r="XS4" s="863">
        <f>SEARCH(XR3,$E$4,XQ4)</f>
        <v>2513</v>
      </c>
      <c r="XT4" s="854">
        <f>XS4-XQ4</f>
        <v>159</v>
      </c>
      <c r="XU4" s="1042" t="str">
        <f>CLEAN(MID($E$4,XQ4,XT4))</f>
        <v>Финансовая организация в ответ на заявление (претензию) от 02.08.2019 письмом от 05.08.2019 № 902/19 отказала Заявителю в удовлетворении заявленных требований.</v>
      </c>
      <c r="XV4" s="869">
        <v>2</v>
      </c>
      <c r="XW4" s="1180" t="s">
        <v>8513</v>
      </c>
      <c r="XX4" s="854">
        <f>MIN(IFERROR(SEARCH(XW$3,XU4),99999),
IFERROR(SEARCH(XW$4,XU4),99999),
IFERROR(SEARCH(XW$5,XU4),99999),
IFERROR(SEARCH(XW$6,XU4),99999),
IFERROR(SEARCH(XW$7,XU4),99999),
IFERROR(SEARCH(XW$8,XU4),99999),
IFERROR(SEARCH(XW$9,XU4),99999),
IFERROR(SEARCH(XW$10,XU4),99999),
IFERROR(SEARCH(XW$11,XU4),99999),
IFERROR(SEARCH(XW$12,XU4),99999),
IFERROR(SEARCH(XW$13,XU4),99999),
IFERROR(SEARCH(XW$14,XU4),99999)
)</f>
        <v>99999</v>
      </c>
      <c r="XY4" s="1179" t="str">
        <f>IFERROR(DATEVALUE(MID(XU4,1,10)),
IFERROR(DATEVALUE(MID(XU4,XX4,10)),
""))</f>
        <v/>
      </c>
      <c r="XZ4" s="876" t="s">
        <v>718</v>
      </c>
      <c r="YA4" s="876" t="e">
        <f>SEARCH(MA4,$XU$3)</f>
        <v>#VALUE!</v>
      </c>
      <c r="YC4" s="1472"/>
      <c r="YD4" t="s">
        <v>8437</v>
      </c>
      <c r="YG4" s="1476"/>
      <c r="YH4" s="834" t="s">
        <v>8435</v>
      </c>
      <c r="YI4" s="306" t="str">
        <f>IF(YJ3=" за период",SEARCH(" за период",$XU$3,YK3)+LEN(" за период")+3,"НЕТ")</f>
        <v>НЕТ</v>
      </c>
      <c r="YJ4" s="306" t="s">
        <v>8434</v>
      </c>
      <c r="YK4" s="306" t="e">
        <f>SEARCH(YJ4,$XU$3,YI4)</f>
        <v>#VALUE!</v>
      </c>
      <c r="YL4" s="306" t="e">
        <f>YK4-YI4</f>
        <v>#VALUE!</v>
      </c>
      <c r="YM4" s="827" t="e">
        <f>DATEVALUE(MID($XU$3,YI4,YL4))</f>
        <v>#VALUE!</v>
      </c>
      <c r="YN4" s="828" t="str">
        <f>IF(YJ3=" за период",YM4,"")</f>
        <v/>
      </c>
      <c r="YO4" s="843" t="str">
        <f>IF(ISERROR(YI10),"",CONCATENATE(YG10,". ",YN10," ",IFERROR(CONCATENATE(YM14,",",YM15),""),IF(ISERROR(CONCATENATE(YM14,",",YM15)),"","₽")))</f>
        <v xml:space="preserve">2. Неустойка </v>
      </c>
      <c r="YP4" t="str">
        <f>YD4</f>
        <v xml:space="preserve">, </v>
      </c>
      <c r="YS4" s="1476"/>
      <c r="YT4" s="834" t="s">
        <v>8435</v>
      </c>
      <c r="YU4" s="306" t="str">
        <f>IF(YV3=" за период",SEARCH(" за период",$XU$4,YW3)+LEN(" за период")+3,"НЕТ")</f>
        <v>НЕТ</v>
      </c>
      <c r="YV4" s="306" t="s">
        <v>8434</v>
      </c>
      <c r="YW4" s="306" t="e">
        <f>SEARCH(YV4,$XU$4,YU4)</f>
        <v>#VALUE!</v>
      </c>
      <c r="YX4" s="306" t="e">
        <f>YW4-YU4</f>
        <v>#VALUE!</v>
      </c>
      <c r="YY4" s="827" t="e">
        <f>DATEVALUE(MID($XU$4,YU4,YX4))</f>
        <v>#VALUE!</v>
      </c>
      <c r="YZ4" s="828" t="str">
        <f>IF(YV3=" за период",YY4,"")</f>
        <v/>
      </c>
      <c r="ZA4" s="843" t="str">
        <f>IF(ISERROR(YU10),"",CONCATENATE(YS10,". ",YZ10," ",IFERROR(CONCATENATE(YY14,",",YY15),""),IF(ISERROR(CONCATENATE(YY14,",",YY15)),"","₽")))</f>
        <v/>
      </c>
      <c r="ZB4" t="str">
        <f t="shared" ref="ZB4:ZB12" si="31">YD4</f>
        <v xml:space="preserve">, </v>
      </c>
      <c r="ZE4" s="1476"/>
      <c r="ZF4" s="834" t="s">
        <v>8435</v>
      </c>
      <c r="ZG4" s="306" t="str">
        <f>IF(ZH3=" за период",SEARCH(" за период",$XU$5,ZI3)+LEN(" за период")+3,"НЕТ")</f>
        <v>НЕТ</v>
      </c>
      <c r="ZH4" s="306" t="s">
        <v>8434</v>
      </c>
      <c r="ZI4" s="306" t="e">
        <f>SEARCH(ZH4,$XU$5,ZG4)</f>
        <v>#VALUE!</v>
      </c>
      <c r="ZJ4" s="306" t="e">
        <f>ZI4-ZG4</f>
        <v>#VALUE!</v>
      </c>
      <c r="ZK4" s="827" t="e">
        <f>DATEVALUE(MID($XU$5,ZG4,ZJ4))</f>
        <v>#VALUE!</v>
      </c>
      <c r="ZL4" s="828" t="str">
        <f>IF(ZH3=" за период",ZK4,"")</f>
        <v/>
      </c>
      <c r="ZM4" s="843" t="str">
        <f>IF(ISERROR(ZG10),"",CONCATENATE(ZE10,". ",ZL10," ",IFERROR(CONCATENATE(ZK14,",",ZK15),""),IF(ISERROR(CONCATENATE(ZK14,",",ZK15)),"","₽")))</f>
        <v/>
      </c>
      <c r="ZN4" t="str">
        <f t="shared" ref="ZN4:ZN12" si="32">YD4</f>
        <v xml:space="preserve">, </v>
      </c>
      <c r="ZQ4" s="1476"/>
      <c r="ZR4" s="834" t="s">
        <v>8435</v>
      </c>
      <c r="ZS4" s="306">
        <f>IF(ZT3=" за период",SEARCH(" за период",$XU$6,ZU3)+LEN(" за период")+3,"НЕТ")</f>
        <v>208</v>
      </c>
      <c r="ZT4" s="306" t="s">
        <v>8434</v>
      </c>
      <c r="ZU4" s="306">
        <f>SEARCH(ZT4,$XU$6,ZS4)</f>
        <v>218</v>
      </c>
      <c r="ZV4" s="306">
        <f>ZU4-ZS4</f>
        <v>10</v>
      </c>
      <c r="ZW4" s="827">
        <f>DATEVALUE(MID($XU$6,ZS4,ZV4))</f>
        <v>43838</v>
      </c>
      <c r="ZX4" s="828">
        <f>IF(ZT3=" за период",ZW4,"")</f>
        <v>43838</v>
      </c>
      <c r="ZY4" s="843" t="str">
        <f>IF(ISERROR(ZS10),"",CONCATENATE(ZQ10,". ",ZX10," ",IFERROR(CONCATENATE(ZW14,",",ZW15),""),IF(ISERROR(CONCATENATE(ZW14,",",ZW15)),"","₽")))</f>
        <v/>
      </c>
      <c r="ZZ4" t="str">
        <f t="shared" ref="ZZ4:ZZ12" si="33">YD4</f>
        <v xml:space="preserve">, </v>
      </c>
      <c r="AAC4" s="1476"/>
      <c r="AAD4" s="834" t="s">
        <v>8435</v>
      </c>
      <c r="AAE4" s="306" t="str">
        <f>IF(AAF3=" за период",SEARCH(" за период",$XU$7,AAG3)+LEN(" за период")+3,"НЕТ")</f>
        <v>НЕТ</v>
      </c>
      <c r="AAF4" s="306" t="s">
        <v>8434</v>
      </c>
      <c r="AAG4" s="306" t="e">
        <f>SEARCH(AAF4,$XU$7,AAE4)</f>
        <v>#VALUE!</v>
      </c>
      <c r="AAH4" s="306" t="e">
        <f>AAG4-AAE4</f>
        <v>#VALUE!</v>
      </c>
      <c r="AAI4" s="827" t="e">
        <f>DATEVALUE(MID($XU$7,AAE4,AAH4))</f>
        <v>#VALUE!</v>
      </c>
      <c r="AAJ4" s="828" t="str">
        <f>IF(AAF3=" за период",AAI4,"")</f>
        <v/>
      </c>
      <c r="AAK4" s="843" t="str">
        <f>IF(ISERROR(AAE10),"",CONCATENATE(AAC10,". ",AAJ10," ",IFERROR(CONCATENATE(AAI14,",",AAI15),""),IF(ISERROR(CONCATENATE(AAI14,",",AAI15)),"","₽")))</f>
        <v/>
      </c>
      <c r="AAL4" s="1090" t="str">
        <f>IF(DATES!O3="","",DATES!O3)</f>
        <v>Неустойка</v>
      </c>
      <c r="AAM4" s="974">
        <v>2</v>
      </c>
      <c r="AAN4" s="946" t="s">
        <v>8513</v>
      </c>
      <c r="AAO4" s="854">
        <f>MIN(IFERROR(SEARCH(AAN$3,$E$4,AAS3),99999),
IFERROR(SEARCH(AAN$4,$E$4,AAS3),99999),
IFERROR(SEARCH(AAN$5,$E$4,AAS3),99999),
IFERROR(SEARCH(AAN$6,$E$4,AAS3),99999),
IFERROR(SEARCH(AAN$7,$E$4,AAS3),99999),
IFERROR(SEARCH(AAN$8,$E$4,AAS3),99999),
IFERROR(SEARCH(AAN$9,$E$4,AAS3),99999),
IFERROR(SEARCH(AAN$10,$E$4,AAS3),99999),
IFERROR(SEARCH(AAN$11,$E$4,AAS3),99999),
IFERROR(SEARCH(AAN$12,$E$4,AAS3),99999),
IFERROR(SEARCH(AAN$13,$E$4,AAS3),99999),
IFERROR(SEARCH(AAN$14,$E$4,AAS3),99999)
)</f>
        <v>99999</v>
      </c>
      <c r="AAP4" s="920"/>
      <c r="AAQ4" s="334">
        <f>LEN(MID($E$4,1,AAO4))-LEN(IF(ISERROR(FIND(" ",MID($E$4,1,AAO4))),MID($E$4,1,AAO4),RIGHT(MID($E$4,1,AAO4),LEN(MID($E$4,1,AAO4))-FIND("~",SUBSTITUTE(MID($E$4,1,AAO4),AAP3,"~",LEN(MID($E$4,1,AAO4))-LEN(SUBSTITUTE(MID($E$4,1,AAO4),AAP3,"")))))))+1</f>
        <v>5367</v>
      </c>
      <c r="AAR4" s="947"/>
      <c r="AAS4" s="1047" t="e">
        <f>SEARCH(AAR$3,$E$4,AAQ4)</f>
        <v>#VALUE!</v>
      </c>
      <c r="AAT4" s="854" t="e">
        <f>AAS4-AAQ4</f>
        <v>#VALUE!</v>
      </c>
      <c r="AAU4" s="1042" t="e">
        <f>CLEAN(MID($E$4,AAQ4,AAT4))</f>
        <v>#VALUE!</v>
      </c>
      <c r="AAV4" t="s">
        <v>8513</v>
      </c>
      <c r="AAW4" s="947" t="e">
        <f t="shared" si="9"/>
        <v>#VALUE!</v>
      </c>
      <c r="ABA4" s="1486"/>
      <c r="ABB4" s="1087" t="str">
        <f>IFERROR(ABA15,"")</f>
        <v/>
      </c>
      <c r="ABC4" s="1069">
        <v>2</v>
      </c>
      <c r="ABD4" s="935" t="s">
        <v>9250</v>
      </c>
      <c r="ABE4" s="854">
        <f>MIN(IFERROR(SEARCH(ABD$3,$E$4,ABI3),99999),
IFERROR(SEARCH(ABD$4,$E$4,ABI3),99999),
IFERROR(SEARCH(ABD$5,$E$4,ABI3),99999),
IFERROR(SEARCH(ABD$6,$E$4,ABI3),99999),
IFERROR(SEARCH(ABD$7,$E$4,ABI3),99999),
IFERROR(SEARCH(ABD$8,$E$4,ABI3),99999),
IFERROR(SEARCH(ABD$9,$E$4,ABI3),99999),
IFERROR(SEARCH(ABD$10,$E$4,ABI3),99999),
IFERROR(SEARCH(ABD$11,$E$4,ABI3),99999),
IFERROR(SEARCH(ABD$12,$E$4,ABI3),99999),
IFERROR(SEARCH(ABD$13,$E$4,ABI3),99999),
IFERROR(SEARCH(ABD$14,$E$4,ABI3),99999)
)</f>
        <v>99999</v>
      </c>
      <c r="ABF4" s="920"/>
      <c r="ABG4" s="334">
        <f>LEN(MID($E$4,1,ABE4))-LEN(IF(ISERROR(FIND(" ",MID($E$4,1,ABE4))),MID($E$4,1,ABE4),RIGHT(MID($E$4,1,ABE4),LEN(MID($E$4,1,ABE4))-FIND("~",SUBSTITUTE(MID($E$4,1,ABE4),ABF3,"~",LEN(MID($E$4,1,ABE4))-LEN(SUBSTITUTE(MID($E$4,1,ABE4),ABF3,"")))))))+1</f>
        <v>5367</v>
      </c>
      <c r="ABH4" s="937"/>
      <c r="ABI4" s="937" t="e">
        <f>SEARCH(ABH3,$E$4,ABG4)</f>
        <v>#VALUE!</v>
      </c>
      <c r="ABJ4" s="854" t="e">
        <f>ABI4-ABG4</f>
        <v>#VALUE!</v>
      </c>
      <c r="ABK4" s="1042" t="e">
        <f>CLEAN(MID($E$4,ABG4,ABJ4))</f>
        <v>#VALUE!</v>
      </c>
      <c r="ABL4" t="s">
        <v>8711</v>
      </c>
      <c r="ABM4" s="854">
        <f t="shared" ref="ABM4:ABM5" si="34">MIN(IFERROR(SEARCH(ABL$3,$ABK4),99999),
IFERROR(SEARCH(ABL$4,$ABK4),99999),
IFERROR(SEARCH(ABL$5,$ABK4),99999),
IFERROR(SEARCH(ABL$6,$ABK4),99999),
IFERROR(SEARCH(ABL$7,$ABK4),99999),
IFERROR(SEARCH(ABL$8,$ABK4),99999),
IFERROR(SEARCH(ABL$9,$ABK4),99999),
IFERROR(SEARCH(ABL$10,$ABK4),99999),
IFERROR(SEARCH(ABL$11,$ABK4),99999),
IFERROR(SEARCH(ABL$12,$ABK4),99999),
IFERROR(SEARCH(ABL$13,$ABK4),99999),
IFERROR(SEARCH(ABL$14,$ABK4),99999)
)</f>
        <v>99999</v>
      </c>
      <c r="ABN4" t="s">
        <v>8513</v>
      </c>
      <c r="ABO4" s="854">
        <f>MIN(IFERROR(SEARCH(ABN$3,$ABK4,ABM4),99999),
IFERROR(SEARCH(ABN$4,$ABK4,ABM4),99999),
IFERROR(SEARCH(ABN$5,$ABK4,ABM4),99999),
IFERROR(SEARCH(ABN$6,$ABK4,ABM4),99999),
IFERROR(SEARCH(ABN$7,$ABK4,ABM4),99999),
IFERROR(SEARCH(ABN$8,$ABK4,ABM4),99999),
IFERROR(SEARCH(ABN$9,$ABK4,ABM4),99999),
IFERROR(SEARCH(ABN$10,$ABK4,ABM4),99999),
IFERROR(SEARCH(ABN$11,$ABK4,ABM4),99999),
IFERROR(SEARCH(ABN$12,$ABK4,ABM4),99999),
IFERROR(SEARCH(ABN$13,$ABK4,ABM4),99999),
IFERROR(SEARCH(ABN$14,$ABK4,ABM4),99999)
)</f>
        <v>99999</v>
      </c>
      <c r="ABP4">
        <f>ABO4-ABM4</f>
        <v>0</v>
      </c>
      <c r="ABQ4" s="1070" t="e">
        <f>MID($ABK$4,ABM4,ABP4)</f>
        <v>#VALUE!</v>
      </c>
      <c r="ABR4" t="s">
        <v>8513</v>
      </c>
      <c r="ABS4" s="854">
        <f>MIN(IFERROR(SEARCH(ABR$3,$ABK4)+LEN(ABR$3),99999),
IFERROR(SEARCH(ABR$4,$ABK4)+LEN(ABR$4),99999),
IFERROR(SEARCH(ABR$5,$ABK4)+LEN(ABR$5),99999),
IFERROR(SEARCH(ABR$6,$ABK4)+LEN(ABR$6),99999),
IFERROR(SEARCH(ABR$7,$ABK4)+LEN(ABR$7),99999),
IFERROR(SEARCH(ABR$8,$ABK4)+LEN(ABR$8),99999),
IFERROR(SEARCH(ABR$9,$ABK4)+LEN(ABR$9),99999),
IFERROR(SEARCH(ABR$10,$ABK4)+LEN(ABR$10),99999),
IFERROR(SEARCH(ABR$11,$ABK4+LEN(ABR$11)),99999),
IFERROR(SEARCH(ABR$12,$ABK4)+LEN(ABR$12),99999),
IFERROR(SEARCH(ABR$13,$ABK4)+LEN(ABR$13),99999),
IFERROR(SEARCH(ABR$14,$ABK4)+LEN(ABR$14),99999)
)</f>
        <v>99999</v>
      </c>
      <c r="ABT4" t="s">
        <v>8513</v>
      </c>
      <c r="ABU4" s="854">
        <f>MIN(IFERROR(SEARCH(ABT$3,$ABK4,ABS4),99999),
IFERROR(SEARCH(ABT$4,$ABK4,ABS4),99999),
IFERROR(SEARCH(ABT$5,$ABK4,ABS4),99999),
IFERROR(SEARCH(ABT$6,$ABK4,ABS4),99999),
IFERROR(SEARCH(ABT$7,$ABK4,ABS4),99999),
IFERROR(SEARCH(ABT$8,$ABK4,ABS4),99999),
IFERROR(SEARCH(ABT$9,$ABK4,ABS4),99999),
IFERROR(SEARCH(ABT$10,$ABK4,ABS4),99999),
IFERROR(SEARCH(ABT$11,$ABK4,ABS4),99999),
IFERROR(SEARCH(ABT$12,$ABK4,ABS4),99999),
IFERROR(SEARCH(ABT$13,$ABK4,ABS4),99999),
IFERROR(SEARCH(ABT$14,$ABK4,ABS4),99999)
)</f>
        <v>99999</v>
      </c>
      <c r="ABV4">
        <f>ABU4-ABS4</f>
        <v>0</v>
      </c>
      <c r="ABW4" s="1073" t="e">
        <f>DATEVALUE(MID($ABK$4,ABS4,ABV4))</f>
        <v>#VALUE!</v>
      </c>
      <c r="ABX4" t="s">
        <v>8513</v>
      </c>
      <c r="ABY4" s="854">
        <f>MIN(IFERROR(SEARCH(ABX$3,$ABK4)+LEN(ABX$3),99999),
IFERROR(SEARCH(ABX$4,$ABK4)+LEN(ABX$4),99999),
IFERROR(SEARCH(ABX$5,$ABK4)+LEN(ABX$5),99999),
IFERROR(SEARCH(ABX$6,$ABK4)+LEN(ABX$6),99999),
IFERROR(SEARCH(ABX$7,$ABK4)+LEN(ABX$7),99999),
IFERROR(SEARCH(ABX$8,$ABK4)+LEN(ABX$8),99999),
IFERROR(SEARCH(ABX$9,$ABK4)+LEN(ABX$9),99999),
IFERROR(SEARCH(ABX$10,$ABK4)+LEN(ABX$10),99999),
IFERROR(SEARCH(ABX$11,$ABK4+LEN(ABX$11)),99999),
IFERROR(SEARCH(ABX$12,$ABK4)+LEN(ABX$12),99999),
IFERROR(SEARCH(ABX$13,$ABK4)+LEN(ABX$13),99999),
IFERROR(SEARCH(ABX$14,$ABK4)+LEN(ABX$14),99999)
)</f>
        <v>99999</v>
      </c>
      <c r="ABZ4" t="s">
        <v>8513</v>
      </c>
      <c r="ACA4" s="854">
        <f>MIN(IFERROR(SEARCH(ABZ$3,$ABK4,ABY4),99999),
IFERROR(SEARCH(ABZ$4,$ABK4,ABY4),99999),
IFERROR(SEARCH(ABZ$5,$ABK4,ABY4),99999),
IFERROR(SEARCH(ABZ$6,$ABK4,ABY4),99999),
IFERROR(SEARCH(ABZ$7,$ABK4,ABY4),99999),
IFERROR(SEARCH(ABZ$8,$ABK4,ABY4),99999),
IFERROR(SEARCH(ABZ$9,$ABK4,ABY4),99999),
IFERROR(SEARCH(ABZ$10,$ABK4,ABY4),99999),
IFERROR(SEARCH(ABZ$11,$ABK4,ABY4),99999),
IFERROR(SEARCH(ABZ$12,$ABK4,ABY4),99999),
IFERROR(SEARCH(ABZ$13,$ABK4,ABY4),99999),
IFERROR(SEARCH(ABZ$14,$ABK4,ABY4),99999)
)</f>
        <v>99999</v>
      </c>
      <c r="ACB4">
        <f>ACA4-ABY4</f>
        <v>0</v>
      </c>
      <c r="ACC4" s="1064" t="e">
        <f>MID($ABK$4,ABY4,ACB4)</f>
        <v>#VALUE!</v>
      </c>
      <c r="ACD4" t="s">
        <v>8669</v>
      </c>
      <c r="ACE4" s="854">
        <f>MIN(IFERROR(SEARCH(ACD$3,$ABK4)+LEN(ACD$3),99999),
IFERROR(SEARCH(ACD$4,$ABK4)+LEN(ACD$4),99999),
IFERROR(SEARCH(ACD$5,$ABK4)+LEN(ACD$5),99999),
IFERROR(SEARCH(ACD$6,$ABK4)+LEN(ACD$6),99999),
IFERROR(SEARCH(ACD$7,$ABK4)+LEN(ACD$7),99999),
IFERROR(SEARCH(ACD$8,$ABK4)+LEN(ACD$8),99999),
IFERROR(SEARCH(ACD$9,$ABK4)+LEN(ACD$9),99999),
IFERROR(SEARCH(ACD$10,$ABK4)+LEN(ACD$10),99999),
IFERROR(SEARCH(ACD$11,$ABK4+LEN(ACD$11)),99999),
IFERROR(SEARCH(ACD$12,$ABK4)+LEN(ACD$12),99999),
IFERROR(SEARCH(ACD$13,$ABK4)+LEN(ACD$13),99999),
IFERROR(SEARCH(ACD$14,$ABK4)+LEN(ACD$14),99999)
)</f>
        <v>99999</v>
      </c>
      <c r="ACF4" s="1059" t="e">
        <f t="shared" ref="ACF4:ACF7" si="35">SEARCH(" руб",$ABK4,ACE4)</f>
        <v>#VALUE!</v>
      </c>
      <c r="ACG4" s="264" t="e">
        <f t="shared" ref="ACG4:ACG7" si="36">ACF4-ACE4</f>
        <v>#VALUE!</v>
      </c>
      <c r="ACH4" t="e">
        <f t="shared" ref="ACH4:ACH7" si="37">MID($ABK4,ACE4,ACG4)</f>
        <v>#VALUE!</v>
      </c>
      <c r="ACI4" s="264" t="e">
        <f t="shared" ref="ACI4:ACI7" si="38">SEARCH(" ",$ABK4,ACF4+1)+1</f>
        <v>#VALUE!</v>
      </c>
      <c r="ACJ4" s="1059" t="e">
        <f t="shared" ref="ACJ4:ACJ7" si="39">SEARCH(" коп",$ABK4,ACI4)</f>
        <v>#VALUE!</v>
      </c>
      <c r="ACK4" s="264" t="e">
        <f t="shared" ref="ACK4:ACK7" si="40">ACJ4-ACI4</f>
        <v>#VALUE!</v>
      </c>
      <c r="ACL4" t="e">
        <f t="shared" ref="ACL4:ACL7" si="41">MID($ABK4,ACI4,ACK4)</f>
        <v>#VALUE!</v>
      </c>
      <c r="ACM4" s="1075" t="e">
        <f>VALUE(CONCATENATE(ACH4,",",ACL4))</f>
        <v>#VALUE!</v>
      </c>
      <c r="ACN4" t="s">
        <v>8670</v>
      </c>
      <c r="ACO4" s="854">
        <f>MIN(IFERROR(SEARCH(ACN$3,$ABK4)+LEN(ACN$3),99999),
IFERROR(SEARCH(ACN$4,$ABK4)+LEN(ACN$4),99999),
IFERROR(SEARCH(ACN$5,$ABK4)+LEN(ACN$5),99999),
IFERROR(SEARCH(ACN$6,$ABK4)+LEN(ACN$6),99999),
IFERROR(SEARCH(ACN$7,$ABK4)+LEN(ACN$7),99999),
IFERROR(SEARCH(ACN$8,$ABK4)+LEN(ACN$8),99999),
IFERROR(SEARCH(ACN$9,$ABK4)+LEN(ACN$9),99999),
IFERROR(SEARCH(ACN$10,$ABK4)+LEN(ACN$10),99999),
IFERROR(SEARCH(ACN$11,$ABK4+LEN(ACN$11)),99999),
IFERROR(SEARCH(ACN$12,$ABK4)+LEN(ACN$12),99999),
IFERROR(SEARCH(ACN$13,$ABK4)+LEN(ACN$13),99999),
IFERROR(SEARCH(ACN$14,$ABK4)+LEN(ACN$14),99999)
)</f>
        <v>99999</v>
      </c>
      <c r="ACP4" s="1059" t="e">
        <f t="shared" ref="ACP4:ACP7" si="42">SEARCH(" руб",$ABK4,ACO4)</f>
        <v>#VALUE!</v>
      </c>
      <c r="ACQ4" s="264" t="e">
        <f t="shared" ref="ACQ4:ACQ7" si="43">ACP4-ACO4</f>
        <v>#VALUE!</v>
      </c>
      <c r="ACR4" t="e">
        <f t="shared" ref="ACR4:ACR7" si="44">MID($ABK4,ACO4,ACQ4)</f>
        <v>#VALUE!</v>
      </c>
      <c r="ACS4" s="264" t="e">
        <f t="shared" ref="ACS4:ACS7" si="45">SEARCH(" ",$ABK4,ACP4+1)+1</f>
        <v>#VALUE!</v>
      </c>
      <c r="ACT4" s="1059" t="e">
        <f t="shared" ref="ACT4:ACT7" si="46">SEARCH(" коп",$ABK4,ACS4)</f>
        <v>#VALUE!</v>
      </c>
      <c r="ACU4" s="264" t="e">
        <f t="shared" ref="ACU4:ACU7" si="47">ACT4-ACS4</f>
        <v>#VALUE!</v>
      </c>
      <c r="ACV4" t="e">
        <f t="shared" ref="ACV4:ACV7" si="48">MID($ABK4,ACS4,ACU4)</f>
        <v>#VALUE!</v>
      </c>
      <c r="ACW4" s="1075" t="e">
        <f>VALUE(CONCATENATE(ACR4,",",ACV4))</f>
        <v>#VALUE!</v>
      </c>
      <c r="ACX4" t="s">
        <v>9581</v>
      </c>
      <c r="ACY4" s="854">
        <f>MIN(IFERROR(SEARCH(ACX$3,$ABK4)+LEN(ACX$3),99999),
IFERROR(SEARCH(ACX$4,$ABK4)+LEN(ACX$4),99999),
IFERROR(SEARCH(ACX$5,$ABK4)+LEN(ACX$5),99999),
IFERROR(SEARCH(ACX$6,$ABK4)+LEN(ACX$6),99999),
IFERROR(SEARCH(ACX$7,$ABK4)+LEN(ACX$7),99999),
IFERROR(SEARCH(ACX$8,$ABK4)+LEN(ACX$8),99999),
IFERROR(SEARCH(ACX$9,$ABK4)+LEN(ACX$9),99999),
IFERROR(SEARCH(ACX$10,$ABK4)+LEN(ACX$10),99999),
IFERROR(SEARCH(ACX$11,$ABK4+LEN(ACX$11)),99999),
IFERROR(SEARCH(ACX$12,$ABK4)+LEN(ACX$12),99999),
IFERROR(SEARCH(ACX$13,$ABK4)+LEN(ACX$13),99999),
IFERROR(SEARCH(ACX$14,$ABK4)+LEN(ACX$14),99999)
)</f>
        <v>99999</v>
      </c>
      <c r="ACZ4" s="1059" t="e">
        <f t="shared" ref="ACZ4:ACZ7" si="49">SEARCH(" руб",$ABK4,ACY4)</f>
        <v>#VALUE!</v>
      </c>
      <c r="ADA4" s="264" t="e">
        <f t="shared" ref="ADA4:ADA7" si="50">ACZ4-ACY4</f>
        <v>#VALUE!</v>
      </c>
      <c r="ADB4" t="e">
        <f t="shared" ref="ADB4:ADB7" si="51">MID($ABK4,ACY4,ADA4)</f>
        <v>#VALUE!</v>
      </c>
      <c r="ADC4" s="264" t="e">
        <f t="shared" ref="ADC4:ADC7" si="52">SEARCH(" ",$ABK4,ACZ4+1)+1</f>
        <v>#VALUE!</v>
      </c>
      <c r="ADD4" s="1059" t="e">
        <f t="shared" ref="ADD4:ADD7" si="53">SEARCH(" коп",$ABK4,ADC4)</f>
        <v>#VALUE!</v>
      </c>
      <c r="ADE4" s="264" t="e">
        <f t="shared" ref="ADE4:ADE7" si="54">ADD4-ADC4</f>
        <v>#VALUE!</v>
      </c>
      <c r="ADF4" t="e">
        <f t="shared" ref="ADF4:ADF7" si="55">MID($ABK4,ADC4,ADE4)</f>
        <v>#VALUE!</v>
      </c>
      <c r="ADG4" s="1075" t="e">
        <f>VALUE(CONCATENATE(ADB4,",",ADF4))</f>
        <v>#VALUE!</v>
      </c>
      <c r="ADH4" t="s">
        <v>9201</v>
      </c>
      <c r="ADI4" s="854">
        <f>MIN(IFERROR(SEARCH(ADH$3,$ABK4)+LEN(ADH$3),99999),
IFERROR(SEARCH(ADH$4,$ABK4)+LEN(ADH$4),99999),
IFERROR(SEARCH(ADH$5,$ABK4)+LEN(ADH$5),99999),
IFERROR(SEARCH(ADH$6,$ABK4)+LEN(ADH$6),99999),
IFERROR(SEARCH(ADH$7,$ABK4)+LEN(ADH$7),99999),
IFERROR(SEARCH(ADH$8,$ABK4)+LEN(ADH$8),99999),
IFERROR(SEARCH(ADH$9,$ABK4)+LEN(ADH$9),99999),
IFERROR(SEARCH(ADH$10,$ABK4)+LEN(ADH$10),99999),
IFERROR(SEARCH(ADH$11,$ABK4+LEN(ADH$11)),99999),
IFERROR(SEARCH(ADH$12,$ABK4)+LEN(ADH$12),99999),
IFERROR(SEARCH(ADH$13,$ABK4)+LEN(ADH$13),99999),
IFERROR(SEARCH(ADH$14,$ABK4)+LEN(ADH$14),99999)
)</f>
        <v>99999</v>
      </c>
      <c r="ADJ4" s="1059" t="e">
        <f t="shared" ref="ADJ4:ADJ7" si="56">SEARCH(" руб",$ABK4,ADI4)</f>
        <v>#VALUE!</v>
      </c>
      <c r="ADK4" s="264" t="e">
        <f t="shared" ref="ADK4:ADK7" si="57">ADJ4-ADI4</f>
        <v>#VALUE!</v>
      </c>
      <c r="ADL4" t="e">
        <f t="shared" ref="ADL4:ADL7" si="58">MID($ABK4,ADI4,ADK4)</f>
        <v>#VALUE!</v>
      </c>
      <c r="ADM4" s="264" t="e">
        <f t="shared" ref="ADM4:ADM7" si="59">SEARCH(" ",$ABK4,ADJ4+1)+1</f>
        <v>#VALUE!</v>
      </c>
      <c r="ADN4" s="1059" t="e">
        <f t="shared" ref="ADN4:ADN7" si="60">SEARCH(" коп",$ABK4,ADM4)</f>
        <v>#VALUE!</v>
      </c>
      <c r="ADO4" s="264" t="e">
        <f t="shared" ref="ADO4:ADO7" si="61">ADN4-ADM4</f>
        <v>#VALUE!</v>
      </c>
      <c r="ADP4" t="e">
        <f t="shared" ref="ADP4:ADP7" si="62">MID($ABK4,ADM4,ADO4)</f>
        <v>#VALUE!</v>
      </c>
      <c r="ADQ4" s="1075" t="e">
        <f>VALUE(CONCATENATE(ADL4,",",ADP4))</f>
        <v>#VALUE!</v>
      </c>
      <c r="ADR4" s="1078" t="str">
        <f>IFERROR(ABW3,"")</f>
        <v/>
      </c>
      <c r="ADS4" s="1069">
        <v>2</v>
      </c>
      <c r="ADT4" s="946" t="s">
        <v>8623</v>
      </c>
      <c r="ADU4" s="854">
        <f>MIN(IFERROR(SEARCH(ADT$3,$E$4,ADY3),99999),
IFERROR(SEARCH(ADT$4,$E$4,ADY3),99999),
IFERROR(SEARCH(ADT$5,$E$4,ADY3),99999),
IFERROR(SEARCH(ADT$6,$E$4,ADY3),99999),
IFERROR(SEARCH(ADT$7,$E$4,ADY3),99999),
IFERROR(SEARCH(ADT$8,$E$4,ADY3),99999),
IFERROR(SEARCH(ADT$9,$E$4,ADY3),99999),
IFERROR(SEARCH(ADT$10,$E$4,ADY3),99999),
IFERROR(SEARCH(ADT$11,$E$4,ADY3),99999),
IFERROR(SEARCH(ADT$12,$E$4,ADY3),99999),
IFERROR(SEARCH(ADT$13,$E$4,ADY3),99999),
IFERROR(SEARCH(ADT$14,$E$4,ADY3),99999)
)</f>
        <v>99999</v>
      </c>
      <c r="ADV4" s="920"/>
      <c r="ADW4" s="334">
        <f>LEN(MID($E$4,1,ADU4))-LEN(IF(ISERROR(FIND(" ",MID($E$4,1,ADU4))),MID($E$4,1,ADU4),RIGHT(MID($E$4,1,ADU4),LEN(MID($E$4,1,ADU4))-FIND("~",SUBSTITUTE(MID($E$4,1,ADU4),ADV$3,"~",LEN(MID($E$4,1,ADU4))-LEN(SUBSTITUTE(MID($E$4,1,ADU4),ADV$3,"")))))))+1</f>
        <v>5367</v>
      </c>
      <c r="ADX4" s="947"/>
      <c r="ADY4" s="1059" t="e">
        <f>SEARCH(ADX$3,$E$4,ADW4)</f>
        <v>#VALUE!</v>
      </c>
      <c r="ADZ4" s="854" t="e">
        <f>ADY4-ADW4</f>
        <v>#VALUE!</v>
      </c>
      <c r="AEA4" s="979" t="e">
        <f>CLEAN(MID($E$4,ADW4,ADZ4))</f>
        <v>#VALUE!</v>
      </c>
      <c r="AEB4" s="946" t="s">
        <v>8968</v>
      </c>
      <c r="AEC4" s="854">
        <f>MIN(IFERROR(SEARCH(AEB$3,$E$4,AEF3),99999),
IFERROR(SEARCH(AEB$4,$E$4,AEF3),99999),
IFERROR(SEARCH(AEB$5,$E$4,AEF3),99999),
IFERROR(SEARCH(AEB$6,$E$4,AEF3),99999),
IFERROR(SEARCH(AEB$7,$E$4,AEF3),99999),
IFERROR(SEARCH(AEB$8,$E$4,AEF3),99999),
IFERROR(SEARCH(AEB$9,$E$4,AEF3),99999),
IFERROR(SEARCH(AEB$10,$E$4,AEF3),99999),
IFERROR(SEARCH(AEB$11,$E$4,AEF3),99999),
IFERROR(SEARCH(AEB$12,$E$4,AEF3),99999),
IFERROR(SEARCH(AEB$13,$E$4,AEF3),99999),
IFERROR(SEARCH(AEB$14,$E$4,AEF3),99999)
)</f>
        <v>99999</v>
      </c>
      <c r="AED4" s="920"/>
      <c r="AEE4" s="334">
        <f>LEN(MID($E$4,1,AEC4))-LEN(IF(ISERROR(FIND(" ",MID($E$4,1,AEC4))),MID($E$4,1,AEC4),RIGHT(MID($E$4,1,AEC4),LEN(MID($E$4,1,AEC4))-FIND("~",SUBSTITUTE(MID($E$4,1,AEC4),AED$3,"~",LEN(MID($E$4,1,AEC4))-LEN(SUBSTITUTE(MID($E$4,1,AEC4),AED$3,"")))))))+1</f>
        <v>5367</v>
      </c>
      <c r="AEF4" s="947"/>
      <c r="AEG4" s="1059" t="e">
        <f>SEARCH(AEF$3,$E$4,AEE4)</f>
        <v>#VALUE!</v>
      </c>
      <c r="AEH4" s="854" t="e">
        <f t="shared" ref="AEH4:AEH7" si="63">AEG4-AEE4</f>
        <v>#VALUE!</v>
      </c>
      <c r="AEI4" s="979" t="e">
        <f>CLEAN(MID($E$4,AEE4,AEH4))</f>
        <v>#VALUE!</v>
      </c>
      <c r="AEJ4" s="961">
        <v>2</v>
      </c>
      <c r="AEK4" s="962" t="e">
        <f>DATEVALUE(MID($AEA$4,1,10))</f>
        <v>#VALUE!</v>
      </c>
      <c r="AEL4" s="962" t="str">
        <f>IFERROR(DATEVALUE(MID($AEI$4,1,10)),"")</f>
        <v/>
      </c>
      <c r="AEM4" t="s">
        <v>8513</v>
      </c>
      <c r="AEN4" s="854">
        <f>MIN(IFERROR(SEARCH(AEM$3,$AEA4)+LEN(AEM$3),99999),
IFERROR(SEARCH(AEM$4,$AEA4)+LEN(AEM$4),99999),
IFERROR(SEARCH(AEM$5,$AEA4)+LEN(AEM$5),99999),
IFERROR(SEARCH(AEM$6,$AEA4)+LEN(AEM$6),99999),
IFERROR(SEARCH(AEM$7,$AEA4)+LEN(AEM$7),99999),
IFERROR(SEARCH(AEM$8,$AEA4)+LEN(AEM$8),99999),
IFERROR(SEARCH(AEM$9,$AEA4)+LEN(AEM$9),99999),
IFERROR(SEARCH(AEM$10,$AEA4)+LEN(AEM$10),99999),
IFERROR(SEARCH(AEM$11,$AEA4+LEN(AEM$11)),99999),
IFERROR(SEARCH(AEM$12,$AEA4)+LEN(AEM$12),99999),
IFERROR(SEARCH(AEM$13,$AEA4)+LEN(AEM$13),99999),
IFERROR(SEARCH(AEM$14,$AEA4)+LEN(AEM$14),99999)
)</f>
        <v>99999</v>
      </c>
      <c r="AEO4" t="s">
        <v>8513</v>
      </c>
      <c r="AEP4" s="854">
        <f>MIN(IFERROR(SEARCH(AEO$3,$AEA4,AEN4),99999),
IFERROR(SEARCH(AEO$4,$AEA4,AEN4),99999),
IFERROR(SEARCH(AEO$5,$AEA4,AEN4),99999),
IFERROR(SEARCH(AEO$6,$AEA4,AEN4),99999),
IFERROR(SEARCH(AEO$7,$AEA4,AEN4),99999),
IFERROR(SEARCH(AEO$8,$AEA4,AEN4),99999),
IFERROR(SEARCH(AEO$9,$AEA4,AEN4),99999),
IFERROR(SEARCH(AEO$10,$AEA4,AEN4),99999),
IFERROR(SEARCH(AEO$11,$AEA4,AEN4),99999),
IFERROR(SEARCH(AEO$12,$AEA4,AEN4),99999),
IFERROR(SEARCH(AEO$13,$AEA4,AEN4),99999),
IFERROR(SEARCH(AEO$14,$AEA4,AEN4),99999)
)</f>
        <v>99999</v>
      </c>
      <c r="AEQ4">
        <f t="shared" ref="AEQ4" si="64">AEP4-AEN4</f>
        <v>0</v>
      </c>
      <c r="AER4" s="1070" t="e">
        <f>MID($AEA$4,AEN4,AEQ4)</f>
        <v>#VALUE!</v>
      </c>
      <c r="AES4" t="s">
        <v>8233</v>
      </c>
      <c r="AET4" s="854">
        <f>MIN(IFERROR(SEARCH(AES$3,$AEA4)+LEN(AES$3),99999),
IFERROR(SEARCH(AES$4,$AEA4)+LEN(AES$4),99999),
IFERROR(SEARCH(AES$5,$AEA4)+LEN(AES$5),99999),
IFERROR(SEARCH(AES$6,$AEA4)+LEN(AES$6),99999),
IFERROR(SEARCH(AES$7,$AEA4)+LEN(AES$7),99999),
IFERROR(SEARCH(AES$8,$AEA4)+LEN(AES$8),99999),
IFERROR(SEARCH(AES$9,$AEA4)+LEN(AES$9),99999),
IFERROR(SEARCH(AES$10,$AEA4)+LEN(AES$10),99999),
IFERROR(SEARCH(AES$11,$AEA4+LEN(AES$11)),99999),
IFERROR(SEARCH(AES$12,$AEA4)+LEN(AES$12),99999),
IFERROR(SEARCH(AES$13,$AEA4)+LEN(AES$13),99999),
IFERROR(SEARCH(AES$14,$AEA4)+LEN(AES$14),99999)
)</f>
        <v>99999</v>
      </c>
      <c r="AEU4" t="s">
        <v>8513</v>
      </c>
      <c r="AEV4" s="854">
        <f>MIN(IFERROR(SEARCH(AEU$3,$AEA4,AET4),99999),
IFERROR(SEARCH(AEU$4,$AEA4,AET4),99999),
IFERROR(SEARCH(AEU$5,$AEA4,AET4),99999),
IFERROR(SEARCH(AEU$6,$AEA4,AET4),99999),
IFERROR(SEARCH(AEU$7,$AEA4,AET4),99999),
IFERROR(SEARCH(AEU$8,$AEA4,AET4),99999),
IFERROR(SEARCH(AEU$9,$AEA4,AET4),99999),
IFERROR(SEARCH(AEU$10,$AEA4,AET4),99999),
IFERROR(SEARCH(AEU$11,$AEA4,AET4),99999),
IFERROR(SEARCH(AEU$12,$AEA4,AET4),99999),
IFERROR(SEARCH(AEU$13,$AEA4,AET4),99999),
IFERROR(SEARCH(AEU$14,$AEA4,AET4),99999)
)</f>
        <v>99999</v>
      </c>
      <c r="AEW4">
        <f t="shared" ref="AEW4" si="65">AEV4-AET4</f>
        <v>0</v>
      </c>
      <c r="AEX4" s="1070" t="e">
        <f>MID($AEA$4,AET4,AEW4)</f>
        <v>#VALUE!</v>
      </c>
      <c r="AEY4" t="s">
        <v>8969</v>
      </c>
      <c r="AEZ4" s="854">
        <f>MIN(IFERROR(SEARCH(AEY$3,$AEA4)+LEN(AEY$3),99999),
IFERROR(SEARCH(AEY$4,$AEA4)+LEN(AEY$4),99999),
IFERROR(SEARCH(AEY$5,$AEA4)+LEN(AEY$5),99999),
IFERROR(SEARCH(AEY$6,$AEA4)+LEN(AEY$6),99999),
IFERROR(SEARCH(AEY$7,$AEA4)+LEN(AEY$7),99999),
IFERROR(SEARCH(AEY$8,$AEA4)+LEN(AEY$8),99999),
IFERROR(SEARCH(AEY$9,$AEA4)+LEN(AEY$9),99999),
IFERROR(SEARCH(AEY$10,$AEA4)+LEN(AEY$10),99999),
IFERROR(SEARCH(AEY$11,$AEA4+LEN(AEY$11)),99999),
IFERROR(SEARCH(AEY$12,$AEA4)+LEN(AEY$12),99999),
IFERROR(SEARCH(AEY$13,$AEA4)+LEN(AEY$13),99999),
IFERROR(SEARCH(AEY$14,$AEA4)+LEN(AEY$14),99999)
)</f>
        <v>99999</v>
      </c>
      <c r="AFA4" s="1060" t="str">
        <f>IF(ISERROR(AEA4),"",IF(AEZ4=99999,"ОТКАЗАТЬ","УДОВЛЕТВОРИТЬ"))</f>
        <v/>
      </c>
      <c r="AFB4" t="s">
        <v>8437</v>
      </c>
      <c r="AFD4" t="str">
        <f>$AEA$3</f>
        <v>20.02.2020 Ворошиловским районным судом города Ростова-на-Дону по делу № 2-129/2020 вынесено решение об удовлетворении исковых требований Заявителя (далее – Решение Суда), в соответствии с которым с Финансовой организации в пользу Заявителя взыскано страховое возмещение по Договору ОСАГО в размере 400 000 рублей 00 копеек, неустойка за несоблюдение срока выплаты страхового возмещения по Договору ОСАГО за период с 02.07.2019 по 30.12.2019 в размере 300 000 рублей 00 копеек, расходы на проведение независимой технической экспертизы в размере 7 000 рублей 00 копеек и иные расходы.</v>
      </c>
      <c r="AFE4" s="1476"/>
      <c r="AFF4" s="834" t="s">
        <v>8435</v>
      </c>
      <c r="AFG4" s="306" t="str">
        <f>IF(AFH3=" за период",SEARCH(" за период",AFD$4,AFI3)+LEN(" за период")+3,"НЕТ")</f>
        <v>НЕТ</v>
      </c>
      <c r="AFH4" s="306" t="s">
        <v>8434</v>
      </c>
      <c r="AFI4" s="306" t="e">
        <f>SEARCH(AFH4,AFD$4,AFG4)</f>
        <v>#VALUE!</v>
      </c>
      <c r="AFJ4" s="306" t="e">
        <f>AFI4-AFG4</f>
        <v>#VALUE!</v>
      </c>
      <c r="AFK4" s="827" t="e">
        <f>DATEVALUE(MID(AFD$4,AFG4,AFJ4))</f>
        <v>#VALUE!</v>
      </c>
      <c r="AFL4" s="828" t="str">
        <f>IF(AFH3=" за период",AFK4,"")</f>
        <v/>
      </c>
      <c r="AFM4" s="843" t="str">
        <f>IF(AFL10="","",CONCATENATE(AFE10,". ",AFL10," ",IFERROR(CONCATENATE(AFK14,",",AFK15),""),IF(ISERROR(CONCATENATE(AFK14,",",AFK15)),"","₽")))</f>
        <v>2. Неустойка 300 000,00₽</v>
      </c>
      <c r="AFN4" t="str">
        <f t="shared" ref="AFN4:AFN6" si="66">AFB4</f>
        <v xml:space="preserve">, </v>
      </c>
      <c r="AFP4" t="e">
        <f>$AEA$4</f>
        <v>#VALUE!</v>
      </c>
      <c r="AFQ4" s="1476"/>
      <c r="AFR4" s="834" t="s">
        <v>8435</v>
      </c>
      <c r="AFS4" s="306" t="str">
        <f>IF(AFT3=" за период",SEARCH(" за период",AFP$4,AFU3)+LEN(" за период")+3,"НЕТ")</f>
        <v>НЕТ</v>
      </c>
      <c r="AFT4" s="306" t="s">
        <v>8434</v>
      </c>
      <c r="AFU4" s="306" t="e">
        <f>SEARCH(AFT4,AFP$4,AFS4)</f>
        <v>#VALUE!</v>
      </c>
      <c r="AFV4" s="306" t="e">
        <f>AFU4-AFS4</f>
        <v>#VALUE!</v>
      </c>
      <c r="AFW4" s="827" t="e">
        <f>DATEVALUE(MID(AFP$4,AFS4,AFV4))</f>
        <v>#VALUE!</v>
      </c>
      <c r="AFX4" s="828" t="str">
        <f>IF(AFT3=" за период",AFW4,"")</f>
        <v/>
      </c>
      <c r="AFY4" s="843" t="str">
        <f>IF(AFX10="","",CONCATENATE(AFQ10,". ",AFX10," ",IFERROR(CONCATENATE(AFW14,",",AFW15),""),IF(ISERROR(CONCATENATE(AFW14,",",AFW15)),"","₽")))</f>
        <v/>
      </c>
      <c r="AFZ4" t="s">
        <v>8437</v>
      </c>
      <c r="AGB4" t="e">
        <f>$AEA$5</f>
        <v>#VALUE!</v>
      </c>
      <c r="AGC4" s="1476"/>
      <c r="AGD4" s="834" t="s">
        <v>8435</v>
      </c>
      <c r="AGE4" s="306" t="str">
        <f>IF(AGF3=" за период",SEARCH(" за период",AGB$4,AGG3)+LEN(" за период")+3,"НЕТ")</f>
        <v>НЕТ</v>
      </c>
      <c r="AGF4" s="306" t="s">
        <v>8434</v>
      </c>
      <c r="AGG4" s="306" t="e">
        <f>SEARCH(AGF4,AGB$4,AGE4)</f>
        <v>#VALUE!</v>
      </c>
      <c r="AGH4" s="306" t="e">
        <f>AGG4-AGE4</f>
        <v>#VALUE!</v>
      </c>
      <c r="AGI4" s="827" t="e">
        <f>DATEVALUE(MID(AGB$4,AGE4,AGH4))</f>
        <v>#VALUE!</v>
      </c>
      <c r="AGJ4" s="828" t="str">
        <f>IF(AGF3=" за период",AGI4,"")</f>
        <v/>
      </c>
      <c r="AGK4" s="843" t="str">
        <f>IF(AGJ10="","",CONCATENATE(AGC10,". ",AGJ10," ",IFERROR(CONCATENATE(AGI14,",",AGI15),""),IF(ISERROR(CONCATENATE(AGI14,",",AGI15)),"","₽")))</f>
        <v/>
      </c>
      <c r="AGL4" t="s">
        <v>8437</v>
      </c>
      <c r="AGN4" t="e">
        <f>$AEA$6</f>
        <v>#VALUE!</v>
      </c>
      <c r="AGO4" s="1476"/>
      <c r="AGP4" s="834" t="s">
        <v>8435</v>
      </c>
      <c r="AGQ4" s="306" t="str">
        <f>IF(AGR3=" за период",SEARCH(" за период",AGN$4,AGS3)+LEN(" за период")+3,"НЕТ")</f>
        <v>НЕТ</v>
      </c>
      <c r="AGR4" s="306" t="s">
        <v>8434</v>
      </c>
      <c r="AGS4" s="306" t="e">
        <f>SEARCH(AGR4,AGN$4,AGQ4)</f>
        <v>#VALUE!</v>
      </c>
      <c r="AGT4" s="306" t="e">
        <f>AGS4-AGQ4</f>
        <v>#VALUE!</v>
      </c>
      <c r="AGU4" s="827" t="e">
        <f>DATEVALUE(MID(AGN$4,AGQ4,AGT4))</f>
        <v>#VALUE!</v>
      </c>
      <c r="AGV4" s="828" t="str">
        <f>IF(AGR3=" за период",AGU4,"")</f>
        <v/>
      </c>
      <c r="AGW4" s="843" t="str">
        <f>IF(AGV10="","",CONCATENATE(AGO10,". ",AGV10," ",IFERROR(CONCATENATE(AGU14,",",AGU15),""),IF(ISERROR(CONCATENATE(AGU14,",",AGU15)),"","₽")))</f>
        <v/>
      </c>
      <c r="AGX4" t="s">
        <v>8437</v>
      </c>
      <c r="AGZ4" t="e">
        <f>$AEA$7</f>
        <v>#VALUE!</v>
      </c>
      <c r="AHA4" s="1476"/>
      <c r="AHB4" s="834" t="s">
        <v>8435</v>
      </c>
      <c r="AHC4" s="306" t="str">
        <f>IF(AHD3=" за период",SEARCH(" за период",AGZ$4,AHE3)+LEN(" за период")+3,"НЕТ")</f>
        <v>НЕТ</v>
      </c>
      <c r="AHD4" s="306" t="s">
        <v>8434</v>
      </c>
      <c r="AHE4" s="306" t="e">
        <f>SEARCH(AHD4,AGZ$4,AHC4)</f>
        <v>#VALUE!</v>
      </c>
      <c r="AHF4" s="306" t="e">
        <f>AHE4-AHC4</f>
        <v>#VALUE!</v>
      </c>
      <c r="AHG4" s="827" t="e">
        <f>DATEVALUE(MID(AGZ$4,AHC4,AHF4))</f>
        <v>#VALUE!</v>
      </c>
      <c r="AHH4" s="828" t="str">
        <f>IF(AHD3=" за период",AHG4,"")</f>
        <v/>
      </c>
      <c r="AHI4" s="843" t="str">
        <f>IF(AHH10="","",CONCATENATE(AHA10,". ",AHH10," ",IFERROR(CONCATENATE(AHG14,",",AHG15),""),IF(ISERROR(CONCATENATE(AHG14,",",AHG15)),"","₽")))</f>
        <v/>
      </c>
      <c r="AHJ4" s="1084"/>
      <c r="AHK4" s="768" t="s">
        <v>8513</v>
      </c>
      <c r="AHM4" s="768" t="s">
        <v>8513</v>
      </c>
      <c r="AHT4" s="768" t="s">
        <v>8513</v>
      </c>
      <c r="AHV4" s="768" t="s">
        <v>8513</v>
      </c>
      <c r="AHZ4" t="s">
        <v>8513</v>
      </c>
      <c r="AIB4" s="1187" t="e">
        <f t="shared" ref="AIB4:AIB14" si="67">SEARCH(AHZ4,$AHY$3)</f>
        <v>#VALUE!</v>
      </c>
      <c r="AIF4" t="s">
        <v>149</v>
      </c>
      <c r="AIJ4" t="s">
        <v>1443</v>
      </c>
      <c r="AIK4" t="s">
        <v>1443</v>
      </c>
      <c r="AIL4" s="1187" t="e">
        <f t="shared" ref="AIL4:AIL31" si="68">SEARCH(AIJ4,$AHY$3)</f>
        <v>#VALUE!</v>
      </c>
      <c r="AIP4" t="s">
        <v>149</v>
      </c>
      <c r="AIT4" t="s">
        <v>9558</v>
      </c>
      <c r="AIU4" t="s">
        <v>9560</v>
      </c>
      <c r="AIV4" s="1187" t="e">
        <f>SEARCH(AIT4,$AHY$3)</f>
        <v>#VALUE!</v>
      </c>
      <c r="AJB4" t="s">
        <v>149</v>
      </c>
      <c r="AJC4" s="854"/>
      <c r="AJH4" t="s">
        <v>9537</v>
      </c>
      <c r="AJI4" t="s">
        <v>9539</v>
      </c>
      <c r="AJJ4" s="1187" t="e">
        <f t="shared" si="10"/>
        <v>#VALUE!</v>
      </c>
      <c r="AJN4" t="s">
        <v>9574</v>
      </c>
      <c r="AJR4" t="s">
        <v>8513</v>
      </c>
      <c r="AJT4" s="1245" t="e">
        <f t="shared" ref="AJT4:AJT14" si="69">SEARCH(AJR4,$AHY$3)</f>
        <v>#VALUE!</v>
      </c>
      <c r="AJX4" t="s">
        <v>8236</v>
      </c>
      <c r="AKA4" s="116"/>
      <c r="AKB4" t="s">
        <v>9529</v>
      </c>
      <c r="AKC4" t="s">
        <v>9541</v>
      </c>
      <c r="AKD4" s="1187" t="e">
        <f t="shared" ref="AKD4:AKD15" si="70">SEARCH(AKB4,$AHY$3)</f>
        <v>#VALUE!</v>
      </c>
      <c r="AKH4" t="s">
        <v>8236</v>
      </c>
      <c r="AKK4" s="116"/>
      <c r="AKL4" t="s">
        <v>9533</v>
      </c>
      <c r="AKM4" t="s">
        <v>9542</v>
      </c>
      <c r="AKN4" s="1206" t="e">
        <f t="shared" ref="AKN4:AKN14" si="71">SEARCH(AKL4,$AHY$3,AKI$3+2)</f>
        <v>#VALUE!</v>
      </c>
      <c r="AKR4" t="s">
        <v>149</v>
      </c>
      <c r="AKU4" s="116"/>
      <c r="AKV4" t="s">
        <v>9548</v>
      </c>
      <c r="AKW4" t="s">
        <v>9549</v>
      </c>
      <c r="AKX4" s="1187" t="e">
        <f t="shared" ref="AKX4:AKX14" si="72">SEARCH(AKV4,$AHY$3)</f>
        <v>#VALUE!</v>
      </c>
      <c r="ALB4" t="s">
        <v>149</v>
      </c>
      <c r="ALE4" s="116"/>
      <c r="ALF4" t="s">
        <v>9536</v>
      </c>
      <c r="ALG4" t="s">
        <v>9543</v>
      </c>
      <c r="ALH4" s="1187" t="e">
        <f t="shared" ref="ALH4:ALH14" si="73">SEARCH(ALF4,$AHY$3)</f>
        <v>#VALUE!</v>
      </c>
      <c r="ALL4" t="s">
        <v>149</v>
      </c>
      <c r="ALO4" s="116"/>
      <c r="ALP4" s="116"/>
      <c r="ALQ4" s="768" t="s">
        <v>8513</v>
      </c>
      <c r="ALS4" s="768" t="s">
        <v>8513</v>
      </c>
      <c r="ALW4" t="s">
        <v>8513</v>
      </c>
      <c r="ALX4" t="s">
        <v>9539</v>
      </c>
      <c r="ALY4" s="1187" t="e">
        <f t="shared" ref="ALY4:ALY14" si="74">SEARCH(ALW4,$AHY$3)</f>
        <v>#VALUE!</v>
      </c>
      <c r="AMC4" t="s">
        <v>149</v>
      </c>
      <c r="AMG4" t="str">
        <f t="shared" si="11"/>
        <v>Краснодарский край</v>
      </c>
      <c r="AMH4" t="str">
        <f t="shared" si="12"/>
        <v>Краснодарский край</v>
      </c>
      <c r="AMI4" s="1206" t="e">
        <f t="shared" ref="AMI4:AMI31" si="75">SEARCH(AMG4,ALV$3)</f>
        <v>#VALUE!</v>
      </c>
      <c r="AMM4" t="s">
        <v>149</v>
      </c>
      <c r="AMQ4" t="str">
        <f t="shared" si="13"/>
        <v xml:space="preserve"> р-н,</v>
      </c>
      <c r="AMR4" t="str">
        <f t="shared" si="14"/>
        <v xml:space="preserve"> р-н</v>
      </c>
      <c r="AMS4" s="1206" t="e">
        <f t="shared" ref="AMS4:AMS14" si="76">SEARCH(AMQ4,ALV$3)</f>
        <v>#VALUE!</v>
      </c>
      <c r="AMY4" t="s">
        <v>149</v>
      </c>
      <c r="AMZ4" s="854"/>
      <c r="ANE4" t="str">
        <f t="shared" si="15"/>
        <v xml:space="preserve"> г. </v>
      </c>
      <c r="ANF4" t="str">
        <f t="shared" si="16"/>
        <v xml:space="preserve">г. </v>
      </c>
      <c r="ANG4" s="1206" t="e">
        <f t="shared" ref="ANG4:ANG14" si="77">SEARCH(ANE4,ALV$3)</f>
        <v>#VALUE!</v>
      </c>
      <c r="ANK4" t="str">
        <f t="shared" si="17"/>
        <v xml:space="preserve"> ул</v>
      </c>
      <c r="ANO4" t="str">
        <f t="shared" ref="ANO4:ANO14" si="78">AJR4</f>
        <v>$$$$</v>
      </c>
      <c r="ANP4">
        <f t="shared" ref="ANP4:ANP14" si="79">AJS4</f>
        <v>0</v>
      </c>
      <c r="ANQ4" s="1245" t="e">
        <f t="shared" ref="ANQ4:ANQ14" si="80">SEARCH(ANO4,ALV$3)</f>
        <v>#VALUE!</v>
      </c>
      <c r="ANU4" t="str">
        <f t="shared" ref="ANU4:ANU14" si="81">AJX4</f>
        <v>,</v>
      </c>
      <c r="ANX4" s="116"/>
      <c r="ANY4" t="str">
        <f t="shared" ref="ANY4:ANY15" si="82">AKB4</f>
        <v xml:space="preserve"> пер </v>
      </c>
      <c r="ANZ4" t="str">
        <f t="shared" ref="ANZ4:ANZ15" si="83">AKC4</f>
        <v xml:space="preserve">пер. </v>
      </c>
      <c r="AOA4" s="1206" t="e">
        <f t="shared" ref="AOA4:AOA15" si="84">SEARCH(ANY4,ALV$3)</f>
        <v>#VALUE!</v>
      </c>
      <c r="AOE4" t="str">
        <f t="shared" ref="AOE4:AOE14" si="85">AKH4</f>
        <v>,</v>
      </c>
      <c r="AOH4" s="116"/>
      <c r="AOI4" t="str">
        <f t="shared" ref="AOI4:AOI14" si="86">AKL4</f>
        <v xml:space="preserve"> д. </v>
      </c>
      <c r="AOJ4" t="str">
        <f t="shared" ref="AOJ4:AOJ14" si="87">AKM4</f>
        <v xml:space="preserve">д. </v>
      </c>
      <c r="AOK4" s="1206" t="e">
        <f t="shared" ref="AOK4:AOK14" si="88">SEARCH(AOI4,ALV$3,AOF$3+2)</f>
        <v>#VALUE!</v>
      </c>
      <c r="AOO4" t="s">
        <v>149</v>
      </c>
      <c r="AOR4" s="116"/>
      <c r="AOS4" t="str">
        <f t="shared" ref="AOS4:AOS14" si="89">AKV4</f>
        <v xml:space="preserve"> корп</v>
      </c>
      <c r="AOT4" t="str">
        <f t="shared" ref="AOT4:AOT14" si="90">AKW4</f>
        <v xml:space="preserve">к. </v>
      </c>
      <c r="AOU4" s="1245" t="e">
        <f t="shared" ref="AOU4:AOU14" si="91">SEARCH(AOS4,ALV$3)</f>
        <v>#VALUE!</v>
      </c>
      <c r="AOY4" t="str">
        <f t="shared" ref="AOY4:AOY14" si="92">ALB4</f>
        <v xml:space="preserve"> </v>
      </c>
      <c r="APB4" s="116"/>
      <c r="APC4" t="str">
        <f t="shared" ref="APC4:APC14" si="93">ALF4</f>
        <v xml:space="preserve"> кв. </v>
      </c>
      <c r="APD4" t="str">
        <f t="shared" ref="APD4:APD14" si="94">ALG4</f>
        <v xml:space="preserve">кв. </v>
      </c>
      <c r="APE4" s="1206" t="e">
        <f t="shared" ref="APE4:APE14" si="95">SEARCH(APC4,ALV$3)</f>
        <v>#VALUE!</v>
      </c>
      <c r="API4" t="s">
        <v>149</v>
      </c>
      <c r="APL4" s="116"/>
      <c r="APM4" s="116"/>
      <c r="APN4" s="768" t="s">
        <v>8513</v>
      </c>
      <c r="APP4" s="768" t="s">
        <v>8513</v>
      </c>
    </row>
    <row r="5" spans="1:1114" ht="14.4" customHeight="1" thickTop="1" x14ac:dyDescent="0.3">
      <c r="B5" t="str">
        <f>MID($A$1,SEARCH(J3,$A$1)+LEN(J3),SEARCH("УСТАНОВИЛ",$A$1)-(SEARCH(J3,$A$1)+LEN(J3)))</f>
        <v>Уполномоченный по правам потребителей финансовых услуг в сферах страхования, микрофинансирования, кредитной кооперации и деятельности кредитных организаций Е.Л. Писаревский (далее – Финансовый уполномоченный) по результатам рассмотрения обращения от 26.11.2020 № У-20-175174 (далее – Обращение) Истомина Владимира Васильевича (паспорт серия 60 03 № 672915; место жительства: 344092, г. Ростов-на-Дону, ул. Верная, д. 17/88; почтовый адрес: 344092, г. Ростов-на-Дону, ул. Верная, д. 17/88) (далее – Заявитель) в отношении АО СК «БАСК» (место нахождения: 652600, Кемеровская область, г. Белово, пер. Цинкзаводской, д. 8 А; почтовый адрес: 652600, Кемеровская область, г. Белово, пер. Цинкзаводской, д. 8 А; дата государственной регистрации: 07.05.1993; идентификационный номер налогоплательщика: 4202000716) (далее – Финансовая организация),</v>
      </c>
      <c r="C5" t="str">
        <f>MID(A1,SEARCH(K3,A1)+LEN(K3),SEARCH("В рамках рассмотрения Обращения",A1,SEARCH(K3,A1)+LEN(K3))-(SEARCH(K3,A1)+LEN(K3)))</f>
        <v>Финансовому уполномоченному на рассмотрение поступило Обращение в отношении Финансовой организации с требованием о взыскании неустойки за несоблюдение срока выплаты страхового возмещения по договору обязательного страхования гражданской ответственности владельцев транспортных средств (далее – ОСАГО) в размере 100 000 рублей 00 копеек.</v>
      </c>
      <c r="N5" t="s">
        <v>19</v>
      </c>
      <c r="O5" s="5" t="s">
        <v>30</v>
      </c>
      <c r="S5" s="100"/>
      <c r="T5" s="1514"/>
      <c r="U5" s="5"/>
      <c r="V5" t="s">
        <v>830</v>
      </c>
      <c r="W5" t="s">
        <v>18</v>
      </c>
      <c r="Y5" s="5"/>
      <c r="AB5" s="5"/>
      <c r="AC5" s="5"/>
      <c r="AD5" s="1514"/>
      <c r="AE5" t="s">
        <v>8362</v>
      </c>
      <c r="AF5" t="s">
        <v>17</v>
      </c>
      <c r="AG5" t="e">
        <f>SEARCH(AE5,$H$3)</f>
        <v>#VALUE!</v>
      </c>
      <c r="AH5" s="5" t="e">
        <f>IF(ISERROR(AG5),AG5,AE5)</f>
        <v>#VALUE!</v>
      </c>
      <c r="AI5" s="5" t="e">
        <f>INDEX(AF:AF,MATCH(AH5,AE:AE,0),1)</f>
        <v>#VALUE!</v>
      </c>
      <c r="AJ5" s="1514"/>
      <c r="AK5" s="1514"/>
      <c r="AL5" s="1526"/>
      <c r="AM5" t="s">
        <v>925</v>
      </c>
      <c r="AN5" t="str">
        <f>MID(B$3,SEARCH(AM5,B$3),LEN(AM5))</f>
        <v>Е.Л. Писаревский</v>
      </c>
      <c r="AO5" s="1503"/>
      <c r="AP5" s="1514"/>
      <c r="AQ5" t="str">
        <f>MID(I$3,SEARCH(AM5,I$3),LEN(AM5))</f>
        <v>Е.Л. Писаревский</v>
      </c>
      <c r="AR5" s="1503"/>
      <c r="AS5" s="1514"/>
      <c r="AT5" s="1514"/>
      <c r="AW5" s="100"/>
      <c r="AX5" s="100"/>
      <c r="BB5" s="1487"/>
      <c r="BF5" s="1501"/>
      <c r="BL5" s="1501"/>
      <c r="BQ5" s="1508"/>
      <c r="BR5" s="813" t="s">
        <v>8414</v>
      </c>
      <c r="BS5" s="819" t="s">
        <v>8441</v>
      </c>
      <c r="BT5" s="803" t="s">
        <v>835</v>
      </c>
      <c r="BU5" s="793" t="e">
        <f t="shared" si="0"/>
        <v>#VALUE!</v>
      </c>
      <c r="BV5" s="793"/>
      <c r="BW5" s="810"/>
      <c r="BX5" s="820"/>
      <c r="BY5" s="805"/>
      <c r="CA5" s="793"/>
      <c r="CB5" s="793"/>
      <c r="CC5" s="1513"/>
      <c r="CH5" s="1513"/>
      <c r="CM5" s="1513"/>
      <c r="CN5" s="803"/>
      <c r="CO5" s="810"/>
      <c r="CP5" s="868"/>
      <c r="CQ5" s="876"/>
      <c r="CS5" s="810"/>
      <c r="CT5" s="810"/>
      <c r="CU5" s="1513"/>
      <c r="CV5" s="810"/>
      <c r="CX5" s="810"/>
      <c r="CY5" s="810"/>
      <c r="CZ5" s="1513"/>
      <c r="DA5" s="810"/>
      <c r="DC5" s="810"/>
      <c r="DD5" s="810"/>
      <c r="DE5" s="1513"/>
      <c r="DF5" s="810"/>
      <c r="DH5" s="810"/>
      <c r="DI5" s="810"/>
      <c r="DJ5" s="1508"/>
      <c r="DK5" s="810"/>
      <c r="DM5" s="810"/>
      <c r="DN5" s="810"/>
      <c r="DO5" s="1498"/>
      <c r="DP5" s="941" t="s">
        <v>8226</v>
      </c>
      <c r="DQ5" s="950">
        <f>BF3</f>
        <v>44161</v>
      </c>
      <c r="DR5" s="10" t="s">
        <v>4395</v>
      </c>
      <c r="DS5" s="10"/>
      <c r="DT5" t="s">
        <v>8251</v>
      </c>
      <c r="DU5" s="10" t="s">
        <v>604</v>
      </c>
      <c r="DV5" s="1476"/>
      <c r="DW5" s="834" t="s">
        <v>8436</v>
      </c>
      <c r="DX5" s="836" t="e">
        <f>SEARCH(" ",$C$3,DZ4+1)+1</f>
        <v>#VALUE!</v>
      </c>
      <c r="DY5" s="306"/>
      <c r="DZ5" s="306" t="e">
        <f>DX5+EA5</f>
        <v>#VALUE!</v>
      </c>
      <c r="EA5" s="306">
        <v>10</v>
      </c>
      <c r="EB5" s="827" t="e">
        <f>DATEVALUE(MID($C$3,DX5,EA5))</f>
        <v>#VALUE!</v>
      </c>
      <c r="EC5" s="953" t="str">
        <f>IF(DY3=" за период",EB5,"")</f>
        <v/>
      </c>
      <c r="ED5" s="951" t="str">
        <f>IF(ISERROR(DX17),"",CONCATENATE(DV17,". ",EC17," ",IFERROR(CONCATENATE(EB21,",",EB22),""),IF(ISERROR(CONCATENATE(EB21,",",EB22)),"","₽")))</f>
        <v/>
      </c>
      <c r="EE5" s="803"/>
      <c r="EF5" s="848"/>
      <c r="EG5" s="848"/>
      <c r="EH5" s="1508"/>
      <c r="EI5" s="803"/>
      <c r="EJ5" s="848"/>
      <c r="EK5" s="848"/>
      <c r="EL5" s="848"/>
      <c r="EM5" s="848"/>
      <c r="EN5" s="1498"/>
      <c r="EO5" s="768" t="s">
        <v>8447</v>
      </c>
      <c r="EP5" s="803" t="s">
        <v>8450</v>
      </c>
      <c r="EQ5" s="848" t="e">
        <f>SEARCH(EP5,$D$3)+LEN(EP5)</f>
        <v>#VALUE!</v>
      </c>
      <c r="ER5" s="848"/>
      <c r="ES5" s="848"/>
      <c r="ET5" s="1498"/>
      <c r="EU5" s="949" t="str">
        <f>ET3</f>
        <v>Предоставлены</v>
      </c>
      <c r="EV5" s="768" t="s">
        <v>8513</v>
      </c>
      <c r="EW5" s="854"/>
      <c r="EX5" s="852"/>
      <c r="EY5" s="852"/>
      <c r="EZ5" s="848"/>
      <c r="FA5" s="848"/>
      <c r="FB5" s="848"/>
      <c r="FC5" s="1498"/>
      <c r="FD5" s="768" t="s">
        <v>8513</v>
      </c>
      <c r="FE5" s="852"/>
      <c r="FF5" s="857"/>
      <c r="FG5" s="1508"/>
      <c r="FH5" s="768" t="s">
        <v>8513</v>
      </c>
      <c r="FI5" s="852"/>
      <c r="FJ5" s="982"/>
      <c r="FK5" s="982"/>
      <c r="FL5" s="982"/>
      <c r="FM5" s="982"/>
      <c r="FN5" s="768" t="s">
        <v>8513</v>
      </c>
      <c r="FO5" s="1174"/>
      <c r="FP5" s="1174"/>
      <c r="FQ5" s="1174"/>
      <c r="FR5" s="1174"/>
      <c r="FS5" s="1174"/>
      <c r="FT5" s="1498"/>
      <c r="FU5" s="877"/>
      <c r="FV5" s="877"/>
      <c r="FW5" s="876"/>
      <c r="FX5" s="852"/>
      <c r="FY5" s="1498"/>
      <c r="FZ5" s="1498" t="s">
        <v>8511</v>
      </c>
      <c r="GA5" s="768" t="s">
        <v>8542</v>
      </c>
      <c r="GB5" s="876">
        <f t="shared" si="1"/>
        <v>229</v>
      </c>
      <c r="GC5" s="859" t="str">
        <f>IF(ISERROR(GB5),
IF(ISERROR(GB6),
"ОШИБКА",
GA6),
GA5)</f>
        <v xml:space="preserve">причинен вред принадлежащему Заявителю транспортному средству </v>
      </c>
      <c r="GD5" s="854">
        <f>SEARCH(GC5,$FC$3)+LEN(GC5)</f>
        <v>291</v>
      </c>
      <c r="GE5" s="875" t="s">
        <v>8236</v>
      </c>
      <c r="GF5" s="876">
        <f>SEARCH(GE5,$FC$3,GD5)</f>
        <v>303</v>
      </c>
      <c r="GG5" s="854">
        <f>GF5-GD5</f>
        <v>12</v>
      </c>
      <c r="GH5" s="1472" t="str">
        <f>MID($FC$3,GD5,GG5)</f>
        <v>Toyota Camry</v>
      </c>
      <c r="GI5" s="877" t="s">
        <v>8457</v>
      </c>
      <c r="GJ5" s="876">
        <f>SEARCH(GI5,$FC$3,GF5)</f>
        <v>337</v>
      </c>
      <c r="GK5" s="859" t="str">
        <f>IF(ISERROR(GJ5),
IF(ISERROR(GJ6),
"ОШИБКА",
GI6),
GI5)</f>
        <v xml:space="preserve">номер </v>
      </c>
      <c r="GL5" s="854">
        <f>SEARCH(GK5,$FC$3,GF5)+LEN(GK5)</f>
        <v>343</v>
      </c>
      <c r="GM5" s="875" t="s">
        <v>8273</v>
      </c>
      <c r="GN5" s="1013">
        <f>IFERROR(MIN(IFERROR(SEARCH($GM$3,$FC$3,GL5),99999),IFERROR(SEARCH($GM$4,$FC$3,GL5),99999),IFERROR(SEARCH($GM$5,$FC$3,GL5),999999),IFERROR(SEARCH($GM$6,$FC$3,GL5),99999)),"ОШИБКА")</f>
        <v>352</v>
      </c>
      <c r="GO5" s="854">
        <f>GN5-GL5</f>
        <v>9</v>
      </c>
      <c r="GP5" s="1472" t="str">
        <f>MID($FC$3,GL5,GO5)</f>
        <v>Е718ТР161</v>
      </c>
      <c r="GQ5" s="879"/>
      <c r="GR5" s="880"/>
      <c r="GS5" s="887"/>
      <c r="GT5" s="854"/>
      <c r="GU5" s="881"/>
      <c r="GV5" s="880"/>
      <c r="GW5" s="854"/>
      <c r="GX5" s="1472"/>
      <c r="GY5" s="768"/>
      <c r="GZ5" s="852"/>
      <c r="HA5" s="852"/>
      <c r="HB5" s="852"/>
      <c r="HC5" s="857"/>
      <c r="HD5" s="857"/>
      <c r="HE5" s="857"/>
      <c r="HF5" s="1498"/>
      <c r="HG5" s="768" t="s">
        <v>9606</v>
      </c>
      <c r="HH5" s="1206" t="e">
        <f>SEARCH(HG5,$E$3)</f>
        <v>#VALUE!</v>
      </c>
      <c r="HI5" s="852"/>
      <c r="HJ5" s="1498"/>
      <c r="HK5" s="1511"/>
      <c r="HL5" s="949" t="str">
        <f>FY3</f>
        <v>МУЖ</v>
      </c>
      <c r="HM5" s="768"/>
      <c r="HN5" s="852"/>
      <c r="HO5" s="852"/>
      <c r="HP5" s="852"/>
      <c r="HQ5" s="857"/>
      <c r="HR5" s="857"/>
      <c r="HS5" s="857"/>
      <c r="HT5" s="1498"/>
      <c r="HU5" s="768" t="s">
        <v>8723</v>
      </c>
      <c r="HV5" s="994" t="e">
        <f>SEARCH(HU5,$HT$3)</f>
        <v>#VALUE!</v>
      </c>
      <c r="HW5" s="852"/>
      <c r="HX5" s="852"/>
      <c r="HY5" s="1498"/>
      <c r="HZ5" s="768"/>
      <c r="IA5" s="852"/>
      <c r="IB5" s="852"/>
      <c r="IC5" s="852"/>
      <c r="ID5" s="1498"/>
      <c r="IE5" s="768"/>
      <c r="IF5" s="852"/>
      <c r="IG5" s="852"/>
      <c r="IH5" s="852"/>
      <c r="II5" s="857"/>
      <c r="IJ5" s="857"/>
      <c r="IK5" s="876"/>
      <c r="IL5" s="876"/>
      <c r="IM5" s="857"/>
      <c r="IN5" s="1498"/>
      <c r="IO5" s="768"/>
      <c r="IP5" s="852"/>
      <c r="IQ5" s="852"/>
      <c r="IR5" s="852"/>
      <c r="IS5" s="857"/>
      <c r="IT5" s="857"/>
      <c r="IU5" s="857"/>
      <c r="IV5" s="1498"/>
      <c r="IW5" s="768"/>
      <c r="IX5" s="852"/>
      <c r="IY5" s="852"/>
      <c r="IZ5" s="852"/>
      <c r="JA5" s="857"/>
      <c r="JB5" s="1498"/>
      <c r="JC5" s="768"/>
      <c r="JD5" s="852"/>
      <c r="JE5" s="852"/>
      <c r="JF5" s="852"/>
      <c r="JG5" s="857"/>
      <c r="JH5" s="1508"/>
      <c r="JI5" s="768"/>
      <c r="JJ5" s="852"/>
      <c r="JK5" s="852"/>
      <c r="JL5" s="852"/>
      <c r="JM5" s="857"/>
      <c r="JN5" s="1508"/>
      <c r="JO5" s="950" t="str">
        <f>IFERROR(CONCATENATE(IV3," ",JB3),"")</f>
        <v>ККК 3001108454</v>
      </c>
      <c r="JP5" s="768" t="s">
        <v>8544</v>
      </c>
      <c r="JQ5" s="903" t="e">
        <f>SEARCH(JP5,$E$4)</f>
        <v>#VALUE!</v>
      </c>
      <c r="JR5" s="852"/>
      <c r="JS5" s="852"/>
      <c r="JT5" s="852"/>
      <c r="JU5" s="852"/>
      <c r="JV5" s="857"/>
      <c r="JW5" s="857"/>
      <c r="JX5" s="857"/>
      <c r="JY5" s="1472"/>
      <c r="JZ5" s="768" t="s">
        <v>8723</v>
      </c>
      <c r="KA5" s="852"/>
      <c r="KB5" s="1498"/>
      <c r="KC5" s="768"/>
      <c r="KD5" s="852"/>
      <c r="KE5" s="852"/>
      <c r="KF5" s="852"/>
      <c r="KG5" s="1498"/>
      <c r="KH5" s="768"/>
      <c r="KI5" s="852"/>
      <c r="KJ5" s="852"/>
      <c r="KK5" s="852"/>
      <c r="KL5" s="901" t="s">
        <v>8461</v>
      </c>
      <c r="KM5" s="903" t="e">
        <f>SEARCH(KL5,$JY$3,$KK$3)</f>
        <v>#VALUE!</v>
      </c>
      <c r="KN5" s="852"/>
      <c r="KO5" s="852"/>
      <c r="KP5" s="857"/>
      <c r="KQ5" s="1498"/>
      <c r="KR5" s="852"/>
      <c r="KS5" s="857"/>
      <c r="KT5" s="1508"/>
      <c r="KU5" s="768"/>
      <c r="KV5" s="852"/>
      <c r="KW5" s="852"/>
      <c r="KX5" s="852"/>
      <c r="KY5" s="857"/>
      <c r="KZ5" s="857"/>
      <c r="LA5" s="857"/>
      <c r="LB5" s="1498"/>
      <c r="LC5" s="768"/>
      <c r="LD5" s="852"/>
      <c r="LE5" s="852"/>
      <c r="LF5" s="852"/>
      <c r="LG5" s="857" t="s">
        <v>8513</v>
      </c>
      <c r="LH5" s="984" t="e">
        <f t="shared" si="2"/>
        <v>#VALUE!</v>
      </c>
      <c r="LI5" s="984"/>
      <c r="LJ5" s="857"/>
      <c r="LK5" s="1498"/>
      <c r="LL5" s="768"/>
      <c r="LM5" s="852"/>
      <c r="LN5" s="852"/>
      <c r="LO5" s="852"/>
      <c r="LP5" s="857"/>
      <c r="LQ5" s="1508"/>
      <c r="LR5" s="768"/>
      <c r="LS5" s="852"/>
      <c r="LT5" s="852"/>
      <c r="LU5" s="852"/>
      <c r="LV5" s="857"/>
      <c r="LW5" s="1508"/>
      <c r="LX5" s="950" t="str">
        <f>IFERROR(CONCATENATE(LB3," ",LK3),"")</f>
        <v>ККК 3002162227</v>
      </c>
      <c r="LY5" s="864" t="str">
        <f>CONCATENATE(" Заявитель ",MA3,$CU$3," с заявлением о ",LZ4)</f>
        <v xml:space="preserve"> Заявитель обратился в АО СК «БАСК» с заявлением о прямом возмещении убытков</v>
      </c>
      <c r="LZ5" s="768" t="s">
        <v>8514</v>
      </c>
      <c r="MA5" s="768"/>
      <c r="MB5" s="863"/>
      <c r="MC5" s="852"/>
      <c r="MD5" s="852"/>
      <c r="ME5" s="857"/>
      <c r="MF5" s="857"/>
      <c r="MG5" s="857"/>
      <c r="MH5" s="1498"/>
      <c r="MI5" s="1186" t="s">
        <v>8513</v>
      </c>
      <c r="MJ5" s="854"/>
      <c r="MK5" s="1207"/>
      <c r="ML5" s="877"/>
      <c r="MM5" s="876"/>
      <c r="MN5" s="852"/>
      <c r="MO5" s="1107"/>
      <c r="MP5" s="864"/>
      <c r="MQ5" s="863"/>
      <c r="MR5" s="852"/>
      <c r="MS5" s="1185"/>
      <c r="MT5" s="1024"/>
      <c r="MU5" s="1025"/>
      <c r="MV5" s="1107"/>
      <c r="MW5" s="949" t="str">
        <f>MS3</f>
        <v>МУЖ</v>
      </c>
      <c r="MX5" s="1472"/>
      <c r="MY5" s="988" t="s">
        <v>8513</v>
      </c>
      <c r="MZ5" s="984" t="e">
        <f t="shared" si="3"/>
        <v>#VALUE!</v>
      </c>
      <c r="NA5" s="984"/>
      <c r="NB5" s="920"/>
      <c r="NC5" s="920"/>
      <c r="ND5" s="984"/>
      <c r="NE5" s="984"/>
      <c r="NF5" s="984"/>
      <c r="NG5" s="1474"/>
      <c r="NH5" t="s">
        <v>8513</v>
      </c>
      <c r="NI5" s="984" t="e">
        <f>SEARCH(NH5,NJ4)</f>
        <v>#VALUE!</v>
      </c>
      <c r="NK5" s="1476"/>
      <c r="NL5" s="834" t="s">
        <v>8436</v>
      </c>
      <c r="NM5" s="836" t="e">
        <f>SEARCH(" ",NJ$4,NO4+1)+1</f>
        <v>#VALUE!</v>
      </c>
      <c r="NN5" s="306"/>
      <c r="NO5" s="306" t="e">
        <f>NM5+NP5</f>
        <v>#VALUE!</v>
      </c>
      <c r="NP5" s="306">
        <v>10</v>
      </c>
      <c r="NQ5" s="827" t="e">
        <f>DATEVALUE(MID(NJ$4,NM5,NP5))</f>
        <v>#VALUE!</v>
      </c>
      <c r="NR5" s="828" t="str">
        <f>IF(NN3=" за период",NQ5,"")</f>
        <v/>
      </c>
      <c r="NS5" s="843" t="str">
        <f>IF(NR17="","",CONCATENATE(NK17,". ",NR17," ",IFERROR(CONCATENATE(NQ21,",",NQ22),""),IF(ISERROR(CONCATENATE(NQ21,",",NQ22)),"","₽")))</f>
        <v/>
      </c>
      <c r="NT5" s="1105" t="str">
        <f t="shared" si="4"/>
        <v/>
      </c>
      <c r="NU5" s="993" t="s">
        <v>9459</v>
      </c>
      <c r="NV5" s="994"/>
      <c r="NW5" s="920"/>
      <c r="NX5" s="920"/>
      <c r="NY5" s="994"/>
      <c r="NZ5" s="994"/>
      <c r="OA5" s="994"/>
      <c r="OB5" s="1535"/>
      <c r="OC5" s="1472"/>
      <c r="OD5" s="946" t="s">
        <v>8513</v>
      </c>
      <c r="OE5" s="947" t="e">
        <f t="shared" si="5"/>
        <v>#VALUE!</v>
      </c>
      <c r="OF5" s="947"/>
      <c r="OG5" s="920"/>
      <c r="OH5" s="920"/>
      <c r="OI5" s="947"/>
      <c r="OJ5" s="947"/>
      <c r="OK5" s="947"/>
      <c r="OL5" s="1474"/>
      <c r="OM5" s="869">
        <v>3</v>
      </c>
      <c r="ON5" s="817" t="e">
        <f>DATEVALUE(MID(OL27,1,10))</f>
        <v>#VALUE!</v>
      </c>
      <c r="OO5" s="1102" t="str">
        <f>IFERROR(ON5,"")</f>
        <v/>
      </c>
      <c r="OP5" s="1069">
        <v>3</v>
      </c>
      <c r="OQ5" s="935" t="s">
        <v>8577</v>
      </c>
      <c r="OR5" s="854">
        <f>MIN(IFERROR(SEARCH(OQ$3,$E$4,OV4),99999),
IFERROR(SEARCH(OQ$4,$E$4,OV4),99999),
IFERROR(SEARCH(OQ$5,$E$4,OV4),99999),
IFERROR(SEARCH(OQ$6,$E$4,OV4),99999),
IFERROR(SEARCH(OQ$7,$E$4,OV4),99999),
IFERROR(SEARCH(OQ$8,$E$4,OV4),99999),
IFERROR(SEARCH(OQ$9,$E$4,OV4),99999),
IFERROR(SEARCH(OQ$10,$E$4,OV4),99999),
IFERROR(SEARCH(OQ$11,$E$4,OV4),99999),
IFERROR(SEARCH(OQ$12,$E$4,OV4),99999),
IFERROR(SEARCH(OQ$13,$E$4,OV4),99999),
IFERROR(SEARCH(OQ$14,$E$4,OV4),99999)
)</f>
        <v>99999</v>
      </c>
      <c r="OS5" s="920"/>
      <c r="OT5" s="334">
        <f>LEN(MID($E$4,1,OR5))-LEN(IF(ISERROR(FIND(" ",MID($E$4,1,OR5))),MID($E$4,1,OR5),RIGHT(MID($E$4,1,OR5),LEN(MID($E$4,1,OR5))-FIND("~",SUBSTITUTE(MID($E$4,1,OR5),OS$3,"~",LEN(MID($E$4,1,OR5))-LEN(SUBSTITUTE(MID($E$4,1,OR5),OS$3,"")))))))+1</f>
        <v>5367</v>
      </c>
      <c r="OU5" s="937"/>
      <c r="OV5" s="1059" t="e">
        <f>SEARCH(OU$3,$E$4,OT5)</f>
        <v>#VALUE!</v>
      </c>
      <c r="OW5" s="854" t="e">
        <f>OV5-OT5</f>
        <v>#VALUE!</v>
      </c>
      <c r="OX5" s="979" t="e">
        <f>CLEAN(MID($E$4,OT5,OW5))</f>
        <v>#VALUE!</v>
      </c>
      <c r="OY5" t="s">
        <v>9579</v>
      </c>
      <c r="OZ5" s="854">
        <f t="shared" si="18"/>
        <v>99999</v>
      </c>
      <c r="PA5" t="s">
        <v>9627</v>
      </c>
      <c r="PB5" s="854">
        <f>MIN(IFERROR(SEARCH(PA$3,$OX5,OZ5),99999),
IFERROR(SEARCH(PA$4,$OX5,OZ5),99999),
IFERROR(SEARCH(PA$5,$OX5,OZ5),99999),
IFERROR(SEARCH(PA$6,$OX5,OZ5),99999),
IFERROR(SEARCH(PA$7,$OX5,OZ5),99999),
IFERROR(SEARCH(PA$8,$OX5,OZ5),99999),
IFERROR(SEARCH(PA$9,$OX5,OZ5),99999),
IFERROR(SEARCH(PA$10,$OX5,OZ5),99999),
IFERROR(SEARCH(PA$11,$OX5,OZ5),99999),
IFERROR(SEARCH(PA$12,$OX5,OZ5),99999),
IFERROR(SEARCH(PA$13,$OX5,OZ5),99999),
IFERROR(SEARCH(PA$14,$OX5,OZ5),99999)
)</f>
        <v>99999</v>
      </c>
      <c r="PC5">
        <f t="shared" si="19"/>
        <v>0</v>
      </c>
      <c r="PD5" s="1214" t="e">
        <f>MID($OX5,OZ5,PC5)</f>
        <v>#VALUE!</v>
      </c>
      <c r="PE5" s="264" t="s">
        <v>8513</v>
      </c>
      <c r="PF5" s="854">
        <f t="shared" ref="PF5" si="96">MIN(IFERROR(SEARCH(PE$3,$OX5)+LEN(PE$3),99999),
IFERROR(SEARCH(PE$4,$OX5)+LEN(PE$4),99999),
IFERROR(SEARCH(PE$5,$OX5)+LEN(PE$5),99999),
IFERROR(SEARCH(PE$6,$OX5)+LEN(PE$6),99999),
IFERROR(SEARCH(PE$7,$OX5)+LEN(PE$7),99999),
IFERROR(SEARCH(PE$8,$OX5)+LEN(PE$8),99999),
IFERROR(SEARCH(PE$9,$OX5)+LEN(PE$9),99999),
IFERROR(SEARCH(PE$10,$OX5)+LEN(PE$10),99999),
IFERROR(SEARCH(PE$11,$OX5)+LEN(PE$11),99999),
IFERROR(SEARCH(PE$12,$OX5)+LEN(PE$12),99999),
IFERROR(SEARCH(PE$13,$OX5)+LEN(PE$13),99999),
IFERROR(SEARCH(PE$14,$OX5)+LEN(PE$14),99999)
)</f>
        <v>99999</v>
      </c>
      <c r="PG5" s="264" t="s">
        <v>8513</v>
      </c>
      <c r="PH5" s="854">
        <f>MIN(IFERROR(SEARCH(PG$3,$OX5,PF5),99999),
IFERROR(SEARCH(PG$4,$OX5,PF5),99999),
IFERROR(SEARCH(PG$5,$OX5,PF5),99999),
IFERROR(SEARCH(PG$6,$OX5,PF5),99999),
IFERROR(SEARCH(PG$7,$OX5,PF5),99999),
IFERROR(SEARCH(PG$8,$OX5,PF5),99999),
IFERROR(SEARCH(PG$9,$OX5,PF5),99999),
IFERROR(SEARCH(PG$10,$OX5,PF5),99999),
IFERROR(SEARCH(PG$11,$OX5,PF5),99999),
IFERROR(SEARCH(PG$12,$OX5,PF5),99999),
IFERROR(SEARCH(PG$13,$OX5,PF5),99999),
IFERROR(SEARCH(PG$14,$OX5,PF5),99999)
)</f>
        <v>99999</v>
      </c>
      <c r="PI5" s="264">
        <f>PH5-PF5</f>
        <v>0</v>
      </c>
      <c r="PJ5" s="1216" t="e">
        <f>DATEVALUE(MID($OX5,PF5,PI5))</f>
        <v>#VALUE!</v>
      </c>
      <c r="PK5" s="264" t="s">
        <v>8513</v>
      </c>
      <c r="PL5" s="854">
        <f t="shared" ref="PL5" si="97">MIN(IFERROR(SEARCH(PK$3,$OX5)+LEN(PK$3),99999),
IFERROR(SEARCH(PK$4,$OX5)+LEN(PK$4),99999),
IFERROR(SEARCH(PK$5,$OX5)+LEN(PK$5),99999),
IFERROR(SEARCH(PK$6,$OX5)+LEN(PK$6),99999),
IFERROR(SEARCH(PK$7,$OX5)+LEN(PK$7),99999),
IFERROR(SEARCH(PK$8,$OX5)+LEN(PK$8),99999),
IFERROR(SEARCH(PK$9,$OX5)+LEN(PK$9),99999),
IFERROR(SEARCH(PK$10,$OX5)+LEN(PK$10),99999),
IFERROR(SEARCH(PK$11,$OX5)+LEN(PK$11),99999),
IFERROR(SEARCH(PK$12,$OX5)+LEN(PK$12),99999),
IFERROR(SEARCH(PK$13,$OX5)+LEN(PK$13),99999),
IFERROR(SEARCH(PK$14,$OX5)+LEN(PK$14),99999)
)</f>
        <v>99999</v>
      </c>
      <c r="PM5" s="264" t="s">
        <v>8513</v>
      </c>
      <c r="PN5" s="854">
        <f>MIN(IFERROR(SEARCH(PM$3,$OX5,PL5),99999),
IFERROR(SEARCH(PM$4,$OX5,PL5),99999),
IFERROR(SEARCH(PM$5,$OX5,PL5),99999),
IFERROR(SEARCH(PM$6,$OX5,PL5),99999),
IFERROR(SEARCH(PM$7,$OX5,PL5),99999),
IFERROR(SEARCH(PM$8,$OX5,PL5),99999),
IFERROR(SEARCH(PM$9,$OX5,PL5),99999),
IFERROR(SEARCH(PM$10,$OX5,PL5),99999),
IFERROR(SEARCH(PM$11,$OX5,PL5),99999),
IFERROR(SEARCH(PM$12,$OX5,PL5),99999),
IFERROR(SEARCH(PM$13,$OX5,PL5),99999),
IFERROR(SEARCH(PM$14,$OX5,PL5),99999)
)</f>
        <v>99999</v>
      </c>
      <c r="PO5" s="853">
        <f>PN5-PL5</f>
        <v>0</v>
      </c>
      <c r="PP5" s="1211" t="e">
        <f>MID($OX5,PL5,PO5)</f>
        <v>#VALUE!</v>
      </c>
      <c r="PQ5" t="s">
        <v>9578</v>
      </c>
      <c r="PR5" s="937" t="e">
        <f t="shared" si="22"/>
        <v>#VALUE!</v>
      </c>
      <c r="PS5" s="5"/>
      <c r="PV5" s="937"/>
      <c r="PX5" s="5"/>
      <c r="PY5" s="1470"/>
      <c r="PZ5" t="s">
        <v>8672</v>
      </c>
      <c r="QA5" s="937" t="e">
        <f t="shared" si="6"/>
        <v>#VALUE!</v>
      </c>
      <c r="QB5" s="5"/>
      <c r="QC5" s="264"/>
      <c r="QE5" s="937"/>
      <c r="QF5" s="264"/>
      <c r="QG5" s="5"/>
      <c r="QH5" s="1470"/>
      <c r="QI5" t="s">
        <v>8513</v>
      </c>
      <c r="QJ5" s="937" t="e">
        <f t="shared" si="7"/>
        <v>#VALUE!</v>
      </c>
      <c r="QK5" s="5"/>
      <c r="QL5" s="264"/>
      <c r="QN5" s="937"/>
      <c r="QO5" s="264"/>
      <c r="QP5" s="5"/>
      <c r="QQ5" s="1470"/>
      <c r="QR5" t="s">
        <v>8513</v>
      </c>
      <c r="QS5" s="937" t="e">
        <f t="shared" si="8"/>
        <v>#VALUE!</v>
      </c>
      <c r="QT5" s="5"/>
      <c r="QU5" s="264"/>
      <c r="QW5" s="937"/>
      <c r="QX5" s="264"/>
      <c r="QY5" s="5"/>
      <c r="QZ5" s="1470"/>
      <c r="RA5" s="1094" t="s">
        <v>4</v>
      </c>
      <c r="RB5" s="1096" t="str">
        <f>IFERROR(PP3,"")</f>
        <v>45/06/19</v>
      </c>
      <c r="RC5" s="1069">
        <v>3</v>
      </c>
      <c r="RD5" s="1058" t="s">
        <v>9212</v>
      </c>
      <c r="RE5" s="854">
        <f>MIN(IFERROR(SEARCH(RD$3,$E$4,RI4),99999),
IFERROR(SEARCH(RD$4,$E$4,RI4),99999),
IFERROR(SEARCH(RD$5,$E$4,RI4),99999),
IFERROR(SEARCH(RD$6,$E$4,RI4),99999),
IFERROR(SEARCH(RD$7,$E$4,RI4),99999),
IFERROR(SEARCH(RD$8,$E$4,RI4),99999),
IFERROR(SEARCH(RD$9,$E$4,RI4),99999),
IFERROR(SEARCH(RD$10,$E$4,RI4),99999),
IFERROR(SEARCH(RD$11,$E$4,RI4),99999),
IFERROR(SEARCH(RD$12,$E$4,RI4),99999),
IFERROR(SEARCH(RD$13,$E$4,RI4),99999),
IFERROR(SEARCH(RD$14,$E$4,RI4),99999)
)</f>
        <v>99999</v>
      </c>
      <c r="RF5" s="920"/>
      <c r="RG5" s="334">
        <f>LEN(MID($E$4,1,RE5))-LEN(IF(ISERROR(FIND(" ",MID($E$4,1,RE5))),MID($E$4,1,RE5),RIGHT(MID($E$4,1,RE5),LEN(MID($E$4,1,RE5))-FIND("~",SUBSTITUTE(MID($E$4,1,RE5),RF$3,"~",LEN(MID($E$4,1,RE5))-LEN(SUBSTITUTE(MID($E$4,1,RE5),RF$3,"")))))))+1</f>
        <v>5367</v>
      </c>
      <c r="RH5" s="1059"/>
      <c r="RI5" s="1059" t="e">
        <f>SEARCH(RH$3,$E$4,RG5)</f>
        <v>#VALUE!</v>
      </c>
      <c r="RJ5" s="854" t="e">
        <f>RI5-RG5</f>
        <v>#VALUE!</v>
      </c>
      <c r="RK5" s="979" t="e">
        <f>CLEAN(MID($E$4,RG5,RJ5))</f>
        <v>#VALUE!</v>
      </c>
      <c r="RL5" s="1055">
        <v>3</v>
      </c>
      <c r="RM5" s="1180" t="s">
        <v>8513</v>
      </c>
      <c r="RN5" s="854">
        <f>MIN(IFERROR(SEARCH(RM$3,$E$4,RR4),99999),
IFERROR(SEARCH(RM$4,$E$4,RR4),99999),
IFERROR(SEARCH(RM$5,$E$4,RR4),99999),
IFERROR(SEARCH(RM$6,$E$4,RR4),99999),
IFERROR(SEARCH(RM$7,$E$4,RR4),99999),
IFERROR(SEARCH(RM$8,$E$4,RR4),99999),
IFERROR(SEARCH(RM$9,$E$4,RR4),99999),
IFERROR(SEARCH(RM$10,$E$4,RR4),99999),
IFERROR(SEARCH(RM$11,$E$4,RR4),99999),
IFERROR(SEARCH(RM$12,$E$4,RR4),99999),
IFERROR(SEARCH(RM$13,$E$4,RR4),99999),
IFERROR(SEARCH(RM$14,$E$4,RR4),99999)
)</f>
        <v>99999</v>
      </c>
      <c r="RO5" s="1179" t="str">
        <f t="shared" si="23"/>
        <v/>
      </c>
      <c r="RP5" t="s">
        <v>8513</v>
      </c>
      <c r="RQ5" s="854">
        <f>MIN(IFERROR(SEARCH(RP$3,$RK5)+LEN(RP$3),99999),
IFERROR(SEARCH(RP$4,$RK5)+LEN(RP$4),99999),
IFERROR(SEARCH(RP$5,$RK5)+LEN(RP$5),99999),
IFERROR(SEARCH(RP$6,$RK5)+LEN(RP$6),99999),
IFERROR(SEARCH(RP$7,$RK5)+LEN(RP$7),99999),
IFERROR(SEARCH(RP$8,$RK5)+LEN(RP$8),99999),
IFERROR(SEARCH(RP$9,$RK5)+LEN(RP$9),99999),
IFERROR(SEARCH(RP$10,$RK5)+LEN(RP$10),99999),
IFERROR(SEARCH(RP$11,$RK5+LEN(RP$11)),99999),
IFERROR(SEARCH(RP$12,$RK5)+LEN(RP$12),99999),
IFERROR(SEARCH(RP$13,$RK5)+LEN(RP$13),99999),
IFERROR(SEARCH(RP$14,$RK5)+LEN(RP$14),99999)
)</f>
        <v>99999</v>
      </c>
      <c r="RR5" t="s">
        <v>8513</v>
      </c>
      <c r="RS5" s="854">
        <f>MIN(IFERROR(SEARCH(RR$3,$RK5,RQ5),99999),
IFERROR(SEARCH(RR$4,$RK5,RQ5),99999),
IFERROR(SEARCH(RR$5,$RK5,RQ5),99999),
IFERROR(SEARCH(RR$6,$RK5,RQ5),99999),
IFERROR(SEARCH(RR$7,$RK5,RQ5),99999),
IFERROR(SEARCH(RR$8,$RK5,RQ5),99999),
IFERROR(SEARCH(RR$9,$RK5,RQ5),99999),
IFERROR(SEARCH(RR$10,$RK5,RQ5),99999),
IFERROR(SEARCH(RR$11,$RK5,RQ5),99999),
IFERROR(SEARCH(RR$12,$RK5,RQ5),99999),
IFERROR(SEARCH(RR$13,$RK5,RQ5),99999),
IFERROR(SEARCH(RR$14,$RK5,RQ5),99999)
)</f>
        <v>99999</v>
      </c>
      <c r="RT5">
        <f>RS5-RQ5</f>
        <v>0</v>
      </c>
      <c r="RU5" s="1070" t="e">
        <f>MID(RK5,RQ5,RT5)</f>
        <v>#VALUE!</v>
      </c>
      <c r="RV5" t="s">
        <v>8513</v>
      </c>
      <c r="RW5" s="854">
        <f>MIN(IFERROR(SEARCH(RV$3,$RK5)+LEN(RV$3),99999),
IFERROR(SEARCH(RV$4,$RK5)+LEN(RV$4),99999),
IFERROR(SEARCH(RV$5,$RK5)+LEN(RV$5),99999),
IFERROR(SEARCH(RV$6,$RK5)+LEN(RV$6),99999),
IFERROR(SEARCH(RV$7,$RK5)+LEN(RV$7),99999),
IFERROR(SEARCH(RV$8,$RK5)+LEN(RV$8),99999),
IFERROR(SEARCH(RV$9,$RK5)+LEN(RV$9),99999),
IFERROR(SEARCH(RV$10,$RK5)+LEN(RV$10),99999),
IFERROR(SEARCH(RV$11,$RK5+LEN(RV$11)),99999),
IFERROR(SEARCH(RV$12,$RK5)+LEN(RV$12),99999),
IFERROR(SEARCH(RV$13,$RK5)+LEN(RV$13),99999),
IFERROR(SEARCH(RV$14,$RK5)+LEN(RV$14),99999)
)</f>
        <v>99999</v>
      </c>
      <c r="RX5" t="s">
        <v>8513</v>
      </c>
      <c r="RY5" s="854">
        <f>MIN(IFERROR(SEARCH(RX$3,$RK5,RW5),99999),
IFERROR(SEARCH(RX$4,$RK5,RW5),99999),
IFERROR(SEARCH(RX$5,$RK5,RW5),99999),
IFERROR(SEARCH(RX$6,$RK5,RW5),99999),
IFERROR(SEARCH(RX$7,$RK5,RW5),99999),
IFERROR(SEARCH(RX$8,$RK5,RW5),99999),
IFERROR(SEARCH(RX$9,$RK5,RW5),99999),
IFERROR(SEARCH(RX$10,$RK5,RW5),99999),
IFERROR(SEARCH(RX$11,$RK5,RW5),99999),
IFERROR(SEARCH(RX$12,$RK5,RW5),99999),
IFERROR(SEARCH(RX$13,$RK5,RW5),99999),
IFERROR(SEARCH(RX$14,$RK5,RW5),99999)
)</f>
        <v>99999</v>
      </c>
      <c r="RZ5">
        <f>RY5-RW5</f>
        <v>0</v>
      </c>
      <c r="SA5" s="1060" t="e">
        <f t="shared" si="24"/>
        <v>#VALUE!</v>
      </c>
      <c r="SB5" t="s">
        <v>8513</v>
      </c>
      <c r="SC5" s="854">
        <f>MIN(IFERROR(SEARCH(SB$3,$RK5)+LEN(SB$3),99999),
IFERROR(SEARCH(SB$4,$RK5)+LEN(SB$4),99999),
IFERROR(SEARCH(SB$5,$RK5)+LEN(SB$5),99999),
IFERROR(SEARCH(SB$6,$RK5)+LEN(SB$6),99999),
IFERROR(SEARCH(SB$7,$RK5)+LEN(SB$7),99999),
IFERROR(SEARCH(SB$8,$RK5)+LEN(SB$8),99999),
IFERROR(SEARCH(SB$9,$RK5)+LEN(SB$9),99999),
IFERROR(SEARCH(SB$10,$RK5)+LEN(SB$10),99999),
IFERROR(SEARCH(SB$11,$RK5+LEN(SB$11)),99999),
IFERROR(SEARCH(SB$12,$RK5)+LEN(SB$12),99999),
IFERROR(SEARCH(SB$13,$RK5)+LEN(SB$13),99999),
IFERROR(SEARCH(SB$14,$RK5)+LEN(SB$14),99999)
)</f>
        <v>99999</v>
      </c>
      <c r="SD5" t="s">
        <v>8513</v>
      </c>
      <c r="SE5" s="854">
        <f>MIN(IFERROR(SEARCH(SD$3,$RK5,SC5),99999),
IFERROR(SEARCH(SD$4,$RK5,SC5),99999),
IFERROR(SEARCH(SD$5,$RK5,SC5),99999),
IFERROR(SEARCH(SD$6,$RK5,SC5),99999),
IFERROR(SEARCH(SD$7,$RK5,SC5),99999),
IFERROR(SEARCH(SD$8,$RK5,SC5),99999),
IFERROR(SEARCH(SD$9,$RK5,SC5),99999),
IFERROR(SEARCH(SD$10,$RK5,SC5),99999),
IFERROR(SEARCH(SD$11,$RK5,SC5),99999),
IFERROR(SEARCH(SD$12,$RK5,SC5),99999),
IFERROR(SEARCH(SD$13,$RK5,SC5),99999),
IFERROR(SEARCH(SD$14,$RK5,SC5),99999)
)</f>
        <v>99999</v>
      </c>
      <c r="SF5">
        <f>SE5-SC5</f>
        <v>0</v>
      </c>
      <c r="SG5" s="1060" t="e">
        <f t="shared" si="25"/>
        <v>#VALUE!</v>
      </c>
      <c r="SH5" s="1109" t="e">
        <f>SA3</f>
        <v>#VALUE!</v>
      </c>
      <c r="SI5" s="1055">
        <v>3</v>
      </c>
      <c r="SJ5" s="879" t="s">
        <v>8566</v>
      </c>
      <c r="SK5" s="854">
        <f>MIN(IFERROR(SEARCH(SJ$3,$E$4,SO4),99999),
IFERROR(SEARCH(SJ$4,$E$4,SO4),99999),
IFERROR(SEARCH(SJ$5,$E$4,SO4),99999),
IFERROR(SEARCH(SJ$6,$E$4,SO4),99999),
IFERROR(SEARCH(SJ$7,$E$4,SO4),99999),
IFERROR(SEARCH(SJ$8,$E$4,SO4),99999),
IFERROR(SEARCH(SJ$9,$E$4,SO4),99999),
IFERROR(SEARCH(SJ$10,$E$4,SO4),99999),
IFERROR(SEARCH(SJ$11,$E$4,SO4),99999),
IFERROR(SEARCH(SJ$12,$E$4,SO4),99999),
IFERROR(SEARCH(SJ$13,$E$4,SO4),99999),
IFERROR(SEARCH(SJ$14,$E$4,SO4),99999),
IFERROR(SEARCH(SJ$15,$E$4,SO4),99999),
IFERROR(SEARCH(SJ$16,$E$4,SO4),99999),
IFERROR(SEARCH(SJ$17,$E$4,SO4),99999),
IFERROR(SEARCH(SJ$18,$E$4,SO4),99999),
IFERROR(SEARCH(SJ$19,$E$4,SO4),99999)
)</f>
        <v>99999</v>
      </c>
      <c r="SL5" s="920"/>
      <c r="SM5" s="334">
        <f t="shared" si="26"/>
        <v>5367</v>
      </c>
      <c r="SN5" s="880"/>
      <c r="SO5" s="1059" t="e">
        <f>SEARCH(SN$3,$E$4,SM5)</f>
        <v>#VALUE!</v>
      </c>
      <c r="SP5" s="854" t="e">
        <f>SO5-SM5</f>
        <v>#VALUE!</v>
      </c>
      <c r="SQ5" s="979" t="e">
        <f>CLEAN(MID($E$4,SM5,SP5))</f>
        <v>#VALUE!</v>
      </c>
      <c r="SR5" s="882">
        <v>3</v>
      </c>
      <c r="SS5" s="1173" t="s">
        <v>8513</v>
      </c>
      <c r="ST5" s="854">
        <f>MIN(IFERROR(SEARCH(SS$3,$E$4,SX4),99999),
IFERROR(SEARCH(SS$4,$E$4,SX4),99999),
IFERROR(SEARCH(SS$5,$E$4,SX4),99999),
IFERROR(SEARCH(SS$6,$E$4,SX4),99999),
IFERROR(SEARCH(SS$7,$E$4,SX4),99999),
IFERROR(SEARCH(SS$8,$E$4,SX4),99999),
IFERROR(SEARCH(SS$9,$E$4,SX4),99999),
IFERROR(SEARCH(SS$10,$E$4,SX4),99999),
IFERROR(SEARCH(SS$11,$E$4,SX4),99999),
IFERROR(SEARCH(SS$12,$E$4,SX4),99999),
IFERROR(SEARCH(SS$13,$E$4,SX4),99999),
IFERROR(SEARCH(SS$14,$E$4,SX4),99999)
)</f>
        <v>99999</v>
      </c>
      <c r="SU5" s="1179" t="str">
        <f>IFERROR(DATEVALUE(MID(SQ5,1,10)),
IFERROR(DATEVALUE(MID(SQ5,ST5,10)),
IFERROR(DATEVALUE(MID(SQ5,ST5+LEN(DQ14)+1,10)),
"")))</f>
        <v/>
      </c>
      <c r="SV5" t="s">
        <v>8525</v>
      </c>
      <c r="SW5" s="1181" t="e">
        <f>SEARCH(SV5,SX$4)</f>
        <v>#VALUE!</v>
      </c>
      <c r="SY5" s="1476"/>
      <c r="SZ5" s="834" t="s">
        <v>8436</v>
      </c>
      <c r="TA5" s="836" t="e">
        <f>SEARCH(" ",$SQ$3,TC4+1)+1</f>
        <v>#VALUE!</v>
      </c>
      <c r="TB5" s="306"/>
      <c r="TC5" s="306" t="e">
        <f>TA5+TD5</f>
        <v>#VALUE!</v>
      </c>
      <c r="TD5" s="306">
        <v>10</v>
      </c>
      <c r="TE5" s="827" t="e">
        <f>DATEVALUE(MID($SQ$3,TA5,TD5))</f>
        <v>#VALUE!</v>
      </c>
      <c r="TF5" s="828" t="str">
        <f>IF(TB3=" за период",TE5,"")</f>
        <v/>
      </c>
      <c r="TG5" s="843" t="str">
        <f>IF(TF17="","",CONCATENATE(SY17,". ",TF17," ",IFERROR(CONCATENATE(TE21,",",TE22),""),IF(ISERROR(CONCATENATE(TE21,",",TE22)),"","₽")))</f>
        <v/>
      </c>
      <c r="TH5" t="s">
        <v>8513</v>
      </c>
      <c r="TI5" s="1025" t="e">
        <f>SEARCH(TH5,TJ$4)</f>
        <v>#VALUE!</v>
      </c>
      <c r="TK5" s="1488">
        <v>1</v>
      </c>
      <c r="TL5" s="1030" t="s">
        <v>8433</v>
      </c>
      <c r="TM5" s="406" t="e">
        <f>SEARCH(TJ14,TJ4)+LEN(TJ14)</f>
        <v>#VALUE!</v>
      </c>
      <c r="TN5" s="406" t="str">
        <f>IF(TO5=IFERROR(SEARCH(".",TJ4,TM5),99999),".",
IF(TO5=IFERROR(SEARCH(",",TJ4,TM5),99999),",",
IF(TO5=IFERROR(SEARCH(" за период",TJ4,TM5),999999)," за период",
IF(TO5=IFERROR(SEARCH(" в размере",TJ4,TM5),99999)," в размере",
IF(TO5=IFERROR(SEARCH(" и ",TJ4,TM5),99999)," и ",
IF(TO5=IFERROR(SEARCH(")",TJ4,TM5),99999),")",
))))))</f>
        <v>.</v>
      </c>
      <c r="TO5" s="406">
        <f>IFERROR(MIN(IFERROR(SEARCH(".",TJ4,TM5),99999),IFERROR(SEARCH(",",TJ4,TM5),99999),IFERROR(SEARCH(" за период",TJ4,TM5),999999),IFERROR(SEARCH(" в размере",TJ4,TM5),99999),IFERROR(SEARCH(" и ",TJ4,TM5),99999),IFERROR(SEARCH(")",TJ4,TM5),99999)),"ОШИБКА")</f>
        <v>99999</v>
      </c>
      <c r="TP5" s="406" t="e">
        <f>TO5-TM5</f>
        <v>#VALUE!</v>
      </c>
      <c r="TQ5" s="873" t="e">
        <f>MID(TJ4,TM5,TP5)</f>
        <v>#VALUE!</v>
      </c>
      <c r="TR5" s="825" t="str">
        <f>IFERROR(INDEX($DU:$DU,MATCH(MID(TJ4,TM5,TP5),$DT:$DT,0),1),"")</f>
        <v/>
      </c>
      <c r="TS5" s="843" t="str">
        <f>IF(TR13="","",CONCATENATE(TK13,". ",TR13," ",IFERROR(CONCATENATE(TQ14,",",TQ15),""),IF(ISERROR(CONCATENATE(TQ14,",",TQ15)),"","₽")))</f>
        <v/>
      </c>
      <c r="TT5" t="str">
        <f t="shared" si="27"/>
        <v xml:space="preserve">доплата </v>
      </c>
      <c r="TU5" s="1181" t="e">
        <f>SEARCH(TT5,TV$4)</f>
        <v>#VALUE!</v>
      </c>
      <c r="TV5" s="854"/>
      <c r="TW5" s="1476"/>
      <c r="TX5" s="834" t="s">
        <v>8436</v>
      </c>
      <c r="TY5" s="836" t="e">
        <f>SEARCH(" ",$SQ$4,UA4+1)+1</f>
        <v>#VALUE!</v>
      </c>
      <c r="TZ5" s="306"/>
      <c r="UA5" s="306" t="e">
        <f>TY5+UB5</f>
        <v>#VALUE!</v>
      </c>
      <c r="UB5" s="306">
        <v>10</v>
      </c>
      <c r="UC5" s="827" t="e">
        <f>DATEVALUE(MID($SQ$4,TY5,UB5))</f>
        <v>#VALUE!</v>
      </c>
      <c r="UD5" s="828" t="str">
        <f>IF(TZ3=" за период",UC5,"")</f>
        <v/>
      </c>
      <c r="UE5" s="843" t="str">
        <f>IF(UD17="","",CONCATENATE(TW17,". ",UD17," ",IFERROR(CONCATENATE(UC21,",",UC22),""),IF(ISERROR(CONCATENATE(UC21,",",UC22)),"","₽")))</f>
        <v/>
      </c>
      <c r="UF5" t="s">
        <v>8548</v>
      </c>
      <c r="UG5" s="1025" t="e">
        <f>SEARCH(UF5,UH$4)</f>
        <v>#VALUE!</v>
      </c>
      <c r="UI5" s="1488">
        <v>1</v>
      </c>
      <c r="UJ5" s="1030" t="s">
        <v>8433</v>
      </c>
      <c r="UK5" s="406" t="e">
        <f>SEARCH(UH$14,UH$4)+LEN(UH$14)</f>
        <v>#VALUE!</v>
      </c>
      <c r="UL5" s="406" t="str">
        <f>IF(UM5=IFERROR(SEARCH(".",UH4,UK5),99999),".",
IF(UM5=IFERROR(SEARCH(",",UH4,UK5),99999),",",
IF(UM5=IFERROR(SEARCH(" за период",UH4,UK5),999999)," за период",
IF(UM5=IFERROR(SEARCH(" в размере",UH4,UK5),99999)," в размере",
IF(UM5=IFERROR(SEARCH(" и ",UH4,UK5),99999)," и ",
IF(UM5=IFERROR(SEARCH(")",UH4,UK5),99999),")",
))))))</f>
        <v>.</v>
      </c>
      <c r="UM5" s="406">
        <f>IFERROR(MIN(IFERROR(SEARCH(".",UH4,UK5),99999),IFERROR(SEARCH(",",UH4,UK5),99999),IFERROR(SEARCH(" за период",UH4,UK5),999999),IFERROR(SEARCH(" в размере",UH4,UK5),99999),IFERROR(SEARCH(" и ",UH4,UK5),99999),IFERROR(SEARCH(")",UH4,UK5),99999)),"ОШИБКА")</f>
        <v>99999</v>
      </c>
      <c r="UN5" s="406" t="e">
        <f>UM5-UK5</f>
        <v>#VALUE!</v>
      </c>
      <c r="UO5" s="873" t="e">
        <f>MID(UH4,UK5,UN5)</f>
        <v>#VALUE!</v>
      </c>
      <c r="UP5" s="825" t="str">
        <f>IFERROR(INDEX($DU:$DU,MATCH(MID(UH4,UK5,UN5),$DT:$DT,0),1),"")</f>
        <v/>
      </c>
      <c r="UQ5" s="843" t="str">
        <f>IF(UP13="","",CONCATENATE(UI13,". ",UP13," ",IFERROR(CONCATENATE(UO14,",",UO15),""),IF(ISERROR(CONCATENATE(UO14,",",UO15)),"","₽")))</f>
        <v/>
      </c>
      <c r="UR5" t="str">
        <f t="shared" si="28"/>
        <v xml:space="preserve">доплата </v>
      </c>
      <c r="US5" s="1181" t="e">
        <f>SEARCH(UR5,UT$4)</f>
        <v>#VALUE!</v>
      </c>
      <c r="UU5" s="1476"/>
      <c r="UV5" s="834" t="s">
        <v>8436</v>
      </c>
      <c r="UW5" s="836" t="e">
        <f>SEARCH(" ",$SQ$5,UY4+1)+1</f>
        <v>#VALUE!</v>
      </c>
      <c r="UX5" s="306"/>
      <c r="UY5" s="306" t="e">
        <f>UW5+UZ5</f>
        <v>#VALUE!</v>
      </c>
      <c r="UZ5" s="306">
        <v>10</v>
      </c>
      <c r="VA5" s="827" t="e">
        <f>DATEVALUE(MID($SQ$5,UW5,UZ5))</f>
        <v>#VALUE!</v>
      </c>
      <c r="VB5" s="828" t="str">
        <f>IF(UX3=" за период",VA5,"")</f>
        <v/>
      </c>
      <c r="VC5" s="843" t="str">
        <f>IF(VB17="","",CONCATENATE(UU17,". ",VB17," ",IFERROR(CONCATENATE(VA21,",",VA22),""),IF(ISERROR(CONCATENATE(VA21,",",VA22)),"","₽")))</f>
        <v/>
      </c>
      <c r="VD5" t="s">
        <v>8548</v>
      </c>
      <c r="VE5" s="1025" t="e">
        <f>SEARCH(VD5,VF$4)</f>
        <v>#VALUE!</v>
      </c>
      <c r="VG5" s="1488">
        <v>1</v>
      </c>
      <c r="VH5" s="1030" t="s">
        <v>8433</v>
      </c>
      <c r="VI5" s="406" t="e">
        <f>SEARCH(VF14,VF4)+LEN(VF14)</f>
        <v>#VALUE!</v>
      </c>
      <c r="VJ5" s="406" t="str">
        <f>IF(VK5=IFERROR(SEARCH(".",VF4,VI5),99999),".",
IF(VK5=IFERROR(SEARCH(",",VF4,VI5),99999),",",
IF(VK5=IFERROR(SEARCH(" за период",VF4,VI5),999999)," за период",
IF(VK5=IFERROR(SEARCH(" в размере",VF4,VI5),99999)," в размере",
IF(VK5=IFERROR(SEARCH(" и ",VF4,VI5),99999)," и ",
IF(VK5=IFERROR(SEARCH(")",VF4,VI5),99999),")",
))))))</f>
        <v>.</v>
      </c>
      <c r="VK5" s="406">
        <f>IFERROR(MIN(IFERROR(SEARCH(".",VF4,VI5),99999),IFERROR(SEARCH(",",VF4,VI5),99999),IFERROR(SEARCH(" за период",VF4,VI5),999999),IFERROR(SEARCH(" в размере",VF4,VI5),99999),IFERROR(SEARCH(" и ",VF4,VI5),99999),IFERROR(SEARCH(")",VF4,VI5),99999)),"ОШИБКА")</f>
        <v>99999</v>
      </c>
      <c r="VL5" s="406" t="e">
        <f>VK5-VI5</f>
        <v>#VALUE!</v>
      </c>
      <c r="VM5" s="873" t="e">
        <f>MID(VF4,VI5,VL5)</f>
        <v>#VALUE!</v>
      </c>
      <c r="VN5" s="825" t="str">
        <f>IFERROR(INDEX($DU:$DU,MATCH(MID(VF4,VI5,VL5),$DT:$DT,0),1),"")</f>
        <v/>
      </c>
      <c r="VO5" s="843" t="str">
        <f>IF(VN13="","",CONCATENATE(VG13,". ",VN13," ",IFERROR(CONCATENATE(VM14,",",VM15),""),IF(ISERROR(CONCATENATE(VM14,",",VM15)),"","₽")))</f>
        <v/>
      </c>
      <c r="VP5" t="str">
        <f t="shared" si="29"/>
        <v xml:space="preserve">доплата </v>
      </c>
      <c r="VQ5" s="1181" t="e">
        <f>SEARCH(VP5,VR$4)</f>
        <v>#VALUE!</v>
      </c>
      <c r="VS5" s="1476"/>
      <c r="VT5" s="834" t="s">
        <v>8436</v>
      </c>
      <c r="VU5" s="836" t="e">
        <f>SEARCH(" ",$SQ$6,VW4+1)+1</f>
        <v>#VALUE!</v>
      </c>
      <c r="VV5" s="306"/>
      <c r="VW5" s="306" t="e">
        <f>VU5+VX5</f>
        <v>#VALUE!</v>
      </c>
      <c r="VX5" s="306">
        <v>10</v>
      </c>
      <c r="VY5" s="827" t="e">
        <f>DATEVALUE(MID($SQ$6,VU5,VX5))</f>
        <v>#VALUE!</v>
      </c>
      <c r="VZ5" s="828" t="str">
        <f>IF(VV3=" за период",VY5,"")</f>
        <v/>
      </c>
      <c r="WA5" s="843" t="str">
        <f>IF(VZ17="","",CONCATENATE(VS17,". ",VZ17," ",IFERROR(CONCATENATE(VY21,",",VY22),""),IF(ISERROR(CONCATENATE(VY21,",",VY22)),"","₽")))</f>
        <v/>
      </c>
      <c r="WB5" t="s">
        <v>8548</v>
      </c>
      <c r="WC5" s="1025" t="e">
        <f>SEARCH(WB5,WD$4)</f>
        <v>#VALUE!</v>
      </c>
      <c r="WE5" s="1488">
        <v>1</v>
      </c>
      <c r="WF5" s="1030" t="s">
        <v>8433</v>
      </c>
      <c r="WG5" s="406" t="e">
        <f>SEARCH(WD14,WD4)+LEN(WD14)</f>
        <v>#VALUE!</v>
      </c>
      <c r="WH5" s="406" t="str">
        <f>IF(WI5=IFERROR(SEARCH(".",WD4,WG5),99999),".",
IF(WI5=IFERROR(SEARCH(",",WD4,WG5),99999),",",
IF(WI5=IFERROR(SEARCH(" за период",WD4,WG5),999999)," за период",
IF(WI5=IFERROR(SEARCH(" в размере",WD4,WG5),99999)," в размере",
IF(WI5=IFERROR(SEARCH(" и ",WD4,WG5),99999)," и ",
IF(WI5=IFERROR(SEARCH(")",WD4,WG5),99999),")",
))))))</f>
        <v>.</v>
      </c>
      <c r="WI5" s="406">
        <f>IFERROR(MIN(IFERROR(SEARCH(".",WD4,WG5),99999),IFERROR(SEARCH(",",WD4,WG5),99999),IFERROR(SEARCH(" за период",WD4,WG5),999999),IFERROR(SEARCH(" в размере",WD4,WG5),99999),IFERROR(SEARCH(" и ",WD4,WG5),99999),IFERROR(SEARCH(")",WD4,WG5),99999)),"ОШИБКА")</f>
        <v>99999</v>
      </c>
      <c r="WJ5" s="406" t="e">
        <f>WI5-WG5</f>
        <v>#VALUE!</v>
      </c>
      <c r="WK5" s="873" t="e">
        <f>MID(WD4,WG5,WJ5)</f>
        <v>#VALUE!</v>
      </c>
      <c r="WL5" s="825" t="str">
        <f>IFERROR(INDEX($DU:$DU,MATCH(MID(WD4,WG5,WJ5),$DT:$DT,0),1),"")</f>
        <v/>
      </c>
      <c r="WM5" s="843" t="str">
        <f>IF(WL13="","",CONCATENATE(WE13,". ",WL13," ",IFERROR(CONCATENATE(WK14,",",WK15),""),IF(ISERROR(CONCATENATE(WK14,",",WK15)),"","₽")))</f>
        <v/>
      </c>
      <c r="WN5" t="str">
        <f t="shared" si="30"/>
        <v xml:space="preserve">доплата </v>
      </c>
      <c r="WO5" s="1181" t="e">
        <f>SEARCH(WN5,WP$4)</f>
        <v>#VALUE!</v>
      </c>
      <c r="WQ5" s="1476"/>
      <c r="WR5" s="834" t="s">
        <v>8436</v>
      </c>
      <c r="WS5" s="836" t="e">
        <f>SEARCH(" ",$SQ$7,WU4+1)+1</f>
        <v>#VALUE!</v>
      </c>
      <c r="WT5" s="306"/>
      <c r="WU5" s="306" t="e">
        <f>WS5+WV5</f>
        <v>#VALUE!</v>
      </c>
      <c r="WV5" s="306">
        <v>10</v>
      </c>
      <c r="WW5" s="827" t="e">
        <f>DATEVALUE(MID($SQ$7,WS5,WV5))</f>
        <v>#VALUE!</v>
      </c>
      <c r="WX5" s="828" t="str">
        <f>IF(WT3=" за период",WW5,"")</f>
        <v/>
      </c>
      <c r="WY5" s="843" t="str">
        <f>IF(WX17="","",CONCATENATE(WQ17,". ",WX17," ",IFERROR(CONCATENATE(WW21,",",WW22),""),IF(ISERROR(CONCATENATE(WW21,",",WW22)),"","₽")))</f>
        <v/>
      </c>
      <c r="WZ5" t="s">
        <v>8513</v>
      </c>
      <c r="XA5" s="1025" t="e">
        <f>SEARCH(WZ5,XB$4)</f>
        <v>#VALUE!</v>
      </c>
      <c r="XC5" s="1488">
        <v>1</v>
      </c>
      <c r="XD5" s="1030" t="s">
        <v>8433</v>
      </c>
      <c r="XE5" s="406" t="e">
        <f>SEARCH(XB14,XB4)+LEN(XB14)</f>
        <v>#VALUE!</v>
      </c>
      <c r="XF5" s="406" t="str">
        <f>IF(XG5=IFERROR(SEARCH(".",XB4,XE5),99999),".",
IF(XG5=IFERROR(SEARCH(",",XB4,XE5),99999),",",
IF(XG5=IFERROR(SEARCH(" за период",XB4,XE5),999999)," за период",
IF(XG5=IFERROR(SEARCH(" в размере",XB4,XE5),99999)," в размере",
IF(XG5=IFERROR(SEARCH(" и ",XB4,XE5),99999)," и ",
IF(XG5=IFERROR(SEARCH(")",XB4,XE5),99999),")",
))))))</f>
        <v>.</v>
      </c>
      <c r="XG5" s="406">
        <f>IFERROR(MIN(IFERROR(SEARCH(".",XB4,XE5),99999),IFERROR(SEARCH(",",XB4,XE5),99999),IFERROR(SEARCH(" за период",XB4,XE5),999999),IFERROR(SEARCH(" в размере",XB4,XE5),99999),IFERROR(SEARCH(" и ",XB4,XE5),99999),IFERROR(SEARCH(")",XB4,XE5),99999)),"ОШИБКА")</f>
        <v>99999</v>
      </c>
      <c r="XH5" s="406" t="e">
        <f>XG5-XE5</f>
        <v>#VALUE!</v>
      </c>
      <c r="XI5" s="873" t="e">
        <f>MID(XB4,XE5,XH5)</f>
        <v>#VALUE!</v>
      </c>
      <c r="XJ5" s="825" t="str">
        <f>IFERROR(INDEX($DU:$DU,MATCH(MID(XB4,XE5,XH5),$DT:$DT,0),1),"")</f>
        <v/>
      </c>
      <c r="XK5" s="843" t="str">
        <f>IF(XJ13="","",CONCATENATE(XC13,". ",XJ13," ",IFERROR(CONCATENATE(XI14,",",XI15),""),IF(ISERROR(CONCATENATE(XI14,",",XI15)),"","₽")))</f>
        <v/>
      </c>
      <c r="XL5" s="1090" t="str">
        <f>IFERROR(CONCATENATE(DATES!C17," ",TEXT(VALUE(CONCATENATE(LEFT(DATES!E17,SEARCH(",",TEXT(DATES!E17,"0,00"))-1),",",RIGHT(TEXT(DATES!E17,"0,00"),2))),"0 000,00"),"₽"),"")</f>
        <v xml:space="preserve"> 0 000,00₽</v>
      </c>
      <c r="XM5" s="1044">
        <v>3</v>
      </c>
      <c r="XN5" s="864" t="str">
        <f>CONCATENATE(" в ",$CU$3, " от ")</f>
        <v xml:space="preserve"> в АО СК «БАСК» от </v>
      </c>
      <c r="XO5" s="854">
        <f t="shared" ref="XO5:XO6" si="98">MIN(IFERROR(SEARCH(XN$3,$E$4,XS4),99999),
IFERROR(SEARCH(XN$4,$E$4,XS4),99999),
IFERROR(SEARCH(XN$5,$E$4,XS4),99999),
IFERROR(SEARCH(XN$6,$E$4,XS4),99999),
IFERROR(SEARCH(XN$7,$E$4,XS4),99999),
IFERROR(SEARCH(XN$8,$E$4,XS4),99999),
IFERROR(SEARCH(XN$9,$E$4,XS4),99999),
IFERROR(SEARCH(XN$10,$E$4,XS4),99999),
IFERROR(SEARCH(XN$11,$E$4,XS4),99999),
IFERROR(SEARCH(XN$12,$E$4,XS4),99999),
IFERROR(SEARCH(XN$13,$E$4,XS4),99999),
IFERROR(SEARCH(XN$14,$E$4,XS4),99999),
IFERROR(SEARCH(XN$15,$E$4,XS4),99999),
IFERROR(SEARCH(XN$16,$E$4,XS4),99999),
IFERROR(SEARCH(XN$17,$E$4,XS4),99999)
)</f>
        <v>3578</v>
      </c>
      <c r="XP5" s="920"/>
      <c r="XQ5" s="334">
        <f t="shared" ref="XQ5:XQ7" si="99">LEN(MID($E$4,1,XO5))-LEN(IF(ISERROR(FIND(" ",MID($E$4,1,XO5))),MID($E$4,1,XO5),RIGHT(MID($E$4,1,XO5),LEN(MID($E$4,1,XO5))-FIND("~",SUBSTITUTE(MID($E$4,1,XO5),XP$3,"~",LEN(MID($E$4,1,XO5))-LEN(SUBSTITUTE(MID($E$4,1,XO5),XP$3,"")))))))+1</f>
        <v>3515</v>
      </c>
      <c r="XR5" s="863"/>
      <c r="XS5" s="863">
        <f>SEARCH(XR3,$E$4,XQ5)</f>
        <v>4002</v>
      </c>
      <c r="XT5" s="854">
        <f>XS5-XQ5</f>
        <v>487</v>
      </c>
      <c r="XU5" s="1042" t="str">
        <f>CLEAN(MID($E$4,XQ5,XT5))</f>
        <v>Не согласившись с Решением от 22.10.2019 № У-19-24659/5010-010, Заявитель обратился в суд с исковыми требованиями к Финансовой организации о взыскании страхового возмещения по Договору ОСАГО в размере 400 000 рублей 00 копеек, неустойки за несоблюдение срока выплаты страхового возмещения по Договору ОСАГО за период с 02.07.2019 по 30.12.2019 в размере 400 000 рублей 00 копеек, расходов на проведение независимой технической экспертизы в размере 7 000 рублей 00 копеек и иных расходов.</v>
      </c>
      <c r="XV5" s="869">
        <v>3</v>
      </c>
      <c r="XW5" s="1180" t="s">
        <v>8513</v>
      </c>
      <c r="XX5" s="854">
        <f>MIN(IFERROR(SEARCH(XW$3,$E$4,YB4),99999),
IFERROR(SEARCH(XW$4,$E$4,YB4),99999),
IFERROR(SEARCH(XW$5,$E$4,YB4),99999),
IFERROR(SEARCH(XW$6,$E$4,YB4),99999),
IFERROR(SEARCH(XW$7,$E$4,YB4),99999),
IFERROR(SEARCH(XW$8,$E$4,YB4),99999),
IFERROR(SEARCH(XW$9,$E$4,YB4),99999),
IFERROR(SEARCH(XW$10,$E$4,YB4),99999),
IFERROR(SEARCH(XW$11,$E$4,YB4),99999),
IFERROR(SEARCH(XW$12,$E$4,YB4),99999),
IFERROR(SEARCH(XW$13,$E$4,YB4),99999),
IFERROR(SEARCH(XW$14,$E$4,YB4),99999)
)</f>
        <v>99999</v>
      </c>
      <c r="XY5" s="1179" t="str">
        <f>IFERROR(DATEVALUE(MID(XU5,1,10)),
IFERROR(DATEVALUE(MID(XU5,XX5,10)),
""))</f>
        <v/>
      </c>
      <c r="XZ5" s="876" t="s">
        <v>717</v>
      </c>
      <c r="YA5" s="876" t="e">
        <f>SEARCH(MA$3,$XU$4)</f>
        <v>#VALUE!</v>
      </c>
      <c r="YB5" s="885" t="str">
        <f>IF(ISERROR(YA5),
IF(ISERROR(YA6),
"ОШИБКА",
XZ6),
XZ5)</f>
        <v>ОШИБКА</v>
      </c>
      <c r="YC5" s="1472" t="str">
        <f>YB5</f>
        <v>ОШИБКА</v>
      </c>
      <c r="YD5" t="s">
        <v>8517</v>
      </c>
      <c r="YE5" s="876" t="e">
        <f>SEARCH(YD5,$XU$3)</f>
        <v>#VALUE!</v>
      </c>
      <c r="YG5" s="1476"/>
      <c r="YH5" s="834" t="s">
        <v>8436</v>
      </c>
      <c r="YI5" s="836" t="e">
        <f>SEARCH(" ",$XU$3,YK4+1)+1</f>
        <v>#VALUE!</v>
      </c>
      <c r="YJ5" s="306"/>
      <c r="YK5" s="306" t="e">
        <f>YI5+YL5</f>
        <v>#VALUE!</v>
      </c>
      <c r="YL5" s="306">
        <v>10</v>
      </c>
      <c r="YM5" s="827" t="e">
        <f>DATEVALUE(MID($XU$3,YI5,YL5))</f>
        <v>#VALUE!</v>
      </c>
      <c r="YN5" s="828" t="str">
        <f>IF(YJ3=" за период",YM5,"")</f>
        <v/>
      </c>
      <c r="YO5" s="843" t="str">
        <f>IF(ISERROR(YI17),"",CONCATENATE(YG17,". ",YN17," ",IFERROR(CONCATENATE(YM21,",",YM22),""),IF(ISERROR(CONCATENATE(YM21,",",YM22)),"","₽")))</f>
        <v/>
      </c>
      <c r="YP5" t="str">
        <f t="shared" ref="YP5:YP12" si="100">YD5</f>
        <v xml:space="preserve">о доплате </v>
      </c>
      <c r="YQ5" s="876" t="e">
        <f>SEARCH(YP5,$XU$4)</f>
        <v>#VALUE!</v>
      </c>
      <c r="YS5" s="1476"/>
      <c r="YT5" s="834" t="s">
        <v>8436</v>
      </c>
      <c r="YU5" s="836" t="e">
        <f>SEARCH(" ",$XU$4,YW4+1)+1</f>
        <v>#VALUE!</v>
      </c>
      <c r="YV5" s="306"/>
      <c r="YW5" s="306" t="e">
        <f>YU5+YX5</f>
        <v>#VALUE!</v>
      </c>
      <c r="YX5" s="306">
        <v>10</v>
      </c>
      <c r="YY5" s="827" t="e">
        <f>DATEVALUE(MID($XU$4,YU5,YX5))</f>
        <v>#VALUE!</v>
      </c>
      <c r="YZ5" s="828" t="str">
        <f>IF(YV3=" за период",YY5,"")</f>
        <v/>
      </c>
      <c r="ZA5" s="843" t="str">
        <f>IF(ISERROR(YU17),"",CONCATENATE(YS17,". ",YZ17," ",IFERROR(CONCATENATE(YY21,",",YY22),""),IF(ISERROR(CONCATENATE(YY21,",",YY22)),"","₽")))</f>
        <v/>
      </c>
      <c r="ZB5" t="str">
        <f t="shared" si="31"/>
        <v xml:space="preserve">о доплате </v>
      </c>
      <c r="ZC5" s="876" t="e">
        <f>SEARCH(ZB5,$XU$5)</f>
        <v>#VALUE!</v>
      </c>
      <c r="ZE5" s="1476"/>
      <c r="ZF5" s="834" t="s">
        <v>8436</v>
      </c>
      <c r="ZG5" s="836" t="e">
        <f>SEARCH(" ",$XU$5,ZI4+1)+1</f>
        <v>#VALUE!</v>
      </c>
      <c r="ZH5" s="306"/>
      <c r="ZI5" s="306" t="e">
        <f>ZG5+ZJ5</f>
        <v>#VALUE!</v>
      </c>
      <c r="ZJ5" s="306">
        <v>10</v>
      </c>
      <c r="ZK5" s="827" t="e">
        <f>DATEVALUE(MID($XU$5,ZG5,ZJ5))</f>
        <v>#VALUE!</v>
      </c>
      <c r="ZL5" s="828" t="str">
        <f>IF(ZH3=" за период",ZK5,"")</f>
        <v/>
      </c>
      <c r="ZM5" s="843" t="str">
        <f>IF(ISERROR(ZG17),"",CONCATENATE(ZE17,". ",ZL17," ",IFERROR(CONCATENATE(ZK21,",",ZK22),""),IF(ISERROR(CONCATENATE(ZK21,",",ZK22)),"","₽")))</f>
        <v/>
      </c>
      <c r="ZN5" t="str">
        <f t="shared" si="32"/>
        <v xml:space="preserve">о доплате </v>
      </c>
      <c r="ZO5" s="880" t="e">
        <f>SEARCH(ZN5,$XU$6)</f>
        <v>#VALUE!</v>
      </c>
      <c r="ZQ5" s="1476"/>
      <c r="ZR5" s="834" t="s">
        <v>8436</v>
      </c>
      <c r="ZS5" s="836">
        <f>SEARCH(" ",$XU$6,ZU4+1)+1</f>
        <v>222</v>
      </c>
      <c r="ZT5" s="306"/>
      <c r="ZU5" s="306">
        <f>ZS5+ZV5</f>
        <v>232</v>
      </c>
      <c r="ZV5" s="306">
        <v>10</v>
      </c>
      <c r="ZW5" s="827">
        <f>DATEVALUE(MID($XU$6,ZS5,ZV5))</f>
        <v>43881</v>
      </c>
      <c r="ZX5" s="828">
        <f>IF(ZT3=" за период",ZW5,"")</f>
        <v>43881</v>
      </c>
      <c r="ZY5" s="843" t="str">
        <f>IF(ISERROR(ZS17),"",CONCATENATE(ZQ17,". ",ZX17," ",IFERROR(CONCATENATE(ZW21,",",ZW22),""),IF(ISERROR(CONCATENATE(ZW21,",",ZW22)),"","₽")))</f>
        <v/>
      </c>
      <c r="ZZ5" t="str">
        <f t="shared" si="33"/>
        <v xml:space="preserve">о доплате </v>
      </c>
      <c r="AAA5" s="880" t="e">
        <f>SEARCH(ZZ5,$XU$7)</f>
        <v>#VALUE!</v>
      </c>
      <c r="AAC5" s="1476"/>
      <c r="AAD5" s="834" t="s">
        <v>8436</v>
      </c>
      <c r="AAE5" s="836" t="e">
        <f>SEARCH(" ",$XU$7,AAG4+1)+1</f>
        <v>#VALUE!</v>
      </c>
      <c r="AAF5" s="306"/>
      <c r="AAG5" s="306" t="e">
        <f>AAE5+AAH5</f>
        <v>#VALUE!</v>
      </c>
      <c r="AAH5" s="306">
        <v>10</v>
      </c>
      <c r="AAI5" s="827" t="e">
        <f>DATEVALUE(MID($XU$7,AAE5,AAH5))</f>
        <v>#VALUE!</v>
      </c>
      <c r="AAJ5" s="828" t="str">
        <f>IF(AAF3=" за период",AAI5,"")</f>
        <v/>
      </c>
      <c r="AAK5" s="843" t="str">
        <f>IF(ISERROR(AAE17),"",CONCATENATE(AAC17,". ",AAJ17," ",IFERROR(CONCATENATE(AAI21,",",AAI22),""),IF(ISERROR(CONCATENATE(AAI21,",",AAI22)),"","₽")))</f>
        <v/>
      </c>
      <c r="AAL5" s="1090" t="str">
        <f>IF(DATES!O4="","",DATES!O4)</f>
        <v/>
      </c>
      <c r="AAM5" s="974">
        <v>3</v>
      </c>
      <c r="AAN5" s="946" t="s">
        <v>8513</v>
      </c>
      <c r="AAO5" s="854">
        <f>MIN(IFERROR(SEARCH(AAN$3,$E$4,AAS4),99999),
IFERROR(SEARCH(AAN$4,$E$4,AAS4),99999),
IFERROR(SEARCH(AAN$5,$E$4,AAS4),99999),
IFERROR(SEARCH(AAN$6,$E$4,AAS4),99999),
IFERROR(SEARCH(AAN$7,$E$4,AAS4),99999),
IFERROR(SEARCH(AAN$8,$E$4,AAS4),99999),
IFERROR(SEARCH(AAN$9,$E$4,AAS4),99999),
IFERROR(SEARCH(AAN$10,$E$4,AAS4),99999),
IFERROR(SEARCH(AAN$11,$E$4,AAS4),99999),
IFERROR(SEARCH(AAN$12,$E$4,AAS4),99999),
IFERROR(SEARCH(AAN$13,$E$4,AAS4),99999),
IFERROR(SEARCH(AAN$14,$E$4,AAS4),99999)
)</f>
        <v>99999</v>
      </c>
      <c r="AAP5" s="920"/>
      <c r="AAQ5" s="334">
        <f>LEN(MID($E$4,1,AAO5))-LEN(IF(ISERROR(FIND(" ",MID($E$4,1,AAO5))),MID($E$4,1,AAO5),RIGHT(MID($E$4,1,AAO5),LEN(MID($E$4,1,AAO5))-FIND("~",SUBSTITUTE(MID($E$4,1,AAO5),AAP3,"~",LEN(MID($E$4,1,AAO5))-LEN(SUBSTITUTE(MID($E$4,1,AAO5),AAP3,"")))))))+1</f>
        <v>5367</v>
      </c>
      <c r="AAR5" s="947"/>
      <c r="AAS5" s="1047" t="e">
        <f>SEARCH(AAR$3,$E$4,AAQ5)</f>
        <v>#VALUE!</v>
      </c>
      <c r="AAT5" s="854" t="e">
        <f>AAS5-AAQ5</f>
        <v>#VALUE!</v>
      </c>
      <c r="AAU5" s="1042" t="e">
        <f>CLEAN(MID($E$4,AAQ5,AAT5))</f>
        <v>#VALUE!</v>
      </c>
      <c r="AAV5" t="s">
        <v>8513</v>
      </c>
      <c r="AAW5" s="947" t="e">
        <f t="shared" si="9"/>
        <v>#VALUE!</v>
      </c>
      <c r="AAX5" s="5"/>
      <c r="AAY5" s="5"/>
      <c r="AAZ5" s="5"/>
      <c r="ABA5" s="1486"/>
      <c r="ABB5" s="1087" t="str">
        <f>IFERROR(ABA27,"")</f>
        <v/>
      </c>
      <c r="ABC5" s="1069">
        <v>3</v>
      </c>
      <c r="ABD5" s="935" t="s">
        <v>9450</v>
      </c>
      <c r="ABE5" s="854">
        <f>MIN(IFERROR(SEARCH(ABD$3,$E$4,ABI4),99999),
IFERROR(SEARCH(ABD$4,$E$4,ABI4),99999),
IFERROR(SEARCH(ABD$5,$E$4,ABI4),99999),
IFERROR(SEARCH(ABD$6,$E$4,ABI4),99999),
IFERROR(SEARCH(ABD$7,$E$4,ABI4),99999),
IFERROR(SEARCH(ABD$8,$E$4,ABI4),99999),
IFERROR(SEARCH(ABD$9,$E$4,ABI4),99999),
IFERROR(SEARCH(ABD$10,$E$4,ABI4),99999),
IFERROR(SEARCH(ABD$11,$E$4,ABI4),99999),
IFERROR(SEARCH(ABD$12,$E$4,ABI4),99999),
IFERROR(SEARCH(ABD$13,$E$4,ABI4),99999),
IFERROR(SEARCH(ABD$14,$E$4,ABI4),99999)
)</f>
        <v>99999</v>
      </c>
      <c r="ABF5" s="920"/>
      <c r="ABG5" s="334">
        <f>LEN(MID($E$4,1,ABE5))-LEN(IF(ISERROR(FIND(" ",MID($E$4,1,ABE5))),MID($E$4,1,ABE5),RIGHT(MID($E$4,1,ABE5),LEN(MID($E$4,1,ABE5))-FIND("~",SUBSTITUTE(MID($E$4,1,ABE5),ABF3,"~",LEN(MID($E$4,1,ABE5))-LEN(SUBSTITUTE(MID($E$4,1,ABE5),ABF3,"")))))))+1</f>
        <v>5367</v>
      </c>
      <c r="ABH5" s="937"/>
      <c r="ABI5" s="937" t="e">
        <f>SEARCH(ABH3,$E$4,ABG5)</f>
        <v>#VALUE!</v>
      </c>
      <c r="ABJ5" s="854" t="e">
        <f>ABI5-ABG5</f>
        <v>#VALUE!</v>
      </c>
      <c r="ABK5" s="1042" t="e">
        <f>CLEAN(MID($E$4,ABG5,ABJ5))</f>
        <v>#VALUE!</v>
      </c>
      <c r="ABL5" t="s">
        <v>9494</v>
      </c>
      <c r="ABM5" s="854">
        <f t="shared" si="34"/>
        <v>99999</v>
      </c>
      <c r="ABN5" t="s">
        <v>8513</v>
      </c>
      <c r="ABO5" s="854">
        <f>MIN(IFERROR(SEARCH(ABN$3,$ABK5,ABM5),99999),
IFERROR(SEARCH(ABN$4,$ABK5,ABM5),99999),
IFERROR(SEARCH(ABN$5,$ABK5,ABM5),99999),
IFERROR(SEARCH(ABN$6,$ABK5,ABM5),99999),
IFERROR(SEARCH(ABN$7,$ABK5,ABM5),99999),
IFERROR(SEARCH(ABN$8,$ABK5,ABM5),99999),
IFERROR(SEARCH(ABN$9,$ABK5,ABM5),99999),
IFERROR(SEARCH(ABN$10,$ABK5,ABM5),99999),
IFERROR(SEARCH(ABN$11,$ABK5,ABM5),99999),
IFERROR(SEARCH(ABN$12,$ABK5,ABM5),99999),
IFERROR(SEARCH(ABN$13,$ABK5,ABM5),99999),
IFERROR(SEARCH(ABN$14,$ABK5,ABM5),99999)
)</f>
        <v>99999</v>
      </c>
      <c r="ABP5">
        <f>ABO5-ABM5</f>
        <v>0</v>
      </c>
      <c r="ABQ5" s="1070" t="e">
        <f>MID($ABK$5,ABM5,ABP5)</f>
        <v>#VALUE!</v>
      </c>
      <c r="ABR5" t="s">
        <v>8513</v>
      </c>
      <c r="ABS5" s="854">
        <f>MIN(IFERROR(SEARCH(ABR$3,$ABK5)+LEN(ABR$3),99999),
IFERROR(SEARCH(ABR$4,$ABK5)+LEN(ABR$4),99999),
IFERROR(SEARCH(ABR$5,$ABK5)+LEN(ABR$5),99999),
IFERROR(SEARCH(ABR$6,$ABK5)+LEN(ABR$6),99999),
IFERROR(SEARCH(ABR$7,$ABK5)+LEN(ABR$7),99999),
IFERROR(SEARCH(ABR$8,$ABK5)+LEN(ABR$8),99999),
IFERROR(SEARCH(ABR$9,$ABK5)+LEN(ABR$9),99999),
IFERROR(SEARCH(ABR$10,$ABK5)+LEN(ABR$10),99999),
IFERROR(SEARCH(ABR$11,$ABK5+LEN(ABR$11)),99999),
IFERROR(SEARCH(ABR$12,$ABK5)+LEN(ABR$12),99999),
IFERROR(SEARCH(ABR$13,$ABK5)+LEN(ABR$13),99999),
IFERROR(SEARCH(ABR$14,$ABK5)+LEN(ABR$14),99999)
)</f>
        <v>99999</v>
      </c>
      <c r="ABT5" t="s">
        <v>8513</v>
      </c>
      <c r="ABU5" s="854">
        <f>MIN(IFERROR(SEARCH(ABT$3,$ABK5,ABS5),99999),
IFERROR(SEARCH(ABT$4,$ABK5,ABS5),99999),
IFERROR(SEARCH(ABT$5,$ABK5,ABS5),99999),
IFERROR(SEARCH(ABT$6,$ABK5,ABS5),99999),
IFERROR(SEARCH(ABT$7,$ABK5,ABS5),99999),
IFERROR(SEARCH(ABT$8,$ABK5,ABS5),99999),
IFERROR(SEARCH(ABT$9,$ABK5,ABS5),99999),
IFERROR(SEARCH(ABT$10,$ABK5,ABS5),99999),
IFERROR(SEARCH(ABT$11,$ABK5,ABS5),99999),
IFERROR(SEARCH(ABT$12,$ABK5,ABS5),99999),
IFERROR(SEARCH(ABT$13,$ABK5,ABS5),99999),
IFERROR(SEARCH(ABT$14,$ABK5,ABS5),99999)
)</f>
        <v>99999</v>
      </c>
      <c r="ABV5">
        <f>ABU5-ABS5</f>
        <v>0</v>
      </c>
      <c r="ABW5" s="1073" t="e">
        <f>DATEVALUE(MID($ABK$5,ABS5,ABV5))</f>
        <v>#VALUE!</v>
      </c>
      <c r="ABX5" t="s">
        <v>8513</v>
      </c>
      <c r="ABY5" s="854">
        <f>MIN(IFERROR(SEARCH(ABX$3,$ABK5)+LEN(ABX$3),99999),
IFERROR(SEARCH(ABX$4,$ABK5)+LEN(ABX$4),99999),
IFERROR(SEARCH(ABX$5,$ABK5)+LEN(ABX$5),99999),
IFERROR(SEARCH(ABX$6,$ABK5)+LEN(ABX$6),99999),
IFERROR(SEARCH(ABX$7,$ABK5)+LEN(ABX$7),99999),
IFERROR(SEARCH(ABX$8,$ABK5)+LEN(ABX$8),99999),
IFERROR(SEARCH(ABX$9,$ABK5)+LEN(ABX$9),99999),
IFERROR(SEARCH(ABX$10,$ABK5)+LEN(ABX$10),99999),
IFERROR(SEARCH(ABX$11,$ABK5+LEN(ABX$11)),99999),
IFERROR(SEARCH(ABX$12,$ABK5)+LEN(ABX$12),99999),
IFERROR(SEARCH(ABX$13,$ABK5)+LEN(ABX$13),99999),
IFERROR(SEARCH(ABX$14,$ABK5)+LEN(ABX$14),99999)
)</f>
        <v>99999</v>
      </c>
      <c r="ABZ5" t="s">
        <v>8513</v>
      </c>
      <c r="ACA5" s="854">
        <f>MIN(IFERROR(SEARCH(ABZ$3,$ABK5,ABY5),99999),
IFERROR(SEARCH(ABZ$4,$ABK5,ABY5),99999),
IFERROR(SEARCH(ABZ$5,$ABK5,ABY5),99999),
IFERROR(SEARCH(ABZ$6,$ABK5,ABY5),99999),
IFERROR(SEARCH(ABZ$7,$ABK5,ABY5),99999),
IFERROR(SEARCH(ABZ$8,$ABK5,ABY5),99999),
IFERROR(SEARCH(ABZ$9,$ABK5,ABY5),99999),
IFERROR(SEARCH(ABZ$10,$ABK5,ABY5),99999),
IFERROR(SEARCH(ABZ$11,$ABK5,ABY5),99999),
IFERROR(SEARCH(ABZ$12,$ABK5,ABY5),99999),
IFERROR(SEARCH(ABZ$13,$ABK5,ABY5),99999),
IFERROR(SEARCH(ABZ$14,$ABK5,ABY5),99999)
)</f>
        <v>99999</v>
      </c>
      <c r="ACB5">
        <f>ACA5-ABY5</f>
        <v>0</v>
      </c>
      <c r="ACC5" s="1064" t="e">
        <f>MID($ABK$5,ABY5,ACB5)</f>
        <v>#VALUE!</v>
      </c>
      <c r="ACD5" t="s">
        <v>9578</v>
      </c>
      <c r="ACE5" s="854">
        <f>MIN(IFERROR(SEARCH(ACD$3,$ABK5)+LEN(ACD$3),99999),
IFERROR(SEARCH(ACD$4,$ABK5)+LEN(ACD$4),99999),
IFERROR(SEARCH(ACD$5,$ABK5)+LEN(ACD$5),99999),
IFERROR(SEARCH(ACD$6,$ABK5)+LEN(ACD$6),99999),
IFERROR(SEARCH(ACD$7,$ABK5)+LEN(ACD$7),99999),
IFERROR(SEARCH(ACD$8,$ABK5)+LEN(ACD$8),99999),
IFERROR(SEARCH(ACD$9,$ABK5)+LEN(ACD$9),99999),
IFERROR(SEARCH(ACD$10,$ABK5)+LEN(ACD$10),99999),
IFERROR(SEARCH(ACD$11,$ABK5+LEN(ACD$11)),99999),
IFERROR(SEARCH(ACD$12,$ABK5)+LEN(ACD$12),99999),
IFERROR(SEARCH(ACD$13,$ABK5)+LEN(ACD$13),99999),
IFERROR(SEARCH(ACD$14,$ABK5)+LEN(ACD$14),99999)
)</f>
        <v>99999</v>
      </c>
      <c r="ACF5" s="1059" t="e">
        <f t="shared" si="35"/>
        <v>#VALUE!</v>
      </c>
      <c r="ACG5" s="264" t="e">
        <f t="shared" si="36"/>
        <v>#VALUE!</v>
      </c>
      <c r="ACH5" t="e">
        <f t="shared" si="37"/>
        <v>#VALUE!</v>
      </c>
      <c r="ACI5" s="264" t="e">
        <f t="shared" si="38"/>
        <v>#VALUE!</v>
      </c>
      <c r="ACJ5" s="1059" t="e">
        <f t="shared" si="39"/>
        <v>#VALUE!</v>
      </c>
      <c r="ACK5" s="264" t="e">
        <f t="shared" si="40"/>
        <v>#VALUE!</v>
      </c>
      <c r="ACL5" t="e">
        <f t="shared" si="41"/>
        <v>#VALUE!</v>
      </c>
      <c r="ACM5" s="1075" t="e">
        <f>VALUE(CONCATENATE(ACH5,",",ACL5))</f>
        <v>#VALUE!</v>
      </c>
      <c r="ACN5" t="s">
        <v>9449</v>
      </c>
      <c r="ACO5" s="854">
        <f>MIN(IFERROR(SEARCH(ACN$3,$ABK5)+LEN(ACN$3),99999),
IFERROR(SEARCH(ACN$4,$ABK5)+LEN(ACN$4),99999),
IFERROR(SEARCH(ACN$5,$ABK5)+LEN(ACN$5),99999),
IFERROR(SEARCH(ACN$6,$ABK5)+LEN(ACN$6),99999),
IFERROR(SEARCH(ACN$7,$ABK5)+LEN(ACN$7),99999),
IFERROR(SEARCH(ACN$8,$ABK5)+LEN(ACN$8),99999),
IFERROR(SEARCH(ACN$9,$ABK5)+LEN(ACN$9),99999),
IFERROR(SEARCH(ACN$10,$ABK5)+LEN(ACN$10),99999),
IFERROR(SEARCH(ACN$11,$ABK5+LEN(ACN$11)),99999),
IFERROR(SEARCH(ACN$12,$ABK5)+LEN(ACN$12),99999),
IFERROR(SEARCH(ACN$13,$ABK5)+LEN(ACN$13),99999),
IFERROR(SEARCH(ACN$14,$ABK5)+LEN(ACN$14),99999)
)</f>
        <v>99999</v>
      </c>
      <c r="ACP5" s="1059" t="e">
        <f t="shared" si="42"/>
        <v>#VALUE!</v>
      </c>
      <c r="ACQ5" s="264" t="e">
        <f t="shared" si="43"/>
        <v>#VALUE!</v>
      </c>
      <c r="ACR5" t="e">
        <f t="shared" si="44"/>
        <v>#VALUE!</v>
      </c>
      <c r="ACS5" s="264" t="e">
        <f t="shared" si="45"/>
        <v>#VALUE!</v>
      </c>
      <c r="ACT5" s="1059" t="e">
        <f t="shared" si="46"/>
        <v>#VALUE!</v>
      </c>
      <c r="ACU5" s="264" t="e">
        <f t="shared" si="47"/>
        <v>#VALUE!</v>
      </c>
      <c r="ACV5" t="e">
        <f t="shared" si="48"/>
        <v>#VALUE!</v>
      </c>
      <c r="ACW5" s="1075" t="e">
        <f>VALUE(CONCATENATE(ACR5,",",ACV5))</f>
        <v>#VALUE!</v>
      </c>
      <c r="ACX5" t="s">
        <v>8513</v>
      </c>
      <c r="ACY5" s="854">
        <f>MIN(IFERROR(SEARCH(ACX$3,$ABK5)+LEN(ACX$3),99999),
IFERROR(SEARCH(ACX$4,$ABK5)+LEN(ACX$4),99999),
IFERROR(SEARCH(ACX$5,$ABK5)+LEN(ACX$5),99999),
IFERROR(SEARCH(ACX$6,$ABK5)+LEN(ACX$6),99999),
IFERROR(SEARCH(ACX$7,$ABK5)+LEN(ACX$7),99999),
IFERROR(SEARCH(ACX$8,$ABK5)+LEN(ACX$8),99999),
IFERROR(SEARCH(ACX$9,$ABK5)+LEN(ACX$9),99999),
IFERROR(SEARCH(ACX$10,$ABK5)+LEN(ACX$10),99999),
IFERROR(SEARCH(ACX$11,$ABK5+LEN(ACX$11)),99999),
IFERROR(SEARCH(ACX$12,$ABK5)+LEN(ACX$12),99999),
IFERROR(SEARCH(ACX$13,$ABK5)+LEN(ACX$13),99999),
IFERROR(SEARCH(ACX$14,$ABK5)+LEN(ACX$14),99999)
)</f>
        <v>99999</v>
      </c>
      <c r="ACZ5" s="1059" t="e">
        <f t="shared" si="49"/>
        <v>#VALUE!</v>
      </c>
      <c r="ADA5" s="264" t="e">
        <f t="shared" si="50"/>
        <v>#VALUE!</v>
      </c>
      <c r="ADB5" t="e">
        <f t="shared" si="51"/>
        <v>#VALUE!</v>
      </c>
      <c r="ADC5" s="264" t="e">
        <f t="shared" si="52"/>
        <v>#VALUE!</v>
      </c>
      <c r="ADD5" s="1059" t="e">
        <f t="shared" si="53"/>
        <v>#VALUE!</v>
      </c>
      <c r="ADE5" s="264" t="e">
        <f t="shared" si="54"/>
        <v>#VALUE!</v>
      </c>
      <c r="ADF5" t="e">
        <f t="shared" si="55"/>
        <v>#VALUE!</v>
      </c>
      <c r="ADG5" s="1075" t="e">
        <f>VALUE(CONCATENATE(ADB5,",",ADF5))</f>
        <v>#VALUE!</v>
      </c>
      <c r="ADH5" t="s">
        <v>8513</v>
      </c>
      <c r="ADI5" s="854">
        <f>MIN(IFERROR(SEARCH(ADH$3,$ABK5)+LEN(ADH$3),99999),
IFERROR(SEARCH(ADH$4,$ABK5)+LEN(ADH$4),99999),
IFERROR(SEARCH(ADH$5,$ABK5)+LEN(ADH$5),99999),
IFERROR(SEARCH(ADH$6,$ABK5)+LEN(ADH$6),99999),
IFERROR(SEARCH(ADH$7,$ABK5)+LEN(ADH$7),99999),
IFERROR(SEARCH(ADH$8,$ABK5)+LEN(ADH$8),99999),
IFERROR(SEARCH(ADH$9,$ABK5)+LEN(ADH$9),99999),
IFERROR(SEARCH(ADH$10,$ABK5)+LEN(ADH$10),99999),
IFERROR(SEARCH(ADH$11,$ABK5+LEN(ADH$11)),99999),
IFERROR(SEARCH(ADH$12,$ABK5)+LEN(ADH$12),99999),
IFERROR(SEARCH(ADH$13,$ABK5)+LEN(ADH$13),99999),
IFERROR(SEARCH(ADH$14,$ABK5)+LEN(ADH$14),99999)
)</f>
        <v>99999</v>
      </c>
      <c r="ADJ5" s="1059" t="e">
        <f t="shared" si="56"/>
        <v>#VALUE!</v>
      </c>
      <c r="ADK5" s="264" t="e">
        <f t="shared" si="57"/>
        <v>#VALUE!</v>
      </c>
      <c r="ADL5" t="e">
        <f t="shared" si="58"/>
        <v>#VALUE!</v>
      </c>
      <c r="ADM5" s="264" t="e">
        <f t="shared" si="59"/>
        <v>#VALUE!</v>
      </c>
      <c r="ADN5" s="1059" t="e">
        <f t="shared" si="60"/>
        <v>#VALUE!</v>
      </c>
      <c r="ADO5" s="264" t="e">
        <f t="shared" si="61"/>
        <v>#VALUE!</v>
      </c>
      <c r="ADP5" t="e">
        <f t="shared" si="62"/>
        <v>#VALUE!</v>
      </c>
      <c r="ADQ5" s="1075" t="e">
        <f>VALUE(CONCATENATE(ADL5,",",ADP5))</f>
        <v>#VALUE!</v>
      </c>
      <c r="ADR5" s="1079" t="str">
        <f>IFERROR(ACC3,"")</f>
        <v/>
      </c>
      <c r="ADS5" s="1069">
        <v>3</v>
      </c>
      <c r="ADT5" s="946" t="s">
        <v>8967</v>
      </c>
      <c r="ADU5" s="854">
        <f t="shared" ref="ADU5:ADU7" si="101">MIN(IFERROR(SEARCH(ADT$3,$E$4,ADY4),99999),
IFERROR(SEARCH(ADT$4,$E$4,ADY4),99999),
IFERROR(SEARCH(ADT$5,$E$4,ADY4),99999),
IFERROR(SEARCH(ADT$6,$E$4,ADY4),99999),
IFERROR(SEARCH(ADT$7,$E$4,ADY4),99999),
IFERROR(SEARCH(ADT$8,$E$4,ADY4),99999),
IFERROR(SEARCH(ADT$9,$E$4,ADY4),99999),
IFERROR(SEARCH(ADT$10,$E$4,ADY4),99999),
IFERROR(SEARCH(ADT$11,$E$4,ADY4),99999),
IFERROR(SEARCH(ADT$12,$E$4,ADY4),99999),
IFERROR(SEARCH(ADT$13,$E$4,ADY4),99999),
IFERROR(SEARCH(ADT$14,$E$4,ADY4),99999)
)</f>
        <v>99999</v>
      </c>
      <c r="ADV5" s="920"/>
      <c r="ADW5" s="334">
        <f>LEN(MID($E$4,1,ADU5))-LEN(IF(ISERROR(FIND(" ",MID($E$4,1,ADU5))),MID($E$4,1,ADU5),RIGHT(MID($E$4,1,ADU5),LEN(MID($E$4,1,ADU5))-FIND("~",SUBSTITUTE(MID($E$4,1,ADU5),ADV$3,"~",LEN(MID($E$4,1,ADU5))-LEN(SUBSTITUTE(MID($E$4,1,ADU5),ADV$3,"")))))))+1</f>
        <v>5367</v>
      </c>
      <c r="ADX5" s="947"/>
      <c r="ADY5" s="1059" t="e">
        <f>SEARCH(ADX$3,$E$4,ADW5)</f>
        <v>#VALUE!</v>
      </c>
      <c r="ADZ5" s="854" t="e">
        <f>ADY5-ADW5</f>
        <v>#VALUE!</v>
      </c>
      <c r="AEA5" s="979" t="e">
        <f>CLEAN(MID($E$4,ADW5,ADZ5))</f>
        <v>#VALUE!</v>
      </c>
      <c r="AEB5" s="946" t="s">
        <v>8513</v>
      </c>
      <c r="AEC5" s="854">
        <f>MIN(IFERROR(SEARCH(AEB$3,$E$4,AEF4),99999),
IFERROR(SEARCH(AEB$4,$E$4,AEF4),99999),
IFERROR(SEARCH(AEB$5,$E$4,AEF4),99999),
IFERROR(SEARCH(AEB$6,$E$4,AEF4),99999),
IFERROR(SEARCH(AEB$7,$E$4,AEF4),99999),
IFERROR(SEARCH(AEB$8,$E$4,AEF4),99999),
IFERROR(SEARCH(AEB$9,$E$4,AEF4),99999),
IFERROR(SEARCH(AEB$10,$E$4,AEF4),99999),
IFERROR(SEARCH(AEB$11,$E$4,AEF4),99999),
IFERROR(SEARCH(AEB$12,$E$4,AEF4),99999),
IFERROR(SEARCH(AEB$13,$E$4,AEF4),99999),
IFERROR(SEARCH(AEB$14,$E$4,AEF4),99999)
)</f>
        <v>99999</v>
      </c>
      <c r="AED5" s="920"/>
      <c r="AEE5" s="334">
        <f>LEN(MID($E$4,1,AEC5))-LEN(IF(ISERROR(FIND(" ",MID($E$4,1,AEC5))),MID($E$4,1,AEC5),RIGHT(MID($E$4,1,AEC5),LEN(MID($E$4,1,AEC5))-FIND("~",SUBSTITUTE(MID($E$4,1,AEC5),AED$3,"~",LEN(MID($E$4,1,AEC5))-LEN(SUBSTITUTE(MID($E$4,1,AEC5),AED$3,"")))))))+1</f>
        <v>5367</v>
      </c>
      <c r="AEF5" s="947"/>
      <c r="AEG5" s="1059" t="e">
        <f>SEARCH(AEF$3,$E$4,AEE5)</f>
        <v>#VALUE!</v>
      </c>
      <c r="AEH5" s="854" t="e">
        <f t="shared" si="63"/>
        <v>#VALUE!</v>
      </c>
      <c r="AEI5" s="979" t="e">
        <f>CLEAN(MID($E$4,AEE5,AEH5))</f>
        <v>#VALUE!</v>
      </c>
      <c r="AEJ5" s="961">
        <v>3</v>
      </c>
      <c r="AEK5" s="962" t="e">
        <f>DATEVALUE(MID($AEA$5,1,10))</f>
        <v>#VALUE!</v>
      </c>
      <c r="AEL5" s="962" t="str">
        <f>IFERROR(DATEVALUE(MID($AEI$5,1,10)),"")</f>
        <v/>
      </c>
      <c r="AEM5" t="s">
        <v>8513</v>
      </c>
      <c r="AEN5" s="854">
        <f>MIN(IFERROR(SEARCH(AEM$3,$AEA5)+LEN(AEM$3),99999),
IFERROR(SEARCH(AEM$4,$AEA5)+LEN(AEM$4),99999),
IFERROR(SEARCH(AEM$5,$AEA5)+LEN(AEM$5),99999),
IFERROR(SEARCH(AEM$6,$AEA5)+LEN(AEM$6),99999),
IFERROR(SEARCH(AEM$7,$AEA5)+LEN(AEM$7),99999),
IFERROR(SEARCH(AEM$8,$AEA5)+LEN(AEM$8),99999),
IFERROR(SEARCH(AEM$9,$AEA5)+LEN(AEM$9),99999),
IFERROR(SEARCH(AEM$10,$AEA5)+LEN(AEM$10),99999),
IFERROR(SEARCH(AEM$11,$AEA5+LEN(AEM$11)),99999),
IFERROR(SEARCH(AEM$12,$AEA5)+LEN(AEM$12),99999),
IFERROR(SEARCH(AEM$13,$AEA5)+LEN(AEM$13),99999),
IFERROR(SEARCH(AEM$14,$AEA5)+LEN(AEM$14),99999)
)</f>
        <v>99999</v>
      </c>
      <c r="AEO5" t="s">
        <v>8513</v>
      </c>
      <c r="AEP5" s="854">
        <f>MIN(IFERROR(SEARCH(AEO$3,$AEA5,AEN5),99999),
IFERROR(SEARCH(AEO$4,$AEA5,AEN5),99999),
IFERROR(SEARCH(AEO$5,$AEA5,AEN5),99999),
IFERROR(SEARCH(AEO$6,$AEA5,AEN5),99999),
IFERROR(SEARCH(AEO$7,$AEA5,AEN5),99999),
IFERROR(SEARCH(AEO$8,$AEA5,AEN5),99999),
IFERROR(SEARCH(AEO$9,$AEA5,AEN5),99999),
IFERROR(SEARCH(AEO$10,$AEA5,AEN5),99999),
IFERROR(SEARCH(AEO$11,$AEA5,AEN5),99999),
IFERROR(SEARCH(AEO$12,$AEA5,AEN5),99999),
IFERROR(SEARCH(AEO$13,$AEA5,AEN5),99999),
IFERROR(SEARCH(AEO$14,$AEA5,AEN5),99999)
)</f>
        <v>99999</v>
      </c>
      <c r="AEQ5">
        <f>AEP5-AEN5</f>
        <v>0</v>
      </c>
      <c r="AER5" s="1070" t="e">
        <f>MID($AEA$5,AEN5,AEQ5)</f>
        <v>#VALUE!</v>
      </c>
      <c r="AES5" t="s">
        <v>8513</v>
      </c>
      <c r="AET5" s="854">
        <f>MIN(IFERROR(SEARCH(AES$3,$AEA5)+LEN(AES$3),99999),
IFERROR(SEARCH(AES$4,$AEA5)+LEN(AES$4),99999),
IFERROR(SEARCH(AES$5,$AEA5)+LEN(AES$5),99999),
IFERROR(SEARCH(AES$6,$AEA5)+LEN(AES$6),99999),
IFERROR(SEARCH(AES$7,$AEA5)+LEN(AES$7),99999),
IFERROR(SEARCH(AES$8,$AEA5)+LEN(AES$8),99999),
IFERROR(SEARCH(AES$9,$AEA5)+LEN(AES$9),99999),
IFERROR(SEARCH(AES$10,$AEA5)+LEN(AES$10),99999),
IFERROR(SEARCH(AES$11,$AEA5+LEN(AES$11)),99999),
IFERROR(SEARCH(AES$12,$AEA5)+LEN(AES$12),99999),
IFERROR(SEARCH(AES$13,$AEA5)+LEN(AES$13),99999),
IFERROR(SEARCH(AES$14,$AEA5)+LEN(AES$14),99999)
)</f>
        <v>99999</v>
      </c>
      <c r="AEU5" t="s">
        <v>8513</v>
      </c>
      <c r="AEV5" s="854">
        <f>MIN(IFERROR(SEARCH(AEU$3,$AEA5,AET5),99999),
IFERROR(SEARCH(AEU$4,$AEA5,AET5),99999),
IFERROR(SEARCH(AEU$5,$AEA5,AET5),99999),
IFERROR(SEARCH(AEU$6,$AEA5,AET5),99999),
IFERROR(SEARCH(AEU$7,$AEA5,AET5),99999),
IFERROR(SEARCH(AEU$8,$AEA5,AET5),99999),
IFERROR(SEARCH(AEU$9,$AEA5,AET5),99999),
IFERROR(SEARCH(AEU$10,$AEA5,AET5),99999),
IFERROR(SEARCH(AEU$11,$AEA5,AET5),99999),
IFERROR(SEARCH(AEU$12,$AEA5,AET5),99999),
IFERROR(SEARCH(AEU$13,$AEA5,AET5),99999),
IFERROR(SEARCH(AEU$14,$AEA5,AET5),99999)
)</f>
        <v>99999</v>
      </c>
      <c r="AEW5">
        <f>AEV5-AET5</f>
        <v>0</v>
      </c>
      <c r="AEX5" s="1070" t="e">
        <f>MID($AEA$5,AET5,AEW5)</f>
        <v>#VALUE!</v>
      </c>
      <c r="AEY5" t="s">
        <v>8513</v>
      </c>
      <c r="AEZ5" s="854">
        <f>MIN(IFERROR(SEARCH(AEY$3,$AEA5)+LEN(AEY$3),99999),
IFERROR(SEARCH(AEY$4,$AEA5)+LEN(AEY$4),99999),
IFERROR(SEARCH(AEY$5,$AEA5)+LEN(AEY$5),99999),
IFERROR(SEARCH(AEY$6,$AEA5)+LEN(AEY$6),99999),
IFERROR(SEARCH(AEY$7,$AEA5)+LEN(AEY$7),99999),
IFERROR(SEARCH(AEY$8,$AEA5)+LEN(AEY$8),99999),
IFERROR(SEARCH(AEY$9,$AEA5)+LEN(AEY$9),99999),
IFERROR(SEARCH(AEY$10,$AEA5)+LEN(AEY$10),99999),
IFERROR(SEARCH(AEY$11,$AEA5+LEN(AEY$11)),99999),
IFERROR(SEARCH(AEY$12,$AEA5)+LEN(AEY$12),99999),
IFERROR(SEARCH(AEY$13,$AEA5)+LEN(AEY$13),99999),
IFERROR(SEARCH(AEY$14,$AEA5)+LEN(AEY$14),99999)
)</f>
        <v>99999</v>
      </c>
      <c r="AFA5" s="1060" t="str">
        <f>IF(ISERROR(AEA5),"",IF(AEZ5=99999,"ОТКАЗАТЬ","УДОВЛЕТВОРИТЬ"))</f>
        <v/>
      </c>
      <c r="AFB5" t="s">
        <v>9808</v>
      </c>
      <c r="AFC5" s="947" t="e">
        <f>SEARCH(AFB5,AFD4)</f>
        <v>#VALUE!</v>
      </c>
      <c r="AFE5" s="1476"/>
      <c r="AFF5" s="834" t="s">
        <v>8436</v>
      </c>
      <c r="AFG5" s="836" t="e">
        <f>SEARCH(" ",AFD$4,AFI4+1)+1</f>
        <v>#VALUE!</v>
      </c>
      <c r="AFH5" s="306"/>
      <c r="AFI5" s="306" t="e">
        <f>AFG5+AFJ5</f>
        <v>#VALUE!</v>
      </c>
      <c r="AFJ5" s="306">
        <v>10</v>
      </c>
      <c r="AFK5" s="827" t="e">
        <f>DATEVALUE(MID(AFD$4,AFG5,AFJ5))</f>
        <v>#VALUE!</v>
      </c>
      <c r="AFL5" s="828" t="str">
        <f>IF(AFH3=" за период",AFK5,"")</f>
        <v/>
      </c>
      <c r="AFM5" s="843" t="str">
        <f>IF(AFL17="","",CONCATENATE(AFE17,". ",AFL17," ",IFERROR(CONCATENATE(AFK21,",",AFK22),""),IF(ISERROR(CONCATENATE(AFK21,",",AFK22)),"","₽")))</f>
        <v/>
      </c>
      <c r="AFN5" t="str">
        <f t="shared" si="66"/>
        <v xml:space="preserve">взыскано в пользу Заявителя, в том числе, </v>
      </c>
      <c r="AFO5" s="947" t="e">
        <f>SEARCH(AFN5,AFP4)</f>
        <v>#VALUE!</v>
      </c>
      <c r="AFQ5" s="1476"/>
      <c r="AFR5" s="834" t="s">
        <v>8436</v>
      </c>
      <c r="AFS5" s="836" t="e">
        <f>SEARCH(" ",AFP$4,AFU4+1)+1</f>
        <v>#VALUE!</v>
      </c>
      <c r="AFT5" s="306"/>
      <c r="AFU5" s="306" t="e">
        <f>AFS5+AFV5</f>
        <v>#VALUE!</v>
      </c>
      <c r="AFV5" s="306">
        <v>10</v>
      </c>
      <c r="AFW5" s="827" t="e">
        <f>DATEVALUE(MID(AFP$4,AFS5,AFV5))</f>
        <v>#VALUE!</v>
      </c>
      <c r="AFX5" s="828" t="str">
        <f>IF(AFT3=" за период",AFW5,"")</f>
        <v/>
      </c>
      <c r="AFY5" s="843" t="str">
        <f>IF(AFX17="","",CONCATENATE(AFQ17,". ",AFX17," ",IFERROR(CONCATENATE(AFW21,",",AFW22),""),IF(ISERROR(CONCATENATE(AFW21,",",AFW22)),"","₽")))</f>
        <v/>
      </c>
      <c r="AFZ5" t="s">
        <v>8513</v>
      </c>
      <c r="AGA5" s="947" t="e">
        <f>SEARCH(AFZ5,AGB4)</f>
        <v>#VALUE!</v>
      </c>
      <c r="AGC5" s="1476"/>
      <c r="AGD5" s="834" t="s">
        <v>8436</v>
      </c>
      <c r="AGE5" s="836" t="e">
        <f>SEARCH(" ",AGB$4,AGG4+1)+1</f>
        <v>#VALUE!</v>
      </c>
      <c r="AGF5" s="306"/>
      <c r="AGG5" s="306" t="e">
        <f>AGE5+AGH5</f>
        <v>#VALUE!</v>
      </c>
      <c r="AGH5" s="306">
        <v>10</v>
      </c>
      <c r="AGI5" s="827" t="e">
        <f>DATEVALUE(MID(AGB$4,AGE5,AGH5))</f>
        <v>#VALUE!</v>
      </c>
      <c r="AGJ5" s="828" t="str">
        <f>IF(AGF3=" за период",AGI5,"")</f>
        <v/>
      </c>
      <c r="AGK5" s="843" t="str">
        <f>IF(AGJ17="","",CONCATENATE(AGC17,". ",AGJ17," ",IFERROR(CONCATENATE(AGI21,",",AGI22),""),IF(ISERROR(CONCATENATE(AGI21,",",AGI22)),"","₽")))</f>
        <v/>
      </c>
      <c r="AGL5" t="s">
        <v>8513</v>
      </c>
      <c r="AGM5" s="947" t="e">
        <f>SEARCH(AGL5,AGN4)</f>
        <v>#VALUE!</v>
      </c>
      <c r="AGO5" s="1476"/>
      <c r="AGP5" s="834" t="s">
        <v>8436</v>
      </c>
      <c r="AGQ5" s="836" t="e">
        <f>SEARCH(" ",AGN$4,AGS4+1)+1</f>
        <v>#VALUE!</v>
      </c>
      <c r="AGR5" s="306"/>
      <c r="AGS5" s="306" t="e">
        <f>AGQ5+AGT5</f>
        <v>#VALUE!</v>
      </c>
      <c r="AGT5" s="306">
        <v>10</v>
      </c>
      <c r="AGU5" s="827" t="e">
        <f>DATEVALUE(MID(AGN$4,AGQ5,AGT5))</f>
        <v>#VALUE!</v>
      </c>
      <c r="AGV5" s="828" t="str">
        <f>IF(AGR3=" за период",AGU5,"")</f>
        <v/>
      </c>
      <c r="AGW5" s="843" t="str">
        <f>IF(AGV17="","",CONCATENATE(AGO17,". ",AGV17," ",IFERROR(CONCATENATE(AGU21,",",AGU22),""),IF(ISERROR(CONCATENATE(AGU21,",",AGU22)),"","₽")))</f>
        <v/>
      </c>
      <c r="AGX5" t="s">
        <v>8513</v>
      </c>
      <c r="AGY5" s="947" t="e">
        <f>SEARCH(AGX5,AGZ4)</f>
        <v>#VALUE!</v>
      </c>
      <c r="AHA5" s="1476"/>
      <c r="AHB5" s="834" t="s">
        <v>8436</v>
      </c>
      <c r="AHC5" s="836" t="e">
        <f>SEARCH(" ",AGZ$4,AHE4+1)+1</f>
        <v>#VALUE!</v>
      </c>
      <c r="AHD5" s="306"/>
      <c r="AHE5" s="306" t="e">
        <f>AHC5+AHF5</f>
        <v>#VALUE!</v>
      </c>
      <c r="AHF5" s="306">
        <v>10</v>
      </c>
      <c r="AHG5" s="827" t="e">
        <f>DATEVALUE(MID(AGZ$4,AHC5,AHF5))</f>
        <v>#VALUE!</v>
      </c>
      <c r="AHH5" s="828" t="str">
        <f>IF(AHD3=" за период",AHG5,"")</f>
        <v/>
      </c>
      <c r="AHI5" s="843" t="str">
        <f>IF(AHH17="","",CONCATENATE(AHA17,". ",AHH17," ",IFERROR(CONCATENATE(AHG21,",",AHG22),""),IF(ISERROR(CONCATENATE(AHG21,",",AHG22)),"","₽")))</f>
        <v/>
      </c>
      <c r="AHJ5" s="1084"/>
      <c r="AHK5" s="768" t="s">
        <v>8513</v>
      </c>
      <c r="AHL5" s="854"/>
      <c r="AHM5" s="768" t="s">
        <v>8513</v>
      </c>
      <c r="AHT5" s="768" t="s">
        <v>8513</v>
      </c>
      <c r="AHU5" s="854"/>
      <c r="AHV5" s="768" t="s">
        <v>8513</v>
      </c>
      <c r="AHZ5" t="s">
        <v>8513</v>
      </c>
      <c r="AIB5" s="1187" t="e">
        <f t="shared" si="67"/>
        <v>#VALUE!</v>
      </c>
      <c r="AIF5" t="s">
        <v>8513</v>
      </c>
      <c r="AIJ5" t="s">
        <v>9575</v>
      </c>
      <c r="AIK5" t="s">
        <v>1465</v>
      </c>
      <c r="AIL5" s="1187" t="e">
        <f t="shared" si="68"/>
        <v>#VALUE!</v>
      </c>
      <c r="AIP5" t="s">
        <v>8513</v>
      </c>
      <c r="AIT5" t="s">
        <v>9610</v>
      </c>
      <c r="AIU5" t="s">
        <v>9560</v>
      </c>
      <c r="AIV5" s="1187" t="e">
        <f t="shared" ref="AIV5:AIV14" si="102">SEARCH(AIT5,$AHY$3)</f>
        <v>#VALUE!</v>
      </c>
      <c r="AJB5" t="s">
        <v>8513</v>
      </c>
      <c r="AJH5" t="s">
        <v>9554</v>
      </c>
      <c r="AJI5" t="s">
        <v>9555</v>
      </c>
      <c r="AJJ5" s="1187" t="e">
        <f t="shared" si="10"/>
        <v>#VALUE!</v>
      </c>
      <c r="AJN5" t="s">
        <v>9583</v>
      </c>
      <c r="AJR5" t="s">
        <v>8513</v>
      </c>
      <c r="AJT5" s="1245" t="e">
        <f t="shared" si="69"/>
        <v>#VALUE!</v>
      </c>
      <c r="AJX5" t="s">
        <v>8513</v>
      </c>
      <c r="AKA5" s="116"/>
      <c r="AKB5" t="s">
        <v>9530</v>
      </c>
      <c r="AKC5" t="s">
        <v>9540</v>
      </c>
      <c r="AKD5" s="1187" t="e">
        <f t="shared" si="70"/>
        <v>#VALUE!</v>
      </c>
      <c r="AKH5" t="s">
        <v>8513</v>
      </c>
      <c r="AKK5" s="116"/>
      <c r="AKL5" t="s">
        <v>9534</v>
      </c>
      <c r="AKM5" t="s">
        <v>9542</v>
      </c>
      <c r="AKN5" s="1206" t="e">
        <f t="shared" si="71"/>
        <v>#VALUE!</v>
      </c>
      <c r="AKR5" t="s">
        <v>8513</v>
      </c>
      <c r="AKU5" s="116"/>
      <c r="AKV5" t="s">
        <v>9550</v>
      </c>
      <c r="AKW5" t="s">
        <v>9549</v>
      </c>
      <c r="AKX5" s="1187" t="e">
        <f t="shared" si="72"/>
        <v>#VALUE!</v>
      </c>
      <c r="ALB5" t="s">
        <v>8513</v>
      </c>
      <c r="ALE5" s="116"/>
      <c r="ALF5" t="s">
        <v>9591</v>
      </c>
      <c r="ALG5" t="s">
        <v>9592</v>
      </c>
      <c r="ALH5" s="1187" t="e">
        <f t="shared" si="73"/>
        <v>#VALUE!</v>
      </c>
      <c r="ALL5" t="s">
        <v>8513</v>
      </c>
      <c r="ALO5" s="116"/>
      <c r="ALP5" s="116"/>
      <c r="ALQ5" s="768" t="s">
        <v>8513</v>
      </c>
      <c r="ALR5" s="854"/>
      <c r="ALS5" s="768" t="s">
        <v>8513</v>
      </c>
      <c r="ALW5" t="s">
        <v>8513</v>
      </c>
      <c r="ALY5" s="1187" t="e">
        <f t="shared" si="74"/>
        <v>#VALUE!</v>
      </c>
      <c r="AMC5" t="s">
        <v>8513</v>
      </c>
      <c r="AMG5" t="str">
        <f t="shared" si="11"/>
        <v>Респ Башкортостан</v>
      </c>
      <c r="AMH5" t="str">
        <f t="shared" si="12"/>
        <v>Республика Башкортостан</v>
      </c>
      <c r="AMI5" s="1206" t="e">
        <f t="shared" si="75"/>
        <v>#VALUE!</v>
      </c>
      <c r="AMM5" t="s">
        <v>8513</v>
      </c>
      <c r="AMQ5" t="str">
        <f t="shared" si="13"/>
        <v xml:space="preserve"> район</v>
      </c>
      <c r="AMR5" t="str">
        <f t="shared" si="14"/>
        <v xml:space="preserve"> р-н</v>
      </c>
      <c r="AMS5" s="1206" t="e">
        <f t="shared" si="76"/>
        <v>#VALUE!</v>
      </c>
      <c r="AMY5" t="s">
        <v>8513</v>
      </c>
      <c r="ANE5" t="str">
        <f t="shared" si="15"/>
        <v xml:space="preserve"> село </v>
      </c>
      <c r="ANF5" t="str">
        <f t="shared" si="16"/>
        <v xml:space="preserve">с. </v>
      </c>
      <c r="ANG5" s="1206" t="e">
        <f t="shared" si="77"/>
        <v>#VALUE!</v>
      </c>
      <c r="ANK5" t="str">
        <f t="shared" si="17"/>
        <v>, пр</v>
      </c>
      <c r="ANO5" t="str">
        <f t="shared" si="78"/>
        <v>$$$$</v>
      </c>
      <c r="ANP5">
        <f t="shared" si="79"/>
        <v>0</v>
      </c>
      <c r="ANQ5" s="1245" t="e">
        <f t="shared" si="80"/>
        <v>#VALUE!</v>
      </c>
      <c r="ANU5" t="str">
        <f t="shared" si="81"/>
        <v>$$$$</v>
      </c>
      <c r="ANX5" s="116"/>
      <c r="ANY5" t="str">
        <f t="shared" si="82"/>
        <v xml:space="preserve"> ул. </v>
      </c>
      <c r="ANZ5" t="str">
        <f t="shared" si="83"/>
        <v xml:space="preserve">ул. </v>
      </c>
      <c r="AOA5" s="1206" t="e">
        <f>SEARCH(ANY5,ALV$3)</f>
        <v>#VALUE!</v>
      </c>
      <c r="AOE5" t="str">
        <f t="shared" si="85"/>
        <v>$$$$</v>
      </c>
      <c r="AOH5" s="116"/>
      <c r="AOI5" t="str">
        <f t="shared" si="86"/>
        <v xml:space="preserve"> дом </v>
      </c>
      <c r="AOJ5" t="str">
        <f t="shared" si="87"/>
        <v xml:space="preserve">д. </v>
      </c>
      <c r="AOK5" s="1206" t="e">
        <f t="shared" si="88"/>
        <v>#VALUE!</v>
      </c>
      <c r="AOO5" t="s">
        <v>804</v>
      </c>
      <c r="AOR5" s="116"/>
      <c r="AOS5" t="str">
        <f t="shared" si="89"/>
        <v xml:space="preserve"> к. </v>
      </c>
      <c r="AOT5" t="str">
        <f t="shared" si="90"/>
        <v xml:space="preserve">к. </v>
      </c>
      <c r="AOU5" s="1245" t="e">
        <f t="shared" si="91"/>
        <v>#VALUE!</v>
      </c>
      <c r="AOY5" t="str">
        <f t="shared" si="92"/>
        <v>$$$$</v>
      </c>
      <c r="APB5" s="116"/>
      <c r="APC5" t="str">
        <f t="shared" si="93"/>
        <v>а/я</v>
      </c>
      <c r="APD5" t="str">
        <f t="shared" si="94"/>
        <v xml:space="preserve">а/я </v>
      </c>
      <c r="APE5" s="1206" t="e">
        <f t="shared" si="95"/>
        <v>#VALUE!</v>
      </c>
      <c r="API5" t="s">
        <v>805</v>
      </c>
      <c r="APL5" s="116"/>
      <c r="APM5" s="116"/>
      <c r="APN5" s="768" t="s">
        <v>8513</v>
      </c>
      <c r="APO5" s="854"/>
      <c r="APP5" s="768" t="s">
        <v>8513</v>
      </c>
    </row>
    <row r="6" spans="1:1114" ht="14.4" customHeight="1" x14ac:dyDescent="0.3">
      <c r="C6" s="116"/>
      <c r="D6" s="116" t="str">
        <f>MID(A1,SEARCH("В рамках рассмотрения Обращения",A1,SEARCH(K3,A1)+LEN(K3)),(SEARCH("Рассмотрев",A1))-(SEARCH("В рамках рассмотрения Обращения",A1,SEARCH(K3,A1)+LEN(K3))))</f>
        <v>В рамках рассмотрения Обращения в адрес Финансовой организации направлено уведомление о принятии Обращения к рассмотрению от 26.11.2020 № У-20-175174/2040-002, содержащее требование о предоставлении сведений и документов по предмету спора, указанному в Обращении.Финансовой организацией запрошенные сведения и документы предоставлены.</v>
      </c>
      <c r="E6" s="116"/>
      <c r="F6" s="116"/>
      <c r="G6" s="116"/>
      <c r="H6" s="116"/>
      <c r="I6" s="116"/>
      <c r="J6" s="116"/>
      <c r="K6" s="116"/>
      <c r="L6" s="116"/>
      <c r="U6" s="5"/>
      <c r="V6" t="s">
        <v>831</v>
      </c>
      <c r="W6" t="s">
        <v>19</v>
      </c>
      <c r="Y6" s="146"/>
      <c r="AB6" s="5"/>
      <c r="AC6" s="5"/>
      <c r="AE6" t="s">
        <v>8361</v>
      </c>
      <c r="AF6" t="s">
        <v>19</v>
      </c>
      <c r="AG6" t="e">
        <f>SEARCH(AE6,$H$3)</f>
        <v>#VALUE!</v>
      </c>
      <c r="AH6" s="5" t="e">
        <f>IF(ISERROR(AG6),AG6,AE6)</f>
        <v>#VALUE!</v>
      </c>
      <c r="AI6" s="5" t="e">
        <f>INDEX(AF:AF,MATCH(AH6,AE:AE,0),1)</f>
        <v>#VALUE!</v>
      </c>
      <c r="AJ6" s="5"/>
      <c r="BL6" s="6"/>
      <c r="BR6" s="813" t="s">
        <v>8414</v>
      </c>
      <c r="BS6" s="819" t="s">
        <v>8441</v>
      </c>
      <c r="BT6" s="803" t="s">
        <v>8387</v>
      </c>
      <c r="BU6" s="793" t="e">
        <f t="shared" si="0"/>
        <v>#VALUE!</v>
      </c>
      <c r="BV6" s="793"/>
      <c r="BW6" s="810"/>
      <c r="BX6" s="820"/>
      <c r="BY6" s="793"/>
      <c r="CA6" s="793"/>
      <c r="CB6" s="793"/>
      <c r="CN6" s="803"/>
      <c r="CO6" s="810"/>
      <c r="CP6" s="868"/>
      <c r="CQ6" s="876"/>
      <c r="CS6" s="810"/>
      <c r="CT6" s="810"/>
      <c r="CV6" s="810"/>
      <c r="CX6" s="810"/>
      <c r="CY6" s="810"/>
      <c r="DA6" s="810"/>
      <c r="DC6" s="810"/>
      <c r="DD6" s="810"/>
      <c r="DF6" s="810"/>
      <c r="DH6" s="810"/>
      <c r="DI6" s="810"/>
      <c r="DK6" s="810"/>
      <c r="DM6" s="810"/>
      <c r="DN6" s="810"/>
      <c r="DP6" s="941" t="s">
        <v>8609</v>
      </c>
      <c r="DQ6" s="950" t="str">
        <f>BQ3</f>
        <v>Истомина Владимира Васильевича</v>
      </c>
      <c r="DR6" s="10" t="s">
        <v>1716</v>
      </c>
      <c r="DS6" s="10"/>
      <c r="DT6" t="s">
        <v>8252</v>
      </c>
      <c r="DU6" s="10" t="s">
        <v>1246</v>
      </c>
      <c r="DV6" s="1476"/>
      <c r="DW6" s="834"/>
      <c r="DX6" s="836"/>
      <c r="DY6" s="306" t="str">
        <f>IF(DZ6=IFERROR(SEARCH(".",C$3,DZ5),99999),".",
IF(DZ6=IFERROR(SEARCH(",",C$3,DZ5),99999),",",
IF(DZ6=IFERROR(SEARCH(" за период",C$3,DZ5),999999)," за период",
IF(DZ6=IFERROR(SEARCH(" в размере",C$3,DZ5),99999)," в размере",
))))</f>
        <v>.</v>
      </c>
      <c r="DZ6" s="306">
        <f>MIN(
IFERROR(SEARCH(".",$C$3,DZ5),99999),
IFERROR(SEARCH(",",$C$3,DZ5),99999),
IFERROR(SEARCH(" в размере",$C$3,DZ5),99999))</f>
        <v>99999</v>
      </c>
      <c r="EA6" s="306"/>
      <c r="EB6" s="827"/>
      <c r="EC6" s="954"/>
      <c r="ED6" s="942" t="str">
        <f>IF(ISERROR(DX24),"",CONCATENATE(DV24,". ",EC24," ",IFERROR(CONCATENATE(EB28,",",EB29),""),IF(ISERROR(CONCATENATE(EB28,",",EB29)),"","₽")))</f>
        <v/>
      </c>
      <c r="EE6" s="803"/>
      <c r="EF6" s="848"/>
      <c r="EG6" s="848"/>
      <c r="EI6" s="803"/>
      <c r="EJ6" s="848"/>
      <c r="EK6" s="848"/>
      <c r="EL6" s="848"/>
      <c r="EM6" s="848"/>
      <c r="EO6" s="1071" t="s">
        <v>8446</v>
      </c>
      <c r="EP6" s="803" t="s">
        <v>8914</v>
      </c>
      <c r="EQ6" s="848"/>
      <c r="ER6" s="848"/>
      <c r="ES6" s="848"/>
      <c r="EV6" s="768" t="s">
        <v>8513</v>
      </c>
      <c r="EW6" s="852"/>
      <c r="EX6" s="852"/>
      <c r="EY6" s="852"/>
      <c r="EZ6" s="848"/>
      <c r="FA6" s="848"/>
      <c r="FB6" s="848"/>
      <c r="FD6" s="768" t="s">
        <v>8513</v>
      </c>
      <c r="FE6" s="854"/>
      <c r="FF6" s="857"/>
      <c r="FH6" s="768" t="s">
        <v>8513</v>
      </c>
      <c r="FI6" s="854"/>
      <c r="FJ6" s="857"/>
      <c r="FK6" s="982"/>
      <c r="FL6" s="854"/>
      <c r="FM6" s="887"/>
      <c r="FN6" s="768" t="s">
        <v>8513</v>
      </c>
      <c r="FO6" s="887"/>
      <c r="FP6" s="887"/>
      <c r="FQ6" s="887"/>
      <c r="FR6" s="887"/>
      <c r="FS6" s="887"/>
      <c r="FU6" s="877"/>
      <c r="FV6" s="877"/>
      <c r="FW6" s="876"/>
      <c r="FX6" s="852"/>
      <c r="FZ6" s="1498"/>
      <c r="GA6" s="768" t="s">
        <v>8513</v>
      </c>
      <c r="GB6" s="876" t="e">
        <f t="shared" si="1"/>
        <v>#VALUE!</v>
      </c>
      <c r="GC6" s="852"/>
      <c r="GD6" s="852"/>
      <c r="GE6" s="857"/>
      <c r="GF6" s="857"/>
      <c r="GG6" s="857"/>
      <c r="GH6" s="1472"/>
      <c r="GI6" s="768" t="s">
        <v>8513</v>
      </c>
      <c r="GJ6" s="876" t="e">
        <f>SEARCH(GI6,$FC$3,GF5)</f>
        <v>#VALUE!</v>
      </c>
      <c r="GM6" s="876" t="s">
        <v>8513</v>
      </c>
      <c r="GN6" s="876"/>
      <c r="GO6" s="876"/>
      <c r="GP6" s="1472"/>
      <c r="GQ6" s="768"/>
      <c r="GR6" s="880"/>
      <c r="GU6" s="880"/>
      <c r="GV6" s="880"/>
      <c r="GW6" s="880"/>
      <c r="GX6" s="1472"/>
      <c r="GY6" s="803"/>
      <c r="GZ6" s="852"/>
      <c r="HA6" s="852"/>
      <c r="HB6" s="852"/>
      <c r="HC6" s="857"/>
      <c r="HD6" s="857"/>
      <c r="HE6" s="857"/>
      <c r="HG6" s="803"/>
      <c r="HH6" s="852"/>
      <c r="HI6" s="852"/>
      <c r="HK6" s="1511" t="s">
        <v>123</v>
      </c>
      <c r="HL6" s="948" t="str">
        <f>GH3</f>
        <v>ВАЗ 2106</v>
      </c>
      <c r="HM6" s="803"/>
      <c r="HN6" s="852"/>
      <c r="HO6" s="852"/>
      <c r="HP6" s="852"/>
      <c r="HQ6" s="857"/>
      <c r="HR6" s="857"/>
      <c r="HS6" s="857"/>
      <c r="HU6" s="803"/>
      <c r="HV6" s="852"/>
      <c r="HW6" s="852"/>
      <c r="HX6" s="852"/>
      <c r="HZ6" s="803"/>
      <c r="IA6" s="852"/>
      <c r="IB6" s="852"/>
      <c r="IC6" s="852"/>
      <c r="IE6" s="803"/>
      <c r="IF6" s="852"/>
      <c r="IG6" s="852"/>
      <c r="IH6" s="852"/>
      <c r="II6" s="857"/>
      <c r="IJ6" s="857"/>
      <c r="IK6" s="876"/>
      <c r="IL6" s="876"/>
      <c r="IM6" s="857"/>
      <c r="IO6" s="803"/>
      <c r="IP6" s="852"/>
      <c r="IQ6" s="852"/>
      <c r="IR6" s="852"/>
      <c r="IS6" s="857"/>
      <c r="IT6" s="857"/>
      <c r="IU6" s="857"/>
      <c r="IW6" s="803"/>
      <c r="IX6" s="852"/>
      <c r="IY6" s="852"/>
      <c r="IZ6" s="852"/>
      <c r="JA6" s="857"/>
      <c r="JC6" s="803"/>
      <c r="JD6" s="852"/>
      <c r="JE6" s="852"/>
      <c r="JF6" s="852"/>
      <c r="JG6" s="857"/>
      <c r="JI6" s="803"/>
      <c r="JJ6" s="852"/>
      <c r="JK6" s="852"/>
      <c r="JL6" s="852"/>
      <c r="JM6" s="857"/>
      <c r="JO6" s="950"/>
      <c r="JP6" s="803"/>
      <c r="JQ6" s="852"/>
      <c r="JR6" s="852"/>
      <c r="JS6" s="852"/>
      <c r="JT6" s="852"/>
      <c r="JU6" s="852"/>
      <c r="JV6" s="857"/>
      <c r="JW6" s="857"/>
      <c r="JX6" s="857"/>
      <c r="JY6" s="1472"/>
      <c r="JZ6" s="803" t="s">
        <v>9457</v>
      </c>
      <c r="KA6" s="852"/>
      <c r="KC6" s="803"/>
      <c r="KD6" s="852"/>
      <c r="KE6" s="852"/>
      <c r="KF6" s="852"/>
      <c r="KJ6" s="852"/>
      <c r="KK6" s="852"/>
      <c r="KN6" s="852"/>
      <c r="KO6" s="852"/>
      <c r="KW6" s="852"/>
      <c r="KX6" s="852"/>
      <c r="LE6" s="852"/>
      <c r="LF6" s="852"/>
      <c r="LG6" s="984" t="s">
        <v>8513</v>
      </c>
      <c r="LH6" s="984" t="e">
        <f t="shared" si="2"/>
        <v>#VALUE!</v>
      </c>
      <c r="LN6" s="852"/>
      <c r="LO6" s="852"/>
      <c r="LT6" s="852"/>
      <c r="LU6" s="852"/>
      <c r="LX6" s="950">
        <f>IFERROR(KT3,"")</f>
        <v>43560</v>
      </c>
      <c r="LY6" s="864" t="str">
        <f>CONCATENATE(" Заявитель ",MA4,$CU$3," с заявлением о ",LZ4)</f>
        <v xml:space="preserve"> Заявитель обратилась в АО СК «БАСК» с заявлением о прямом возмещении убытков</v>
      </c>
      <c r="LZ6" s="768" t="s">
        <v>8515</v>
      </c>
      <c r="MA6" s="803"/>
      <c r="MB6" s="863"/>
      <c r="MC6" s="852"/>
      <c r="MD6" s="852"/>
      <c r="ME6" s="857"/>
      <c r="MF6" s="857"/>
      <c r="MG6" s="857"/>
      <c r="MI6" s="1186" t="s">
        <v>8513</v>
      </c>
      <c r="MJ6" s="854"/>
      <c r="ML6" s="877"/>
      <c r="MM6" s="876"/>
      <c r="MN6" s="852"/>
      <c r="MP6" s="864"/>
      <c r="MQ6" s="863"/>
      <c r="MR6" s="852"/>
      <c r="MT6" s="1024"/>
      <c r="MU6" s="1025"/>
      <c r="MW6" s="1026" t="str">
        <f>MV3</f>
        <v>САМ</v>
      </c>
      <c r="MX6" s="1472"/>
      <c r="MY6" s="988" t="s">
        <v>8513</v>
      </c>
      <c r="MZ6" s="984" t="e">
        <f t="shared" si="3"/>
        <v>#VALUE!</v>
      </c>
      <c r="NA6" s="984"/>
      <c r="NB6" s="929"/>
      <c r="NC6" s="920"/>
      <c r="ND6" s="984"/>
      <c r="NE6" s="984"/>
      <c r="NF6" s="984"/>
      <c r="NG6" s="1474"/>
      <c r="NH6" t="s">
        <v>8513</v>
      </c>
      <c r="NI6" s="984" t="e">
        <f>SEARCH(NH6,NJ4)</f>
        <v>#VALUE!</v>
      </c>
      <c r="NK6" s="1476"/>
      <c r="NL6" s="834"/>
      <c r="NM6" s="836"/>
      <c r="NN6" s="306" t="str">
        <f>IF(NO6=IFERROR(SEARCH(".",NJ$4,NO5),99999),".",
IF(NO6=IFERROR(SEARCH(",",NJ$4,NO5),99999),",",
IF(NO6=IFERROR(SEARCH(" за период",NJ$4,NO5),999999)," за период",
IF(NO6=IFERROR(SEARCH(" в размере",NJ$4,NO5),99999)," в размере",
))))</f>
        <v>.</v>
      </c>
      <c r="NO6" s="306">
        <f>MIN(
IFERROR(SEARCH(".",NJ$4,NO5),99999),
IFERROR(SEARCH(",",NJ$4,NO5),99999),
IFERROR(SEARCH(" в размере",NJ$4,NO5),99999))</f>
        <v>99999</v>
      </c>
      <c r="NP6" s="306"/>
      <c r="NQ6" s="827"/>
      <c r="NR6" s="829"/>
      <c r="NS6" s="844" t="str">
        <f>IF(NR24="","",CONCATENATE(NK24,". ",NR24," ",IFERROR(CONCATENATE(NQ28,",",NQ29),""),IF(ISERROR(CONCATENATE(NQ28,",",NQ29)),"","₽")))</f>
        <v/>
      </c>
      <c r="NT6" s="1105" t="str">
        <f t="shared" si="4"/>
        <v/>
      </c>
      <c r="NU6" s="993" t="s">
        <v>9511</v>
      </c>
      <c r="NV6" s="994"/>
      <c r="NW6" s="929"/>
      <c r="NX6" s="920"/>
      <c r="NY6" s="994"/>
      <c r="NZ6" s="994"/>
      <c r="OA6" s="994"/>
      <c r="OB6" s="1535"/>
      <c r="OC6" s="1472"/>
      <c r="OD6" s="946" t="s">
        <v>8513</v>
      </c>
      <c r="OE6" s="947" t="e">
        <f t="shared" si="5"/>
        <v>#VALUE!</v>
      </c>
      <c r="OF6" s="947"/>
      <c r="OG6" s="929"/>
      <c r="OH6" s="920"/>
      <c r="OI6" s="947"/>
      <c r="OJ6" s="947"/>
      <c r="OK6" s="947"/>
      <c r="OL6" s="1474"/>
      <c r="OM6" s="869">
        <v>4</v>
      </c>
      <c r="ON6" s="817" t="e">
        <f>DATEVALUE(MID(OL39,1,10))</f>
        <v>#VALUE!</v>
      </c>
      <c r="OO6" s="1102" t="str">
        <f>IFERROR(ON6,"")</f>
        <v/>
      </c>
      <c r="OP6" s="1069">
        <v>4</v>
      </c>
      <c r="OQ6" s="935" t="str">
        <f>CONCATENATE(DQ12," организовано проведение")</f>
        <v>АО СК «БАСК» организовано проведение</v>
      </c>
      <c r="OR6" s="854">
        <f>MIN(IFERROR(SEARCH(OQ$3,$E$4,OV5),99999),
IFERROR(SEARCH(OQ$4,$E$4,OV5),99999),
IFERROR(SEARCH(OQ$5,$E$4,OV5),99999),
IFERROR(SEARCH(OQ$6,$E$4,OV5),99999),
IFERROR(SEARCH(OQ$7,$E$4,OV5),99999),
IFERROR(SEARCH(OQ$8,$E$4,OV5),99999),
IFERROR(SEARCH(OQ$9,$E$4,OV5),99999),
IFERROR(SEARCH(OQ$10,$E$4,OV5),99999),
IFERROR(SEARCH(OQ$11,$E$4,OV5),99999),
IFERROR(SEARCH(OQ$12,$E$4,OV5),99999),
IFERROR(SEARCH(OQ$13,$E$4,OV5),99999),
IFERROR(SEARCH(OQ$14,$E$4,OV5),99999)
)</f>
        <v>99999</v>
      </c>
      <c r="OS6" s="929"/>
      <c r="OT6" s="334">
        <f>LEN(MID($E$4,1,OR6))-LEN(IF(ISERROR(FIND(" ",MID($E$4,1,OR6))),MID($E$4,1,OR6),RIGHT(MID($E$4,1,OR6),LEN(MID($E$4,1,OR6))-FIND("~",SUBSTITUTE(MID($E$4,1,OR6),OS$3,"~",LEN(MID($E$4,1,OR6))-LEN(SUBSTITUTE(MID($E$4,1,OR6),OS$3,"")))))))+1</f>
        <v>5367</v>
      </c>
      <c r="OU6" s="937"/>
      <c r="OV6" s="1059" t="e">
        <f>SEARCH(OU$3,$E$4,OT6)</f>
        <v>#VALUE!</v>
      </c>
      <c r="OW6" s="854" t="e">
        <f t="shared" ref="OW6:OW7" si="103">OV6-OT6</f>
        <v>#VALUE!</v>
      </c>
      <c r="OX6" s="979" t="e">
        <f>CLEAN(MID($E$4,OT6,OW6))</f>
        <v>#VALUE!</v>
      </c>
      <c r="OY6" t="s">
        <v>9629</v>
      </c>
      <c r="OZ6" s="854">
        <f t="shared" si="18"/>
        <v>99999</v>
      </c>
      <c r="PA6" t="s">
        <v>9628</v>
      </c>
      <c r="PB6" s="854">
        <f t="shared" ref="PB6:PB7" si="104">MIN(IFERROR(SEARCH(PA$3,$OX6,OZ6),99999),
IFERROR(SEARCH(PA$4,$OX6,OZ6),99999),
IFERROR(SEARCH(PA$5,$OX6,OZ6),99999),
IFERROR(SEARCH(PA$6,$OX6,OZ6),99999),
IFERROR(SEARCH(PA$7,$OX6,OZ6),99999),
IFERROR(SEARCH(PA$8,$OX6,OZ6),99999),
IFERROR(SEARCH(PA$9,$OX6,OZ6),99999),
IFERROR(SEARCH(PA$10,$OX6,OZ6),99999),
IFERROR(SEARCH(PA$11,$OX6,OZ6),99999),
IFERROR(SEARCH(PA$12,$OX6,OZ6),99999),
IFERROR(SEARCH(PA$13,$OX6,OZ6),99999),
IFERROR(SEARCH(PA$14,$OX6,OZ6),99999)
)</f>
        <v>99999</v>
      </c>
      <c r="PC6">
        <f t="shared" si="19"/>
        <v>0</v>
      </c>
      <c r="PD6" s="1214" t="e">
        <f>MID($OX6,OZ6,PC6)</f>
        <v>#VALUE!</v>
      </c>
      <c r="PE6" s="264" t="s">
        <v>8513</v>
      </c>
      <c r="PF6" s="854">
        <f t="shared" ref="PF6" si="105">MIN(IFERROR(SEARCH(PE$3,$OX6)+LEN(PE$3),99999),
IFERROR(SEARCH(PE$4,$OX6)+LEN(PE$4),99999),
IFERROR(SEARCH(PE$5,$OX6)+LEN(PE$5),99999),
IFERROR(SEARCH(PE$6,$OX6)+LEN(PE$6),99999),
IFERROR(SEARCH(PE$7,$OX6)+LEN(PE$7),99999),
IFERROR(SEARCH(PE$8,$OX6)+LEN(PE$8),99999),
IFERROR(SEARCH(PE$9,$OX6)+LEN(PE$9),99999),
IFERROR(SEARCH(PE$10,$OX6)+LEN(PE$10),99999),
IFERROR(SEARCH(PE$11,$OX6)+LEN(PE$11),99999),
IFERROR(SEARCH(PE$12,$OX6)+LEN(PE$12),99999),
IFERROR(SEARCH(PE$13,$OX6)+LEN(PE$13),99999),
IFERROR(SEARCH(PE$14,$OX6)+LEN(PE$14),99999)
)</f>
        <v>99999</v>
      </c>
      <c r="PG6" s="264" t="s">
        <v>8513</v>
      </c>
      <c r="PH6" s="854">
        <f t="shared" ref="PH6:PH7" si="106">MIN(IFERROR(SEARCH(PG$3,$OX6,PF6),99999),
IFERROR(SEARCH(PG$4,$OX6,PF6),99999),
IFERROR(SEARCH(PG$5,$OX6,PF6),99999),
IFERROR(SEARCH(PG$6,$OX6,PF6),99999),
IFERROR(SEARCH(PG$7,$OX6,PF6),99999),
IFERROR(SEARCH(PG$8,$OX6,PF6),99999),
IFERROR(SEARCH(PG$9,$OX6,PF6),99999),
IFERROR(SEARCH(PG$10,$OX6,PF6),99999),
IFERROR(SEARCH(PG$11,$OX6,PF6),99999),
IFERROR(SEARCH(PG$12,$OX6,PF6),99999),
IFERROR(SEARCH(PG$13,$OX6,PF6),99999),
IFERROR(SEARCH(PG$14,$OX6,PF6),99999)
)</f>
        <v>99999</v>
      </c>
      <c r="PI6" s="264">
        <f>PH6-PF6</f>
        <v>0</v>
      </c>
      <c r="PJ6" s="1216" t="e">
        <f>DATEVALUE(MID($OX6,PF6,PI6))</f>
        <v>#VALUE!</v>
      </c>
      <c r="PK6" s="264" t="s">
        <v>8513</v>
      </c>
      <c r="PL6" s="854">
        <f t="shared" ref="PL6" si="107">MIN(IFERROR(SEARCH(PK$3,$OX6)+LEN(PK$3),99999),
IFERROR(SEARCH(PK$4,$OX6)+LEN(PK$4),99999),
IFERROR(SEARCH(PK$5,$OX6)+LEN(PK$5),99999),
IFERROR(SEARCH(PK$6,$OX6)+LEN(PK$6),99999),
IFERROR(SEARCH(PK$7,$OX6)+LEN(PK$7),99999),
IFERROR(SEARCH(PK$8,$OX6)+LEN(PK$8),99999),
IFERROR(SEARCH(PK$9,$OX6)+LEN(PK$9),99999),
IFERROR(SEARCH(PK$10,$OX6)+LEN(PK$10),99999),
IFERROR(SEARCH(PK$11,$OX6)+LEN(PK$11),99999),
IFERROR(SEARCH(PK$12,$OX6)+LEN(PK$12),99999),
IFERROR(SEARCH(PK$13,$OX6)+LEN(PK$13),99999),
IFERROR(SEARCH(PK$14,$OX6)+LEN(PK$14),99999)
)</f>
        <v>99999</v>
      </c>
      <c r="PM6" s="264" t="s">
        <v>8513</v>
      </c>
      <c r="PN6" s="854">
        <f t="shared" ref="PN6:PN7" si="108">MIN(IFERROR(SEARCH(PM$3,$OX6,PL6),99999),
IFERROR(SEARCH(PM$4,$OX6,PL6),99999),
IFERROR(SEARCH(PM$5,$OX6,PL6),99999),
IFERROR(SEARCH(PM$6,$OX6,PL6),99999),
IFERROR(SEARCH(PM$7,$OX6,PL6),99999),
IFERROR(SEARCH(PM$8,$OX6,PL6),99999),
IFERROR(SEARCH(PM$9,$OX6,PL6),99999),
IFERROR(SEARCH(PM$10,$OX6,PL6),99999),
IFERROR(SEARCH(PM$11,$OX6,PL6),99999),
IFERROR(SEARCH(PM$12,$OX6,PL6),99999),
IFERROR(SEARCH(PM$13,$OX6,PL6),99999),
IFERROR(SEARCH(PM$14,$OX6,PL6),99999)
)</f>
        <v>99999</v>
      </c>
      <c r="PO6" s="853">
        <f>PN6-PL6</f>
        <v>0</v>
      </c>
      <c r="PP6" s="1211" t="e">
        <f t="shared" ref="PP6:PP7" si="109">MID($OX6,PL6,PO6)</f>
        <v>#VALUE!</v>
      </c>
      <c r="PQ6" t="s">
        <v>8513</v>
      </c>
      <c r="PR6" s="937" t="e">
        <f t="shared" si="22"/>
        <v>#VALUE!</v>
      </c>
      <c r="PS6" s="5"/>
      <c r="PV6" s="937"/>
      <c r="PX6" s="5"/>
      <c r="PY6" s="1470"/>
      <c r="PZ6" t="s">
        <v>8513</v>
      </c>
      <c r="QA6" s="937" t="e">
        <f t="shared" si="6"/>
        <v>#VALUE!</v>
      </c>
      <c r="QB6" s="5"/>
      <c r="QC6" s="264"/>
      <c r="QE6" s="937"/>
      <c r="QF6" s="264"/>
      <c r="QG6" s="5"/>
      <c r="QH6" s="1470"/>
      <c r="QI6" t="s">
        <v>8513</v>
      </c>
      <c r="QJ6" s="937" t="e">
        <f t="shared" si="7"/>
        <v>#VALUE!</v>
      </c>
      <c r="QK6" s="5"/>
      <c r="QL6" s="264"/>
      <c r="QN6" s="937"/>
      <c r="QO6" s="264"/>
      <c r="QP6" s="5"/>
      <c r="QQ6" s="1470"/>
      <c r="QR6" t="s">
        <v>8513</v>
      </c>
      <c r="QS6" s="937" t="e">
        <f t="shared" si="8"/>
        <v>#VALUE!</v>
      </c>
      <c r="QT6" s="5"/>
      <c r="QU6" s="264"/>
      <c r="QW6" s="937"/>
      <c r="QX6" s="264"/>
      <c r="QY6" s="5"/>
      <c r="QZ6" s="1470"/>
      <c r="RA6" s="1094" t="s">
        <v>8585</v>
      </c>
      <c r="RB6" s="1097" t="str">
        <f>IFERROR(PY3,"")</f>
        <v/>
      </c>
      <c r="RC6" s="1069">
        <v>4</v>
      </c>
      <c r="RD6" s="1058" t="s">
        <v>9475</v>
      </c>
      <c r="RE6" s="854">
        <f>MIN(IFERROR(SEARCH(RD$3,$E$4,RI5),99999),
IFERROR(SEARCH(RD$4,$E$4,RI5),99999),
IFERROR(SEARCH(RD$5,$E$4,RI5),99999),
IFERROR(SEARCH(RD$6,$E$4,RI5),99999),
IFERROR(SEARCH(RD$7,$E$4,RI5),99999),
IFERROR(SEARCH(RD$8,$E$4,RI5),99999),
IFERROR(SEARCH(RD$9,$E$4,RI5),99999),
IFERROR(SEARCH(RD$10,$E$4,RI5),99999),
IFERROR(SEARCH(RD$11,$E$4,RI5),99999),
IFERROR(SEARCH(RD$12,$E$4,RI5),99999),
IFERROR(SEARCH(RD$13,$E$4,RI5),99999),
IFERROR(SEARCH(RD$14,$E$4,RI5),99999)
)</f>
        <v>99999</v>
      </c>
      <c r="RF6" s="929"/>
      <c r="RG6" s="334">
        <f>LEN(MID($E$4,1,RE6))-LEN(IF(ISERROR(FIND(" ",MID($E$4,1,RE6))),MID($E$4,1,RE6),RIGHT(MID($E$4,1,RE6),LEN(MID($E$4,1,RE6))-FIND("~",SUBSTITUTE(MID($E$4,1,RE6),RF$3,"~",LEN(MID($E$4,1,RE6))-LEN(SUBSTITUTE(MID($E$4,1,RE6),RF$3,"")))))))+1</f>
        <v>5367</v>
      </c>
      <c r="RH6" s="1059"/>
      <c r="RI6" s="1059" t="e">
        <f>SEARCH(RH$3,$E$4,RG6)</f>
        <v>#VALUE!</v>
      </c>
      <c r="RJ6" s="854" t="e">
        <f t="shared" ref="RJ6:RJ7" si="110">RI6-RG6</f>
        <v>#VALUE!</v>
      </c>
      <c r="RK6" s="979" t="e">
        <f>CLEAN(MID($E$4,RG6,RJ6))</f>
        <v>#VALUE!</v>
      </c>
      <c r="RL6" s="1055">
        <v>4</v>
      </c>
      <c r="RM6" s="1180" t="s">
        <v>8513</v>
      </c>
      <c r="RN6" s="854">
        <f>MIN(IFERROR(SEARCH(RM$3,$E$4,RR5),99999),
IFERROR(SEARCH(RM$4,$E$4,RR5),99999),
IFERROR(SEARCH(RM$5,$E$4,RR5),99999),
IFERROR(SEARCH(RM$6,$E$4,RR5),99999),
IFERROR(SEARCH(RM$7,$E$4,RR5),99999),
IFERROR(SEARCH(RM$8,$E$4,RR5),99999),
IFERROR(SEARCH(RM$9,$E$4,RR5),99999),
IFERROR(SEARCH(RM$10,$E$4,RR5),99999),
IFERROR(SEARCH(RM$11,$E$4,RR5),99999),
IFERROR(SEARCH(RM$12,$E$4,RR5),99999),
IFERROR(SEARCH(RM$13,$E$4,RR5),99999),
IFERROR(SEARCH(RM$14,$E$4,RR5),99999)
)</f>
        <v>99999</v>
      </c>
      <c r="RO6" s="1179" t="str">
        <f t="shared" si="23"/>
        <v/>
      </c>
      <c r="RP6" t="s">
        <v>8513</v>
      </c>
      <c r="RQ6" s="854">
        <f>MIN(IFERROR(SEARCH(RP$3,$RK6)+LEN(RP$3),99999),
IFERROR(SEARCH(RP$4,$RK6)+LEN(RP$4),99999),
IFERROR(SEARCH(RP$5,$RK6)+LEN(RP$5),99999),
IFERROR(SEARCH(RP$6,$RK6)+LEN(RP$6),99999),
IFERROR(SEARCH(RP$7,$RK6)+LEN(RP$7),99999),
IFERROR(SEARCH(RP$8,$RK6)+LEN(RP$8),99999),
IFERROR(SEARCH(RP$9,$RK6)+LEN(RP$9),99999),
IFERROR(SEARCH(RP$10,$RK6)+LEN(RP$10),99999),
IFERROR(SEARCH(RP$11,$RK6+LEN(RP$11)),99999),
IFERROR(SEARCH(RP$12,$RK6)+LEN(RP$12),99999),
IFERROR(SEARCH(RP$13,$RK6)+LEN(RP$13),99999),
IFERROR(SEARCH(RP$14,$RK6)+LEN(RP$14),99999)
)</f>
        <v>99999</v>
      </c>
      <c r="RR6" t="s">
        <v>8513</v>
      </c>
      <c r="RS6" s="854">
        <f t="shared" ref="RS6:RS7" si="111">MIN(IFERROR(SEARCH(RR$3,$RK6,RQ6),99999),
IFERROR(SEARCH(RR$4,$RK6,RQ6),99999),
IFERROR(SEARCH(RR$5,$RK6,RQ6),99999),
IFERROR(SEARCH(RR$6,$RK6,RQ6),99999),
IFERROR(SEARCH(RR$7,$RK6,RQ6),99999),
IFERROR(SEARCH(RR$8,$RK6,RQ6),99999),
IFERROR(SEARCH(RR$9,$RK6,RQ6),99999),
IFERROR(SEARCH(RR$10,$RK6,RQ6),99999),
IFERROR(SEARCH(RR$11,$RK6,RQ6),99999),
IFERROR(SEARCH(RR$12,$RK6,RQ6),99999),
IFERROR(SEARCH(RR$13,$RK6,RQ6),99999),
IFERROR(SEARCH(RR$14,$RK6,RQ6),99999)
)</f>
        <v>99999</v>
      </c>
      <c r="RT6">
        <f>RS6-RQ6</f>
        <v>0</v>
      </c>
      <c r="RU6" s="1070" t="e">
        <f>MID(RK6,RQ6,RT6)</f>
        <v>#VALUE!</v>
      </c>
      <c r="RV6" t="s">
        <v>8513</v>
      </c>
      <c r="RW6" s="854">
        <f>MIN(IFERROR(SEARCH(RV$3,$RK6)+LEN(RV$3),99999),
IFERROR(SEARCH(RV$4,$RK6)+LEN(RV$4),99999),
IFERROR(SEARCH(RV$5,$RK6)+LEN(RV$5),99999),
IFERROR(SEARCH(RV$6,$RK6)+LEN(RV$6),99999),
IFERROR(SEARCH(RV$7,$RK6)+LEN(RV$7),99999),
IFERROR(SEARCH(RV$8,$RK6)+LEN(RV$8),99999),
IFERROR(SEARCH(RV$9,$RK6)+LEN(RV$9),99999),
IFERROR(SEARCH(RV$10,$RK6)+LEN(RV$10),99999),
IFERROR(SEARCH(RV$11,$RK6+LEN(RV$11)),99999),
IFERROR(SEARCH(RV$12,$RK6)+LEN(RV$12),99999),
IFERROR(SEARCH(RV$13,$RK6)+LEN(RV$13),99999),
IFERROR(SEARCH(RV$14,$RK6)+LEN(RV$14),99999)
)</f>
        <v>99999</v>
      </c>
      <c r="RX6" t="s">
        <v>8513</v>
      </c>
      <c r="RY6" s="854">
        <f t="shared" ref="RY6:RY7" si="112">MIN(IFERROR(SEARCH(RX$3,$RK6,RW6),99999),
IFERROR(SEARCH(RX$4,$RK6,RW6),99999),
IFERROR(SEARCH(RX$5,$RK6,RW6),99999),
IFERROR(SEARCH(RX$6,$RK6,RW6),99999),
IFERROR(SEARCH(RX$7,$RK6,RW6),99999),
IFERROR(SEARCH(RX$8,$RK6,RW6),99999),
IFERROR(SEARCH(RX$9,$RK6,RW6),99999),
IFERROR(SEARCH(RX$10,$RK6,RW6),99999),
IFERROR(SEARCH(RX$11,$RK6,RW6),99999),
IFERROR(SEARCH(RX$12,$RK6,RW6),99999),
IFERROR(SEARCH(RX$13,$RK6,RW6),99999),
IFERROR(SEARCH(RX$14,$RK6,RW6),99999)
)</f>
        <v>99999</v>
      </c>
      <c r="RZ6">
        <f>RY6-RW6</f>
        <v>0</v>
      </c>
      <c r="SA6" s="1060" t="e">
        <f t="shared" si="24"/>
        <v>#VALUE!</v>
      </c>
      <c r="SB6" t="s">
        <v>8513</v>
      </c>
      <c r="SC6" s="854">
        <f>MIN(IFERROR(SEARCH(SB$3,$RK6)+LEN(SB$3),99999),
IFERROR(SEARCH(SB$4,$RK6)+LEN(SB$4),99999),
IFERROR(SEARCH(SB$5,$RK6)+LEN(SB$5),99999),
IFERROR(SEARCH(SB$6,$RK6)+LEN(SB$6),99999),
IFERROR(SEARCH(SB$7,$RK6)+LEN(SB$7),99999),
IFERROR(SEARCH(SB$8,$RK6)+LEN(SB$8),99999),
IFERROR(SEARCH(SB$9,$RK6)+LEN(SB$9),99999),
IFERROR(SEARCH(SB$10,$RK6)+LEN(SB$10),99999),
IFERROR(SEARCH(SB$11,$RK6+LEN(SB$11)),99999),
IFERROR(SEARCH(SB$12,$RK6)+LEN(SB$12),99999),
IFERROR(SEARCH(SB$13,$RK6)+LEN(SB$13),99999),
IFERROR(SEARCH(SB$14,$RK6)+LEN(SB$14),99999)
)</f>
        <v>99999</v>
      </c>
      <c r="SD6" t="s">
        <v>8513</v>
      </c>
      <c r="SE6" s="854">
        <f t="shared" ref="SE6:SE7" si="113">MIN(IFERROR(SEARCH(SD$3,$RK6,SC6),99999),
IFERROR(SEARCH(SD$4,$RK6,SC6),99999),
IFERROR(SEARCH(SD$5,$RK6,SC6),99999),
IFERROR(SEARCH(SD$6,$RK6,SC6),99999),
IFERROR(SEARCH(SD$7,$RK6,SC6),99999),
IFERROR(SEARCH(SD$8,$RK6,SC6),99999),
IFERROR(SEARCH(SD$9,$RK6,SC6),99999),
IFERROR(SEARCH(SD$10,$RK6,SC6),99999),
IFERROR(SEARCH(SD$11,$RK6,SC6),99999),
IFERROR(SEARCH(SD$12,$RK6,SC6),99999),
IFERROR(SEARCH(SD$13,$RK6,SC6),99999),
IFERROR(SEARCH(SD$14,$RK6,SC6),99999)
)</f>
        <v>99999</v>
      </c>
      <c r="SF6">
        <f>SE6-SC6</f>
        <v>0</v>
      </c>
      <c r="SG6" s="1060" t="e">
        <f t="shared" si="25"/>
        <v>#VALUE!</v>
      </c>
      <c r="SH6" s="1109" t="e">
        <f>SG3</f>
        <v>#VALUE!</v>
      </c>
      <c r="SI6" s="1055">
        <v>4</v>
      </c>
      <c r="SJ6" s="926" t="s">
        <v>8564</v>
      </c>
      <c r="SK6" s="854">
        <f>MIN(IFERROR(SEARCH(SJ$3,$E$4,SO5),99999),
IFERROR(SEARCH(SJ$4,$E$4,SO5),99999),
IFERROR(SEARCH(SJ$5,$E$4,SO5),99999),
IFERROR(SEARCH(SJ$6,$E$4,SO5),99999),
IFERROR(SEARCH(SJ$7,$E$4,SO5),99999),
IFERROR(SEARCH(SJ$8,$E$4,SO5),99999),
IFERROR(SEARCH(SJ$9,$E$4,SO5),99999),
IFERROR(SEARCH(SJ$10,$E$4,SO5),99999),
IFERROR(SEARCH(SJ$11,$E$4,SO5),99999),
IFERROR(SEARCH(SJ$12,$E$4,SO5),99999),
IFERROR(SEARCH(SJ$13,$E$4,SO5),99999),
IFERROR(SEARCH(SJ$14,$E$4,SO5),99999),
IFERROR(SEARCH(SJ$15,$E$4,SO5),99999),
IFERROR(SEARCH(SJ$16,$E$4,SO5),99999),
IFERROR(SEARCH(SJ$17,$E$4,SO5),99999),
IFERROR(SEARCH(SJ$18,$E$4,SO5),99999),
IFERROR(SEARCH(SJ$19,$E$4,SO5),99999)
)</f>
        <v>99999</v>
      </c>
      <c r="SL6" s="929"/>
      <c r="SM6" s="334">
        <f t="shared" si="26"/>
        <v>5367</v>
      </c>
      <c r="SN6" s="925"/>
      <c r="SO6" s="1059" t="e">
        <f>SEARCH(SN$3,$E$4,SM6)</f>
        <v>#VALUE!</v>
      </c>
      <c r="SP6" s="854" t="e">
        <f t="shared" ref="SP6:SP7" si="114">SO6-SM6</f>
        <v>#VALUE!</v>
      </c>
      <c r="SQ6" s="979" t="e">
        <f>CLEAN(MID($E$4,SM6,SP6))</f>
        <v>#VALUE!</v>
      </c>
      <c r="SR6" s="882">
        <v>4</v>
      </c>
      <c r="SS6" s="1173" t="s">
        <v>8513</v>
      </c>
      <c r="ST6" s="854">
        <f>MIN(IFERROR(SEARCH(SS$3,$E$4,SX5),99999),
IFERROR(SEARCH(SS$4,$E$4,SX5),99999),
IFERROR(SEARCH(SS$5,$E$4,SX5),99999),
IFERROR(SEARCH(SS$6,$E$4,SX5),99999),
IFERROR(SEARCH(SS$7,$E$4,SX5),99999),
IFERROR(SEARCH(SS$8,$E$4,SX5),99999),
IFERROR(SEARCH(SS$9,$E$4,SX5),99999),
IFERROR(SEARCH(SS$10,$E$4,SX5),99999),
IFERROR(SEARCH(SS$11,$E$4,SX5),99999),
IFERROR(SEARCH(SS$12,$E$4,SX5),99999),
IFERROR(SEARCH(SS$13,$E$4,SX5),99999),
IFERROR(SEARCH(SS$14,$E$4,SX5),99999)
)</f>
        <v>99999</v>
      </c>
      <c r="SU6" s="1179" t="str">
        <f>IFERROR(DATEVALUE(MID(SQ6,1,10)),
IFERROR(DATEVALUE(MID(SQ6,ST6,10)),
IFERROR(DATEVALUE(MID(SQ6,ST6+LEN(DQ15)+1,10)),
"")))</f>
        <v/>
      </c>
      <c r="SV6" t="s">
        <v>8548</v>
      </c>
      <c r="SW6" s="1181" t="e">
        <f t="shared" ref="SW6:SW12" si="115">SEARCH(SV6,SX$4)</f>
        <v>#VALUE!</v>
      </c>
      <c r="SY6" s="1476"/>
      <c r="SZ6" s="834"/>
      <c r="TA6" s="836"/>
      <c r="TB6" s="306" t="str">
        <f>IF(TC6=IFERROR(SEARCH(".",$SQ$3,TC5),99999),".",
IF(TC6=IFERROR(SEARCH(",",$SQ$3,TC5),99999),",",
IF(TC6=IFERROR(SEARCH(" за период",$SQ$3,TC5),999999)," за период",
IF(TC6=IFERROR(SEARCH(" в размере",$SQ$3,TC5),99999)," в размере",
))))</f>
        <v>.</v>
      </c>
      <c r="TC6" s="306">
        <f>MIN(
IFERROR(SEARCH(".",$SQ$3,TC5),99999),
IFERROR(SEARCH(",",$SQ$3,TC5),99999),
IFERROR(SEARCH(" в размере",$SQ$3,TC5),99999))</f>
        <v>99999</v>
      </c>
      <c r="TD6" s="306"/>
      <c r="TE6" s="827"/>
      <c r="TF6" s="829"/>
      <c r="TG6" s="844" t="str">
        <f>IF(TF24="","",CONCATENATE(SY24,". ",TF24," ",IFERROR(CONCATENATE(TE28,",",TE29),""),IF(ISERROR(CONCATENATE(TE28,",",TE29)),"","₽")))</f>
        <v/>
      </c>
      <c r="TH6" t="s">
        <v>8513</v>
      </c>
      <c r="TI6" s="1025" t="e">
        <f>SEARCH(TH6,TJ$4)</f>
        <v>#VALUE!</v>
      </c>
      <c r="TK6" s="1489"/>
      <c r="TL6" s="1031" t="s">
        <v>8249</v>
      </c>
      <c r="TM6" s="836" t="e">
        <f>SEARCH(TJ10,TJ4)+LEN(TJ10)</f>
        <v>#VALUE!</v>
      </c>
      <c r="TN6" s="306" t="s">
        <v>8431</v>
      </c>
      <c r="TO6" s="306" t="e">
        <f>SEARCH(TN6,TJ4,TM6)</f>
        <v>#VALUE!</v>
      </c>
      <c r="TP6" s="306" t="e">
        <f>TO6-TM6</f>
        <v>#VALUE!</v>
      </c>
      <c r="TQ6" s="826" t="e">
        <f>IF(TR5="Штраф 50%","",MID(TJ4,TM6,TP6))</f>
        <v>#VALUE!</v>
      </c>
      <c r="TR6" s="828" t="str">
        <f>IF(TN5=" за период",TQ6,"")</f>
        <v/>
      </c>
      <c r="TS6" s="843" t="str">
        <f>IF(TR17="","",CONCATENATE(TK17,". ",TR17," ",IFERROR(CONCATENATE(TQ18,",",TQ19),""),IF(ISERROR(CONCATENATE(TQ18,",",TQ19)),"","₽")))</f>
        <v/>
      </c>
      <c r="TT6" t="str">
        <f t="shared" si="27"/>
        <v xml:space="preserve">перечислило в пользу Заявителя </v>
      </c>
      <c r="TU6" s="1181" t="e">
        <f t="shared" ref="TU6:TU12" si="116">SEARCH(TT6,TV$4)</f>
        <v>#VALUE!</v>
      </c>
      <c r="TW6" s="1476"/>
      <c r="TX6" s="834"/>
      <c r="TY6" s="836"/>
      <c r="TZ6" s="306" t="str">
        <f>IF(UA6=IFERROR(SEARCH(".",$SQ$4,UA5),99999),".",
IF(UA6=IFERROR(SEARCH(",",$SQ$4,UA5),99999),",",
IF(UA6=IFERROR(SEARCH(" за период",$SQ$4,UA5),999999)," за период",
IF(UA6=IFERROR(SEARCH(" в размере",$SQ$4,UA5),99999)," в размере",
))))</f>
        <v>.</v>
      </c>
      <c r="UA6" s="306">
        <f>MIN(
IFERROR(SEARCH(".",$SQ$4,UA5),99999),
IFERROR(SEARCH(",",$SQ$4,UA5),99999),
IFERROR(SEARCH(" в размере",$SQ$4,UA5),99999))</f>
        <v>99999</v>
      </c>
      <c r="UB6" s="306"/>
      <c r="UC6" s="827"/>
      <c r="UD6" s="829"/>
      <c r="UE6" s="844" t="str">
        <f>IF(UD24="","",CONCATENATE(TW24,". ",UD24," ",IFERROR(CONCATENATE(UC28,",",UC29),""),IF(ISERROR(CONCATENATE(UC28,",",UC29)),"","₽")))</f>
        <v/>
      </c>
      <c r="UF6" t="s">
        <v>8513</v>
      </c>
      <c r="UG6" s="1025" t="e">
        <f>SEARCH(UF6,UH$4)</f>
        <v>#VALUE!</v>
      </c>
      <c r="UI6" s="1489"/>
      <c r="UJ6" s="1031" t="s">
        <v>8249</v>
      </c>
      <c r="UK6" s="836" t="e">
        <f>SEARCH(UH10,UH4)+LEN(UH10)</f>
        <v>#VALUE!</v>
      </c>
      <c r="UL6" s="306" t="s">
        <v>8431</v>
      </c>
      <c r="UM6" s="306" t="e">
        <f>SEARCH(UL6,UH4,UK6)</f>
        <v>#VALUE!</v>
      </c>
      <c r="UN6" s="306" t="e">
        <f>UM6-UK6</f>
        <v>#VALUE!</v>
      </c>
      <c r="UO6" s="826" t="e">
        <f>IF(UP5="Штраф 50%","",MID(UH4,UK6,UN6))</f>
        <v>#VALUE!</v>
      </c>
      <c r="UP6" s="828" t="str">
        <f>IF(UL5=" за период",UO6,"")</f>
        <v/>
      </c>
      <c r="UQ6" s="843" t="str">
        <f>IF(UP17="","",CONCATENATE(UI17,". ",UP17," ",IFERROR(CONCATENATE(UO18,",",UO19),""),IF(ISERROR(CONCATENATE(UO18,",",UO19)),"","₽")))</f>
        <v/>
      </c>
      <c r="UR6" t="str">
        <f t="shared" si="28"/>
        <v xml:space="preserve">перечислило в пользу Заявителя </v>
      </c>
      <c r="US6" s="1181" t="e">
        <f t="shared" ref="US6:US12" si="117">SEARCH(UR6,UT$4)</f>
        <v>#VALUE!</v>
      </c>
      <c r="UU6" s="1476"/>
      <c r="UV6" s="834"/>
      <c r="UW6" s="836"/>
      <c r="UX6" s="306" t="str">
        <f>IF(UY6=IFERROR(SEARCH(".",$SQ$5,UY5),99999),".",
IF(UY6=IFERROR(SEARCH(",",$SQ$5,UY5),99999),",",
IF(UY6=IFERROR(SEARCH(" за период",$SQ$5,UY5),999999)," за период",
IF(UY6=IFERROR(SEARCH(" в размере",$SQ$5,UY5),99999)," в размере",
))))</f>
        <v>.</v>
      </c>
      <c r="UY6" s="306">
        <f>MIN(
IFERROR(SEARCH(".",$SQ$5,UY5),99999),
IFERROR(SEARCH(",",$SQ$5,UY5),99999),
IFERROR(SEARCH(" в размере",$SQ$5,UY5),99999))</f>
        <v>99999</v>
      </c>
      <c r="UZ6" s="306"/>
      <c r="VA6" s="827"/>
      <c r="VB6" s="829"/>
      <c r="VC6" s="844" t="str">
        <f>IF(VB24="","",CONCATENATE(UU24,". ",VB24," ",IFERROR(CONCATENATE(VA28,",",VA29),""),IF(ISERROR(CONCATENATE(VA28,",",VA29)),"","₽")))</f>
        <v/>
      </c>
      <c r="VD6" t="s">
        <v>8513</v>
      </c>
      <c r="VE6" s="1025" t="e">
        <f>SEARCH(VD6,VF$4)</f>
        <v>#VALUE!</v>
      </c>
      <c r="VG6" s="1489"/>
      <c r="VH6" s="1031" t="s">
        <v>8249</v>
      </c>
      <c r="VI6" s="836" t="e">
        <f>SEARCH(VF10,VF4)+LEN(VF10)</f>
        <v>#VALUE!</v>
      </c>
      <c r="VJ6" s="306" t="s">
        <v>8431</v>
      </c>
      <c r="VK6" s="306" t="e">
        <f>SEARCH(VJ6,VF4,VI6)</f>
        <v>#VALUE!</v>
      </c>
      <c r="VL6" s="306" t="e">
        <f>VK6-VI6</f>
        <v>#VALUE!</v>
      </c>
      <c r="VM6" s="826" t="e">
        <f>IF(VN5="Штраф 50%","",MID(VF4,VI6,VL6))</f>
        <v>#VALUE!</v>
      </c>
      <c r="VN6" s="828" t="str">
        <f>IF(VJ5=" за период",VM6,"")</f>
        <v/>
      </c>
      <c r="VO6" s="843" t="str">
        <f>IF(VN17="","",CONCATENATE(VG17,". ",VN17," ",IFERROR(CONCATENATE(VM18,",",VM19),""),IF(ISERROR(CONCATENATE(VM18,",",VM19)),"","₽")))</f>
        <v/>
      </c>
      <c r="VP6" t="str">
        <f t="shared" si="29"/>
        <v xml:space="preserve">перечислило в пользу Заявителя </v>
      </c>
      <c r="VQ6" s="1181" t="e">
        <f t="shared" ref="VQ6:VQ12" si="118">SEARCH(VP6,VR$4)</f>
        <v>#VALUE!</v>
      </c>
      <c r="VS6" s="1476"/>
      <c r="VT6" s="834"/>
      <c r="VU6" s="836"/>
      <c r="VV6" s="306" t="str">
        <f>IF(VW6=IFERROR(SEARCH(".",$SQ$6,VW5),99999),".",
IF(VW6=IFERROR(SEARCH(",",$SQ$6,VW5),99999),",",
IF(VW6=IFERROR(SEARCH(" за период",$SQ$6,VW5),999999)," за период",
IF(VW6=IFERROR(SEARCH(" в размере",$SQ$6,VW5),99999)," в размере",
))))</f>
        <v>.</v>
      </c>
      <c r="VW6" s="306">
        <f>MIN(
IFERROR(SEARCH(".",$SQ$6,VW5),99999),
IFERROR(SEARCH(",",$SQ$6,VW5),99999),
IFERROR(SEARCH(" в размере",$SQ$6,VW5),99999))</f>
        <v>99999</v>
      </c>
      <c r="VX6" s="306"/>
      <c r="VY6" s="827"/>
      <c r="VZ6" s="829"/>
      <c r="WA6" s="844" t="str">
        <f>IF(VZ24="","",CONCATENATE(VS24,". ",VZ24," ",IFERROR(CONCATENATE(VY28,",",VY29),""),IF(ISERROR(CONCATENATE(VY28,",",VY29)),"","₽")))</f>
        <v/>
      </c>
      <c r="WB6" t="s">
        <v>8513</v>
      </c>
      <c r="WC6" s="1025" t="e">
        <f>SEARCH(WB6,WD$4)</f>
        <v>#VALUE!</v>
      </c>
      <c r="WE6" s="1489"/>
      <c r="WF6" s="1031" t="s">
        <v>8249</v>
      </c>
      <c r="WG6" s="836" t="e">
        <f>SEARCH(WD10,WD4)+LEN(WD10)</f>
        <v>#VALUE!</v>
      </c>
      <c r="WH6" s="306" t="s">
        <v>8431</v>
      </c>
      <c r="WI6" s="306" t="e">
        <f>SEARCH(WH6,WD4,WG6)</f>
        <v>#VALUE!</v>
      </c>
      <c r="WJ6" s="306" t="e">
        <f>WI6-WG6</f>
        <v>#VALUE!</v>
      </c>
      <c r="WK6" s="826" t="e">
        <f>IF(WL5="Штраф 50%","",MID(WD4,WG6,WJ6))</f>
        <v>#VALUE!</v>
      </c>
      <c r="WL6" s="828" t="str">
        <f>IF(WH5=" за период",WK6,"")</f>
        <v/>
      </c>
      <c r="WM6" s="843" t="str">
        <f>IF(WL17="","",CONCATENATE(WE17,". ",WL17," ",IFERROR(CONCATENATE(WK18,",",WK19),""),IF(ISERROR(CONCATENATE(WK18,",",WK19)),"","₽")))</f>
        <v/>
      </c>
      <c r="WN6" t="str">
        <f t="shared" si="30"/>
        <v xml:space="preserve">перечислило в пользу Заявителя </v>
      </c>
      <c r="WO6" s="1181" t="e">
        <f t="shared" ref="WO6:WO12" si="119">SEARCH(WN6,WP$4)</f>
        <v>#VALUE!</v>
      </c>
      <c r="WQ6" s="1476"/>
      <c r="WR6" s="834"/>
      <c r="WS6" s="836"/>
      <c r="WT6" s="306" t="str">
        <f>IF(WU6=IFERROR(SEARCH(".",$SQ$7,WU5),99999),".",
IF(WU6=IFERROR(SEARCH(",",$SQ$7,WU5),99999),",",
IF(WU6=IFERROR(SEARCH(" за период",$SQ$7,WU5),999999)," за период",
IF(WU6=IFERROR(SEARCH(" в размере",$SQ$7,WU5),99999)," в размере",
))))</f>
        <v>.</v>
      </c>
      <c r="WU6" s="306">
        <f>MIN(
IFERROR(SEARCH(".",$SQ$7,WU5),99999),
IFERROR(SEARCH(",",$SQ$7,WU5),99999),
IFERROR(SEARCH(" в размере",$SQ$7,WU5),99999))</f>
        <v>99999</v>
      </c>
      <c r="WV6" s="306"/>
      <c r="WW6" s="827"/>
      <c r="WX6" s="829"/>
      <c r="WY6" s="844" t="str">
        <f>IF(WX24="","",CONCATENATE(WQ24,". ",WX24," ",IFERROR(CONCATENATE(WW28,",",WW29),""),IF(ISERROR(CONCATENATE(WW28,",",WW29)),"","₽")))</f>
        <v/>
      </c>
      <c r="WZ6" t="s">
        <v>8513</v>
      </c>
      <c r="XA6" s="1025" t="e">
        <f>SEARCH(WZ6,XB$4)</f>
        <v>#VALUE!</v>
      </c>
      <c r="XC6" s="1489"/>
      <c r="XD6" s="1031" t="s">
        <v>8249</v>
      </c>
      <c r="XE6" s="836" t="e">
        <f>SEARCH(XB10,XB4)+LEN(XB10)</f>
        <v>#VALUE!</v>
      </c>
      <c r="XF6" s="306" t="s">
        <v>8431</v>
      </c>
      <c r="XG6" s="306" t="e">
        <f>SEARCH(XF6,XB4,XE6)</f>
        <v>#VALUE!</v>
      </c>
      <c r="XH6" s="306" t="e">
        <f>XG6-XE6</f>
        <v>#VALUE!</v>
      </c>
      <c r="XI6" s="826" t="e">
        <f>IF(XJ5="Штраф 50%","",MID(XB4,XE6,XH6))</f>
        <v>#VALUE!</v>
      </c>
      <c r="XJ6" s="828" t="str">
        <f>IF(XF5=" за период",XI6,"")</f>
        <v/>
      </c>
      <c r="XK6" s="843" t="str">
        <f>IF(XJ17="","",CONCATENATE(XC17,". ",XJ17," ",IFERROR(CONCATENATE(XI18,",",XI19),""),IF(ISERROR(CONCATENATE(XI18,",",XI19)),"","₽")))</f>
        <v/>
      </c>
      <c r="XL6" s="1090" t="str">
        <f>IFERROR(CONCATENATE(DATES!C18," ",TEXT(VALUE(CONCATENATE(LEFT(DATES!E18,SEARCH(",",TEXT(DATES!E18,"0,00"))-1),",",RIGHT(TEXT(DATES!E18,"0,00"),2))),"0 000,00"),"₽"),"")</f>
        <v xml:space="preserve"> 0 000,00₽</v>
      </c>
      <c r="XM6" s="1044">
        <v>4</v>
      </c>
      <c r="XN6" s="1024" t="s">
        <v>8983</v>
      </c>
      <c r="XO6" s="854">
        <f t="shared" si="98"/>
        <v>4788</v>
      </c>
      <c r="XP6" s="929"/>
      <c r="XQ6" s="334">
        <f t="shared" si="99"/>
        <v>4778</v>
      </c>
      <c r="XR6" s="936"/>
      <c r="XS6" s="863">
        <f>SEARCH(XR3,$E$4,XQ6)</f>
        <v>5045</v>
      </c>
      <c r="XT6" s="854">
        <f>XS6-XQ6</f>
        <v>267</v>
      </c>
      <c r="XU6" s="1042" t="str">
        <f>CLEAN(MID($E$4,XQ6,XT6))</f>
        <v>19.10.2020 Заявитель обратился в Финансовую организацию с заявлением (претензией), содержащим требование о выплате неустойки за несоблюдение срока выплаты страхового возмещения по Договору ОСАГО за период с 08.01.2020 по 20.02.2020 в размере 100 000 рублей 00 копеек.</v>
      </c>
      <c r="XV6" s="869">
        <v>4</v>
      </c>
      <c r="XW6" s="1180" t="s">
        <v>8513</v>
      </c>
      <c r="XX6" s="854">
        <f>MIN(IFERROR(SEARCH(XW$3,$E$4,YB5),99999),
IFERROR(SEARCH(XW$4,$E$4,YB5),99999),
IFERROR(SEARCH(XW$5,$E$4,YB5),99999),
IFERROR(SEARCH(XW$6,$E$4,YB5),99999),
IFERROR(SEARCH(XW$7,$E$4,YB5),99999),
IFERROR(SEARCH(XW$8,$E$4,YB5),99999),
IFERROR(SEARCH(XW$9,$E$4,YB5),99999),
IFERROR(SEARCH(XW$10,$E$4,YB5),99999),
IFERROR(SEARCH(XW$11,$E$4,YB5),99999),
IFERROR(SEARCH(XW$12,$E$4,YB5),99999),
IFERROR(SEARCH(XW$13,$E$4,YB5),99999),
IFERROR(SEARCH(XW$14,$E$4,YB5),99999)
)</f>
        <v>99999</v>
      </c>
      <c r="XY6" s="1179">
        <f>IFERROR(DATEVALUE(MID(XU6,1,10)),
IFERROR(DATEVALUE(MID(XU6,XX6,10)),
""))</f>
        <v>44123</v>
      </c>
      <c r="XZ6" s="876" t="s">
        <v>718</v>
      </c>
      <c r="YA6" s="876" t="e">
        <f>SEARCH(MA$4,$XU$4)</f>
        <v>#VALUE!</v>
      </c>
      <c r="YC6" s="1472"/>
      <c r="YD6" t="s">
        <v>9480</v>
      </c>
      <c r="YE6" s="1176" t="e">
        <f>SEARCH(YD6,$XU$3)</f>
        <v>#VALUE!</v>
      </c>
      <c r="YG6" s="1476"/>
      <c r="YH6" s="834"/>
      <c r="YI6" s="836"/>
      <c r="YJ6" s="306" t="str">
        <f>IF(YK6=IFERROR(SEARCH(".",$XU$3,YK5),99999),".",
IF(YK6=IFERROR(SEARCH(",",$XU$3,YK5),99999),",",
IF(YK6=IFERROR(SEARCH(" за период",$XU$3,YK5),999999)," за период",
IF(YK6=IFERROR(SEARCH(" в размере",$XU$3,YK5),99999)," в размере",
))))</f>
        <v>.</v>
      </c>
      <c r="YK6" s="306">
        <f>MIN(
IFERROR(SEARCH(".",$XU$3,YK5),99999),
IFERROR(SEARCH(",",$XU$3,YK5),99999),
IFERROR(SEARCH(" в размере",$XU$3,YK5),99999))</f>
        <v>99999</v>
      </c>
      <c r="YL6" s="306"/>
      <c r="YM6" s="827"/>
      <c r="YN6" s="829"/>
      <c r="YO6" s="844" t="str">
        <f>IF(ISERROR(YI24),"",CONCATENATE(YG24,". ",YN24," ",IFERROR(CONCATENATE(YM28,",",YM29),""),IF(ISERROR(CONCATENATE(YM28,",",YM29)),"","₽")))</f>
        <v/>
      </c>
      <c r="YP6" t="str">
        <f t="shared" si="100"/>
        <v xml:space="preserve">о возмещении </v>
      </c>
      <c r="YQ6" s="1176" t="e">
        <f>SEARCH(YP6,$XU$4)</f>
        <v>#VALUE!</v>
      </c>
      <c r="YS6" s="1476"/>
      <c r="YT6" s="834"/>
      <c r="YU6" s="836"/>
      <c r="YV6" s="306" t="str">
        <f>IF(YW6=IFERROR(SEARCH(".",$XU$4,YW5),99999),".",
IF(YW6=IFERROR(SEARCH(",",$XU$4,YW5),99999),",",
IF(YW6=IFERROR(SEARCH(" за период",$XU$4,YW5),999999)," за период",
IF(YW6=IFERROR(SEARCH(" в размере",$XU$4,YW5),99999)," в размере",
))))</f>
        <v>.</v>
      </c>
      <c r="YW6" s="306">
        <f>MIN(
IFERROR(SEARCH(".",$XU$4,YW5),99999),
IFERROR(SEARCH(",",$XU$4,YW5),99999),
IFERROR(SEARCH(" в размере",$XU$4,YW5),99999))</f>
        <v>99999</v>
      </c>
      <c r="YX6" s="306"/>
      <c r="YY6" s="827"/>
      <c r="YZ6" s="829"/>
      <c r="ZA6" s="844" t="str">
        <f>IF(ISERROR(YU24),"",CONCATENATE(YS24,". ",YZ24," ",IFERROR(CONCATENATE(YY28,",",YY29),""),IF(ISERROR(CONCATENATE(YY28,",",YY29)),"","₽")))</f>
        <v/>
      </c>
      <c r="ZB6" t="str">
        <f t="shared" si="31"/>
        <v xml:space="preserve">о возмещении </v>
      </c>
      <c r="ZC6" s="1181" t="e">
        <f t="shared" ref="ZC6:ZC12" si="120">SEARCH(ZB6,$XU$5)</f>
        <v>#VALUE!</v>
      </c>
      <c r="ZE6" s="1476"/>
      <c r="ZF6" s="834"/>
      <c r="ZG6" s="836"/>
      <c r="ZH6" s="306" t="str">
        <f>IF(ZI6=IFERROR(SEARCH(".",$XU$5,ZI5),99999),".",
IF(ZI6=IFERROR(SEARCH(",",$XU$5,ZI5),99999),",",
IF(ZI6=IFERROR(SEARCH(" за период",$XU$5,ZI5),999999)," за период",
IF(ZI6=IFERROR(SEARCH(" в размере",$XU$5,ZI5),99999)," в размере",
))))</f>
        <v>.</v>
      </c>
      <c r="ZI6" s="306">
        <f>MIN(
IFERROR(SEARCH(".",$XU$5,ZI5),99999),
IFERROR(SEARCH(",",$XU$5,ZI5),99999),
IFERROR(SEARCH(" в размере",$XU$5,ZI5),99999))</f>
        <v>99999</v>
      </c>
      <c r="ZJ6" s="306"/>
      <c r="ZK6" s="827"/>
      <c r="ZL6" s="829"/>
      <c r="ZM6" s="844" t="str">
        <f>IF(ISERROR(ZG24),"",CONCATENATE(ZE24,". ",ZL24," ",IFERROR(CONCATENATE(ZK28,",",ZK29),""),IF(ISERROR(CONCATENATE(ZK28,",",ZK29)),"","₽")))</f>
        <v/>
      </c>
      <c r="ZN6" t="str">
        <f t="shared" si="32"/>
        <v xml:space="preserve">о возмещении </v>
      </c>
      <c r="ZO6" s="1181" t="e">
        <f t="shared" ref="ZO6:ZO12" si="121">SEARCH(ZN6,$XU$6)</f>
        <v>#VALUE!</v>
      </c>
      <c r="ZQ6" s="1476"/>
      <c r="ZR6" s="834"/>
      <c r="ZS6" s="836"/>
      <c r="ZT6" s="306" t="str">
        <f>IF(ZU6=IFERROR(SEARCH(".",$XU$6,ZU5),99999),".",
IF(ZU6=IFERROR(SEARCH(",",$XU$6,ZU5),99999),",",
IF(ZU6=IFERROR(SEARCH(" за период",$XU$6,ZU5),999999)," за период",
IF(ZU6=IFERROR(SEARCH(" в размере",$XU$6,ZU5),99999)," в размере",
))))</f>
        <v xml:space="preserve"> в размере</v>
      </c>
      <c r="ZU6" s="306">
        <f>MIN(
IFERROR(SEARCH(".",$XU$6,ZU5),99999),
IFERROR(SEARCH(",",$XU$6,ZU5),99999),
IFERROR(SEARCH(" в размере",$XU$6,ZU5),99999))</f>
        <v>232</v>
      </c>
      <c r="ZV6" s="306"/>
      <c r="ZW6" s="827"/>
      <c r="ZX6" s="829"/>
      <c r="ZY6" s="844" t="str">
        <f>IF(ISERROR(ZS24),"",CONCATENATE(ZQ24,". ",ZX24," ",IFERROR(CONCATENATE(ZW28,",",ZW29),""),IF(ISERROR(CONCATENATE(ZW28,",",ZW29)),"","₽")))</f>
        <v/>
      </c>
      <c r="ZZ6" t="str">
        <f t="shared" si="33"/>
        <v xml:space="preserve">о возмещении </v>
      </c>
      <c r="AAA6" s="1181" t="e">
        <f t="shared" ref="AAA6:AAA12" si="122">SEARCH(ZZ6,$XU$7)</f>
        <v>#VALUE!</v>
      </c>
      <c r="AAC6" s="1476"/>
      <c r="AAD6" s="834"/>
      <c r="AAE6" s="836"/>
      <c r="AAF6" s="306" t="str">
        <f>IF(AAG6=IFERROR(SEARCH(".",$XU$7,AAG5),99999),".",
IF(AAG6=IFERROR(SEARCH(",",$XU$7,AAG5),99999),",",
IF(AAG6=IFERROR(SEARCH(" за период",$XU$7,AAG5),999999)," за период",
IF(AAG6=IFERROR(SEARCH(" в размере",$XU$7,AAG5),99999)," в размере",
))))</f>
        <v>.</v>
      </c>
      <c r="AAG6" s="306">
        <f>MIN(
IFERROR(SEARCH(".",$XU$7,AAG5),99999),
IFERROR(SEARCH(",",$XU$7,AAG5),99999),
IFERROR(SEARCH(" в размере",$XU$7,AAG5),99999))</f>
        <v>99999</v>
      </c>
      <c r="AAH6" s="306"/>
      <c r="AAI6" s="827"/>
      <c r="AAJ6" s="829"/>
      <c r="AAK6" s="844" t="str">
        <f>IF(ISERROR(AAE24),"",CONCATENATE(AAC24,". ",AAJ24," ",IFERROR(CONCATENATE(AAI28,",",AAI29),""),IF(ISERROR(CONCATENATE(AAI28,",",AAI29)),"","₽")))</f>
        <v/>
      </c>
      <c r="AAL6" s="1090" t="str">
        <f>IF(DATES!O5="","",DATES!O5)</f>
        <v/>
      </c>
      <c r="AAM6" s="974">
        <v>4</v>
      </c>
      <c r="AAN6" s="946" t="s">
        <v>8513</v>
      </c>
      <c r="AAO6" s="854">
        <f>MIN(IFERROR(SEARCH(AAN$3,$E$4,AAS5),99999),
IFERROR(SEARCH(AAN$4,$E$4,AAS5),99999),
IFERROR(SEARCH(AAN$5,$E$4,AAS5),99999),
IFERROR(SEARCH(AAN$6,$E$4,AAS5),99999),
IFERROR(SEARCH(AAN$7,$E$4,AAS5),99999),
IFERROR(SEARCH(AAN$8,$E$4,AAS5),99999),
IFERROR(SEARCH(AAN$9,$E$4,AAS5),99999),
IFERROR(SEARCH(AAN$10,$E$4,AAS5),99999),
IFERROR(SEARCH(AAN$11,$E$4,AAS5),99999),
IFERROR(SEARCH(AAN$12,$E$4,AAS5),99999),
IFERROR(SEARCH(AAN$13,$E$4,AAS5),99999),
IFERROR(SEARCH(AAN$14,$E$4,AAS5),99999)
)</f>
        <v>99999</v>
      </c>
      <c r="AAP6" s="929"/>
      <c r="AAQ6" s="334">
        <f>LEN(MID($E$4,1,AAO6))-LEN(IF(ISERROR(FIND(" ",MID($E$4,1,AAO6))),MID($E$4,1,AAO6),RIGHT(MID($E$4,1,AAO6),LEN(MID($E$4,1,AAO6))-FIND("~",SUBSTITUTE(MID($E$4,1,AAO6),AAP3,"~",LEN(MID($E$4,1,AAO6))-LEN(SUBSTITUTE(MID($E$4,1,AAO6),AAP3,"")))))))+1</f>
        <v>5367</v>
      </c>
      <c r="AAR6" s="947"/>
      <c r="AAS6" s="1047" t="e">
        <f>SEARCH(AAR$3,$E$4,AAQ6)</f>
        <v>#VALUE!</v>
      </c>
      <c r="AAT6" s="854" t="e">
        <f>AAS6-AAQ6</f>
        <v>#VALUE!</v>
      </c>
      <c r="AAU6" s="1042" t="e">
        <f>CLEAN(MID($E$4,AAQ6,AAT6))</f>
        <v>#VALUE!</v>
      </c>
      <c r="AAV6" t="s">
        <v>8513</v>
      </c>
      <c r="AAW6" s="947" t="e">
        <f t="shared" si="9"/>
        <v>#VALUE!</v>
      </c>
      <c r="AAX6" s="5"/>
      <c r="AAY6" s="5"/>
      <c r="AAZ6" s="5"/>
      <c r="ABA6" s="1486"/>
      <c r="ABB6" s="1087" t="str">
        <f>IFERROR(ABA39,"")</f>
        <v/>
      </c>
      <c r="ABC6" s="1069">
        <v>4</v>
      </c>
      <c r="ABD6" s="935" t="s">
        <v>9501</v>
      </c>
      <c r="ABE6" s="854">
        <f>MIN(IFERROR(SEARCH(ABD$3,$E$4,ABI5),99999),
IFERROR(SEARCH(ABD$4,$E$4,ABI5),99999),
IFERROR(SEARCH(ABD$5,$E$4,ABI5),99999),
IFERROR(SEARCH(ABD$6,$E$4,ABI5),99999),
IFERROR(SEARCH(ABD$7,$E$4,ABI5),99999),
IFERROR(SEARCH(ABD$8,$E$4,ABI5),99999),
IFERROR(SEARCH(ABD$9,$E$4,ABI5),99999),
IFERROR(SEARCH(ABD$10,$E$4,ABI5),99999),
IFERROR(SEARCH(ABD$11,$E$4,ABI5),99999),
IFERROR(SEARCH(ABD$12,$E$4,ABI5),99999),
IFERROR(SEARCH(ABD$13,$E$4,ABI5),99999),
IFERROR(SEARCH(ABD$14,$E$4,ABI5),99999)
)</f>
        <v>99999</v>
      </c>
      <c r="ABF6" s="929"/>
      <c r="ABG6" s="334">
        <f>LEN(MID($E$4,1,ABE6))-LEN(IF(ISERROR(FIND(" ",MID($E$4,1,ABE6))),MID($E$4,1,ABE6),RIGHT(MID($E$4,1,ABE6),LEN(MID($E$4,1,ABE6))-FIND("~",SUBSTITUTE(MID($E$4,1,ABE6),ABF3,"~",LEN(MID($E$4,1,ABE6))-LEN(SUBSTITUTE(MID($E$4,1,ABE6),ABF3,"")))))))+1</f>
        <v>5367</v>
      </c>
      <c r="ABH6" s="937"/>
      <c r="ABI6" s="937" t="e">
        <f>SEARCH(ABH3,$E$4,ABG6)</f>
        <v>#VALUE!</v>
      </c>
      <c r="ABJ6" s="854" t="e">
        <f>ABI6-ABG6</f>
        <v>#VALUE!</v>
      </c>
      <c r="ABK6" s="1042" t="e">
        <f>CLEAN(MID($E$4,ABG6,ABJ6))</f>
        <v>#VALUE!</v>
      </c>
      <c r="ABL6" t="s">
        <v>10056</v>
      </c>
      <c r="ABM6" s="854">
        <f>MIN(IFERROR(SEARCH(ABL$3,$ABK6),99999),
IFERROR(SEARCH(ABL$4,$ABK6),99999),
IFERROR(SEARCH(ABL$5,$ABK6),99999),
IFERROR(SEARCH(ABL$6,$ABK6),99999),
IFERROR(SEARCH(ABL$7,$ABK6),99999),
IFERROR(SEARCH(ABL$8,$ABK6),99999),
IFERROR(SEARCH(ABL$9,$ABK6),99999),
IFERROR(SEARCH(ABL$10,$ABK6),99999),
IFERROR(SEARCH(ABL$11,$ABK6),99999),
IFERROR(SEARCH(ABL$12,$ABK6),99999),
IFERROR(SEARCH(ABL$13,$ABK6),99999),
IFERROR(SEARCH(ABL$14,$ABK6),99999)
)</f>
        <v>99999</v>
      </c>
      <c r="ABN6" t="s">
        <v>8513</v>
      </c>
      <c r="ABO6" s="854">
        <f>MIN(IFERROR(SEARCH(ABN$3,$ABK6,ABM6),99999),
IFERROR(SEARCH(ABN$4,$ABK6,ABM6),99999),
IFERROR(SEARCH(ABN$5,$ABK6,ABM6),99999),
IFERROR(SEARCH(ABN$6,$ABK6,ABM6),99999),
IFERROR(SEARCH(ABN$7,$ABK6,ABM6),99999),
IFERROR(SEARCH(ABN$8,$ABK6,ABM6),99999),
IFERROR(SEARCH(ABN$9,$ABK6,ABM6),99999),
IFERROR(SEARCH(ABN$10,$ABK6,ABM6),99999),
IFERROR(SEARCH(ABN$11,$ABK6,ABM6),99999),
IFERROR(SEARCH(ABN$12,$ABK6,ABM6),99999),
IFERROR(SEARCH(ABN$13,$ABK6,ABM6),99999),
IFERROR(SEARCH(ABN$14,$ABK6,ABM6),99999)
)</f>
        <v>99999</v>
      </c>
      <c r="ABP6">
        <f>ABO6-ABM6</f>
        <v>0</v>
      </c>
      <c r="ABQ6" s="1070" t="e">
        <f>MID($ABK$6,ABM6,ABP6)</f>
        <v>#VALUE!</v>
      </c>
      <c r="ABR6" t="s">
        <v>8513</v>
      </c>
      <c r="ABS6" s="854">
        <f>MIN(IFERROR(SEARCH(ABR$3,$ABK6)+LEN(ABR$3),99999),
IFERROR(SEARCH(ABR$4,$ABK6)+LEN(ABR$4),99999),
IFERROR(SEARCH(ABR$5,$ABK6)+LEN(ABR$5),99999),
IFERROR(SEARCH(ABR$6,$ABK6)+LEN(ABR$6),99999),
IFERROR(SEARCH(ABR$7,$ABK6)+LEN(ABR$7),99999),
IFERROR(SEARCH(ABR$8,$ABK6)+LEN(ABR$8),99999),
IFERROR(SEARCH(ABR$9,$ABK6)+LEN(ABR$9),99999),
IFERROR(SEARCH(ABR$10,$ABK6)+LEN(ABR$10),99999),
IFERROR(SEARCH(ABR$11,$ABK6+LEN(ABR$11)),99999),
IFERROR(SEARCH(ABR$12,$ABK6)+LEN(ABR$12),99999),
IFERROR(SEARCH(ABR$13,$ABK6)+LEN(ABR$13),99999),
IFERROR(SEARCH(ABR$14,$ABK6)+LEN(ABR$14),99999)
)</f>
        <v>99999</v>
      </c>
      <c r="ABT6" t="s">
        <v>8513</v>
      </c>
      <c r="ABU6" s="854">
        <f>MIN(IFERROR(SEARCH(ABT$3,$ABK6,ABS6),99999),
IFERROR(SEARCH(ABT$4,$ABK6,ABS6),99999),
IFERROR(SEARCH(ABT$5,$ABK6,ABS6),99999),
IFERROR(SEARCH(ABT$6,$ABK6,ABS6),99999),
IFERROR(SEARCH(ABT$7,$ABK6,ABS6),99999),
IFERROR(SEARCH(ABT$8,$ABK6,ABS6),99999),
IFERROR(SEARCH(ABT$9,$ABK6,ABS6),99999),
IFERROR(SEARCH(ABT$10,$ABK6,ABS6),99999),
IFERROR(SEARCH(ABT$11,$ABK6,ABS6),99999),
IFERROR(SEARCH(ABT$12,$ABK6,ABS6),99999),
IFERROR(SEARCH(ABT$13,$ABK6,ABS6),99999),
IFERROR(SEARCH(ABT$14,$ABK6,ABS6),99999)
)</f>
        <v>99999</v>
      </c>
      <c r="ABV6">
        <f>ABU6-ABS6</f>
        <v>0</v>
      </c>
      <c r="ABW6" s="1073" t="e">
        <f>DATEVALUE(MID($ABK$6,ABS6,ABV6))</f>
        <v>#VALUE!</v>
      </c>
      <c r="ABX6" t="s">
        <v>8513</v>
      </c>
      <c r="ABY6" s="854">
        <f>MIN(IFERROR(SEARCH(ABX$3,$ABK6)+LEN(ABX$3),99999),
IFERROR(SEARCH(ABX$4,$ABK6)+LEN(ABX$4),99999),
IFERROR(SEARCH(ABX$5,$ABK6)+LEN(ABX$5),99999),
IFERROR(SEARCH(ABX$6,$ABK6)+LEN(ABX$6),99999),
IFERROR(SEARCH(ABX$7,$ABK6)+LEN(ABX$7),99999),
IFERROR(SEARCH(ABX$8,$ABK6)+LEN(ABX$8),99999),
IFERROR(SEARCH(ABX$9,$ABK6)+LEN(ABX$9),99999),
IFERROR(SEARCH(ABX$10,$ABK6)+LEN(ABX$10),99999),
IFERROR(SEARCH(ABX$11,$ABK6+LEN(ABX$11)),99999),
IFERROR(SEARCH(ABX$12,$ABK6)+LEN(ABX$12),99999),
IFERROR(SEARCH(ABX$13,$ABK6)+LEN(ABX$13),99999),
IFERROR(SEARCH(ABX$14,$ABK6)+LEN(ABX$14),99999)
)</f>
        <v>99999</v>
      </c>
      <c r="ABZ6" t="s">
        <v>8513</v>
      </c>
      <c r="ACA6" s="854">
        <f>MIN(IFERROR(SEARCH(ABZ$3,$ABK6,ABY6),99999),
IFERROR(SEARCH(ABZ$4,$ABK6,ABY6),99999),
IFERROR(SEARCH(ABZ$5,$ABK6,ABY6),99999),
IFERROR(SEARCH(ABZ$6,$ABK6,ABY6),99999),
IFERROR(SEARCH(ABZ$7,$ABK6,ABY6),99999),
IFERROR(SEARCH(ABZ$8,$ABK6,ABY6),99999),
IFERROR(SEARCH(ABZ$9,$ABK6,ABY6),99999),
IFERROR(SEARCH(ABZ$10,$ABK6,ABY6),99999),
IFERROR(SEARCH(ABZ$11,$ABK6,ABY6),99999),
IFERROR(SEARCH(ABZ$12,$ABK6,ABY6),99999),
IFERROR(SEARCH(ABZ$13,$ABK6,ABY6),99999),
IFERROR(SEARCH(ABZ$14,$ABK6,ABY6),99999)
)</f>
        <v>99999</v>
      </c>
      <c r="ACB6">
        <f>ACA6-ABY6</f>
        <v>0</v>
      </c>
      <c r="ACC6" s="1064" t="e">
        <f>MID($ABK$6,ABY6,ACB6)</f>
        <v>#VALUE!</v>
      </c>
      <c r="ACD6" t="s">
        <v>8513</v>
      </c>
      <c r="ACE6" s="854">
        <f>MIN(IFERROR(SEARCH(ACD$3,$ABK6)+LEN(ACD$3),99999),
IFERROR(SEARCH(ACD$4,$ABK6)+LEN(ACD$4),99999),
IFERROR(SEARCH(ACD$5,$ABK6)+LEN(ACD$5),99999),
IFERROR(SEARCH(ACD$6,$ABK6)+LEN(ACD$6),99999),
IFERROR(SEARCH(ACD$7,$ABK6)+LEN(ACD$7),99999),
IFERROR(SEARCH(ACD$8,$ABK6)+LEN(ACD$8),99999),
IFERROR(SEARCH(ACD$9,$ABK6)+LEN(ACD$9),99999),
IFERROR(SEARCH(ACD$10,$ABK6)+LEN(ACD$10),99999),
IFERROR(SEARCH(ACD$11,$ABK6+LEN(ACD$11)),99999),
IFERROR(SEARCH(ACD$12,$ABK6)+LEN(ACD$12),99999),
IFERROR(SEARCH(ACD$13,$ABK6)+LEN(ACD$13),99999),
IFERROR(SEARCH(ACD$14,$ABK6)+LEN(ACD$14),99999)
)</f>
        <v>99999</v>
      </c>
      <c r="ACF6" s="1059" t="e">
        <f t="shared" si="35"/>
        <v>#VALUE!</v>
      </c>
      <c r="ACG6" s="264" t="e">
        <f t="shared" si="36"/>
        <v>#VALUE!</v>
      </c>
      <c r="ACH6" t="e">
        <f t="shared" si="37"/>
        <v>#VALUE!</v>
      </c>
      <c r="ACI6" s="264" t="e">
        <f t="shared" si="38"/>
        <v>#VALUE!</v>
      </c>
      <c r="ACJ6" s="1059" t="e">
        <f t="shared" si="39"/>
        <v>#VALUE!</v>
      </c>
      <c r="ACK6" s="264" t="e">
        <f t="shared" si="40"/>
        <v>#VALUE!</v>
      </c>
      <c r="ACL6" t="e">
        <f t="shared" si="41"/>
        <v>#VALUE!</v>
      </c>
      <c r="ACM6" s="1075" t="e">
        <f>VALUE(CONCATENATE(ACH6,",",ACL6))</f>
        <v>#VALUE!</v>
      </c>
      <c r="ACN6" t="s">
        <v>10069</v>
      </c>
      <c r="ACO6" s="854">
        <f>MIN(IFERROR(SEARCH(ACN$3,$ABK6)+LEN(ACN$3),99999),
IFERROR(SEARCH(ACN$4,$ABK6)+LEN(ACN$4),99999),
IFERROR(SEARCH(ACN$5,$ABK6)+LEN(ACN$5),99999),
IFERROR(SEARCH(ACN$6,$ABK6)+LEN(ACN$6),99999),
IFERROR(SEARCH(ACN$7,$ABK6)+LEN(ACN$7),99999),
IFERROR(SEARCH(ACN$8,$ABK6)+LEN(ACN$8),99999),
IFERROR(SEARCH(ACN$9,$ABK6)+LEN(ACN$9),99999),
IFERROR(SEARCH(ACN$10,$ABK6)+LEN(ACN$10),99999),
IFERROR(SEARCH(ACN$11,$ABK6+LEN(ACN$11)),99999),
IFERROR(SEARCH(ACN$12,$ABK6)+LEN(ACN$12),99999),
IFERROR(SEARCH(ACN$13,$ABK6)+LEN(ACN$13),99999),
IFERROR(SEARCH(ACN$14,$ABK6)+LEN(ACN$14),99999)
)</f>
        <v>99999</v>
      </c>
      <c r="ACP6" s="1059" t="e">
        <f t="shared" si="42"/>
        <v>#VALUE!</v>
      </c>
      <c r="ACQ6" s="264" t="e">
        <f t="shared" si="43"/>
        <v>#VALUE!</v>
      </c>
      <c r="ACR6" t="e">
        <f t="shared" si="44"/>
        <v>#VALUE!</v>
      </c>
      <c r="ACS6" s="264" t="e">
        <f t="shared" si="45"/>
        <v>#VALUE!</v>
      </c>
      <c r="ACT6" s="1059" t="e">
        <f t="shared" si="46"/>
        <v>#VALUE!</v>
      </c>
      <c r="ACU6" s="264" t="e">
        <f t="shared" si="47"/>
        <v>#VALUE!</v>
      </c>
      <c r="ACV6" t="e">
        <f t="shared" si="48"/>
        <v>#VALUE!</v>
      </c>
      <c r="ACW6" s="1075" t="e">
        <f>VALUE(CONCATENATE(ACR6,",",ACV6))</f>
        <v>#VALUE!</v>
      </c>
      <c r="ACX6" t="s">
        <v>8513</v>
      </c>
      <c r="ACY6" s="854">
        <f>MIN(IFERROR(SEARCH(ACX$3,$ABK6)+LEN(ACX$3),99999),
IFERROR(SEARCH(ACX$4,$ABK6)+LEN(ACX$4),99999),
IFERROR(SEARCH(ACX$5,$ABK6)+LEN(ACX$5),99999),
IFERROR(SEARCH(ACX$6,$ABK6)+LEN(ACX$6),99999),
IFERROR(SEARCH(ACX$7,$ABK6)+LEN(ACX$7),99999),
IFERROR(SEARCH(ACX$8,$ABK6)+LEN(ACX$8),99999),
IFERROR(SEARCH(ACX$9,$ABK6)+LEN(ACX$9),99999),
IFERROR(SEARCH(ACX$10,$ABK6)+LEN(ACX$10),99999),
IFERROR(SEARCH(ACX$11,$ABK6+LEN(ACX$11)),99999),
IFERROR(SEARCH(ACX$12,$ABK6)+LEN(ACX$12),99999),
IFERROR(SEARCH(ACX$13,$ABK6)+LEN(ACX$13),99999),
IFERROR(SEARCH(ACX$14,$ABK6)+LEN(ACX$14),99999)
)</f>
        <v>99999</v>
      </c>
      <c r="ACZ6" s="1059" t="e">
        <f t="shared" si="49"/>
        <v>#VALUE!</v>
      </c>
      <c r="ADA6" s="264" t="e">
        <f t="shared" si="50"/>
        <v>#VALUE!</v>
      </c>
      <c r="ADB6" t="e">
        <f t="shared" si="51"/>
        <v>#VALUE!</v>
      </c>
      <c r="ADC6" s="264" t="e">
        <f t="shared" si="52"/>
        <v>#VALUE!</v>
      </c>
      <c r="ADD6" s="1059" t="e">
        <f t="shared" si="53"/>
        <v>#VALUE!</v>
      </c>
      <c r="ADE6" s="264" t="e">
        <f t="shared" si="54"/>
        <v>#VALUE!</v>
      </c>
      <c r="ADF6" t="e">
        <f t="shared" si="55"/>
        <v>#VALUE!</v>
      </c>
      <c r="ADG6" s="1075" t="e">
        <f>VALUE(CONCATENATE(ADB6,",",ADF6))</f>
        <v>#VALUE!</v>
      </c>
      <c r="ADH6" t="s">
        <v>8513</v>
      </c>
      <c r="ADI6" s="854">
        <f>MIN(IFERROR(SEARCH(ADH$3,$ABK6)+LEN(ADH$3),99999),
IFERROR(SEARCH(ADH$4,$ABK6)+LEN(ADH$4),99999),
IFERROR(SEARCH(ADH$5,$ABK6)+LEN(ADH$5),99999),
IFERROR(SEARCH(ADH$6,$ABK6)+LEN(ADH$6),99999),
IFERROR(SEARCH(ADH$7,$ABK6)+LEN(ADH$7),99999),
IFERROR(SEARCH(ADH$8,$ABK6)+LEN(ADH$8),99999),
IFERROR(SEARCH(ADH$9,$ABK6)+LEN(ADH$9),99999),
IFERROR(SEARCH(ADH$10,$ABK6)+LEN(ADH$10),99999),
IFERROR(SEARCH(ADH$11,$ABK6+LEN(ADH$11)),99999),
IFERROR(SEARCH(ADH$12,$ABK6)+LEN(ADH$12),99999),
IFERROR(SEARCH(ADH$13,$ABK6)+LEN(ADH$13),99999),
IFERROR(SEARCH(ADH$14,$ABK6)+LEN(ADH$14),99999)
)</f>
        <v>99999</v>
      </c>
      <c r="ADJ6" s="1059" t="e">
        <f t="shared" si="56"/>
        <v>#VALUE!</v>
      </c>
      <c r="ADK6" s="264" t="e">
        <f t="shared" si="57"/>
        <v>#VALUE!</v>
      </c>
      <c r="ADL6" t="e">
        <f t="shared" si="58"/>
        <v>#VALUE!</v>
      </c>
      <c r="ADM6" s="264" t="e">
        <f t="shared" si="59"/>
        <v>#VALUE!</v>
      </c>
      <c r="ADN6" s="1059" t="e">
        <f t="shared" si="60"/>
        <v>#VALUE!</v>
      </c>
      <c r="ADO6" s="264" t="e">
        <f t="shared" si="61"/>
        <v>#VALUE!</v>
      </c>
      <c r="ADP6" t="e">
        <f t="shared" si="62"/>
        <v>#VALUE!</v>
      </c>
      <c r="ADQ6" s="1075" t="e">
        <f>VALUE(CONCATENATE(ADL6,",",ADP6))</f>
        <v>#VALUE!</v>
      </c>
      <c r="ADR6" s="1080" t="str">
        <f>IFERROR(ACM3,"")</f>
        <v/>
      </c>
      <c r="ADS6" s="1069">
        <v>4</v>
      </c>
      <c r="ADT6" s="1234" t="s">
        <v>9848</v>
      </c>
      <c r="ADU6" s="854">
        <f t="shared" si="101"/>
        <v>99999</v>
      </c>
      <c r="ADV6" s="929"/>
      <c r="ADW6" s="334">
        <f>LEN(MID($E$4,1,ADU6))-LEN(IF(ISERROR(FIND(" ",MID($E$4,1,ADU6))),MID($E$4,1,ADU6),RIGHT(MID($E$4,1,ADU6),LEN(MID($E$4,1,ADU6))-FIND("~",SUBSTITUTE(MID($E$4,1,ADU6),ADV$3,"~",LEN(MID($E$4,1,ADU6))-LEN(SUBSTITUTE(MID($E$4,1,ADU6),ADV$3,"")))))))+1</f>
        <v>5367</v>
      </c>
      <c r="ADX6" s="947"/>
      <c r="ADY6" s="1059" t="e">
        <f>SEARCH(ADX$3,$E$4,ADW6)</f>
        <v>#VALUE!</v>
      </c>
      <c r="ADZ6" s="854" t="e">
        <f>ADY6-ADW6</f>
        <v>#VALUE!</v>
      </c>
      <c r="AEA6" s="979" t="e">
        <f>CLEAN(MID($E$4,ADW6,ADZ6))</f>
        <v>#VALUE!</v>
      </c>
      <c r="AEB6" s="946" t="s">
        <v>8513</v>
      </c>
      <c r="AEC6" s="854">
        <f>MIN(IFERROR(SEARCH(AEB$3,$E$4,AEF5),99999),
IFERROR(SEARCH(AEB$4,$E$4,AEF5),99999),
IFERROR(SEARCH(AEB$5,$E$4,AEF5),99999),
IFERROR(SEARCH(AEB$6,$E$4,AEF5),99999),
IFERROR(SEARCH(AEB$7,$E$4,AEF5),99999),
IFERROR(SEARCH(AEB$8,$E$4,AEF5),99999),
IFERROR(SEARCH(AEB$9,$E$4,AEF5),99999),
IFERROR(SEARCH(AEB$10,$E$4,AEF5),99999),
IFERROR(SEARCH(AEB$11,$E$4,AEF5),99999),
IFERROR(SEARCH(AEB$12,$E$4,AEF5),99999),
IFERROR(SEARCH(AEB$13,$E$4,AEF5),99999),
IFERROR(SEARCH(AEB$14,$E$4,AEF5),99999)
)</f>
        <v>99999</v>
      </c>
      <c r="AED6" s="929"/>
      <c r="AEE6" s="334">
        <f>LEN(MID($E$4,1,AEC6))-LEN(IF(ISERROR(FIND(" ",MID($E$4,1,AEC6))),MID($E$4,1,AEC6),RIGHT(MID($E$4,1,AEC6),LEN(MID($E$4,1,AEC6))-FIND("~",SUBSTITUTE(MID($E$4,1,AEC6),AED$3,"~",LEN(MID($E$4,1,AEC6))-LEN(SUBSTITUTE(MID($E$4,1,AEC6),AED$3,"")))))))+1</f>
        <v>5367</v>
      </c>
      <c r="AEF6" s="947"/>
      <c r="AEG6" s="1059" t="e">
        <f>SEARCH(AEF$3,$E$4,AEE6)</f>
        <v>#VALUE!</v>
      </c>
      <c r="AEH6" s="854" t="e">
        <f t="shared" si="63"/>
        <v>#VALUE!</v>
      </c>
      <c r="AEI6" s="979" t="e">
        <f>CLEAN(MID($E$4,AEE6,AEH6))</f>
        <v>#VALUE!</v>
      </c>
      <c r="AEJ6" s="961">
        <v>4</v>
      </c>
      <c r="AEK6" s="962" t="e">
        <f>DATEVALUE(MID($AEA$6,1,10))</f>
        <v>#VALUE!</v>
      </c>
      <c r="AEL6" s="962" t="str">
        <f>IFERROR(DATEVALUE(MID($AEI$6,1,10)),"")</f>
        <v/>
      </c>
      <c r="AEM6" t="s">
        <v>8513</v>
      </c>
      <c r="AEN6" s="854">
        <f>MIN(IFERROR(SEARCH(AEM$3,$AEA6)+LEN(AEM$3),99999),
IFERROR(SEARCH(AEM$4,$AEA6)+LEN(AEM$4),99999),
IFERROR(SEARCH(AEM$5,$AEA6)+LEN(AEM$5),99999),
IFERROR(SEARCH(AEM$6,$AEA6)+LEN(AEM$6),99999),
IFERROR(SEARCH(AEM$7,$AEA6)+LEN(AEM$7),99999),
IFERROR(SEARCH(AEM$8,$AEA6)+LEN(AEM$8),99999),
IFERROR(SEARCH(AEM$9,$AEA6)+LEN(AEM$9),99999),
IFERROR(SEARCH(AEM$10,$AEA6)+LEN(AEM$10),99999),
IFERROR(SEARCH(AEM$11,$AEA6+LEN(AEM$11)),99999),
IFERROR(SEARCH(AEM$12,$AEA6)+LEN(AEM$12),99999),
IFERROR(SEARCH(AEM$13,$AEA6)+LEN(AEM$13),99999),
IFERROR(SEARCH(AEM$14,$AEA6)+LEN(AEM$14),99999)
)</f>
        <v>99999</v>
      </c>
      <c r="AEO6" t="s">
        <v>8513</v>
      </c>
      <c r="AEP6" s="854">
        <f>MIN(IFERROR(SEARCH(AEO$3,$AEA6,AEN6),99999),
IFERROR(SEARCH(AEO$4,$AEA6,AEN6),99999),
IFERROR(SEARCH(AEO$5,$AEA6,AEN6),99999),
IFERROR(SEARCH(AEO$6,$AEA6,AEN6),99999),
IFERROR(SEARCH(AEO$7,$AEA6,AEN6),99999),
IFERROR(SEARCH(AEO$8,$AEA6,AEN6),99999),
IFERROR(SEARCH(AEO$9,$AEA6,AEN6),99999),
IFERROR(SEARCH(AEO$10,$AEA6,AEN6),99999),
IFERROR(SEARCH(AEO$11,$AEA6,AEN6),99999),
IFERROR(SEARCH(AEO$12,$AEA6,AEN6),99999),
IFERROR(SEARCH(AEO$13,$AEA6,AEN6),99999),
IFERROR(SEARCH(AEO$14,$AEA6,AEN6),99999)
)</f>
        <v>99999</v>
      </c>
      <c r="AEQ6">
        <f>AEP6-AEN6</f>
        <v>0</v>
      </c>
      <c r="AER6" s="1070" t="e">
        <f>MID($AEA$6,AEN6,AEQ6)</f>
        <v>#VALUE!</v>
      </c>
      <c r="AES6" t="s">
        <v>8513</v>
      </c>
      <c r="AET6" s="854">
        <f>MIN(IFERROR(SEARCH(AES$3,$AEA6)+LEN(AES$3),99999),
IFERROR(SEARCH(AES$4,$AEA6)+LEN(AES$4),99999),
IFERROR(SEARCH(AES$5,$AEA6)+LEN(AES$5),99999),
IFERROR(SEARCH(AES$6,$AEA6)+LEN(AES$6),99999),
IFERROR(SEARCH(AES$7,$AEA6)+LEN(AES$7),99999),
IFERROR(SEARCH(AES$8,$AEA6)+LEN(AES$8),99999),
IFERROR(SEARCH(AES$9,$AEA6)+LEN(AES$9),99999),
IFERROR(SEARCH(AES$10,$AEA6)+LEN(AES$10),99999),
IFERROR(SEARCH(AES$11,$AEA6+LEN(AES$11)),99999),
IFERROR(SEARCH(AES$12,$AEA6)+LEN(AES$12),99999),
IFERROR(SEARCH(AES$13,$AEA6)+LEN(AES$13),99999),
IFERROR(SEARCH(AES$14,$AEA6)+LEN(AES$14),99999)
)</f>
        <v>99999</v>
      </c>
      <c r="AEU6" t="s">
        <v>8513</v>
      </c>
      <c r="AEV6" s="854">
        <f>MIN(IFERROR(SEARCH(AEU$3,$AEA6,AET6),99999),
IFERROR(SEARCH(AEU$4,$AEA6,AET6),99999),
IFERROR(SEARCH(AEU$5,$AEA6,AET6),99999),
IFERROR(SEARCH(AEU$6,$AEA6,AET6),99999),
IFERROR(SEARCH(AEU$7,$AEA6,AET6),99999),
IFERROR(SEARCH(AEU$8,$AEA6,AET6),99999),
IFERROR(SEARCH(AEU$9,$AEA6,AET6),99999),
IFERROR(SEARCH(AEU$10,$AEA6,AET6),99999),
IFERROR(SEARCH(AEU$11,$AEA6,AET6),99999),
IFERROR(SEARCH(AEU$12,$AEA6,AET6),99999),
IFERROR(SEARCH(AEU$13,$AEA6,AET6),99999),
IFERROR(SEARCH(AEU$14,$AEA6,AET6),99999)
)</f>
        <v>99999</v>
      </c>
      <c r="AEW6">
        <f>AEV6-AET6</f>
        <v>0</v>
      </c>
      <c r="AEX6" s="1070" t="e">
        <f>MID($AEA$6,AET6,AEW6)</f>
        <v>#VALUE!</v>
      </c>
      <c r="AEY6" t="s">
        <v>8513</v>
      </c>
      <c r="AEZ6" s="854">
        <f>MIN(IFERROR(SEARCH(AEY$3,$AEA6)+LEN(AEY$3),99999),
IFERROR(SEARCH(AEY$4,$AEA6)+LEN(AEY$4),99999),
IFERROR(SEARCH(AEY$5,$AEA6)+LEN(AEY$5),99999),
IFERROR(SEARCH(AEY$6,$AEA6)+LEN(AEY$6),99999),
IFERROR(SEARCH(AEY$7,$AEA6)+LEN(AEY$7),99999),
IFERROR(SEARCH(AEY$8,$AEA6)+LEN(AEY$8),99999),
IFERROR(SEARCH(AEY$9,$AEA6)+LEN(AEY$9),99999),
IFERROR(SEARCH(AEY$10,$AEA6)+LEN(AEY$10),99999),
IFERROR(SEARCH(AEY$11,$AEA6+LEN(AEY$11)),99999),
IFERROR(SEARCH(AEY$12,$AEA6)+LEN(AEY$12),99999),
IFERROR(SEARCH(AEY$13,$AEA6)+LEN(AEY$13),99999),
IFERROR(SEARCH(AEY$14,$AEA6)+LEN(AEY$14),99999)
)</f>
        <v>99999</v>
      </c>
      <c r="AFA6" s="1060" t="str">
        <f>IF(ISERROR(AEA6),"",IF(AEZ6=99999,"ОТКАЗАТЬ","УДОВЛЕТВОРИТЬ"))</f>
        <v/>
      </c>
      <c r="AFB6" t="s">
        <v>8513</v>
      </c>
      <c r="AFC6" s="947" t="e">
        <f>SEARCH(AFB6,AFD4)</f>
        <v>#VALUE!</v>
      </c>
      <c r="AFE6" s="1476"/>
      <c r="AFF6" s="834"/>
      <c r="AFG6" s="836"/>
      <c r="AFH6" s="306" t="str">
        <f>IF(AFI6=IFERROR(SEARCH(".",AFD$4,AFI5),99999),".",
IF(AFI6=IFERROR(SEARCH(",",AFD$4,AFI5),99999),",",
IF(AFI6=IFERROR(SEARCH(" за период",AFD$4,AFI5),999999)," за период",
IF(AFI6=IFERROR(SEARCH(" в размере",AFD$4,AFI5),99999)," в размере",
))))</f>
        <v>.</v>
      </c>
      <c r="AFI6" s="306">
        <f>MIN(
IFERROR(SEARCH(".",AFD$4,AFI5),99999),
IFERROR(SEARCH(",",AFD$4,AFI5),99999),
IFERROR(SEARCH(" в размере",AFD$4,AFI5),99999))</f>
        <v>99999</v>
      </c>
      <c r="AFJ6" s="306"/>
      <c r="AFK6" s="827"/>
      <c r="AFL6" s="829"/>
      <c r="AFM6" s="844" t="str">
        <f>IF(AFL24="","",CONCATENATE(AFE24,". ",AFL24," ",IFERROR(CONCATENATE(AFK28,",",AFK29),""),IF(ISERROR(CONCATENATE(AFK28,",",AFK29)),"","₽")))</f>
        <v/>
      </c>
      <c r="AFN6" t="str">
        <f t="shared" si="66"/>
        <v>$$$$</v>
      </c>
      <c r="AFO6" s="947" t="e">
        <f>SEARCH(AFN6,AFP4)</f>
        <v>#VALUE!</v>
      </c>
      <c r="AFQ6" s="1476"/>
      <c r="AFR6" s="834"/>
      <c r="AFS6" s="836"/>
      <c r="AFT6" s="306" t="str">
        <f>IF(AFU6=IFERROR(SEARCH(".",AFP$4,AFU5),99999),".",
IF(AFU6=IFERROR(SEARCH(",",AFP$4,AFU5),99999),",",
IF(AFU6=IFERROR(SEARCH(" за период",AFP$4,AFU5),999999)," за период",
IF(AFU6=IFERROR(SEARCH(" в размере",AFP$4,AFU5),99999)," в размере",
))))</f>
        <v>.</v>
      </c>
      <c r="AFU6" s="306">
        <f>MIN(
IFERROR(SEARCH(".",AFP$4,AFU5),99999),
IFERROR(SEARCH(",",AFP$4,AFU5),99999),
IFERROR(SEARCH(" в размере",AFP$4,AFU5),99999))</f>
        <v>99999</v>
      </c>
      <c r="AFV6" s="306"/>
      <c r="AFW6" s="827"/>
      <c r="AFX6" s="829"/>
      <c r="AFY6" s="844" t="str">
        <f>IF(AFX24="","",CONCATENATE(AFQ24,". ",AFX24," ",IFERROR(CONCATENATE(AFW28,",",AFW29),""),IF(ISERROR(CONCATENATE(AFW28,",",AFW29)),"","₽")))</f>
        <v/>
      </c>
      <c r="AFZ6" t="s">
        <v>8513</v>
      </c>
      <c r="AGA6" s="947" t="e">
        <f>SEARCH(AFZ6,AGB4)</f>
        <v>#VALUE!</v>
      </c>
      <c r="AGC6" s="1476"/>
      <c r="AGD6" s="834"/>
      <c r="AGE6" s="836"/>
      <c r="AGF6" s="306" t="str">
        <f>IF(AGG6=IFERROR(SEARCH(".",AGB$4,AGG5),99999),".",
IF(AGG6=IFERROR(SEARCH(",",AGB$4,AGG5),99999),",",
IF(AGG6=IFERROR(SEARCH(" за период",AGB$4,AGG5),999999)," за период",
IF(AGG6=IFERROR(SEARCH(" в размере",AGB$4,AGG5),99999)," в размере",
))))</f>
        <v>.</v>
      </c>
      <c r="AGG6" s="306">
        <f>MIN(
IFERROR(SEARCH(".",AGB$4,AGG5),99999),
IFERROR(SEARCH(",",AGB$4,AGG5),99999),
IFERROR(SEARCH(" в размере",AGB$4,AGG5),99999))</f>
        <v>99999</v>
      </c>
      <c r="AGH6" s="306"/>
      <c r="AGI6" s="827"/>
      <c r="AGJ6" s="829"/>
      <c r="AGK6" s="844" t="str">
        <f>IF(AGJ24="","",CONCATENATE(AGC24,". ",AGJ24," ",IFERROR(CONCATENATE(AGI28,",",AGI29),""),IF(ISERROR(CONCATENATE(AGI28,",",AGI29)),"","₽")))</f>
        <v/>
      </c>
      <c r="AGL6" t="s">
        <v>8513</v>
      </c>
      <c r="AGM6" s="947" t="e">
        <f>SEARCH(AGL6,AGN4)</f>
        <v>#VALUE!</v>
      </c>
      <c r="AGO6" s="1476"/>
      <c r="AGP6" s="834"/>
      <c r="AGQ6" s="836"/>
      <c r="AGR6" s="306" t="str">
        <f>IF(AGS6=IFERROR(SEARCH(".",AGN$4,AGS5),99999),".",
IF(AGS6=IFERROR(SEARCH(",",AGN$4,AGS5),99999),",",
IF(AGS6=IFERROR(SEARCH(" за период",AGN$4,AGS5),999999)," за период",
IF(AGS6=IFERROR(SEARCH(" в размере",AGN$4,AGS5),99999)," в размере",
))))</f>
        <v>.</v>
      </c>
      <c r="AGS6" s="306">
        <f>MIN(
IFERROR(SEARCH(".",AGN$4,AGS5),99999),
IFERROR(SEARCH(",",AGN$4,AGS5),99999),
IFERROR(SEARCH(" в размере",AGN$4,AGS5),99999))</f>
        <v>99999</v>
      </c>
      <c r="AGT6" s="306"/>
      <c r="AGU6" s="827"/>
      <c r="AGV6" s="829"/>
      <c r="AGW6" s="844" t="str">
        <f>IF(AGV24="","",CONCATENATE(AGO24,". ",AGV24," ",IFERROR(CONCATENATE(AGU28,",",AGU29),""),IF(ISERROR(CONCATENATE(AGU28,",",AGU29)),"","₽")))</f>
        <v/>
      </c>
      <c r="AGX6" t="s">
        <v>8513</v>
      </c>
      <c r="AGY6" s="947" t="e">
        <f>SEARCH(AGX6,AGZ4)</f>
        <v>#VALUE!</v>
      </c>
      <c r="AHA6" s="1476"/>
      <c r="AHB6" s="834"/>
      <c r="AHC6" s="836"/>
      <c r="AHD6" s="306" t="str">
        <f>IF(AHE6=IFERROR(SEARCH(".",AGZ$4,AHE5),99999),".",
IF(AHE6=IFERROR(SEARCH(",",AGZ$4,AHE5),99999),",",
IF(AHE6=IFERROR(SEARCH(" за период",AGZ$4,AHE5),999999)," за период",
IF(AHE6=IFERROR(SEARCH(" в размере",AGZ$4,AHE5),99999)," в размере",
))))</f>
        <v>.</v>
      </c>
      <c r="AHE6" s="306">
        <f>MIN(
IFERROR(SEARCH(".",AGZ$4,AHE5),99999),
IFERROR(SEARCH(",",AGZ$4,AHE5),99999),
IFERROR(SEARCH(" в размере",AGZ$4,AHE5),99999))</f>
        <v>99999</v>
      </c>
      <c r="AHF6" s="306"/>
      <c r="AHG6" s="827"/>
      <c r="AHH6" s="829"/>
      <c r="AHI6" s="844" t="str">
        <f>IF(AHH24="","",CONCATENATE(AHA24,". ",AHH24," ",IFERROR(CONCATENATE(AHG28,",",AHG29),""),IF(ISERROR(CONCATENATE(AHG28,",",AHG29)),"","₽")))</f>
        <v/>
      </c>
      <c r="AHJ6" s="1084"/>
      <c r="AHK6" s="768" t="s">
        <v>8513</v>
      </c>
      <c r="AHL6" s="852"/>
      <c r="AHM6" s="768" t="s">
        <v>8513</v>
      </c>
      <c r="AHT6" s="768" t="s">
        <v>8513</v>
      </c>
      <c r="AHU6" s="852"/>
      <c r="AHV6" s="768" t="s">
        <v>8513</v>
      </c>
      <c r="AHZ6" t="s">
        <v>8513</v>
      </c>
      <c r="AIB6" s="1187" t="e">
        <f t="shared" si="67"/>
        <v>#VALUE!</v>
      </c>
      <c r="AIF6" t="s">
        <v>8513</v>
      </c>
      <c r="AIJ6" t="s">
        <v>9586</v>
      </c>
      <c r="AIK6" t="s">
        <v>1473</v>
      </c>
      <c r="AIL6" s="1187" t="e">
        <f t="shared" si="68"/>
        <v>#VALUE!</v>
      </c>
      <c r="AIP6" t="s">
        <v>8513</v>
      </c>
      <c r="AIT6" t="s">
        <v>8513</v>
      </c>
      <c r="AIV6" s="1187" t="e">
        <f t="shared" si="102"/>
        <v>#VALUE!</v>
      </c>
      <c r="AJB6" t="s">
        <v>8513</v>
      </c>
      <c r="AJH6" t="s">
        <v>8513</v>
      </c>
      <c r="AJI6" t="s">
        <v>8513</v>
      </c>
      <c r="AJJ6" s="1187" t="e">
        <f t="shared" si="10"/>
        <v>#VALUE!</v>
      </c>
      <c r="AJN6" t="s">
        <v>9616</v>
      </c>
      <c r="AJR6" t="s">
        <v>8513</v>
      </c>
      <c r="AJT6" s="1245" t="e">
        <f t="shared" si="69"/>
        <v>#VALUE!</v>
      </c>
      <c r="AJX6" t="s">
        <v>8513</v>
      </c>
      <c r="AKA6" s="116"/>
      <c r="AKB6" t="s">
        <v>9531</v>
      </c>
      <c r="AKC6" t="s">
        <v>9541</v>
      </c>
      <c r="AKD6" s="1187" t="e">
        <f t="shared" si="70"/>
        <v>#VALUE!</v>
      </c>
      <c r="AKH6" t="s">
        <v>8513</v>
      </c>
      <c r="AKK6" s="116"/>
      <c r="AKL6" t="s">
        <v>149</v>
      </c>
      <c r="AKM6" t="s">
        <v>9542</v>
      </c>
      <c r="AKN6" s="1206">
        <f>SEARCH(AKL6,$AHY$3,AKI$3+2)</f>
        <v>38</v>
      </c>
      <c r="AKR6" t="s">
        <v>8513</v>
      </c>
      <c r="AKU6" s="116"/>
      <c r="AKV6" t="s">
        <v>9551</v>
      </c>
      <c r="AKW6" t="s">
        <v>9549</v>
      </c>
      <c r="AKX6" s="1187" t="e">
        <f t="shared" si="72"/>
        <v>#VALUE!</v>
      </c>
      <c r="ALB6" t="s">
        <v>8513</v>
      </c>
      <c r="ALE6" s="116"/>
      <c r="ALF6" t="s">
        <v>9600</v>
      </c>
      <c r="ALG6" t="s">
        <v>9601</v>
      </c>
      <c r="ALH6" s="1187" t="e">
        <f t="shared" si="73"/>
        <v>#VALUE!</v>
      </c>
      <c r="ALL6" t="s">
        <v>8513</v>
      </c>
      <c r="ALO6" s="116"/>
      <c r="ALP6" s="116"/>
      <c r="ALQ6" s="768" t="s">
        <v>8513</v>
      </c>
      <c r="ALR6" s="852"/>
      <c r="ALS6" s="768" t="s">
        <v>8513</v>
      </c>
      <c r="ALW6" t="s">
        <v>8513</v>
      </c>
      <c r="ALY6" s="1187" t="e">
        <f t="shared" si="74"/>
        <v>#VALUE!</v>
      </c>
      <c r="AMC6" t="s">
        <v>8513</v>
      </c>
      <c r="AMG6" t="str">
        <f t="shared" si="11"/>
        <v>Респ Марий Эл</v>
      </c>
      <c r="AMH6" t="str">
        <f t="shared" si="12"/>
        <v>Республика Марий Эл</v>
      </c>
      <c r="AMI6" s="1206" t="e">
        <f t="shared" si="75"/>
        <v>#VALUE!</v>
      </c>
      <c r="AMM6" t="s">
        <v>8513</v>
      </c>
      <c r="AMQ6" t="str">
        <f t="shared" si="13"/>
        <v>$$$$</v>
      </c>
      <c r="AMR6">
        <f t="shared" si="14"/>
        <v>0</v>
      </c>
      <c r="AMS6" s="1206" t="e">
        <f t="shared" si="76"/>
        <v>#VALUE!</v>
      </c>
      <c r="AMY6" t="s">
        <v>8513</v>
      </c>
      <c r="ANE6" t="str">
        <f t="shared" si="15"/>
        <v>$$$$</v>
      </c>
      <c r="ANF6" t="str">
        <f t="shared" si="16"/>
        <v>$$$$</v>
      </c>
      <c r="ANG6" s="1206" t="e">
        <f t="shared" si="77"/>
        <v>#VALUE!</v>
      </c>
      <c r="ANK6" t="str">
        <f t="shared" si="17"/>
        <v>, мкр</v>
      </c>
      <c r="ANO6" t="str">
        <f t="shared" si="78"/>
        <v>$$$$</v>
      </c>
      <c r="ANP6">
        <f t="shared" si="79"/>
        <v>0</v>
      </c>
      <c r="ANQ6" s="1245" t="e">
        <f t="shared" si="80"/>
        <v>#VALUE!</v>
      </c>
      <c r="ANU6" t="str">
        <f t="shared" si="81"/>
        <v>$$$$</v>
      </c>
      <c r="ANX6" s="116"/>
      <c r="ANY6" t="str">
        <f t="shared" si="82"/>
        <v xml:space="preserve"> пер. </v>
      </c>
      <c r="ANZ6" t="str">
        <f t="shared" si="83"/>
        <v xml:space="preserve">пер. </v>
      </c>
      <c r="AOA6" s="1206" t="e">
        <f>SEARCH(ANY6,ALV$3)</f>
        <v>#VALUE!</v>
      </c>
      <c r="AOE6" t="str">
        <f t="shared" si="85"/>
        <v>$$$$</v>
      </c>
      <c r="AOH6" s="116"/>
      <c r="AOI6" t="str">
        <f t="shared" si="86"/>
        <v xml:space="preserve"> </v>
      </c>
      <c r="AOJ6" t="str">
        <f t="shared" si="87"/>
        <v xml:space="preserve">д. </v>
      </c>
      <c r="AOK6" s="1206">
        <f t="shared" si="88"/>
        <v>38</v>
      </c>
      <c r="AOO6" t="s">
        <v>8513</v>
      </c>
      <c r="AOR6" s="116"/>
      <c r="AOS6" t="str">
        <f t="shared" si="89"/>
        <v xml:space="preserve"> корп. </v>
      </c>
      <c r="AOT6" t="str">
        <f t="shared" si="90"/>
        <v xml:space="preserve">к. </v>
      </c>
      <c r="AOU6" s="1245" t="e">
        <f t="shared" si="91"/>
        <v>#VALUE!</v>
      </c>
      <c r="AOY6" t="str">
        <f t="shared" si="92"/>
        <v>$$$$</v>
      </c>
      <c r="APB6" s="116"/>
      <c r="APC6" t="str">
        <f t="shared" ref="APC6" si="123">ALF6</f>
        <v xml:space="preserve"> оф </v>
      </c>
      <c r="APD6" t="str">
        <f t="shared" ref="APD6" si="124">ALG6</f>
        <v xml:space="preserve">оф. </v>
      </c>
      <c r="APE6" s="1206" t="e">
        <f t="shared" si="95"/>
        <v>#VALUE!</v>
      </c>
      <c r="API6" t="s">
        <v>8513</v>
      </c>
      <c r="APL6" s="116"/>
      <c r="APM6" s="116"/>
      <c r="APN6" s="768" t="s">
        <v>8513</v>
      </c>
      <c r="APO6" s="852"/>
      <c r="APP6" s="768" t="s">
        <v>8513</v>
      </c>
    </row>
    <row r="7" spans="1:1114" ht="14.4" customHeight="1" thickBot="1" x14ac:dyDescent="0.35">
      <c r="C7" s="116"/>
      <c r="D7" s="116"/>
      <c r="E7" s="116"/>
      <c r="F7" s="116"/>
      <c r="G7" s="116"/>
      <c r="H7" s="116"/>
      <c r="I7" s="116"/>
      <c r="J7" s="116"/>
      <c r="K7" s="116"/>
      <c r="L7" s="116"/>
      <c r="U7" s="5"/>
      <c r="V7" s="99" t="s">
        <v>8350</v>
      </c>
      <c r="W7" t="s">
        <v>18</v>
      </c>
      <c r="Y7" s="146"/>
      <c r="AB7" s="5"/>
      <c r="AC7" s="796"/>
      <c r="AE7" s="99"/>
      <c r="AF7" s="99"/>
      <c r="AH7" s="5"/>
      <c r="AI7" s="5"/>
      <c r="AJ7" s="5"/>
      <c r="BR7" s="817" t="s">
        <v>8413</v>
      </c>
      <c r="BS7" s="817" t="s">
        <v>129</v>
      </c>
      <c r="BT7" s="804" t="s">
        <v>8438</v>
      </c>
      <c r="BU7" s="820" t="e">
        <f t="shared" si="0"/>
        <v>#VALUE!</v>
      </c>
      <c r="CN7" s="804"/>
      <c r="DP7" s="941" t="s">
        <v>8610</v>
      </c>
      <c r="DQ7" s="940" t="str">
        <f>CC3</f>
        <v>60 03 № 672915</v>
      </c>
      <c r="DR7" s="10" t="s">
        <v>8276</v>
      </c>
      <c r="DS7" s="10"/>
      <c r="DT7" t="s">
        <v>8253</v>
      </c>
      <c r="DU7" s="10" t="s">
        <v>604</v>
      </c>
      <c r="DV7" s="1476"/>
      <c r="DW7" s="835" t="s">
        <v>8249</v>
      </c>
      <c r="DX7" s="836">
        <f>IF(OR(DY6=" в размере",DY3=" в размере"),SEARCH(" в размере",$C$3,DZ3)+LEN(" в размере")+1,"НЕТ")</f>
        <v>312</v>
      </c>
      <c r="DY7" s="306" t="s">
        <v>8431</v>
      </c>
      <c r="DZ7" s="306">
        <f>SEARCH(DY7,$C$3,DX7)</f>
        <v>319</v>
      </c>
      <c r="EA7" s="306">
        <f>DZ7-DX7</f>
        <v>7</v>
      </c>
      <c r="EB7" s="826" t="str">
        <f>IF(EC3="Штраф 50%","",MID($C$3,DX7,EA7))</f>
        <v>100 000</v>
      </c>
      <c r="EC7" s="954"/>
      <c r="ED7" s="942" t="str">
        <f>IF(ISERROR(DX31),"",CONCATENATE(DV31,". ",EC31," ",IFERROR(CONCATENATE(EB35,",",EB36),""),IF(ISERROR(CONCATENATE(EB35,",",EB36)),"","₽")))</f>
        <v/>
      </c>
      <c r="EE7" s="804"/>
      <c r="EI7" s="804"/>
      <c r="EO7" s="804"/>
      <c r="EP7" s="804"/>
      <c r="EV7" s="768" t="s">
        <v>8513</v>
      </c>
      <c r="EW7" s="853"/>
      <c r="EX7" s="853"/>
      <c r="EY7" s="853"/>
      <c r="FD7" s="768" t="s">
        <v>8513</v>
      </c>
      <c r="FE7" s="853"/>
      <c r="FH7" s="768" t="s">
        <v>8513</v>
      </c>
      <c r="FI7" s="853"/>
      <c r="FJ7" s="857"/>
      <c r="FK7" s="857"/>
      <c r="FL7" s="857"/>
      <c r="FM7" s="982"/>
      <c r="FN7" s="768" t="s">
        <v>8513</v>
      </c>
      <c r="FO7" s="1174"/>
      <c r="FP7" s="1174"/>
      <c r="FQ7" s="1174"/>
      <c r="FR7" s="1174"/>
      <c r="FS7" s="1174"/>
      <c r="FU7" s="866"/>
      <c r="FV7" s="866"/>
      <c r="FW7" s="866"/>
      <c r="FX7" s="866"/>
      <c r="FY7" s="866"/>
      <c r="FZ7" s="1472">
        <v>1</v>
      </c>
      <c r="GA7" s="877" t="s">
        <v>8543</v>
      </c>
      <c r="GB7" s="876" t="e">
        <f t="shared" si="1"/>
        <v>#VALUE!</v>
      </c>
      <c r="GC7" s="859" t="str">
        <f>IF(ISERROR(GB7),
IF(ISERROR(GB8),
"ОШИБКА",
GA8),
GA7)</f>
        <v>ОШИБКА</v>
      </c>
      <c r="GD7" s="854" t="e">
        <f>SEARCH(GC7,$FC$3)+LEN(GC7)</f>
        <v>#VALUE!</v>
      </c>
      <c r="GE7" s="875" t="s">
        <v>8236</v>
      </c>
      <c r="GF7" s="876" t="e">
        <f>SEARCH(GE7,$FC$3,GD7)</f>
        <v>#VALUE!</v>
      </c>
      <c r="GG7" s="854" t="e">
        <f>GF7-GD7</f>
        <v>#VALUE!</v>
      </c>
      <c r="GH7" s="1472" t="e">
        <f>MID($FC$3,GD7,GG7)</f>
        <v>#VALUE!</v>
      </c>
      <c r="GI7" s="877" t="s">
        <v>8457</v>
      </c>
      <c r="GJ7" s="876" t="e">
        <f>SEARCH(GI7,$FC$3,GF7)</f>
        <v>#VALUE!</v>
      </c>
      <c r="GK7" s="859" t="str">
        <f>IF(ISERROR(GJ7),
IF(ISERROR(GJ8),
"ОШИБКА",
GI8),
GI7)</f>
        <v>ОШИБКА</v>
      </c>
      <c r="GL7" s="854" t="e">
        <f>SEARCH(GK7,$FC$3,GF7)+LEN(GK7)</f>
        <v>#VALUE!</v>
      </c>
      <c r="GM7" s="1013" t="s">
        <v>8513</v>
      </c>
      <c r="GN7" s="1013">
        <f>IFERROR(MIN(IFERROR(SEARCH($GM$3,$FC$3,GL7),99999),IFERROR(SEARCH($GM$4,$FC$3,GL7),99999),IFERROR(SEARCH($GM$5,$FC$3,GL7),999999),IFERROR(SEARCH($GM$6,$FC$3,GL7),99999)),"ОШИБКА")</f>
        <v>99999</v>
      </c>
      <c r="GO7" s="854" t="e">
        <f>GN7-GL7</f>
        <v>#VALUE!</v>
      </c>
      <c r="GP7" s="1472" t="e">
        <f>MID($FC$3,GL7,GO7)</f>
        <v>#VALUE!</v>
      </c>
      <c r="GQ7" s="879" t="s">
        <v>8521</v>
      </c>
      <c r="GR7" s="880" t="e">
        <f>SEARCH(GQ7,$FC$3,GN7)</f>
        <v>#VALUE!</v>
      </c>
      <c r="GS7" s="859" t="str">
        <f>IF(ISERROR(GR7),
IF(ISERROR(GR8),
"ОШИБКА",
GQ8),
GQ7)</f>
        <v>ОШИБКА</v>
      </c>
      <c r="GT7" s="854" t="e">
        <f>SEARCH(GS7,$FC$3,GN7)+LEN(GS7)</f>
        <v>#VALUE!</v>
      </c>
      <c r="GU7" s="881" t="s">
        <v>8236</v>
      </c>
      <c r="GV7" s="880" t="e">
        <f>SEARCH(GU7,$FC$3,GT7)</f>
        <v>#VALUE!</v>
      </c>
      <c r="GW7" s="854" t="e">
        <f>GV7-GT7</f>
        <v>#VALUE!</v>
      </c>
      <c r="GX7" s="1472" t="e">
        <f>MID($FC$3,GT7,GW7)</f>
        <v>#VALUE!</v>
      </c>
      <c r="GY7" s="804"/>
      <c r="GZ7" s="853"/>
      <c r="HA7" s="853"/>
      <c r="HB7" s="853"/>
      <c r="HG7" s="804"/>
      <c r="HH7" s="853"/>
      <c r="HI7" s="853"/>
      <c r="HK7" s="1511"/>
      <c r="HL7" s="948" t="str">
        <f>GP3</f>
        <v>А086НТ61</v>
      </c>
      <c r="HM7" s="866"/>
      <c r="HN7" s="866"/>
      <c r="HO7" s="866"/>
      <c r="HP7" s="866"/>
      <c r="HQ7" s="866"/>
      <c r="HR7" s="866"/>
      <c r="HS7" s="866"/>
      <c r="HT7" s="866"/>
      <c r="HU7" s="866"/>
      <c r="HV7" s="866"/>
      <c r="HW7" s="866"/>
      <c r="HX7" s="866"/>
      <c r="HY7" s="866"/>
      <c r="HZ7" s="866"/>
      <c r="IA7" s="866"/>
      <c r="IB7" s="866"/>
      <c r="IC7" s="866"/>
      <c r="ID7" s="866"/>
      <c r="IE7" s="866"/>
      <c r="IF7" s="866"/>
      <c r="IG7" s="866"/>
      <c r="IH7" s="866"/>
      <c r="II7" s="866"/>
      <c r="IJ7" s="866"/>
      <c r="IK7" s="866"/>
      <c r="IL7" s="866"/>
      <c r="IM7" s="866"/>
      <c r="IN7" s="866"/>
      <c r="IO7" s="866"/>
      <c r="IP7" s="866"/>
      <c r="IQ7" s="866"/>
      <c r="IR7" s="866"/>
      <c r="IS7" s="866"/>
      <c r="IT7" s="866"/>
      <c r="IU7" s="866"/>
      <c r="IV7" s="866"/>
      <c r="IW7" s="866"/>
      <c r="IX7" s="866"/>
      <c r="IY7" s="866"/>
      <c r="IZ7" s="866"/>
      <c r="JA7" s="866"/>
      <c r="JB7" s="866"/>
      <c r="JC7" s="866"/>
      <c r="JD7" s="866"/>
      <c r="JE7" s="866"/>
      <c r="JF7" s="866"/>
      <c r="JG7" s="866"/>
      <c r="JH7" s="866"/>
      <c r="JI7" s="866"/>
      <c r="JJ7" s="866"/>
      <c r="JK7" s="866"/>
      <c r="JL7" s="866"/>
      <c r="JM7" s="866"/>
      <c r="JN7" s="866"/>
      <c r="JO7" s="950" t="str">
        <f>IFERROR(JH3,"")</f>
        <v/>
      </c>
      <c r="JP7" s="866"/>
      <c r="JQ7" s="866"/>
      <c r="JR7" s="866"/>
      <c r="JS7" s="866"/>
      <c r="JT7" s="853"/>
      <c r="JU7" s="853"/>
      <c r="JV7" s="866"/>
      <c r="JW7" s="866"/>
      <c r="JX7" s="866"/>
      <c r="JY7" s="1472"/>
      <c r="JZ7" s="866" t="s">
        <v>8513</v>
      </c>
      <c r="KA7" s="866"/>
      <c r="KB7" s="866"/>
      <c r="KC7" s="866"/>
      <c r="KD7" s="866"/>
      <c r="KE7" s="866"/>
      <c r="KF7" s="866"/>
      <c r="KG7" s="866"/>
      <c r="KJ7" s="866"/>
      <c r="KK7" s="866"/>
      <c r="KN7" s="866"/>
      <c r="KO7" s="866"/>
      <c r="KW7" s="866"/>
      <c r="KX7" s="866"/>
      <c r="LE7" s="866"/>
      <c r="LF7" s="866"/>
      <c r="LG7" s="984" t="s">
        <v>8513</v>
      </c>
      <c r="LH7" s="984" t="e">
        <f t="shared" si="2"/>
        <v>#VALUE!</v>
      </c>
      <c r="LN7" s="866"/>
      <c r="LO7" s="866"/>
      <c r="LT7" s="866"/>
      <c r="LU7" s="866"/>
      <c r="LX7" s="921">
        <f>IFERROR(LQ3,"")</f>
        <v>43560</v>
      </c>
      <c r="LY7" s="877" t="str">
        <f>CONCATENATE(" Заявитель ",MA3,$CU$3," с заявлением о ",LZ5)</f>
        <v xml:space="preserve"> Заявитель обратился в АО СК «БАСК» с заявлением о страховом возмещении вследствие причинения вреда здоровью</v>
      </c>
      <c r="LZ7" s="866"/>
      <c r="MA7" s="866"/>
      <c r="MB7" s="876"/>
      <c r="MC7" s="853"/>
      <c r="MD7" s="853"/>
      <c r="ME7" s="866"/>
      <c r="MF7" s="866"/>
      <c r="MG7" s="866"/>
      <c r="MH7" s="866"/>
      <c r="MI7" s="1186" t="s">
        <v>8513</v>
      </c>
      <c r="MJ7" s="854"/>
      <c r="ML7" s="866"/>
      <c r="MM7" s="866"/>
      <c r="MN7" s="866"/>
      <c r="MO7" s="866"/>
      <c r="MP7" s="866"/>
      <c r="MQ7" s="866"/>
      <c r="MR7" s="866"/>
      <c r="MS7" s="866"/>
      <c r="MT7" s="866"/>
      <c r="MU7" s="866"/>
      <c r="MV7" s="866"/>
      <c r="MW7" s="866"/>
      <c r="MX7" s="1472"/>
      <c r="MY7" s="988" t="s">
        <v>8513</v>
      </c>
      <c r="MZ7" s="984" t="e">
        <f t="shared" si="3"/>
        <v>#VALUE!</v>
      </c>
      <c r="NA7" s="984"/>
      <c r="NB7" s="920"/>
      <c r="NC7" s="920"/>
      <c r="ND7" s="984"/>
      <c r="NE7" s="984"/>
      <c r="NF7" s="984"/>
      <c r="NG7" s="1474"/>
      <c r="NK7" s="1476"/>
      <c r="NL7" s="835" t="s">
        <v>8249</v>
      </c>
      <c r="NM7" s="836" t="e">
        <f>SEARCH(" в размере",NJ$4,NO3)+LEN(" в размере")+1</f>
        <v>#VALUE!</v>
      </c>
      <c r="NN7" s="306" t="s">
        <v>8431</v>
      </c>
      <c r="NO7" s="306" t="e">
        <f>SEARCH(NN7,NJ$4,NM7)</f>
        <v>#VALUE!</v>
      </c>
      <c r="NP7" s="306" t="e">
        <f>NO7-NM7</f>
        <v>#VALUE!</v>
      </c>
      <c r="NQ7" s="826" t="e">
        <f>IF(NR3="Штраф 50%","",MID(NJ$4,NM7,NP7))</f>
        <v>#VALUE!</v>
      </c>
      <c r="NR7" s="829"/>
      <c r="NS7" s="844" t="str">
        <f>IF(NR31="","",CONCATENATE(NK31,". ",NR31," ",IFERROR(CONCATENATE(NQ35,",",NQ36),""),IF(ISERROR(CONCATENATE(NQ35,",",NQ36)),"","₽")))</f>
        <v/>
      </c>
      <c r="NT7" s="1105" t="str">
        <f t="shared" si="4"/>
        <v/>
      </c>
      <c r="NU7" s="993" t="s">
        <v>8513</v>
      </c>
      <c r="NV7" s="994"/>
      <c r="NW7" s="920"/>
      <c r="NX7" s="920"/>
      <c r="NY7" s="994"/>
      <c r="NZ7" s="994"/>
      <c r="OA7" s="994"/>
      <c r="OB7" s="1535"/>
      <c r="OC7" s="1472"/>
      <c r="OD7" s="946" t="s">
        <v>8513</v>
      </c>
      <c r="OE7" s="947" t="e">
        <f t="shared" si="5"/>
        <v>#VALUE!</v>
      </c>
      <c r="OF7" s="947"/>
      <c r="OG7" s="920"/>
      <c r="OH7" s="920"/>
      <c r="OI7" s="947"/>
      <c r="OJ7" s="947"/>
      <c r="OK7" s="947"/>
      <c r="OL7" s="1474"/>
      <c r="OM7" s="869">
        <v>5</v>
      </c>
      <c r="ON7" s="817" t="e">
        <f>DATEVALUE(MID(OL51,1,10))</f>
        <v>#VALUE!</v>
      </c>
      <c r="OO7" s="1103" t="str">
        <f>IFERROR(ON7,"")</f>
        <v/>
      </c>
      <c r="OP7" s="1069">
        <v>5</v>
      </c>
      <c r="OQ7" s="935" t="s">
        <v>8513</v>
      </c>
      <c r="OR7" s="854">
        <f>MIN(IFERROR(SEARCH(OQ$3,$E$4,OV6),99999),
IFERROR(SEARCH(OQ$4,$E$4,OV6),99999),
IFERROR(SEARCH(OQ$5,$E$4,OV6),99999),
IFERROR(SEARCH(OQ$6,$E$4,OV6),99999),
IFERROR(SEARCH(OQ$7,$E$4,OV6),99999),
IFERROR(SEARCH(OQ$8,$E$4,OV6),99999),
IFERROR(SEARCH(OQ$9,$E$4,OV6),99999),
IFERROR(SEARCH(OQ$10,$E$4,OV6),99999),
IFERROR(SEARCH(OQ$11,$E$4,OV6),99999),
IFERROR(SEARCH(OQ$12,$E$4,OV6),99999),
IFERROR(SEARCH(OQ$13,$E$4,OV6),99999),
IFERROR(SEARCH(OQ$14,$E$4,OV6),99999)
)</f>
        <v>99999</v>
      </c>
      <c r="OS7" s="920"/>
      <c r="OT7" s="334">
        <f>LEN(MID($E$4,1,OR7))-LEN(IF(ISERROR(FIND(" ",MID($E$4,1,OR7))),MID($E$4,1,OR7),RIGHT(MID($E$4,1,OR7),LEN(MID($E$4,1,OR7))-FIND("~",SUBSTITUTE(MID($E$4,1,OR7),OS$3,"~",LEN(MID($E$4,1,OR7))-LEN(SUBSTITUTE(MID($E$4,1,OR7),OS$3,"")))))))+1</f>
        <v>5367</v>
      </c>
      <c r="OU7" s="937"/>
      <c r="OV7" s="1059" t="e">
        <f>SEARCH(OU$3,$E$4,OT7)</f>
        <v>#VALUE!</v>
      </c>
      <c r="OW7" s="854" t="e">
        <f t="shared" si="103"/>
        <v>#VALUE!</v>
      </c>
      <c r="OX7" s="116" t="e">
        <f>CLEAN(MID($E$4,OT7,OW7))</f>
        <v>#VALUE!</v>
      </c>
      <c r="OY7" t="s">
        <v>8513</v>
      </c>
      <c r="OZ7" s="854">
        <f t="shared" si="18"/>
        <v>99999</v>
      </c>
      <c r="PA7" t="s">
        <v>8273</v>
      </c>
      <c r="PB7" s="854">
        <f t="shared" si="104"/>
        <v>99999</v>
      </c>
      <c r="PC7">
        <f t="shared" si="19"/>
        <v>0</v>
      </c>
      <c r="PD7" s="1214" t="e">
        <f>MID($OX7,OZ7,PC7)</f>
        <v>#VALUE!</v>
      </c>
      <c r="PE7" s="264" t="s">
        <v>8513</v>
      </c>
      <c r="PF7" s="854">
        <f t="shared" ref="PF7" si="125">MIN(IFERROR(SEARCH(PE$3,$OX7)+LEN(PE$3),99999),
IFERROR(SEARCH(PE$4,$OX7)+LEN(PE$4),99999),
IFERROR(SEARCH(PE$5,$OX7)+LEN(PE$5),99999),
IFERROR(SEARCH(PE$6,$OX7)+LEN(PE$6),99999),
IFERROR(SEARCH(PE$7,$OX7)+LEN(PE$7),99999),
IFERROR(SEARCH(PE$8,$OX7)+LEN(PE$8),99999),
IFERROR(SEARCH(PE$9,$OX7)+LEN(PE$9),99999),
IFERROR(SEARCH(PE$10,$OX7)+LEN(PE$10),99999),
IFERROR(SEARCH(PE$11,$OX7)+LEN(PE$11),99999),
IFERROR(SEARCH(PE$12,$OX7)+LEN(PE$12),99999),
IFERROR(SEARCH(PE$13,$OX7)+LEN(PE$13),99999),
IFERROR(SEARCH(PE$14,$OX7)+LEN(PE$14),99999)
)</f>
        <v>99999</v>
      </c>
      <c r="PG7" s="264" t="s">
        <v>8513</v>
      </c>
      <c r="PH7" s="854">
        <f t="shared" si="106"/>
        <v>99999</v>
      </c>
      <c r="PI7" s="264">
        <f>PH7-PF7</f>
        <v>0</v>
      </c>
      <c r="PJ7" s="1216" t="e">
        <f t="shared" ref="PJ7" si="126">DATEVALUE(MID($OX7,PF7,PI7))</f>
        <v>#VALUE!</v>
      </c>
      <c r="PK7" s="264" t="s">
        <v>8513</v>
      </c>
      <c r="PL7" s="854">
        <f t="shared" ref="PL7" si="127">MIN(IFERROR(SEARCH(PK$3,$OX7)+LEN(PK$3),99999),
IFERROR(SEARCH(PK$4,$OX7)+LEN(PK$4),99999),
IFERROR(SEARCH(PK$5,$OX7)+LEN(PK$5),99999),
IFERROR(SEARCH(PK$6,$OX7)+LEN(PK$6),99999),
IFERROR(SEARCH(PK$7,$OX7)+LEN(PK$7),99999),
IFERROR(SEARCH(PK$8,$OX7)+LEN(PK$8),99999),
IFERROR(SEARCH(PK$9,$OX7)+LEN(PK$9),99999),
IFERROR(SEARCH(PK$10,$OX7)+LEN(PK$10),99999),
IFERROR(SEARCH(PK$11,$OX7)+LEN(PK$11),99999),
IFERROR(SEARCH(PK$12,$OX7)+LEN(PK$12),99999),
IFERROR(SEARCH(PK$13,$OX7)+LEN(PK$13),99999),
IFERROR(SEARCH(PK$14,$OX7)+LEN(PK$14),99999)
)</f>
        <v>99999</v>
      </c>
      <c r="PM7" s="264" t="s">
        <v>8513</v>
      </c>
      <c r="PN7" s="854">
        <f t="shared" si="108"/>
        <v>99999</v>
      </c>
      <c r="PO7" s="853">
        <f>PN7-PL7</f>
        <v>0</v>
      </c>
      <c r="PP7" s="1211" t="e">
        <f t="shared" si="109"/>
        <v>#VALUE!</v>
      </c>
      <c r="PQ7" t="s">
        <v>8513</v>
      </c>
      <c r="PR7" s="937" t="e">
        <f t="shared" si="22"/>
        <v>#VALUE!</v>
      </c>
      <c r="PS7" s="5"/>
      <c r="PV7" s="937"/>
      <c r="PX7" s="5"/>
      <c r="PY7" s="1470"/>
      <c r="PZ7" t="s">
        <v>8513</v>
      </c>
      <c r="QA7" s="937" t="e">
        <f t="shared" si="6"/>
        <v>#VALUE!</v>
      </c>
      <c r="QB7" s="5"/>
      <c r="QC7" s="264"/>
      <c r="QE7" s="937"/>
      <c r="QF7" s="264"/>
      <c r="QG7" s="5"/>
      <c r="QH7" s="1470"/>
      <c r="QI7" t="s">
        <v>8513</v>
      </c>
      <c r="QJ7" s="937" t="e">
        <f t="shared" si="7"/>
        <v>#VALUE!</v>
      </c>
      <c r="QK7" s="5"/>
      <c r="QL7" s="264"/>
      <c r="QN7" s="937"/>
      <c r="QO7" s="264"/>
      <c r="QP7" s="5"/>
      <c r="QQ7" s="1470"/>
      <c r="QR7" t="s">
        <v>8513</v>
      </c>
      <c r="QS7" s="937" t="e">
        <f t="shared" si="8"/>
        <v>#VALUE!</v>
      </c>
      <c r="QT7" s="5"/>
      <c r="QU7" s="264"/>
      <c r="QW7" s="937"/>
      <c r="QX7" s="264"/>
      <c r="QY7" s="5"/>
      <c r="QZ7" s="1470"/>
      <c r="RA7" s="1094" t="s">
        <v>601</v>
      </c>
      <c r="RB7" s="1097" t="str">
        <f>IFERROR(QH3,"")</f>
        <v/>
      </c>
      <c r="RC7" s="1069">
        <v>5</v>
      </c>
      <c r="RD7" s="1148" t="s">
        <v>9802</v>
      </c>
      <c r="RE7" s="854">
        <f>MIN(IFERROR(SEARCH(RD$3,$E$4,RI6),99999),
IFERROR(SEARCH(RD$4,$E$4,RI6),99999),
IFERROR(SEARCH(RD$5,$E$4,RI6),99999),
IFERROR(SEARCH(RD$6,$E$4,RI6),99999),
IFERROR(SEARCH(RD$7,$E$4,RI6),99999),
IFERROR(SEARCH(RD$8,$E$4,RI6),99999),
IFERROR(SEARCH(RD$9,$E$4,RI6),99999),
IFERROR(SEARCH(RD$10,$E$4,RI6),99999),
IFERROR(SEARCH(RD$11,$E$4,RI6),99999),
IFERROR(SEARCH(RD$12,$E$4,RI6),99999),
IFERROR(SEARCH(RD$13,$E$4,RI6),99999),
IFERROR(SEARCH(RD$14,$E$4,RI6),99999)
)</f>
        <v>99999</v>
      </c>
      <c r="RF7" s="920"/>
      <c r="RG7" s="334">
        <f>LEN(MID($E$4,1,RE7))-LEN(IF(ISERROR(FIND(" ",MID($E$4,1,RE7))),MID($E$4,1,RE7),RIGHT(MID($E$4,1,RE7),LEN(MID($E$4,1,RE7))-FIND("~",SUBSTITUTE(MID($E$4,1,RE7),RF$3,"~",LEN(MID($E$4,1,RE7))-LEN(SUBSTITUTE(MID($E$4,1,RE7),RF$3,"")))))))+1</f>
        <v>5367</v>
      </c>
      <c r="RH7" s="1059"/>
      <c r="RI7" s="1059" t="e">
        <f>SEARCH(RH$3,$E$4,RG7)</f>
        <v>#VALUE!</v>
      </c>
      <c r="RJ7" s="854" t="e">
        <f t="shared" si="110"/>
        <v>#VALUE!</v>
      </c>
      <c r="RK7" s="116" t="e">
        <f>CLEAN(MID($E$4,RG7,RJ7))</f>
        <v>#VALUE!</v>
      </c>
      <c r="RL7" s="1055">
        <v>5</v>
      </c>
      <c r="RM7" s="1180" t="s">
        <v>8513</v>
      </c>
      <c r="RN7" s="854">
        <f>MIN(IFERROR(SEARCH(RM$3,$E$4,RR6),99999),
IFERROR(SEARCH(RM$4,$E$4,RR6),99999),
IFERROR(SEARCH(RM$5,$E$4,RR6),99999),
IFERROR(SEARCH(RM$6,$E$4,RR6),99999),
IFERROR(SEARCH(RM$7,$E$4,RR6),99999),
IFERROR(SEARCH(RM$8,$E$4,RR6),99999),
IFERROR(SEARCH(RM$9,$E$4,RR6),99999),
IFERROR(SEARCH(RM$10,$E$4,RR6),99999),
IFERROR(SEARCH(RM$11,$E$4,RR6),99999),
IFERROR(SEARCH(RM$12,$E$4,RR6),99999),
IFERROR(SEARCH(RM$13,$E$4,RR6),99999),
IFERROR(SEARCH(RM$14,$E$4,RR6),99999)
)</f>
        <v>99999</v>
      </c>
      <c r="RO7" s="1179" t="str">
        <f t="shared" si="23"/>
        <v/>
      </c>
      <c r="RP7" t="s">
        <v>8513</v>
      </c>
      <c r="RQ7" s="854">
        <f>MIN(IFERROR(SEARCH(RP$3,$RK7)+LEN(RP$3),99999),
IFERROR(SEARCH(RP$4,$RK7)+LEN(RP$4),99999),
IFERROR(SEARCH(RP$5,$RK7)+LEN(RP$5),99999),
IFERROR(SEARCH(RP$6,$RK7)+LEN(RP$6),99999),
IFERROR(SEARCH(RP$7,$RK7)+LEN(RP$7),99999),
IFERROR(SEARCH(RP$8,$RK7)+LEN(RP$8),99999),
IFERROR(SEARCH(RP$9,$RK7)+LEN(RP$9),99999),
IFERROR(SEARCH(RP$10,$RK7)+LEN(RP$10),99999),
IFERROR(SEARCH(RP$11,$RK7+LEN(RP$11)),99999),
IFERROR(SEARCH(RP$12,$RK7)+LEN(RP$12),99999),
IFERROR(SEARCH(RP$13,$RK7)+LEN(RP$13),99999),
IFERROR(SEARCH(RP$14,$RK7)+LEN(RP$14),99999)
)</f>
        <v>99999</v>
      </c>
      <c r="RR7" t="s">
        <v>8513</v>
      </c>
      <c r="RS7" s="854">
        <f t="shared" si="111"/>
        <v>99999</v>
      </c>
      <c r="RT7">
        <f>RS7-RQ7</f>
        <v>0</v>
      </c>
      <c r="RU7" s="1070" t="e">
        <f>MID(RK7,RQ7,RT7)</f>
        <v>#VALUE!</v>
      </c>
      <c r="RV7" t="s">
        <v>8513</v>
      </c>
      <c r="RW7" s="854">
        <f>MIN(IFERROR(SEARCH(RV$3,$RK7)+LEN(RV$3),99999),
IFERROR(SEARCH(RV$4,$RK7)+LEN(RV$4),99999),
IFERROR(SEARCH(RV$5,$RK7)+LEN(RV$5),99999),
IFERROR(SEARCH(RV$6,$RK7)+LEN(RV$6),99999),
IFERROR(SEARCH(RV$7,$RK7)+LEN(RV$7),99999),
IFERROR(SEARCH(RV$8,$RK7)+LEN(RV$8),99999),
IFERROR(SEARCH(RV$9,$RK7)+LEN(RV$9),99999),
IFERROR(SEARCH(RV$10,$RK7)+LEN(RV$10),99999),
IFERROR(SEARCH(RV$11,$RK7+LEN(RV$11)),99999),
IFERROR(SEARCH(RV$12,$RK7)+LEN(RV$12),99999),
IFERROR(SEARCH(RV$13,$RK7)+LEN(RV$13),99999),
IFERROR(SEARCH(RV$14,$RK7)+LEN(RV$14),99999)
)</f>
        <v>99999</v>
      </c>
      <c r="RX7" t="s">
        <v>8513</v>
      </c>
      <c r="RY7" s="854">
        <f t="shared" si="112"/>
        <v>99999</v>
      </c>
      <c r="RZ7">
        <f>RY7-RW7</f>
        <v>0</v>
      </c>
      <c r="SA7" s="1060" t="e">
        <f t="shared" si="24"/>
        <v>#VALUE!</v>
      </c>
      <c r="SB7" t="s">
        <v>8513</v>
      </c>
      <c r="SC7" s="854">
        <f>MIN(IFERROR(SEARCH(SB$3,$RK7)+LEN(SB$3),99999),
IFERROR(SEARCH(SB$4,$RK7)+LEN(SB$4),99999),
IFERROR(SEARCH(SB$5,$RK7)+LEN(SB$5),99999),
IFERROR(SEARCH(SB$6,$RK7)+LEN(SB$6),99999),
IFERROR(SEARCH(SB$7,$RK7)+LEN(SB$7),99999),
IFERROR(SEARCH(SB$8,$RK7)+LEN(SB$8),99999),
IFERROR(SEARCH(SB$9,$RK7)+LEN(SB$9),99999),
IFERROR(SEARCH(SB$10,$RK7)+LEN(SB$10),99999),
IFERROR(SEARCH(SB$11,$RK7+LEN(SB$11)),99999),
IFERROR(SEARCH(SB$12,$RK7)+LEN(SB$12),99999),
IFERROR(SEARCH(SB$13,$RK7)+LEN(SB$13),99999),
IFERROR(SEARCH(SB$14,$RK7)+LEN(SB$14),99999)
)</f>
        <v>99999</v>
      </c>
      <c r="SD7" t="s">
        <v>8513</v>
      </c>
      <c r="SE7" s="854">
        <f t="shared" si="113"/>
        <v>99999</v>
      </c>
      <c r="SF7">
        <f>SE7-SC7</f>
        <v>0</v>
      </c>
      <c r="SG7" s="1060" t="e">
        <f t="shared" si="25"/>
        <v>#VALUE!</v>
      </c>
      <c r="SH7" s="1070"/>
      <c r="SI7" s="1055">
        <v>5</v>
      </c>
      <c r="SJ7" s="926" t="s">
        <v>8567</v>
      </c>
      <c r="SK7" s="854">
        <f>MIN(IFERROR(SEARCH(SJ$3,$E$4,SO6),99999),
IFERROR(SEARCH(SJ$4,$E$4,SO6),99999),
IFERROR(SEARCH(SJ$5,$E$4,SO6),99999),
IFERROR(SEARCH(SJ$6,$E$4,SO6),99999),
IFERROR(SEARCH(SJ$7,$E$4,SO6),99999),
IFERROR(SEARCH(SJ$8,$E$4,SO6),99999),
IFERROR(SEARCH(SJ$9,$E$4,SO6),99999),
IFERROR(SEARCH(SJ$10,$E$4,SO6),99999),
IFERROR(SEARCH(SJ$11,$E$4,SO6),99999),
IFERROR(SEARCH(SJ$12,$E$4,SO6),99999),
IFERROR(SEARCH(SJ$13,$E$4,SO6),99999),
IFERROR(SEARCH(SJ$14,$E$4,SO6),99999),
IFERROR(SEARCH(SJ$15,$E$4,SO6),99999),
IFERROR(SEARCH(SJ$16,$E$4,SO6),99999),
IFERROR(SEARCH(SJ$17,$E$4,SO6),99999),
IFERROR(SEARCH(SJ$18,$E$4,SO6),99999),
IFERROR(SEARCH(SJ$19,$E$4,SO6),99999)
)</f>
        <v>99999</v>
      </c>
      <c r="SL7" s="920"/>
      <c r="SM7" s="334">
        <f t="shared" si="26"/>
        <v>5367</v>
      </c>
      <c r="SN7" s="925"/>
      <c r="SO7" s="1059" t="e">
        <f>SEARCH(SN$3,$E$4,SM7)</f>
        <v>#VALUE!</v>
      </c>
      <c r="SP7" s="854" t="e">
        <f t="shared" si="114"/>
        <v>#VALUE!</v>
      </c>
      <c r="SQ7" s="116" t="e">
        <f>CLEAN(MID($E$4,SM7,SP7))</f>
        <v>#VALUE!</v>
      </c>
      <c r="SR7" s="882">
        <v>5</v>
      </c>
      <c r="SS7" s="1173" t="s">
        <v>8513</v>
      </c>
      <c r="ST7" s="854">
        <f>MIN(IFERROR(SEARCH(SS$3,$E$4,SX6),99999),
IFERROR(SEARCH(SS$4,$E$4,SX6),99999),
IFERROR(SEARCH(SS$5,$E$4,SX6),99999),
IFERROR(SEARCH(SS$6,$E$4,SX6),99999),
IFERROR(SEARCH(SS$7,$E$4,SX6),99999),
IFERROR(SEARCH(SS$8,$E$4,SX6),99999),
IFERROR(SEARCH(SS$9,$E$4,SX6),99999),
IFERROR(SEARCH(SS$10,$E$4,SX6),99999),
IFERROR(SEARCH(SS$11,$E$4,SX6),99999),
IFERROR(SEARCH(SS$12,$E$4,SX6),99999),
IFERROR(SEARCH(SS$13,$E$4,SX6),99999),
IFERROR(SEARCH(SS$14,$E$4,SX6),99999)
)</f>
        <v>99999</v>
      </c>
      <c r="SU7" s="1179" t="str">
        <f>IFERROR(DATEVALUE(MID(SQ7,1,10)),
IFERROR(DATEVALUE(MID(SQ7,ST7,10)),
IFERROR(DATEVALUE(MID(SQ7,ST7+LEN(DQ16)+1,10)),
"")))</f>
        <v/>
      </c>
      <c r="SV7" t="s">
        <v>8958</v>
      </c>
      <c r="SW7" s="1181" t="e">
        <f t="shared" si="115"/>
        <v>#VALUE!</v>
      </c>
      <c r="SY7" s="1476"/>
      <c r="SZ7" s="835" t="s">
        <v>8249</v>
      </c>
      <c r="TA7" s="836" t="e">
        <f>IF(NOT(ISERROR(SEARCH("НДФЛ",SX$4))),MIN(SEARCH("в размере ",SX$4,TC3)+LEN("в размере "),SEARCH("исходя из суммы ",SX$4,TC3)+LEN("исходя из суммы ")),SEARCH(" в размере",SX$4,TC3)+LEN(" в размере")+1)</f>
        <v>#VALUE!</v>
      </c>
      <c r="TB7" s="306" t="s">
        <v>8431</v>
      </c>
      <c r="TC7" s="306" t="e">
        <f>SEARCH(TB7,$SQ$3,TA7)</f>
        <v>#VALUE!</v>
      </c>
      <c r="TD7" s="306" t="e">
        <f>TC7-TA7</f>
        <v>#VALUE!</v>
      </c>
      <c r="TE7" s="826" t="e">
        <f>IF(TF3="Штраф 50%","",MID($SQ$3,TA7,TD7))</f>
        <v>#VALUE!</v>
      </c>
      <c r="TF7" s="829"/>
      <c r="TG7" s="844" t="str">
        <f>IF(TF31="","",CONCATENATE(SY31,". ",TF31," ",IFERROR(CONCATENATE(TE35,",",TE36),""),IF(ISERROR(CONCATENATE(TE35,",",TE36)),"","₽")))</f>
        <v/>
      </c>
      <c r="TH7" t="s">
        <v>8513</v>
      </c>
      <c r="TI7" s="1181" t="e">
        <f t="shared" ref="TI7:TI9" si="128">SEARCH(TH7,TJ$4)</f>
        <v>#VALUE!</v>
      </c>
      <c r="TK7" s="1489"/>
      <c r="TL7" s="592"/>
      <c r="TM7" s="836" t="e">
        <f>SEARCH(" ",TJ4,TO6+1)+1</f>
        <v>#VALUE!</v>
      </c>
      <c r="TN7" s="306" t="s">
        <v>8432</v>
      </c>
      <c r="TO7" s="306" t="e">
        <f>SEARCH(TN7,TJ4,TM7)</f>
        <v>#VALUE!</v>
      </c>
      <c r="TP7" s="306" t="e">
        <f>TO7-TM7</f>
        <v>#VALUE!</v>
      </c>
      <c r="TQ7" s="826" t="e">
        <f>IF(TR5="Штраф 50%","",MID(TJ4,TM7,TP7))</f>
        <v>#VALUE!</v>
      </c>
      <c r="TR7" s="828" t="str">
        <f>IF(TN5=" за период",TQ7,"")</f>
        <v/>
      </c>
      <c r="TS7" s="843" t="str">
        <f>IF(TR21="","",CONCATENATE(TK21,". ",TR21," ",IFERROR(CONCATENATE(TQ22,",",TQ23),""),IF(ISERROR(CONCATENATE(TQ22,",",TQ23)),"","₽")))</f>
        <v/>
      </c>
      <c r="TT7" t="str">
        <f t="shared" si="27"/>
        <v xml:space="preserve">выплату </v>
      </c>
      <c r="TU7" s="1181" t="e">
        <f t="shared" si="116"/>
        <v>#VALUE!</v>
      </c>
      <c r="TW7" s="1476"/>
      <c r="TX7" s="835" t="s">
        <v>8249</v>
      </c>
      <c r="TY7" s="836" t="e">
        <f>IF(NOT(ISERROR(SEARCH("НДФЛ",TV$4))),MIN(SEARCH("в размере ",TV$4,UA3)+LEN("в размере "),SEARCH("исходя из суммы ",TV$4,UA3)+LEN("исходя из суммы ")),SEARCH(" в размере",TV$4,UA3)+LEN(" в размере")+1)</f>
        <v>#VALUE!</v>
      </c>
      <c r="TZ7" s="306" t="s">
        <v>8431</v>
      </c>
      <c r="UA7" s="306" t="e">
        <f>SEARCH(TZ7,$SQ$4,TY7)</f>
        <v>#VALUE!</v>
      </c>
      <c r="UB7" s="306" t="e">
        <f>UA7-TY7</f>
        <v>#VALUE!</v>
      </c>
      <c r="UC7" s="826" t="e">
        <f>IF(UD3="Штраф 50%","",MID($SQ$4,TY7,UB7))</f>
        <v>#VALUE!</v>
      </c>
      <c r="UD7" s="829"/>
      <c r="UE7" s="844" t="str">
        <f>IF(UD31="","",CONCATENATE(TW31,". ",UD31," ",IFERROR(CONCATENATE(UC35,",",UC36),""),IF(ISERROR(CONCATENATE(UC35,",",UC36)),"","₽")))</f>
        <v/>
      </c>
      <c r="UI7" s="1489"/>
      <c r="UJ7" s="592"/>
      <c r="UK7" s="836" t="e">
        <f>SEARCH(" ",UH4,UM6+1)+1</f>
        <v>#VALUE!</v>
      </c>
      <c r="UL7" s="306" t="s">
        <v>8432</v>
      </c>
      <c r="UM7" s="306" t="e">
        <f>SEARCH(UL7,UH4,UK7)</f>
        <v>#VALUE!</v>
      </c>
      <c r="UN7" s="306" t="e">
        <f>UM7-UK7</f>
        <v>#VALUE!</v>
      </c>
      <c r="UO7" s="826" t="e">
        <f>IF(UP5="Штраф 50%","",MID(UH4,UK7,UN7))</f>
        <v>#VALUE!</v>
      </c>
      <c r="UP7" s="828" t="str">
        <f>IF(UL5=" за период",UO7,"")</f>
        <v/>
      </c>
      <c r="UQ7" s="843" t="str">
        <f>IF(UP21="","",CONCATENATE(UI21,". ",UP21," ",IFERROR(CONCATENATE(UO22,",",UO23),""),IF(ISERROR(CONCATENATE(UO22,",",UO23)),"","₽")))</f>
        <v/>
      </c>
      <c r="UR7" t="str">
        <f t="shared" si="28"/>
        <v xml:space="preserve">выплату </v>
      </c>
      <c r="US7" s="1181" t="e">
        <f t="shared" si="117"/>
        <v>#VALUE!</v>
      </c>
      <c r="UU7" s="1476"/>
      <c r="UV7" s="835" t="s">
        <v>8249</v>
      </c>
      <c r="UW7" s="836" t="e">
        <f>IF(NOT(ISERROR(SEARCH("НДФЛ",UT$4))),MIN(SEARCH("в размере ",UT$4,UY3)+LEN("в размере "),SEARCH("исходя из суммы ",UT$4,UY3)+LEN("исходя из суммы ")),SEARCH(" в размере",UT$4,UY3)+LEN(" в размере")+1)</f>
        <v>#VALUE!</v>
      </c>
      <c r="UX7" s="306" t="s">
        <v>8431</v>
      </c>
      <c r="UY7" s="306" t="e">
        <f>SEARCH(UX7,$SQ$5,UW7)</f>
        <v>#VALUE!</v>
      </c>
      <c r="UZ7" s="306" t="e">
        <f>UY7-UW7</f>
        <v>#VALUE!</v>
      </c>
      <c r="VA7" s="826" t="e">
        <f>IF(VB3="Штраф 50%","",MID($SQ$5,UW7,UZ7))</f>
        <v>#VALUE!</v>
      </c>
      <c r="VB7" s="829"/>
      <c r="VC7" s="844" t="str">
        <f>IF(VB31="","",CONCATENATE(UU31,". ",VB31," ",IFERROR(CONCATENATE(VA35,",",VA36),""),IF(ISERROR(CONCATENATE(VA35,",",VA36)),"","₽")))</f>
        <v/>
      </c>
      <c r="VG7" s="1489"/>
      <c r="VH7" s="592"/>
      <c r="VI7" s="836" t="e">
        <f>SEARCH(" ",VF4,VK6+1)+1</f>
        <v>#VALUE!</v>
      </c>
      <c r="VJ7" s="306" t="s">
        <v>8432</v>
      </c>
      <c r="VK7" s="306" t="e">
        <f>SEARCH(VJ7,VF4,VI7)</f>
        <v>#VALUE!</v>
      </c>
      <c r="VL7" s="306" t="e">
        <f>VK7-VI7</f>
        <v>#VALUE!</v>
      </c>
      <c r="VM7" s="826" t="e">
        <f>IF(VN5="Штраф 50%","",MID(VF4,VI7,VL7))</f>
        <v>#VALUE!</v>
      </c>
      <c r="VN7" s="828" t="str">
        <f>IF(VJ5=" за период",VM7,"")</f>
        <v/>
      </c>
      <c r="VO7" s="843" t="str">
        <f>IF(VN21="","",CONCATENATE(VG21,". ",VN21," ",IFERROR(CONCATENATE(VM22,",",VM23),""),IF(ISERROR(CONCATENATE(VM22,",",VM23)),"","₽")))</f>
        <v/>
      </c>
      <c r="VP7" t="str">
        <f t="shared" si="29"/>
        <v xml:space="preserve">выплату </v>
      </c>
      <c r="VQ7" s="1181" t="e">
        <f t="shared" si="118"/>
        <v>#VALUE!</v>
      </c>
      <c r="VS7" s="1476"/>
      <c r="VT7" s="835" t="s">
        <v>8249</v>
      </c>
      <c r="VU7" s="836" t="e">
        <f>IF(NOT(ISERROR(SEARCH("НДФЛ",VR$4))),MIN(SEARCH("в размере ",VR$4,VW3)+LEN("в размере "),SEARCH("исходя из суммы ",VR$4,VW3)+LEN("исходя из суммы ")),SEARCH(" в размере",VR$4,VW3)+LEN(" в размере")+1)</f>
        <v>#VALUE!</v>
      </c>
      <c r="VV7" s="306" t="s">
        <v>8431</v>
      </c>
      <c r="VW7" s="306" t="e">
        <f>SEARCH(VV7,$SQ$6,VU7)</f>
        <v>#VALUE!</v>
      </c>
      <c r="VX7" s="306" t="e">
        <f>VW7-VU7</f>
        <v>#VALUE!</v>
      </c>
      <c r="VY7" s="826" t="e">
        <f>IF(VZ3="Штраф 50%","",MID($SQ$6,VU7,VX7))</f>
        <v>#VALUE!</v>
      </c>
      <c r="VZ7" s="829"/>
      <c r="WA7" s="844" t="str">
        <f>IF(VZ31="","",CONCATENATE(VS31,". ",VZ31," ",IFERROR(CONCATENATE(VY35,",",VY36),""),IF(ISERROR(CONCATENATE(VY35,",",VY36)),"","₽")))</f>
        <v/>
      </c>
      <c r="WE7" s="1489"/>
      <c r="WF7" s="592"/>
      <c r="WG7" s="836" t="e">
        <f>SEARCH(" ",WD4,WI6+1)+1</f>
        <v>#VALUE!</v>
      </c>
      <c r="WH7" s="306" t="s">
        <v>8432</v>
      </c>
      <c r="WI7" s="306" t="e">
        <f>SEARCH(WH7,WD4,WG7)</f>
        <v>#VALUE!</v>
      </c>
      <c r="WJ7" s="306" t="e">
        <f>WI7-WG7</f>
        <v>#VALUE!</v>
      </c>
      <c r="WK7" s="826" t="e">
        <f>IF(WL5="Штраф 50%","",MID(WD4,WG7,WJ7))</f>
        <v>#VALUE!</v>
      </c>
      <c r="WL7" s="828" t="str">
        <f>IF(WH5=" за период",WK7,"")</f>
        <v/>
      </c>
      <c r="WM7" s="843" t="str">
        <f>IF(WL21="","",CONCATENATE(WE21,". ",WL21," ",IFERROR(CONCATENATE(WK22,",",WK23),""),IF(ISERROR(CONCATENATE(WK22,",",WK23)),"","₽")))</f>
        <v/>
      </c>
      <c r="WN7" t="str">
        <f t="shared" si="30"/>
        <v xml:space="preserve">выплату </v>
      </c>
      <c r="WO7" s="1181" t="e">
        <f t="shared" si="119"/>
        <v>#VALUE!</v>
      </c>
      <c r="WQ7" s="1476"/>
      <c r="WR7" s="835" t="s">
        <v>8249</v>
      </c>
      <c r="WS7" s="836" t="e">
        <f>IF(NOT(ISERROR(SEARCH("НДФЛ",WP$4))),MIN(SEARCH("в размере ",WP$4,WU3)+LEN("в размере "),SEARCH("исходя из суммы ",WP$4,WU3)+LEN("исходя из суммы ")),SEARCH(" в размере",WP$4,WU3)+LEN(" в размере")+1)</f>
        <v>#VALUE!</v>
      </c>
      <c r="WT7" s="306" t="s">
        <v>8431</v>
      </c>
      <c r="WU7" s="306" t="e">
        <f>SEARCH(WT7,$SQ$7,WS7)</f>
        <v>#VALUE!</v>
      </c>
      <c r="WV7" s="306" t="e">
        <f>WU7-WS7</f>
        <v>#VALUE!</v>
      </c>
      <c r="WW7" s="826" t="e">
        <f>IF(WX3="Штраф 50%","",MID($SQ$7,WS7,WV7))</f>
        <v>#VALUE!</v>
      </c>
      <c r="WX7" s="829"/>
      <c r="WY7" s="844" t="str">
        <f>IF(WX31="","",CONCATENATE(WQ31,". ",WX31," ",IFERROR(CONCATENATE(WW35,",",WW36),""),IF(ISERROR(CONCATENATE(WW35,",",WW36)),"","₽")))</f>
        <v/>
      </c>
      <c r="XC7" s="1489"/>
      <c r="XD7" s="592"/>
      <c r="XE7" s="836" t="e">
        <f>SEARCH(" ",XB4,XG6+1)+1</f>
        <v>#VALUE!</v>
      </c>
      <c r="XF7" s="306" t="s">
        <v>8432</v>
      </c>
      <c r="XG7" s="306" t="e">
        <f>SEARCH(XF7,XB4,XE7)</f>
        <v>#VALUE!</v>
      </c>
      <c r="XH7" s="306" t="e">
        <f>XG7-XE7</f>
        <v>#VALUE!</v>
      </c>
      <c r="XI7" s="826" t="e">
        <f>IF(XJ5="Штраф 50%","",MID(XB4,XE7,XH7))</f>
        <v>#VALUE!</v>
      </c>
      <c r="XJ7" s="828" t="str">
        <f>IF(XF5=" за период",XI7,"")</f>
        <v/>
      </c>
      <c r="XK7" s="843" t="str">
        <f>IF(XJ21="","",CONCATENATE(XC21,". ",XJ21," ",IFERROR(CONCATENATE(XI22,",",XI23),""),IF(ISERROR(CONCATENATE(XI22,",",XI23)),"","₽")))</f>
        <v/>
      </c>
      <c r="XL7" s="1090" t="str">
        <f>IFERROR(CONCATENATE(DATES!C19," ",TEXT(VALUE(CONCATENATE(LEFT(DATES!E19,SEARCH(",",TEXT(DATES!E19,"0,00"))-1),",",RIGHT(TEXT(DATES!E19,"0,00"),2))),"0 000,00"),"₽"),"")</f>
        <v xml:space="preserve"> 0 000,00₽</v>
      </c>
      <c r="XM7" s="1044">
        <v>5</v>
      </c>
      <c r="XN7" s="1173" t="s">
        <v>9467</v>
      </c>
      <c r="XO7" s="854">
        <f>MIN(IFERROR(SEARCH(XN$3,$E$4,XS6),99999),
IFERROR(SEARCH(XN$4,$E$4,XS6),99999),
IFERROR(SEARCH(XN$5,$E$4,XS6),99999),
IFERROR(SEARCH(XN$6,$E$4,XS6),99999),
IFERROR(SEARCH(XN$7,$E$4,XS6),99999),
IFERROR(SEARCH(XN$8,$E$4,XS6),99999),
IFERROR(SEARCH(XN$9,$E$4,XS6),99999),
IFERROR(SEARCH(XN$10,$E$4,XS6),99999),
IFERROR(SEARCH(XN$11,$E$4,XS6),99999),
IFERROR(SEARCH(XN$12,$E$4,XS6),99999),
IFERROR(SEARCH(XN$13,$E$4,XS6),99999),
IFERROR(SEARCH(XN$14,$E$4,XS6),99999),
IFERROR(SEARCH(XN$15,$E$4,XS6),99999),
IFERROR(SEARCH(XN$16,$E$4,XS6),99999),
IFERROR(SEARCH(XN$17,$E$4,XS6),99999)
)</f>
        <v>5133</v>
      </c>
      <c r="XP7" s="920"/>
      <c r="XQ7" s="334">
        <f t="shared" si="99"/>
        <v>5046</v>
      </c>
      <c r="XR7" s="863"/>
      <c r="XS7" s="863">
        <f>SEARCH(XR3,$E$4,XQ7)</f>
        <v>5205</v>
      </c>
      <c r="XT7" s="854">
        <f>XS7-XQ7</f>
        <v>159</v>
      </c>
      <c r="XU7" s="1042" t="str">
        <f>CLEAN(MID($E$4,XQ7,XT7))</f>
        <v>В соответствии со статьей 16 Закона № 123-ФЗ Финансовая организация должна рассмотреть заявление (претензию) и направить Заявителю ответ не позднее 18.11.2020.</v>
      </c>
      <c r="XV7" s="869">
        <v>5</v>
      </c>
      <c r="XW7" s="1180" t="s">
        <v>8513</v>
      </c>
      <c r="XX7" s="854">
        <f>MIN(IFERROR(SEARCH(XW$3,$E$4,YB6),99999),
IFERROR(SEARCH(XW$4,$E$4,YB6),99999),
IFERROR(SEARCH(XW$5,$E$4,YB6),99999),
IFERROR(SEARCH(XW$6,$E$4,YB6),99999),
IFERROR(SEARCH(XW$7,$E$4,YB6),99999),
IFERROR(SEARCH(XW$8,$E$4,YB6),99999),
IFERROR(SEARCH(XW$9,$E$4,YB6),99999),
IFERROR(SEARCH(XW$10,$E$4,YB6),99999),
IFERROR(SEARCH(XW$11,$E$4,YB6),99999),
IFERROR(SEARCH(XW$12,$E$4,YB6),99999),
IFERROR(SEARCH(XW$13,$E$4,YB6),99999),
IFERROR(SEARCH(XW$14,$E$4,YB6),99999)
)</f>
        <v>99999</v>
      </c>
      <c r="XY7" s="1179" t="str">
        <f>IFERROR(DATEVALUE(MID(XU7,1,10)),
IFERROR(DATEVALUE(MID(XU7,XX7,10)),
""))</f>
        <v/>
      </c>
      <c r="XZ7" s="876" t="s">
        <v>717</v>
      </c>
      <c r="YA7" s="876">
        <f>SEARCH(MA$3,$XU$5)</f>
        <v>75</v>
      </c>
      <c r="YB7" s="885" t="str">
        <f>IF(ISERROR(YA7),
IF(ISERROR(YA8),
"ОШИБКА",
XZ8),
XZ7)</f>
        <v>МУЖ</v>
      </c>
      <c r="YC7" s="1472" t="str">
        <f>YB7</f>
        <v>МУЖ</v>
      </c>
      <c r="YD7" t="s">
        <v>9564</v>
      </c>
      <c r="YE7" s="1181" t="e">
        <f t="shared" ref="YE7:YE12" si="129">SEARCH(YD7,$XU$3)</f>
        <v>#VALUE!</v>
      </c>
      <c r="YG7" s="1476"/>
      <c r="YH7" s="835" t="s">
        <v>8249</v>
      </c>
      <c r="YI7" s="836" t="str">
        <f>IF(OR(YJ6=" в размере",YJ3=" в размере"),SEARCH(" в размере",$XU$3,YK3)+LEN(" в размере")+1,"НЕТ")</f>
        <v>НЕТ</v>
      </c>
      <c r="YJ7" s="306" t="s">
        <v>8431</v>
      </c>
      <c r="YK7" s="306" t="e">
        <f>SEARCH(YJ7,$XU$3,YI7)</f>
        <v>#VALUE!</v>
      </c>
      <c r="YL7" s="306" t="e">
        <f>YK7-YI7</f>
        <v>#VALUE!</v>
      </c>
      <c r="YM7" s="826" t="e">
        <f>IF(YN3="Штраф 50%","",MID($XU$3,YI7,YL7))</f>
        <v>#VALUE!</v>
      </c>
      <c r="YN7" s="829"/>
      <c r="YO7" s="844" t="str">
        <f>IF(ISERROR(YI31),"",CONCATENATE(YG31,". ",YN31," ",IFERROR(CONCATENATE(YM35,",",YM36),""),IF(ISERROR(CONCATENATE(YM35,",",YM36)),"","₽")))</f>
        <v/>
      </c>
      <c r="YP7" s="884" t="str">
        <f t="shared" si="100"/>
        <v xml:space="preserve">о взыскании доплаты </v>
      </c>
      <c r="YQ7" s="1181" t="e">
        <f t="shared" ref="YQ7:YQ12" si="130">SEARCH(YP7,$XU$4)</f>
        <v>#VALUE!</v>
      </c>
      <c r="YS7" s="1476"/>
      <c r="YT7" s="835" t="s">
        <v>8249</v>
      </c>
      <c r="YU7" s="836" t="e">
        <f>SEARCH(" в размере",$XU$4,YW3)+LEN(" в размере")+1</f>
        <v>#VALUE!</v>
      </c>
      <c r="YV7" s="306" t="s">
        <v>8431</v>
      </c>
      <c r="YW7" s="306" t="e">
        <f>SEARCH(YV7,$XU$4,YU7)</f>
        <v>#VALUE!</v>
      </c>
      <c r="YX7" s="306" t="e">
        <f>YW7-YU7</f>
        <v>#VALUE!</v>
      </c>
      <c r="YY7" s="826" t="e">
        <f>IF(YZ3="Штраф 50%","",MID($XU$4,YU7,YX7))</f>
        <v>#VALUE!</v>
      </c>
      <c r="YZ7" s="829"/>
      <c r="ZA7" s="844" t="str">
        <f>IF(ISERROR(YU31),"",CONCATENATE(YS31,". ",YZ31," ",IFERROR(CONCATENATE(YY35,",",YY36),""),IF(ISERROR(CONCATENATE(YY35,",",YY36)),"","₽")))</f>
        <v/>
      </c>
      <c r="ZB7" t="str">
        <f t="shared" si="31"/>
        <v xml:space="preserve">о взыскании доплаты </v>
      </c>
      <c r="ZC7" s="1181" t="e">
        <f t="shared" si="120"/>
        <v>#VALUE!</v>
      </c>
      <c r="ZE7" s="1476"/>
      <c r="ZF7" s="835" t="s">
        <v>8249</v>
      </c>
      <c r="ZG7" s="836" t="e">
        <f>SEARCH(" в размере",$XU$5,ZI3)+LEN(" в размере")+1</f>
        <v>#VALUE!</v>
      </c>
      <c r="ZH7" s="306" t="s">
        <v>8431</v>
      </c>
      <c r="ZI7" s="306" t="e">
        <f>SEARCH(ZH7,$XU$5,ZG7)</f>
        <v>#VALUE!</v>
      </c>
      <c r="ZJ7" s="306" t="e">
        <f>ZI7-ZG7</f>
        <v>#VALUE!</v>
      </c>
      <c r="ZK7" s="826" t="e">
        <f>IF(ZL3="Штраф 50%","",MID($XU$5,ZG7,ZJ7))</f>
        <v>#VALUE!</v>
      </c>
      <c r="ZL7" s="829"/>
      <c r="ZM7" s="844" t="str">
        <f>IF(ISERROR(ZG31),"",CONCATENATE(ZE31,". ",ZL31," ",IFERROR(CONCATENATE(ZK35,",",ZK36),""),IF(ISERROR(CONCATENATE(ZK35,",",ZK36)),"","₽")))</f>
        <v/>
      </c>
      <c r="ZN7" t="str">
        <f t="shared" si="32"/>
        <v xml:space="preserve">о взыскании доплаты </v>
      </c>
      <c r="ZO7" s="1181" t="e">
        <f t="shared" si="121"/>
        <v>#VALUE!</v>
      </c>
      <c r="ZQ7" s="1476"/>
      <c r="ZR7" s="835" t="s">
        <v>8249</v>
      </c>
      <c r="ZS7" s="836">
        <f>SEARCH(" в размере",$XU$6,ZU3)+LEN(" в размере")+1</f>
        <v>243</v>
      </c>
      <c r="ZT7" s="306" t="s">
        <v>8431</v>
      </c>
      <c r="ZU7" s="306">
        <f>SEARCH(ZT7,$XU$6,ZS7)</f>
        <v>250</v>
      </c>
      <c r="ZV7" s="306">
        <f>ZU7-ZS7</f>
        <v>7</v>
      </c>
      <c r="ZW7" s="826" t="str">
        <f>IF(ZX3="Штраф 50%","",MID($XU$6,ZS7,ZV7))</f>
        <v>100 000</v>
      </c>
      <c r="ZX7" s="829"/>
      <c r="ZY7" s="844" t="str">
        <f>IF(ISERROR(ZS31),"",CONCATENATE(ZQ31,". ",ZX31," ",IFERROR(CONCATENATE(ZW35,",",ZW36),""),IF(ISERROR(CONCATENATE(ZW35,",",ZW36)),"","₽")))</f>
        <v/>
      </c>
      <c r="ZZ7" t="str">
        <f t="shared" si="33"/>
        <v xml:space="preserve">о взыскании доплаты </v>
      </c>
      <c r="AAA7" s="1181" t="e">
        <f t="shared" si="122"/>
        <v>#VALUE!</v>
      </c>
      <c r="AAC7" s="1476"/>
      <c r="AAD7" s="835" t="s">
        <v>8249</v>
      </c>
      <c r="AAE7" s="836" t="e">
        <f>SEARCH(" в размере",$XU$7,AAG3)+LEN(" в размере")+1</f>
        <v>#VALUE!</v>
      </c>
      <c r="AAF7" s="306" t="s">
        <v>8431</v>
      </c>
      <c r="AAG7" s="306" t="e">
        <f>SEARCH(AAF7,$XU$7,AAE7)</f>
        <v>#VALUE!</v>
      </c>
      <c r="AAH7" s="306" t="e">
        <f>AAG7-AAE7</f>
        <v>#VALUE!</v>
      </c>
      <c r="AAI7" s="826" t="e">
        <f>IF(AAJ3="Штраф 50%","",MID($XU$7,AAE7,AAH7))</f>
        <v>#VALUE!</v>
      </c>
      <c r="AAJ7" s="829"/>
      <c r="AAK7" s="844" t="str">
        <f>IF(ISERROR(AAE31),"",CONCATENATE(AAC31,". ",AAJ31," ",IFERROR(CONCATENATE(AAI35,",",AAI36),""),IF(ISERROR(CONCATENATE(AAI35,",",AAI36)),"","₽")))</f>
        <v/>
      </c>
      <c r="AAL7" s="1090" t="str">
        <f>IF(DATES!O6="","",DATES!O6)</f>
        <v/>
      </c>
      <c r="AAM7" s="974">
        <v>5</v>
      </c>
      <c r="AAN7" s="946" t="s">
        <v>8513</v>
      </c>
      <c r="AAO7" s="854">
        <f>MIN(IFERROR(SEARCH(AAN$3,$E$4,AAS6),99999),
IFERROR(SEARCH(AAN$4,$E$4,AAS6),99999),
IFERROR(SEARCH(AAN$5,$E$4,AAS6),99999),
IFERROR(SEARCH(AAN$6,$E$4,AAS6),99999),
IFERROR(SEARCH(AAN$7,$E$4,AAS6),99999),
IFERROR(SEARCH(AAN$8,$E$4,AAS6),99999),
IFERROR(SEARCH(AAN$9,$E$4,AAS6),99999),
IFERROR(SEARCH(AAN$10,$E$4,AAS6),99999),
IFERROR(SEARCH(AAN$11,$E$4,AAS6),99999),
IFERROR(SEARCH(AAN$12,$E$4,AAS6),99999),
IFERROR(SEARCH(AAN$13,$E$4,AAS6),99999),
IFERROR(SEARCH(AAN$14,$E$4,AAS6),99999)
)</f>
        <v>99999</v>
      </c>
      <c r="AAP7" s="920"/>
      <c r="AAQ7" s="334">
        <f>LEN(MID($E$4,1,AAO7))-LEN(IF(ISERROR(FIND(" ",MID($E$4,1,AAO7))),MID($E$4,1,AAO7),RIGHT(MID($E$4,1,AAO7),LEN(MID($E$4,1,AAO7))-FIND("~",SUBSTITUTE(MID($E$4,1,AAO7),AAP3,"~",LEN(MID($E$4,1,AAO7))-LEN(SUBSTITUTE(MID($E$4,1,AAO7),AAP3,"")))))))+1</f>
        <v>5367</v>
      </c>
      <c r="AAR7" s="870" t="str">
        <f>CHAR(10)</f>
        <v xml:space="preserve">
</v>
      </c>
      <c r="AAS7" s="1047" t="e">
        <f>SEARCH(AAR$3,$E$4,AAQ7)</f>
        <v>#VALUE!</v>
      </c>
      <c r="AAT7" s="854" t="e">
        <f>AAS7-AAQ7</f>
        <v>#VALUE!</v>
      </c>
      <c r="AAU7" s="1043" t="e">
        <f>CLEAN(MID($E$4,AAQ7,AAT7))</f>
        <v>#VALUE!</v>
      </c>
      <c r="AAV7" t="s">
        <v>8513</v>
      </c>
      <c r="AAW7" s="947" t="e">
        <f t="shared" si="9"/>
        <v>#VALUE!</v>
      </c>
      <c r="AAX7" s="5"/>
      <c r="AAY7" s="5"/>
      <c r="AAZ7" s="5"/>
      <c r="ABA7" s="1486"/>
      <c r="ABB7" s="1088" t="str">
        <f>IFERROR(ABA51,"")</f>
        <v/>
      </c>
      <c r="ABC7" s="1069">
        <v>5</v>
      </c>
      <c r="ABD7" s="1234" t="s">
        <v>9807</v>
      </c>
      <c r="ABE7" s="854">
        <f>MIN(IFERROR(SEARCH(ABD$3,$E$4,ABI6),99999),
IFERROR(SEARCH(ABD$4,$E$4,ABI6),99999),
IFERROR(SEARCH(ABD$5,$E$4,ABI6),99999),
IFERROR(SEARCH(ABD$6,$E$4,ABI6),99999),
IFERROR(SEARCH(ABD$7,$E$4,ABI6),99999),
IFERROR(SEARCH(ABD$8,$E$4,ABI6),99999),
IFERROR(SEARCH(ABD$9,$E$4,ABI6),99999),
IFERROR(SEARCH(ABD$10,$E$4,ABI6),99999),
IFERROR(SEARCH(ABD$11,$E$4,ABI6),99999),
IFERROR(SEARCH(ABD$12,$E$4,ABI6),99999),
IFERROR(SEARCH(ABD$13,$E$4,ABI6),99999),
IFERROR(SEARCH(ABD$14,$E$4,ABI6),99999)
)</f>
        <v>99999</v>
      </c>
      <c r="ABF7" s="920"/>
      <c r="ABG7" s="334">
        <f>LEN(MID($E$4,1,ABE7))-LEN(IF(ISERROR(FIND(" ",MID($E$4,1,ABE7))),MID($E$4,1,ABE7),RIGHT(MID($E$4,1,ABE7),LEN(MID($E$4,1,ABE7))-FIND("~",SUBSTITUTE(MID($E$4,1,ABE7),ABF3,"~",LEN(MID($E$4,1,ABE7))-LEN(SUBSTITUTE(MID($E$4,1,ABE7),ABF3,"")))))))+1</f>
        <v>5367</v>
      </c>
      <c r="ABH7" s="937"/>
      <c r="ABI7" s="937" t="e">
        <f>SEARCH(ABH3,$E$4,ABG7)</f>
        <v>#VALUE!</v>
      </c>
      <c r="ABJ7" s="854" t="e">
        <f>ABI7-ABG7</f>
        <v>#VALUE!</v>
      </c>
      <c r="ABK7" s="1043" t="e">
        <f>CLEAN(MID($E$4,ABG7,ABJ7))</f>
        <v>#VALUE!</v>
      </c>
      <c r="ABL7" t="s">
        <v>8513</v>
      </c>
      <c r="ABM7" s="854">
        <f>MIN(IFERROR(SEARCH(ABL$3,$ABK7),99999),
IFERROR(SEARCH(ABL$4,$ABK7),99999),
IFERROR(SEARCH(ABL$5,$ABK7),99999),
IFERROR(SEARCH(ABL$6,$ABK7),99999),
IFERROR(SEARCH(ABL$7,$ABK7),99999),
IFERROR(SEARCH(ABL$8,$ABK7),99999),
IFERROR(SEARCH(ABL$9,$ABK7),99999),
IFERROR(SEARCH(ABL$10,$ABK7),99999),
IFERROR(SEARCH(ABL$11,$ABK7),99999),
IFERROR(SEARCH(ABL$12,$ABK7),99999),
IFERROR(SEARCH(ABL$13,$ABK7),99999),
IFERROR(SEARCH(ABL$14,$ABK7),99999)
)</f>
        <v>99999</v>
      </c>
      <c r="ABN7" t="s">
        <v>8513</v>
      </c>
      <c r="ABO7" s="854">
        <f>MIN(IFERROR(SEARCH(ABN$3,$ABK7,ABM7),99999),
IFERROR(SEARCH(ABN$4,$ABK7,ABM7),99999),
IFERROR(SEARCH(ABN$5,$ABK7,ABM7),99999),
IFERROR(SEARCH(ABN$6,$ABK7,ABM7),99999),
IFERROR(SEARCH(ABN$7,$ABK7,ABM7),99999),
IFERROR(SEARCH(ABN$8,$ABK7,ABM7),99999),
IFERROR(SEARCH(ABN$9,$ABK7,ABM7),99999),
IFERROR(SEARCH(ABN$10,$ABK7,ABM7),99999),
IFERROR(SEARCH(ABN$11,$ABK7,ABM7),99999),
IFERROR(SEARCH(ABN$12,$ABK7,ABM7),99999),
IFERROR(SEARCH(ABN$13,$ABK7,ABM7),99999),
IFERROR(SEARCH(ABN$14,$ABK7,ABM7),99999)
)</f>
        <v>99999</v>
      </c>
      <c r="ABP7">
        <f>ABO7-ABM7</f>
        <v>0</v>
      </c>
      <c r="ABQ7" s="1070" t="e">
        <f>MID($ABK$7,ABM7,ABP7)</f>
        <v>#VALUE!</v>
      </c>
      <c r="ABR7" t="s">
        <v>8513</v>
      </c>
      <c r="ABS7" s="854">
        <f>MIN(IFERROR(SEARCH(ABR$3,$ABK7)+LEN(ABR$3),99999),
IFERROR(SEARCH(ABR$4,$ABK7)+LEN(ABR$4),99999),
IFERROR(SEARCH(ABR$5,$ABK7)+LEN(ABR$5),99999),
IFERROR(SEARCH(ABR$6,$ABK7)+LEN(ABR$6),99999),
IFERROR(SEARCH(ABR$7,$ABK7)+LEN(ABR$7),99999),
IFERROR(SEARCH(ABR$8,$ABK7)+LEN(ABR$8),99999),
IFERROR(SEARCH(ABR$9,$ABK7)+LEN(ABR$9),99999),
IFERROR(SEARCH(ABR$10,$ABK7)+LEN(ABR$10),99999),
IFERROR(SEARCH(ABR$11,$ABK7+LEN(ABR$11)),99999),
IFERROR(SEARCH(ABR$12,$ABK7)+LEN(ABR$12),99999),
IFERROR(SEARCH(ABR$13,$ABK7)+LEN(ABR$13),99999),
IFERROR(SEARCH(ABR$14,$ABK7)+LEN(ABR$14),99999)
)</f>
        <v>99999</v>
      </c>
      <c r="ABT7" t="s">
        <v>8513</v>
      </c>
      <c r="ABU7" s="854">
        <f>MIN(IFERROR(SEARCH(ABT$3,$ABK7,ABS7),99999),
IFERROR(SEARCH(ABT$4,$ABK7,ABS7),99999),
IFERROR(SEARCH(ABT$5,$ABK7,ABS7),99999),
IFERROR(SEARCH(ABT$6,$ABK7,ABS7),99999),
IFERROR(SEARCH(ABT$7,$ABK7,ABS7),99999),
IFERROR(SEARCH(ABT$8,$ABK7,ABS7),99999),
IFERROR(SEARCH(ABT$9,$ABK7,ABS7),99999),
IFERROR(SEARCH(ABT$10,$ABK7,ABS7),99999),
IFERROR(SEARCH(ABT$11,$ABK7,ABS7),99999),
IFERROR(SEARCH(ABT$12,$ABK7,ABS7),99999),
IFERROR(SEARCH(ABT$13,$ABK7,ABS7),99999),
IFERROR(SEARCH(ABT$14,$ABK7,ABS7),99999)
)</f>
        <v>99999</v>
      </c>
      <c r="ABV7">
        <f>ABU7-ABS7</f>
        <v>0</v>
      </c>
      <c r="ABW7" s="1073" t="e">
        <f>DATEVALUE(MID($ABK$7,ABS7,ABV7))</f>
        <v>#VALUE!</v>
      </c>
      <c r="ABX7" t="s">
        <v>8513</v>
      </c>
      <c r="ABY7" s="854">
        <f>MIN(IFERROR(SEARCH(ABX$3,$ABK7)+LEN(ABX$3),99999),
IFERROR(SEARCH(ABX$4,$ABK7)+LEN(ABX$4),99999),
IFERROR(SEARCH(ABX$5,$ABK7)+LEN(ABX$5),99999),
IFERROR(SEARCH(ABX$6,$ABK7)+LEN(ABX$6),99999),
IFERROR(SEARCH(ABX$7,$ABK7)+LEN(ABX$7),99999),
IFERROR(SEARCH(ABX$8,$ABK7)+LEN(ABX$8),99999),
IFERROR(SEARCH(ABX$9,$ABK7)+LEN(ABX$9),99999),
IFERROR(SEARCH(ABX$10,$ABK7)+LEN(ABX$10),99999),
IFERROR(SEARCH(ABX$11,$ABK7+LEN(ABX$11)),99999),
IFERROR(SEARCH(ABX$12,$ABK7)+LEN(ABX$12),99999),
IFERROR(SEARCH(ABX$13,$ABK7)+LEN(ABX$13),99999),
IFERROR(SEARCH(ABX$14,$ABK7)+LEN(ABX$14),99999)
)</f>
        <v>99999</v>
      </c>
      <c r="ABZ7" t="s">
        <v>8513</v>
      </c>
      <c r="ACA7" s="854">
        <f>MIN(IFERROR(SEARCH(ABZ$3,$ABK7,ABY7),99999),
IFERROR(SEARCH(ABZ$4,$ABK7,ABY7),99999),
IFERROR(SEARCH(ABZ$5,$ABK7,ABY7),99999),
IFERROR(SEARCH(ABZ$6,$ABK7,ABY7),99999),
IFERROR(SEARCH(ABZ$7,$ABK7,ABY7),99999),
IFERROR(SEARCH(ABZ$8,$ABK7,ABY7),99999),
IFERROR(SEARCH(ABZ$9,$ABK7,ABY7),99999),
IFERROR(SEARCH(ABZ$10,$ABK7,ABY7),99999),
IFERROR(SEARCH(ABZ$11,$ABK7,ABY7),99999),
IFERROR(SEARCH(ABZ$12,$ABK7,ABY7),99999),
IFERROR(SEARCH(ABZ$13,$ABK7,ABY7),99999),
IFERROR(SEARCH(ABZ$14,$ABK7,ABY7),99999)
)</f>
        <v>99999</v>
      </c>
      <c r="ACB7">
        <f>ACA7-ABY7</f>
        <v>0</v>
      </c>
      <c r="ACC7" s="1064" t="e">
        <f>MID($ABK$7,ABY7,ACB7)</f>
        <v>#VALUE!</v>
      </c>
      <c r="ACD7" t="s">
        <v>8513</v>
      </c>
      <c r="ACE7" s="854">
        <f>MIN(IFERROR(SEARCH(ACD$3,$ABK7)+LEN(ACD$3),99999),
IFERROR(SEARCH(ACD$4,$ABK7)+LEN(ACD$4),99999),
IFERROR(SEARCH(ACD$5,$ABK7)+LEN(ACD$5),99999),
IFERROR(SEARCH(ACD$6,$ABK7)+LEN(ACD$6),99999),
IFERROR(SEARCH(ACD$7,$ABK7)+LEN(ACD$7),99999),
IFERROR(SEARCH(ACD$8,$ABK7)+LEN(ACD$8),99999),
IFERROR(SEARCH(ACD$9,$ABK7)+LEN(ACD$9),99999),
IFERROR(SEARCH(ACD$10,$ABK7)+LEN(ACD$10),99999),
IFERROR(SEARCH(ACD$11,$ABK7+LEN(ACD$11)),99999),
IFERROR(SEARCH(ACD$12,$ABK7)+LEN(ACD$12),99999),
IFERROR(SEARCH(ACD$13,$ABK7)+LEN(ACD$13),99999),
IFERROR(SEARCH(ACD$14,$ABK7)+LEN(ACD$14),99999)
)</f>
        <v>99999</v>
      </c>
      <c r="ACF7" s="1059" t="e">
        <f t="shared" si="35"/>
        <v>#VALUE!</v>
      </c>
      <c r="ACG7" s="264" t="e">
        <f t="shared" si="36"/>
        <v>#VALUE!</v>
      </c>
      <c r="ACH7" t="e">
        <f t="shared" si="37"/>
        <v>#VALUE!</v>
      </c>
      <c r="ACI7" s="264" t="e">
        <f t="shared" si="38"/>
        <v>#VALUE!</v>
      </c>
      <c r="ACJ7" s="1059" t="e">
        <f t="shared" si="39"/>
        <v>#VALUE!</v>
      </c>
      <c r="ACK7" s="264" t="e">
        <f t="shared" si="40"/>
        <v>#VALUE!</v>
      </c>
      <c r="ACL7" t="e">
        <f t="shared" si="41"/>
        <v>#VALUE!</v>
      </c>
      <c r="ACM7" s="1075" t="e">
        <f>VALUE(CONCATENATE(ACH7,",",ACL7))</f>
        <v>#VALUE!</v>
      </c>
      <c r="ACN7" t="s">
        <v>8513</v>
      </c>
      <c r="ACO7" s="854">
        <f>MIN(IFERROR(SEARCH(ACN$3,$ABK7)+LEN(ACN$3),99999),
IFERROR(SEARCH(ACN$4,$ABK7)+LEN(ACN$4),99999),
IFERROR(SEARCH(ACN$5,$ABK7)+LEN(ACN$5),99999),
IFERROR(SEARCH(ACN$6,$ABK7)+LEN(ACN$6),99999),
IFERROR(SEARCH(ACN$7,$ABK7)+LEN(ACN$7),99999),
IFERROR(SEARCH(ACN$8,$ABK7)+LEN(ACN$8),99999),
IFERROR(SEARCH(ACN$9,$ABK7)+LEN(ACN$9),99999),
IFERROR(SEARCH(ACN$10,$ABK7)+LEN(ACN$10),99999),
IFERROR(SEARCH(ACN$11,$ABK7+LEN(ACN$11)),99999),
IFERROR(SEARCH(ACN$12,$ABK7)+LEN(ACN$12),99999),
IFERROR(SEARCH(ACN$13,$ABK7)+LEN(ACN$13),99999),
IFERROR(SEARCH(ACN$14,$ABK7)+LEN(ACN$14),99999)
)</f>
        <v>99999</v>
      </c>
      <c r="ACP7" s="1059" t="e">
        <f t="shared" si="42"/>
        <v>#VALUE!</v>
      </c>
      <c r="ACQ7" s="264" t="e">
        <f t="shared" si="43"/>
        <v>#VALUE!</v>
      </c>
      <c r="ACR7" t="e">
        <f t="shared" si="44"/>
        <v>#VALUE!</v>
      </c>
      <c r="ACS7" s="264" t="e">
        <f t="shared" si="45"/>
        <v>#VALUE!</v>
      </c>
      <c r="ACT7" s="1059" t="e">
        <f t="shared" si="46"/>
        <v>#VALUE!</v>
      </c>
      <c r="ACU7" s="264" t="e">
        <f t="shared" si="47"/>
        <v>#VALUE!</v>
      </c>
      <c r="ACV7" t="e">
        <f t="shared" si="48"/>
        <v>#VALUE!</v>
      </c>
      <c r="ACW7" s="1075" t="e">
        <f>VALUE(CONCATENATE(ACR7,",",ACV7))</f>
        <v>#VALUE!</v>
      </c>
      <c r="ACX7" t="s">
        <v>8513</v>
      </c>
      <c r="ACY7" s="854">
        <f>MIN(IFERROR(SEARCH(ACX$3,$ABK7)+LEN(ACX$3),99999),
IFERROR(SEARCH(ACX$4,$ABK7)+LEN(ACX$4),99999),
IFERROR(SEARCH(ACX$5,$ABK7)+LEN(ACX$5),99999),
IFERROR(SEARCH(ACX$6,$ABK7)+LEN(ACX$6),99999),
IFERROR(SEARCH(ACX$7,$ABK7)+LEN(ACX$7),99999),
IFERROR(SEARCH(ACX$8,$ABK7)+LEN(ACX$8),99999),
IFERROR(SEARCH(ACX$9,$ABK7)+LEN(ACX$9),99999),
IFERROR(SEARCH(ACX$10,$ABK7)+LEN(ACX$10),99999),
IFERROR(SEARCH(ACX$11,$ABK7+LEN(ACX$11)),99999),
IFERROR(SEARCH(ACX$12,$ABK7)+LEN(ACX$12),99999),
IFERROR(SEARCH(ACX$13,$ABK7)+LEN(ACX$13),99999),
IFERROR(SEARCH(ACX$14,$ABK7)+LEN(ACX$14),99999)
)</f>
        <v>99999</v>
      </c>
      <c r="ACZ7" s="1059" t="e">
        <f t="shared" si="49"/>
        <v>#VALUE!</v>
      </c>
      <c r="ADA7" s="264" t="e">
        <f t="shared" si="50"/>
        <v>#VALUE!</v>
      </c>
      <c r="ADB7" t="e">
        <f t="shared" si="51"/>
        <v>#VALUE!</v>
      </c>
      <c r="ADC7" s="264" t="e">
        <f t="shared" si="52"/>
        <v>#VALUE!</v>
      </c>
      <c r="ADD7" s="1059" t="e">
        <f t="shared" si="53"/>
        <v>#VALUE!</v>
      </c>
      <c r="ADE7" s="264" t="e">
        <f t="shared" si="54"/>
        <v>#VALUE!</v>
      </c>
      <c r="ADF7" t="e">
        <f t="shared" si="55"/>
        <v>#VALUE!</v>
      </c>
      <c r="ADG7" s="1075" t="e">
        <f>VALUE(CONCATENATE(ADB7,",",ADF7))</f>
        <v>#VALUE!</v>
      </c>
      <c r="ADH7" t="s">
        <v>8513</v>
      </c>
      <c r="ADI7" s="854">
        <f>MIN(IFERROR(SEARCH(ADH$3,$ABK7)+LEN(ADH$3),99999),
IFERROR(SEARCH(ADH$4,$ABK7)+LEN(ADH$4),99999),
IFERROR(SEARCH(ADH$5,$ABK7)+LEN(ADH$5),99999),
IFERROR(SEARCH(ADH$6,$ABK7)+LEN(ADH$6),99999),
IFERROR(SEARCH(ADH$7,$ABK7)+LEN(ADH$7),99999),
IFERROR(SEARCH(ADH$8,$ABK7)+LEN(ADH$8),99999),
IFERROR(SEARCH(ADH$9,$ABK7)+LEN(ADH$9),99999),
IFERROR(SEARCH(ADH$10,$ABK7)+LEN(ADH$10),99999),
IFERROR(SEARCH(ADH$11,$ABK7+LEN(ADH$11)),99999),
IFERROR(SEARCH(ADH$12,$ABK7)+LEN(ADH$12),99999),
IFERROR(SEARCH(ADH$13,$ABK7)+LEN(ADH$13),99999),
IFERROR(SEARCH(ADH$14,$ABK7)+LEN(ADH$14),99999)
)</f>
        <v>99999</v>
      </c>
      <c r="ADJ7" s="1059" t="e">
        <f t="shared" si="56"/>
        <v>#VALUE!</v>
      </c>
      <c r="ADK7" s="264" t="e">
        <f t="shared" si="57"/>
        <v>#VALUE!</v>
      </c>
      <c r="ADL7" t="e">
        <f t="shared" si="58"/>
        <v>#VALUE!</v>
      </c>
      <c r="ADM7" s="264" t="e">
        <f t="shared" si="59"/>
        <v>#VALUE!</v>
      </c>
      <c r="ADN7" s="1059" t="e">
        <f t="shared" si="60"/>
        <v>#VALUE!</v>
      </c>
      <c r="ADO7" s="264" t="e">
        <f t="shared" si="61"/>
        <v>#VALUE!</v>
      </c>
      <c r="ADP7" t="e">
        <f t="shared" si="62"/>
        <v>#VALUE!</v>
      </c>
      <c r="ADQ7" s="1075" t="e">
        <f>VALUE(CONCATENATE(ADL7,",",ADP7))</f>
        <v>#VALUE!</v>
      </c>
      <c r="ADR7" s="1080" t="str">
        <f>IFERROR(ACW3,"")</f>
        <v/>
      </c>
      <c r="ADS7" s="1069">
        <v>5</v>
      </c>
      <c r="ADT7" s="1163" t="s">
        <v>8513</v>
      </c>
      <c r="ADU7" s="854">
        <f t="shared" si="101"/>
        <v>99999</v>
      </c>
      <c r="ADV7" s="920"/>
      <c r="ADW7" s="334">
        <f>LEN(MID($E$4,1,ADU7))-LEN(IF(ISERROR(FIND(" ",MID($E$4,1,ADU7))),MID($E$4,1,ADU7),RIGHT(MID($E$4,1,ADU7),LEN(MID($E$4,1,ADU7))-FIND("~",SUBSTITUTE(MID($E$4,1,ADU7),ADV$3,"~",LEN(MID($E$4,1,ADU7))-LEN(SUBSTITUTE(MID($E$4,1,ADU7),ADV$3,"")))))))+1</f>
        <v>5367</v>
      </c>
      <c r="ADX7" s="947"/>
      <c r="ADY7" s="1059" t="e">
        <f>SEARCH(ADX$3,$E$4,ADW7)</f>
        <v>#VALUE!</v>
      </c>
      <c r="ADZ7" s="854" t="e">
        <f>ADY7-ADW7</f>
        <v>#VALUE!</v>
      </c>
      <c r="AEA7" s="116" t="e">
        <f>CLEAN(MID($E$4,ADW7,ADZ7))</f>
        <v>#VALUE!</v>
      </c>
      <c r="AEB7" s="946" t="s">
        <v>8513</v>
      </c>
      <c r="AEC7" s="854">
        <f>MIN(IFERROR(SEARCH(AEB$3,$E$4,AEF6),99999),
IFERROR(SEARCH(AEB$4,$E$4,AEF6),99999),
IFERROR(SEARCH(AEB$5,$E$4,AEF6),99999),
IFERROR(SEARCH(AEB$6,$E$4,AEF6),99999),
IFERROR(SEARCH(AEB$7,$E$4,AEF6),99999),
IFERROR(SEARCH(AEB$8,$E$4,AEF6),99999),
IFERROR(SEARCH(AEB$9,$E$4,AEF6),99999),
IFERROR(SEARCH(AEB$10,$E$4,AEF6),99999),
IFERROR(SEARCH(AEB$11,$E$4,AEF6),99999),
IFERROR(SEARCH(AEB$12,$E$4,AEF6),99999),
IFERROR(SEARCH(AEB$13,$E$4,AEF6),99999),
IFERROR(SEARCH(AEB$14,$E$4,AEF6),99999)
)</f>
        <v>99999</v>
      </c>
      <c r="AED7" s="920"/>
      <c r="AEE7" s="334">
        <f>LEN(MID($E$4,1,AEC7))-LEN(IF(ISERROR(FIND(" ",MID($E$4,1,AEC7))),MID($E$4,1,AEC7),RIGHT(MID($E$4,1,AEC7),LEN(MID($E$4,1,AEC7))-FIND("~",SUBSTITUTE(MID($E$4,1,AEC7),AED$3,"~",LEN(MID($E$4,1,AEC7))-LEN(SUBSTITUTE(MID($E$4,1,AEC7),AED$3,"")))))))+1</f>
        <v>5367</v>
      </c>
      <c r="AEF7" s="947"/>
      <c r="AEG7" s="1059" t="e">
        <f>SEARCH(AEF$3,$E$4,AEE7)</f>
        <v>#VALUE!</v>
      </c>
      <c r="AEH7" s="854" t="e">
        <f t="shared" si="63"/>
        <v>#VALUE!</v>
      </c>
      <c r="AEI7" s="116" t="e">
        <f>CLEAN(MID($E$4,AEE7,AEH7))</f>
        <v>#VALUE!</v>
      </c>
      <c r="AEJ7" s="961">
        <v>5</v>
      </c>
      <c r="AEK7" s="962" t="e">
        <f>DATEVALUE(MID($AEA$7,1,10))</f>
        <v>#VALUE!</v>
      </c>
      <c r="AEL7" s="962" t="str">
        <f>IFERROR(DATEVALUE(MID($AEI$7,1,10)),"")</f>
        <v/>
      </c>
      <c r="AEM7" t="s">
        <v>8513</v>
      </c>
      <c r="AEN7" s="854">
        <f>MIN(IFERROR(SEARCH(AEM$3,$AEA7)+LEN(AEM$3),99999),
IFERROR(SEARCH(AEM$4,$AEA7)+LEN(AEM$4),99999),
IFERROR(SEARCH(AEM$5,$AEA7)+LEN(AEM$5),99999),
IFERROR(SEARCH(AEM$6,$AEA7)+LEN(AEM$6),99999),
IFERROR(SEARCH(AEM$7,$AEA7)+LEN(AEM$7),99999),
IFERROR(SEARCH(AEM$8,$AEA7)+LEN(AEM$8),99999),
IFERROR(SEARCH(AEM$9,$AEA7)+LEN(AEM$9),99999),
IFERROR(SEARCH(AEM$10,$AEA7)+LEN(AEM$10),99999),
IFERROR(SEARCH(AEM$11,$AEA7+LEN(AEM$11)),99999),
IFERROR(SEARCH(AEM$12,$AEA7)+LEN(AEM$12),99999),
IFERROR(SEARCH(AEM$13,$AEA7)+LEN(AEM$13),99999),
IFERROR(SEARCH(AEM$14,$AEA7)+LEN(AEM$14),99999)
)</f>
        <v>99999</v>
      </c>
      <c r="AEO7" t="s">
        <v>8513</v>
      </c>
      <c r="AEP7" s="854">
        <f>MIN(IFERROR(SEARCH(AEO$3,$AEA7,AEN7),99999),
IFERROR(SEARCH(AEO$4,$AEA7,AEN7),99999),
IFERROR(SEARCH(AEO$5,$AEA7,AEN7),99999),
IFERROR(SEARCH(AEO$6,$AEA7,AEN7),99999),
IFERROR(SEARCH(AEO$7,$AEA7,AEN7),99999),
IFERROR(SEARCH(AEO$8,$AEA7,AEN7),99999),
IFERROR(SEARCH(AEO$9,$AEA7,AEN7),99999),
IFERROR(SEARCH(AEO$10,$AEA7,AEN7),99999),
IFERROR(SEARCH(AEO$11,$AEA7,AEN7),99999),
IFERROR(SEARCH(AEO$12,$AEA7,AEN7),99999),
IFERROR(SEARCH(AEO$13,$AEA7,AEN7),99999),
IFERROR(SEARCH(AEO$14,$AEA7,AEN7),99999)
)</f>
        <v>99999</v>
      </c>
      <c r="AEQ7">
        <f>AEP7-AEN7</f>
        <v>0</v>
      </c>
      <c r="AER7" s="1070" t="e">
        <f>MID($AEA$7,AEN7,AEQ7)</f>
        <v>#VALUE!</v>
      </c>
      <c r="AES7" t="s">
        <v>8513</v>
      </c>
      <c r="AET7" s="854">
        <f>MIN(IFERROR(SEARCH(AES$3,$AEA7)+LEN(AES$3),99999),
IFERROR(SEARCH(AES$4,$AEA7)+LEN(AES$4),99999),
IFERROR(SEARCH(AES$5,$AEA7)+LEN(AES$5),99999),
IFERROR(SEARCH(AES$6,$AEA7)+LEN(AES$6),99999),
IFERROR(SEARCH(AES$7,$AEA7)+LEN(AES$7),99999),
IFERROR(SEARCH(AES$8,$AEA7)+LEN(AES$8),99999),
IFERROR(SEARCH(AES$9,$AEA7)+LEN(AES$9),99999),
IFERROR(SEARCH(AES$10,$AEA7)+LEN(AES$10),99999),
IFERROR(SEARCH(AES$11,$AEA7+LEN(AES$11)),99999),
IFERROR(SEARCH(AES$12,$AEA7)+LEN(AES$12),99999),
IFERROR(SEARCH(AES$13,$AEA7)+LEN(AES$13),99999),
IFERROR(SEARCH(AES$14,$AEA7)+LEN(AES$14),99999)
)</f>
        <v>99999</v>
      </c>
      <c r="AEU7" t="s">
        <v>8513</v>
      </c>
      <c r="AEV7" s="854">
        <f>MIN(IFERROR(SEARCH(AEU$3,$AEA7,AET7),99999),
IFERROR(SEARCH(AEU$4,$AEA7,AET7),99999),
IFERROR(SEARCH(AEU$5,$AEA7,AET7),99999),
IFERROR(SEARCH(AEU$6,$AEA7,AET7),99999),
IFERROR(SEARCH(AEU$7,$AEA7,AET7),99999),
IFERROR(SEARCH(AEU$8,$AEA7,AET7),99999),
IFERROR(SEARCH(AEU$9,$AEA7,AET7),99999),
IFERROR(SEARCH(AEU$10,$AEA7,AET7),99999),
IFERROR(SEARCH(AEU$11,$AEA7,AET7),99999),
IFERROR(SEARCH(AEU$12,$AEA7,AET7),99999),
IFERROR(SEARCH(AEU$13,$AEA7,AET7),99999),
IFERROR(SEARCH(AEU$14,$AEA7,AET7),99999)
)</f>
        <v>99999</v>
      </c>
      <c r="AEW7">
        <f>AEV7-AET7</f>
        <v>0</v>
      </c>
      <c r="AEX7" s="1070" t="e">
        <f>MID($AEA$7,AET7,AEW7)</f>
        <v>#VALUE!</v>
      </c>
      <c r="AEY7" t="s">
        <v>8513</v>
      </c>
      <c r="AEZ7" s="854">
        <f>MIN(IFERROR(SEARCH(AEY$3,$AEA7)+LEN(AEY$3),99999),
IFERROR(SEARCH(AEY$4,$AEA7)+LEN(AEY$4),99999),
IFERROR(SEARCH(AEY$5,$AEA7)+LEN(AEY$5),99999),
IFERROR(SEARCH(AEY$6,$AEA7)+LEN(AEY$6),99999),
IFERROR(SEARCH(AEY$7,$AEA7)+LEN(AEY$7),99999),
IFERROR(SEARCH(AEY$8,$AEA7)+LEN(AEY$8),99999),
IFERROR(SEARCH(AEY$9,$AEA7)+LEN(AEY$9),99999),
IFERROR(SEARCH(AEY$10,$AEA7)+LEN(AEY$10),99999),
IFERROR(SEARCH(AEY$11,$AEA7+LEN(AEY$11)),99999),
IFERROR(SEARCH(AEY$12,$AEA7)+LEN(AEY$12),99999),
IFERROR(SEARCH(AEY$13,$AEA7)+LEN(AEY$13),99999),
IFERROR(SEARCH(AEY$14,$AEA7)+LEN(AEY$14),99999)
)</f>
        <v>99999</v>
      </c>
      <c r="AFA7" s="1060" t="str">
        <f>IF(ISERROR(AEA7),"",IF(AEZ7=99999,"ОТКАЗАТЬ","УДОВЛЕТВОРИТЬ"))</f>
        <v/>
      </c>
      <c r="AFE7" s="1476"/>
      <c r="AFF7" s="835" t="s">
        <v>8249</v>
      </c>
      <c r="AFG7" s="836">
        <f>SEARCH(" в размере",AFD$4,AFI3)+LEN(" в размере")+1</f>
        <v>300</v>
      </c>
      <c r="AFH7" s="306" t="s">
        <v>8431</v>
      </c>
      <c r="AFI7" s="306">
        <f>SEARCH(AFH7,AFD$4,AFG7)</f>
        <v>307</v>
      </c>
      <c r="AFJ7" s="306">
        <f>AFI7-AFG7</f>
        <v>7</v>
      </c>
      <c r="AFK7" s="826" t="str">
        <f>IF(AFL3="Штраф 50%","",MID(AFD$4,AFG7,AFJ7))</f>
        <v>400 000</v>
      </c>
      <c r="AFL7" s="829"/>
      <c r="AFM7" s="844" t="str">
        <f>IF(AFL31="","",CONCATENATE(AFE31,". ",AFL31," ",IFERROR(CONCATENATE(AFK35,",",AFK36),""),IF(ISERROR(CONCATENATE(AFK35,",",AFK36)),"","₽")))</f>
        <v/>
      </c>
      <c r="AFQ7" s="1476"/>
      <c r="AFR7" s="835" t="s">
        <v>8249</v>
      </c>
      <c r="AFS7" s="836" t="e">
        <f>SEARCH(" в размере",AFP$4,AFU3)+LEN(" в размере")+1</f>
        <v>#VALUE!</v>
      </c>
      <c r="AFT7" s="306" t="s">
        <v>8431</v>
      </c>
      <c r="AFU7" s="306" t="e">
        <f>SEARCH(AFT7,AFP$4,AFS7)</f>
        <v>#VALUE!</v>
      </c>
      <c r="AFV7" s="306" t="e">
        <f>AFU7-AFS7</f>
        <v>#VALUE!</v>
      </c>
      <c r="AFW7" s="826" t="e">
        <f>IF(AFX3="Штраф 50%","",MID(AFP$4,AFS7,AFV7))</f>
        <v>#VALUE!</v>
      </c>
      <c r="AFX7" s="829"/>
      <c r="AFY7" s="844" t="str">
        <f>IF(AFX31="","",CONCATENATE(AFQ31,". ",AFX31," ",IFERROR(CONCATENATE(AFW35,",",AFW36),""),IF(ISERROR(CONCATENATE(AFW35,",",AFW36)),"","₽")))</f>
        <v/>
      </c>
      <c r="AGC7" s="1476"/>
      <c r="AGD7" s="835" t="s">
        <v>8249</v>
      </c>
      <c r="AGE7" s="836" t="e">
        <f>SEARCH(" в размере",AGB$4,AGG3)+LEN(" в размере")+1</f>
        <v>#VALUE!</v>
      </c>
      <c r="AGF7" s="306" t="s">
        <v>8431</v>
      </c>
      <c r="AGG7" s="306" t="e">
        <f>SEARCH(AGF7,AGB$4,AGE7)</f>
        <v>#VALUE!</v>
      </c>
      <c r="AGH7" s="306" t="e">
        <f>AGG7-AGE7</f>
        <v>#VALUE!</v>
      </c>
      <c r="AGI7" s="826" t="e">
        <f>IF(AGJ3="Штраф 50%","",MID(AGB$4,AGE7,AGH7))</f>
        <v>#VALUE!</v>
      </c>
      <c r="AGJ7" s="829"/>
      <c r="AGK7" s="844" t="str">
        <f>IF(AGJ31="","",CONCATENATE(AGC31,". ",AGJ31," ",IFERROR(CONCATENATE(AGI35,",",AGI36),""),IF(ISERROR(CONCATENATE(AGI35,",",AGI36)),"","₽")))</f>
        <v/>
      </c>
      <c r="AGO7" s="1476"/>
      <c r="AGP7" s="835" t="s">
        <v>8249</v>
      </c>
      <c r="AGQ7" s="836" t="e">
        <f>SEARCH(" в размере",AGN$4,AGS3)+LEN(" в размере")+1</f>
        <v>#VALUE!</v>
      </c>
      <c r="AGR7" s="306" t="s">
        <v>8431</v>
      </c>
      <c r="AGS7" s="306" t="e">
        <f>SEARCH(AGR7,AGN$4,AGQ7)</f>
        <v>#VALUE!</v>
      </c>
      <c r="AGT7" s="306" t="e">
        <f>AGS7-AGQ7</f>
        <v>#VALUE!</v>
      </c>
      <c r="AGU7" s="826" t="e">
        <f>IF(AGV3="Штраф 50%","",MID(AGN$4,AGQ7,AGT7))</f>
        <v>#VALUE!</v>
      </c>
      <c r="AGV7" s="829"/>
      <c r="AGW7" s="844" t="str">
        <f>IF(AGV31="","",CONCATENATE(AGO31,". ",AGV31," ",IFERROR(CONCATENATE(AGU35,",",AGU36),""),IF(ISERROR(CONCATENATE(AGU35,",",AGU36)),"","₽")))</f>
        <v/>
      </c>
      <c r="AHA7" s="1476"/>
      <c r="AHB7" s="835" t="s">
        <v>8249</v>
      </c>
      <c r="AHC7" s="836" t="e">
        <f>SEARCH(" в размере",AGZ$4,AHE3)+LEN(" в размере")+1</f>
        <v>#VALUE!</v>
      </c>
      <c r="AHD7" s="306" t="s">
        <v>8431</v>
      </c>
      <c r="AHE7" s="306" t="e">
        <f>SEARCH(AHD7,AGZ$4,AHC7)</f>
        <v>#VALUE!</v>
      </c>
      <c r="AHF7" s="306" t="e">
        <f>AHE7-AHC7</f>
        <v>#VALUE!</v>
      </c>
      <c r="AHG7" s="826" t="e">
        <f>IF(AHH3="Штраф 50%","",MID(AGZ$4,AHC7,AHF7))</f>
        <v>#VALUE!</v>
      </c>
      <c r="AHH7" s="829"/>
      <c r="AHI7" s="844" t="str">
        <f>IF(AHH31="","",CONCATENATE(AHA31,". ",AHH31," ",IFERROR(CONCATENATE(AHG35,",",AHG36),""),IF(ISERROR(CONCATENATE(AHG35,",",AHG36)),"","₽")))</f>
        <v/>
      </c>
      <c r="AHJ7" s="1084"/>
      <c r="AHK7" s="768" t="s">
        <v>8513</v>
      </c>
      <c r="AHL7" s="853"/>
      <c r="AHM7" s="768" t="s">
        <v>8513</v>
      </c>
      <c r="AHT7" s="768" t="s">
        <v>8513</v>
      </c>
      <c r="AHU7" s="853"/>
      <c r="AHV7" s="768" t="s">
        <v>8513</v>
      </c>
      <c r="AHZ7" t="s">
        <v>8513</v>
      </c>
      <c r="AIB7" s="1187" t="e">
        <f t="shared" si="67"/>
        <v>#VALUE!</v>
      </c>
      <c r="AIF7" t="s">
        <v>8513</v>
      </c>
      <c r="AIJ7" t="s">
        <v>9588</v>
      </c>
      <c r="AIK7" t="s">
        <v>1473</v>
      </c>
      <c r="AIL7" s="1187" t="e">
        <f t="shared" si="68"/>
        <v>#VALUE!</v>
      </c>
      <c r="AIP7" t="s">
        <v>8513</v>
      </c>
      <c r="AIT7" t="s">
        <v>8513</v>
      </c>
      <c r="AIV7" s="1187" t="e">
        <f t="shared" si="102"/>
        <v>#VALUE!</v>
      </c>
      <c r="AJB7" t="s">
        <v>8513</v>
      </c>
      <c r="AJH7" t="s">
        <v>9596</v>
      </c>
      <c r="AJI7" t="s">
        <v>9597</v>
      </c>
      <c r="AJJ7" s="1187" t="e">
        <f t="shared" si="10"/>
        <v>#VALUE!</v>
      </c>
      <c r="AJN7" t="s">
        <v>9617</v>
      </c>
      <c r="AJR7" t="s">
        <v>8513</v>
      </c>
      <c r="AJT7" s="1245" t="e">
        <f t="shared" si="69"/>
        <v>#VALUE!</v>
      </c>
      <c r="AJX7" t="s">
        <v>8513</v>
      </c>
      <c r="AKA7" s="116"/>
      <c r="AKB7" t="s">
        <v>9585</v>
      </c>
      <c r="AKC7" t="s">
        <v>9584</v>
      </c>
      <c r="AKD7" s="1187" t="e">
        <f t="shared" si="70"/>
        <v>#VALUE!</v>
      </c>
      <c r="AKH7" t="s">
        <v>8513</v>
      </c>
      <c r="AKK7" s="116"/>
      <c r="AKL7" t="s">
        <v>9613</v>
      </c>
      <c r="AKM7" t="s">
        <v>9542</v>
      </c>
      <c r="AKN7" s="1206" t="e">
        <f t="shared" si="71"/>
        <v>#VALUE!</v>
      </c>
      <c r="AKR7" t="s">
        <v>8513</v>
      </c>
      <c r="AKU7" s="116"/>
      <c r="AKV7" t="s">
        <v>9824</v>
      </c>
      <c r="AKW7" t="s">
        <v>9549</v>
      </c>
      <c r="AKX7" s="1187" t="e">
        <f t="shared" si="72"/>
        <v>#VALUE!</v>
      </c>
      <c r="ALB7" t="s">
        <v>8513</v>
      </c>
      <c r="ALE7" s="116"/>
      <c r="ALF7" t="s">
        <v>9614</v>
      </c>
      <c r="ALG7" t="s">
        <v>9615</v>
      </c>
      <c r="ALH7" s="1187" t="e">
        <f t="shared" si="73"/>
        <v>#VALUE!</v>
      </c>
      <c r="ALL7" t="s">
        <v>8513</v>
      </c>
      <c r="ALO7" s="116"/>
      <c r="ALP7" s="116"/>
      <c r="ALQ7" s="768" t="s">
        <v>8513</v>
      </c>
      <c r="ALR7" s="853"/>
      <c r="ALS7" s="768" t="s">
        <v>8513</v>
      </c>
      <c r="ALW7" t="s">
        <v>8513</v>
      </c>
      <c r="ALY7" s="1187" t="e">
        <f t="shared" si="74"/>
        <v>#VALUE!</v>
      </c>
      <c r="AMC7" t="s">
        <v>8513</v>
      </c>
      <c r="AMG7" t="str">
        <f t="shared" si="11"/>
        <v>РМЭ</v>
      </c>
      <c r="AMH7" t="str">
        <f t="shared" si="12"/>
        <v>Республика Марий Эл</v>
      </c>
      <c r="AMI7" s="1206" t="e">
        <f t="shared" si="75"/>
        <v>#VALUE!</v>
      </c>
      <c r="AMM7" t="s">
        <v>8513</v>
      </c>
      <c r="AMQ7" t="str">
        <f t="shared" si="13"/>
        <v>$$$$</v>
      </c>
      <c r="AMR7">
        <f t="shared" si="14"/>
        <v>0</v>
      </c>
      <c r="AMS7" s="1206" t="e">
        <f t="shared" si="76"/>
        <v>#VALUE!</v>
      </c>
      <c r="AMY7" t="s">
        <v>8513</v>
      </c>
      <c r="ANE7" t="str">
        <f t="shared" si="15"/>
        <v>ст-ца</v>
      </c>
      <c r="ANF7" t="str">
        <f t="shared" si="16"/>
        <v xml:space="preserve">ст-ца </v>
      </c>
      <c r="ANG7" s="1206" t="e">
        <f t="shared" si="77"/>
        <v>#VALUE!</v>
      </c>
      <c r="ANK7" t="str">
        <f t="shared" si="17"/>
        <v>, пер</v>
      </c>
      <c r="ANO7" t="str">
        <f t="shared" si="78"/>
        <v>$$$$</v>
      </c>
      <c r="ANP7">
        <f t="shared" si="79"/>
        <v>0</v>
      </c>
      <c r="ANQ7" s="1245" t="e">
        <f t="shared" si="80"/>
        <v>#VALUE!</v>
      </c>
      <c r="ANU7" t="str">
        <f t="shared" si="81"/>
        <v>$$$$</v>
      </c>
      <c r="ANX7" s="116"/>
      <c r="ANY7" t="str">
        <f t="shared" si="82"/>
        <v xml:space="preserve"> пр-кт </v>
      </c>
      <c r="ANZ7" t="str">
        <f t="shared" si="83"/>
        <v xml:space="preserve">пр-кт </v>
      </c>
      <c r="AOA7" s="1206" t="e">
        <f t="shared" si="84"/>
        <v>#VALUE!</v>
      </c>
      <c r="AOE7" t="str">
        <f t="shared" si="85"/>
        <v>$$$$</v>
      </c>
      <c r="AOH7" s="116"/>
      <c r="AOI7" t="str">
        <f t="shared" si="86"/>
        <v>д.</v>
      </c>
      <c r="AOJ7" t="str">
        <f t="shared" si="87"/>
        <v xml:space="preserve">д. </v>
      </c>
      <c r="AOK7" s="1206" t="e">
        <f t="shared" si="88"/>
        <v>#VALUE!</v>
      </c>
      <c r="AOO7" t="s">
        <v>8513</v>
      </c>
      <c r="AOR7" s="116"/>
      <c r="AOS7" t="str">
        <f t="shared" si="89"/>
        <v>кор.</v>
      </c>
      <c r="AOT7" t="str">
        <f t="shared" si="90"/>
        <v xml:space="preserve">к. </v>
      </c>
      <c r="AOU7" s="1245" t="e">
        <f t="shared" si="91"/>
        <v>#VALUE!</v>
      </c>
      <c r="AOY7" t="str">
        <f t="shared" si="92"/>
        <v>$$$$</v>
      </c>
      <c r="APB7" s="116"/>
      <c r="APC7" t="str">
        <f t="shared" si="93"/>
        <v>в.п.</v>
      </c>
      <c r="APD7" t="str">
        <f t="shared" si="94"/>
        <v xml:space="preserve">в.п. </v>
      </c>
      <c r="APE7" s="1206" t="e">
        <f t="shared" si="95"/>
        <v>#VALUE!</v>
      </c>
      <c r="API7" t="s">
        <v>8513</v>
      </c>
      <c r="APL7" s="116"/>
      <c r="APM7" s="116"/>
      <c r="APN7" s="768" t="s">
        <v>8513</v>
      </c>
      <c r="APO7" s="853"/>
      <c r="APP7" s="768" t="s">
        <v>8513</v>
      </c>
    </row>
    <row r="8" spans="1:1114" ht="14.4" customHeight="1" thickTop="1" thickBot="1" x14ac:dyDescent="0.35">
      <c r="B8" s="116"/>
      <c r="C8" s="754"/>
      <c r="D8" s="116"/>
      <c r="E8" s="116"/>
      <c r="F8" s="116"/>
      <c r="G8" s="116"/>
      <c r="H8" s="116"/>
      <c r="I8" s="116"/>
      <c r="J8" s="116"/>
      <c r="K8" s="116"/>
      <c r="L8" s="116"/>
      <c r="U8" s="5"/>
      <c r="V8" s="99" t="s">
        <v>8369</v>
      </c>
      <c r="W8" t="s">
        <v>18</v>
      </c>
      <c r="Y8" s="146"/>
      <c r="AB8" s="5"/>
      <c r="AC8" s="5"/>
      <c r="AF8" s="99"/>
      <c r="AH8" s="5"/>
      <c r="AI8" s="5"/>
      <c r="AJ8" s="5"/>
      <c r="AO8" s="754"/>
      <c r="AP8" s="754"/>
      <c r="AQ8" s="754"/>
      <c r="AR8" s="754"/>
      <c r="AS8" s="754"/>
      <c r="AT8" s="754"/>
      <c r="AU8" s="754"/>
      <c r="AV8" s="754"/>
      <c r="AW8" s="754"/>
      <c r="AX8" s="754"/>
      <c r="AY8" s="754"/>
      <c r="AZ8" s="754"/>
      <c r="BA8" s="754"/>
      <c r="BB8" s="754"/>
      <c r="BR8" s="983" t="s">
        <v>8413</v>
      </c>
      <c r="BS8" s="983" t="s">
        <v>129</v>
      </c>
      <c r="BT8" s="768" t="s">
        <v>8664</v>
      </c>
      <c r="BU8" s="982" t="e">
        <f t="shared" si="0"/>
        <v>#VALUE!</v>
      </c>
      <c r="CN8" s="768"/>
      <c r="DP8" s="1537" t="s">
        <v>8611</v>
      </c>
      <c r="DQ8" s="1541" t="str">
        <f>CH3</f>
        <v>344092, г. Ростов-на-Дону, ул. Верная, д. 17/88</v>
      </c>
      <c r="DR8" s="10" t="s">
        <v>8426</v>
      </c>
      <c r="DS8" s="10"/>
      <c r="DT8" t="s">
        <v>8254</v>
      </c>
      <c r="DU8" s="10" t="s">
        <v>456</v>
      </c>
      <c r="DV8" s="1476"/>
      <c r="DW8" s="401"/>
      <c r="DX8" s="836">
        <f>SEARCH(" ",$C$3,DZ7+1)+1</f>
        <v>327</v>
      </c>
      <c r="DY8" s="306" t="s">
        <v>8432</v>
      </c>
      <c r="DZ8" s="306">
        <f>SEARCH(DY8,$C$3,DX8)</f>
        <v>329</v>
      </c>
      <c r="EA8" s="306">
        <f>DZ8-DX8</f>
        <v>2</v>
      </c>
      <c r="EB8" s="826" t="str">
        <f>IF(EC3="Штраф 50%","",MID($C$3,DX8,EA8))</f>
        <v>00</v>
      </c>
      <c r="EC8" s="954"/>
      <c r="ED8" s="956" t="str">
        <f>IF(ISERROR(DX38),"",CONCATENATE(DV38,". ",EC38," ",IFERROR(CONCATENATE(EB42,",",EB43),""),IF(ISERROR(CONCATENATE(EB42,",",EB43)),"","₽")))</f>
        <v/>
      </c>
      <c r="EE8" s="768"/>
      <c r="EI8" s="768"/>
      <c r="EO8" s="768"/>
      <c r="EP8" s="768"/>
      <c r="EV8" s="768" t="s">
        <v>8513</v>
      </c>
      <c r="EW8" s="116"/>
      <c r="EX8" s="116"/>
      <c r="EY8" s="116"/>
      <c r="EZ8" s="116"/>
      <c r="FA8" s="116"/>
      <c r="FB8" s="116"/>
      <c r="FC8" s="116"/>
      <c r="FD8" s="768" t="s">
        <v>8513</v>
      </c>
      <c r="FE8" s="116"/>
      <c r="FF8" s="116"/>
      <c r="FG8" s="116"/>
      <c r="FH8" s="768" t="s">
        <v>8513</v>
      </c>
      <c r="FI8" s="116"/>
      <c r="FN8" s="768" t="s">
        <v>8513</v>
      </c>
      <c r="FT8" s="116"/>
      <c r="FU8" s="866"/>
      <c r="FV8" s="866"/>
      <c r="FW8" s="866"/>
      <c r="FX8" s="866"/>
      <c r="FY8" s="866"/>
      <c r="FZ8" s="1472"/>
      <c r="GA8" s="768" t="s">
        <v>8979</v>
      </c>
      <c r="GB8" s="876" t="e">
        <f t="shared" si="1"/>
        <v>#VALUE!</v>
      </c>
      <c r="GE8" s="876"/>
      <c r="GF8" s="876"/>
      <c r="GG8" s="876"/>
      <c r="GH8" s="1472"/>
      <c r="GI8" s="768" t="s">
        <v>8513</v>
      </c>
      <c r="GJ8" s="876" t="e">
        <f>SEARCH(GI8,$FC$3,GF7)</f>
        <v>#VALUE!</v>
      </c>
      <c r="GM8" s="1013" t="s">
        <v>8513</v>
      </c>
      <c r="GN8" s="876"/>
      <c r="GO8" s="876"/>
      <c r="GP8" s="1472"/>
      <c r="GQ8" s="768" t="s">
        <v>8513</v>
      </c>
      <c r="GR8" s="880" t="e">
        <f>SEARCH(GQ8,$FC$3,GN7)</f>
        <v>#VALUE!</v>
      </c>
      <c r="GU8" s="880"/>
      <c r="GV8" s="880"/>
      <c r="GW8" s="880"/>
      <c r="GX8" s="1472"/>
      <c r="GY8" s="116"/>
      <c r="GZ8" s="116"/>
      <c r="HA8" s="116"/>
      <c r="HB8" s="116"/>
      <c r="HC8" s="116"/>
      <c r="HD8" s="116"/>
      <c r="HE8" s="116"/>
      <c r="HG8" s="116"/>
      <c r="HH8" s="116"/>
      <c r="HI8" s="116"/>
      <c r="HK8" s="1511" t="s">
        <v>114</v>
      </c>
      <c r="HL8" s="948" t="str">
        <f>GH5</f>
        <v>Toyota Camry</v>
      </c>
      <c r="HM8" s="866"/>
      <c r="HN8" s="866"/>
      <c r="HO8" s="866"/>
      <c r="HP8" s="866"/>
      <c r="HQ8" s="866"/>
      <c r="HR8" s="866"/>
      <c r="HS8" s="866"/>
      <c r="HT8" s="866"/>
      <c r="HU8" s="866"/>
      <c r="HV8" s="866"/>
      <c r="HW8" s="866"/>
      <c r="HX8" s="866"/>
      <c r="HY8" s="866"/>
      <c r="HZ8" s="866"/>
      <c r="IA8" s="866"/>
      <c r="IB8" s="866"/>
      <c r="IC8" s="866"/>
      <c r="ID8" s="866"/>
      <c r="IE8" s="866"/>
      <c r="IF8" s="866"/>
      <c r="IG8" s="866"/>
      <c r="IH8" s="866"/>
      <c r="II8" s="866"/>
      <c r="IJ8" s="866"/>
      <c r="IK8" s="866"/>
      <c r="IL8" s="866"/>
      <c r="IM8" s="866"/>
      <c r="IN8" s="866"/>
      <c r="IO8" s="866"/>
      <c r="IP8" s="866"/>
      <c r="IQ8" s="866"/>
      <c r="IR8" s="866"/>
      <c r="IS8" s="866"/>
      <c r="IT8" s="866"/>
      <c r="IU8" s="866"/>
      <c r="IV8" s="866"/>
      <c r="IW8" s="866"/>
      <c r="IX8" s="866"/>
      <c r="IY8" s="866"/>
      <c r="IZ8" s="866"/>
      <c r="JA8" s="866"/>
      <c r="JB8" s="866"/>
      <c r="JC8" s="866"/>
      <c r="JD8" s="866"/>
      <c r="JE8" s="866"/>
      <c r="JF8" s="866"/>
      <c r="JG8" s="866"/>
      <c r="JH8" s="866"/>
      <c r="JI8" s="866"/>
      <c r="JJ8" s="866"/>
      <c r="JK8" s="866"/>
      <c r="JL8" s="866"/>
      <c r="JM8" s="866"/>
      <c r="JN8" s="866"/>
      <c r="JO8" s="921" t="str">
        <f>IFERROR(JN3,"")</f>
        <v/>
      </c>
      <c r="JP8" s="866"/>
      <c r="JQ8" s="866"/>
      <c r="JR8" s="866"/>
      <c r="JS8" s="866"/>
      <c r="JT8" s="116"/>
      <c r="JU8" s="116"/>
      <c r="JV8" s="866"/>
      <c r="JW8" s="866"/>
      <c r="JX8" s="866"/>
      <c r="JY8" s="1472"/>
      <c r="JZ8" s="866" t="s">
        <v>8513</v>
      </c>
      <c r="KA8" s="866"/>
      <c r="KB8" s="866"/>
      <c r="KC8" s="866"/>
      <c r="KD8" s="866"/>
      <c r="KE8" s="866"/>
      <c r="KF8" s="866"/>
      <c r="KG8" s="866"/>
      <c r="KJ8" s="866"/>
      <c r="KK8" s="866"/>
      <c r="KN8" s="866"/>
      <c r="KO8" s="866"/>
      <c r="KW8" s="866"/>
      <c r="KX8" s="866"/>
      <c r="LE8" s="866"/>
      <c r="LF8" s="866"/>
      <c r="LG8" s="984" t="s">
        <v>8513</v>
      </c>
      <c r="LH8" s="984" t="e">
        <f t="shared" si="2"/>
        <v>#VALUE!</v>
      </c>
      <c r="LN8" s="866"/>
      <c r="LO8" s="866"/>
      <c r="LT8" s="866"/>
      <c r="LU8" s="866"/>
      <c r="LX8" s="921">
        <f>IFERROR(LW3,"")</f>
        <v>43925</v>
      </c>
      <c r="LY8" s="877" t="str">
        <f>CONCATENATE(" Заявитель ",MA4,$CU$3," с заявлением о ",LZ5)</f>
        <v xml:space="preserve"> Заявитель обратилась в АО СК «БАСК» с заявлением о страховом возмещении вследствие причинения вреда здоровью</v>
      </c>
      <c r="LZ8" s="866"/>
      <c r="MA8" s="866"/>
      <c r="MB8" s="876"/>
      <c r="MC8" s="116"/>
      <c r="MD8" s="116"/>
      <c r="ME8" s="866"/>
      <c r="MF8" s="866"/>
      <c r="MG8" s="866"/>
      <c r="MH8" s="866"/>
      <c r="MI8" s="1186" t="s">
        <v>8513</v>
      </c>
      <c r="MJ8" s="1187"/>
      <c r="ML8" s="866"/>
      <c r="MM8" s="866"/>
      <c r="MN8" s="866"/>
      <c r="MO8" s="866"/>
      <c r="MP8" s="866"/>
      <c r="MQ8" s="866"/>
      <c r="MR8" s="866"/>
      <c r="MS8" s="866"/>
      <c r="MT8" s="866"/>
      <c r="MU8" s="866"/>
      <c r="MV8" s="866"/>
      <c r="MW8" s="866"/>
      <c r="MX8" s="1472"/>
      <c r="MY8" s="988" t="s">
        <v>8513</v>
      </c>
      <c r="MZ8" s="984" t="e">
        <f t="shared" si="3"/>
        <v>#VALUE!</v>
      </c>
      <c r="NA8" s="984"/>
      <c r="NB8" s="920"/>
      <c r="NC8" s="920"/>
      <c r="ND8" s="984"/>
      <c r="NE8" s="984"/>
      <c r="NF8" s="984"/>
      <c r="NG8" s="1474"/>
      <c r="NK8" s="1476"/>
      <c r="NL8" s="401"/>
      <c r="NM8" s="836" t="e">
        <f>SEARCH(" ",NJ$4,NO7+1)+1</f>
        <v>#VALUE!</v>
      </c>
      <c r="NN8" s="306" t="s">
        <v>8432</v>
      </c>
      <c r="NO8" s="306" t="e">
        <f>SEARCH(NN8,NJ$4,NM8)</f>
        <v>#VALUE!</v>
      </c>
      <c r="NP8" s="306" t="e">
        <f>NO8-NM8</f>
        <v>#VALUE!</v>
      </c>
      <c r="NQ8" s="826" t="e">
        <f>IF(NR3="Штраф 50%","",MID(NJ$4,NM8,NP8))</f>
        <v>#VALUE!</v>
      </c>
      <c r="NR8" s="829"/>
      <c r="NS8" s="842" t="str">
        <f>IF(NR38="","",CONCATENATE(NK38,". ",NR38," ",IFERROR(CONCATENATE(NQ42,",",NQ43),""),IF(ISERROR(CONCATENATE(NQ42,",",NQ43)),"","₽")))</f>
        <v/>
      </c>
      <c r="NT8" s="1105" t="str">
        <f t="shared" si="4"/>
        <v/>
      </c>
      <c r="NU8" s="993" t="s">
        <v>8513</v>
      </c>
      <c r="NV8" s="994"/>
      <c r="NW8" s="920"/>
      <c r="NX8" s="920"/>
      <c r="NY8" s="994"/>
      <c r="NZ8" s="994"/>
      <c r="OA8" s="994"/>
      <c r="OB8" s="1535"/>
      <c r="OC8" s="1472"/>
      <c r="OD8" s="946" t="s">
        <v>8513</v>
      </c>
      <c r="OE8" s="947" t="e">
        <f t="shared" si="5"/>
        <v>#VALUE!</v>
      </c>
      <c r="OF8" s="947"/>
      <c r="OG8" s="920"/>
      <c r="OH8" s="920"/>
      <c r="OI8" s="947"/>
      <c r="OJ8" s="947"/>
      <c r="OK8" s="947"/>
      <c r="OL8" s="1474"/>
      <c r="OM8" s="869"/>
      <c r="ON8" s="817"/>
      <c r="OO8" s="943"/>
      <c r="OP8" s="1069"/>
      <c r="OQ8" s="935" t="s">
        <v>8513</v>
      </c>
      <c r="OR8" s="937"/>
      <c r="OS8" s="920"/>
      <c r="OT8" s="920"/>
      <c r="OU8" s="937"/>
      <c r="OV8" s="937"/>
      <c r="OW8" s="937"/>
      <c r="OX8" s="979"/>
      <c r="OY8" t="s">
        <v>8513</v>
      </c>
      <c r="OZ8" s="937"/>
      <c r="PA8" t="s">
        <v>8513</v>
      </c>
      <c r="PB8" s="937"/>
      <c r="PC8" s="5"/>
      <c r="PD8" s="1070"/>
      <c r="PE8" t="s">
        <v>8513</v>
      </c>
      <c r="PF8" s="1209"/>
      <c r="PG8" t="s">
        <v>8513</v>
      </c>
      <c r="PH8" s="937"/>
      <c r="PI8" s="5"/>
      <c r="PJ8" s="1073"/>
      <c r="PK8" t="s">
        <v>8513</v>
      </c>
      <c r="PL8" s="947"/>
      <c r="PM8" t="s">
        <v>8513</v>
      </c>
      <c r="PN8" s="937"/>
      <c r="PO8" s="5"/>
      <c r="PP8" s="1064"/>
      <c r="PQ8" t="s">
        <v>8513</v>
      </c>
      <c r="PR8" s="937" t="e">
        <f t="shared" si="22"/>
        <v>#VALUE!</v>
      </c>
      <c r="PS8" s="5"/>
      <c r="PV8" s="937"/>
      <c r="PX8" s="5"/>
      <c r="PY8" s="1470"/>
      <c r="PZ8" t="s">
        <v>8513</v>
      </c>
      <c r="QA8" s="937" t="e">
        <f t="shared" si="6"/>
        <v>#VALUE!</v>
      </c>
      <c r="QB8" s="5"/>
      <c r="QC8" s="264"/>
      <c r="QE8" s="937"/>
      <c r="QF8" s="264"/>
      <c r="QG8" s="5"/>
      <c r="QH8" s="1470"/>
      <c r="QI8" t="s">
        <v>8513</v>
      </c>
      <c r="QJ8" s="937" t="e">
        <f t="shared" si="7"/>
        <v>#VALUE!</v>
      </c>
      <c r="QK8" s="5"/>
      <c r="QL8" s="264"/>
      <c r="QN8" s="937"/>
      <c r="QO8" s="264"/>
      <c r="QP8" s="5"/>
      <c r="QQ8" s="1470"/>
      <c r="QR8" t="s">
        <v>8513</v>
      </c>
      <c r="QS8" s="937" t="e">
        <f t="shared" si="8"/>
        <v>#VALUE!</v>
      </c>
      <c r="QT8" s="5"/>
      <c r="QU8" s="264"/>
      <c r="QW8" s="937"/>
      <c r="QX8" s="264"/>
      <c r="QY8" s="5"/>
      <c r="QZ8" s="1470"/>
      <c r="RA8" s="1094" t="s">
        <v>602</v>
      </c>
      <c r="RB8" s="1097" t="str">
        <f>IFERROR(QQ3,"")</f>
        <v/>
      </c>
      <c r="RC8" s="1069"/>
      <c r="RD8" s="1148" t="s">
        <v>8513</v>
      </c>
      <c r="RE8" s="1059"/>
      <c r="RF8" s="920"/>
      <c r="RG8" s="920"/>
      <c r="RH8" s="1059"/>
      <c r="RI8" s="1059"/>
      <c r="RJ8" s="1059"/>
      <c r="RK8" s="979"/>
      <c r="RL8" s="1055"/>
      <c r="RM8" s="1180" t="s">
        <v>8513</v>
      </c>
      <c r="RN8" s="1181"/>
      <c r="RO8" s="1061"/>
      <c r="RP8" t="s">
        <v>8513</v>
      </c>
      <c r="RQ8" s="854"/>
      <c r="RR8" t="s">
        <v>8513</v>
      </c>
      <c r="RS8" s="1059"/>
      <c r="RT8" s="5"/>
      <c r="RU8" s="1070"/>
      <c r="RV8" t="s">
        <v>8513</v>
      </c>
      <c r="RW8" s="854"/>
      <c r="RX8" t="s">
        <v>8513</v>
      </c>
      <c r="RY8" s="1059"/>
      <c r="RZ8" s="5"/>
      <c r="SA8" s="1070"/>
      <c r="SB8" t="s">
        <v>8513</v>
      </c>
      <c r="SC8" s="854"/>
      <c r="SD8" t="s">
        <v>8513</v>
      </c>
      <c r="SE8" s="1059"/>
      <c r="SF8" s="5"/>
      <c r="SG8" s="1070"/>
      <c r="SH8" s="1070"/>
      <c r="SI8" s="1055"/>
      <c r="SJ8" s="926" t="s">
        <v>8956</v>
      </c>
      <c r="SK8" s="925"/>
      <c r="SL8" s="920"/>
      <c r="SM8" s="920"/>
      <c r="SN8" s="925"/>
      <c r="SO8" s="925"/>
      <c r="SP8" s="925"/>
      <c r="SQ8" s="979"/>
      <c r="SR8" s="882"/>
      <c r="SS8" s="1173" t="s">
        <v>8513</v>
      </c>
      <c r="ST8" s="1174"/>
      <c r="SU8" s="431"/>
      <c r="SV8" t="s">
        <v>8959</v>
      </c>
      <c r="SW8" s="1181" t="e">
        <f t="shared" si="115"/>
        <v>#VALUE!</v>
      </c>
      <c r="SY8" s="1476"/>
      <c r="SZ8" s="401"/>
      <c r="TA8" s="836" t="e">
        <f>SEARCH(" ",$SQ$3,TC7+1)+1</f>
        <v>#VALUE!</v>
      </c>
      <c r="TB8" s="306" t="s">
        <v>8432</v>
      </c>
      <c r="TC8" s="306" t="e">
        <f>SEARCH(TB8,$SQ$3,TA8)</f>
        <v>#VALUE!</v>
      </c>
      <c r="TD8" s="306" t="e">
        <f>TC8-TA8</f>
        <v>#VALUE!</v>
      </c>
      <c r="TE8" s="826" t="e">
        <f>IF(TF3="Штраф 50%","",MID($SQ$3,TA8,TD8))</f>
        <v>#VALUE!</v>
      </c>
      <c r="TF8" s="829"/>
      <c r="TG8" s="842" t="str">
        <f>IF(TF38="","",CONCATENATE(SY38,". ",TF38," ",IFERROR(CONCATENATE(TE42,",",TE43),""),IF(ISERROR(CONCATENATE(TE42,",",TE43)),"","₽")))</f>
        <v/>
      </c>
      <c r="TH8" t="s">
        <v>8513</v>
      </c>
      <c r="TI8" s="1181" t="e">
        <f t="shared" si="128"/>
        <v>#VALUE!</v>
      </c>
      <c r="TK8" s="1490"/>
      <c r="TL8" s="592"/>
      <c r="TM8" s="836"/>
      <c r="TN8" s="306"/>
      <c r="TO8" s="306"/>
      <c r="TP8" s="306"/>
      <c r="TQ8" s="1028" t="e">
        <f>VALUE(CONCATENATE(TQ6,",",TQ7))</f>
        <v>#VALUE!</v>
      </c>
      <c r="TR8" s="832" t="str">
        <f>IFERROR(IF(TR5="Штраф 50%","",TQ8),"")</f>
        <v/>
      </c>
      <c r="TS8" s="843" t="str">
        <f>IF(TR25="","",CONCATENATE(TK25,". ",TR25," ",IFERROR(CONCATENATE(TQ26,",",TQ27),""),IF(ISERROR(CONCATENATE(TQ26,",",TQ27)),"","₽")))</f>
        <v/>
      </c>
      <c r="TT8" t="str">
        <f t="shared" si="27"/>
        <v xml:space="preserve">доплату </v>
      </c>
      <c r="TU8" s="1181" t="e">
        <f t="shared" si="116"/>
        <v>#VALUE!</v>
      </c>
      <c r="TW8" s="1476"/>
      <c r="TX8" s="401"/>
      <c r="TY8" s="836" t="e">
        <f>SEARCH(" ",$SQ$4,UA7+1)+1</f>
        <v>#VALUE!</v>
      </c>
      <c r="TZ8" s="306" t="s">
        <v>8432</v>
      </c>
      <c r="UA8" s="306" t="e">
        <f>SEARCH(TZ8,$SQ$4,TY8)</f>
        <v>#VALUE!</v>
      </c>
      <c r="UB8" s="306" t="e">
        <f>UA8-TY8</f>
        <v>#VALUE!</v>
      </c>
      <c r="UC8" s="826" t="e">
        <f>IF(UD3="Штраф 50%","",MID($SQ$4,TY8,UB8))</f>
        <v>#VALUE!</v>
      </c>
      <c r="UD8" s="829"/>
      <c r="UE8" s="842" t="str">
        <f>IF(UD38="","",CONCATENATE(TW38,". ",UD38," ",IFERROR(CONCATENATE(UC42,",",UC43),""),IF(ISERROR(CONCATENATE(UC42,",",UC43)),"","₽")))</f>
        <v/>
      </c>
      <c r="UI8" s="1490"/>
      <c r="UJ8" s="592"/>
      <c r="UK8" s="836"/>
      <c r="UL8" s="306"/>
      <c r="UM8" s="306"/>
      <c r="UN8" s="306"/>
      <c r="UO8" s="1028" t="e">
        <f>VALUE(CONCATENATE(UO6,",",UO7))</f>
        <v>#VALUE!</v>
      </c>
      <c r="UP8" s="832" t="str">
        <f>IFERROR(IF(UP5="Штраф 50%","",UO8),"")</f>
        <v/>
      </c>
      <c r="UQ8" s="843" t="str">
        <f>IF(UP25="","",CONCATENATE(UI25,". ",UP25," ",IFERROR(CONCATENATE(UO26,",",UO27),""),IF(ISERROR(CONCATENATE(UO26,",",UO27)),"","₽")))</f>
        <v/>
      </c>
      <c r="UR8" t="str">
        <f t="shared" si="28"/>
        <v xml:space="preserve">доплату </v>
      </c>
      <c r="US8" s="1181" t="e">
        <f t="shared" si="117"/>
        <v>#VALUE!</v>
      </c>
      <c r="UU8" s="1476"/>
      <c r="UV8" s="401"/>
      <c r="UW8" s="836" t="e">
        <f>SEARCH(" ",$SQ$5,UY7+1)+1</f>
        <v>#VALUE!</v>
      </c>
      <c r="UX8" s="306" t="s">
        <v>8432</v>
      </c>
      <c r="UY8" s="306" t="e">
        <f>SEARCH(UX8,$SQ$5,UW8)</f>
        <v>#VALUE!</v>
      </c>
      <c r="UZ8" s="306" t="e">
        <f>UY8-UW8</f>
        <v>#VALUE!</v>
      </c>
      <c r="VA8" s="826" t="e">
        <f>IF(VB3="Штраф 50%","",MID($SQ$5,UW8,UZ8))</f>
        <v>#VALUE!</v>
      </c>
      <c r="VB8" s="829"/>
      <c r="VC8" s="842" t="str">
        <f>IF(VB38="","",CONCATENATE(UU38,". ",VB38," ",IFERROR(CONCATENATE(VA42,",",VA43),""),IF(ISERROR(CONCATENATE(VA42,",",VA43)),"","₽")))</f>
        <v/>
      </c>
      <c r="VG8" s="1490"/>
      <c r="VH8" s="592"/>
      <c r="VI8" s="836"/>
      <c r="VJ8" s="306"/>
      <c r="VK8" s="306"/>
      <c r="VL8" s="306"/>
      <c r="VM8" s="1028" t="e">
        <f>VALUE(CONCATENATE(VM6,",",VM7))</f>
        <v>#VALUE!</v>
      </c>
      <c r="VN8" s="832" t="str">
        <f>IFERROR(IF(VN5="Штраф 50%","",VM8),"")</f>
        <v/>
      </c>
      <c r="VO8" s="843" t="str">
        <f>IF(VN25="","",CONCATENATE(VG25,". ",VN25," ",IFERROR(CONCATENATE(VM26,",",VM27),""),IF(ISERROR(CONCATENATE(VM26,",",VM27)),"","₽")))</f>
        <v/>
      </c>
      <c r="VP8" t="str">
        <f t="shared" si="29"/>
        <v xml:space="preserve">доплату </v>
      </c>
      <c r="VQ8" s="1181" t="e">
        <f t="shared" si="118"/>
        <v>#VALUE!</v>
      </c>
      <c r="VS8" s="1476"/>
      <c r="VT8" s="401"/>
      <c r="VU8" s="836" t="e">
        <f>SEARCH(" ",$SQ$6,VW7+1)+1</f>
        <v>#VALUE!</v>
      </c>
      <c r="VV8" s="306" t="s">
        <v>8432</v>
      </c>
      <c r="VW8" s="306" t="e">
        <f>SEARCH(VV8,$SQ$6,VU8)</f>
        <v>#VALUE!</v>
      </c>
      <c r="VX8" s="306" t="e">
        <f>VW8-VU8</f>
        <v>#VALUE!</v>
      </c>
      <c r="VY8" s="826" t="e">
        <f>IF(VZ3="Штраф 50%","",MID($SQ$6,VU8,VX8))</f>
        <v>#VALUE!</v>
      </c>
      <c r="VZ8" s="829"/>
      <c r="WA8" s="842" t="str">
        <f>IF(VZ38="","",CONCATENATE(VS38,". ",VZ38," ",IFERROR(CONCATENATE(VY42,",",VY43),""),IF(ISERROR(CONCATENATE(VY42,",",VY43)),"","₽")))</f>
        <v/>
      </c>
      <c r="WE8" s="1490"/>
      <c r="WF8" s="592"/>
      <c r="WG8" s="836"/>
      <c r="WH8" s="306"/>
      <c r="WI8" s="306"/>
      <c r="WJ8" s="306"/>
      <c r="WK8" s="1028" t="e">
        <f>VALUE(CONCATENATE(WK6,",",WK7))</f>
        <v>#VALUE!</v>
      </c>
      <c r="WL8" s="832" t="str">
        <f>IFERROR(IF(WL5="Штраф 50%","",WK8),"")</f>
        <v/>
      </c>
      <c r="WM8" s="843" t="str">
        <f>IF(WL25="","",CONCATENATE(WE25,". ",WL25," ",IFERROR(CONCATENATE(WK26,",",WK27),""),IF(ISERROR(CONCATENATE(WK26,",",WK27)),"","₽")))</f>
        <v/>
      </c>
      <c r="WN8" t="str">
        <f t="shared" si="30"/>
        <v xml:space="preserve">доплату </v>
      </c>
      <c r="WO8" s="1181" t="e">
        <f t="shared" si="119"/>
        <v>#VALUE!</v>
      </c>
      <c r="WQ8" s="1476"/>
      <c r="WR8" s="401"/>
      <c r="WS8" s="836" t="e">
        <f>SEARCH(" ",$SQ$7,WU7+1)+1</f>
        <v>#VALUE!</v>
      </c>
      <c r="WT8" s="306" t="s">
        <v>8432</v>
      </c>
      <c r="WU8" s="306" t="e">
        <f>SEARCH(WT8,$SQ$7,WS8)</f>
        <v>#VALUE!</v>
      </c>
      <c r="WV8" s="306" t="e">
        <f>WU8-WS8</f>
        <v>#VALUE!</v>
      </c>
      <c r="WW8" s="826" t="e">
        <f>IF(WX3="Штраф 50%","",MID($SQ$7,WS8,WV8))</f>
        <v>#VALUE!</v>
      </c>
      <c r="WX8" s="829"/>
      <c r="WY8" s="842" t="str">
        <f>IF(WX38="","",CONCATENATE(WQ38,". ",WX38," ",IFERROR(CONCATENATE(WW42,",",WW43),""),IF(ISERROR(CONCATENATE(WW42,",",WW43)),"","₽")))</f>
        <v/>
      </c>
      <c r="XC8" s="1490"/>
      <c r="XD8" s="592"/>
      <c r="XE8" s="836"/>
      <c r="XF8" s="306"/>
      <c r="XG8" s="306"/>
      <c r="XH8" s="306"/>
      <c r="XI8" s="1028" t="e">
        <f>VALUE(CONCATENATE(XI6,",",XI7))</f>
        <v>#VALUE!</v>
      </c>
      <c r="XJ8" s="832" t="str">
        <f>IFERROR(IF(XJ5="Штраф 50%","",XI8),"")</f>
        <v/>
      </c>
      <c r="XK8" s="843" t="str">
        <f>IF(XJ25="","",CONCATENATE(XC25,". ",XJ25," ",IFERROR(CONCATENATE(XI26,",",XI27),""),IF(ISERROR(CONCATENATE(XI26,",",XI27)),"","₽")))</f>
        <v/>
      </c>
      <c r="XL8" s="1090" t="str">
        <f>IFERROR(CONCATENATE(DATES!C20," ",TEXT(VALUE(CONCATENATE(LEFT(DATES!E20,SEARCH(",",TEXT(DATES!E20,"0,00"))-1),",",RIGHT(TEXT(DATES!E20,"0,00"),2))),"0 000,00"),"₽"),"")</f>
        <v xml:space="preserve"> 0 000,00₽</v>
      </c>
      <c r="XM8" s="1064"/>
      <c r="XN8" s="1173" t="s">
        <v>9465</v>
      </c>
      <c r="XO8" s="852"/>
      <c r="XP8" s="920"/>
      <c r="XQ8" s="920"/>
      <c r="XR8" s="863"/>
      <c r="XS8" s="863"/>
      <c r="XT8" s="863"/>
      <c r="XU8" s="979"/>
      <c r="XV8" s="869"/>
      <c r="XW8" s="1180" t="s">
        <v>8513</v>
      </c>
      <c r="XX8" s="1181"/>
      <c r="XY8" s="431"/>
      <c r="XZ8" s="876" t="s">
        <v>718</v>
      </c>
      <c r="YA8" s="876" t="e">
        <f>SEARCH(MA$4,$XU$5)</f>
        <v>#VALUE!</v>
      </c>
      <c r="YC8" s="1472"/>
      <c r="YD8" t="s">
        <v>8513</v>
      </c>
      <c r="YE8" s="1181" t="e">
        <f t="shared" si="129"/>
        <v>#VALUE!</v>
      </c>
      <c r="YG8" s="1476"/>
      <c r="YH8" s="401"/>
      <c r="YI8" s="836" t="e">
        <f>SEARCH(" ",$XU$3,YK7+1)+1</f>
        <v>#VALUE!</v>
      </c>
      <c r="YJ8" s="306" t="s">
        <v>8432</v>
      </c>
      <c r="YK8" s="306" t="e">
        <f>SEARCH(YJ8,$XU$3,YI8)</f>
        <v>#VALUE!</v>
      </c>
      <c r="YL8" s="306" t="e">
        <f>YK8-YI8</f>
        <v>#VALUE!</v>
      </c>
      <c r="YM8" s="826" t="e">
        <f>IF(YN3="Штраф 50%","",MID($XU$3,YI8,YL8))</f>
        <v>#VALUE!</v>
      </c>
      <c r="YN8" s="829"/>
      <c r="YO8" s="842" t="str">
        <f>IF(ISERROR(YI38),"",CONCATENATE(YG38,". ",YN38," ",IFERROR(CONCATENATE(YM42,",",YM43),""),IF(ISERROR(CONCATENATE(YM42,",",YM43)),"","₽")))</f>
        <v/>
      </c>
      <c r="YP8" s="884" t="str">
        <f t="shared" si="100"/>
        <v>$$$$</v>
      </c>
      <c r="YQ8" s="1181" t="e">
        <f t="shared" si="130"/>
        <v>#VALUE!</v>
      </c>
      <c r="YS8" s="1476"/>
      <c r="YT8" s="401"/>
      <c r="YU8" s="836" t="e">
        <f>SEARCH(" ",$XU$4,YW7+1)+1</f>
        <v>#VALUE!</v>
      </c>
      <c r="YV8" s="306" t="s">
        <v>8432</v>
      </c>
      <c r="YW8" s="306" t="e">
        <f>SEARCH(YV8,$XU$4,YU8)</f>
        <v>#VALUE!</v>
      </c>
      <c r="YX8" s="306" t="e">
        <f>YW8-YU8</f>
        <v>#VALUE!</v>
      </c>
      <c r="YY8" s="826" t="e">
        <f>IF(YZ3="Штраф 50%","",MID($XU$4,YU8,YX8))</f>
        <v>#VALUE!</v>
      </c>
      <c r="YZ8" s="829"/>
      <c r="ZA8" s="842" t="str">
        <f>IF(ISERROR(YU38),"",CONCATENATE(YS38,". ",YZ38," ",IFERROR(CONCATENATE(YY42,",",YY43),""),IF(ISERROR(CONCATENATE(YY42,",",YY43)),"","₽")))</f>
        <v/>
      </c>
      <c r="ZB8" t="str">
        <f t="shared" si="31"/>
        <v>$$$$</v>
      </c>
      <c r="ZC8" s="1181" t="e">
        <f t="shared" si="120"/>
        <v>#VALUE!</v>
      </c>
      <c r="ZE8" s="1476"/>
      <c r="ZF8" s="401"/>
      <c r="ZG8" s="836" t="e">
        <f>SEARCH(" ",$XU$5,ZI7+1)+1</f>
        <v>#VALUE!</v>
      </c>
      <c r="ZH8" s="306" t="s">
        <v>8432</v>
      </c>
      <c r="ZI8" s="306" t="e">
        <f>SEARCH(ZH8,$XU$5,ZG8)</f>
        <v>#VALUE!</v>
      </c>
      <c r="ZJ8" s="306" t="e">
        <f>ZI8-ZG8</f>
        <v>#VALUE!</v>
      </c>
      <c r="ZK8" s="826" t="e">
        <f>IF(ZL3="Штраф 50%","",MID($XU$5,ZG8,ZJ8))</f>
        <v>#VALUE!</v>
      </c>
      <c r="ZL8" s="829"/>
      <c r="ZM8" s="842" t="str">
        <f>IF(ISERROR(ZG38),"",CONCATENATE(ZE38,". ",ZL38," ",IFERROR(CONCATENATE(ZK42,",",ZK43),""),IF(ISERROR(CONCATENATE(ZK42,",",ZK43)),"","₽")))</f>
        <v/>
      </c>
      <c r="ZN8" t="str">
        <f t="shared" si="32"/>
        <v>$$$$</v>
      </c>
      <c r="ZO8" s="1181" t="e">
        <f t="shared" si="121"/>
        <v>#VALUE!</v>
      </c>
      <c r="ZQ8" s="1476"/>
      <c r="ZR8" s="401"/>
      <c r="ZS8" s="836">
        <f>SEARCH(" ",$XU$6,ZU7+1)+1</f>
        <v>258</v>
      </c>
      <c r="ZT8" s="306" t="s">
        <v>8432</v>
      </c>
      <c r="ZU8" s="306">
        <f>SEARCH(ZT8,$XU$6,ZS8)</f>
        <v>260</v>
      </c>
      <c r="ZV8" s="306">
        <f>ZU8-ZS8</f>
        <v>2</v>
      </c>
      <c r="ZW8" s="826" t="str">
        <f>IF(ZX3="Штраф 50%","",MID($XU$6,ZS8,ZV8))</f>
        <v>00</v>
      </c>
      <c r="ZX8" s="829"/>
      <c r="ZY8" s="842" t="str">
        <f>IF(ISERROR(ZS38),"",CONCATENATE(ZQ38,". ",ZX38," ",IFERROR(CONCATENATE(ZW42,",",ZW43),""),IF(ISERROR(CONCATENATE(ZW42,",",ZW43)),"","₽")))</f>
        <v/>
      </c>
      <c r="ZZ8" t="str">
        <f t="shared" si="33"/>
        <v>$$$$</v>
      </c>
      <c r="AAA8" s="1181" t="e">
        <f t="shared" si="122"/>
        <v>#VALUE!</v>
      </c>
      <c r="AAC8" s="1476"/>
      <c r="AAD8" s="401"/>
      <c r="AAE8" s="836" t="e">
        <f>SEARCH(" ",$XU$7,AAG7+1)+1</f>
        <v>#VALUE!</v>
      </c>
      <c r="AAF8" s="306" t="s">
        <v>8432</v>
      </c>
      <c r="AAG8" s="306" t="e">
        <f>SEARCH(AAF8,$XU$7,AAE8)</f>
        <v>#VALUE!</v>
      </c>
      <c r="AAH8" s="306" t="e">
        <f>AAG8-AAE8</f>
        <v>#VALUE!</v>
      </c>
      <c r="AAI8" s="826" t="e">
        <f>IF(AAJ3="Штраф 50%","",MID($XU$7,AAE8,AAH8))</f>
        <v>#VALUE!</v>
      </c>
      <c r="AAJ8" s="829"/>
      <c r="AAK8" s="842" t="str">
        <f>IF(ISERROR(AAE38),"",CONCATENATE(AAC38,". ",AAJ38," ",IFERROR(CONCATENATE(AAI42,",",AAI43),""),IF(ISERROR(CONCATENATE(AAI42,",",AAI43)),"","₽")))</f>
        <v/>
      </c>
      <c r="AAL8" s="1090" t="str">
        <f>IF(DATES!O7="","",DATES!O7)</f>
        <v/>
      </c>
      <c r="AAM8" s="1066"/>
      <c r="AAN8" s="946" t="s">
        <v>8513</v>
      </c>
      <c r="AAO8" s="854"/>
      <c r="AAP8" s="920"/>
      <c r="AAQ8" s="920"/>
      <c r="AAR8" s="947"/>
      <c r="AAS8" s="947"/>
      <c r="AAT8" s="947"/>
      <c r="AAU8" s="979"/>
      <c r="AAV8" t="s">
        <v>8513</v>
      </c>
      <c r="AAW8" s="947" t="e">
        <f t="shared" si="9"/>
        <v>#VALUE!</v>
      </c>
      <c r="AAX8" s="5"/>
      <c r="AAY8" s="5"/>
      <c r="AAZ8" s="5"/>
      <c r="ABA8" s="1486"/>
      <c r="ABC8" s="1067"/>
      <c r="ABD8" s="935" t="s">
        <v>10055</v>
      </c>
      <c r="ABE8" s="937"/>
      <c r="ABF8" s="920"/>
      <c r="ABG8" s="920"/>
      <c r="ABH8" s="937"/>
      <c r="ABI8" s="937"/>
      <c r="ABJ8" s="937"/>
      <c r="ABK8" s="979"/>
      <c r="ABL8" t="s">
        <v>8513</v>
      </c>
      <c r="ABM8" s="854"/>
      <c r="ABN8" t="s">
        <v>8513</v>
      </c>
      <c r="ABO8" s="937"/>
      <c r="ABP8" s="5"/>
      <c r="ABQ8" s="1070"/>
      <c r="ABR8" t="s">
        <v>8513</v>
      </c>
      <c r="ABS8" s="937"/>
      <c r="ABT8" t="s">
        <v>8513</v>
      </c>
      <c r="ABU8" s="937"/>
      <c r="ABV8" s="5"/>
      <c r="ABW8" s="1073"/>
      <c r="ABX8" t="s">
        <v>8513</v>
      </c>
      <c r="ABY8" s="937"/>
      <c r="ABZ8" t="s">
        <v>8513</v>
      </c>
      <c r="ACA8" s="937"/>
      <c r="ACB8" s="5"/>
      <c r="ACC8" s="1064"/>
      <c r="ACD8" t="s">
        <v>8513</v>
      </c>
      <c r="ACE8" s="937"/>
      <c r="ACF8" s="5"/>
      <c r="ACG8" s="264"/>
      <c r="ACI8" s="937"/>
      <c r="ACJ8" s="264"/>
      <c r="ACK8" s="5"/>
      <c r="ACL8" s="5"/>
      <c r="ACM8" s="1075"/>
      <c r="ACN8" t="s">
        <v>8513</v>
      </c>
      <c r="ACO8" s="937"/>
      <c r="ACP8" s="5"/>
      <c r="ACQ8" s="264"/>
      <c r="ACS8" s="937"/>
      <c r="ACT8" s="264"/>
      <c r="ACU8" s="5"/>
      <c r="ACV8" s="5"/>
      <c r="ACW8" s="1075"/>
      <c r="ACX8" t="s">
        <v>8513</v>
      </c>
      <c r="ACY8" s="937"/>
      <c r="ACZ8" s="5"/>
      <c r="ADA8" s="264"/>
      <c r="ADC8" s="937"/>
      <c r="ADD8" s="264"/>
      <c r="ADE8" s="5"/>
      <c r="ADF8" s="5"/>
      <c r="ADG8" s="1075"/>
      <c r="ADH8" t="s">
        <v>8513</v>
      </c>
      <c r="ADI8" s="937"/>
      <c r="ADJ8" s="5"/>
      <c r="ADK8" s="264"/>
      <c r="ADM8" s="937"/>
      <c r="ADN8" s="264"/>
      <c r="ADO8" s="5"/>
      <c r="ADP8" s="5"/>
      <c r="ADQ8" s="1075"/>
      <c r="ADR8" s="1080" t="str">
        <f>IFERROR(ADG3,"")</f>
        <v/>
      </c>
      <c r="ADS8" s="1067"/>
      <c r="ADT8" s="946" t="s">
        <v>8513</v>
      </c>
      <c r="ADU8" s="947"/>
      <c r="ADV8" s="920"/>
      <c r="ADW8" s="920"/>
      <c r="ADX8" s="947"/>
      <c r="ADY8" s="947"/>
      <c r="ADZ8" s="947"/>
      <c r="AEA8" s="979"/>
      <c r="AEB8" s="946" t="s">
        <v>8513</v>
      </c>
      <c r="AEC8" s="947"/>
      <c r="AED8" s="920"/>
      <c r="AEE8" s="920"/>
      <c r="AEF8" s="947"/>
      <c r="AEG8" s="947"/>
      <c r="AEH8" s="947"/>
      <c r="AEI8" s="979"/>
      <c r="AEJ8" s="961"/>
      <c r="AEK8" s="961"/>
      <c r="AEL8" s="961"/>
      <c r="AEM8" t="s">
        <v>8513</v>
      </c>
      <c r="AEN8" s="947"/>
      <c r="AEO8" t="s">
        <v>8513</v>
      </c>
      <c r="AEP8" s="947"/>
      <c r="AEQ8" s="5"/>
      <c r="AER8" s="1070"/>
      <c r="AES8" t="s">
        <v>8513</v>
      </c>
      <c r="AET8" s="947"/>
      <c r="AEU8" t="s">
        <v>8513</v>
      </c>
      <c r="AEV8" s="947"/>
      <c r="AEW8" s="5"/>
      <c r="AEX8" s="1070"/>
      <c r="AEY8" t="s">
        <v>8513</v>
      </c>
      <c r="AEZ8" s="947"/>
      <c r="AFA8" s="1070"/>
      <c r="AFE8" s="1476"/>
      <c r="AFF8" s="401"/>
      <c r="AFG8" s="836">
        <f>SEARCH(" ",AFD$4,AFI7+1)+1</f>
        <v>315</v>
      </c>
      <c r="AFH8" s="306" t="s">
        <v>8432</v>
      </c>
      <c r="AFI8" s="306">
        <f>SEARCH(AFH8,AFD$4,AFG8)</f>
        <v>317</v>
      </c>
      <c r="AFJ8" s="306">
        <f>AFI8-AFG8</f>
        <v>2</v>
      </c>
      <c r="AFK8" s="826" t="str">
        <f>IF(AFL3="Штраф 50%","",MID(AFD$4,AFG8,AFJ8))</f>
        <v>00</v>
      </c>
      <c r="AFL8" s="829"/>
      <c r="AFM8" s="842" t="str">
        <f>IF(AFL38="","",CONCATENATE(AFE38,". ",AFL38," ",IFERROR(CONCATENATE(AFK42,",",AFK43),""),IF(ISERROR(CONCATENATE(AFK42,",",AFK43)),"","₽")))</f>
        <v/>
      </c>
      <c r="AFQ8" s="1476"/>
      <c r="AFR8" s="401"/>
      <c r="AFS8" s="836" t="e">
        <f>SEARCH(" ",AFP$4,AFU7+1)+1</f>
        <v>#VALUE!</v>
      </c>
      <c r="AFT8" s="306" t="s">
        <v>8432</v>
      </c>
      <c r="AFU8" s="306" t="e">
        <f>SEARCH(AFT8,AFP$4,AFS8)</f>
        <v>#VALUE!</v>
      </c>
      <c r="AFV8" s="306" t="e">
        <f>AFU8-AFS8</f>
        <v>#VALUE!</v>
      </c>
      <c r="AFW8" s="826" t="e">
        <f>IF(AFX3="Штраф 50%","",MID(AFP$4,AFS8,AFV8))</f>
        <v>#VALUE!</v>
      </c>
      <c r="AFX8" s="829"/>
      <c r="AFY8" s="842" t="str">
        <f>IF(AFX38="","",CONCATENATE(AFQ38,". ",AFX38," ",IFERROR(CONCATENATE(AFW42,",",AFW43),""),IF(ISERROR(CONCATENATE(AFW42,",",AFW43)),"","₽")))</f>
        <v/>
      </c>
      <c r="AGC8" s="1476"/>
      <c r="AGD8" s="401"/>
      <c r="AGE8" s="836" t="e">
        <f>SEARCH(" ",AGB$4,AGG7+1)+1</f>
        <v>#VALUE!</v>
      </c>
      <c r="AGF8" s="306" t="s">
        <v>8432</v>
      </c>
      <c r="AGG8" s="306" t="e">
        <f>SEARCH(AGF8,AGB$4,AGE8)</f>
        <v>#VALUE!</v>
      </c>
      <c r="AGH8" s="306" t="e">
        <f>AGG8-AGE8</f>
        <v>#VALUE!</v>
      </c>
      <c r="AGI8" s="826" t="e">
        <f>IF(AGJ3="Штраф 50%","",MID(AGB$4,AGE8,AGH8))</f>
        <v>#VALUE!</v>
      </c>
      <c r="AGJ8" s="829"/>
      <c r="AGK8" s="842" t="str">
        <f>IF(AGJ38="","",CONCATENATE(AGC38,". ",AGJ38," ",IFERROR(CONCATENATE(AGI42,",",AGI43),""),IF(ISERROR(CONCATENATE(AGI42,",",AGI43)),"","₽")))</f>
        <v/>
      </c>
      <c r="AGO8" s="1476"/>
      <c r="AGP8" s="401"/>
      <c r="AGQ8" s="836" t="e">
        <f>SEARCH(" ",AGN$4,AGS7+1)+1</f>
        <v>#VALUE!</v>
      </c>
      <c r="AGR8" s="306" t="s">
        <v>8432</v>
      </c>
      <c r="AGS8" s="306" t="e">
        <f>SEARCH(AGR8,AGN$4,AGQ8)</f>
        <v>#VALUE!</v>
      </c>
      <c r="AGT8" s="306" t="e">
        <f>AGS8-AGQ8</f>
        <v>#VALUE!</v>
      </c>
      <c r="AGU8" s="826" t="e">
        <f>IF(AGV3="Штраф 50%","",MID(AGN$4,AGQ8,AGT8))</f>
        <v>#VALUE!</v>
      </c>
      <c r="AGV8" s="829"/>
      <c r="AGW8" s="842" t="str">
        <f>IF(AGV38="","",CONCATENATE(AGO38,". ",AGV38," ",IFERROR(CONCATENATE(AGU42,",",AGU43),""),IF(ISERROR(CONCATENATE(AGU42,",",AGU43)),"","₽")))</f>
        <v/>
      </c>
      <c r="AHA8" s="1476"/>
      <c r="AHB8" s="401"/>
      <c r="AHC8" s="836" t="e">
        <f>SEARCH(" ",AGZ$4,AHE7+1)+1</f>
        <v>#VALUE!</v>
      </c>
      <c r="AHD8" s="306" t="s">
        <v>8432</v>
      </c>
      <c r="AHE8" s="306" t="e">
        <f>SEARCH(AHD8,AGZ$4,AHC8)</f>
        <v>#VALUE!</v>
      </c>
      <c r="AHF8" s="306" t="e">
        <f>AHE8-AHC8</f>
        <v>#VALUE!</v>
      </c>
      <c r="AHG8" s="826" t="e">
        <f>IF(AHH3="Штраф 50%","",MID(AGZ$4,AHC8,AHF8))</f>
        <v>#VALUE!</v>
      </c>
      <c r="AHH8" s="829"/>
      <c r="AHI8" s="842" t="str">
        <f>IF(AHH38="","",CONCATENATE(AHA38,". ",AHH38," ",IFERROR(CONCATENATE(AHG42,",",AHG43),""),IF(ISERROR(CONCATENATE(AHG42,",",AHG43)),"","₽")))</f>
        <v/>
      </c>
      <c r="AHJ8" s="1084"/>
      <c r="AHK8" s="768" t="s">
        <v>8513</v>
      </c>
      <c r="AHL8" s="116"/>
      <c r="AHM8" s="768" t="s">
        <v>8513</v>
      </c>
      <c r="AHT8" s="768" t="s">
        <v>8513</v>
      </c>
      <c r="AHU8" s="116"/>
      <c r="AHV8" s="768" t="s">
        <v>8513</v>
      </c>
      <c r="AHZ8" t="s">
        <v>8513</v>
      </c>
      <c r="AIB8" s="1187" t="e">
        <f t="shared" si="67"/>
        <v>#VALUE!</v>
      </c>
      <c r="AIF8" t="s">
        <v>8513</v>
      </c>
      <c r="AIJ8" t="s">
        <v>9595</v>
      </c>
      <c r="AIK8" t="s">
        <v>9598</v>
      </c>
      <c r="AIL8" s="1187" t="e">
        <f t="shared" si="68"/>
        <v>#VALUE!</v>
      </c>
      <c r="AIP8" t="s">
        <v>8513</v>
      </c>
      <c r="AIT8" t="s">
        <v>8513</v>
      </c>
      <c r="AIV8" s="1187" t="e">
        <f t="shared" si="102"/>
        <v>#VALUE!</v>
      </c>
      <c r="AJB8" t="s">
        <v>8513</v>
      </c>
      <c r="AJH8" t="s">
        <v>9611</v>
      </c>
      <c r="AJI8" t="s">
        <v>9587</v>
      </c>
      <c r="AJJ8" s="1187" t="e">
        <f t="shared" si="10"/>
        <v>#VALUE!</v>
      </c>
      <c r="AJN8" t="s">
        <v>9650</v>
      </c>
      <c r="AJR8" t="s">
        <v>8513</v>
      </c>
      <c r="AJT8" s="1245" t="e">
        <f t="shared" si="69"/>
        <v>#VALUE!</v>
      </c>
      <c r="AJX8" t="s">
        <v>8513</v>
      </c>
      <c r="AKA8" s="116"/>
      <c r="AKB8" t="s">
        <v>9589</v>
      </c>
      <c r="AKC8" t="s">
        <v>9540</v>
      </c>
      <c r="AKD8" s="1187" t="e">
        <f t="shared" si="70"/>
        <v>#VALUE!</v>
      </c>
      <c r="AKH8" t="s">
        <v>8513</v>
      </c>
      <c r="AKK8" s="116"/>
      <c r="AKL8" t="s">
        <v>8513</v>
      </c>
      <c r="AKN8" s="1206" t="e">
        <f t="shared" si="71"/>
        <v>#VALUE!</v>
      </c>
      <c r="AKR8" t="s">
        <v>8513</v>
      </c>
      <c r="AKU8" s="116"/>
      <c r="AKV8" t="s">
        <v>8513</v>
      </c>
      <c r="AKX8" s="1187" t="e">
        <f t="shared" si="72"/>
        <v>#VALUE!</v>
      </c>
      <c r="ALB8" t="s">
        <v>8513</v>
      </c>
      <c r="ALE8" s="116"/>
      <c r="ALF8" t="s">
        <v>9625</v>
      </c>
      <c r="ALG8" t="s">
        <v>9543</v>
      </c>
      <c r="ALH8" s="1187" t="e">
        <f t="shared" si="73"/>
        <v>#VALUE!</v>
      </c>
      <c r="ALL8" t="s">
        <v>8513</v>
      </c>
      <c r="ALO8" s="116"/>
      <c r="ALP8" s="116"/>
      <c r="ALQ8" s="768" t="s">
        <v>8513</v>
      </c>
      <c r="ALR8" s="116"/>
      <c r="ALS8" s="768" t="s">
        <v>8513</v>
      </c>
      <c r="ALW8" t="s">
        <v>8513</v>
      </c>
      <c r="ALY8" s="1187" t="e">
        <f t="shared" si="74"/>
        <v>#VALUE!</v>
      </c>
      <c r="AMC8" t="s">
        <v>8513</v>
      </c>
      <c r="AMG8" t="str">
        <f t="shared" si="11"/>
        <v>Ростовская обл</v>
      </c>
      <c r="AMH8" t="str">
        <f t="shared" si="12"/>
        <v>Ростовская обл.</v>
      </c>
      <c r="AMI8" s="1206" t="e">
        <f t="shared" si="75"/>
        <v>#VALUE!</v>
      </c>
      <c r="AMM8" t="s">
        <v>8513</v>
      </c>
      <c r="AMQ8" t="str">
        <f t="shared" si="13"/>
        <v>$$$$</v>
      </c>
      <c r="AMR8">
        <f t="shared" si="14"/>
        <v>0</v>
      </c>
      <c r="AMS8" s="1206" t="e">
        <f t="shared" si="76"/>
        <v>#VALUE!</v>
      </c>
      <c r="AMY8" t="s">
        <v>8513</v>
      </c>
      <c r="ANE8" t="str">
        <f t="shared" si="15"/>
        <v xml:space="preserve"> п.</v>
      </c>
      <c r="ANF8" t="str">
        <f t="shared" si="16"/>
        <v xml:space="preserve">пос. </v>
      </c>
      <c r="ANG8" s="1206" t="e">
        <f t="shared" si="77"/>
        <v>#VALUE!</v>
      </c>
      <c r="ANK8" t="str">
        <f t="shared" si="17"/>
        <v xml:space="preserve">, дп </v>
      </c>
      <c r="ANO8" t="str">
        <f t="shared" si="78"/>
        <v>$$$$</v>
      </c>
      <c r="ANP8">
        <f t="shared" si="79"/>
        <v>0</v>
      </c>
      <c r="ANQ8" s="1245" t="e">
        <f t="shared" si="80"/>
        <v>#VALUE!</v>
      </c>
      <c r="ANU8" t="str">
        <f t="shared" si="81"/>
        <v>$$$$</v>
      </c>
      <c r="ANX8" s="116"/>
      <c r="ANY8" t="str">
        <f t="shared" si="82"/>
        <v xml:space="preserve">,ул. </v>
      </c>
      <c r="ANZ8" t="str">
        <f t="shared" si="83"/>
        <v xml:space="preserve">ул. </v>
      </c>
      <c r="AOA8" s="1206" t="e">
        <f t="shared" si="84"/>
        <v>#VALUE!</v>
      </c>
      <c r="AOE8" t="str">
        <f t="shared" si="85"/>
        <v>$$$$</v>
      </c>
      <c r="AOH8" s="116"/>
      <c r="AOI8" t="str">
        <f t="shared" si="86"/>
        <v>$$$$</v>
      </c>
      <c r="AOJ8">
        <f t="shared" si="87"/>
        <v>0</v>
      </c>
      <c r="AOK8" s="1206" t="e">
        <f t="shared" si="88"/>
        <v>#VALUE!</v>
      </c>
      <c r="AOO8" t="s">
        <v>8513</v>
      </c>
      <c r="AOR8" s="116"/>
      <c r="AOS8" t="str">
        <f t="shared" si="89"/>
        <v>$$$$</v>
      </c>
      <c r="AOT8">
        <f t="shared" si="90"/>
        <v>0</v>
      </c>
      <c r="AOU8" s="1245" t="e">
        <f t="shared" si="91"/>
        <v>#VALUE!</v>
      </c>
      <c r="AOY8" t="str">
        <f t="shared" si="92"/>
        <v>$$$$</v>
      </c>
      <c r="APB8" s="116"/>
      <c r="APC8" t="str">
        <f t="shared" si="93"/>
        <v>кв.</v>
      </c>
      <c r="APD8" t="str">
        <f t="shared" si="94"/>
        <v xml:space="preserve">кв. </v>
      </c>
      <c r="APE8" s="1206" t="e">
        <f t="shared" si="95"/>
        <v>#VALUE!</v>
      </c>
      <c r="API8" t="s">
        <v>8513</v>
      </c>
      <c r="APL8" s="116"/>
      <c r="APM8" s="116"/>
      <c r="APN8" s="768" t="s">
        <v>8513</v>
      </c>
      <c r="APO8" s="116"/>
      <c r="APP8" s="768" t="s">
        <v>8513</v>
      </c>
    </row>
    <row r="9" spans="1:1114" ht="14.4" customHeight="1" thickTop="1" thickBot="1" x14ac:dyDescent="0.35">
      <c r="B9" s="116"/>
      <c r="C9" s="116"/>
      <c r="D9" s="116"/>
      <c r="E9" s="116"/>
      <c r="F9" s="116"/>
      <c r="G9" s="116"/>
      <c r="H9" s="116"/>
      <c r="I9" s="116"/>
      <c r="J9" s="116"/>
      <c r="K9" s="116"/>
      <c r="L9" s="116"/>
      <c r="M9" s="116"/>
      <c r="N9" s="116"/>
      <c r="O9" s="116"/>
      <c r="P9" s="116"/>
      <c r="Q9" s="116"/>
      <c r="R9" s="116"/>
      <c r="S9" s="116"/>
      <c r="T9" s="116"/>
      <c r="U9" s="116"/>
      <c r="V9" s="116" t="s">
        <v>8913</v>
      </c>
      <c r="W9" t="s">
        <v>17</v>
      </c>
      <c r="X9" s="116"/>
      <c r="Y9" s="116"/>
      <c r="Z9" s="116"/>
      <c r="AA9" s="116"/>
      <c r="AB9" s="116"/>
      <c r="AC9" s="116"/>
      <c r="AD9" s="116"/>
      <c r="AE9" s="116"/>
      <c r="AF9" s="116"/>
      <c r="AG9" s="116"/>
      <c r="AH9" s="116"/>
      <c r="AI9" s="116"/>
      <c r="AJ9" s="116"/>
      <c r="AK9" s="116"/>
      <c r="AL9" s="116"/>
      <c r="AM9" s="116"/>
      <c r="AN9" s="116"/>
      <c r="AO9" s="116"/>
      <c r="AP9" s="116"/>
      <c r="AQ9" s="116"/>
      <c r="AR9" s="116"/>
      <c r="AS9" s="116"/>
      <c r="AT9" s="116"/>
      <c r="AU9" s="754"/>
      <c r="AV9" s="754"/>
      <c r="AW9" s="754"/>
      <c r="AX9" s="754"/>
      <c r="AY9" s="754"/>
      <c r="AZ9" s="754"/>
      <c r="BA9" s="754"/>
      <c r="BB9" s="754"/>
      <c r="BC9" s="8"/>
      <c r="BD9" s="8"/>
      <c r="BE9" s="8"/>
      <c r="BF9" s="8"/>
      <c r="BR9" s="1147" t="s">
        <v>8978</v>
      </c>
      <c r="BS9" s="1125" t="s">
        <v>129</v>
      </c>
      <c r="BT9" s="768" t="s">
        <v>8977</v>
      </c>
      <c r="BU9" s="1126" t="e">
        <f t="shared" si="0"/>
        <v>#VALUE!</v>
      </c>
      <c r="CN9" s="768"/>
      <c r="DJ9" s="257"/>
      <c r="DP9" s="1538"/>
      <c r="DQ9" s="1542"/>
      <c r="DR9" s="10" t="s">
        <v>456</v>
      </c>
      <c r="DS9" s="10"/>
      <c r="DT9" t="s">
        <v>58</v>
      </c>
      <c r="DU9" s="10" t="s">
        <v>456</v>
      </c>
      <c r="DV9" s="1477"/>
      <c r="DW9" s="586"/>
      <c r="DX9" s="837"/>
      <c r="DY9" s="583"/>
      <c r="DZ9" s="583"/>
      <c r="EA9" s="583"/>
      <c r="EB9" s="831">
        <f>VALUE(CONCATENATE(EB7,",",EB8))</f>
        <v>100000</v>
      </c>
      <c r="EC9" s="955">
        <f>IF(EC3="Штраф 50%","",IF(OR(DY6=" в размере",DY3=" в размере"),EB9,""))</f>
        <v>100000</v>
      </c>
      <c r="ED9" s="942" t="str">
        <f>IF(ISERROR(DX45),"",CONCATENATE(DV45,". ",EC45," ",IFERROR(CONCATENATE(EB49,",",EB50),""),IF(ISERROR(CONCATENATE(EB49,",",EB50)),"","₽")))</f>
        <v/>
      </c>
      <c r="EE9" s="768"/>
      <c r="EI9" s="768"/>
      <c r="EO9" s="768"/>
      <c r="EP9" s="768"/>
      <c r="EV9" s="768" t="s">
        <v>8513</v>
      </c>
      <c r="EW9" s="116"/>
      <c r="EX9" s="116"/>
      <c r="EY9" s="116"/>
      <c r="EZ9" s="116"/>
      <c r="FA9" s="116"/>
      <c r="FB9" s="116"/>
      <c r="FC9" s="116"/>
      <c r="FD9" s="768" t="s">
        <v>8513</v>
      </c>
      <c r="FE9" s="116"/>
      <c r="FF9" s="116"/>
      <c r="FG9" s="116"/>
      <c r="FH9" s="768" t="s">
        <v>8513</v>
      </c>
      <c r="FI9" s="116"/>
      <c r="FJ9" s="116"/>
      <c r="FK9" s="116"/>
      <c r="FL9" s="116"/>
      <c r="FM9" s="116"/>
      <c r="FN9" s="768" t="s">
        <v>8513</v>
      </c>
      <c r="FO9" s="116"/>
      <c r="FP9" s="116"/>
      <c r="FQ9" s="116"/>
      <c r="FR9" s="116"/>
      <c r="FS9" s="116"/>
      <c r="FT9" s="116"/>
      <c r="FU9" s="866"/>
      <c r="FV9" s="866"/>
      <c r="FW9" s="866"/>
      <c r="FX9" s="866"/>
      <c r="FY9" s="866"/>
      <c r="FZ9" s="1472">
        <v>2</v>
      </c>
      <c r="GA9" s="877" t="s">
        <v>8512</v>
      </c>
      <c r="GB9" s="876" t="e">
        <f>SEARCH(GA9,$FC$3,GF7)</f>
        <v>#VALUE!</v>
      </c>
      <c r="GC9" s="859" t="str">
        <f>IF(ISERROR(GB9),
IF(ISERROR(GB10),
"ОШИБКА",
GA10),
GA9)</f>
        <v>ОШИБКА</v>
      </c>
      <c r="GD9" s="854" t="e">
        <f>SEARCH(GC9,$FC$3,GF7)+LEN(GC9)</f>
        <v>#VALUE!</v>
      </c>
      <c r="GE9" s="875" t="s">
        <v>8236</v>
      </c>
      <c r="GF9" s="876" t="e">
        <f>SEARCH(GE9,$FC$3,GD9)</f>
        <v>#VALUE!</v>
      </c>
      <c r="GG9" s="854" t="e">
        <f>GF9-GD9</f>
        <v>#VALUE!</v>
      </c>
      <c r="GH9" s="1472" t="e">
        <f>MID($FC$3,GD9,GG9)</f>
        <v>#VALUE!</v>
      </c>
      <c r="GI9" s="877" t="s">
        <v>8457</v>
      </c>
      <c r="GJ9" s="876" t="e">
        <f>SEARCH(GI9,$FC$3,GF9)</f>
        <v>#VALUE!</v>
      </c>
      <c r="GK9" s="859" t="str">
        <f>IF(ISERROR(GJ9),
IF(ISERROR(GJ10),
"ОШИБКА",
GI10),
GI9)</f>
        <v>ОШИБКА</v>
      </c>
      <c r="GL9" s="854" t="e">
        <f>SEARCH(GK9,$FC$3,GF9)+LEN(GK9)</f>
        <v>#VALUE!</v>
      </c>
      <c r="GM9" s="1013" t="s">
        <v>8513</v>
      </c>
      <c r="GN9" s="1013">
        <f>IFERROR(MIN(IFERROR(SEARCH($GM$3,$FC$3,GL9),99999),IFERROR(SEARCH($GM$4,$FC$3,GL9),99999),IFERROR(SEARCH($GM$5,$FC$3,GL9),999999),IFERROR(SEARCH($GM$6,$FC$3,GL9),99999)),"ОШИБКА")</f>
        <v>99999</v>
      </c>
      <c r="GO9" s="854" t="e">
        <f>GN9-GL9</f>
        <v>#VALUE!</v>
      </c>
      <c r="GP9" s="1472" t="e">
        <f>MID($FC$3,GL9,GO9)</f>
        <v>#VALUE!</v>
      </c>
      <c r="GQ9" s="879" t="s">
        <v>8521</v>
      </c>
      <c r="GR9" s="880" t="e">
        <f>SEARCH(GQ9,$FC$3,GN9)</f>
        <v>#VALUE!</v>
      </c>
      <c r="GS9" s="859" t="str">
        <f>IF(ISERROR(GR9),
IF(ISERROR(GR10),
"ОШИБКА",
GQ10),
GQ9)</f>
        <v>ОШИБКА</v>
      </c>
      <c r="GT9" s="854" t="e">
        <f>SEARCH(GS9,$FC$3,GN9)+LEN(GS9)</f>
        <v>#VALUE!</v>
      </c>
      <c r="GU9" s="881" t="s">
        <v>8236</v>
      </c>
      <c r="GV9" s="880" t="e">
        <f>SEARCH(GU9,$FC$3,GT9)</f>
        <v>#VALUE!</v>
      </c>
      <c r="GW9" s="854" t="e">
        <f>GV9-GT9</f>
        <v>#VALUE!</v>
      </c>
      <c r="GX9" s="1472" t="e">
        <f>MID($FC$3,GT9,GW9)</f>
        <v>#VALUE!</v>
      </c>
      <c r="GY9" s="116"/>
      <c r="GZ9" s="116"/>
      <c r="HA9" s="116"/>
      <c r="HB9" s="116"/>
      <c r="HC9" s="116"/>
      <c r="HD9" s="116"/>
      <c r="HE9" s="116"/>
      <c r="HG9" s="116"/>
      <c r="HH9" s="116"/>
      <c r="HI9" s="116"/>
      <c r="HJ9" s="116"/>
      <c r="HK9" s="1511"/>
      <c r="HL9" s="960" t="str">
        <f>GP5</f>
        <v>Е718ТР161</v>
      </c>
      <c r="HM9" s="116"/>
      <c r="HN9" s="754"/>
      <c r="HO9" s="116"/>
      <c r="HP9" s="116"/>
      <c r="HQ9" s="116"/>
      <c r="HR9" s="116"/>
      <c r="HS9" s="116"/>
      <c r="HT9" s="116"/>
      <c r="HU9" s="116"/>
      <c r="HV9" s="116"/>
      <c r="HW9" s="116"/>
      <c r="HX9" s="116"/>
      <c r="HY9" s="116"/>
      <c r="HZ9" s="116"/>
      <c r="IA9" s="116"/>
      <c r="IB9" s="116"/>
      <c r="IC9" s="116"/>
      <c r="ID9" s="116"/>
      <c r="IE9" s="116"/>
      <c r="IF9" s="116"/>
      <c r="IG9" s="116"/>
      <c r="IH9" s="116"/>
      <c r="II9" s="116"/>
      <c r="IJ9" s="116"/>
      <c r="IK9" s="116"/>
      <c r="IL9" s="116"/>
      <c r="IM9" s="116"/>
      <c r="IN9" s="116"/>
      <c r="IO9" s="116"/>
      <c r="IP9" s="116"/>
      <c r="IQ9" s="116"/>
      <c r="IR9" s="116"/>
      <c r="IS9" s="116"/>
      <c r="IT9" s="116"/>
      <c r="IU9" s="116"/>
      <c r="IV9" s="116"/>
      <c r="IW9" s="116"/>
      <c r="IX9" s="116"/>
      <c r="IY9" s="116"/>
      <c r="IZ9" s="116"/>
      <c r="JA9" s="116"/>
      <c r="JB9" s="116"/>
      <c r="JC9" s="116"/>
      <c r="JD9" s="116"/>
      <c r="JE9" s="116"/>
      <c r="JF9" s="116"/>
      <c r="JG9" s="116"/>
      <c r="JH9" s="116"/>
      <c r="JI9" s="116"/>
      <c r="JJ9" s="116"/>
      <c r="JK9" s="116"/>
      <c r="JL9" s="116"/>
      <c r="JM9" s="116"/>
      <c r="JN9" s="116"/>
      <c r="JO9" s="866"/>
      <c r="JP9" s="866"/>
      <c r="JQ9" s="866"/>
      <c r="JR9" s="866"/>
      <c r="JS9" s="866"/>
      <c r="JT9" s="116"/>
      <c r="JU9" s="116"/>
      <c r="JV9" s="866"/>
      <c r="JW9" s="866"/>
      <c r="JX9" s="866"/>
      <c r="JY9" s="1472"/>
      <c r="JZ9" s="866" t="s">
        <v>8513</v>
      </c>
      <c r="KA9" s="116"/>
      <c r="KB9" s="116"/>
      <c r="KC9" s="116"/>
      <c r="KD9" s="116"/>
      <c r="KE9" s="116"/>
      <c r="KF9" s="116"/>
      <c r="KG9" s="116"/>
      <c r="KJ9" s="866"/>
      <c r="KK9" s="866"/>
      <c r="KN9" s="866"/>
      <c r="KO9" s="866"/>
      <c r="KW9" s="866"/>
      <c r="KX9" s="866"/>
      <c r="LE9" s="866"/>
      <c r="LF9" s="866"/>
      <c r="LG9" s="984" t="s">
        <v>8513</v>
      </c>
      <c r="LH9" s="984" t="e">
        <f t="shared" si="2"/>
        <v>#VALUE!</v>
      </c>
      <c r="LN9" s="866"/>
      <c r="LO9" s="866"/>
      <c r="LT9" s="866"/>
      <c r="LU9" s="866"/>
      <c r="LY9" s="877" t="str">
        <f>CONCATENATE(" Заявитель ",MA3,$CU$3," с заявлением о ",LZ6)</f>
        <v xml:space="preserve"> Заявитель обратился в АО СК «БАСК» с заявлением о страховом возмещении вследствие причинения вреда жизни</v>
      </c>
      <c r="LZ9" s="866"/>
      <c r="MA9" s="866"/>
      <c r="MB9" s="876"/>
      <c r="MC9" s="116"/>
      <c r="MD9" s="116"/>
      <c r="ME9" s="866"/>
      <c r="MF9" s="866"/>
      <c r="MG9" s="866"/>
      <c r="MH9" s="866"/>
      <c r="MI9" s="1186" t="s">
        <v>8513</v>
      </c>
      <c r="MJ9" s="1187"/>
      <c r="ML9" s="866"/>
      <c r="MM9" s="866"/>
      <c r="MN9" s="866"/>
      <c r="MO9" s="866"/>
      <c r="MP9" s="866"/>
      <c r="MQ9" s="866"/>
      <c r="MR9" s="866"/>
      <c r="MS9" s="866"/>
      <c r="MT9" s="866"/>
      <c r="MU9" s="866"/>
      <c r="MV9" s="866"/>
      <c r="MW9" s="866"/>
      <c r="MX9" s="1472"/>
      <c r="MY9" s="988" t="s">
        <v>8513</v>
      </c>
      <c r="MZ9" s="984" t="e">
        <f t="shared" si="3"/>
        <v>#VALUE!</v>
      </c>
      <c r="NA9" s="984"/>
      <c r="NB9" s="920"/>
      <c r="NC9" s="920"/>
      <c r="ND9" s="984"/>
      <c r="NE9" s="984"/>
      <c r="NF9" s="984"/>
      <c r="NG9" s="1474"/>
      <c r="NK9" s="1477"/>
      <c r="NL9" s="586"/>
      <c r="NM9" s="837"/>
      <c r="NN9" s="583"/>
      <c r="NO9" s="583"/>
      <c r="NP9" s="583"/>
      <c r="NQ9" s="831" t="e">
        <f>VALUE(CONCATENATE(NQ7,",",NQ8))</f>
        <v>#VALUE!</v>
      </c>
      <c r="NR9" s="832" t="str">
        <f>IF(NR3="Штраф 50%","",IF(OR(NN6=" в размере",NN3=" в размере"),NQ9,""))</f>
        <v/>
      </c>
      <c r="NS9" s="844" t="str">
        <f>IF(NR45="","",CONCATENATE(NK45,". ",NR45," ",IFERROR(CONCATENATE(NQ49,",",NQ50),""),IF(ISERROR(CONCATENATE(NQ49,",",NQ50)),"","₽")))</f>
        <v/>
      </c>
      <c r="NT9" s="1105" t="str">
        <f t="shared" si="4"/>
        <v/>
      </c>
      <c r="NU9" s="993" t="s">
        <v>8513</v>
      </c>
      <c r="NV9" s="994"/>
      <c r="NW9" s="920"/>
      <c r="NX9" s="920"/>
      <c r="NY9" s="994"/>
      <c r="NZ9" s="994"/>
      <c r="OA9" s="994"/>
      <c r="OB9" s="1535"/>
      <c r="OC9" s="1472"/>
      <c r="OD9" s="946" t="s">
        <v>8513</v>
      </c>
      <c r="OE9" s="947" t="e">
        <f t="shared" si="5"/>
        <v>#VALUE!</v>
      </c>
      <c r="OF9" s="947"/>
      <c r="OG9" s="920"/>
      <c r="OH9" s="920"/>
      <c r="OI9" s="947"/>
      <c r="OJ9" s="947"/>
      <c r="OK9" s="947"/>
      <c r="OL9" s="1474"/>
      <c r="OM9" s="869"/>
      <c r="ON9" s="817"/>
      <c r="OO9" s="943"/>
      <c r="OP9" s="1069"/>
      <c r="OQ9" s="935" t="s">
        <v>8513</v>
      </c>
      <c r="OR9" s="937"/>
      <c r="OS9" s="920"/>
      <c r="OT9" s="920"/>
      <c r="OU9" s="937"/>
      <c r="OV9" s="937"/>
      <c r="OW9" s="937"/>
      <c r="OX9" s="979"/>
      <c r="OY9" t="s">
        <v>8513</v>
      </c>
      <c r="OZ9" s="937"/>
      <c r="PA9" t="s">
        <v>8513</v>
      </c>
      <c r="PB9" s="937"/>
      <c r="PC9" s="5"/>
      <c r="PD9" s="1070"/>
      <c r="PE9" t="s">
        <v>8513</v>
      </c>
      <c r="PF9" s="1209"/>
      <c r="PG9" t="s">
        <v>8513</v>
      </c>
      <c r="PH9" s="937"/>
      <c r="PI9" s="5"/>
      <c r="PJ9" s="1073"/>
      <c r="PK9" t="s">
        <v>8513</v>
      </c>
      <c r="PL9" s="947"/>
      <c r="PM9" t="s">
        <v>8513</v>
      </c>
      <c r="PN9" s="937"/>
      <c r="PO9" s="5"/>
      <c r="PP9" s="1064"/>
      <c r="PQ9" t="s">
        <v>8513</v>
      </c>
      <c r="PR9" s="937" t="e">
        <f t="shared" si="22"/>
        <v>#VALUE!</v>
      </c>
      <c r="PS9" s="5"/>
      <c r="PV9" s="937"/>
      <c r="PX9" s="5"/>
      <c r="PY9" s="1470"/>
      <c r="PZ9" t="s">
        <v>8513</v>
      </c>
      <c r="QA9" s="937" t="e">
        <f t="shared" si="6"/>
        <v>#VALUE!</v>
      </c>
      <c r="QB9" s="5"/>
      <c r="QC9" s="264"/>
      <c r="QE9" s="937"/>
      <c r="QF9" s="264"/>
      <c r="QG9" s="5"/>
      <c r="QH9" s="1470"/>
      <c r="QI9" t="s">
        <v>8513</v>
      </c>
      <c r="QJ9" s="937" t="e">
        <f t="shared" si="7"/>
        <v>#VALUE!</v>
      </c>
      <c r="QK9" s="5"/>
      <c r="QL9" s="264"/>
      <c r="QN9" s="937"/>
      <c r="QO9" s="264"/>
      <c r="QP9" s="5"/>
      <c r="QQ9" s="1470"/>
      <c r="QR9" t="s">
        <v>8513</v>
      </c>
      <c r="QS9" s="937" t="e">
        <f t="shared" si="8"/>
        <v>#VALUE!</v>
      </c>
      <c r="QT9" s="5"/>
      <c r="QU9" s="264"/>
      <c r="QW9" s="937"/>
      <c r="QX9" s="264"/>
      <c r="QY9" s="5"/>
      <c r="QZ9" s="1470"/>
      <c r="RA9" s="1098" t="s">
        <v>5580</v>
      </c>
      <c r="RB9" s="1099" t="str">
        <f>IFERROR(QZ3,"")</f>
        <v/>
      </c>
      <c r="RC9" s="1069"/>
      <c r="RD9" s="1148" t="s">
        <v>8513</v>
      </c>
      <c r="RE9" s="1059"/>
      <c r="RF9" s="920"/>
      <c r="RG9" s="920"/>
      <c r="RH9" s="1059"/>
      <c r="RI9" s="1059"/>
      <c r="RJ9" s="1059"/>
      <c r="RK9" s="979"/>
      <c r="RL9" s="1055"/>
      <c r="RM9" s="1180" t="s">
        <v>8513</v>
      </c>
      <c r="RN9" s="1181"/>
      <c r="RO9" s="1061"/>
      <c r="RP9" t="s">
        <v>8513</v>
      </c>
      <c r="RQ9" s="854"/>
      <c r="RR9" t="s">
        <v>8513</v>
      </c>
      <c r="RS9" s="1059"/>
      <c r="RT9" s="5"/>
      <c r="RU9" s="1070"/>
      <c r="RV9" t="s">
        <v>8513</v>
      </c>
      <c r="RW9" s="854"/>
      <c r="RX9" t="s">
        <v>8513</v>
      </c>
      <c r="RY9" s="1059"/>
      <c r="RZ9" s="5"/>
      <c r="SA9" s="1070"/>
      <c r="SB9" t="s">
        <v>8513</v>
      </c>
      <c r="SC9" s="854"/>
      <c r="SD9" t="s">
        <v>8513</v>
      </c>
      <c r="SE9" s="1059"/>
      <c r="SF9" s="5"/>
      <c r="SG9" s="1070"/>
      <c r="SH9" s="1070"/>
      <c r="SI9" s="1055"/>
      <c r="SJ9" s="927" t="s">
        <v>8957</v>
      </c>
      <c r="SK9" s="928"/>
      <c r="SL9" s="920"/>
      <c r="SM9" s="920"/>
      <c r="SN9" s="928"/>
      <c r="SO9" s="928"/>
      <c r="SP9" s="928"/>
      <c r="SQ9" s="979"/>
      <c r="SR9" s="882"/>
      <c r="SS9" s="1173" t="s">
        <v>8513</v>
      </c>
      <c r="ST9" s="1174"/>
      <c r="SV9" t="s">
        <v>9604</v>
      </c>
      <c r="SW9" s="1181" t="e">
        <f t="shared" si="115"/>
        <v>#VALUE!</v>
      </c>
      <c r="SY9" s="1477"/>
      <c r="SZ9" s="586"/>
      <c r="TA9" s="837"/>
      <c r="TB9" s="583"/>
      <c r="TC9" s="583"/>
      <c r="TD9" s="583"/>
      <c r="TE9" s="831" t="e">
        <f>VALUE(CONCATENATE(TE7,",",TE8))</f>
        <v>#VALUE!</v>
      </c>
      <c r="TF9" s="832" t="str">
        <f>IF(OR(TF3="Штраф 50%",TF3=""),"",TE9)</f>
        <v/>
      </c>
      <c r="TG9" s="844" t="str">
        <f>IF(TF45="","",CONCATENATE(SY45,". ",TF45," ",IFERROR(CONCATENATE(TE49,",",TE50),""),IF(ISERROR(CONCATENATE(TE49,",",TE50)),"","₽")))</f>
        <v/>
      </c>
      <c r="TH9" t="s">
        <v>8513</v>
      </c>
      <c r="TI9" s="1181" t="e">
        <f t="shared" si="128"/>
        <v>#VALUE!</v>
      </c>
      <c r="TK9" s="1488">
        <v>2</v>
      </c>
      <c r="TL9" s="1030" t="s">
        <v>8433</v>
      </c>
      <c r="TM9" s="406" t="e">
        <f>SEARCH($TJ$14,TJ$4,TO5)+LEN($TJ$14)</f>
        <v>#VALUE!</v>
      </c>
      <c r="TN9" s="406" t="str">
        <f>IF(TO9=IFERROR(SEARCH(".",TJ$4,TM9),99999),".",
IF(TO9=IFERROR(SEARCH(",",TJ$4,TM9),99999),",",
IF(TO9=IFERROR(SEARCH(" за период",TJ$4,TM9),999999)," за период",
IF(TO9=IFERROR(SEARCH(" в размере",TJ$4,TM9),99999)," в размере",
IF(TO9=IFERROR(SEARCH(" и ",TJ$4,TM9),99999)," и ",
IF(TO9=IFERROR(SEARCH(")",TJ$4,TM9),99999),")",
))))))</f>
        <v>.</v>
      </c>
      <c r="TO9" s="406">
        <f>IFERROR(MIN(IFERROR(SEARCH(".",TJ$4,TM9),99999),IFERROR(SEARCH(",",TJ$4,TM9),99999),IFERROR(SEARCH(" за период",TJ$4,TM9),999999),IFERROR(SEARCH(" в размере",TJ$4,TM9),99999),IFERROR(SEARCH(" и ",TJ$4,TM9),99999),IFERROR(SEARCH(")",TJ$4,TM9),99999)),"ОШИБКА")</f>
        <v>99999</v>
      </c>
      <c r="TP9" s="406" t="e">
        <f>TO9-TM9</f>
        <v>#VALUE!</v>
      </c>
      <c r="TQ9" s="873" t="e">
        <f>MID(TJ$4,TM9,TP9)</f>
        <v>#VALUE!</v>
      </c>
      <c r="TR9" s="825" t="str">
        <f>IFERROR(INDEX($DU:$DU,MATCH(MID(TJ$4,TM9,TP9),$DT:$DT,0),1),"")</f>
        <v/>
      </c>
      <c r="TS9" s="843" t="str">
        <f>IF(TR29="","",CONCATENATE(TK29,". ",TR29," ",IFERROR(CONCATENATE(TQ30,",",TQ31),""),IF(ISERROR(CONCATENATE(TQ30,",",TQ31)),"","₽")))</f>
        <v/>
      </c>
      <c r="TT9" t="str">
        <f t="shared" si="27"/>
        <v xml:space="preserve">перечислило в пользу Представителя </v>
      </c>
      <c r="TU9" s="1181" t="e">
        <f t="shared" si="116"/>
        <v>#VALUE!</v>
      </c>
      <c r="TW9" s="1477"/>
      <c r="TX9" s="586"/>
      <c r="TY9" s="837"/>
      <c r="TZ9" s="583"/>
      <c r="UA9" s="583"/>
      <c r="UB9" s="583"/>
      <c r="UC9" s="831" t="e">
        <f>VALUE(CONCATENATE(UC7,",",UC8))</f>
        <v>#VALUE!</v>
      </c>
      <c r="UD9" s="832" t="str">
        <f>IF(OR(UD3="Штраф 50%",UD3=""),"",UC9)</f>
        <v/>
      </c>
      <c r="UE9" s="844" t="str">
        <f>IF(UD45="","",CONCATENATE(TW45,". ",UD45," ",IFERROR(CONCATENATE(UC49,",",UC50),""),IF(ISERROR(CONCATENATE(UC49,",",UC50)),"","₽")))</f>
        <v/>
      </c>
      <c r="UI9" s="1488">
        <v>2</v>
      </c>
      <c r="UJ9" s="1030" t="s">
        <v>8433</v>
      </c>
      <c r="UK9" s="406" t="e">
        <f>SEARCH(UH$14,UH$4,UM5)+LEN(UH$14)</f>
        <v>#VALUE!</v>
      </c>
      <c r="UL9" s="406" t="str">
        <f>IF(UM9=IFERROR(SEARCH(".",UH$4,UK9),99999),".",
IF(UM9=IFERROR(SEARCH(",",UH$4,UK9),99999),",",
IF(UM9=IFERROR(SEARCH(" за период",UH$4,UK9),999999)," за период",
IF(UM9=IFERROR(SEARCH(" в размере",UH$4,UK9),99999)," в размере",
IF(UM9=IFERROR(SEARCH(" и ",UH$4,UK9),99999)," и ",
IF(UM9=IFERROR(SEARCH(")",UH$4,UK9),99999),")",
))))))</f>
        <v>.</v>
      </c>
      <c r="UM9" s="406">
        <f>IFERROR(MIN(IFERROR(SEARCH(".",UH$4,UK9),99999),IFERROR(SEARCH(",",UH$4,UK9),99999),IFERROR(SEARCH(" за период",UH$4,UK9),999999),IFERROR(SEARCH(" в размере",UH$4,UK9),99999),IFERROR(SEARCH(" и ",UH$4,UK9),99999),IFERROR(SEARCH(")",UH$4,UK9),99999)),"ОШИБКА")</f>
        <v>99999</v>
      </c>
      <c r="UN9" s="406" t="e">
        <f>UM9-UK9</f>
        <v>#VALUE!</v>
      </c>
      <c r="UO9" s="873" t="e">
        <f>MID(UH$4,UK9,UN9)</f>
        <v>#VALUE!</v>
      </c>
      <c r="UP9" s="825" t="str">
        <f>IFERROR(INDEX($DU:$DU,MATCH(MID(UH$4,UK9,UN9),$DT:$DT,0),1),"")</f>
        <v/>
      </c>
      <c r="UQ9" s="843" t="str">
        <f>IF(UP29="","",CONCATENATE(UI29,". ",UP29," ",IFERROR(CONCATENATE(UO30,",",UO31),""),IF(ISERROR(CONCATENATE(UO30,",",UO31)),"","₽")))</f>
        <v/>
      </c>
      <c r="UR9" t="str">
        <f t="shared" si="28"/>
        <v xml:space="preserve">перечислило в пользу Представителя </v>
      </c>
      <c r="US9" s="1181" t="e">
        <f t="shared" si="117"/>
        <v>#VALUE!</v>
      </c>
      <c r="UU9" s="1477"/>
      <c r="UV9" s="586"/>
      <c r="UW9" s="837"/>
      <c r="UX9" s="583"/>
      <c r="UY9" s="583"/>
      <c r="UZ9" s="583"/>
      <c r="VA9" s="831" t="e">
        <f>VALUE(CONCATENATE(VA7,",",VA8))</f>
        <v>#VALUE!</v>
      </c>
      <c r="VB9" s="832" t="str">
        <f>IFERROR(IF(OR(VB3="Штраф 50%",VB3=""),"",VA9),0)</f>
        <v/>
      </c>
      <c r="VC9" s="844" t="str">
        <f>IF(VB45="","",CONCATENATE(UU45,". ",VB45," ",IFERROR(CONCATENATE(VA49,",",VA50),""),IF(ISERROR(CONCATENATE(VA49,",",VA50)),"","₽")))</f>
        <v/>
      </c>
      <c r="VG9" s="1488">
        <v>2</v>
      </c>
      <c r="VH9" s="1030" t="s">
        <v>8433</v>
      </c>
      <c r="VI9" s="406" t="e">
        <f>SEARCH(VF$14,VF$4,VK5)+LEN(VF$14)</f>
        <v>#VALUE!</v>
      </c>
      <c r="VJ9" s="406" t="str">
        <f>IF(VK9=IFERROR(SEARCH(".",VF$4,VI9),99999),".",
IF(VK9=IFERROR(SEARCH(",",VF$4,VI9),99999),",",
IF(VK9=IFERROR(SEARCH(" за период",VF$4,VI9),999999)," за период",
IF(VK9=IFERROR(SEARCH(" в размере",VF$4,VI9),99999)," в размере",
IF(VK9=IFERROR(SEARCH(" и ",VF$4,VI9),99999)," и ",
IF(VK9=IFERROR(SEARCH(")",VF$4,VI9),99999),")",
))))))</f>
        <v>.</v>
      </c>
      <c r="VK9" s="406">
        <f>IFERROR(MIN(IFERROR(SEARCH(".",VF$4,VI9),99999),IFERROR(SEARCH(",",VF$4,VI9),99999),IFERROR(SEARCH(" за период",VF$4,VI9),999999),IFERROR(SEARCH(" в размере",VF$4,VI9),99999),IFERROR(SEARCH(" и ",VF$4,VI9),99999),IFERROR(SEARCH(")",VF$4,VI9),99999)),"ОШИБКА")</f>
        <v>99999</v>
      </c>
      <c r="VL9" s="406" t="e">
        <f>VK9-VI9</f>
        <v>#VALUE!</v>
      </c>
      <c r="VM9" s="873" t="e">
        <f>MID(VF$4,VI9,VL9)</f>
        <v>#VALUE!</v>
      </c>
      <c r="VN9" s="825" t="str">
        <f>IFERROR(INDEX($DU:$DU,MATCH(MID(VF$4,VI9,VL9),$DT:$DT,0),1),"")</f>
        <v/>
      </c>
      <c r="VO9" s="843" t="str">
        <f>IF(VN29="","",CONCATENATE(VG29,". ",VN29," ",IFERROR(CONCATENATE(VM30,",",VM31),""),IF(ISERROR(CONCATENATE(VM30,",",VM31)),"","₽")))</f>
        <v/>
      </c>
      <c r="VP9" t="str">
        <f t="shared" si="29"/>
        <v xml:space="preserve">перечислило в пользу Представителя </v>
      </c>
      <c r="VQ9" s="1181" t="e">
        <f t="shared" si="118"/>
        <v>#VALUE!</v>
      </c>
      <c r="VS9" s="1477"/>
      <c r="VT9" s="586"/>
      <c r="VU9" s="837"/>
      <c r="VV9" s="583"/>
      <c r="VW9" s="583"/>
      <c r="VX9" s="583"/>
      <c r="VY9" s="831" t="e">
        <f>VALUE(CONCATENATE(VY7,",",VY8))</f>
        <v>#VALUE!</v>
      </c>
      <c r="VZ9" s="832" t="str">
        <f>IF(OR(VZ3="Штраф 50%",VZ3=""),"",VY9)</f>
        <v/>
      </c>
      <c r="WA9" s="844" t="str">
        <f>IF(VZ45="","",CONCATENATE(VS45,". ",VZ45," ",IFERROR(CONCATENATE(VY49,",",VY50),""),IF(ISERROR(CONCATENATE(VY49,",",VY50)),"","₽")))</f>
        <v/>
      </c>
      <c r="WE9" s="1488">
        <v>2</v>
      </c>
      <c r="WF9" s="1030" t="s">
        <v>8433</v>
      </c>
      <c r="WG9" s="406" t="e">
        <f>SEARCH(WD14,WD$4,WI5)+LEN(WD14)</f>
        <v>#VALUE!</v>
      </c>
      <c r="WH9" s="406" t="str">
        <f>IF(WI9=IFERROR(SEARCH(".",WD$4,WG9),99999),".",
IF(WI9=IFERROR(SEARCH(",",WD$4,WG9),99999),",",
IF(WI9=IFERROR(SEARCH(" за период",WD$4,WG9),999999)," за период",
IF(WI9=IFERROR(SEARCH(" в размере",WD$4,WG9),99999)," в размере",
IF(WI9=IFERROR(SEARCH(" и ",WD$4,WG9),99999)," и ",
IF(WI9=IFERROR(SEARCH(")",WD$4,WG9),99999),")",
))))))</f>
        <v>.</v>
      </c>
      <c r="WI9" s="406">
        <f>IFERROR(MIN(IFERROR(SEARCH(".",WD$4,WG9),99999),IFERROR(SEARCH(",",WD$4,WG9),99999),IFERROR(SEARCH(" за период",WD$4,WG9),999999),IFERROR(SEARCH(" в размере",WD$4,WG9),99999),IFERROR(SEARCH(" и ",WD$4,WG9),99999),IFERROR(SEARCH(")",WD$4,WG9),99999)),"ОШИБКА")</f>
        <v>99999</v>
      </c>
      <c r="WJ9" s="406" t="e">
        <f>WI9-WG9</f>
        <v>#VALUE!</v>
      </c>
      <c r="WK9" s="873" t="e">
        <f>MID(WD$4,WG9,WJ9)</f>
        <v>#VALUE!</v>
      </c>
      <c r="WL9" s="825" t="str">
        <f>IFERROR(INDEX($DU:$DU,MATCH(MID(WD$4,WG9,WJ9),$DT:$DT,0),1),"")</f>
        <v/>
      </c>
      <c r="WM9" s="843" t="str">
        <f>IF(WL29="","",CONCATENATE(WE29,". ",WL29," ",IFERROR(CONCATENATE(WK30,",",WK31),""),IF(ISERROR(CONCATENATE(WK30,",",WK31)),"","₽")))</f>
        <v/>
      </c>
      <c r="WN9" t="str">
        <f t="shared" si="30"/>
        <v xml:space="preserve">перечислило в пользу Представителя </v>
      </c>
      <c r="WO9" s="1181" t="e">
        <f t="shared" si="119"/>
        <v>#VALUE!</v>
      </c>
      <c r="WQ9" s="1477"/>
      <c r="WR9" s="586"/>
      <c r="WS9" s="837"/>
      <c r="WT9" s="583"/>
      <c r="WU9" s="583"/>
      <c r="WV9" s="583"/>
      <c r="WW9" s="831" t="e">
        <f>VALUE(CONCATENATE(WW7,",",WW8))</f>
        <v>#VALUE!</v>
      </c>
      <c r="WX9" s="832" t="str">
        <f>IF(OR(WX3="Штраф 50%",WX3=""),"",WW9)</f>
        <v/>
      </c>
      <c r="WY9" s="844" t="str">
        <f>IF(WX45="","",CONCATENATE(WQ45,". ",WX45," ",IFERROR(CONCATENATE(WW49,",",WW50),""),IF(ISERROR(CONCATENATE(WW49,",",WW50)),"","₽")))</f>
        <v/>
      </c>
      <c r="XC9" s="1488">
        <v>2</v>
      </c>
      <c r="XD9" s="1030" t="s">
        <v>8433</v>
      </c>
      <c r="XE9" s="406" t="e">
        <f>SEARCH($TJ$14,XB$4,XG5)+LEN($TJ$14)</f>
        <v>#VALUE!</v>
      </c>
      <c r="XF9" s="406" t="str">
        <f>IF(XG9=IFERROR(SEARCH(".",XB$4,XE9),99999),".",
IF(XG9=IFERROR(SEARCH(",",XB$4,XE9),99999),",",
IF(XG9=IFERROR(SEARCH(" за период",XB$4,XE9),999999)," за период",
IF(XG9=IFERROR(SEARCH(" в размере",XB$4,XE9),99999)," в размере",
IF(XG9=IFERROR(SEARCH(" и ",XB$4,XE9),99999)," и ",
IF(XG9=IFERROR(SEARCH(")",XB$4,XE9),99999),")",
))))))</f>
        <v>.</v>
      </c>
      <c r="XG9" s="406">
        <f>IFERROR(MIN(IFERROR(SEARCH(".",XB$4,XE9),99999),IFERROR(SEARCH(",",XB$4,XE9),99999),IFERROR(SEARCH(" за период",XB$4,XE9),999999),IFERROR(SEARCH(" в размере",XB$4,XE9),99999),IFERROR(SEARCH(" и ",XB$4,XE9),99999),IFERROR(SEARCH(")",XB$4,XE9),99999)),"ОШИБКА")</f>
        <v>99999</v>
      </c>
      <c r="XH9" s="406" t="e">
        <f>XG9-XE9</f>
        <v>#VALUE!</v>
      </c>
      <c r="XI9" s="873" t="e">
        <f>MID(XB$4,XE9,XH9)</f>
        <v>#VALUE!</v>
      </c>
      <c r="XJ9" s="825" t="str">
        <f>IFERROR(INDEX($DU:$DU,MATCH(MID(XB$4,XE9,XH9),$DT:$DT,0),1),"")</f>
        <v/>
      </c>
      <c r="XK9" s="843" t="str">
        <f>IF(XJ29="","",CONCATENATE(XC29,". ",XJ29," ",IFERROR(CONCATENATE(XI30,",",XI31),""),IF(ISERROR(CONCATENATE(XI30,",",XI31)),"","₽")))</f>
        <v/>
      </c>
      <c r="XL9" s="1090" t="str">
        <f>IFERROR(CONCATENATE(DATES!C21," ",TEXT(VALUE(CONCATENATE(LEFT(DATES!E21,SEARCH(",",TEXT(DATES!E21,"0,00"))-1),",",RIGHT(TEXT(DATES!E21,"0,00"),2))),"0 000,00"),"₽"),"")</f>
        <v xml:space="preserve"> 0 000,00₽</v>
      </c>
      <c r="XN9" s="1046" t="s">
        <v>9466</v>
      </c>
      <c r="XP9" s="920"/>
      <c r="XQ9" s="920"/>
      <c r="XR9" s="936"/>
      <c r="XV9" s="869"/>
      <c r="XW9" s="1180" t="s">
        <v>8513</v>
      </c>
      <c r="XX9" s="1181"/>
      <c r="XZ9" s="876" t="s">
        <v>717</v>
      </c>
      <c r="YA9" s="876">
        <f>SEARCH(MA$3,$XU$6)</f>
        <v>22</v>
      </c>
      <c r="YB9" s="885" t="str">
        <f>IF(ISERROR(YA9),
IF(ISERROR(YA10),
"ОШИБКА",
XZ10),
XZ9)</f>
        <v>МУЖ</v>
      </c>
      <c r="YC9" s="1472" t="str">
        <f>YB9</f>
        <v>МУЖ</v>
      </c>
      <c r="YD9" t="s">
        <v>8513</v>
      </c>
      <c r="YE9" s="1181" t="e">
        <f t="shared" si="129"/>
        <v>#VALUE!</v>
      </c>
      <c r="YG9" s="1477"/>
      <c r="YH9" s="586"/>
      <c r="YI9" s="837"/>
      <c r="YJ9" s="583"/>
      <c r="YK9" s="583"/>
      <c r="YL9" s="583"/>
      <c r="YM9" s="831" t="e">
        <f>VALUE(CONCATENATE(YM7,",",YM8))</f>
        <v>#VALUE!</v>
      </c>
      <c r="YN9" s="832" t="str">
        <f>IF(YN3="Штраф 50%","",IF(OR(YJ6=" в размере",YJ3=" в размере"),YM9,""))</f>
        <v/>
      </c>
      <c r="YO9" s="844" t="str">
        <f>IF(ISERROR(YI45),"",CONCATENATE(YG45,". ",YN45," ",IFERROR(CONCATENATE(YM49,",",YM50),""),IF(ISERROR(CONCATENATE(YM49,",",YM50)),"","₽")))</f>
        <v/>
      </c>
      <c r="YP9" s="884" t="str">
        <f t="shared" si="100"/>
        <v>$$$$</v>
      </c>
      <c r="YQ9" s="1181" t="e">
        <f t="shared" si="130"/>
        <v>#VALUE!</v>
      </c>
      <c r="YS9" s="1477"/>
      <c r="YT9" s="586"/>
      <c r="YU9" s="837"/>
      <c r="YV9" s="583"/>
      <c r="YW9" s="583"/>
      <c r="YX9" s="583"/>
      <c r="YY9" s="831" t="e">
        <f>VALUE(CONCATENATE(YY7,",",YY8))</f>
        <v>#VALUE!</v>
      </c>
      <c r="YZ9" s="832" t="str">
        <f>IF(YZ3="Штраф 50%","",IF(OR(YV6=" в размере",YV3=" в размере"),YY9,""))</f>
        <v/>
      </c>
      <c r="ZA9" s="844" t="str">
        <f>IF(ISERROR(YU45),"",CONCATENATE(YS45,". ",YZ45," ",IFERROR(CONCATENATE(YY49,",",YY50),""),IF(ISERROR(CONCATENATE(YY49,",",YY50)),"","₽")))</f>
        <v/>
      </c>
      <c r="ZB9" t="str">
        <f t="shared" si="31"/>
        <v>$$$$</v>
      </c>
      <c r="ZC9" s="1181" t="e">
        <f t="shared" si="120"/>
        <v>#VALUE!</v>
      </c>
      <c r="ZE9" s="1477"/>
      <c r="ZF9" s="586"/>
      <c r="ZG9" s="837"/>
      <c r="ZH9" s="583"/>
      <c r="ZI9" s="583"/>
      <c r="ZJ9" s="583"/>
      <c r="ZK9" s="831" t="e">
        <f>VALUE(CONCATENATE(ZK7,",",ZK8))</f>
        <v>#VALUE!</v>
      </c>
      <c r="ZL9" s="832" t="str">
        <f>IF(ZL3="Штраф 50%","",IF(OR(ZH6=" в размере",ZH3=" в размере"),ZK9,""))</f>
        <v/>
      </c>
      <c r="ZM9" s="844" t="str">
        <f>IF(ISERROR(ZG45),"",CONCATENATE(ZE45,". ",ZL45," ",IFERROR(CONCATENATE(ZK49,",",ZK50),""),IF(ISERROR(CONCATENATE(ZK49,",",ZK50)),"","₽")))</f>
        <v/>
      </c>
      <c r="ZN9" t="str">
        <f t="shared" si="32"/>
        <v>$$$$</v>
      </c>
      <c r="ZO9" s="1181" t="e">
        <f t="shared" si="121"/>
        <v>#VALUE!</v>
      </c>
      <c r="ZQ9" s="1477"/>
      <c r="ZR9" s="586"/>
      <c r="ZS9" s="837"/>
      <c r="ZT9" s="583"/>
      <c r="ZU9" s="583"/>
      <c r="ZV9" s="583"/>
      <c r="ZW9" s="831">
        <f>VALUE(CONCATENATE(ZW7,",",ZW8))</f>
        <v>100000</v>
      </c>
      <c r="ZX9" s="832">
        <f>IF(ZX3="Штраф 50%","",IF(OR(ZT6=" в размере",ZT3=" в размере"),ZW9,""))</f>
        <v>100000</v>
      </c>
      <c r="ZY9" s="844" t="str">
        <f>IF(ISERROR(ZS45),"",CONCATENATE(ZQ45,". ",ZX45," ",IFERROR(CONCATENATE(ZW49,",",ZW50),""),IF(ISERROR(CONCATENATE(ZW49,",",ZW50)),"","₽")))</f>
        <v/>
      </c>
      <c r="ZZ9" t="str">
        <f t="shared" si="33"/>
        <v>$$$$</v>
      </c>
      <c r="AAA9" s="1181" t="e">
        <f t="shared" si="122"/>
        <v>#VALUE!</v>
      </c>
      <c r="AAC9" s="1477"/>
      <c r="AAD9" s="586"/>
      <c r="AAE9" s="837"/>
      <c r="AAF9" s="583"/>
      <c r="AAG9" s="583"/>
      <c r="AAH9" s="583"/>
      <c r="AAI9" s="831" t="e">
        <f>VALUE(CONCATENATE(AAI7,",",AAI8))</f>
        <v>#VALUE!</v>
      </c>
      <c r="AAJ9" s="832" t="str">
        <f>IF(AAJ3="Штраф 50%","",IF(OR(AAF6=" в размере",AAF3=" в размере"),AAI9,""))</f>
        <v/>
      </c>
      <c r="AAK9" s="844" t="str">
        <f>IF(ISERROR(AAE45),"",CONCATENATE(AAC45,". ",AAJ45," ",IFERROR(CONCATENATE(AAI49,",",AAI50),""),IF(ISERROR(CONCATENATE(AAI49,",",AAI50)),"","₽")))</f>
        <v/>
      </c>
      <c r="AAL9" s="1090" t="str">
        <f>IF(DATES!O8="","",DATES!O8)</f>
        <v/>
      </c>
      <c r="AAM9" s="1066"/>
      <c r="AAN9" s="946" t="s">
        <v>8513</v>
      </c>
      <c r="AAO9" s="947"/>
      <c r="AAP9" s="920"/>
      <c r="AAQ9" s="920"/>
      <c r="AAR9" s="947"/>
      <c r="AAS9" s="947"/>
      <c r="AAT9" s="947"/>
      <c r="AAU9" s="979"/>
      <c r="AAV9" t="s">
        <v>8513</v>
      </c>
      <c r="AAW9" s="947" t="e">
        <f t="shared" si="9"/>
        <v>#VALUE!</v>
      </c>
      <c r="AAX9" s="5"/>
      <c r="AAY9" s="5"/>
      <c r="AAZ9" s="5"/>
      <c r="ABA9" s="1486"/>
      <c r="ABC9" s="1067"/>
      <c r="ABD9" s="935" t="s">
        <v>10650</v>
      </c>
      <c r="ABE9" s="937"/>
      <c r="ABF9" s="920"/>
      <c r="ABG9" s="920"/>
      <c r="ABH9" s="937"/>
      <c r="ABI9" s="937"/>
      <c r="ABJ9" s="937"/>
      <c r="ABK9" s="979"/>
      <c r="ABL9" t="s">
        <v>8513</v>
      </c>
      <c r="ABM9" s="854"/>
      <c r="ABN9" t="s">
        <v>8513</v>
      </c>
      <c r="ABO9" s="937"/>
      <c r="ABP9" s="5"/>
      <c r="ABQ9" s="1070"/>
      <c r="ABR9" t="s">
        <v>8513</v>
      </c>
      <c r="ABS9" s="937"/>
      <c r="ABT9" t="s">
        <v>8513</v>
      </c>
      <c r="ABU9" s="937"/>
      <c r="ABV9" s="5"/>
      <c r="ABW9" s="1073"/>
      <c r="ABX9" t="s">
        <v>8513</v>
      </c>
      <c r="ABY9" s="937"/>
      <c r="ABZ9" t="s">
        <v>8513</v>
      </c>
      <c r="ACA9" s="937"/>
      <c r="ACB9" s="5"/>
      <c r="ACC9" s="1064"/>
      <c r="ACD9" t="s">
        <v>8513</v>
      </c>
      <c r="ACE9" s="937"/>
      <c r="ACF9" s="5"/>
      <c r="ACG9" s="264"/>
      <c r="ACI9" s="937"/>
      <c r="ACJ9" s="264"/>
      <c r="ACK9" s="5"/>
      <c r="ACL9" s="5"/>
      <c r="ACM9" s="1075"/>
      <c r="ACN9" t="s">
        <v>8513</v>
      </c>
      <c r="ACO9" s="937"/>
      <c r="ACP9" s="5"/>
      <c r="ACQ9" s="264"/>
      <c r="ACS9" s="937"/>
      <c r="ACT9" s="264"/>
      <c r="ACU9" s="5"/>
      <c r="ACV9" s="5"/>
      <c r="ACW9" s="1075"/>
      <c r="ACX9" t="s">
        <v>8513</v>
      </c>
      <c r="ACY9" s="937"/>
      <c r="ACZ9" s="5"/>
      <c r="ADA9" s="264"/>
      <c r="ADC9" s="937"/>
      <c r="ADD9" s="264"/>
      <c r="ADE9" s="5"/>
      <c r="ADF9" s="5"/>
      <c r="ADG9" s="1075"/>
      <c r="ADH9" t="s">
        <v>8513</v>
      </c>
      <c r="ADI9" s="937"/>
      <c r="ADJ9" s="5"/>
      <c r="ADK9" s="264"/>
      <c r="ADM9" s="937"/>
      <c r="ADN9" s="264"/>
      <c r="ADO9" s="5"/>
      <c r="ADP9" s="5"/>
      <c r="ADQ9" s="1075"/>
      <c r="ADR9" s="1081" t="str">
        <f>IFERROR(ADQ3,"")</f>
        <v/>
      </c>
      <c r="ADS9" s="1067"/>
      <c r="ADT9" s="946" t="s">
        <v>8513</v>
      </c>
      <c r="ADU9" s="947"/>
      <c r="ADV9" s="920"/>
      <c r="ADW9" s="920"/>
      <c r="ADX9" s="947"/>
      <c r="ADY9" s="947"/>
      <c r="ADZ9" s="947"/>
      <c r="AEA9" s="979"/>
      <c r="AEB9" s="946" t="s">
        <v>8513</v>
      </c>
      <c r="AEC9" s="947"/>
      <c r="AED9" s="920"/>
      <c r="AEE9" s="920"/>
      <c r="AEF9" s="947"/>
      <c r="AEG9" s="947"/>
      <c r="AEH9" s="947"/>
      <c r="AEI9" s="979"/>
      <c r="AEJ9" s="961"/>
      <c r="AEK9" s="961"/>
      <c r="AEL9" s="961"/>
      <c r="AEM9" t="s">
        <v>8513</v>
      </c>
      <c r="AEN9" s="947"/>
      <c r="AEO9" t="s">
        <v>8513</v>
      </c>
      <c r="AEP9" s="947"/>
      <c r="AEQ9" s="5"/>
      <c r="AER9" s="1070"/>
      <c r="AES9" t="s">
        <v>8513</v>
      </c>
      <c r="AET9" s="947"/>
      <c r="AEU9" t="s">
        <v>8513</v>
      </c>
      <c r="AEV9" s="947"/>
      <c r="AEW9" s="5"/>
      <c r="AEX9" s="1070"/>
      <c r="AEY9" t="s">
        <v>8513</v>
      </c>
      <c r="AEZ9" s="947"/>
      <c r="AFA9" s="1070"/>
      <c r="AFE9" s="1477"/>
      <c r="AFF9" s="586"/>
      <c r="AFG9" s="837"/>
      <c r="AFH9" s="583"/>
      <c r="AFI9" s="583"/>
      <c r="AFJ9" s="583"/>
      <c r="AFK9" s="831">
        <f>VALUE(CONCATENATE(AFK7,",",AFK8))</f>
        <v>400000</v>
      </c>
      <c r="AFL9" s="832">
        <f>IF(AFL3="Штраф 50%","",IF(OR(AFH6=" в размере",AFH3=" в размере"),AFK9,""))</f>
        <v>400000</v>
      </c>
      <c r="AFM9" s="844" t="str">
        <f>IF(AFL45="","",CONCATENATE(AFE45,". ",AFL45," ",IFERROR(CONCATENATE(AFK49,",",AFK50),""),IF(ISERROR(CONCATENATE(AFK49,",",AFK50)),"","₽")))</f>
        <v/>
      </c>
      <c r="AFQ9" s="1477"/>
      <c r="AFR9" s="586"/>
      <c r="AFS9" s="837"/>
      <c r="AFT9" s="583"/>
      <c r="AFU9" s="583"/>
      <c r="AFV9" s="583"/>
      <c r="AFW9" s="831" t="e">
        <f>VALUE(CONCATENATE(AFW7,",",AFW8))</f>
        <v>#VALUE!</v>
      </c>
      <c r="AFX9" s="832" t="str">
        <f>IF(AFX3="Штраф 50%","",IF(OR(AFT6=" в размере",AFT3=" в размере"),AFW9,""))</f>
        <v/>
      </c>
      <c r="AFY9" s="844" t="str">
        <f>IF(AFX45="","",CONCATENATE(AFQ45,". ",AFX45," ",IFERROR(CONCATENATE(AFW49,",",AFW50),""),IF(ISERROR(CONCATENATE(AFW49,",",AFW50)),"","₽")))</f>
        <v/>
      </c>
      <c r="AGC9" s="1477"/>
      <c r="AGD9" s="586"/>
      <c r="AGE9" s="837"/>
      <c r="AGF9" s="583"/>
      <c r="AGG9" s="583"/>
      <c r="AGH9" s="583"/>
      <c r="AGI9" s="831" t="e">
        <f>VALUE(CONCATENATE(AGI7,",",AGI8))</f>
        <v>#VALUE!</v>
      </c>
      <c r="AGJ9" s="832" t="str">
        <f>IF(AGJ3="Штраф 50%","",IF(OR(AGF6=" в размере",AGF3=" в размере"),AGI9,""))</f>
        <v/>
      </c>
      <c r="AGK9" s="844" t="str">
        <f>IF(AGJ45="","",CONCATENATE(AGC45,". ",AGJ45," ",IFERROR(CONCATENATE(AGI49,",",AGI50),""),IF(ISERROR(CONCATENATE(AGI49,",",AGI50)),"","₽")))</f>
        <v/>
      </c>
      <c r="AGO9" s="1477"/>
      <c r="AGP9" s="586"/>
      <c r="AGQ9" s="837"/>
      <c r="AGR9" s="583"/>
      <c r="AGS9" s="583"/>
      <c r="AGT9" s="583"/>
      <c r="AGU9" s="831" t="e">
        <f>VALUE(CONCATENATE(AGU7,",",AGU8))</f>
        <v>#VALUE!</v>
      </c>
      <c r="AGV9" s="832" t="str">
        <f>IF(AGV3="Штраф 50%","",IF(OR(AGR6=" в размере",AGR3=" в размере"),AGU9,""))</f>
        <v/>
      </c>
      <c r="AGW9" s="844" t="str">
        <f>IF(AGV45="","",CONCATENATE(AGO45,". ",AGV45," ",IFERROR(CONCATENATE(AGU49,",",AGU50),""),IF(ISERROR(CONCATENATE(AGU49,",",AGU50)),"","₽")))</f>
        <v/>
      </c>
      <c r="AHA9" s="1477"/>
      <c r="AHB9" s="586"/>
      <c r="AHC9" s="837"/>
      <c r="AHD9" s="583"/>
      <c r="AHE9" s="583"/>
      <c r="AHF9" s="583"/>
      <c r="AHG9" s="831" t="e">
        <f>VALUE(CONCATENATE(AHG7,",",AHG8))</f>
        <v>#VALUE!</v>
      </c>
      <c r="AHH9" s="832" t="str">
        <f>IF(AHH3="Штраф 50%","",IF(OR(AHD6=" в размере",AHD3=" в размере"),AHG9,""))</f>
        <v/>
      </c>
      <c r="AHI9" s="844" t="str">
        <f>IF(AHH45="","",CONCATENATE(AHA45,". ",AHH45," ",IFERROR(CONCATENATE(AHG49,",",AHG50),""),IF(ISERROR(CONCATENATE(AHG49,",",AHG50)),"","₽")))</f>
        <v/>
      </c>
      <c r="AHJ9" s="1084"/>
      <c r="AHK9" s="768" t="s">
        <v>8513</v>
      </c>
      <c r="AHL9" s="116"/>
      <c r="AHM9" s="768" t="s">
        <v>8513</v>
      </c>
      <c r="AHT9" s="768" t="s">
        <v>8513</v>
      </c>
      <c r="AHU9" s="116"/>
      <c r="AHV9" s="768" t="s">
        <v>8513</v>
      </c>
      <c r="AHZ9" t="s">
        <v>8513</v>
      </c>
      <c r="AIB9" s="1187" t="e">
        <f t="shared" si="67"/>
        <v>#VALUE!</v>
      </c>
      <c r="AIF9" t="s">
        <v>8513</v>
      </c>
      <c r="AIJ9" t="s">
        <v>9634</v>
      </c>
      <c r="AIK9" t="s">
        <v>9635</v>
      </c>
      <c r="AIL9" s="1187" t="e">
        <f t="shared" si="68"/>
        <v>#VALUE!</v>
      </c>
      <c r="AIP9" t="s">
        <v>8513</v>
      </c>
      <c r="AIT9" t="s">
        <v>8513</v>
      </c>
      <c r="AIV9" s="1187" t="e">
        <f t="shared" si="102"/>
        <v>#VALUE!</v>
      </c>
      <c r="AJB9" t="s">
        <v>8513</v>
      </c>
      <c r="AJH9" t="s">
        <v>9842</v>
      </c>
      <c r="AJI9" t="s">
        <v>9539</v>
      </c>
      <c r="AJJ9" s="1187" t="e">
        <f t="shared" si="10"/>
        <v>#VALUE!</v>
      </c>
      <c r="AJN9" t="s">
        <v>9658</v>
      </c>
      <c r="AJR9" t="s">
        <v>8513</v>
      </c>
      <c r="AJT9" s="1245" t="e">
        <f t="shared" si="69"/>
        <v>#VALUE!</v>
      </c>
      <c r="AJX9" t="s">
        <v>8513</v>
      </c>
      <c r="AKA9" s="116"/>
      <c r="AKB9" t="s">
        <v>9590</v>
      </c>
      <c r="AKC9" t="s">
        <v>9540</v>
      </c>
      <c r="AKD9" s="1187" t="e">
        <f t="shared" si="70"/>
        <v>#VALUE!</v>
      </c>
      <c r="AKH9" t="s">
        <v>8513</v>
      </c>
      <c r="AKK9" s="116"/>
      <c r="AKL9" t="s">
        <v>8513</v>
      </c>
      <c r="AKN9" s="1206" t="e">
        <f t="shared" si="71"/>
        <v>#VALUE!</v>
      </c>
      <c r="AKR9" t="s">
        <v>8513</v>
      </c>
      <c r="AKU9" s="116"/>
      <c r="AKV9" t="s">
        <v>8513</v>
      </c>
      <c r="AKX9" s="1187" t="e">
        <f t="shared" si="72"/>
        <v>#VALUE!</v>
      </c>
      <c r="ALB9" t="s">
        <v>8513</v>
      </c>
      <c r="ALE9" s="116"/>
      <c r="ALF9" t="s">
        <v>8513</v>
      </c>
      <c r="ALH9" s="1187" t="e">
        <f t="shared" si="73"/>
        <v>#VALUE!</v>
      </c>
      <c r="ALL9" t="s">
        <v>8513</v>
      </c>
      <c r="ALO9" s="116"/>
      <c r="ALP9" s="116"/>
      <c r="ALQ9" s="768" t="s">
        <v>8513</v>
      </c>
      <c r="ALR9" s="116"/>
      <c r="ALS9" s="768" t="s">
        <v>8513</v>
      </c>
      <c r="ALW9" t="s">
        <v>8513</v>
      </c>
      <c r="ALY9" s="1187" t="e">
        <f t="shared" si="74"/>
        <v>#VALUE!</v>
      </c>
      <c r="AMC9" t="s">
        <v>8513</v>
      </c>
      <c r="AMG9" t="str">
        <f t="shared" si="11"/>
        <v>Оренбургская обл</v>
      </c>
      <c r="AMH9" t="str">
        <f t="shared" si="12"/>
        <v>Оренбургская обл.</v>
      </c>
      <c r="AMI9" s="1206" t="e">
        <f t="shared" si="75"/>
        <v>#VALUE!</v>
      </c>
      <c r="AMM9" t="s">
        <v>8513</v>
      </c>
      <c r="AMQ9" t="str">
        <f t="shared" si="13"/>
        <v>$$$$</v>
      </c>
      <c r="AMR9">
        <f t="shared" si="14"/>
        <v>0</v>
      </c>
      <c r="AMS9" s="1206" t="e">
        <f t="shared" si="76"/>
        <v>#VALUE!</v>
      </c>
      <c r="AMY9" t="s">
        <v>8513</v>
      </c>
      <c r="ANE9" t="str">
        <f t="shared" si="15"/>
        <v xml:space="preserve">,г </v>
      </c>
      <c r="ANF9" t="str">
        <f t="shared" si="16"/>
        <v xml:space="preserve">г. </v>
      </c>
      <c r="ANG9" s="1206" t="e">
        <f t="shared" si="77"/>
        <v>#VALUE!</v>
      </c>
      <c r="ANK9" t="str">
        <f t="shared" si="17"/>
        <v>, тер</v>
      </c>
      <c r="ANO9" t="str">
        <f t="shared" si="78"/>
        <v>$$$$</v>
      </c>
      <c r="ANP9">
        <f t="shared" si="79"/>
        <v>0</v>
      </c>
      <c r="ANQ9" s="1245" t="e">
        <f t="shared" si="80"/>
        <v>#VALUE!</v>
      </c>
      <c r="ANU9" t="str">
        <f t="shared" si="81"/>
        <v>$$$$</v>
      </c>
      <c r="ANX9" s="116"/>
      <c r="ANY9" t="str">
        <f t="shared" si="82"/>
        <v xml:space="preserve">,ул </v>
      </c>
      <c r="ANZ9" t="str">
        <f t="shared" si="83"/>
        <v xml:space="preserve">ул. </v>
      </c>
      <c r="AOA9" s="1206" t="e">
        <f t="shared" si="84"/>
        <v>#VALUE!</v>
      </c>
      <c r="AOE9" t="str">
        <f t="shared" si="85"/>
        <v>$$$$</v>
      </c>
      <c r="AOH9" s="116"/>
      <c r="AOI9" t="str">
        <f t="shared" si="86"/>
        <v>$$$$</v>
      </c>
      <c r="AOJ9">
        <f t="shared" si="87"/>
        <v>0</v>
      </c>
      <c r="AOK9" s="1206" t="e">
        <f t="shared" si="88"/>
        <v>#VALUE!</v>
      </c>
      <c r="AOO9" t="s">
        <v>8513</v>
      </c>
      <c r="AOR9" s="116"/>
      <c r="AOS9" t="str">
        <f t="shared" si="89"/>
        <v>$$$$</v>
      </c>
      <c r="AOT9">
        <f t="shared" si="90"/>
        <v>0</v>
      </c>
      <c r="AOU9" s="1245" t="e">
        <f t="shared" si="91"/>
        <v>#VALUE!</v>
      </c>
      <c r="AOY9" t="str">
        <f t="shared" si="92"/>
        <v>$$$$</v>
      </c>
      <c r="APB9" s="116"/>
      <c r="APC9" t="str">
        <f t="shared" si="93"/>
        <v>$$$$</v>
      </c>
      <c r="APD9">
        <f t="shared" si="94"/>
        <v>0</v>
      </c>
      <c r="APE9" s="1206" t="e">
        <f t="shared" si="95"/>
        <v>#VALUE!</v>
      </c>
      <c r="API9" t="s">
        <v>8513</v>
      </c>
      <c r="APL9" s="116"/>
      <c r="APM9" s="116"/>
      <c r="APN9" s="768" t="s">
        <v>8513</v>
      </c>
      <c r="APO9" s="116"/>
      <c r="APP9" s="768" t="s">
        <v>8513</v>
      </c>
    </row>
    <row r="10" spans="1:1114" ht="14.4" customHeight="1" thickTop="1" x14ac:dyDescent="0.3">
      <c r="B10" s="116"/>
      <c r="C10" s="116"/>
      <c r="D10" s="116"/>
      <c r="E10" s="116"/>
      <c r="F10" s="116"/>
      <c r="G10" s="116"/>
      <c r="H10" s="116"/>
      <c r="I10" s="116"/>
      <c r="J10" s="116"/>
      <c r="K10" s="116"/>
      <c r="L10" s="116"/>
      <c r="M10" s="116"/>
      <c r="N10" s="116"/>
      <c r="O10" s="116"/>
      <c r="P10" s="116"/>
      <c r="Q10" s="116"/>
      <c r="R10" s="116"/>
      <c r="S10" s="116"/>
      <c r="T10" s="116"/>
      <c r="U10" s="116"/>
      <c r="V10" s="116" t="s">
        <v>9810</v>
      </c>
      <c r="W10" t="s">
        <v>18</v>
      </c>
      <c r="X10" s="116"/>
      <c r="Y10" s="116"/>
      <c r="Z10" s="116"/>
      <c r="AA10" s="116"/>
      <c r="AB10" s="116"/>
      <c r="AC10" s="116"/>
      <c r="AD10" s="116"/>
      <c r="AE10" s="116"/>
      <c r="AF10" s="116"/>
      <c r="AG10" s="116"/>
      <c r="AH10" s="116"/>
      <c r="AI10" s="116"/>
      <c r="AJ10" s="116"/>
      <c r="AK10" s="116"/>
      <c r="AL10" s="116"/>
      <c r="AM10" s="116"/>
      <c r="AN10" s="116"/>
      <c r="AO10" s="116"/>
      <c r="AP10" s="116"/>
      <c r="AQ10" s="116"/>
      <c r="AR10" s="116"/>
      <c r="AS10" s="116"/>
      <c r="AT10" s="116"/>
      <c r="AU10" s="754"/>
      <c r="AV10" s="754"/>
      <c r="AW10" s="754"/>
      <c r="AX10" s="754"/>
      <c r="AY10" s="754"/>
      <c r="AZ10" s="754"/>
      <c r="BA10" s="754"/>
      <c r="BB10" s="754"/>
      <c r="BC10" s="8"/>
      <c r="BD10" s="8"/>
      <c r="BE10" s="8"/>
      <c r="BF10" s="8"/>
      <c r="BR10" s="1232" t="s">
        <v>8413</v>
      </c>
      <c r="BS10" s="1232" t="s">
        <v>129</v>
      </c>
      <c r="BT10" s="768" t="s">
        <v>9657</v>
      </c>
      <c r="BU10" s="1233">
        <f t="shared" si="0"/>
        <v>336</v>
      </c>
      <c r="CN10" s="768"/>
      <c r="DJ10" s="257"/>
      <c r="DP10" s="1537" t="s">
        <v>8612</v>
      </c>
      <c r="DQ10" s="1541" t="str">
        <f>CM3</f>
        <v>344092, г. Ростов-на-Дону, ул. Верная, д. 17/88</v>
      </c>
      <c r="DR10" s="10" t="s">
        <v>8280</v>
      </c>
      <c r="DS10" s="10"/>
      <c r="DT10" s="5" t="s">
        <v>8255</v>
      </c>
      <c r="DU10" s="10" t="s">
        <v>8280</v>
      </c>
      <c r="DV10" s="1463">
        <v>2</v>
      </c>
      <c r="DW10" s="824" t="s">
        <v>8433</v>
      </c>
      <c r="DX10" s="838" t="e">
        <f>SEARCH(DS$4,$C$3,DZ3)+LEN(DS$4)</f>
        <v>#VALUE!</v>
      </c>
      <c r="DY10" s="406" t="str">
        <f>IF(DZ10=IFERROR(SEARCH(".",C$3,DX10),99999),".",
IF(DZ10=IFERROR(SEARCH(",",C$3,DX10),99999),",",
IF(DZ10=IFERROR(SEARCH(" за период",C$3,DX10),999999)," за период",
IF(DZ10=IFERROR(SEARCH(" в размере",C$3,DX10),99999)," в размере",
))))</f>
        <v>.</v>
      </c>
      <c r="DZ10" s="406">
        <f>IFERROR(MIN(IFERROR(SEARCH(".",$C$3,DX10),99999),IFERROR(SEARCH(",",$C$3,DX10),99999),IFERROR(SEARCH(" за период",$C$3,DX10),999999),IFERROR(SEARCH(" в размере",$C$3,DX10),99999)),"ОШИБКА")</f>
        <v>99999</v>
      </c>
      <c r="EA10" s="406" t="e">
        <f>DZ10-DX10</f>
        <v>#VALUE!</v>
      </c>
      <c r="EB10" s="824" t="e">
        <f>MID($C$3,DX10,EA10)</f>
        <v>#VALUE!</v>
      </c>
      <c r="EC10" s="952" t="str">
        <f>IFERROR(INDEX(DU:DU,MATCH(MID($C$3,DX10,EA10),DT:DT,0),1),"")</f>
        <v/>
      </c>
      <c r="ED10" s="956" t="str">
        <f>IF(ISERROR(DX52),"",CONCATENATE(DV52,". ",EC52," ",IFERROR(CONCATENATE(EB56,",",EB57),""),IF(ISERROR(CONCATENATE(EB56,",",EB57)),"","₽")))</f>
        <v/>
      </c>
      <c r="EE10" s="768"/>
      <c r="EI10" s="768"/>
      <c r="EO10" s="768"/>
      <c r="EP10" s="768"/>
      <c r="EV10" s="768" t="s">
        <v>8513</v>
      </c>
      <c r="EW10" s="116"/>
      <c r="EX10" s="116"/>
      <c r="EY10" s="116"/>
      <c r="EZ10" s="116"/>
      <c r="FA10" s="116"/>
      <c r="FB10" s="116"/>
      <c r="FC10" s="116"/>
      <c r="FD10" s="768" t="s">
        <v>8513</v>
      </c>
      <c r="FE10" s="116"/>
      <c r="FF10" s="116"/>
      <c r="FG10" s="116"/>
      <c r="FH10" s="768" t="s">
        <v>8513</v>
      </c>
      <c r="FI10" s="116"/>
      <c r="FJ10" s="116"/>
      <c r="FK10" s="116"/>
      <c r="FL10" s="116"/>
      <c r="FM10" s="116"/>
      <c r="FN10" s="768" t="s">
        <v>8513</v>
      </c>
      <c r="FO10" s="116"/>
      <c r="FP10" s="116"/>
      <c r="FQ10" s="116"/>
      <c r="FR10" s="116"/>
      <c r="FS10" s="116"/>
      <c r="FT10" s="116"/>
      <c r="FU10" s="866"/>
      <c r="FV10" s="866"/>
      <c r="FW10" s="866"/>
      <c r="FX10" s="866"/>
      <c r="FY10" s="866"/>
      <c r="FZ10" s="1472"/>
      <c r="GA10" s="768" t="s">
        <v>8979</v>
      </c>
      <c r="GB10" s="876" t="e">
        <f>SEARCH(GA10,$FC$3,GF8)</f>
        <v>#VALUE!</v>
      </c>
      <c r="GE10" s="876"/>
      <c r="GF10" s="876"/>
      <c r="GG10" s="876"/>
      <c r="GH10" s="1472"/>
      <c r="GI10" s="768" t="s">
        <v>8513</v>
      </c>
      <c r="GJ10" s="876" t="e">
        <f>SEARCH(GI10,$FC$3,GF9)</f>
        <v>#VALUE!</v>
      </c>
      <c r="GM10" s="1013" t="s">
        <v>8513</v>
      </c>
      <c r="GN10" s="876"/>
      <c r="GO10" s="876"/>
      <c r="GP10" s="1472"/>
      <c r="GQ10" s="768" t="s">
        <v>8513</v>
      </c>
      <c r="GR10" s="880" t="e">
        <f>SEARCH(GQ10,$FC$3,GN9)</f>
        <v>#VALUE!</v>
      </c>
      <c r="GU10" s="880"/>
      <c r="GV10" s="880"/>
      <c r="GW10" s="880"/>
      <c r="GX10" s="1472"/>
      <c r="GY10" s="116"/>
      <c r="GZ10" s="116"/>
      <c r="HA10" s="116"/>
      <c r="HB10" s="116"/>
      <c r="HC10" s="116"/>
      <c r="HD10" s="116"/>
      <c r="HE10" s="116"/>
      <c r="HG10" s="116"/>
      <c r="HH10" s="116"/>
      <c r="HI10" s="116"/>
      <c r="HJ10" s="116"/>
      <c r="HK10" s="1511"/>
      <c r="HL10" s="960" t="str">
        <f>IFERROR(HF3,"")</f>
        <v>2016</v>
      </c>
      <c r="HM10" s="116"/>
      <c r="HN10" s="754"/>
      <c r="HO10" s="116"/>
      <c r="HP10" s="116"/>
      <c r="HQ10" s="116"/>
      <c r="HR10" s="116"/>
      <c r="HS10" s="116"/>
      <c r="HT10" s="116"/>
      <c r="HU10" s="116"/>
      <c r="HV10" s="116"/>
      <c r="HW10" s="116"/>
      <c r="HX10" s="116"/>
      <c r="HY10" s="116"/>
      <c r="HZ10" s="116"/>
      <c r="IA10" s="116"/>
      <c r="IB10" s="116"/>
      <c r="IC10" s="116"/>
      <c r="ID10" s="116"/>
      <c r="IE10" s="116"/>
      <c r="IF10" s="116"/>
      <c r="IG10" s="116"/>
      <c r="IH10" s="116"/>
      <c r="II10" s="116"/>
      <c r="IJ10" s="116"/>
      <c r="IK10" s="116"/>
      <c r="IL10" s="116"/>
      <c r="IM10" s="116"/>
      <c r="IN10" s="116"/>
      <c r="IO10" s="116"/>
      <c r="IP10" s="116"/>
      <c r="IQ10" s="116"/>
      <c r="IR10" s="116"/>
      <c r="IS10" s="116"/>
      <c r="IT10" s="116"/>
      <c r="IU10" s="116"/>
      <c r="IV10" s="116"/>
      <c r="IW10" s="116"/>
      <c r="IX10" s="116"/>
      <c r="IY10" s="116"/>
      <c r="IZ10" s="116"/>
      <c r="JA10" s="116"/>
      <c r="JB10" s="116"/>
      <c r="JC10" s="116"/>
      <c r="JD10" s="116"/>
      <c r="JE10" s="116"/>
      <c r="JF10" s="116"/>
      <c r="JG10" s="116"/>
      <c r="JH10" s="116"/>
      <c r="JI10" s="116"/>
      <c r="JJ10" s="116"/>
      <c r="JK10" s="116"/>
      <c r="JL10" s="116"/>
      <c r="JM10" s="116"/>
      <c r="JN10" s="116"/>
      <c r="JO10" s="866"/>
      <c r="JP10" s="866"/>
      <c r="JQ10" s="866"/>
      <c r="JR10" s="866"/>
      <c r="JS10" s="866"/>
      <c r="JT10" s="116"/>
      <c r="JU10" s="116"/>
      <c r="JV10" s="866"/>
      <c r="JW10" s="866"/>
      <c r="JX10" s="866"/>
      <c r="JY10" s="1472"/>
      <c r="JZ10" s="866" t="s">
        <v>8513</v>
      </c>
      <c r="KA10" s="116"/>
      <c r="KB10" s="116"/>
      <c r="KC10" s="116"/>
      <c r="KD10" s="116"/>
      <c r="KE10" s="116"/>
      <c r="KF10" s="116"/>
      <c r="KG10" s="116"/>
      <c r="KJ10" s="866"/>
      <c r="KK10" s="866"/>
      <c r="KN10" s="866"/>
      <c r="KO10" s="866"/>
      <c r="KW10" s="866"/>
      <c r="KX10" s="866"/>
      <c r="LE10" s="866"/>
      <c r="LF10" s="866"/>
      <c r="LG10" s="984" t="s">
        <v>8513</v>
      </c>
      <c r="LH10" s="984" t="e">
        <f t="shared" si="2"/>
        <v>#VALUE!</v>
      </c>
      <c r="LN10" s="866"/>
      <c r="LO10" s="866"/>
      <c r="LT10" s="866"/>
      <c r="LU10" s="866"/>
      <c r="LY10" s="877" t="str">
        <f>CONCATENATE(" Заявитель ",MA4,$CU$3," с заявлением о ",LZ6)</f>
        <v xml:space="preserve"> Заявитель обратилась в АО СК «БАСК» с заявлением о страховом возмещении вследствие причинения вреда жизни</v>
      </c>
      <c r="LZ10" s="866"/>
      <c r="MA10" s="866"/>
      <c r="MB10" s="876"/>
      <c r="MC10" s="116"/>
      <c r="MD10" s="116"/>
      <c r="ME10" s="866"/>
      <c r="MF10" s="866"/>
      <c r="MG10" s="866"/>
      <c r="MH10" s="866"/>
      <c r="MI10" s="1186" t="s">
        <v>8513</v>
      </c>
      <c r="MJ10" s="1187"/>
      <c r="ML10" s="866"/>
      <c r="MM10" s="866"/>
      <c r="MN10" s="866"/>
      <c r="MO10" s="866"/>
      <c r="MP10" s="866"/>
      <c r="MQ10" s="866"/>
      <c r="MR10" s="866"/>
      <c r="MS10" s="866"/>
      <c r="MT10" s="866"/>
      <c r="MU10" s="866"/>
      <c r="MV10" s="866"/>
      <c r="MW10" s="866"/>
      <c r="MX10" s="1472"/>
      <c r="MY10" s="988" t="s">
        <v>8513</v>
      </c>
      <c r="MZ10" s="984" t="e">
        <f t="shared" si="3"/>
        <v>#VALUE!</v>
      </c>
      <c r="NA10" s="984"/>
      <c r="NB10" s="920"/>
      <c r="NC10" s="920"/>
      <c r="ND10" s="984"/>
      <c r="NE10" s="984"/>
      <c r="NF10" s="984"/>
      <c r="NG10" s="1474"/>
      <c r="NK10" s="1463">
        <v>2</v>
      </c>
      <c r="NL10" s="824" t="s">
        <v>8433</v>
      </c>
      <c r="NM10" s="838" t="e">
        <f>SEARCH(NH$4,NJ$4,NO3)+LEN(NH$4)</f>
        <v>#VALUE!</v>
      </c>
      <c r="NN10" s="406" t="str">
        <f>IF(NO10=IFERROR(SEARCH(".",NJ$4,NM10),99999),".",
IF(NO10=IFERROR(SEARCH(",",NJ$4,NM10),99999),",",
IF(NO10=IFERROR(SEARCH(" за период",NJ$4,NM10),999999)," за период",
IF(NO10=IFERROR(SEARCH(" в размере",NJ$4,NM10),99999)," в размере",
))))</f>
        <v>.</v>
      </c>
      <c r="NO10" s="406">
        <f>IFERROR(MIN(IFERROR(SEARCH(".",NJ$4,NM10),99999),IFERROR(SEARCH(",",NJ$4,NM10),99999),IFERROR(SEARCH(" за период",NJ$4,NM10),999999),IFERROR(SEARCH(" в размере",NJ$4,NM10),99999)),"ОШИБКА")</f>
        <v>99999</v>
      </c>
      <c r="NP10" s="406" t="e">
        <f>NO10-NM10</f>
        <v>#VALUE!</v>
      </c>
      <c r="NQ10" s="824" t="e">
        <f>MID(NJ$4,NM10,NP10)</f>
        <v>#VALUE!</v>
      </c>
      <c r="NR10" s="825" t="str">
        <f>IFERROR(INDEX($DU:$DU,MATCH(MID(NJ$4,NM10,NP10),$DT:$DT,0),1),"")</f>
        <v/>
      </c>
      <c r="NS10" s="842" t="str">
        <f>IF(NR52="","",CONCATENATE(NK52,". ",NR52," ",IFERROR(CONCATENATE(NQ56,",",NQ57),""),IF(ISERROR(CONCATENATE(NQ56,",",NQ57)),"","₽")))</f>
        <v/>
      </c>
      <c r="NT10" s="1105" t="str">
        <f t="shared" si="4"/>
        <v/>
      </c>
      <c r="NU10" s="993" t="s">
        <v>8513</v>
      </c>
      <c r="NV10" s="994"/>
      <c r="NW10" s="920"/>
      <c r="NX10" s="920"/>
      <c r="NY10" s="994"/>
      <c r="NZ10" s="994"/>
      <c r="OA10" s="994"/>
      <c r="OB10" s="1535"/>
      <c r="OC10" s="1472"/>
      <c r="OD10" s="946" t="s">
        <v>8513</v>
      </c>
      <c r="OE10" s="947" t="e">
        <f t="shared" si="5"/>
        <v>#VALUE!</v>
      </c>
      <c r="OF10" s="947"/>
      <c r="OG10" s="920"/>
      <c r="OH10" s="920"/>
      <c r="OI10" s="947"/>
      <c r="OJ10" s="947"/>
      <c r="OK10" s="947"/>
      <c r="OL10" s="1474"/>
      <c r="OM10" s="869"/>
      <c r="ON10" s="817"/>
      <c r="OO10" s="943"/>
      <c r="OP10" s="1069"/>
      <c r="OQ10" s="935" t="s">
        <v>8513</v>
      </c>
      <c r="OR10" s="937"/>
      <c r="OS10" s="920"/>
      <c r="OT10" s="920"/>
      <c r="OU10" s="937"/>
      <c r="OV10" s="937"/>
      <c r="OW10" s="937"/>
      <c r="OX10" s="979"/>
      <c r="OY10" t="s">
        <v>8513</v>
      </c>
      <c r="OZ10" s="937"/>
      <c r="PA10" t="s">
        <v>8513</v>
      </c>
      <c r="PB10" s="937"/>
      <c r="PC10" s="5"/>
      <c r="PD10" s="1070"/>
      <c r="PE10" t="s">
        <v>8513</v>
      </c>
      <c r="PF10" s="1209"/>
      <c r="PG10" t="s">
        <v>8513</v>
      </c>
      <c r="PH10" s="937"/>
      <c r="PI10" s="5"/>
      <c r="PJ10" s="1073"/>
      <c r="PK10" t="s">
        <v>8513</v>
      </c>
      <c r="PL10" s="947"/>
      <c r="PM10" t="s">
        <v>8513</v>
      </c>
      <c r="PN10" s="937"/>
      <c r="PO10" s="5"/>
      <c r="PP10" s="1064"/>
      <c r="PQ10" t="s">
        <v>8513</v>
      </c>
      <c r="PR10" s="937" t="e">
        <f t="shared" si="22"/>
        <v>#VALUE!</v>
      </c>
      <c r="PS10" s="5"/>
      <c r="PV10" s="937"/>
      <c r="PX10" s="5"/>
      <c r="PY10" s="1470"/>
      <c r="PZ10" t="s">
        <v>8513</v>
      </c>
      <c r="QA10" s="937" t="e">
        <f t="shared" si="6"/>
        <v>#VALUE!</v>
      </c>
      <c r="QB10" s="5"/>
      <c r="QC10" s="264"/>
      <c r="QE10" s="937"/>
      <c r="QF10" s="264"/>
      <c r="QG10" s="5"/>
      <c r="QH10" s="1470"/>
      <c r="QI10" t="s">
        <v>8513</v>
      </c>
      <c r="QJ10" s="937" t="e">
        <f t="shared" si="7"/>
        <v>#VALUE!</v>
      </c>
      <c r="QK10" s="5"/>
      <c r="QL10" s="264"/>
      <c r="QN10" s="937"/>
      <c r="QO10" s="264"/>
      <c r="QP10" s="5"/>
      <c r="QQ10" s="1470"/>
      <c r="QR10" t="s">
        <v>8513</v>
      </c>
      <c r="QS10" s="937" t="e">
        <f t="shared" si="8"/>
        <v>#VALUE!</v>
      </c>
      <c r="QT10" s="5"/>
      <c r="QU10" s="264"/>
      <c r="QW10" s="937"/>
      <c r="QX10" s="264"/>
      <c r="QY10" s="5"/>
      <c r="QZ10" s="1470"/>
      <c r="RA10" s="1092" t="s">
        <v>8594</v>
      </c>
      <c r="RB10" s="1093" t="str">
        <f>IFERROR(PD4,"")</f>
        <v/>
      </c>
      <c r="RC10" s="1069"/>
      <c r="RD10" s="1148" t="s">
        <v>8513</v>
      </c>
      <c r="RE10" s="1059"/>
      <c r="RF10" s="920"/>
      <c r="RG10" s="920"/>
      <c r="RH10" s="1059"/>
      <c r="RI10" s="1059"/>
      <c r="RJ10" s="1059"/>
      <c r="RK10" s="979"/>
      <c r="RL10" s="1055"/>
      <c r="RM10" s="1180" t="s">
        <v>8513</v>
      </c>
      <c r="RN10" s="1181"/>
      <c r="RO10" s="1061"/>
      <c r="RP10" t="s">
        <v>8513</v>
      </c>
      <c r="RQ10" s="854"/>
      <c r="RR10" t="s">
        <v>8513</v>
      </c>
      <c r="RS10" s="1059"/>
      <c r="RT10" s="5"/>
      <c r="RU10" s="1070"/>
      <c r="RV10" t="s">
        <v>8513</v>
      </c>
      <c r="RW10" s="854"/>
      <c r="RX10" t="s">
        <v>8513</v>
      </c>
      <c r="RY10" s="1059"/>
      <c r="RZ10" s="5"/>
      <c r="SA10" s="1070"/>
      <c r="SB10" t="s">
        <v>8513</v>
      </c>
      <c r="SC10" s="854"/>
      <c r="SD10" t="s">
        <v>8513</v>
      </c>
      <c r="SE10" s="1059"/>
      <c r="SF10" s="5"/>
      <c r="SG10" s="1070"/>
      <c r="SH10" s="1070"/>
      <c r="SI10" s="1055"/>
      <c r="SJ10" s="927" t="s">
        <v>9005</v>
      </c>
      <c r="SK10" s="928"/>
      <c r="SL10" s="920"/>
      <c r="SM10" s="920"/>
      <c r="SN10" s="928"/>
      <c r="SO10" s="928"/>
      <c r="SP10" s="928"/>
      <c r="SQ10" s="979"/>
      <c r="SR10" s="882"/>
      <c r="SS10" s="1173" t="s">
        <v>8513</v>
      </c>
      <c r="ST10" s="1174"/>
      <c r="SV10" t="s">
        <v>9853</v>
      </c>
      <c r="SW10" s="1181" t="e">
        <f t="shared" si="115"/>
        <v>#VALUE!</v>
      </c>
      <c r="SY10" s="1463">
        <v>2</v>
      </c>
      <c r="SZ10" s="824" t="s">
        <v>8433</v>
      </c>
      <c r="TA10" s="838" t="e">
        <f>SEARCH(SV$4,$SQ$3,TC3)+LEN(SV$4)</f>
        <v>#VALUE!</v>
      </c>
      <c r="TB10" s="406" t="str">
        <f>IF(TC10=IFERROR(SEARCH(".",$SQ$3,TA10),99999),".",
IF(TC10=IFERROR(SEARCH(",",$SQ$3,TA10),99999),",",
IF(TC10=IFERROR(SEARCH(" за период",$SQ$3,TA10),999999)," за период",
IF(TC10=IFERROR(SEARCH(" в размере",$SQ$3,TA10),99999)," в размере",
))))</f>
        <v>.</v>
      </c>
      <c r="TC10" s="406">
        <f>IFERROR(MIN(IFERROR(SEARCH(".",$SQ$3,TA10),99999),IFERROR(SEARCH(",",$SQ$3,TA10),99999),IFERROR(SEARCH(" за период",$SQ$3,TA10),999999),IFERROR(SEARCH(" в размере",$SQ$3,TA10),99999)),"ОШИБКА")</f>
        <v>99999</v>
      </c>
      <c r="TD10" s="406" t="e">
        <f>TC10-TA10</f>
        <v>#VALUE!</v>
      </c>
      <c r="TE10" s="824" t="e">
        <f>MID($SQ$3,TA10,TD10)</f>
        <v>#VALUE!</v>
      </c>
      <c r="TF10" s="825" t="str">
        <f>IFERROR(INDEX($DU:$DU,MATCH(MID($SQ$3,TA10,TD10),$DT:$DT,0),1),"")</f>
        <v/>
      </c>
      <c r="TG10" s="842" t="str">
        <f>IF(TF52="","",CONCATENATE(SY52,". ",TF52," ",IFERROR(CONCATENATE(TE56,",",TE57),""),IF(ISERROR(CONCATENATE(TE56,",",TE57)),"","₽")))</f>
        <v/>
      </c>
      <c r="TH10" t="s">
        <v>8728</v>
      </c>
      <c r="TI10" s="1013" t="e">
        <f>SEARCH(TH10,TJ$4)</f>
        <v>#VALUE!</v>
      </c>
      <c r="TJ10" s="859" t="str">
        <f>IF(ISERROR(TI10),
IF(ISERROR(TI11),
IF(ISERROR(TI12),
"ОШИБКА",
TH12),
TH11),
TH10)</f>
        <v>ОШИБКА</v>
      </c>
      <c r="TK10" s="1489"/>
      <c r="TL10" s="1031" t="s">
        <v>8249</v>
      </c>
      <c r="TM10" s="836">
        <f>IFERROR(MIN(IFERROR(SEARCH(", ",TJ$4,TO5)+LEN(", "),99999),IFERROR(SEARCH("и ",TJ$4,TO5)+LEN("и "),99999)),"ОШИБКА")</f>
        <v>99999</v>
      </c>
      <c r="TN10" s="306" t="s">
        <v>8431</v>
      </c>
      <c r="TO10" s="306" t="e">
        <f>SEARCH(TN10,TJ$4,TM10)</f>
        <v>#VALUE!</v>
      </c>
      <c r="TP10" s="306" t="e">
        <f>TO10-TM10</f>
        <v>#VALUE!</v>
      </c>
      <c r="TQ10" s="826" t="e">
        <f>IF(TR9="Штраф 50%","",MID(TJ$4,TM10,TP10))</f>
        <v>#VALUE!</v>
      </c>
      <c r="TR10" s="828" t="str">
        <f>IF(TN9=" за период",TQ10,"")</f>
        <v/>
      </c>
      <c r="TS10" s="843" t="str">
        <f>IF(TR34="","",CONCATENATE(TK33,". ",TR34," ",IFERROR(CONCATENATE(TQ34,",",TQ35),""),IF(ISERROR(CONCATENATE(TQ34,",",TQ35)),"","₽")))</f>
        <v/>
      </c>
      <c r="TT10" t="str">
        <f t="shared" si="27"/>
        <v xml:space="preserve">организовало перечисление </v>
      </c>
      <c r="TU10" s="1181" t="e">
        <f t="shared" si="116"/>
        <v>#VALUE!</v>
      </c>
      <c r="TW10" s="1463">
        <v>2</v>
      </c>
      <c r="TX10" s="824" t="s">
        <v>8433</v>
      </c>
      <c r="TY10" s="838" t="e">
        <f>SEARCH(TT$4,$SQ$4,UA3)+LEN(TT$4)</f>
        <v>#VALUE!</v>
      </c>
      <c r="TZ10" s="406" t="str">
        <f>IF(UA10=IFERROR(SEARCH(".",$SQ$4,TY10),99999),".",
IF(UA10=IFERROR(SEARCH(",",$SQ$4,TY10),99999),",",
IF(UA10=IFERROR(SEARCH(" за период",$SQ$4,TY10),999999)," за период",
IF(UA10=IFERROR(SEARCH(" в размере",$SQ$4,TY10),99999)," в размере",
))))</f>
        <v>.</v>
      </c>
      <c r="UA10" s="406">
        <f>IFERROR(MIN(IFERROR(SEARCH(".",$SQ$4,TY10),99999),IFERROR(SEARCH(",",$SQ$4,TY10),99999),IFERROR(SEARCH(" за период",$SQ$4,TY10),999999),IFERROR(SEARCH(" в размере",$SQ$4,TY10),99999)),"ОШИБКА")</f>
        <v>99999</v>
      </c>
      <c r="UB10" s="406" t="e">
        <f>UA10-TY10</f>
        <v>#VALUE!</v>
      </c>
      <c r="UC10" s="824" t="e">
        <f>MID($SQ$4,TY10,UB10)</f>
        <v>#VALUE!</v>
      </c>
      <c r="UD10" s="825" t="str">
        <f>IFERROR(INDEX($DU:$DU,MATCH(MID($SQ$4,TY10,UB10),$DT:$DT,0),1),"")</f>
        <v/>
      </c>
      <c r="UE10" s="842" t="str">
        <f>IF(UD52="","",CONCATENATE(TW52,". ",UD52," ",IFERROR(CONCATENATE(UC56,",",UC57),""),IF(ISERROR(CONCATENATE(UC56,",",UC57)),"","₽")))</f>
        <v/>
      </c>
      <c r="UF10" t="s">
        <v>8728</v>
      </c>
      <c r="UG10" s="1025" t="e">
        <f>SEARCH(UF10,UH$4)</f>
        <v>#VALUE!</v>
      </c>
      <c r="UH10" s="859" t="str">
        <f>IF(ISERROR(UG10),
IF(ISERROR(UG11),
IF(ISERROR(UG12),
"ОШИБКА",
UF12),
UF11),
UF10)</f>
        <v>ОШИБКА</v>
      </c>
      <c r="UI10" s="1489"/>
      <c r="UJ10" s="1031" t="s">
        <v>8249</v>
      </c>
      <c r="UK10" s="836">
        <f>IFERROR(MIN(IFERROR(SEARCH(", ",UH$4,UM5)+LEN(", "),99999),IFERROR(SEARCH("и ",UH$4,UM5)+LEN("и "),99999)),"ОШИБКА")</f>
        <v>99999</v>
      </c>
      <c r="UL10" s="306" t="s">
        <v>8431</v>
      </c>
      <c r="UM10" s="306" t="e">
        <f>SEARCH(UL10,UH$4,UK10)</f>
        <v>#VALUE!</v>
      </c>
      <c r="UN10" s="306" t="e">
        <f>UM10-UK10</f>
        <v>#VALUE!</v>
      </c>
      <c r="UO10" s="826" t="e">
        <f>IF(UP9="Штраф 50%","",MID(UH$4,UK10,UN10))</f>
        <v>#VALUE!</v>
      </c>
      <c r="UP10" s="828" t="str">
        <f>IF(UL9=" за период",UO10,"")</f>
        <v/>
      </c>
      <c r="UQ10" s="843" t="str">
        <f>IF(UP34="","",CONCATENATE(UI33,". ",UP34," ",IFERROR(CONCATENATE(UO34,",",UO35),""),IF(ISERROR(CONCATENATE(UO34,",",UO35)),"","₽")))</f>
        <v/>
      </c>
      <c r="UR10" t="str">
        <f t="shared" si="28"/>
        <v xml:space="preserve">организовало перечисление </v>
      </c>
      <c r="US10" s="1181" t="e">
        <f t="shared" si="117"/>
        <v>#VALUE!</v>
      </c>
      <c r="UU10" s="1463">
        <v>2</v>
      </c>
      <c r="UV10" s="824" t="s">
        <v>8433</v>
      </c>
      <c r="UW10" s="838" t="e">
        <f>SEARCH(UR$4,$SQ$5,UY3)+LEN(UR$4)</f>
        <v>#VALUE!</v>
      </c>
      <c r="UX10" s="406" t="str">
        <f>IF(UY10=IFERROR(SEARCH(".",$SQ$5,UW10),99999),".",
IF(UY10=IFERROR(SEARCH(",",$SQ$5,UW10),99999),",",
IF(UY10=IFERROR(SEARCH(" за период",$SQ$5,UW10),999999)," за период",
IF(UY10=IFERROR(SEARCH(" в размере",$SQ$5,UW10),99999)," в размере",
))))</f>
        <v>.</v>
      </c>
      <c r="UY10" s="406">
        <f>IFERROR(MIN(IFERROR(SEARCH(".",$SQ$5,UW10),99999),IFERROR(SEARCH(",",$SQ$5,UW10),99999),IFERROR(SEARCH(" за период",$SQ$5,UW10),999999),IFERROR(SEARCH(" в размере",$SQ$5,UW10),99999)),"ОШИБКА")</f>
        <v>99999</v>
      </c>
      <c r="UZ10" s="406" t="e">
        <f>UY10-UW10</f>
        <v>#VALUE!</v>
      </c>
      <c r="VA10" s="824" t="e">
        <f>MID($SQ$5,UW10,UZ10)</f>
        <v>#VALUE!</v>
      </c>
      <c r="VB10" s="825" t="str">
        <f>IFERROR(INDEX($DU:$DU,MATCH(MID($SQ$5,UW10,UZ10),$DT:$DT,0),1),"")</f>
        <v/>
      </c>
      <c r="VC10" s="842" t="str">
        <f>IF(VB52="","",CONCATENATE(UU52,". ",VB52," ",IFERROR(CONCATENATE(VA56,",",VA57),""),IF(ISERROR(CONCATENATE(VA56,",",VA57)),"","₽")))</f>
        <v/>
      </c>
      <c r="VD10" t="s">
        <v>8728</v>
      </c>
      <c r="VE10" s="1025" t="e">
        <f>SEARCH(VD10,VF$4)</f>
        <v>#VALUE!</v>
      </c>
      <c r="VF10" s="859" t="str">
        <f>IF(ISERROR(VE10),
IF(ISERROR(VE11),
IF(ISERROR(VE12),
"ОШИБКА",
VD12),
VD11),
VD10)</f>
        <v>ОШИБКА</v>
      </c>
      <c r="VG10" s="1489"/>
      <c r="VH10" s="1031" t="s">
        <v>8249</v>
      </c>
      <c r="VI10" s="836">
        <f>IFERROR(MIN(IFERROR(SEARCH(", ",VF$4,VK5)+LEN(", "),99999),IFERROR(SEARCH("и ",VF$4,VK5)+LEN("и "),99999)),"ОШИБКА")</f>
        <v>99999</v>
      </c>
      <c r="VJ10" s="306" t="s">
        <v>8431</v>
      </c>
      <c r="VK10" s="306" t="e">
        <f>SEARCH(VJ10,VF$4,VI10)</f>
        <v>#VALUE!</v>
      </c>
      <c r="VL10" s="306" t="e">
        <f>VK10-VI10</f>
        <v>#VALUE!</v>
      </c>
      <c r="VM10" s="826" t="e">
        <f>IF(VN9="Штраф 50%","",MID(VF$4,VI10,VL10))</f>
        <v>#VALUE!</v>
      </c>
      <c r="VN10" s="828" t="str">
        <f>IF(VJ9=" за период",VM10,"")</f>
        <v/>
      </c>
      <c r="VO10" s="843" t="str">
        <f>IF(VN34="","",CONCATENATE(VG33,". ",VN34," ",IFERROR(CONCATENATE(VM34,",",VM35),""),IF(ISERROR(CONCATENATE(VM34,",",VM35)),"","₽")))</f>
        <v/>
      </c>
      <c r="VP10" t="str">
        <f t="shared" si="29"/>
        <v xml:space="preserve">организовало перечисление </v>
      </c>
      <c r="VQ10" s="1181" t="e">
        <f t="shared" si="118"/>
        <v>#VALUE!</v>
      </c>
      <c r="VS10" s="1463">
        <v>2</v>
      </c>
      <c r="VT10" s="824" t="s">
        <v>8433</v>
      </c>
      <c r="VU10" s="838" t="e">
        <f>SEARCH(VP$4,$SQ$6,VW3)+LEN(VP$4)</f>
        <v>#VALUE!</v>
      </c>
      <c r="VV10" s="406" t="str">
        <f>IF(VW10=IFERROR(SEARCH(".",$SQ$6,VU10),99999),".",
IF(VW10=IFERROR(SEARCH(",",$SQ$6,VU10),99999),",",
IF(VW10=IFERROR(SEARCH(" за период",$SQ$6,VU10),999999)," за период",
IF(VW10=IFERROR(SEARCH(" в размере",$SQ$6,VU10),99999)," в размере",
))))</f>
        <v>.</v>
      </c>
      <c r="VW10" s="406">
        <f>IFERROR(MIN(IFERROR(SEARCH(".",$SQ$6,VU10),99999),IFERROR(SEARCH(",",$SQ$6,VU10),99999),IFERROR(SEARCH(" за период",$SQ$6,VU10),999999),IFERROR(SEARCH(" в размере",$SQ$6,VU10),99999)),"ОШИБКА")</f>
        <v>99999</v>
      </c>
      <c r="VX10" s="406" t="e">
        <f>VW10-VU10</f>
        <v>#VALUE!</v>
      </c>
      <c r="VY10" s="824" t="e">
        <f>MID($SQ$6,VU10,VX10)</f>
        <v>#VALUE!</v>
      </c>
      <c r="VZ10" s="825" t="str">
        <f>IFERROR(INDEX($DU:$DU,MATCH(MID($SQ$6,VU10,VX10),$DT:$DT,0),1),"")</f>
        <v/>
      </c>
      <c r="WA10" s="842" t="str">
        <f>IF(VZ52="","",CONCATENATE(VS52,". ",VZ52," ",IFERROR(CONCATENATE(VY56,",",VY57),""),IF(ISERROR(CONCATENATE(VY56,",",VY57)),"","₽")))</f>
        <v/>
      </c>
      <c r="WB10" t="s">
        <v>8728</v>
      </c>
      <c r="WC10" s="1025" t="e">
        <f>SEARCH(WB10,WD$4)</f>
        <v>#VALUE!</v>
      </c>
      <c r="WD10" s="859" t="str">
        <f>IF(ISERROR(WC10),
IF(ISERROR(WC11),
IF(ISERROR(WC12),
"ОШИБКА",
WB12),
WB11),
WB10)</f>
        <v>ОШИБКА</v>
      </c>
      <c r="WE10" s="1489"/>
      <c r="WF10" s="1031" t="s">
        <v>8249</v>
      </c>
      <c r="WG10" s="836">
        <f>IFERROR(MIN(IFERROR(SEARCH(", ",WD$4,WI5)+LEN(", "),99999),IFERROR(SEARCH("и ",WD$4,WI5)+LEN("и "),99999)),"ОШИБКА")</f>
        <v>99999</v>
      </c>
      <c r="WH10" s="306" t="s">
        <v>8431</v>
      </c>
      <c r="WI10" s="306" t="e">
        <f>SEARCH(WH10,WD$4,WG10)</f>
        <v>#VALUE!</v>
      </c>
      <c r="WJ10" s="306" t="e">
        <f>WI10-WG10</f>
        <v>#VALUE!</v>
      </c>
      <c r="WK10" s="826" t="e">
        <f>IF(WL9="Штраф 50%","",MID(WD$4,WG10,WJ10))</f>
        <v>#VALUE!</v>
      </c>
      <c r="WL10" s="828" t="str">
        <f>IF(WH9=" за период",WK10,"")</f>
        <v/>
      </c>
      <c r="WM10" s="843" t="str">
        <f>IF(WL34="","",CONCATENATE(WE33,". ",WL34," ",IFERROR(CONCATENATE(WK34,",",WK35),""),IF(ISERROR(CONCATENATE(WK34,",",WK35)),"","₽")))</f>
        <v/>
      </c>
      <c r="WN10" t="str">
        <f t="shared" si="30"/>
        <v xml:space="preserve">организовало перечисление </v>
      </c>
      <c r="WO10" s="1181" t="e">
        <f t="shared" si="119"/>
        <v>#VALUE!</v>
      </c>
      <c r="WQ10" s="1463">
        <v>2</v>
      </c>
      <c r="WR10" s="824" t="s">
        <v>8433</v>
      </c>
      <c r="WS10" s="838" t="e">
        <f>SEARCH(WN$4,$SQ$7,WU3)+LEN(WN$4)</f>
        <v>#VALUE!</v>
      </c>
      <c r="WT10" s="406" t="str">
        <f>IF(WU10=IFERROR(SEARCH(".",$SQ$7,WS10),99999),".",
IF(WU10=IFERROR(SEARCH(",",$SQ$7,WS10),99999),",",
IF(WU10=IFERROR(SEARCH(" за период",$SQ$7,WS10),999999)," за период",
IF(WU10=IFERROR(SEARCH(" в размере",$SQ$7,WS10),99999)," в размере",
))))</f>
        <v>.</v>
      </c>
      <c r="WU10" s="406">
        <f>IFERROR(MIN(IFERROR(SEARCH(".",$SQ$7,WS10),99999),IFERROR(SEARCH(",",$SQ$7,WS10),99999),IFERROR(SEARCH(" за период",$SQ$7,WS10),999999),IFERROR(SEARCH(" в размере",$SQ$7,WS10),99999)),"ОШИБКА")</f>
        <v>99999</v>
      </c>
      <c r="WV10" s="406" t="e">
        <f>WU10-WS10</f>
        <v>#VALUE!</v>
      </c>
      <c r="WW10" s="824" t="e">
        <f>MID($SQ$7,WS10,WV10)</f>
        <v>#VALUE!</v>
      </c>
      <c r="WX10" s="825" t="str">
        <f>IFERROR(INDEX($DU:$DU,MATCH(MID($SQ$7,WS10,WV10),$DT:$DT,0),1),"")</f>
        <v/>
      </c>
      <c r="WY10" s="842" t="str">
        <f>IF(WX52="","",CONCATENATE(WQ52,". ",WX52," ",IFERROR(CONCATENATE(WW56,",",WW57),""),IF(ISERROR(CONCATENATE(WW56,",",WW57)),"","₽")))</f>
        <v/>
      </c>
      <c r="WZ10" t="s">
        <v>8728</v>
      </c>
      <c r="XA10" s="1025" t="e">
        <f>SEARCH(WZ10,XB$4)</f>
        <v>#VALUE!</v>
      </c>
      <c r="XB10" s="859" t="str">
        <f>IF(ISERROR(XA10),
IF(ISERROR(XA11),
IF(ISERROR(XA12),
"ОШИБКА",
WZ12),
WZ11),
WZ10)</f>
        <v>ОШИБКА</v>
      </c>
      <c r="XC10" s="1489"/>
      <c r="XD10" s="1031" t="s">
        <v>8249</v>
      </c>
      <c r="XE10" s="836">
        <f>IFERROR(MIN(IFERROR(SEARCH(", ",XB$4,XG5)+LEN(", "),99999),IFERROR(SEARCH("и ",XB$4,XG5)+LEN("и "),99999)),"ОШИБКА")</f>
        <v>99999</v>
      </c>
      <c r="XF10" s="306" t="s">
        <v>8431</v>
      </c>
      <c r="XG10" s="306" t="e">
        <f>SEARCH(XF10,XB$4,XE10)</f>
        <v>#VALUE!</v>
      </c>
      <c r="XH10" s="306" t="e">
        <f>XG10-XE10</f>
        <v>#VALUE!</v>
      </c>
      <c r="XI10" s="826" t="e">
        <f>IF(XJ9="Штраф 50%","",MID(XB$4,XE10,XH10))</f>
        <v>#VALUE!</v>
      </c>
      <c r="XJ10" s="828" t="str">
        <f>IF(XF9=" за период",XI10,"")</f>
        <v/>
      </c>
      <c r="XK10" s="843" t="str">
        <f>IF(XJ34="","",CONCATENATE(XC33,". ",XJ34," ",IFERROR(CONCATENATE(XI34,",",XI35),""),IF(ISERROR(CONCATENATE(XI34,",",XI35)),"","₽")))</f>
        <v/>
      </c>
      <c r="XL10" s="1090" t="str">
        <f>IFERROR(CONCATENATE(DATES!C22," ",TEXT(VALUE(CONCATENATE(LEFT(DATES!E22,SEARCH(",",TEXT(DATES!E22,"0,00"))-1),",",RIGHT(TEXT(DATES!E22,"0,00"),2))),"0 000,00"),"₽"),"")</f>
        <v xml:space="preserve"> 0 000,00₽</v>
      </c>
      <c r="XM10" s="1064"/>
      <c r="XN10" s="1173" t="s">
        <v>9468</v>
      </c>
      <c r="XP10" s="920"/>
      <c r="XQ10" s="920"/>
      <c r="XR10" s="863"/>
      <c r="XS10" s="863"/>
      <c r="XT10" s="863"/>
      <c r="XU10" s="979"/>
      <c r="XV10" s="869"/>
      <c r="XW10" s="1180" t="s">
        <v>8513</v>
      </c>
      <c r="XX10" s="1181"/>
      <c r="XZ10" s="876" t="s">
        <v>718</v>
      </c>
      <c r="YA10" s="876" t="e">
        <f>SEARCH(MA$4,$XU$6)</f>
        <v>#VALUE!</v>
      </c>
      <c r="YC10" s="1472"/>
      <c r="YD10" t="s">
        <v>8513</v>
      </c>
      <c r="YE10" s="1181" t="e">
        <f t="shared" si="129"/>
        <v>#VALUE!</v>
      </c>
      <c r="YG10" s="1463">
        <v>2</v>
      </c>
      <c r="YH10" s="824" t="s">
        <v>8433</v>
      </c>
      <c r="YI10" s="838">
        <f>SEARCH(YD$4,$XU$3,YK3)+LEN(YD$4)</f>
        <v>235</v>
      </c>
      <c r="YJ10" s="406" t="str">
        <f>IF(YK10=IFERROR(SEARCH(".",$XU$3,YI10),99999),".",
IF(YK10=IFERROR(SEARCH(",",$XU$3,YI10),99999),",",
IF(YK10=IFERROR(SEARCH(" за период",$XU$3,YI10),999999)," за период",
IF(YK10=IFERROR(SEARCH(" в размере",$XU$3,YI10),99999)," в размере",
))))</f>
        <v>.</v>
      </c>
      <c r="YK10" s="406">
        <f>IFERROR(MIN(IFERROR(SEARCH(".",$XU$3,YI10),99999),IFERROR(SEARCH(",",$XU$3,YI10),99999),IFERROR(SEARCH(" за период",$XU$3,YI10),999999),IFERROR(SEARCH(" в размере",$XU$3,YI10),99999)),"ОШИБКА")</f>
        <v>314</v>
      </c>
      <c r="YL10" s="406">
        <f>YK10-YI10</f>
        <v>79</v>
      </c>
      <c r="YM10" s="824" t="str">
        <f>MID($XU$3,YI10,YL10)</f>
        <v>неустойки за несоблюдение срока выплаты страхового возмещения по Договору ОСАГО</v>
      </c>
      <c r="YN10" s="825" t="str">
        <f>IFERROR(INDEX($DU:$DU,MATCH(MID($XU$3,YI10,YL10),$DT:$DT,0),1),"")</f>
        <v>Неустойка</v>
      </c>
      <c r="YO10" s="842" t="str">
        <f>IF(ISERROR(YI52),"",CONCATENATE(YG52,". ",YN52," ",IFERROR(CONCATENATE(YM56,",",YM57),""),IF(ISERROR(CONCATENATE(YM56,",",YM57)),"","₽")))</f>
        <v/>
      </c>
      <c r="YP10" s="884" t="str">
        <f t="shared" si="100"/>
        <v>$$$$</v>
      </c>
      <c r="YQ10" s="1181" t="e">
        <f t="shared" si="130"/>
        <v>#VALUE!</v>
      </c>
      <c r="YS10" s="1463">
        <v>2</v>
      </c>
      <c r="YT10" s="824" t="s">
        <v>8433</v>
      </c>
      <c r="YU10" s="838" t="e">
        <f>SEARCH(YP$4,$XU$4,YW3)+LEN(YP$4)</f>
        <v>#VALUE!</v>
      </c>
      <c r="YV10" s="406" t="str">
        <f>IF(YW10=IFERROR(SEARCH(".",$XU$4,YU10),99999),".",
IF(YW10=IFERROR(SEARCH(",",$XU$4,YU10),99999),",",
IF(YW10=IFERROR(SEARCH(" за период",$XU$4,YU10),999999)," за период",
IF(YW10=IFERROR(SEARCH(" в размере",$XU$4,YU10),99999)," в размере",
))))</f>
        <v>.</v>
      </c>
      <c r="YW10" s="406">
        <f>IFERROR(MIN(IFERROR(SEARCH(".",$XU$4,YU10),99999),IFERROR(SEARCH(",",$XU$4,YU10),99999),IFERROR(SEARCH(" за период",$XU$4,YU10),999999),IFERROR(SEARCH(" в размере",$XU$4,YU10),99999)),"ОШИБКА")</f>
        <v>99999</v>
      </c>
      <c r="YX10" s="406" t="e">
        <f>YW10-YU10</f>
        <v>#VALUE!</v>
      </c>
      <c r="YY10" s="824" t="e">
        <f>MID($XU$4,YU10,YX10)</f>
        <v>#VALUE!</v>
      </c>
      <c r="YZ10" s="825" t="str">
        <f>IFERROR(INDEX($DU:$DU,MATCH(MID($XU$4,YU10,YX10),$DT:$DT,0),1),"")</f>
        <v/>
      </c>
      <c r="ZA10" s="842" t="str">
        <f>IF(ISERROR(YU52),"",CONCATENATE(YS52,". ",YZ52," ",IFERROR(CONCATENATE(YY56,",",YY57),""),IF(ISERROR(CONCATENATE(YY56,",",YY57)),"","₽")))</f>
        <v/>
      </c>
      <c r="ZB10" t="str">
        <f t="shared" si="31"/>
        <v>$$$$</v>
      </c>
      <c r="ZC10" s="1181" t="e">
        <f t="shared" si="120"/>
        <v>#VALUE!</v>
      </c>
      <c r="ZE10" s="1463">
        <v>2</v>
      </c>
      <c r="ZF10" s="824" t="s">
        <v>8433</v>
      </c>
      <c r="ZG10" s="838" t="e">
        <f>SEARCH(ZB$4,$XU$5,ZI3)+LEN(ZB$4)</f>
        <v>#VALUE!</v>
      </c>
      <c r="ZH10" s="406" t="str">
        <f>IF(ZI10=IFERROR(SEARCH(".",$XU$5,ZG10),99999),".",
IF(ZI10=IFERROR(SEARCH(",",$XU$5,ZG10),99999),",",
IF(ZI10=IFERROR(SEARCH(" за период",$XU$5,ZG10),999999)," за период",
IF(ZI10=IFERROR(SEARCH(" в размере",$XU$5,ZG10),99999)," в размере",
))))</f>
        <v>.</v>
      </c>
      <c r="ZI10" s="406">
        <f>IFERROR(MIN(IFERROR(SEARCH(".",$XU$5,ZG10),99999),IFERROR(SEARCH(",",$XU$5,ZG10),99999),IFERROR(SEARCH(" за период",$XU$5,ZG10),999999),IFERROR(SEARCH(" в размере",$XU$5,ZG10),99999)),"ОШИБКА")</f>
        <v>99999</v>
      </c>
      <c r="ZJ10" s="406" t="e">
        <f>ZI10-ZG10</f>
        <v>#VALUE!</v>
      </c>
      <c r="ZK10" s="824" t="e">
        <f>MID($XU$5,ZG10,ZJ10)</f>
        <v>#VALUE!</v>
      </c>
      <c r="ZL10" s="825" t="str">
        <f>IFERROR(INDEX($DU:$DU,MATCH(MID($XU$5,ZG10,ZJ10),$DT:$DT,0),1),"")</f>
        <v/>
      </c>
      <c r="ZM10" s="842" t="str">
        <f>IF(ISERROR(ZG52),"",CONCATENATE(ZE52,". ",ZL52," ",IFERROR(CONCATENATE(ZK56,",",ZK57),""),IF(ISERROR(CONCATENATE(ZK56,",",ZK57)),"","₽")))</f>
        <v/>
      </c>
      <c r="ZN10" t="str">
        <f t="shared" si="32"/>
        <v>$$$$</v>
      </c>
      <c r="ZO10" s="1181" t="e">
        <f t="shared" si="121"/>
        <v>#VALUE!</v>
      </c>
      <c r="ZQ10" s="1463">
        <v>2</v>
      </c>
      <c r="ZR10" s="824" t="s">
        <v>8433</v>
      </c>
      <c r="ZS10" s="838" t="e">
        <f>SEARCH(ZN$4,$XU$6,ZU3)+LEN(ZN$4)</f>
        <v>#VALUE!</v>
      </c>
      <c r="ZT10" s="406" t="str">
        <f>IF(ZU10=IFERROR(SEARCH(".",$XU$6,ZS10),99999),".",
IF(ZU10=IFERROR(SEARCH(",",$XU$6,ZS10),99999),",",
IF(ZU10=IFERROR(SEARCH(" за период",$XU$6,ZS10),999999)," за период",
IF(ZU10=IFERROR(SEARCH(" в размере",$XU$6,ZS10),99999)," в размере",
))))</f>
        <v>.</v>
      </c>
      <c r="ZU10" s="406">
        <f>IFERROR(MIN(IFERROR(SEARCH(".",$XU$6,ZS10),99999),IFERROR(SEARCH(",",$XU$6,ZS10),99999),IFERROR(SEARCH(" за период",$XU$6,ZS10),999999),IFERROR(SEARCH(" в размере",$XU$6,ZS10),99999)),"ОШИБКА")</f>
        <v>99999</v>
      </c>
      <c r="ZV10" s="406" t="e">
        <f>ZU10-ZS10</f>
        <v>#VALUE!</v>
      </c>
      <c r="ZW10" s="824" t="e">
        <f>MID($XU$6,ZS10,ZV10)</f>
        <v>#VALUE!</v>
      </c>
      <c r="ZX10" s="825" t="str">
        <f>IFERROR(INDEX($DU:$DU,MATCH(MID($XU$6,ZS10,ZV10),$DT:$DT,0),1),"")</f>
        <v/>
      </c>
      <c r="ZY10" s="842" t="str">
        <f>IF(ISERROR(ZS52),"",CONCATENATE(ZQ52,". ",ZX52," ",IFERROR(CONCATENATE(ZW56,",",ZW57),""),IF(ISERROR(CONCATENATE(ZW56,",",ZW57)),"","₽")))</f>
        <v/>
      </c>
      <c r="ZZ10" t="str">
        <f t="shared" si="33"/>
        <v>$$$$</v>
      </c>
      <c r="AAA10" s="1181" t="e">
        <f t="shared" si="122"/>
        <v>#VALUE!</v>
      </c>
      <c r="AAC10" s="1463">
        <v>2</v>
      </c>
      <c r="AAD10" s="824" t="s">
        <v>8433</v>
      </c>
      <c r="AAE10" s="838" t="e">
        <f>SEARCH(ZZ$4,$XU$7,AAG3)+LEN(ZZ$4)</f>
        <v>#VALUE!</v>
      </c>
      <c r="AAF10" s="406" t="str">
        <f>IF(AAG10=IFERROR(SEARCH(".",$XU$7,AAE10),99999),".",
IF(AAG10=IFERROR(SEARCH(",",$XU$7,AAE10),99999),",",
IF(AAG10=IFERROR(SEARCH(" за период",$XU$7,AAE10),999999)," за период",
IF(AAG10=IFERROR(SEARCH(" в размере",$XU$7,AAE10),99999)," в размере",
))))</f>
        <v>.</v>
      </c>
      <c r="AAG10" s="406">
        <f>IFERROR(MIN(IFERROR(SEARCH(".",$XU$7,AAE10),99999),IFERROR(SEARCH(",",$XU$7,AAE10),99999),IFERROR(SEARCH(" за период",$XU$7,AAE10),999999),IFERROR(SEARCH(" в размере",$XU$7,AAE10),99999)),"ОШИБКА")</f>
        <v>99999</v>
      </c>
      <c r="AAH10" s="406" t="e">
        <f>AAG10-AAE10</f>
        <v>#VALUE!</v>
      </c>
      <c r="AAI10" s="824" t="e">
        <f>MID($XU$7,AAE10,AAH10)</f>
        <v>#VALUE!</v>
      </c>
      <c r="AAJ10" s="825" t="str">
        <f>IFERROR(INDEX($DU:$DU,MATCH(MID($XU$7,AAE10,AAH10),$DT:$DT,0),1),"")</f>
        <v/>
      </c>
      <c r="AAK10" s="842" t="str">
        <f>IF(ISERROR(AAE52),"",CONCATENATE(AAC52,". ",AAJ52," ",IFERROR(CONCATENATE(AAI56,",",AAI57),""),IF(ISERROR(CONCATENATE(AAI56,",",AAI57)),"","₽")))</f>
        <v/>
      </c>
      <c r="AAL10" s="1090" t="str">
        <f>IF(DATES!O9="","",DATES!O9)</f>
        <v/>
      </c>
      <c r="AAM10" s="1066"/>
      <c r="AAN10" s="946" t="s">
        <v>8513</v>
      </c>
      <c r="AAO10" s="947"/>
      <c r="AAP10" s="920"/>
      <c r="AAQ10" s="920"/>
      <c r="AAR10" s="947"/>
      <c r="AAS10" s="947"/>
      <c r="AAT10" s="947"/>
      <c r="AAU10" s="979"/>
      <c r="AAV10" t="s">
        <v>8513</v>
      </c>
      <c r="AAW10" s="947" t="e">
        <f t="shared" si="9"/>
        <v>#VALUE!</v>
      </c>
      <c r="AAX10" s="5"/>
      <c r="AAY10" s="5"/>
      <c r="AAZ10" s="5"/>
      <c r="ABA10" s="1486"/>
      <c r="ABC10" s="1067"/>
      <c r="ABD10" s="935" t="s">
        <v>8513</v>
      </c>
      <c r="ABE10" s="937"/>
      <c r="ABF10" s="920"/>
      <c r="ABG10" s="920"/>
      <c r="ABH10" s="937"/>
      <c r="ABI10" s="937"/>
      <c r="ABJ10" s="937"/>
      <c r="ABK10" s="979"/>
      <c r="ABL10" t="s">
        <v>8513</v>
      </c>
      <c r="ABM10" s="854"/>
      <c r="ABN10" t="s">
        <v>8513</v>
      </c>
      <c r="ABO10" s="937"/>
      <c r="ABP10" s="5"/>
      <c r="ABQ10" s="1070"/>
      <c r="ABR10" t="s">
        <v>8513</v>
      </c>
      <c r="ABS10" s="937"/>
      <c r="ABT10" t="s">
        <v>8513</v>
      </c>
      <c r="ABU10" s="937"/>
      <c r="ABV10" s="5"/>
      <c r="ABW10" s="1073"/>
      <c r="ABX10" t="s">
        <v>8513</v>
      </c>
      <c r="ABY10" s="937"/>
      <c r="ABZ10" t="s">
        <v>8513</v>
      </c>
      <c r="ACA10" s="937"/>
      <c r="ACB10" s="5"/>
      <c r="ACC10" s="1064"/>
      <c r="ACD10" t="s">
        <v>8513</v>
      </c>
      <c r="ACE10" s="937"/>
      <c r="ACF10" s="5"/>
      <c r="ACG10" s="264"/>
      <c r="ACI10" s="937"/>
      <c r="ACJ10" s="264"/>
      <c r="ACK10" s="5"/>
      <c r="ACL10" s="5"/>
      <c r="ACM10" s="1075"/>
      <c r="ACN10" t="s">
        <v>8513</v>
      </c>
      <c r="ACO10" s="937"/>
      <c r="ACP10" s="5"/>
      <c r="ACQ10" s="264"/>
      <c r="ACS10" s="937"/>
      <c r="ACT10" s="264"/>
      <c r="ACU10" s="5"/>
      <c r="ACV10" s="5"/>
      <c r="ACW10" s="1075"/>
      <c r="ACX10" t="s">
        <v>8513</v>
      </c>
      <c r="ACY10" s="937"/>
      <c r="ACZ10" s="5"/>
      <c r="ADA10" s="264"/>
      <c r="ADC10" s="937"/>
      <c r="ADD10" s="264"/>
      <c r="ADE10" s="5"/>
      <c r="ADF10" s="5"/>
      <c r="ADG10" s="1075"/>
      <c r="ADH10" t="s">
        <v>8513</v>
      </c>
      <c r="ADI10" s="937"/>
      <c r="ADJ10" s="5"/>
      <c r="ADK10" s="264"/>
      <c r="ADM10" s="937"/>
      <c r="ADN10" s="264"/>
      <c r="ADO10" s="5"/>
      <c r="ADP10" s="5"/>
      <c r="ADQ10" s="1075"/>
      <c r="ADR10" s="1082" t="str">
        <f>IFERROR(ABQ4,"")</f>
        <v/>
      </c>
      <c r="ADS10" s="1067"/>
      <c r="ADT10" s="946" t="s">
        <v>8513</v>
      </c>
      <c r="ADU10" s="947"/>
      <c r="ADV10" s="920"/>
      <c r="ADW10" s="920"/>
      <c r="ADX10" s="947"/>
      <c r="ADY10" s="947"/>
      <c r="ADZ10" s="947"/>
      <c r="AEA10" s="979"/>
      <c r="AEB10" s="946" t="s">
        <v>8513</v>
      </c>
      <c r="AEC10" s="947"/>
      <c r="AED10" s="920"/>
      <c r="AEE10" s="920"/>
      <c r="AEF10" s="947"/>
      <c r="AEG10" s="947"/>
      <c r="AEH10" s="947"/>
      <c r="AEI10" s="979"/>
      <c r="AEJ10" s="961"/>
      <c r="AEK10" s="961"/>
      <c r="AEL10" s="961"/>
      <c r="AEM10" t="s">
        <v>8513</v>
      </c>
      <c r="AEN10" s="947"/>
      <c r="AEO10" t="s">
        <v>8513</v>
      </c>
      <c r="AEP10" s="947"/>
      <c r="AEQ10" s="5"/>
      <c r="AER10" s="1070"/>
      <c r="AES10" t="s">
        <v>8513</v>
      </c>
      <c r="AET10" s="947"/>
      <c r="AEU10" t="s">
        <v>8513</v>
      </c>
      <c r="AEV10" s="947"/>
      <c r="AEW10" s="5"/>
      <c r="AEX10" s="1070"/>
      <c r="AEY10" t="s">
        <v>8513</v>
      </c>
      <c r="AEZ10" s="947"/>
      <c r="AFA10" s="1070"/>
      <c r="AFE10" s="1463">
        <v>2</v>
      </c>
      <c r="AFF10" s="824" t="s">
        <v>8433</v>
      </c>
      <c r="AFG10" s="838">
        <f>SEARCH(AFB$4,AFD$4,AFI3)+LEN(AFB$4)</f>
        <v>326</v>
      </c>
      <c r="AFH10" s="406" t="str">
        <f>IF(AFI10=IFERROR(SEARCH(".",AFD$4,AFG10),99999),".",
IF(AFI10=IFERROR(SEARCH(",",AFD$4,AFG10),99999),",",
IF(AFI10=IFERROR(SEARCH(" за период",AFD$4,AFG10),999999)," за период",
IF(AFI10=IFERROR(SEARCH(" в размере",AFD$4,AFG10),99999)," в размере",
))))</f>
        <v xml:space="preserve"> за период</v>
      </c>
      <c r="AFI10" s="406">
        <f>IFERROR(MIN(IFERROR(SEARCH(".",AFD$4,AFG10),99999),IFERROR(SEARCH(",",AFD$4,AFG10),99999),IFERROR(SEARCH(" за период",AFD$4,AFG10),999999),IFERROR(SEARCH(" в размере",AFD$4,AFG10),99999)),"ОШИБКА")</f>
        <v>405</v>
      </c>
      <c r="AFJ10" s="406">
        <f>AFI10-AFG10</f>
        <v>79</v>
      </c>
      <c r="AFK10" s="824" t="str">
        <f>MID(AFD$4,AFG10,AFJ10)</f>
        <v>неустойка за несоблюдение срока выплаты страхового возмещения по Договору ОСАГО</v>
      </c>
      <c r="AFL10" s="825" t="str">
        <f>IFERROR(INDEX($DU:$DU,MATCH(MID(AFD$4,AFG10,AFJ10),$DT:$DT,0),1),"")</f>
        <v>Неустойка</v>
      </c>
      <c r="AFM10" s="842" t="str">
        <f>IF(AFL52="","",CONCATENATE(AFE52,". ",AFL52," ",IFERROR(CONCATENATE(AFK56,",",AFK57),""),IF(ISERROR(CONCATENATE(AFK56,",",AFK57)),"","₽")))</f>
        <v/>
      </c>
      <c r="AFQ10" s="1463">
        <v>2</v>
      </c>
      <c r="AFR10" s="824" t="s">
        <v>8433</v>
      </c>
      <c r="AFS10" s="838" t="e">
        <f>SEARCH(AFN$4,AFP$4,AFU3)+LEN(AFN$4)</f>
        <v>#VALUE!</v>
      </c>
      <c r="AFT10" s="406" t="str">
        <f>IF(AFU10=IFERROR(SEARCH(".",AFP$4,AFS10),99999),".",
IF(AFU10=IFERROR(SEARCH(",",AFP$4,AFS10),99999),",",
IF(AFU10=IFERROR(SEARCH(" за период",AFP$4,AFS10),999999)," за период",
IF(AFU10=IFERROR(SEARCH(" в размере",AFP$4,AFS10),99999)," в размере",
))))</f>
        <v>.</v>
      </c>
      <c r="AFU10" s="406">
        <f>IFERROR(MIN(IFERROR(SEARCH(".",AFP$4,AFS10),99999),IFERROR(SEARCH(",",AFP$4,AFS10),99999),IFERROR(SEARCH(" за период",AFP$4,AFS10),999999),IFERROR(SEARCH(" в размере",AFP$4,AFS10),99999)),"ОШИБКА")</f>
        <v>99999</v>
      </c>
      <c r="AFV10" s="406" t="e">
        <f>AFU10-AFS10</f>
        <v>#VALUE!</v>
      </c>
      <c r="AFW10" s="824" t="e">
        <f>MID(AFP$4,AFS10,AFV10)</f>
        <v>#VALUE!</v>
      </c>
      <c r="AFX10" s="825" t="str">
        <f>IFERROR(INDEX($DU:$DU,MATCH(MID(AFP$4,AFS10,AFV10),$DT:$DT,0),1),"")</f>
        <v/>
      </c>
      <c r="AFY10" s="842" t="str">
        <f>IF(AFX52="","",CONCATENATE(AFQ52,". ",AFX52," ",IFERROR(CONCATENATE(AFW56,",",AFW57),""),IF(ISERROR(CONCATENATE(AFW56,",",AFW57)),"","₽")))</f>
        <v/>
      </c>
      <c r="AGC10" s="1463">
        <v>2</v>
      </c>
      <c r="AGD10" s="824" t="s">
        <v>8433</v>
      </c>
      <c r="AGE10" s="838" t="e">
        <f>SEARCH(AFZ$4,AGB$4,AGG3)+LEN(AFZ$4)</f>
        <v>#VALUE!</v>
      </c>
      <c r="AGF10" s="406" t="str">
        <f>IF(AGG10=IFERROR(SEARCH(".",AGB$4,AGE10),99999),".",
IF(AGG10=IFERROR(SEARCH(",",AGB$4,AGE10),99999),",",
IF(AGG10=IFERROR(SEARCH(" за период",AGB$4,AGE10),999999)," за период",
IF(AGG10=IFERROR(SEARCH(" в размере",AGB$4,AGE10),99999)," в размере",
))))</f>
        <v>.</v>
      </c>
      <c r="AGG10" s="406">
        <f>IFERROR(MIN(IFERROR(SEARCH(".",AGB$4,AGE10),99999),IFERROR(SEARCH(",",AGB$4,AGE10),99999),IFERROR(SEARCH(" за период",AGB$4,AGE10),999999),IFERROR(SEARCH(" в размере",AGB$4,AGE10),99999)),"ОШИБКА")</f>
        <v>99999</v>
      </c>
      <c r="AGH10" s="406" t="e">
        <f>AGG10-AGE10</f>
        <v>#VALUE!</v>
      </c>
      <c r="AGI10" s="824" t="e">
        <f>MID(AGB$4,AGE10,AGH10)</f>
        <v>#VALUE!</v>
      </c>
      <c r="AGJ10" s="825" t="str">
        <f>IFERROR(INDEX($DU:$DU,MATCH(MID(AGB$4,AGE10,AGH10),$DT:$DT,0),1),"")</f>
        <v/>
      </c>
      <c r="AGK10" s="842" t="str">
        <f>IF(AGJ52="","",CONCATENATE(AGC52,". ",AGJ52," ",IFERROR(CONCATENATE(AGI56,",",AGI57),""),IF(ISERROR(CONCATENATE(AGI56,",",AGI57)),"","₽")))</f>
        <v/>
      </c>
      <c r="AGO10" s="1463">
        <v>2</v>
      </c>
      <c r="AGP10" s="824" t="s">
        <v>8433</v>
      </c>
      <c r="AGQ10" s="838" t="e">
        <f>SEARCH(AGL$4,AGN$4,AGS3)+LEN(AGL$4)</f>
        <v>#VALUE!</v>
      </c>
      <c r="AGR10" s="406" t="str">
        <f>IF(AGS10=IFERROR(SEARCH(".",AGN$4,AGQ10),99999),".",
IF(AGS10=IFERROR(SEARCH(",",AGN$4,AGQ10),99999),",",
IF(AGS10=IFERROR(SEARCH(" за период",AGN$4,AGQ10),999999)," за период",
IF(AGS10=IFERROR(SEARCH(" в размере",AGN$4,AGQ10),99999)," в размере",
))))</f>
        <v>.</v>
      </c>
      <c r="AGS10" s="406">
        <f>IFERROR(MIN(IFERROR(SEARCH(".",AGN$4,AGQ10),99999),IFERROR(SEARCH(",",AGN$4,AGQ10),99999),IFERROR(SEARCH(" за период",AGN$4,AGQ10),999999),IFERROR(SEARCH(" в размере",AGN$4,AGQ10),99999)),"ОШИБКА")</f>
        <v>99999</v>
      </c>
      <c r="AGT10" s="406" t="e">
        <f>AGS10-AGQ10</f>
        <v>#VALUE!</v>
      </c>
      <c r="AGU10" s="824" t="e">
        <f>MID(AGN$4,AGQ10,AGT10)</f>
        <v>#VALUE!</v>
      </c>
      <c r="AGV10" s="825" t="str">
        <f>IFERROR(INDEX($DU:$DU,MATCH(MID(AGN$4,AGQ10,AGT10),$DT:$DT,0),1),"")</f>
        <v/>
      </c>
      <c r="AGW10" s="842" t="str">
        <f>IF(AGV52="","",CONCATENATE(AGO52,". ",AGV52," ",IFERROR(CONCATENATE(AGU56,",",AGU57),""),IF(ISERROR(CONCATENATE(AGU56,",",AGU57)),"","₽")))</f>
        <v/>
      </c>
      <c r="AHA10" s="1463">
        <v>2</v>
      </c>
      <c r="AHB10" s="824" t="s">
        <v>8433</v>
      </c>
      <c r="AHC10" s="838" t="e">
        <f>SEARCH(AGX$4,AGZ$4,AHE3)+LEN(AGX$4)</f>
        <v>#VALUE!</v>
      </c>
      <c r="AHD10" s="406" t="str">
        <f>IF(AHE10=IFERROR(SEARCH(".",AGZ$4,AHC10),99999),".",
IF(AHE10=IFERROR(SEARCH(",",AGZ$4,AHC10),99999),",",
IF(AHE10=IFERROR(SEARCH(" за период",AGZ$4,AHC10),999999)," за период",
IF(AHE10=IFERROR(SEARCH(" в размере",AGZ$4,AHC10),99999)," в размере",
))))</f>
        <v>.</v>
      </c>
      <c r="AHE10" s="406">
        <f>IFERROR(MIN(IFERROR(SEARCH(".",AGZ$4,AHC10),99999),IFERROR(SEARCH(",",AGZ$4,AHC10),99999),IFERROR(SEARCH(" за период",AGZ$4,AHC10),999999),IFERROR(SEARCH(" в размере",AGZ$4,AHC10),99999)),"ОШИБКА")</f>
        <v>99999</v>
      </c>
      <c r="AHF10" s="406" t="e">
        <f>AHE10-AHC10</f>
        <v>#VALUE!</v>
      </c>
      <c r="AHG10" s="824" t="e">
        <f>MID(AGZ$4,AHC10,AHF10)</f>
        <v>#VALUE!</v>
      </c>
      <c r="AHH10" s="825" t="str">
        <f>IFERROR(INDEX($DU:$DU,MATCH(MID(AGZ$4,AHC10,AHF10),$DT:$DT,0),1),"")</f>
        <v/>
      </c>
      <c r="AHI10" s="842" t="str">
        <f>IF(AHH52="","",CONCATENATE(AHA52,". ",AHH52," ",IFERROR(CONCATENATE(AHG56,",",AHG57),""),IF(ISERROR(CONCATENATE(AHG56,",",AHG57)),"","₽")))</f>
        <v/>
      </c>
      <c r="AHJ10" s="1084"/>
      <c r="AHK10" s="768" t="s">
        <v>8513</v>
      </c>
      <c r="AHL10" s="116"/>
      <c r="AHM10" s="768" t="s">
        <v>8513</v>
      </c>
      <c r="AHT10" s="768" t="s">
        <v>8513</v>
      </c>
      <c r="AHU10" s="116"/>
      <c r="AHV10" s="768" t="s">
        <v>8513</v>
      </c>
      <c r="AHZ10" t="s">
        <v>8513</v>
      </c>
      <c r="AIB10" s="1187" t="e">
        <f t="shared" si="67"/>
        <v>#VALUE!</v>
      </c>
      <c r="AIF10" t="s">
        <v>8513</v>
      </c>
      <c r="AIJ10" t="s">
        <v>9636</v>
      </c>
      <c r="AIK10" t="s">
        <v>1467</v>
      </c>
      <c r="AIL10" s="1187" t="e">
        <f t="shared" si="68"/>
        <v>#VALUE!</v>
      </c>
      <c r="AIP10" t="s">
        <v>8513</v>
      </c>
      <c r="AIT10" t="s">
        <v>8513</v>
      </c>
      <c r="AIV10" s="1187" t="e">
        <f t="shared" si="102"/>
        <v>#VALUE!</v>
      </c>
      <c r="AJB10" t="s">
        <v>8513</v>
      </c>
      <c r="AJH10" t="s">
        <v>9831</v>
      </c>
      <c r="AJI10" t="s">
        <v>9832</v>
      </c>
      <c r="AJJ10" s="1187" t="e">
        <f t="shared" si="10"/>
        <v>#VALUE!</v>
      </c>
      <c r="AJN10" t="s">
        <v>9806</v>
      </c>
      <c r="AJR10" t="s">
        <v>8513</v>
      </c>
      <c r="AJT10" s="1245" t="e">
        <f t="shared" si="69"/>
        <v>#VALUE!</v>
      </c>
      <c r="AJX10" t="s">
        <v>8513</v>
      </c>
      <c r="AKA10" s="116"/>
      <c r="AKB10" t="s">
        <v>9612</v>
      </c>
      <c r="AKC10" t="s">
        <v>9540</v>
      </c>
      <c r="AKD10" s="1187" t="e">
        <f t="shared" si="70"/>
        <v>#VALUE!</v>
      </c>
      <c r="AKH10" t="s">
        <v>8513</v>
      </c>
      <c r="AKK10" s="116"/>
      <c r="AKL10" t="s">
        <v>8513</v>
      </c>
      <c r="AKN10" s="1206" t="e">
        <f t="shared" si="71"/>
        <v>#VALUE!</v>
      </c>
      <c r="AKR10" t="s">
        <v>8513</v>
      </c>
      <c r="AKU10" s="116"/>
      <c r="AKV10" t="s">
        <v>8513</v>
      </c>
      <c r="AKX10" s="1187" t="e">
        <f t="shared" si="72"/>
        <v>#VALUE!</v>
      </c>
      <c r="ALB10" t="s">
        <v>8513</v>
      </c>
      <c r="ALE10" s="116"/>
      <c r="ALF10" t="s">
        <v>8513</v>
      </c>
      <c r="ALH10" s="1187" t="e">
        <f t="shared" si="73"/>
        <v>#VALUE!</v>
      </c>
      <c r="ALL10" t="s">
        <v>8513</v>
      </c>
      <c r="ALO10" s="116"/>
      <c r="ALP10" s="116"/>
      <c r="ALQ10" s="768" t="s">
        <v>8513</v>
      </c>
      <c r="ALR10" s="116"/>
      <c r="ALS10" s="768" t="s">
        <v>8513</v>
      </c>
      <c r="ALW10" t="s">
        <v>8513</v>
      </c>
      <c r="ALY10" s="1187" t="e">
        <f t="shared" si="74"/>
        <v>#VALUE!</v>
      </c>
      <c r="AMC10" t="s">
        <v>8513</v>
      </c>
      <c r="AMG10" t="str">
        <f t="shared" si="11"/>
        <v>Респ Дагестан</v>
      </c>
      <c r="AMH10" t="str">
        <f t="shared" si="12"/>
        <v>Республика Дагестан</v>
      </c>
      <c r="AMI10" s="1206" t="e">
        <f t="shared" si="75"/>
        <v>#VALUE!</v>
      </c>
      <c r="AMM10" t="s">
        <v>8513</v>
      </c>
      <c r="AMQ10" t="str">
        <f t="shared" si="13"/>
        <v>$$$$</v>
      </c>
      <c r="AMR10">
        <f t="shared" si="14"/>
        <v>0</v>
      </c>
      <c r="AMS10" s="1206" t="e">
        <f t="shared" si="76"/>
        <v>#VALUE!</v>
      </c>
      <c r="AMY10" t="s">
        <v>8513</v>
      </c>
      <c r="ANE10" t="str">
        <f t="shared" si="15"/>
        <v>аул</v>
      </c>
      <c r="ANF10" t="str">
        <f t="shared" si="16"/>
        <v xml:space="preserve">аул </v>
      </c>
      <c r="ANG10" s="1206" t="e">
        <f t="shared" si="77"/>
        <v>#VALUE!</v>
      </c>
      <c r="ANK10" t="str">
        <f t="shared" si="17"/>
        <v>, дер</v>
      </c>
      <c r="ANO10" t="str">
        <f t="shared" si="78"/>
        <v>$$$$</v>
      </c>
      <c r="ANP10">
        <f t="shared" si="79"/>
        <v>0</v>
      </c>
      <c r="ANQ10" s="1245" t="e">
        <f t="shared" si="80"/>
        <v>#VALUE!</v>
      </c>
      <c r="ANU10" t="str">
        <f t="shared" si="81"/>
        <v>$$$$</v>
      </c>
      <c r="ANX10" s="116"/>
      <c r="ANY10" t="str">
        <f t="shared" si="82"/>
        <v>ул.</v>
      </c>
      <c r="ANZ10" t="str">
        <f t="shared" si="83"/>
        <v xml:space="preserve">ул. </v>
      </c>
      <c r="AOA10" s="1206" t="e">
        <f t="shared" si="84"/>
        <v>#VALUE!</v>
      </c>
      <c r="AOE10" t="str">
        <f t="shared" si="85"/>
        <v>$$$$</v>
      </c>
      <c r="AOH10" s="116"/>
      <c r="AOI10" t="str">
        <f t="shared" si="86"/>
        <v>$$$$</v>
      </c>
      <c r="AOJ10">
        <f t="shared" si="87"/>
        <v>0</v>
      </c>
      <c r="AOK10" s="1206" t="e">
        <f t="shared" si="88"/>
        <v>#VALUE!</v>
      </c>
      <c r="AOO10" t="s">
        <v>8513</v>
      </c>
      <c r="AOR10" s="116"/>
      <c r="AOS10" t="str">
        <f t="shared" si="89"/>
        <v>$$$$</v>
      </c>
      <c r="AOT10">
        <f t="shared" si="90"/>
        <v>0</v>
      </c>
      <c r="AOU10" s="1245" t="e">
        <f t="shared" si="91"/>
        <v>#VALUE!</v>
      </c>
      <c r="AOY10" t="str">
        <f t="shared" si="92"/>
        <v>$$$$</v>
      </c>
      <c r="APB10" s="116"/>
      <c r="APC10" t="str">
        <f t="shared" si="93"/>
        <v>$$$$</v>
      </c>
      <c r="APD10">
        <f t="shared" si="94"/>
        <v>0</v>
      </c>
      <c r="APE10" s="1206" t="e">
        <f t="shared" si="95"/>
        <v>#VALUE!</v>
      </c>
      <c r="API10" t="s">
        <v>8513</v>
      </c>
      <c r="APL10" s="116"/>
      <c r="APM10" s="116"/>
      <c r="APN10" s="768" t="s">
        <v>8513</v>
      </c>
      <c r="APO10" s="116"/>
      <c r="APP10" s="768" t="s">
        <v>8513</v>
      </c>
    </row>
    <row r="11" spans="1:1114" ht="14.4" customHeight="1" x14ac:dyDescent="0.3">
      <c r="B11" s="116"/>
      <c r="C11" s="116"/>
      <c r="D11" s="116"/>
      <c r="E11" s="116"/>
      <c r="F11" s="116"/>
      <c r="G11" s="116"/>
      <c r="H11" s="116"/>
      <c r="I11" s="116"/>
      <c r="J11" s="116"/>
      <c r="K11" s="116"/>
      <c r="L11" s="116"/>
      <c r="M11" s="116"/>
      <c r="N11" s="116"/>
      <c r="O11" s="116"/>
      <c r="P11" s="116"/>
      <c r="Q11" s="116"/>
      <c r="R11" s="116"/>
      <c r="S11" s="116"/>
      <c r="T11" s="116"/>
      <c r="U11" s="116"/>
      <c r="V11" s="116" t="s">
        <v>9813</v>
      </c>
      <c r="W11" t="s">
        <v>17</v>
      </c>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754"/>
      <c r="AV11" s="754"/>
      <c r="AW11" s="754"/>
      <c r="AX11" s="754"/>
      <c r="AY11" s="754"/>
      <c r="AZ11" s="754"/>
      <c r="BA11" s="754"/>
      <c r="BB11" s="754"/>
      <c r="BC11" s="8"/>
      <c r="BD11" s="8"/>
      <c r="BE11" s="8"/>
      <c r="BF11" s="8"/>
      <c r="BT11" s="768"/>
      <c r="CN11" s="768"/>
      <c r="DP11" s="1538"/>
      <c r="DQ11" s="1542"/>
      <c r="DR11" s="10" t="s">
        <v>8427</v>
      </c>
      <c r="DS11" s="10"/>
      <c r="DT11" t="s">
        <v>8256</v>
      </c>
      <c r="DU11" s="10" t="s">
        <v>8280</v>
      </c>
      <c r="DV11" s="1464"/>
      <c r="DW11" s="826" t="s">
        <v>8435</v>
      </c>
      <c r="DX11" s="836" t="str">
        <f>IF(DY10=" за период",SEARCH(" за период",$C$3,DZ10)+LEN(" за период")+3,"НЕТ")</f>
        <v>НЕТ</v>
      </c>
      <c r="DY11" s="306" t="s">
        <v>8434</v>
      </c>
      <c r="DZ11" s="306" t="e">
        <f>SEARCH(DY11,$C$3,DX11)</f>
        <v>#VALUE!</v>
      </c>
      <c r="EA11" s="306" t="e">
        <f>DZ11-DX11</f>
        <v>#VALUE!</v>
      </c>
      <c r="EB11" s="827" t="e">
        <f>DATEVALUE(MID($C$3,DX11,EA11))</f>
        <v>#VALUE!</v>
      </c>
      <c r="EC11" s="953" t="str">
        <f>IF(DY10=" за период",EB11,"")</f>
        <v/>
      </c>
      <c r="ED11" s="956" t="str">
        <f>IF(ISERROR(DX59),"",CONCATENATE(DV59,". ",EC59," ",IFERROR(CONCATENATE(EB63,",",EB64),""),IF(ISERROR(CONCATENATE(EB63,",",EB64)),"","₽")))</f>
        <v/>
      </c>
      <c r="EE11" s="768"/>
      <c r="EI11" s="768"/>
      <c r="EO11" s="768"/>
      <c r="EP11" s="768"/>
      <c r="EV11" s="768" t="s">
        <v>8513</v>
      </c>
      <c r="EW11" s="116"/>
      <c r="EX11" s="116"/>
      <c r="EY11" s="116"/>
      <c r="EZ11" s="116"/>
      <c r="FA11" s="116"/>
      <c r="FB11" s="116"/>
      <c r="FC11" s="116"/>
      <c r="FD11" s="768" t="s">
        <v>8513</v>
      </c>
      <c r="FE11" s="116"/>
      <c r="FF11" s="116"/>
      <c r="FG11" s="116"/>
      <c r="FH11" s="768" t="s">
        <v>8513</v>
      </c>
      <c r="FI11" s="116"/>
      <c r="FJ11" s="116"/>
      <c r="FK11" s="116"/>
      <c r="FL11" s="116"/>
      <c r="FM11" s="116"/>
      <c r="FN11" s="768" t="s">
        <v>8513</v>
      </c>
      <c r="FO11" s="116"/>
      <c r="FP11" s="116"/>
      <c r="FQ11" s="116"/>
      <c r="FR11" s="116"/>
      <c r="FS11" s="116"/>
      <c r="FT11" s="116"/>
      <c r="FU11" s="866"/>
      <c r="FV11" s="866"/>
      <c r="FW11" s="866"/>
      <c r="FX11" s="866"/>
      <c r="FY11" s="866"/>
      <c r="FZ11" s="1472">
        <v>3</v>
      </c>
      <c r="GA11" s="879" t="s">
        <v>8512</v>
      </c>
      <c r="GB11" s="880" t="e">
        <f>SEARCH(GA11,$FC$3,GF9)</f>
        <v>#VALUE!</v>
      </c>
      <c r="GC11" s="859" t="str">
        <f>IF(ISERROR(GB11),
IF(ISERROR(GB12),
"ОШИБКА",
GA12),
GA11)</f>
        <v>ОШИБКА</v>
      </c>
      <c r="GD11" s="854" t="e">
        <f>SEARCH(GC11,$FC$3,GF9)+LEN(GC11)</f>
        <v>#VALUE!</v>
      </c>
      <c r="GE11" s="881" t="s">
        <v>8236</v>
      </c>
      <c r="GF11" s="880" t="e">
        <f>SEARCH(GE11,$FC$3,GD11)</f>
        <v>#VALUE!</v>
      </c>
      <c r="GG11" s="854" t="e">
        <f>GF11-GD11</f>
        <v>#VALUE!</v>
      </c>
      <c r="GH11" s="1472" t="e">
        <f>MID($FC$3,GD11,GG11)</f>
        <v>#VALUE!</v>
      </c>
      <c r="GI11" s="879" t="s">
        <v>8457</v>
      </c>
      <c r="GJ11" s="880" t="e">
        <f>SEARCH(GI11,$FC$3,GF11)</f>
        <v>#VALUE!</v>
      </c>
      <c r="GK11" s="859" t="str">
        <f>IF(ISERROR(GJ11),
IF(ISERROR(GJ12),
"ОШИБКА",
GI12),
GI11)</f>
        <v>ОШИБКА</v>
      </c>
      <c r="GL11" s="854" t="e">
        <f>SEARCH(GK11,$FC$3,GF11)+LEN(GK11)</f>
        <v>#VALUE!</v>
      </c>
      <c r="GM11" s="1013" t="s">
        <v>8513</v>
      </c>
      <c r="GN11" s="1013">
        <f>IFERROR(MIN(IFERROR(SEARCH($GM$3,$FC$3,GL11),99999),IFERROR(SEARCH($GM$4,$FC$3,GL11),99999),IFERROR(SEARCH($GM$5,$FC$3,GL11),999999),IFERROR(SEARCH($GM$6,$FC$3,GL11),99999)),"ОШИБКА")</f>
        <v>99999</v>
      </c>
      <c r="GO11" s="854" t="e">
        <f>GN11-GL11</f>
        <v>#VALUE!</v>
      </c>
      <c r="GP11" s="1472" t="e">
        <f>MID($FC$3,GL11,GO11)</f>
        <v>#VALUE!</v>
      </c>
      <c r="GQ11" s="879" t="s">
        <v>8521</v>
      </c>
      <c r="GR11" s="880" t="e">
        <f>SEARCH(GQ11,$FC$3,GN11)</f>
        <v>#VALUE!</v>
      </c>
      <c r="GS11" s="859" t="str">
        <f>IF(ISERROR(GR11),
IF(ISERROR(GR12),
"ОШИБКА",
GQ12),
GQ11)</f>
        <v>ОШИБКА</v>
      </c>
      <c r="GT11" s="854" t="e">
        <f>SEARCH(GS11,$FC$3,GN11)+LEN(GS11)</f>
        <v>#VALUE!</v>
      </c>
      <c r="GU11" s="881" t="s">
        <v>8236</v>
      </c>
      <c r="GV11" s="880" t="e">
        <f>SEARCH(GU11,$FC$3,GT11)</f>
        <v>#VALUE!</v>
      </c>
      <c r="GW11" s="854" t="e">
        <f>GV11-GT11</f>
        <v>#VALUE!</v>
      </c>
      <c r="GX11" s="1472" t="e">
        <f>MID($FC$3,GT11,GW11)</f>
        <v>#VALUE!</v>
      </c>
      <c r="GY11" s="116"/>
      <c r="GZ11" s="116"/>
      <c r="HA11" s="116"/>
      <c r="HB11" s="116"/>
      <c r="HC11" s="116"/>
      <c r="HD11" s="116"/>
      <c r="HE11" s="116"/>
      <c r="HG11" s="116"/>
      <c r="HH11" s="116"/>
      <c r="HI11" s="116"/>
      <c r="HJ11" s="116"/>
      <c r="HK11" s="1543" t="s">
        <v>8614</v>
      </c>
      <c r="HL11" s="960" t="str">
        <f>IFERROR(GH7,"")</f>
        <v/>
      </c>
      <c r="HM11" s="116"/>
      <c r="HN11" s="116"/>
      <c r="HO11" s="116"/>
      <c r="HP11" s="116"/>
      <c r="HQ11" s="116"/>
      <c r="HR11" s="116"/>
      <c r="HS11" s="116"/>
      <c r="HT11" s="116"/>
      <c r="HU11" s="116"/>
      <c r="HV11" s="116"/>
      <c r="HW11" s="116"/>
      <c r="HX11" s="116"/>
      <c r="HY11" s="116"/>
      <c r="HZ11" s="116"/>
      <c r="IA11" s="116"/>
      <c r="IB11" s="116"/>
      <c r="IC11" s="116"/>
      <c r="ID11" s="116"/>
      <c r="IE11" s="116"/>
      <c r="IF11" s="116"/>
      <c r="IG11" s="116"/>
      <c r="IH11" s="116"/>
      <c r="II11" s="116"/>
      <c r="IJ11" s="116"/>
      <c r="IK11" s="116"/>
      <c r="IL11" s="116"/>
      <c r="IM11" s="116"/>
      <c r="IN11" s="116"/>
      <c r="IO11" s="116"/>
      <c r="IP11" s="116"/>
      <c r="IQ11" s="116"/>
      <c r="IR11" s="116"/>
      <c r="IS11" s="116"/>
      <c r="IT11" s="116"/>
      <c r="IU11" s="116"/>
      <c r="IV11" s="116"/>
      <c r="IW11" s="116"/>
      <c r="IX11" s="116"/>
      <c r="IY11" s="116"/>
      <c r="IZ11" s="116"/>
      <c r="JA11" s="116"/>
      <c r="JB11" s="116"/>
      <c r="JC11" s="116"/>
      <c r="JD11" s="116"/>
      <c r="JE11" s="116"/>
      <c r="JF11" s="116"/>
      <c r="JG11" s="116"/>
      <c r="JH11" s="116"/>
      <c r="JI11" s="116"/>
      <c r="JJ11" s="116"/>
      <c r="JK11" s="116"/>
      <c r="JL11" s="116"/>
      <c r="JM11" s="116"/>
      <c r="JN11" s="116"/>
      <c r="JO11" s="116"/>
      <c r="JP11" s="866"/>
      <c r="JQ11" s="866"/>
      <c r="JR11" s="866"/>
      <c r="JS11" s="866"/>
      <c r="JT11" s="116"/>
      <c r="JU11" s="116"/>
      <c r="JV11" s="866"/>
      <c r="JW11" s="866"/>
      <c r="JX11" s="866"/>
      <c r="JY11" s="1472"/>
      <c r="JZ11" s="866" t="s">
        <v>8513</v>
      </c>
      <c r="KA11" s="116"/>
      <c r="KB11" s="116"/>
      <c r="KC11" s="116"/>
      <c r="KD11" s="116"/>
      <c r="KE11" s="116"/>
      <c r="KF11" s="116"/>
      <c r="KG11" s="116"/>
      <c r="KJ11" s="866"/>
      <c r="KK11" s="866"/>
      <c r="KN11" s="866"/>
      <c r="KO11" s="866"/>
      <c r="KW11" s="866"/>
      <c r="KX11" s="866"/>
      <c r="LE11" s="866"/>
      <c r="LF11" s="866"/>
      <c r="LG11" s="984" t="s">
        <v>8513</v>
      </c>
      <c r="LH11" s="984" t="e">
        <f t="shared" si="2"/>
        <v>#VALUE!</v>
      </c>
      <c r="LN11" s="866"/>
      <c r="LO11" s="866"/>
      <c r="LT11" s="866"/>
      <c r="LU11" s="866"/>
      <c r="LY11" s="866" t="str">
        <f>CONCATENATE(" Заявитель ",MA3,$CU$3)</f>
        <v xml:space="preserve"> Заявитель обратился в АО СК «БАСК»</v>
      </c>
      <c r="LZ11" s="866"/>
      <c r="MA11" s="866"/>
      <c r="MB11" s="903"/>
      <c r="MC11" s="116"/>
      <c r="MD11" s="116"/>
      <c r="ME11" s="866"/>
      <c r="MF11" s="866"/>
      <c r="MG11" s="866"/>
      <c r="MH11" s="866"/>
      <c r="MI11" s="1186" t="s">
        <v>8513</v>
      </c>
      <c r="MJ11" s="1187"/>
      <c r="ML11" s="866"/>
      <c r="MM11" s="866"/>
      <c r="MN11" s="866"/>
      <c r="MO11" s="866"/>
      <c r="MP11" s="866"/>
      <c r="MQ11" s="866"/>
      <c r="MR11" s="866"/>
      <c r="MS11" s="866"/>
      <c r="MT11" s="866"/>
      <c r="MU11" s="866"/>
      <c r="MV11" s="866"/>
      <c r="MW11" s="866"/>
      <c r="MX11" s="1472"/>
      <c r="MY11" s="988" t="s">
        <v>8513</v>
      </c>
      <c r="MZ11" s="984" t="e">
        <f t="shared" si="3"/>
        <v>#VALUE!</v>
      </c>
      <c r="NA11" s="984"/>
      <c r="NB11" s="920"/>
      <c r="NC11" s="920"/>
      <c r="ND11" s="984"/>
      <c r="NE11" s="984"/>
      <c r="NF11" s="984"/>
      <c r="NG11" s="1474"/>
      <c r="NK11" s="1464"/>
      <c r="NL11" s="826" t="s">
        <v>8435</v>
      </c>
      <c r="NM11" s="836" t="str">
        <f>IF(NN10=" за период",SEARCH(" за период",NJ$4,NO10)+LEN(" за период")+3,"НЕТ")</f>
        <v>НЕТ</v>
      </c>
      <c r="NN11" s="306" t="s">
        <v>8434</v>
      </c>
      <c r="NO11" s="306" t="e">
        <f>SEARCH(NN11,NJ$4,NM11)</f>
        <v>#VALUE!</v>
      </c>
      <c r="NP11" s="306" t="e">
        <f>NO11-NM11</f>
        <v>#VALUE!</v>
      </c>
      <c r="NQ11" s="827" t="e">
        <f>DATEVALUE(MID(NJ$4,NM11,NP11))</f>
        <v>#VALUE!</v>
      </c>
      <c r="NR11" s="828" t="str">
        <f>IF(NN10=" за период",NQ11,"")</f>
        <v/>
      </c>
      <c r="NS11" s="842" t="str">
        <f>IF(NR59="","",CONCATENATE(NK59,". ",NR59," ",IFERROR(CONCATENATE(NQ63,",",NQ64),""),IF(ISERROR(CONCATENATE(NQ63,",",NQ64)),"","₽")))</f>
        <v/>
      </c>
      <c r="NT11" s="1105" t="str">
        <f t="shared" si="4"/>
        <v/>
      </c>
      <c r="NU11" s="993" t="s">
        <v>8513</v>
      </c>
      <c r="NV11" s="994"/>
      <c r="NW11" s="920"/>
      <c r="NX11" s="920"/>
      <c r="NY11" s="994"/>
      <c r="NZ11" s="994"/>
      <c r="OA11" s="994"/>
      <c r="OB11" s="1535"/>
      <c r="OC11" s="1472"/>
      <c r="OD11" s="946" t="s">
        <v>8513</v>
      </c>
      <c r="OE11" s="947" t="e">
        <f t="shared" si="5"/>
        <v>#VALUE!</v>
      </c>
      <c r="OF11" s="947"/>
      <c r="OG11" s="920"/>
      <c r="OH11" s="920"/>
      <c r="OI11" s="947"/>
      <c r="OJ11" s="947"/>
      <c r="OK11" s="947"/>
      <c r="OL11" s="1474"/>
      <c r="OM11" s="869"/>
      <c r="ON11" s="817"/>
      <c r="OO11" s="943"/>
      <c r="OP11" s="1069"/>
      <c r="OQ11" s="935" t="s">
        <v>8513</v>
      </c>
      <c r="OR11" s="937"/>
      <c r="OS11" s="920"/>
      <c r="OT11" s="920"/>
      <c r="OU11" s="937"/>
      <c r="OV11" s="937"/>
      <c r="OW11" s="937"/>
      <c r="OX11" s="979"/>
      <c r="OY11" t="s">
        <v>8513</v>
      </c>
      <c r="OZ11" s="937"/>
      <c r="PA11" t="s">
        <v>8513</v>
      </c>
      <c r="PB11" s="937"/>
      <c r="PC11" s="5"/>
      <c r="PD11" s="1070"/>
      <c r="PE11" t="s">
        <v>8513</v>
      </c>
      <c r="PF11" s="1209"/>
      <c r="PG11" t="s">
        <v>8513</v>
      </c>
      <c r="PH11" s="937"/>
      <c r="PI11" s="5"/>
      <c r="PJ11" s="1073"/>
      <c r="PK11" t="s">
        <v>8513</v>
      </c>
      <c r="PL11" s="947"/>
      <c r="PM11" t="s">
        <v>8513</v>
      </c>
      <c r="PN11" s="937"/>
      <c r="PO11" s="5"/>
      <c r="PP11" s="1064"/>
      <c r="PQ11" t="s">
        <v>8513</v>
      </c>
      <c r="PR11" s="937" t="e">
        <f t="shared" si="22"/>
        <v>#VALUE!</v>
      </c>
      <c r="PS11" s="5"/>
      <c r="PV11" s="937"/>
      <c r="PX11" s="5"/>
      <c r="PY11" s="1470"/>
      <c r="PZ11" t="s">
        <v>8513</v>
      </c>
      <c r="QA11" s="937" t="e">
        <f t="shared" si="6"/>
        <v>#VALUE!</v>
      </c>
      <c r="QB11" s="5"/>
      <c r="QC11" s="264"/>
      <c r="QE11" s="937"/>
      <c r="QF11" s="264"/>
      <c r="QG11" s="5"/>
      <c r="QH11" s="1470"/>
      <c r="QI11" t="s">
        <v>8513</v>
      </c>
      <c r="QJ11" s="937" t="e">
        <f t="shared" si="7"/>
        <v>#VALUE!</v>
      </c>
      <c r="QK11" s="5"/>
      <c r="QL11" s="264"/>
      <c r="QN11" s="937"/>
      <c r="QO11" s="264"/>
      <c r="QP11" s="5"/>
      <c r="QQ11" s="1470"/>
      <c r="QR11" t="s">
        <v>8513</v>
      </c>
      <c r="QS11" s="937" t="e">
        <f t="shared" si="8"/>
        <v>#VALUE!</v>
      </c>
      <c r="QT11" s="5"/>
      <c r="QU11" s="264"/>
      <c r="QW11" s="937"/>
      <c r="QX11" s="264"/>
      <c r="QY11" s="5"/>
      <c r="QZ11" s="1470"/>
      <c r="RA11" s="1094" t="s">
        <v>5</v>
      </c>
      <c r="RB11" s="1095" t="str">
        <f>IFERROR(PJ4,"")</f>
        <v/>
      </c>
      <c r="RC11" s="1069"/>
      <c r="RD11" s="1148" t="s">
        <v>8513</v>
      </c>
      <c r="RE11" s="1059"/>
      <c r="RF11" s="920"/>
      <c r="RG11" s="920"/>
      <c r="RH11" s="1059"/>
      <c r="RI11" s="1059"/>
      <c r="RJ11" s="1059"/>
      <c r="RK11" s="979"/>
      <c r="RL11" s="1055"/>
      <c r="RM11" s="1180" t="s">
        <v>8513</v>
      </c>
      <c r="RN11" s="1181"/>
      <c r="RO11" s="1061"/>
      <c r="RP11" t="s">
        <v>8513</v>
      </c>
      <c r="RQ11" s="854"/>
      <c r="RR11" t="s">
        <v>8513</v>
      </c>
      <c r="RS11" s="1059"/>
      <c r="RT11" s="5"/>
      <c r="RU11" s="1070"/>
      <c r="RV11" t="s">
        <v>8513</v>
      </c>
      <c r="RW11" s="854"/>
      <c r="RX11" t="s">
        <v>8513</v>
      </c>
      <c r="RY11" s="1059"/>
      <c r="RZ11" s="5"/>
      <c r="SA11" s="1070"/>
      <c r="SB11" t="s">
        <v>8513</v>
      </c>
      <c r="SC11" s="854"/>
      <c r="SD11" t="s">
        <v>8513</v>
      </c>
      <c r="SE11" s="1059"/>
      <c r="SF11" s="5"/>
      <c r="SG11" s="1070"/>
      <c r="SH11" s="1070"/>
      <c r="SI11" s="1055"/>
      <c r="SJ11" s="927" t="s">
        <v>9447</v>
      </c>
      <c r="SK11" s="928"/>
      <c r="SL11" s="920"/>
      <c r="SM11" s="920"/>
      <c r="SN11" s="928"/>
      <c r="SO11" s="928"/>
      <c r="SP11" s="928"/>
      <c r="SQ11" s="979"/>
      <c r="SR11" s="882"/>
      <c r="SS11" s="1173" t="s">
        <v>8513</v>
      </c>
      <c r="ST11" s="1174"/>
      <c r="SV11" t="s">
        <v>10051</v>
      </c>
      <c r="SW11" s="1181" t="e">
        <f t="shared" si="115"/>
        <v>#VALUE!</v>
      </c>
      <c r="SY11" s="1464"/>
      <c r="SZ11" s="826" t="s">
        <v>8435</v>
      </c>
      <c r="TA11" s="836" t="str">
        <f>IF(TB10=" за период",SEARCH(" за период",$SQ$3,TC10)+LEN(" за период")+3,"НЕТ")</f>
        <v>НЕТ</v>
      </c>
      <c r="TB11" s="306" t="s">
        <v>8434</v>
      </c>
      <c r="TC11" s="306" t="e">
        <f>SEARCH(TB11,$SQ$3,TA11)</f>
        <v>#VALUE!</v>
      </c>
      <c r="TD11" s="306" t="e">
        <f>TC11-TA11</f>
        <v>#VALUE!</v>
      </c>
      <c r="TE11" s="827" t="e">
        <f>DATEVALUE(MID($SQ$3,TA11,TD11))</f>
        <v>#VALUE!</v>
      </c>
      <c r="TF11" s="828" t="str">
        <f>IF(TB10=" за период",TE11,"")</f>
        <v/>
      </c>
      <c r="TG11" s="842" t="str">
        <f>IF(TF59="","",CONCATENATE(SY59,". ",TF59," ",IFERROR(CONCATENATE(TE63,",",TE64),""),IF(ISERROR(CONCATENATE(TE63,",",TE64)),"","₽")))</f>
        <v/>
      </c>
      <c r="TH11" t="s">
        <v>804</v>
      </c>
      <c r="TI11" s="1025" t="e">
        <f>SEARCH(TH11,TJ$4)</f>
        <v>#VALUE!</v>
      </c>
      <c r="TK11" s="1489"/>
      <c r="TL11" s="592"/>
      <c r="TM11" s="836" t="e">
        <f>SEARCH(" ",TJ$4,TO10+1)+1</f>
        <v>#VALUE!</v>
      </c>
      <c r="TN11" s="306" t="s">
        <v>8432</v>
      </c>
      <c r="TO11" s="306" t="e">
        <f>SEARCH(TN11,TJ$4,TM11)</f>
        <v>#VALUE!</v>
      </c>
      <c r="TP11" s="306" t="e">
        <f>TO11-TM11</f>
        <v>#VALUE!</v>
      </c>
      <c r="TQ11" s="826" t="e">
        <f>IF(TR9="Штраф 50%","",MID(TJ$4,TM11,TP11))</f>
        <v>#VALUE!</v>
      </c>
      <c r="TR11" s="828" t="str">
        <f>IF(TN9=" за период",TQ11,"")</f>
        <v/>
      </c>
      <c r="TS11" s="843" t="str">
        <f>IF(TR37="","",CONCATENATE(TK37,". ",TR37," ",IFERROR(CONCATENATE(TQ38,",",TQ39),""),IF(ISERROR(CONCATENATE(TQ38,",",TQ39)),"","₽")))</f>
        <v/>
      </c>
      <c r="TT11" t="str">
        <f t="shared" si="27"/>
        <v xml:space="preserve">выплатило Заявителю </v>
      </c>
      <c r="TU11" s="1181" t="e">
        <f t="shared" si="116"/>
        <v>#VALUE!</v>
      </c>
      <c r="TW11" s="1464"/>
      <c r="TX11" s="826" t="s">
        <v>8435</v>
      </c>
      <c r="TY11" s="836" t="str">
        <f>IF(TZ10=" за период",SEARCH(" за период",$SQ$4,UA10)+LEN(" за период")+3,"НЕТ")</f>
        <v>НЕТ</v>
      </c>
      <c r="TZ11" s="306" t="s">
        <v>8434</v>
      </c>
      <c r="UA11" s="306" t="e">
        <f>SEARCH(TZ11,$SQ$4,TY11)</f>
        <v>#VALUE!</v>
      </c>
      <c r="UB11" s="306" t="e">
        <f>UA11-TY11</f>
        <v>#VALUE!</v>
      </c>
      <c r="UC11" s="827" t="e">
        <f>DATEVALUE(MID($SQ$4,TY11,UB11))</f>
        <v>#VALUE!</v>
      </c>
      <c r="UD11" s="828" t="str">
        <f>IF(TZ10=" за период",UC11,"")</f>
        <v/>
      </c>
      <c r="UE11" s="842" t="str">
        <f>IF(UD59="","",CONCATENATE(TW59,". ",UD59," ",IFERROR(CONCATENATE(UC63,",",UC64),""),IF(ISERROR(CONCATENATE(UC63,",",UC64)),"","₽")))</f>
        <v/>
      </c>
      <c r="UF11" t="s">
        <v>804</v>
      </c>
      <c r="UG11" s="1025" t="e">
        <f>SEARCH(UF11,UH$4)</f>
        <v>#VALUE!</v>
      </c>
      <c r="UI11" s="1489"/>
      <c r="UJ11" s="592"/>
      <c r="UK11" s="836" t="e">
        <f>SEARCH(" ",UH$4,UM10+1)+1</f>
        <v>#VALUE!</v>
      </c>
      <c r="UL11" s="306" t="s">
        <v>8432</v>
      </c>
      <c r="UM11" s="306" t="e">
        <f>SEARCH(UL11,UH$4,UK11)</f>
        <v>#VALUE!</v>
      </c>
      <c r="UN11" s="306" t="e">
        <f>UM11-UK11</f>
        <v>#VALUE!</v>
      </c>
      <c r="UO11" s="826" t="e">
        <f>IF(UP9="Штраф 50%","",MID(UH$4,UK11,UN11))</f>
        <v>#VALUE!</v>
      </c>
      <c r="UP11" s="828" t="str">
        <f>IF(UL9=" за период",UO11,"")</f>
        <v/>
      </c>
      <c r="UQ11" s="843" t="str">
        <f>IF(UP37="","",CONCATENATE(UI37,". ",UP37," ",IFERROR(CONCATENATE(UO38,",",UO39),""),IF(ISERROR(CONCATENATE(UO38,",",UO39)),"","₽")))</f>
        <v/>
      </c>
      <c r="UR11" t="str">
        <f t="shared" si="28"/>
        <v xml:space="preserve">выплатило Заявителю </v>
      </c>
      <c r="US11" s="1181" t="e">
        <f t="shared" si="117"/>
        <v>#VALUE!</v>
      </c>
      <c r="UU11" s="1464"/>
      <c r="UV11" s="826" t="s">
        <v>8435</v>
      </c>
      <c r="UW11" s="836" t="str">
        <f>IF(UX10=" за период",SEARCH(" за период",$SQ$5,UY10)+LEN(" за период")+3,"НЕТ")</f>
        <v>НЕТ</v>
      </c>
      <c r="UX11" s="306" t="s">
        <v>8434</v>
      </c>
      <c r="UY11" s="306" t="e">
        <f>SEARCH(UX11,$SQ$5,UW11)</f>
        <v>#VALUE!</v>
      </c>
      <c r="UZ11" s="306" t="e">
        <f>UY11-UW11</f>
        <v>#VALUE!</v>
      </c>
      <c r="VA11" s="827" t="e">
        <f>DATEVALUE(MID($SQ$5,UW11,UZ11))</f>
        <v>#VALUE!</v>
      </c>
      <c r="VB11" s="828" t="str">
        <f>IF(UX10=" за период",VA11,"")</f>
        <v/>
      </c>
      <c r="VC11" s="842" t="str">
        <f>IF(VB59="","",CONCATENATE(UU59,". ",VB59," ",IFERROR(CONCATENATE(VA63,",",VA64),""),IF(ISERROR(CONCATENATE(VA63,",",VA64)),"","₽")))</f>
        <v/>
      </c>
      <c r="VD11" t="s">
        <v>804</v>
      </c>
      <c r="VE11" s="1025" t="e">
        <f>SEARCH(VD11,VF$4)</f>
        <v>#VALUE!</v>
      </c>
      <c r="VG11" s="1489"/>
      <c r="VH11" s="592"/>
      <c r="VI11" s="836" t="e">
        <f>SEARCH(" ",VF$4,VK10+1)+1</f>
        <v>#VALUE!</v>
      </c>
      <c r="VJ11" s="306" t="s">
        <v>8432</v>
      </c>
      <c r="VK11" s="306" t="e">
        <f>SEARCH(VJ11,VF$4,VI11)</f>
        <v>#VALUE!</v>
      </c>
      <c r="VL11" s="306" t="e">
        <f>VK11-VI11</f>
        <v>#VALUE!</v>
      </c>
      <c r="VM11" s="826" t="e">
        <f>IF(VN9="Штраф 50%","",MID(VF$4,VI11,VL11))</f>
        <v>#VALUE!</v>
      </c>
      <c r="VN11" s="828" t="str">
        <f>IF(VJ9=" за период",VM11,"")</f>
        <v/>
      </c>
      <c r="VO11" s="843" t="str">
        <f>IF(VN37="","",CONCATENATE(VG37,". ",VN37," ",IFERROR(CONCATENATE(VM38,",",VM39),""),IF(ISERROR(CONCATENATE(VM38,",",VM39)),"","₽")))</f>
        <v/>
      </c>
      <c r="VP11" t="str">
        <f t="shared" si="29"/>
        <v xml:space="preserve">выплатило Заявителю </v>
      </c>
      <c r="VQ11" s="1181" t="e">
        <f t="shared" si="118"/>
        <v>#VALUE!</v>
      </c>
      <c r="VS11" s="1464"/>
      <c r="VT11" s="826" t="s">
        <v>8435</v>
      </c>
      <c r="VU11" s="836" t="str">
        <f>IF(VV10=" за период",SEARCH(" за период",$SQ$6,VW10)+LEN(" за период")+3,"НЕТ")</f>
        <v>НЕТ</v>
      </c>
      <c r="VV11" s="306" t="s">
        <v>8434</v>
      </c>
      <c r="VW11" s="306" t="e">
        <f>SEARCH(VV11,$SQ$6,VU11)</f>
        <v>#VALUE!</v>
      </c>
      <c r="VX11" s="306" t="e">
        <f>VW11-VU11</f>
        <v>#VALUE!</v>
      </c>
      <c r="VY11" s="827" t="e">
        <f>DATEVALUE(MID($SQ$6,VU11,VX11))</f>
        <v>#VALUE!</v>
      </c>
      <c r="VZ11" s="828" t="str">
        <f>IF(VV10=" за период",VY11,"")</f>
        <v/>
      </c>
      <c r="WA11" s="842" t="str">
        <f>IF(VZ59="","",CONCATENATE(VS59,". ",VZ59," ",IFERROR(CONCATENATE(VY63,",",VY64),""),IF(ISERROR(CONCATENATE(VY63,",",VY64)),"","₽")))</f>
        <v/>
      </c>
      <c r="WB11" t="s">
        <v>804</v>
      </c>
      <c r="WC11" s="1025" t="e">
        <f>SEARCH(WB11,WD$4)</f>
        <v>#VALUE!</v>
      </c>
      <c r="WE11" s="1489"/>
      <c r="WF11" s="592"/>
      <c r="WG11" s="836" t="e">
        <f>SEARCH(" ",WD$4,WI10+1)+1</f>
        <v>#VALUE!</v>
      </c>
      <c r="WH11" s="306" t="s">
        <v>8432</v>
      </c>
      <c r="WI11" s="306" t="e">
        <f>SEARCH(WH11,WD$4,WG11)</f>
        <v>#VALUE!</v>
      </c>
      <c r="WJ11" s="306" t="e">
        <f>WI11-WG11</f>
        <v>#VALUE!</v>
      </c>
      <c r="WK11" s="826" t="e">
        <f>IF(WL9="Штраф 50%","",MID(WD$4,WG11,WJ11))</f>
        <v>#VALUE!</v>
      </c>
      <c r="WL11" s="828" t="str">
        <f>IF(WH9=" за период",WK11,"")</f>
        <v/>
      </c>
      <c r="WM11" s="843" t="str">
        <f>IF(WL37="","",CONCATENATE(WE37,". ",WL37," ",IFERROR(CONCATENATE(WK38,",",WK39),""),IF(ISERROR(CONCATENATE(WK38,",",WK39)),"","₽")))</f>
        <v/>
      </c>
      <c r="WN11" t="str">
        <f t="shared" si="30"/>
        <v xml:space="preserve">выплатило Заявителю </v>
      </c>
      <c r="WO11" s="1181" t="e">
        <f t="shared" si="119"/>
        <v>#VALUE!</v>
      </c>
      <c r="WQ11" s="1464"/>
      <c r="WR11" s="826" t="s">
        <v>8435</v>
      </c>
      <c r="WS11" s="836" t="str">
        <f>IF(WT10=" за период",SEARCH(" за период",$SQ$7,WU10)+LEN(" за период")+3,"НЕТ")</f>
        <v>НЕТ</v>
      </c>
      <c r="WT11" s="306" t="s">
        <v>8434</v>
      </c>
      <c r="WU11" s="306" t="e">
        <f>SEARCH(WT11,$SQ$7,WS11)</f>
        <v>#VALUE!</v>
      </c>
      <c r="WV11" s="306" t="e">
        <f>WU11-WS11</f>
        <v>#VALUE!</v>
      </c>
      <c r="WW11" s="827" t="e">
        <f>DATEVALUE(MID($SQ$7,WS11,WV11))</f>
        <v>#VALUE!</v>
      </c>
      <c r="WX11" s="828" t="str">
        <f>IF(WT10=" за период",WW11,"")</f>
        <v/>
      </c>
      <c r="WY11" s="842" t="str">
        <f>IF(WX59="","",CONCATENATE(WQ59,". ",WX59," ",IFERROR(CONCATENATE(WW63,",",WW64),""),IF(ISERROR(CONCATENATE(WW63,",",WW64)),"","₽")))</f>
        <v/>
      </c>
      <c r="WZ11" t="s">
        <v>8513</v>
      </c>
      <c r="XA11" s="1025" t="e">
        <f>SEARCH(WZ11,XB$4)</f>
        <v>#VALUE!</v>
      </c>
      <c r="XC11" s="1489"/>
      <c r="XD11" s="592"/>
      <c r="XE11" s="836" t="e">
        <f>SEARCH(" ",XB$4,XG10+1)+1</f>
        <v>#VALUE!</v>
      </c>
      <c r="XF11" s="306" t="s">
        <v>8432</v>
      </c>
      <c r="XG11" s="306" t="e">
        <f>SEARCH(XF11,XB$4,XE11)</f>
        <v>#VALUE!</v>
      </c>
      <c r="XH11" s="306" t="e">
        <f>XG11-XE11</f>
        <v>#VALUE!</v>
      </c>
      <c r="XI11" s="826" t="e">
        <f>IF(XJ9="Штраф 50%","",MID(XB$4,XE11,XH11))</f>
        <v>#VALUE!</v>
      </c>
      <c r="XJ11" s="828" t="str">
        <f>IF(XF9=" за период",XI11,"")</f>
        <v/>
      </c>
      <c r="XK11" s="843" t="str">
        <f>IF(XJ37="","",CONCATENATE(XC37,". ",XJ37," ",IFERROR(CONCATENATE(XI38,",",XI39),""),IF(ISERROR(CONCATENATE(XI38,",",XI39)),"","₽")))</f>
        <v/>
      </c>
      <c r="XL11" s="1090" t="str">
        <f>IFERROR(CONCATENATE(DATES!C23," ",TEXT(VALUE(CONCATENATE(LEFT(DATES!E23,SEARCH(",",TEXT(DATES!E23,"0,00"))-1),",",RIGHT(TEXT(DATES!E23,"0,00"),2))),"0 000,00"),"₽"),"")</f>
        <v xml:space="preserve"> 0 000,00₽</v>
      </c>
      <c r="XM11" s="1064"/>
      <c r="XN11" s="1046" t="str">
        <f>CONCATENATE(" в адрес ",$CU$3)</f>
        <v xml:space="preserve"> в адрес АО СК «БАСК»</v>
      </c>
      <c r="XO11" s="852"/>
      <c r="XP11" s="920"/>
      <c r="XQ11" s="920"/>
      <c r="XR11" s="863"/>
      <c r="XS11" s="863"/>
      <c r="XT11" s="863"/>
      <c r="XU11" s="979"/>
      <c r="XV11" s="869"/>
      <c r="XW11" s="1180" t="s">
        <v>8513</v>
      </c>
      <c r="XX11" s="1181"/>
      <c r="XZ11" s="876" t="s">
        <v>717</v>
      </c>
      <c r="YA11" s="876" t="e">
        <f>SEARCH(MA$3,$XU$7)</f>
        <v>#VALUE!</v>
      </c>
      <c r="YB11" s="885" t="str">
        <f>IF(ISERROR(YA11),
IF(ISERROR(YA12),
"ОШИБКА",
XZ12),
XZ11)</f>
        <v>ОШИБКА</v>
      </c>
      <c r="YC11" s="1472" t="str">
        <f>YB11</f>
        <v>ОШИБКА</v>
      </c>
      <c r="YD11" t="s">
        <v>8513</v>
      </c>
      <c r="YE11" s="1181" t="e">
        <f t="shared" si="129"/>
        <v>#VALUE!</v>
      </c>
      <c r="YG11" s="1464"/>
      <c r="YH11" s="826" t="s">
        <v>8435</v>
      </c>
      <c r="YI11" s="836" t="str">
        <f>IF(YJ10=" за период",SEARCH(" за период",$XU$3,YK10)+LEN(" за период")+3,"НЕТ")</f>
        <v>НЕТ</v>
      </c>
      <c r="YJ11" s="306" t="s">
        <v>8434</v>
      </c>
      <c r="YK11" s="306" t="e">
        <f>SEARCH(YJ11,$XU$3,YI11)</f>
        <v>#VALUE!</v>
      </c>
      <c r="YL11" s="306" t="e">
        <f>YK11-YI11</f>
        <v>#VALUE!</v>
      </c>
      <c r="YM11" s="827" t="e">
        <f>DATEVALUE(MID($XU$3,YI11,YL11))</f>
        <v>#VALUE!</v>
      </c>
      <c r="YN11" s="828" t="str">
        <f>IF(YJ10=" за период",YM11,"")</f>
        <v/>
      </c>
      <c r="YO11" s="842" t="str">
        <f>IF(ISERROR(YI59),"",CONCATENATE(YG59,". ",YN59," ",IFERROR(CONCATENATE(YM63,",",YM64),""),IF(ISERROR(CONCATENATE(YM63,",",YM64)),"","₽")))</f>
        <v/>
      </c>
      <c r="YP11" s="884" t="str">
        <f t="shared" si="100"/>
        <v>$$$$</v>
      </c>
      <c r="YQ11" s="1181" t="e">
        <f t="shared" si="130"/>
        <v>#VALUE!</v>
      </c>
      <c r="YS11" s="1464"/>
      <c r="YT11" s="826" t="s">
        <v>8435</v>
      </c>
      <c r="YU11" s="836" t="str">
        <f>IF(YV10=" за период",SEARCH(" за период",$XU$4,YW10)+LEN(" за период")+3,"НЕТ")</f>
        <v>НЕТ</v>
      </c>
      <c r="YV11" s="306" t="s">
        <v>8434</v>
      </c>
      <c r="YW11" s="306" t="e">
        <f>SEARCH(YV11,$XU$4,YU11)</f>
        <v>#VALUE!</v>
      </c>
      <c r="YX11" s="306" t="e">
        <f>YW11-YU11</f>
        <v>#VALUE!</v>
      </c>
      <c r="YY11" s="827" t="e">
        <f>DATEVALUE(MID($XU$4,YU11,YX11))</f>
        <v>#VALUE!</v>
      </c>
      <c r="YZ11" s="828" t="str">
        <f>IF(YV10=" за период",YY11,"")</f>
        <v/>
      </c>
      <c r="ZA11" s="842" t="str">
        <f>IF(ISERROR(YU59),"",CONCATENATE(YS59,". ",YZ59," ",IFERROR(CONCATENATE(YY63,",",YY64),""),IF(ISERROR(CONCATENATE(YY63,",",YY64)),"","₽")))</f>
        <v/>
      </c>
      <c r="ZB11" t="str">
        <f t="shared" si="31"/>
        <v>$$$$</v>
      </c>
      <c r="ZC11" s="1181" t="e">
        <f t="shared" si="120"/>
        <v>#VALUE!</v>
      </c>
      <c r="ZE11" s="1464"/>
      <c r="ZF11" s="826" t="s">
        <v>8435</v>
      </c>
      <c r="ZG11" s="836" t="str">
        <f>IF(ZH10=" за период",SEARCH(" за период",$XU$5,ZI10)+LEN(" за период")+3,"НЕТ")</f>
        <v>НЕТ</v>
      </c>
      <c r="ZH11" s="306" t="s">
        <v>8434</v>
      </c>
      <c r="ZI11" s="306" t="e">
        <f>SEARCH(ZH11,$XU$5,ZG11)</f>
        <v>#VALUE!</v>
      </c>
      <c r="ZJ11" s="306" t="e">
        <f>ZI11-ZG11</f>
        <v>#VALUE!</v>
      </c>
      <c r="ZK11" s="827" t="e">
        <f>DATEVALUE(MID($XU$5,ZG11,ZJ11))</f>
        <v>#VALUE!</v>
      </c>
      <c r="ZL11" s="828" t="str">
        <f>IF(ZH10=" за период",ZK11,"")</f>
        <v/>
      </c>
      <c r="ZM11" s="842" t="str">
        <f>IF(ISERROR(ZG59),"",CONCATENATE(ZE59,". ",ZL59," ",IFERROR(CONCATENATE(ZK63,",",ZK64),""),IF(ISERROR(CONCATENATE(ZK63,",",ZK64)),"","₽")))</f>
        <v/>
      </c>
      <c r="ZN11" t="str">
        <f t="shared" si="32"/>
        <v>$$$$</v>
      </c>
      <c r="ZO11" s="1181" t="e">
        <f t="shared" si="121"/>
        <v>#VALUE!</v>
      </c>
      <c r="ZQ11" s="1464"/>
      <c r="ZR11" s="826" t="s">
        <v>8435</v>
      </c>
      <c r="ZS11" s="836" t="str">
        <f>IF(ZT10=" за период",SEARCH(" за период",$XU$6,ZU10)+LEN(" за период")+3,"НЕТ")</f>
        <v>НЕТ</v>
      </c>
      <c r="ZT11" s="306" t="s">
        <v>8434</v>
      </c>
      <c r="ZU11" s="306" t="e">
        <f>SEARCH(ZT11,$XU$6,ZS11)</f>
        <v>#VALUE!</v>
      </c>
      <c r="ZV11" s="306" t="e">
        <f>ZU11-ZS11</f>
        <v>#VALUE!</v>
      </c>
      <c r="ZW11" s="827" t="e">
        <f>DATEVALUE(MID($XU$6,ZS11,ZV11))</f>
        <v>#VALUE!</v>
      </c>
      <c r="ZX11" s="828" t="str">
        <f>IF(ZT10=" за период",ZW11,"")</f>
        <v/>
      </c>
      <c r="ZY11" s="842" t="str">
        <f>IF(ISERROR(ZS59),"",CONCATENATE(ZQ59,". ",ZX59," ",IFERROR(CONCATENATE(ZW63,",",ZW64),""),IF(ISERROR(CONCATENATE(ZW63,",",ZW64)),"","₽")))</f>
        <v/>
      </c>
      <c r="ZZ11" t="str">
        <f t="shared" si="33"/>
        <v>$$$$</v>
      </c>
      <c r="AAA11" s="1181" t="e">
        <f t="shared" si="122"/>
        <v>#VALUE!</v>
      </c>
      <c r="AAC11" s="1464"/>
      <c r="AAD11" s="826" t="s">
        <v>8435</v>
      </c>
      <c r="AAE11" s="836" t="str">
        <f>IF(AAF10=" за период",SEARCH(" за период",$XU$7,AAG10)+LEN(" за период")+3,"НЕТ")</f>
        <v>НЕТ</v>
      </c>
      <c r="AAF11" s="306" t="s">
        <v>8434</v>
      </c>
      <c r="AAG11" s="306" t="e">
        <f>SEARCH(AAF11,$XU$7,AAE11)</f>
        <v>#VALUE!</v>
      </c>
      <c r="AAH11" s="306" t="e">
        <f>AAG11-AAE11</f>
        <v>#VALUE!</v>
      </c>
      <c r="AAI11" s="827" t="e">
        <f>DATEVALUE(MID($XU$7,AAE11,AAH11))</f>
        <v>#VALUE!</v>
      </c>
      <c r="AAJ11" s="828" t="str">
        <f>IF(AAF10=" за период",AAI11,"")</f>
        <v/>
      </c>
      <c r="AAK11" s="842" t="str">
        <f>IF(ISERROR(AAE59),"",CONCATENATE(AAC59,". ",AAJ59," ",IFERROR(CONCATENATE(AAI63,",",AAI64),""),IF(ISERROR(CONCATENATE(AAI63,",",AAI64)),"","₽")))</f>
        <v/>
      </c>
      <c r="AAL11" s="1090" t="str">
        <f>IF(DATES!O10="","",DATES!O10)</f>
        <v/>
      </c>
      <c r="AAM11" s="1066"/>
      <c r="AAN11" s="946" t="s">
        <v>8513</v>
      </c>
      <c r="AAO11" s="947"/>
      <c r="AAP11" s="920"/>
      <c r="AAQ11" s="920"/>
      <c r="AAR11" s="947"/>
      <c r="AAS11" s="947"/>
      <c r="AAT11" s="947"/>
      <c r="AAU11" s="979"/>
      <c r="AAV11" t="s">
        <v>8513</v>
      </c>
      <c r="AAW11" s="947" t="e">
        <f t="shared" si="9"/>
        <v>#VALUE!</v>
      </c>
      <c r="AAX11" s="5"/>
      <c r="AAY11" s="5"/>
      <c r="AAZ11" s="5"/>
      <c r="ABA11" s="1486"/>
      <c r="ABC11" s="1067"/>
      <c r="ABD11" s="935" t="s">
        <v>8513</v>
      </c>
      <c r="ABE11" s="937"/>
      <c r="ABF11" s="920"/>
      <c r="ABG11" s="920"/>
      <c r="ABH11" s="937"/>
      <c r="ABI11" s="937"/>
      <c r="ABJ11" s="937"/>
      <c r="ABK11" s="979"/>
      <c r="ABL11" t="s">
        <v>8513</v>
      </c>
      <c r="ABM11" s="854"/>
      <c r="ABN11" t="s">
        <v>8513</v>
      </c>
      <c r="ABO11" s="937"/>
      <c r="ABP11" s="5"/>
      <c r="ABQ11" s="1070"/>
      <c r="ABR11" t="s">
        <v>8513</v>
      </c>
      <c r="ABS11" s="937"/>
      <c r="ABT11" t="s">
        <v>8513</v>
      </c>
      <c r="ABU11" s="937"/>
      <c r="ABV11" s="5"/>
      <c r="ABW11" s="1073"/>
      <c r="ABX11" t="s">
        <v>8513</v>
      </c>
      <c r="ABY11" s="937"/>
      <c r="ABZ11" t="s">
        <v>8513</v>
      </c>
      <c r="ACA11" s="937"/>
      <c r="ACB11" s="5"/>
      <c r="ACC11" s="1064"/>
      <c r="ACD11" t="s">
        <v>8513</v>
      </c>
      <c r="ACE11" s="937"/>
      <c r="ACF11" s="5"/>
      <c r="ACG11" s="264"/>
      <c r="ACI11" s="937"/>
      <c r="ACJ11" s="264"/>
      <c r="ACK11" s="5"/>
      <c r="ACL11" s="5"/>
      <c r="ACM11" s="1075"/>
      <c r="ACN11" t="s">
        <v>8513</v>
      </c>
      <c r="ACO11" s="937"/>
      <c r="ACP11" s="5"/>
      <c r="ACQ11" s="264"/>
      <c r="ACS11" s="937"/>
      <c r="ACT11" s="264"/>
      <c r="ACU11" s="5"/>
      <c r="ACV11" s="5"/>
      <c r="ACW11" s="1075"/>
      <c r="ACX11" t="s">
        <v>8513</v>
      </c>
      <c r="ACY11" s="937"/>
      <c r="ACZ11" s="5"/>
      <c r="ADA11" s="264"/>
      <c r="ADC11" s="937"/>
      <c r="ADD11" s="264"/>
      <c r="ADE11" s="5"/>
      <c r="ADF11" s="5"/>
      <c r="ADG11" s="1075"/>
      <c r="ADH11" t="s">
        <v>8513</v>
      </c>
      <c r="ADI11" s="937"/>
      <c r="ADJ11" s="5"/>
      <c r="ADK11" s="264"/>
      <c r="ADM11" s="937"/>
      <c r="ADN11" s="264"/>
      <c r="ADO11" s="5"/>
      <c r="ADP11" s="5"/>
      <c r="ADQ11" s="1075"/>
      <c r="ADR11" s="1078" t="str">
        <f>IFERROR(ABW4,"")</f>
        <v/>
      </c>
      <c r="ADS11" s="1067"/>
      <c r="ADT11" s="946" t="s">
        <v>8513</v>
      </c>
      <c r="ADU11" s="947"/>
      <c r="ADV11" s="920"/>
      <c r="ADW11" s="920"/>
      <c r="ADX11" s="947"/>
      <c r="ADY11" s="947"/>
      <c r="ADZ11" s="947"/>
      <c r="AEA11" s="979"/>
      <c r="AEB11" s="946" t="s">
        <v>8513</v>
      </c>
      <c r="AEC11" s="947"/>
      <c r="AED11" s="920"/>
      <c r="AEE11" s="920"/>
      <c r="AEF11" s="947"/>
      <c r="AEG11" s="947"/>
      <c r="AEH11" s="947"/>
      <c r="AEI11" s="979"/>
      <c r="AEJ11" s="961"/>
      <c r="AEK11" s="961"/>
      <c r="AEL11" s="961"/>
      <c r="AEM11" t="s">
        <v>8513</v>
      </c>
      <c r="AEN11" s="947"/>
      <c r="AEO11" t="s">
        <v>8513</v>
      </c>
      <c r="AEP11" s="947"/>
      <c r="AEQ11" s="5"/>
      <c r="AER11" s="1070"/>
      <c r="AES11" t="s">
        <v>8513</v>
      </c>
      <c r="AET11" s="947"/>
      <c r="AEU11" t="s">
        <v>8513</v>
      </c>
      <c r="AEV11" s="947"/>
      <c r="AEW11" s="5"/>
      <c r="AEX11" s="1070"/>
      <c r="AEY11" t="s">
        <v>8513</v>
      </c>
      <c r="AEZ11" s="947"/>
      <c r="AFA11" s="1070"/>
      <c r="AFE11" s="1464"/>
      <c r="AFF11" s="826" t="s">
        <v>8435</v>
      </c>
      <c r="AFG11" s="836">
        <f>IF(AFH10=" за период",SEARCH(" за период",AFD$4,AFI10)+LEN(" за период")+3,"НЕТ")</f>
        <v>418</v>
      </c>
      <c r="AFH11" s="306" t="s">
        <v>8434</v>
      </c>
      <c r="AFI11" s="306">
        <f>SEARCH(AFH11,AFD$4,AFG11)</f>
        <v>428</v>
      </c>
      <c r="AFJ11" s="306">
        <f>AFI11-AFG11</f>
        <v>10</v>
      </c>
      <c r="AFK11" s="827">
        <f>DATEVALUE(MID(AFD$4,AFG11,AFJ11))</f>
        <v>43648</v>
      </c>
      <c r="AFL11" s="828">
        <f>IF(AFH10=" за период",AFK11,"")</f>
        <v>43648</v>
      </c>
      <c r="AFM11" s="842" t="str">
        <f>IF(AFL59="","",CONCATENATE(AFE59,". ",AFL59," ",IFERROR(CONCATENATE(AFK63,",",AFK64),""),IF(ISERROR(CONCATENATE(AFK63,",",AFK64)),"","₽")))</f>
        <v/>
      </c>
      <c r="AFQ11" s="1464"/>
      <c r="AFR11" s="826" t="s">
        <v>8435</v>
      </c>
      <c r="AFS11" s="836" t="str">
        <f>IF(AFT10=" за период",SEARCH(" за период",AFP$4,AFU10)+LEN(" за период")+3,"НЕТ")</f>
        <v>НЕТ</v>
      </c>
      <c r="AFT11" s="306" t="s">
        <v>8434</v>
      </c>
      <c r="AFU11" s="306" t="e">
        <f>SEARCH(AFT11,AFP$4,AFS11)</f>
        <v>#VALUE!</v>
      </c>
      <c r="AFV11" s="306" t="e">
        <f>AFU11-AFS11</f>
        <v>#VALUE!</v>
      </c>
      <c r="AFW11" s="827" t="e">
        <f>DATEVALUE(MID(AFP$4,AFS11,AFV11))</f>
        <v>#VALUE!</v>
      </c>
      <c r="AFX11" s="828" t="str">
        <f>IF(AFT10=" за период",AFW11,"")</f>
        <v/>
      </c>
      <c r="AFY11" s="842" t="str">
        <f>IF(AFX59="","",CONCATENATE(AFQ59,". ",AFX59," ",IFERROR(CONCATENATE(AFW63,",",AFW64),""),IF(ISERROR(CONCATENATE(AFW63,",",AFW64)),"","₽")))</f>
        <v/>
      </c>
      <c r="AGC11" s="1464"/>
      <c r="AGD11" s="826" t="s">
        <v>8435</v>
      </c>
      <c r="AGE11" s="836" t="str">
        <f>IF(AGF10=" за период",SEARCH(" за период",AGB$4,AGG10)+LEN(" за период")+3,"НЕТ")</f>
        <v>НЕТ</v>
      </c>
      <c r="AGF11" s="306" t="s">
        <v>8434</v>
      </c>
      <c r="AGG11" s="306" t="e">
        <f>SEARCH(AGF11,AGB$4,AGE11)</f>
        <v>#VALUE!</v>
      </c>
      <c r="AGH11" s="306" t="e">
        <f>AGG11-AGE11</f>
        <v>#VALUE!</v>
      </c>
      <c r="AGI11" s="827" t="e">
        <f>DATEVALUE(MID(AGB$4,AGE11,AGH11))</f>
        <v>#VALUE!</v>
      </c>
      <c r="AGJ11" s="828" t="str">
        <f>IF(AGF10=" за период",AGI11,"")</f>
        <v/>
      </c>
      <c r="AGK11" s="842" t="str">
        <f>IF(AGJ59="","",CONCATENATE(AGC59,". ",AGJ59," ",IFERROR(CONCATENATE(AGI63,",",AGI64),""),IF(ISERROR(CONCATENATE(AGI63,",",AGI64)),"","₽")))</f>
        <v/>
      </c>
      <c r="AGO11" s="1464"/>
      <c r="AGP11" s="826" t="s">
        <v>8435</v>
      </c>
      <c r="AGQ11" s="836" t="str">
        <f>IF(AGR10=" за период",SEARCH(" за период",AGN$4,AGS10)+LEN(" за период")+3,"НЕТ")</f>
        <v>НЕТ</v>
      </c>
      <c r="AGR11" s="306" t="s">
        <v>8434</v>
      </c>
      <c r="AGS11" s="306" t="e">
        <f>SEARCH(AGR11,AGN$4,AGQ11)</f>
        <v>#VALUE!</v>
      </c>
      <c r="AGT11" s="306" t="e">
        <f>AGS11-AGQ11</f>
        <v>#VALUE!</v>
      </c>
      <c r="AGU11" s="827" t="e">
        <f>DATEVALUE(MID(AGN$4,AGQ11,AGT11))</f>
        <v>#VALUE!</v>
      </c>
      <c r="AGV11" s="828" t="str">
        <f>IF(AGR10=" за период",AGU11,"")</f>
        <v/>
      </c>
      <c r="AGW11" s="842" t="str">
        <f>IF(AGV59="","",CONCATENATE(AGO59,". ",AGV59," ",IFERROR(CONCATENATE(AGU63,",",AGU64),""),IF(ISERROR(CONCATENATE(AGU63,",",AGU64)),"","₽")))</f>
        <v/>
      </c>
      <c r="AHA11" s="1464"/>
      <c r="AHB11" s="826" t="s">
        <v>8435</v>
      </c>
      <c r="AHC11" s="836" t="str">
        <f>IF(AHD10=" за период",SEARCH(" за период",AGZ$4,AHE10)+LEN(" за период")+3,"НЕТ")</f>
        <v>НЕТ</v>
      </c>
      <c r="AHD11" s="306" t="s">
        <v>8434</v>
      </c>
      <c r="AHE11" s="306" t="e">
        <f>SEARCH(AHD11,AGZ$4,AHC11)</f>
        <v>#VALUE!</v>
      </c>
      <c r="AHF11" s="306" t="e">
        <f>AHE11-AHC11</f>
        <v>#VALUE!</v>
      </c>
      <c r="AHG11" s="827" t="e">
        <f>DATEVALUE(MID(AGZ$4,AHC11,AHF11))</f>
        <v>#VALUE!</v>
      </c>
      <c r="AHH11" s="828" t="str">
        <f>IF(AHD10=" за период",AHG11,"")</f>
        <v/>
      </c>
      <c r="AHI11" s="842" t="str">
        <f>IF(AHH59="","",CONCATENATE(AHA59,". ",AHH59," ",IFERROR(CONCATENATE(AHG63,",",AHG64),""),IF(ISERROR(CONCATENATE(AHG63,",",AHG64)),"","₽")))</f>
        <v/>
      </c>
      <c r="AHJ11" s="1084"/>
      <c r="AHK11" s="768" t="s">
        <v>8513</v>
      </c>
      <c r="AHL11" s="116"/>
      <c r="AHM11" s="768" t="s">
        <v>8513</v>
      </c>
      <c r="AHT11" s="768" t="s">
        <v>8513</v>
      </c>
      <c r="AHU11" s="116"/>
      <c r="AHV11" s="768" t="s">
        <v>8513</v>
      </c>
      <c r="AHZ11" t="s">
        <v>8513</v>
      </c>
      <c r="AIB11" s="1187" t="e">
        <f t="shared" si="67"/>
        <v>#VALUE!</v>
      </c>
      <c r="AIF11" t="s">
        <v>8513</v>
      </c>
      <c r="AIJ11" t="s">
        <v>9642</v>
      </c>
      <c r="AIK11" t="s">
        <v>9643</v>
      </c>
      <c r="AIL11" s="1187" t="e">
        <f t="shared" si="68"/>
        <v>#VALUE!</v>
      </c>
      <c r="AIP11" t="s">
        <v>8513</v>
      </c>
      <c r="AIT11" t="s">
        <v>8513</v>
      </c>
      <c r="AIV11" s="1187" t="e">
        <f t="shared" si="102"/>
        <v>#VALUE!</v>
      </c>
      <c r="AJB11" t="s">
        <v>8513</v>
      </c>
      <c r="AJH11" t="s">
        <v>9855</v>
      </c>
      <c r="AJI11" t="s">
        <v>9855</v>
      </c>
      <c r="AJJ11" s="1187" t="e">
        <f t="shared" si="10"/>
        <v>#VALUE!</v>
      </c>
      <c r="AJN11" t="s">
        <v>9817</v>
      </c>
      <c r="AJR11" t="s">
        <v>8513</v>
      </c>
      <c r="AJT11" s="1245" t="e">
        <f t="shared" si="69"/>
        <v>#VALUE!</v>
      </c>
      <c r="AJX11" t="s">
        <v>8513</v>
      </c>
      <c r="AKA11" s="116"/>
      <c r="AKB11" t="s">
        <v>9659</v>
      </c>
      <c r="AKC11" t="s">
        <v>9659</v>
      </c>
      <c r="AKD11" s="1187" t="e">
        <f t="shared" si="70"/>
        <v>#VALUE!</v>
      </c>
      <c r="AKH11" t="s">
        <v>8513</v>
      </c>
      <c r="AKK11" s="116"/>
      <c r="AKL11" t="s">
        <v>8513</v>
      </c>
      <c r="AKN11" s="1206" t="e">
        <f t="shared" si="71"/>
        <v>#VALUE!</v>
      </c>
      <c r="AKR11" t="s">
        <v>8513</v>
      </c>
      <c r="AKU11" s="116"/>
      <c r="AKV11" t="s">
        <v>8513</v>
      </c>
      <c r="AKX11" s="1187" t="e">
        <f t="shared" si="72"/>
        <v>#VALUE!</v>
      </c>
      <c r="ALB11" t="s">
        <v>8513</v>
      </c>
      <c r="ALE11" s="116"/>
      <c r="ALF11" t="s">
        <v>8513</v>
      </c>
      <c r="ALH11" s="1187" t="e">
        <f t="shared" si="73"/>
        <v>#VALUE!</v>
      </c>
      <c r="ALL11" t="s">
        <v>8513</v>
      </c>
      <c r="ALO11" s="116"/>
      <c r="ALP11" s="116"/>
      <c r="ALQ11" s="768" t="s">
        <v>8513</v>
      </c>
      <c r="ALR11" s="116"/>
      <c r="ALS11" s="768" t="s">
        <v>8513</v>
      </c>
      <c r="ALW11" t="s">
        <v>8513</v>
      </c>
      <c r="ALY11" s="1187" t="e">
        <f t="shared" si="74"/>
        <v>#VALUE!</v>
      </c>
      <c r="AMC11" t="s">
        <v>8513</v>
      </c>
      <c r="AMG11" t="str">
        <f t="shared" si="11"/>
        <v>Кемеровская область - Кузбасс</v>
      </c>
      <c r="AMH11" t="str">
        <f t="shared" si="12"/>
        <v>Кемеровская обл. - Кузбасс</v>
      </c>
      <c r="AMI11" s="1206" t="e">
        <f t="shared" si="75"/>
        <v>#VALUE!</v>
      </c>
      <c r="AMM11" t="s">
        <v>8513</v>
      </c>
      <c r="AMQ11" t="str">
        <f t="shared" si="13"/>
        <v>$$$$</v>
      </c>
      <c r="AMR11">
        <f t="shared" si="14"/>
        <v>0</v>
      </c>
      <c r="AMS11" s="1206" t="e">
        <f t="shared" si="76"/>
        <v>#VALUE!</v>
      </c>
      <c r="AMY11" t="s">
        <v>8513</v>
      </c>
      <c r="ANE11" t="str">
        <f t="shared" si="15"/>
        <v xml:space="preserve">пгт </v>
      </c>
      <c r="ANF11" t="str">
        <f t="shared" si="16"/>
        <v xml:space="preserve">пгт </v>
      </c>
      <c r="ANG11" s="1206" t="e">
        <f t="shared" si="77"/>
        <v>#VALUE!</v>
      </c>
      <c r="ANK11" t="str">
        <f t="shared" si="17"/>
        <v>, СНТ</v>
      </c>
      <c r="ANO11" t="str">
        <f t="shared" si="78"/>
        <v>$$$$</v>
      </c>
      <c r="ANP11">
        <f t="shared" si="79"/>
        <v>0</v>
      </c>
      <c r="ANQ11" s="1245" t="e">
        <f t="shared" si="80"/>
        <v>#VALUE!</v>
      </c>
      <c r="ANU11" t="str">
        <f t="shared" si="81"/>
        <v>$$$$</v>
      </c>
      <c r="ANX11" s="116"/>
      <c r="ANY11" t="str">
        <f t="shared" si="82"/>
        <v xml:space="preserve">тер. </v>
      </c>
      <c r="ANZ11" t="str">
        <f t="shared" si="83"/>
        <v xml:space="preserve">тер. </v>
      </c>
      <c r="AOA11" s="1206" t="e">
        <f t="shared" si="84"/>
        <v>#VALUE!</v>
      </c>
      <c r="AOE11" t="str">
        <f t="shared" si="85"/>
        <v>$$$$</v>
      </c>
      <c r="AOH11" s="116"/>
      <c r="AOI11" t="str">
        <f t="shared" si="86"/>
        <v>$$$$</v>
      </c>
      <c r="AOJ11">
        <f t="shared" si="87"/>
        <v>0</v>
      </c>
      <c r="AOK11" s="1206" t="e">
        <f t="shared" si="88"/>
        <v>#VALUE!</v>
      </c>
      <c r="AOO11" t="s">
        <v>8513</v>
      </c>
      <c r="AOR11" s="116"/>
      <c r="AOS11" t="str">
        <f t="shared" si="89"/>
        <v>$$$$</v>
      </c>
      <c r="AOT11">
        <f t="shared" si="90"/>
        <v>0</v>
      </c>
      <c r="AOU11" s="1245" t="e">
        <f t="shared" si="91"/>
        <v>#VALUE!</v>
      </c>
      <c r="AOY11" t="str">
        <f t="shared" si="92"/>
        <v>$$$$</v>
      </c>
      <c r="APB11" s="116"/>
      <c r="APC11" t="str">
        <f t="shared" si="93"/>
        <v>$$$$</v>
      </c>
      <c r="APD11">
        <f t="shared" si="94"/>
        <v>0</v>
      </c>
      <c r="APE11" s="1206" t="e">
        <f t="shared" si="95"/>
        <v>#VALUE!</v>
      </c>
      <c r="API11" t="s">
        <v>8513</v>
      </c>
      <c r="APL11" s="116"/>
      <c r="APM11" s="116"/>
      <c r="APN11" s="768" t="s">
        <v>8513</v>
      </c>
      <c r="APO11" s="116"/>
      <c r="APP11" s="768" t="s">
        <v>8513</v>
      </c>
    </row>
    <row r="12" spans="1:1114" ht="14.4" customHeight="1" thickBot="1" x14ac:dyDescent="0.35">
      <c r="B12" s="116"/>
      <c r="C12" s="116"/>
      <c r="D12" s="116"/>
      <c r="E12" s="116"/>
      <c r="F12" s="116"/>
      <c r="G12" s="116"/>
      <c r="H12" s="116"/>
      <c r="I12" s="116"/>
      <c r="J12" s="116"/>
      <c r="K12" s="116"/>
      <c r="L12" s="116"/>
      <c r="M12" s="116"/>
      <c r="N12" s="116"/>
      <c r="O12" s="116"/>
      <c r="P12" s="116"/>
      <c r="Q12" s="116"/>
      <c r="R12" s="116"/>
      <c r="S12" s="116"/>
      <c r="T12" s="116"/>
      <c r="U12" s="116"/>
      <c r="V12" s="116"/>
      <c r="W12" s="116"/>
      <c r="X12" s="116"/>
      <c r="Y12" s="116"/>
      <c r="Z12" s="116"/>
      <c r="AA12" s="116"/>
      <c r="AB12" s="116"/>
      <c r="AC12" s="116"/>
      <c r="AD12" s="116"/>
      <c r="AE12" s="116"/>
      <c r="AF12" s="116"/>
      <c r="AG12" s="116"/>
      <c r="AH12" s="116"/>
      <c r="AI12" s="116"/>
      <c r="AJ12" s="116"/>
      <c r="AK12" s="116"/>
      <c r="AL12" s="116"/>
      <c r="AM12" s="116"/>
      <c r="AN12" s="116"/>
      <c r="AO12" s="116"/>
      <c r="AP12" s="116"/>
      <c r="AQ12" s="116"/>
      <c r="AR12" s="116"/>
      <c r="AS12" s="116"/>
      <c r="AT12" s="116"/>
      <c r="AU12" s="754"/>
      <c r="AV12" s="754"/>
      <c r="AW12" s="754"/>
      <c r="AX12" s="754"/>
      <c r="AY12" s="754"/>
      <c r="AZ12" s="754"/>
      <c r="BA12" s="754"/>
      <c r="BB12" s="754"/>
      <c r="BC12" s="8"/>
      <c r="BD12" s="8"/>
      <c r="BE12" s="8"/>
      <c r="BF12" s="8"/>
      <c r="DP12" s="941" t="s">
        <v>12</v>
      </c>
      <c r="DQ12" s="940" t="str">
        <f>CU3</f>
        <v>АО СК «БАСК»</v>
      </c>
      <c r="DR12" s="10" t="s">
        <v>78</v>
      </c>
      <c r="DS12" s="10"/>
      <c r="DT12" t="s">
        <v>8279</v>
      </c>
      <c r="DU12" s="10" t="s">
        <v>8280</v>
      </c>
      <c r="DV12" s="1464"/>
      <c r="DW12" s="826" t="s">
        <v>8436</v>
      </c>
      <c r="DX12" s="836" t="e">
        <f>SEARCH(" ",$C$3,DZ11+1)+1</f>
        <v>#VALUE!</v>
      </c>
      <c r="DY12" s="306"/>
      <c r="DZ12" s="306" t="e">
        <f>DX12+EA12</f>
        <v>#VALUE!</v>
      </c>
      <c r="EA12" s="306">
        <v>10</v>
      </c>
      <c r="EB12" s="827" t="e">
        <f>DATEVALUE(MID($C$3,DX12,EA12))</f>
        <v>#VALUE!</v>
      </c>
      <c r="EC12" s="953" t="str">
        <f>IF(DY10=" за период",EB12,"")</f>
        <v/>
      </c>
      <c r="ED12" s="956" t="str">
        <f>IF(ISERROR(DX66),"",CONCATENATE(DV66,". ",EC66," ",IFERROR(CONCATENATE(EB70,",",EB71),""),IF(ISERROR(CONCATENATE(EB70,",",EB71)),"","₽")))</f>
        <v/>
      </c>
      <c r="EV12" s="768" t="s">
        <v>8513</v>
      </c>
      <c r="EW12" s="116"/>
      <c r="EX12" s="116"/>
      <c r="EY12" s="116"/>
      <c r="EZ12" s="116"/>
      <c r="FA12" s="116"/>
      <c r="FB12" s="116"/>
      <c r="FC12" s="116"/>
      <c r="FD12" s="768" t="s">
        <v>8513</v>
      </c>
      <c r="FE12" s="116"/>
      <c r="FF12" s="116"/>
      <c r="FG12" s="116"/>
      <c r="FH12" s="768" t="s">
        <v>8513</v>
      </c>
      <c r="FI12" s="116"/>
      <c r="FJ12" s="116"/>
      <c r="FK12" s="116"/>
      <c r="FL12" s="116"/>
      <c r="FM12" s="116"/>
      <c r="FN12" s="768" t="s">
        <v>8513</v>
      </c>
      <c r="FO12" s="116"/>
      <c r="FP12" s="116"/>
      <c r="FQ12" s="116"/>
      <c r="FR12" s="116"/>
      <c r="FS12" s="116"/>
      <c r="FT12" s="116"/>
      <c r="FU12" s="866"/>
      <c r="FV12" s="866"/>
      <c r="FW12" s="866"/>
      <c r="FX12" s="866"/>
      <c r="FY12" s="866"/>
      <c r="FZ12" s="1472"/>
      <c r="GA12" s="768" t="s">
        <v>8979</v>
      </c>
      <c r="GB12" s="880" t="e">
        <f>SEARCH(GA12,$FC$3,GF10)</f>
        <v>#VALUE!</v>
      </c>
      <c r="GE12" s="880"/>
      <c r="GF12" s="880"/>
      <c r="GG12" s="880"/>
      <c r="GH12" s="1472"/>
      <c r="GI12" s="768" t="s">
        <v>8513</v>
      </c>
      <c r="GJ12" s="880" t="e">
        <f>SEARCH(GI12,$FC$3,GF11)</f>
        <v>#VALUE!</v>
      </c>
      <c r="GM12" s="880"/>
      <c r="GN12" s="880"/>
      <c r="GO12" s="880"/>
      <c r="GP12" s="1472"/>
      <c r="GQ12" s="768" t="s">
        <v>8513</v>
      </c>
      <c r="GR12" s="880" t="e">
        <f>SEARCH(GQ12,$FC$3,GN11)</f>
        <v>#VALUE!</v>
      </c>
      <c r="GU12" s="880"/>
      <c r="GV12" s="880"/>
      <c r="GW12" s="880"/>
      <c r="GX12" s="1472"/>
      <c r="GY12" s="116"/>
      <c r="GZ12" s="116"/>
      <c r="HA12" s="116"/>
      <c r="HB12" s="116"/>
      <c r="HC12" s="116"/>
      <c r="HD12" s="116"/>
      <c r="HE12" s="116"/>
      <c r="HG12" s="116"/>
      <c r="HH12" s="116"/>
      <c r="HI12" s="116"/>
      <c r="HJ12" s="116"/>
      <c r="HK12" s="1543"/>
      <c r="HL12" s="960" t="str">
        <f>IFERROR(GP7,"")</f>
        <v/>
      </c>
      <c r="HM12" s="116"/>
      <c r="HN12" s="116"/>
      <c r="HO12" s="116"/>
      <c r="HP12" s="116"/>
      <c r="HQ12" s="116"/>
      <c r="HR12" s="116"/>
      <c r="HS12" s="116"/>
      <c r="HT12" s="116"/>
      <c r="HU12" s="116"/>
      <c r="HV12" s="116"/>
      <c r="HW12" s="116"/>
      <c r="HX12" s="116"/>
      <c r="HY12" s="116"/>
      <c r="HZ12" s="116"/>
      <c r="IA12" s="116"/>
      <c r="IB12" s="116"/>
      <c r="IC12" s="116"/>
      <c r="ID12" s="116"/>
      <c r="IE12" s="116"/>
      <c r="IF12" s="116"/>
      <c r="IG12" s="116"/>
      <c r="IH12" s="116"/>
      <c r="II12" s="116"/>
      <c r="IJ12" s="116"/>
      <c r="IK12" s="116"/>
      <c r="IL12" s="116"/>
      <c r="IM12" s="116"/>
      <c r="IN12" s="116"/>
      <c r="IO12" s="116"/>
      <c r="IP12" s="116"/>
      <c r="IQ12" s="116"/>
      <c r="IR12" s="116"/>
      <c r="IS12" s="116"/>
      <c r="IT12" s="116"/>
      <c r="IU12" s="116"/>
      <c r="IV12" s="116"/>
      <c r="IW12" s="116"/>
      <c r="IX12" s="116"/>
      <c r="IY12" s="116"/>
      <c r="IZ12" s="116"/>
      <c r="JA12" s="116"/>
      <c r="JB12" s="116"/>
      <c r="JC12" s="116"/>
      <c r="JD12" s="116"/>
      <c r="JE12" s="116"/>
      <c r="JF12" s="116"/>
      <c r="JG12" s="116"/>
      <c r="JH12" s="116"/>
      <c r="JI12" s="116"/>
      <c r="JJ12" s="116"/>
      <c r="JK12" s="116"/>
      <c r="JL12" s="116"/>
      <c r="JM12" s="116"/>
      <c r="JN12" s="116"/>
      <c r="JO12" s="116"/>
      <c r="JP12" s="866"/>
      <c r="JQ12" s="866"/>
      <c r="JR12" s="866"/>
      <c r="JS12" s="866"/>
      <c r="JT12" s="116"/>
      <c r="JU12" s="116"/>
      <c r="JV12" s="866"/>
      <c r="JW12" s="866"/>
      <c r="JX12" s="866"/>
      <c r="JY12" s="1472"/>
      <c r="JZ12" s="866" t="s">
        <v>8513</v>
      </c>
      <c r="KA12" s="116"/>
      <c r="KB12" s="116"/>
      <c r="KC12" s="116"/>
      <c r="KD12" s="116"/>
      <c r="KE12" s="116"/>
      <c r="KF12" s="116"/>
      <c r="KG12" s="116"/>
      <c r="KJ12" s="866"/>
      <c r="KK12" s="866"/>
      <c r="KN12" s="866"/>
      <c r="KO12" s="866"/>
      <c r="KW12" s="866"/>
      <c r="KX12" s="866"/>
      <c r="LE12" s="866"/>
      <c r="LF12" s="866"/>
      <c r="LG12" s="984" t="s">
        <v>8513</v>
      </c>
      <c r="LH12" s="984" t="e">
        <f t="shared" si="2"/>
        <v>#VALUE!</v>
      </c>
      <c r="LN12" s="866"/>
      <c r="LO12" s="866"/>
      <c r="LT12" s="866"/>
      <c r="LU12" s="866"/>
      <c r="LY12" s="866" t="str">
        <f>CONCATENATE(" Заявитель ",MA4,$CU$3)</f>
        <v xml:space="preserve"> Заявитель обратилась в АО СК «БАСК»</v>
      </c>
      <c r="LZ12" s="866"/>
      <c r="MA12" s="866"/>
      <c r="MB12" s="903"/>
      <c r="MC12" s="116"/>
      <c r="MD12" s="116"/>
      <c r="ME12" s="866"/>
      <c r="MF12" s="866"/>
      <c r="MG12" s="866"/>
      <c r="MH12" s="866"/>
      <c r="MI12" s="1186" t="s">
        <v>8513</v>
      </c>
      <c r="MJ12" s="1187"/>
      <c r="ML12" s="866"/>
      <c r="MM12" s="866"/>
      <c r="MN12" s="866"/>
      <c r="MO12" s="866"/>
      <c r="MP12" s="866"/>
      <c r="MQ12" s="866"/>
      <c r="MR12" s="866"/>
      <c r="MS12" s="866"/>
      <c r="MT12" s="866"/>
      <c r="MU12" s="866"/>
      <c r="MV12" s="866"/>
      <c r="MW12" s="866"/>
      <c r="MX12" s="1472"/>
      <c r="MY12" s="988" t="s">
        <v>8513</v>
      </c>
      <c r="MZ12" s="984" t="e">
        <f t="shared" si="3"/>
        <v>#VALUE!</v>
      </c>
      <c r="NA12" s="984"/>
      <c r="NB12" s="920"/>
      <c r="NC12" s="920"/>
      <c r="ND12" s="984"/>
      <c r="NE12" s="984"/>
      <c r="NF12" s="984"/>
      <c r="NG12" s="1474"/>
      <c r="NK12" s="1464"/>
      <c r="NL12" s="826" t="s">
        <v>8436</v>
      </c>
      <c r="NM12" s="836" t="e">
        <f>SEARCH(" ",NJ$4,NO11+1)+1</f>
        <v>#VALUE!</v>
      </c>
      <c r="NN12" s="306"/>
      <c r="NO12" s="306" t="e">
        <f>NM12+NP12</f>
        <v>#VALUE!</v>
      </c>
      <c r="NP12" s="306">
        <v>10</v>
      </c>
      <c r="NQ12" s="827" t="e">
        <f>DATEVALUE(MID(NJ$4,NM12,NP12))</f>
        <v>#VALUE!</v>
      </c>
      <c r="NR12" s="828" t="str">
        <f>IF(NN10=" за период",NQ12,"")</f>
        <v/>
      </c>
      <c r="NS12" s="842" t="str">
        <f>IF(NR66="","",CONCATENATE(NK66,". ",NR66," ",IFERROR(CONCATENATE(NQ70,",",NQ71),""),IF(ISERROR(CONCATENATE(NQ70,",",NQ71)),"","₽")))</f>
        <v/>
      </c>
      <c r="NT12" s="1105" t="str">
        <f t="shared" si="4"/>
        <v/>
      </c>
      <c r="NU12" s="993" t="s">
        <v>8513</v>
      </c>
      <c r="NV12" s="994"/>
      <c r="NW12" s="920"/>
      <c r="NX12" s="920"/>
      <c r="NY12" s="994"/>
      <c r="NZ12" s="994"/>
      <c r="OA12" s="994"/>
      <c r="OB12" s="1535"/>
      <c r="OC12" s="1472"/>
      <c r="OD12" s="946" t="s">
        <v>8513</v>
      </c>
      <c r="OE12" s="947" t="e">
        <f t="shared" si="5"/>
        <v>#VALUE!</v>
      </c>
      <c r="OF12" s="947"/>
      <c r="OG12" s="920"/>
      <c r="OH12" s="920"/>
      <c r="OI12" s="947"/>
      <c r="OJ12" s="947"/>
      <c r="OK12" s="947"/>
      <c r="OL12" s="1474"/>
      <c r="OM12" s="869"/>
      <c r="ON12" s="817"/>
      <c r="OO12" s="943"/>
      <c r="OP12" s="1069"/>
      <c r="OQ12" s="935" t="s">
        <v>8513</v>
      </c>
      <c r="OR12" s="937"/>
      <c r="OS12" s="920"/>
      <c r="OT12" s="920"/>
      <c r="OU12" s="937"/>
      <c r="OV12" s="937"/>
      <c r="OW12" s="937"/>
      <c r="OX12" s="979"/>
      <c r="OY12" t="s">
        <v>8513</v>
      </c>
      <c r="OZ12" s="937"/>
      <c r="PA12" t="s">
        <v>8513</v>
      </c>
      <c r="PB12" s="937"/>
      <c r="PC12" s="5"/>
      <c r="PD12" s="1070"/>
      <c r="PE12" t="s">
        <v>8513</v>
      </c>
      <c r="PF12" s="1209"/>
      <c r="PG12" t="s">
        <v>8513</v>
      </c>
      <c r="PH12" s="937"/>
      <c r="PI12" s="5"/>
      <c r="PJ12" s="1073"/>
      <c r="PK12" t="s">
        <v>8513</v>
      </c>
      <c r="PL12" s="947"/>
      <c r="PM12" t="s">
        <v>8513</v>
      </c>
      <c r="PN12" s="937"/>
      <c r="PO12" s="5"/>
      <c r="PP12" s="1064"/>
      <c r="PQ12" t="s">
        <v>8513</v>
      </c>
      <c r="PR12" s="937" t="e">
        <f t="shared" si="22"/>
        <v>#VALUE!</v>
      </c>
      <c r="PS12" s="5"/>
      <c r="PV12" s="937"/>
      <c r="PX12" s="5"/>
      <c r="PY12" s="1470"/>
      <c r="PZ12" t="s">
        <v>8513</v>
      </c>
      <c r="QA12" s="937" t="e">
        <f t="shared" si="6"/>
        <v>#VALUE!</v>
      </c>
      <c r="QB12" s="5"/>
      <c r="QC12" s="264"/>
      <c r="QE12" s="937"/>
      <c r="QF12" s="264"/>
      <c r="QG12" s="5"/>
      <c r="QH12" s="1470"/>
      <c r="QI12" t="s">
        <v>8513</v>
      </c>
      <c r="QJ12" s="937" t="e">
        <f t="shared" si="7"/>
        <v>#VALUE!</v>
      </c>
      <c r="QK12" s="5"/>
      <c r="QL12" s="264"/>
      <c r="QN12" s="937"/>
      <c r="QO12" s="264"/>
      <c r="QP12" s="5"/>
      <c r="QQ12" s="1470"/>
      <c r="QR12" t="s">
        <v>8513</v>
      </c>
      <c r="QS12" s="937" t="e">
        <f t="shared" si="8"/>
        <v>#VALUE!</v>
      </c>
      <c r="QT12" s="5"/>
      <c r="QU12" s="264"/>
      <c r="QW12" s="937"/>
      <c r="QX12" s="264"/>
      <c r="QY12" s="5"/>
      <c r="QZ12" s="1470"/>
      <c r="RA12" s="1094" t="s">
        <v>4</v>
      </c>
      <c r="RB12" s="1096" t="str">
        <f>IFERROR(PP4,"")</f>
        <v/>
      </c>
      <c r="RC12" s="1069"/>
      <c r="RD12" s="1148" t="s">
        <v>8513</v>
      </c>
      <c r="RE12" s="1059"/>
      <c r="RF12" s="920"/>
      <c r="RG12" s="920"/>
      <c r="RH12" s="1059"/>
      <c r="RI12" s="1059"/>
      <c r="RJ12" s="1059"/>
      <c r="RK12" s="979"/>
      <c r="RL12" s="1055"/>
      <c r="RM12" s="1180" t="s">
        <v>8513</v>
      </c>
      <c r="RN12" s="1181"/>
      <c r="RO12" s="1061"/>
      <c r="RP12" t="s">
        <v>8513</v>
      </c>
      <c r="RQ12" s="854"/>
      <c r="RR12" t="s">
        <v>8513</v>
      </c>
      <c r="RS12" s="1059"/>
      <c r="RT12" s="5"/>
      <c r="RU12" s="1070"/>
      <c r="RV12" t="s">
        <v>8513</v>
      </c>
      <c r="RW12" s="854"/>
      <c r="RX12" t="s">
        <v>8513</v>
      </c>
      <c r="RY12" s="1059"/>
      <c r="RZ12" s="5"/>
      <c r="SA12" s="1070"/>
      <c r="SB12" t="s">
        <v>8513</v>
      </c>
      <c r="SC12" s="854"/>
      <c r="SD12" t="s">
        <v>8513</v>
      </c>
      <c r="SE12" s="1059"/>
      <c r="SF12" s="5"/>
      <c r="SG12" s="1070"/>
      <c r="SH12" s="1070"/>
      <c r="SI12" s="1055"/>
      <c r="SJ12" s="927" t="s">
        <v>9448</v>
      </c>
      <c r="SK12" s="928"/>
      <c r="SL12" s="920"/>
      <c r="SM12" s="920"/>
      <c r="SN12" s="928"/>
      <c r="SO12" s="928"/>
      <c r="SP12" s="928"/>
      <c r="SQ12" s="979"/>
      <c r="SR12" s="866"/>
      <c r="SS12" s="1173" t="s">
        <v>8513</v>
      </c>
      <c r="ST12" s="1174"/>
      <c r="SV12" t="s">
        <v>8513</v>
      </c>
      <c r="SW12" s="1181" t="e">
        <f t="shared" si="115"/>
        <v>#VALUE!</v>
      </c>
      <c r="SY12" s="1464"/>
      <c r="SZ12" s="826" t="s">
        <v>8436</v>
      </c>
      <c r="TA12" s="836" t="e">
        <f>SEARCH(" ",$SQ$3,TC11+1)+1</f>
        <v>#VALUE!</v>
      </c>
      <c r="TB12" s="306"/>
      <c r="TC12" s="306" t="e">
        <f>TA12+TD12</f>
        <v>#VALUE!</v>
      </c>
      <c r="TD12" s="306">
        <v>10</v>
      </c>
      <c r="TE12" s="827" t="e">
        <f>DATEVALUE(MID($SQ$3,TA12,TD12))</f>
        <v>#VALUE!</v>
      </c>
      <c r="TF12" s="828" t="str">
        <f>IF(TB10=" за период",TE12,"")</f>
        <v/>
      </c>
      <c r="TG12" s="842" t="str">
        <f>IF(TF66="","",CONCATENATE(SY66,". ",TF66," ",IFERROR(CONCATENATE(TE70,",",TE71),""),IF(ISERROR(CONCATENATE(TE70,",",TE71)),"","₽")))</f>
        <v/>
      </c>
      <c r="TH12" t="s">
        <v>8513</v>
      </c>
      <c r="TI12" s="1025" t="e">
        <f>SEARCH(TH12,TJ$4)</f>
        <v>#VALUE!</v>
      </c>
      <c r="TK12" s="1489"/>
      <c r="TL12" s="1032"/>
      <c r="TM12" s="1033"/>
      <c r="TN12" s="403"/>
      <c r="TO12" s="403"/>
      <c r="TP12" s="403"/>
      <c r="TQ12" s="1034" t="e">
        <f>VALUE(CONCATENATE(TQ10,",",TQ11))</f>
        <v>#VALUE!</v>
      </c>
      <c r="TR12" s="832" t="str">
        <f>IFERROR(IF(TR9="Штраф 50%","",TQ12),"")</f>
        <v/>
      </c>
      <c r="TS12" s="843" t="str">
        <f>IF(TR41="","",CONCATENATE(TK41,". ",TR41," ",IFERROR(CONCATENATE(TQ42,",",TQ43),""),IF(ISERROR(CONCATENATE(TQ42,",",TQ43)),"","₽")))</f>
        <v/>
      </c>
      <c r="TT12" t="str">
        <f t="shared" si="27"/>
        <v>$$$$</v>
      </c>
      <c r="TU12" s="1181" t="e">
        <f t="shared" si="116"/>
        <v>#VALUE!</v>
      </c>
      <c r="TW12" s="1464"/>
      <c r="TX12" s="826" t="s">
        <v>8436</v>
      </c>
      <c r="TY12" s="836" t="e">
        <f>SEARCH(" ",$SQ$4,UA11+1)+1</f>
        <v>#VALUE!</v>
      </c>
      <c r="TZ12" s="306"/>
      <c r="UA12" s="306" t="e">
        <f>TY12+UB12</f>
        <v>#VALUE!</v>
      </c>
      <c r="UB12" s="306">
        <v>10</v>
      </c>
      <c r="UC12" s="827" t="e">
        <f>DATEVALUE(MID($SQ$4,TY12,UB12))</f>
        <v>#VALUE!</v>
      </c>
      <c r="UD12" s="828" t="str">
        <f>IF(TZ10=" за период",UC12,"")</f>
        <v/>
      </c>
      <c r="UE12" s="842" t="str">
        <f>IF(UD66="","",CONCATENATE(TW66,". ",UD66," ",IFERROR(CONCATENATE(UC70,",",UC71),""),IF(ISERROR(CONCATENATE(UC70,",",UC71)),"","₽")))</f>
        <v/>
      </c>
      <c r="UF12" t="s">
        <v>8513</v>
      </c>
      <c r="UG12" s="1025" t="e">
        <f>SEARCH(UF12,UH$4)</f>
        <v>#VALUE!</v>
      </c>
      <c r="UI12" s="1489"/>
      <c r="UJ12" s="1032"/>
      <c r="UK12" s="1033"/>
      <c r="UL12" s="403"/>
      <c r="UM12" s="403"/>
      <c r="UN12" s="403"/>
      <c r="UO12" s="1034" t="e">
        <f>VALUE(CONCATENATE(UO10,",",UO11))</f>
        <v>#VALUE!</v>
      </c>
      <c r="UP12" s="832" t="str">
        <f>IFERROR(IF(UP9="Штраф 50%","",UO12),"")</f>
        <v/>
      </c>
      <c r="UQ12" s="843" t="str">
        <f>IF(UP41="","",CONCATENATE(UI41,". ",UP41," ",IFERROR(CONCATENATE(UO42,",",UO43),""),IF(ISERROR(CONCATENATE(UO42,",",UO43)),"","₽")))</f>
        <v/>
      </c>
      <c r="UR12" t="str">
        <f t="shared" si="28"/>
        <v>$$$$</v>
      </c>
      <c r="US12" s="1181" t="e">
        <f t="shared" si="117"/>
        <v>#VALUE!</v>
      </c>
      <c r="UU12" s="1464"/>
      <c r="UV12" s="826" t="s">
        <v>8436</v>
      </c>
      <c r="UW12" s="836" t="e">
        <f>SEARCH(" ",$SQ$5,UY11+1)+1</f>
        <v>#VALUE!</v>
      </c>
      <c r="UX12" s="306"/>
      <c r="UY12" s="306" t="e">
        <f>UW12+UZ12</f>
        <v>#VALUE!</v>
      </c>
      <c r="UZ12" s="306">
        <v>10</v>
      </c>
      <c r="VA12" s="827" t="e">
        <f>DATEVALUE(MID($SQ$5,UW12,UZ12))</f>
        <v>#VALUE!</v>
      </c>
      <c r="VB12" s="828" t="str">
        <f>IF(UX10=" за период",VA12,"")</f>
        <v/>
      </c>
      <c r="VC12" s="842" t="str">
        <f>IF(VB66="","",CONCATENATE(UU66,". ",VB66," ",IFERROR(CONCATENATE(VA70,",",VA71),""),IF(ISERROR(CONCATENATE(VA70,",",VA71)),"","₽")))</f>
        <v/>
      </c>
      <c r="VD12" t="s">
        <v>8513</v>
      </c>
      <c r="VE12" s="1025" t="e">
        <f>SEARCH(VD12,VF$4)</f>
        <v>#VALUE!</v>
      </c>
      <c r="VG12" s="1489"/>
      <c r="VH12" s="1032"/>
      <c r="VI12" s="1033"/>
      <c r="VJ12" s="403"/>
      <c r="VK12" s="403"/>
      <c r="VL12" s="403"/>
      <c r="VM12" s="1034" t="e">
        <f>VALUE(CONCATENATE(VM10,",",VM11))</f>
        <v>#VALUE!</v>
      </c>
      <c r="VN12" s="832" t="str">
        <f>IFERROR(IF(VN9="Штраф 50%","",VM12),"")</f>
        <v/>
      </c>
      <c r="VO12" s="843" t="str">
        <f>IF(VN41="","",CONCATENATE(VG41,". ",VN41," ",IFERROR(CONCATENATE(VM42,",",VM43),""),IF(ISERROR(CONCATENATE(VM42,",",VM43)),"","₽")))</f>
        <v/>
      </c>
      <c r="VP12" t="str">
        <f t="shared" si="29"/>
        <v>$$$$</v>
      </c>
      <c r="VQ12" s="1181" t="e">
        <f t="shared" si="118"/>
        <v>#VALUE!</v>
      </c>
      <c r="VS12" s="1464"/>
      <c r="VT12" s="826" t="s">
        <v>8436</v>
      </c>
      <c r="VU12" s="836" t="e">
        <f>SEARCH(" ",$SQ$6,VW11+1)+1</f>
        <v>#VALUE!</v>
      </c>
      <c r="VV12" s="306"/>
      <c r="VW12" s="306" t="e">
        <f>VU12+VX12</f>
        <v>#VALUE!</v>
      </c>
      <c r="VX12" s="306">
        <v>10</v>
      </c>
      <c r="VY12" s="827" t="e">
        <f>DATEVALUE(MID($SQ$6,VU12,VX12))</f>
        <v>#VALUE!</v>
      </c>
      <c r="VZ12" s="828" t="str">
        <f>IF(VV10=" за период",VY12,"")</f>
        <v/>
      </c>
      <c r="WA12" s="842" t="str">
        <f>IF(VZ66="","",CONCATENATE(VS66,". ",VZ66," ",IFERROR(CONCATENATE(VY70,",",VY71),""),IF(ISERROR(CONCATENATE(VY70,",",VY71)),"","₽")))</f>
        <v/>
      </c>
      <c r="WB12" t="s">
        <v>8513</v>
      </c>
      <c r="WC12" s="1025" t="e">
        <f>SEARCH(WB12,WD$4)</f>
        <v>#VALUE!</v>
      </c>
      <c r="WE12" s="1489"/>
      <c r="WF12" s="1032"/>
      <c r="WG12" s="1033"/>
      <c r="WH12" s="403"/>
      <c r="WI12" s="403"/>
      <c r="WJ12" s="403"/>
      <c r="WK12" s="1034" t="e">
        <f>VALUE(CONCATENATE(WK10,",",WK11))</f>
        <v>#VALUE!</v>
      </c>
      <c r="WL12" s="832" t="str">
        <f>IFERROR(IF(WL9="Штраф 50%","",WK12),"")</f>
        <v/>
      </c>
      <c r="WM12" s="843" t="str">
        <f>IF(WL41="","",CONCATENATE(WE41,". ",WL41," ",IFERROR(CONCATENATE(WK42,",",WK43),""),IF(ISERROR(CONCATENATE(WK42,",",WK43)),"","₽")))</f>
        <v/>
      </c>
      <c r="WN12" t="str">
        <f t="shared" si="30"/>
        <v>$$$$</v>
      </c>
      <c r="WO12" s="1181" t="e">
        <f t="shared" si="119"/>
        <v>#VALUE!</v>
      </c>
      <c r="WQ12" s="1464"/>
      <c r="WR12" s="826" t="s">
        <v>8436</v>
      </c>
      <c r="WS12" s="836" t="e">
        <f>SEARCH(" ",$SQ$7,WU11+1)+1</f>
        <v>#VALUE!</v>
      </c>
      <c r="WT12" s="306"/>
      <c r="WU12" s="306" t="e">
        <f>WS12+WV12</f>
        <v>#VALUE!</v>
      </c>
      <c r="WV12" s="306">
        <v>10</v>
      </c>
      <c r="WW12" s="827" t="e">
        <f>DATEVALUE(MID($SQ$7,WS12,WV12))</f>
        <v>#VALUE!</v>
      </c>
      <c r="WX12" s="828" t="str">
        <f>IF(WT10=" за период",WW12,"")</f>
        <v/>
      </c>
      <c r="WY12" s="842" t="str">
        <f>IF(WX66="","",CONCATENATE(WQ66,". ",WX66," ",IFERROR(CONCATENATE(WW70,",",WW71),""),IF(ISERROR(CONCATENATE(WW70,",",WW71)),"","₽")))</f>
        <v/>
      </c>
      <c r="WZ12" t="s">
        <v>8513</v>
      </c>
      <c r="XA12" s="1025" t="e">
        <f>SEARCH(WZ12,XB$4)</f>
        <v>#VALUE!</v>
      </c>
      <c r="XC12" s="1489"/>
      <c r="XD12" s="1032"/>
      <c r="XE12" s="1033"/>
      <c r="XF12" s="403"/>
      <c r="XG12" s="403"/>
      <c r="XH12" s="403"/>
      <c r="XI12" s="1034" t="e">
        <f>VALUE(CONCATENATE(XI10,",",XI11))</f>
        <v>#VALUE!</v>
      </c>
      <c r="XJ12" s="832" t="str">
        <f>IFERROR(IF(XJ9="Штраф 50%","",XI12),"")</f>
        <v/>
      </c>
      <c r="XK12" s="843" t="str">
        <f>IF(XJ41="","",CONCATENATE(XC41,". ",XJ41," ",IFERROR(CONCATENATE(XI42,",",XI43),""),IF(ISERROR(CONCATENATE(XI42,",",XI43)),"","₽")))</f>
        <v/>
      </c>
      <c r="XL12" s="1090" t="str">
        <f>IFERROR(CONCATENATE(DATES!C24," ",TEXT(VALUE(CONCATENATE(LEFT(DATES!E24,SEARCH(",",TEXT(DATES!E24,"0,00"))-1),",",RIGHT(TEXT(DATES!E24,"0,00"),2))),"0 000,00"),"₽"),"")</f>
        <v xml:space="preserve"> 0 000,00₽</v>
      </c>
      <c r="XN12" s="1046" t="s">
        <v>9217</v>
      </c>
      <c r="XP12" s="920"/>
      <c r="XQ12" s="920"/>
      <c r="XR12" s="936"/>
      <c r="XV12" s="866"/>
      <c r="XW12" s="1180" t="s">
        <v>8513</v>
      </c>
      <c r="XX12" s="1181"/>
      <c r="XZ12" s="876" t="s">
        <v>718</v>
      </c>
      <c r="YA12" s="876" t="e">
        <f>SEARCH(MA$4,$XU$7)</f>
        <v>#VALUE!</v>
      </c>
      <c r="YC12" s="1472"/>
      <c r="YD12" t="s">
        <v>8513</v>
      </c>
      <c r="YE12" s="1181" t="e">
        <f t="shared" si="129"/>
        <v>#VALUE!</v>
      </c>
      <c r="YG12" s="1464"/>
      <c r="YH12" s="826" t="s">
        <v>8436</v>
      </c>
      <c r="YI12" s="836" t="e">
        <f>SEARCH(" ",$XU$3,YK11+1)+1</f>
        <v>#VALUE!</v>
      </c>
      <c r="YJ12" s="306"/>
      <c r="YK12" s="306" t="e">
        <f>YI12+YL12</f>
        <v>#VALUE!</v>
      </c>
      <c r="YL12" s="306">
        <v>10</v>
      </c>
      <c r="YM12" s="827" t="e">
        <f>DATEVALUE(MID($XU$3,YI12,YL12))</f>
        <v>#VALUE!</v>
      </c>
      <c r="YN12" s="828" t="str">
        <f>IF(YJ10=" за период",YM12,"")</f>
        <v/>
      </c>
      <c r="YO12" s="842" t="str">
        <f>IF(ISERROR(YI66),"",CONCATENATE(YG66,". ",YN66," ",IFERROR(CONCATENATE(YM70,",",YM71),""),IF(ISERROR(CONCATENATE(YM70,",",YM71)),"","₽")))</f>
        <v/>
      </c>
      <c r="YP12" s="884" t="str">
        <f t="shared" si="100"/>
        <v>$$$$</v>
      </c>
      <c r="YQ12" s="1181" t="e">
        <f t="shared" si="130"/>
        <v>#VALUE!</v>
      </c>
      <c r="YS12" s="1464"/>
      <c r="YT12" s="826" t="s">
        <v>8436</v>
      </c>
      <c r="YU12" s="836" t="e">
        <f>SEARCH(" ",$XU$4,YW11+1)+1</f>
        <v>#VALUE!</v>
      </c>
      <c r="YV12" s="306"/>
      <c r="YW12" s="306" t="e">
        <f>YU12+YX12</f>
        <v>#VALUE!</v>
      </c>
      <c r="YX12" s="306">
        <v>10</v>
      </c>
      <c r="YY12" s="827" t="e">
        <f>DATEVALUE(MID($XU$4,YU12,YX12))</f>
        <v>#VALUE!</v>
      </c>
      <c r="YZ12" s="828" t="str">
        <f>IF(YV10=" за период",YY12,"")</f>
        <v/>
      </c>
      <c r="ZA12" s="842" t="str">
        <f>IF(ISERROR(YU66),"",CONCATENATE(YS66,". ",YZ66," ",IFERROR(CONCATENATE(YY70,",",YY71),""),IF(ISERROR(CONCATENATE(YY70,",",YY71)),"","₽")))</f>
        <v/>
      </c>
      <c r="ZB12" t="str">
        <f t="shared" si="31"/>
        <v>$$$$</v>
      </c>
      <c r="ZC12" s="1181" t="e">
        <f t="shared" si="120"/>
        <v>#VALUE!</v>
      </c>
      <c r="ZE12" s="1464"/>
      <c r="ZF12" s="826" t="s">
        <v>8436</v>
      </c>
      <c r="ZG12" s="836" t="e">
        <f>SEARCH(" ",$XU$5,ZI11+1)+1</f>
        <v>#VALUE!</v>
      </c>
      <c r="ZH12" s="306"/>
      <c r="ZI12" s="306" t="e">
        <f>ZG12+ZJ12</f>
        <v>#VALUE!</v>
      </c>
      <c r="ZJ12" s="306">
        <v>10</v>
      </c>
      <c r="ZK12" s="827" t="e">
        <f>DATEVALUE(MID($XU$5,ZG12,ZJ12))</f>
        <v>#VALUE!</v>
      </c>
      <c r="ZL12" s="828" t="str">
        <f>IF(ZH10=" за период",ZK12,"")</f>
        <v/>
      </c>
      <c r="ZM12" s="842" t="str">
        <f>IF(ISERROR(ZG66),"",CONCATENATE(ZE66,". ",ZL66," ",IFERROR(CONCATENATE(ZK70,",",ZK71),""),IF(ISERROR(CONCATENATE(ZK70,",",ZK71)),"","₽")))</f>
        <v/>
      </c>
      <c r="ZN12" t="str">
        <f t="shared" si="32"/>
        <v>$$$$</v>
      </c>
      <c r="ZO12" s="1181" t="e">
        <f t="shared" si="121"/>
        <v>#VALUE!</v>
      </c>
      <c r="ZQ12" s="1464"/>
      <c r="ZR12" s="826" t="s">
        <v>8436</v>
      </c>
      <c r="ZS12" s="836" t="e">
        <f>SEARCH(" ",$XU$6,ZU11+1)+1</f>
        <v>#VALUE!</v>
      </c>
      <c r="ZT12" s="306"/>
      <c r="ZU12" s="306" t="e">
        <f>ZS12+ZV12</f>
        <v>#VALUE!</v>
      </c>
      <c r="ZV12" s="306">
        <v>10</v>
      </c>
      <c r="ZW12" s="827" t="e">
        <f>DATEVALUE(MID($XU$6,ZS12,ZV12))</f>
        <v>#VALUE!</v>
      </c>
      <c r="ZX12" s="828" t="str">
        <f>IF(ZT10=" за период",ZW12,"")</f>
        <v/>
      </c>
      <c r="ZY12" s="842" t="str">
        <f>IF(ISERROR(ZS66),"",CONCATENATE(ZQ66,". ",ZX66," ",IFERROR(CONCATENATE(ZW70,",",ZW71),""),IF(ISERROR(CONCATENATE(ZW70,",",ZW71)),"","₽")))</f>
        <v/>
      </c>
      <c r="ZZ12" t="str">
        <f t="shared" si="33"/>
        <v>$$$$</v>
      </c>
      <c r="AAA12" s="1181" t="e">
        <f t="shared" si="122"/>
        <v>#VALUE!</v>
      </c>
      <c r="AAC12" s="1464"/>
      <c r="AAD12" s="826" t="s">
        <v>8436</v>
      </c>
      <c r="AAE12" s="836" t="e">
        <f>SEARCH(" ",$XU$7,AAG11+1)+1</f>
        <v>#VALUE!</v>
      </c>
      <c r="AAF12" s="306"/>
      <c r="AAG12" s="306" t="e">
        <f>AAE12+AAH12</f>
        <v>#VALUE!</v>
      </c>
      <c r="AAH12" s="306">
        <v>10</v>
      </c>
      <c r="AAI12" s="827" t="e">
        <f>DATEVALUE(MID($XU$7,AAE12,AAH12))</f>
        <v>#VALUE!</v>
      </c>
      <c r="AAJ12" s="828" t="str">
        <f>IF(AAF10=" за период",AAI12,"")</f>
        <v/>
      </c>
      <c r="AAK12" s="842" t="str">
        <f>IF(ISERROR(AAE66),"",CONCATENATE(AAC66,". ",AAJ66," ",IFERROR(CONCATENATE(AAI70,",",AAI71),""),IF(ISERROR(CONCATENATE(AAI70,",",AAI71)),"","₽")))</f>
        <v/>
      </c>
      <c r="AAL12" s="1090" t="str">
        <f>IF(DATES!O11="","",DATES!O11)</f>
        <v/>
      </c>
      <c r="AAM12" s="1066"/>
      <c r="AAN12" s="946" t="s">
        <v>8513</v>
      </c>
      <c r="AAO12" s="947"/>
      <c r="AAP12" s="920"/>
      <c r="AAQ12" s="920"/>
      <c r="AAR12" s="947"/>
      <c r="AAS12" s="947"/>
      <c r="AAT12" s="947"/>
      <c r="AAU12" s="979"/>
      <c r="AAV12" t="s">
        <v>8513</v>
      </c>
      <c r="AAW12" s="947" t="e">
        <f t="shared" si="9"/>
        <v>#VALUE!</v>
      </c>
      <c r="AAX12" s="5"/>
      <c r="AAY12" s="5"/>
      <c r="AAZ12" s="5"/>
      <c r="ABA12" s="1486"/>
      <c r="ABC12" s="1067"/>
      <c r="ABD12" s="935" t="s">
        <v>8513</v>
      </c>
      <c r="ABE12" s="937"/>
      <c r="ABF12" s="920"/>
      <c r="ABG12" s="920"/>
      <c r="ABH12" s="937"/>
      <c r="ABI12" s="937"/>
      <c r="ABJ12" s="937"/>
      <c r="ABK12" s="979"/>
      <c r="ABL12" t="s">
        <v>8513</v>
      </c>
      <c r="ABM12" s="854"/>
      <c r="ABN12" t="s">
        <v>8513</v>
      </c>
      <c r="ABO12" s="937"/>
      <c r="ABP12" s="5"/>
      <c r="ABQ12" s="1070"/>
      <c r="ABR12" t="s">
        <v>8513</v>
      </c>
      <c r="ABS12" s="937"/>
      <c r="ABT12" t="s">
        <v>8513</v>
      </c>
      <c r="ABU12" s="937"/>
      <c r="ABV12" s="5"/>
      <c r="ABW12" s="1073"/>
      <c r="ABX12" t="s">
        <v>8513</v>
      </c>
      <c r="ABY12" s="937"/>
      <c r="ABZ12" t="s">
        <v>8513</v>
      </c>
      <c r="ACA12" s="937"/>
      <c r="ACB12" s="5"/>
      <c r="ACD12" t="s">
        <v>8513</v>
      </c>
      <c r="ACE12" s="937"/>
      <c r="ACF12" s="5"/>
      <c r="ACG12" s="264"/>
      <c r="ACI12" s="937"/>
      <c r="ACJ12" s="264"/>
      <c r="ACK12" s="5"/>
      <c r="ACL12" s="5"/>
      <c r="ACM12" s="1075"/>
      <c r="ACN12" t="s">
        <v>8513</v>
      </c>
      <c r="ACO12" s="937"/>
      <c r="ACP12" s="5"/>
      <c r="ACQ12" s="264"/>
      <c r="ACS12" s="937"/>
      <c r="ACT12" s="264"/>
      <c r="ACU12" s="5"/>
      <c r="ACV12" s="5"/>
      <c r="ACW12" s="1075"/>
      <c r="ACX12" t="s">
        <v>8513</v>
      </c>
      <c r="ACY12" s="937"/>
      <c r="ACZ12" s="5"/>
      <c r="ADA12" s="264"/>
      <c r="ADC12" s="937"/>
      <c r="ADD12" s="264"/>
      <c r="ADE12" s="5"/>
      <c r="ADF12" s="5"/>
      <c r="ADG12" s="1075"/>
      <c r="ADH12" t="s">
        <v>8513</v>
      </c>
      <c r="ADI12" s="937"/>
      <c r="ADJ12" s="5"/>
      <c r="ADK12" s="264"/>
      <c r="ADM12" s="937"/>
      <c r="ADN12" s="264"/>
      <c r="ADO12" s="5"/>
      <c r="ADP12" s="5"/>
      <c r="ADQ12" s="1075"/>
      <c r="ADR12" s="1079" t="str">
        <f>IFERROR(ACC4,"")</f>
        <v/>
      </c>
      <c r="ADS12" s="1067"/>
      <c r="ADT12" s="946" t="s">
        <v>8513</v>
      </c>
      <c r="ADU12" s="947"/>
      <c r="ADV12" s="920"/>
      <c r="ADW12" s="920"/>
      <c r="ADX12" s="947"/>
      <c r="ADY12" s="947"/>
      <c r="ADZ12" s="947"/>
      <c r="AEA12" s="979"/>
      <c r="AEB12" s="946" t="s">
        <v>8513</v>
      </c>
      <c r="AEC12" s="947"/>
      <c r="AED12" s="920"/>
      <c r="AEE12" s="920"/>
      <c r="AEF12" s="947"/>
      <c r="AEG12" s="947"/>
      <c r="AEH12" s="947"/>
      <c r="AEI12" s="979"/>
      <c r="AEJ12" s="961"/>
      <c r="AEK12" s="961"/>
      <c r="AEL12" s="961"/>
      <c r="AEM12" t="s">
        <v>8513</v>
      </c>
      <c r="AEN12" s="947"/>
      <c r="AEO12" t="s">
        <v>8513</v>
      </c>
      <c r="AEP12" s="947"/>
      <c r="AEQ12" s="5"/>
      <c r="AER12" s="1070"/>
      <c r="AES12" t="s">
        <v>8513</v>
      </c>
      <c r="AET12" s="947"/>
      <c r="AEU12" t="s">
        <v>8513</v>
      </c>
      <c r="AEV12" s="947"/>
      <c r="AEW12" s="5"/>
      <c r="AEX12" s="1070"/>
      <c r="AEY12" t="s">
        <v>8513</v>
      </c>
      <c r="AEZ12" s="947"/>
      <c r="AFA12" s="1070"/>
      <c r="AFE12" s="1464"/>
      <c r="AFF12" s="826" t="s">
        <v>8436</v>
      </c>
      <c r="AFG12" s="836">
        <f>SEARCH(" ",AFD$4,AFI11+1)+1</f>
        <v>432</v>
      </c>
      <c r="AFH12" s="306"/>
      <c r="AFI12" s="306">
        <f>AFG12+AFJ12</f>
        <v>442</v>
      </c>
      <c r="AFJ12" s="306">
        <v>10</v>
      </c>
      <c r="AFK12" s="827">
        <f>DATEVALUE(MID(AFD$4,AFG12,AFJ12))</f>
        <v>43829</v>
      </c>
      <c r="AFL12" s="828">
        <f>IF(AFH10=" за период",AFK12,"")</f>
        <v>43829</v>
      </c>
      <c r="AFM12" s="842" t="str">
        <f>IF(AFL66="","",CONCATENATE(AFE66,". ",AFL66," ",IFERROR(CONCATENATE(AFK70,",",AFK71),""),IF(ISERROR(CONCATENATE(AFK70,",",AFK71)),"","₽")))</f>
        <v/>
      </c>
      <c r="AFQ12" s="1464"/>
      <c r="AFR12" s="826" t="s">
        <v>8436</v>
      </c>
      <c r="AFS12" s="836" t="e">
        <f>SEARCH(" ",AFP$4,AFU11+1)+1</f>
        <v>#VALUE!</v>
      </c>
      <c r="AFT12" s="306"/>
      <c r="AFU12" s="306" t="e">
        <f>AFS12+AFV12</f>
        <v>#VALUE!</v>
      </c>
      <c r="AFV12" s="306">
        <v>10</v>
      </c>
      <c r="AFW12" s="827" t="e">
        <f>DATEVALUE(MID(AFP$4,AFS12,AFV12))</f>
        <v>#VALUE!</v>
      </c>
      <c r="AFX12" s="828" t="str">
        <f>IF(AFT10=" за период",AFW12,"")</f>
        <v/>
      </c>
      <c r="AFY12" s="842" t="str">
        <f>IF(AFX66="","",CONCATENATE(AFQ66,". ",AFX66," ",IFERROR(CONCATENATE(AFW70,",",AFW71),""),IF(ISERROR(CONCATENATE(AFW70,",",AFW71)),"","₽")))</f>
        <v/>
      </c>
      <c r="AGC12" s="1464"/>
      <c r="AGD12" s="826" t="s">
        <v>8436</v>
      </c>
      <c r="AGE12" s="836" t="e">
        <f>SEARCH(" ",AGB$4,AGG11+1)+1</f>
        <v>#VALUE!</v>
      </c>
      <c r="AGF12" s="306"/>
      <c r="AGG12" s="306" t="e">
        <f>AGE12+AGH12</f>
        <v>#VALUE!</v>
      </c>
      <c r="AGH12" s="306">
        <v>10</v>
      </c>
      <c r="AGI12" s="827" t="e">
        <f>DATEVALUE(MID(AGB$4,AGE12,AGH12))</f>
        <v>#VALUE!</v>
      </c>
      <c r="AGJ12" s="828" t="str">
        <f>IF(AGF10=" за период",AGI12,"")</f>
        <v/>
      </c>
      <c r="AGK12" s="842" t="str">
        <f>IF(AGJ66="","",CONCATENATE(AGC66,". ",AGJ66," ",IFERROR(CONCATENATE(AGI70,",",AGI71),""),IF(ISERROR(CONCATENATE(AGI70,",",AGI71)),"","₽")))</f>
        <v/>
      </c>
      <c r="AGO12" s="1464"/>
      <c r="AGP12" s="826" t="s">
        <v>8436</v>
      </c>
      <c r="AGQ12" s="836" t="e">
        <f>SEARCH(" ",AGN$4,AGS11+1)+1</f>
        <v>#VALUE!</v>
      </c>
      <c r="AGR12" s="306"/>
      <c r="AGS12" s="306" t="e">
        <f>AGQ12+AGT12</f>
        <v>#VALUE!</v>
      </c>
      <c r="AGT12" s="306">
        <v>10</v>
      </c>
      <c r="AGU12" s="827" t="e">
        <f>DATEVALUE(MID(AGN$4,AGQ12,AGT12))</f>
        <v>#VALUE!</v>
      </c>
      <c r="AGV12" s="828" t="str">
        <f>IF(AGR10=" за период",AGU12,"")</f>
        <v/>
      </c>
      <c r="AGW12" s="842" t="str">
        <f>IF(AGV66="","",CONCATENATE(AGO66,". ",AGV66," ",IFERROR(CONCATENATE(AGU70,",",AGU71),""),IF(ISERROR(CONCATENATE(AGU70,",",AGU71)),"","₽")))</f>
        <v/>
      </c>
      <c r="AHA12" s="1464"/>
      <c r="AHB12" s="826" t="s">
        <v>8436</v>
      </c>
      <c r="AHC12" s="836" t="e">
        <f>SEARCH(" ",AGZ$4,AHE11+1)+1</f>
        <v>#VALUE!</v>
      </c>
      <c r="AHD12" s="306"/>
      <c r="AHE12" s="306" t="e">
        <f>AHC12+AHF12</f>
        <v>#VALUE!</v>
      </c>
      <c r="AHF12" s="306">
        <v>10</v>
      </c>
      <c r="AHG12" s="827" t="e">
        <f>DATEVALUE(MID(AGZ$4,AHC12,AHF12))</f>
        <v>#VALUE!</v>
      </c>
      <c r="AHH12" s="828" t="str">
        <f>IF(AHD10=" за период",AHG12,"")</f>
        <v/>
      </c>
      <c r="AHI12" s="842" t="str">
        <f>IF(AHH66="","",CONCATENATE(AHA66,". ",AHH66," ",IFERROR(CONCATENATE(AHG70,",",AHG71),""),IF(ISERROR(CONCATENATE(AHG70,",",AHG71)),"","₽")))</f>
        <v/>
      </c>
      <c r="AHJ12" s="1084"/>
      <c r="AHK12" s="768" t="s">
        <v>8513</v>
      </c>
      <c r="AHL12" s="116"/>
      <c r="AHM12" s="768" t="s">
        <v>8513</v>
      </c>
      <c r="AHT12" s="768" t="s">
        <v>8513</v>
      </c>
      <c r="AHU12" s="116"/>
      <c r="AHV12" s="768" t="s">
        <v>8513</v>
      </c>
      <c r="AHZ12" t="s">
        <v>8513</v>
      </c>
      <c r="AIB12" s="1187" t="e">
        <f t="shared" si="67"/>
        <v>#VALUE!</v>
      </c>
      <c r="AIF12" t="s">
        <v>8513</v>
      </c>
      <c r="AIJ12" t="s">
        <v>1440</v>
      </c>
      <c r="AIK12" t="s">
        <v>9643</v>
      </c>
      <c r="AIL12" s="1187" t="e">
        <f t="shared" si="68"/>
        <v>#VALUE!</v>
      </c>
      <c r="AIP12" t="s">
        <v>8513</v>
      </c>
      <c r="AIT12" t="s">
        <v>8513</v>
      </c>
      <c r="AIV12" s="1187" t="e">
        <f t="shared" si="102"/>
        <v>#VALUE!</v>
      </c>
      <c r="AJB12" t="s">
        <v>8513</v>
      </c>
      <c r="AJH12" t="s">
        <v>10656</v>
      </c>
      <c r="AJI12" t="s">
        <v>9539</v>
      </c>
      <c r="AJJ12" s="1187">
        <f t="shared" si="10"/>
        <v>8</v>
      </c>
      <c r="AJN12" t="s">
        <v>8437</v>
      </c>
      <c r="AJR12" t="s">
        <v>8513</v>
      </c>
      <c r="AJT12" s="1245" t="e">
        <f t="shared" si="69"/>
        <v>#VALUE!</v>
      </c>
      <c r="AJX12" t="s">
        <v>8513</v>
      </c>
      <c r="AKA12" s="116"/>
      <c r="AKB12" t="s">
        <v>9822</v>
      </c>
      <c r="AKC12" t="s">
        <v>9823</v>
      </c>
      <c r="AKD12" s="1187" t="e">
        <f t="shared" si="70"/>
        <v>#VALUE!</v>
      </c>
      <c r="AKH12" t="s">
        <v>8513</v>
      </c>
      <c r="AKK12" s="116"/>
      <c r="AKL12" t="s">
        <v>8513</v>
      </c>
      <c r="AKN12" s="1206" t="e">
        <f t="shared" si="71"/>
        <v>#VALUE!</v>
      </c>
      <c r="AKR12" t="s">
        <v>8513</v>
      </c>
      <c r="AKU12" s="116"/>
      <c r="AKV12" t="s">
        <v>8513</v>
      </c>
      <c r="AKX12" s="1187" t="e">
        <f t="shared" si="72"/>
        <v>#VALUE!</v>
      </c>
      <c r="ALB12" t="s">
        <v>8513</v>
      </c>
      <c r="ALE12" s="116"/>
      <c r="ALF12" t="s">
        <v>8513</v>
      </c>
      <c r="ALH12" s="1187" t="e">
        <f t="shared" si="73"/>
        <v>#VALUE!</v>
      </c>
      <c r="ALL12" t="s">
        <v>8513</v>
      </c>
      <c r="ALO12" s="116"/>
      <c r="ALP12" s="116"/>
      <c r="ALQ12" s="768" t="s">
        <v>8513</v>
      </c>
      <c r="ALR12" s="116"/>
      <c r="ALS12" s="768" t="s">
        <v>8513</v>
      </c>
      <c r="ALW12" t="s">
        <v>8513</v>
      </c>
      <c r="ALY12" s="1187" t="e">
        <f t="shared" si="74"/>
        <v>#VALUE!</v>
      </c>
      <c r="AMC12" t="s">
        <v>8513</v>
      </c>
      <c r="AMG12" t="str">
        <f t="shared" si="11"/>
        <v>Кемеровская область</v>
      </c>
      <c r="AMH12" t="str">
        <f t="shared" si="12"/>
        <v>Кемеровская обл. - Кузбасс</v>
      </c>
      <c r="AMI12" s="1206" t="e">
        <f t="shared" si="75"/>
        <v>#VALUE!</v>
      </c>
      <c r="AMM12" t="s">
        <v>8513</v>
      </c>
      <c r="AMQ12" t="str">
        <f t="shared" si="13"/>
        <v>$$$$</v>
      </c>
      <c r="AMR12">
        <f t="shared" si="14"/>
        <v>0</v>
      </c>
      <c r="AMS12" s="1206" t="e">
        <f t="shared" si="76"/>
        <v>#VALUE!</v>
      </c>
      <c r="AMY12" t="s">
        <v>8513</v>
      </c>
      <c r="ANE12" t="str">
        <f t="shared" si="15"/>
        <v xml:space="preserve">г </v>
      </c>
      <c r="ANF12" t="str">
        <f t="shared" si="16"/>
        <v xml:space="preserve">г. </v>
      </c>
      <c r="ANG12" s="1206">
        <f t="shared" si="77"/>
        <v>8</v>
      </c>
      <c r="ANK12" t="str">
        <f t="shared" si="17"/>
        <v xml:space="preserve">, </v>
      </c>
      <c r="ANO12" t="str">
        <f t="shared" si="78"/>
        <v>$$$$</v>
      </c>
      <c r="ANP12">
        <f t="shared" si="79"/>
        <v>0</v>
      </c>
      <c r="ANQ12" s="1245" t="e">
        <f t="shared" si="80"/>
        <v>#VALUE!</v>
      </c>
      <c r="ANU12" t="str">
        <f t="shared" si="81"/>
        <v>$$$$</v>
      </c>
      <c r="ANX12" s="116"/>
      <c r="ANY12" t="str">
        <f t="shared" si="82"/>
        <v>пр.</v>
      </c>
      <c r="ANZ12" t="str">
        <f t="shared" si="83"/>
        <v xml:space="preserve">пр. </v>
      </c>
      <c r="AOA12" s="1206" t="e">
        <f t="shared" si="84"/>
        <v>#VALUE!</v>
      </c>
      <c r="AOE12" t="str">
        <f t="shared" si="85"/>
        <v>$$$$</v>
      </c>
      <c r="AOH12" s="116"/>
      <c r="AOI12" t="str">
        <f t="shared" si="86"/>
        <v>$$$$</v>
      </c>
      <c r="AOJ12">
        <f t="shared" si="87"/>
        <v>0</v>
      </c>
      <c r="AOK12" s="1206" t="e">
        <f t="shared" si="88"/>
        <v>#VALUE!</v>
      </c>
      <c r="AOO12" t="s">
        <v>8513</v>
      </c>
      <c r="AOR12" s="116"/>
      <c r="AOS12" t="str">
        <f t="shared" si="89"/>
        <v>$$$$</v>
      </c>
      <c r="AOT12">
        <f t="shared" si="90"/>
        <v>0</v>
      </c>
      <c r="AOU12" s="1245" t="e">
        <f t="shared" si="91"/>
        <v>#VALUE!</v>
      </c>
      <c r="AOY12" t="str">
        <f t="shared" si="92"/>
        <v>$$$$</v>
      </c>
      <c r="APB12" s="116"/>
      <c r="APC12" t="str">
        <f t="shared" si="93"/>
        <v>$$$$</v>
      </c>
      <c r="APD12">
        <f t="shared" si="94"/>
        <v>0</v>
      </c>
      <c r="APE12" s="1206" t="e">
        <f t="shared" si="95"/>
        <v>#VALUE!</v>
      </c>
      <c r="API12" t="s">
        <v>8513</v>
      </c>
      <c r="APL12" s="116"/>
      <c r="APM12" s="116"/>
      <c r="APN12" s="768" t="s">
        <v>8513</v>
      </c>
      <c r="APO12" s="116"/>
      <c r="APP12" s="768" t="s">
        <v>8513</v>
      </c>
    </row>
    <row r="13" spans="1:1114" ht="14.4" customHeight="1" thickTop="1" x14ac:dyDescent="0.3">
      <c r="B13" s="116"/>
      <c r="C13" s="116"/>
      <c r="D13" s="116"/>
      <c r="E13" s="116"/>
      <c r="F13" s="116"/>
      <c r="G13" s="116"/>
      <c r="H13" s="116"/>
      <c r="I13" s="116"/>
      <c r="J13" s="116"/>
      <c r="K13" s="116"/>
      <c r="L13" s="116"/>
      <c r="M13" s="116"/>
      <c r="N13" s="116"/>
      <c r="O13" s="116"/>
      <c r="P13" s="116"/>
      <c r="Q13" s="116"/>
      <c r="R13" s="116"/>
      <c r="S13" s="116"/>
      <c r="T13" s="116"/>
      <c r="U13" s="116"/>
      <c r="V13" s="116"/>
      <c r="W13" s="116"/>
      <c r="X13" s="116"/>
      <c r="Y13" s="116"/>
      <c r="Z13" s="116"/>
      <c r="AA13" s="116"/>
      <c r="AB13" s="116"/>
      <c r="AC13" s="116"/>
      <c r="AD13" s="116"/>
      <c r="AE13" s="116"/>
      <c r="AF13" s="116"/>
      <c r="AG13" s="116"/>
      <c r="AH13" s="116"/>
      <c r="AI13" s="116"/>
      <c r="AJ13" s="116"/>
      <c r="AK13" s="116"/>
      <c r="AL13" s="116"/>
      <c r="AM13" s="116"/>
      <c r="AN13" s="116"/>
      <c r="AO13" s="116"/>
      <c r="AP13" s="116"/>
      <c r="AQ13" s="116"/>
      <c r="AR13" s="116"/>
      <c r="AS13" s="116"/>
      <c r="AT13" s="116"/>
      <c r="AU13" s="754"/>
      <c r="AV13" s="754"/>
      <c r="AW13" s="754"/>
      <c r="AX13" s="754"/>
      <c r="AY13" s="754"/>
      <c r="AZ13" s="754"/>
      <c r="BA13" s="754"/>
      <c r="BB13" s="754"/>
      <c r="BC13" s="8"/>
      <c r="BD13" s="8"/>
      <c r="BE13" s="8"/>
      <c r="BF13" s="8"/>
      <c r="DP13" s="1539" t="s">
        <v>8418</v>
      </c>
      <c r="DQ13" s="1541" t="str">
        <f>CZ3</f>
        <v>652600, Кемеровская область, г. Белово, пер. Цинкзаводской, д. 8 А</v>
      </c>
      <c r="DR13" s="10" t="s">
        <v>1248</v>
      </c>
      <c r="DS13" s="10"/>
      <c r="DT13" t="s">
        <v>8257</v>
      </c>
      <c r="DU13" s="10" t="s">
        <v>8280</v>
      </c>
      <c r="DV13" s="1464"/>
      <c r="DW13" s="826"/>
      <c r="DX13" s="836"/>
      <c r="DY13" s="306" t="str">
        <f>IF(DZ13=IFERROR(SEARCH(".",C$3,DZ12),99999),".",
IF(DZ13=IFERROR(SEARCH(",",C$3,DZ12),99999),",",
IF(DZ13=IFERROR(SEARCH(" за период",C$3,DZ12),999999)," за период",
IF(DZ13=IFERROR(SEARCH(" в размере",C$3,DZ12),99999)," в размере",
))))</f>
        <v>.</v>
      </c>
      <c r="DZ13" s="306">
        <f>MIN(
IFERROR(SEARCH(".",$C$3,DZ12),99999),
IFERROR(SEARCH(",",$C$3,DZ12),99999),
IFERROR(SEARCH(" в размере",$C$3,DZ12),99999))</f>
        <v>99999</v>
      </c>
      <c r="EA13" s="306"/>
      <c r="EB13" s="827"/>
      <c r="EC13" s="954"/>
      <c r="ED13" s="956" t="str">
        <f>IF(ISERROR(DX73),"",CONCATENATE(DV73,". ",EC73," ",IFERROR(CONCATENATE(EB77,",",EB78),""),IF(ISERROR(CONCATENATE(EB77,",",EB78)),"","₽")))</f>
        <v/>
      </c>
      <c r="EV13" s="768" t="s">
        <v>8513</v>
      </c>
      <c r="EW13" s="116"/>
      <c r="EX13" s="116"/>
      <c r="EY13" s="116"/>
      <c r="EZ13" s="116"/>
      <c r="FA13" s="116"/>
      <c r="FB13" s="116"/>
      <c r="FC13" s="116"/>
      <c r="FD13" s="768" t="s">
        <v>8513</v>
      </c>
      <c r="FE13" s="116"/>
      <c r="FF13" s="116"/>
      <c r="FG13" s="116"/>
      <c r="FH13" s="768" t="s">
        <v>8513</v>
      </c>
      <c r="FI13" s="116"/>
      <c r="FJ13" s="116"/>
      <c r="FK13" s="116"/>
      <c r="FL13" s="116"/>
      <c r="FM13" s="116"/>
      <c r="FN13" s="768" t="s">
        <v>8513</v>
      </c>
      <c r="FO13" s="116"/>
      <c r="FP13" s="116"/>
      <c r="FQ13" s="116"/>
      <c r="FR13" s="116"/>
      <c r="FS13" s="116"/>
      <c r="FT13" s="116"/>
      <c r="FU13" s="866"/>
      <c r="FV13" s="866"/>
      <c r="FW13" s="866"/>
      <c r="FX13" s="866"/>
      <c r="FY13" s="866"/>
      <c r="FZ13" s="866"/>
      <c r="GA13" s="116"/>
      <c r="GB13" s="116"/>
      <c r="GC13" s="116"/>
      <c r="GD13" s="116"/>
      <c r="GE13" s="116"/>
      <c r="GF13" s="116"/>
      <c r="GG13" s="116"/>
      <c r="GH13" s="116"/>
      <c r="GI13" s="116"/>
      <c r="GJ13" s="116"/>
      <c r="GK13" s="116"/>
      <c r="GL13" s="116"/>
      <c r="GM13" s="116"/>
      <c r="GN13" s="116"/>
      <c r="GO13" s="116"/>
      <c r="GP13" s="116"/>
      <c r="GQ13" s="116"/>
      <c r="GR13" s="116"/>
      <c r="GS13" s="116"/>
      <c r="GT13" s="116"/>
      <c r="GU13" s="116"/>
      <c r="GV13" s="116"/>
      <c r="GW13" s="116"/>
      <c r="GX13" s="116"/>
      <c r="GY13" s="116"/>
      <c r="GZ13" s="116"/>
      <c r="HA13" s="116"/>
      <c r="HB13" s="116"/>
      <c r="HC13" s="116"/>
      <c r="HD13" s="116"/>
      <c r="HE13" s="116"/>
      <c r="HG13" s="116"/>
      <c r="HH13" s="116"/>
      <c r="HI13" s="116"/>
      <c r="HK13" s="1543"/>
      <c r="HL13" s="948" t="str">
        <f>IFERROR(GX7,"")</f>
        <v/>
      </c>
      <c r="HM13" s="866"/>
      <c r="HN13" s="866"/>
      <c r="HO13" s="866"/>
      <c r="HP13" s="866"/>
      <c r="HQ13" s="866"/>
      <c r="HR13" s="866"/>
      <c r="HS13" s="866"/>
      <c r="HT13" s="866"/>
      <c r="HU13" s="866"/>
      <c r="HV13" s="866"/>
      <c r="HW13" s="866"/>
      <c r="HX13" s="866"/>
      <c r="HY13" s="866"/>
      <c r="HZ13" s="866"/>
      <c r="IA13" s="866"/>
      <c r="IB13" s="866"/>
      <c r="IC13" s="866"/>
      <c r="ID13" s="866"/>
      <c r="IE13" s="866"/>
      <c r="IF13" s="866"/>
      <c r="IG13" s="866"/>
      <c r="IH13" s="866"/>
      <c r="II13" s="866"/>
      <c r="IJ13" s="866"/>
      <c r="IK13" s="866"/>
      <c r="IL13" s="866"/>
      <c r="IM13" s="866"/>
      <c r="IN13" s="866"/>
      <c r="IO13" s="866"/>
      <c r="IP13" s="866"/>
      <c r="IQ13" s="866"/>
      <c r="IR13" s="866"/>
      <c r="IS13" s="866"/>
      <c r="IT13" s="866"/>
      <c r="IU13" s="866"/>
      <c r="IV13" s="866"/>
      <c r="IW13" s="866"/>
      <c r="IX13" s="866"/>
      <c r="IY13" s="866"/>
      <c r="IZ13" s="866"/>
      <c r="JA13" s="866"/>
      <c r="JB13" s="866"/>
      <c r="JC13" s="866"/>
      <c r="JD13" s="866"/>
      <c r="JE13" s="866"/>
      <c r="JF13" s="866"/>
      <c r="JG13" s="866"/>
      <c r="JH13" s="866"/>
      <c r="JI13" s="866"/>
      <c r="JJ13" s="866"/>
      <c r="JK13" s="866"/>
      <c r="JL13" s="866"/>
      <c r="JM13" s="866"/>
      <c r="JN13" s="866"/>
      <c r="JO13" s="116"/>
      <c r="JP13" s="866"/>
      <c r="JQ13" s="866"/>
      <c r="JR13" s="866"/>
      <c r="JS13" s="866"/>
      <c r="JT13" s="116"/>
      <c r="JU13" s="116"/>
      <c r="JV13" s="866"/>
      <c r="JW13" s="866"/>
      <c r="JX13" s="866"/>
      <c r="JY13" s="866"/>
      <c r="JZ13" s="866"/>
      <c r="KA13" s="866"/>
      <c r="KB13" s="866"/>
      <c r="KC13" s="866"/>
      <c r="KD13" s="866"/>
      <c r="KE13" s="866"/>
      <c r="KF13" s="866"/>
      <c r="KG13" s="866"/>
      <c r="KJ13" s="866"/>
      <c r="KK13" s="866"/>
      <c r="KN13" s="866"/>
      <c r="KO13" s="866"/>
      <c r="KW13" s="866"/>
      <c r="KX13" s="866"/>
      <c r="LE13" s="866"/>
      <c r="LF13" s="866"/>
      <c r="LG13" s="984"/>
      <c r="LN13" s="866"/>
      <c r="LO13" s="866"/>
      <c r="LT13" s="866"/>
      <c r="LU13" s="866"/>
      <c r="LY13" s="866" t="str">
        <f>CONCATENATE(" в ",$CU$3," от ")</f>
        <v xml:space="preserve"> в АО СК «БАСК» от </v>
      </c>
      <c r="LZ13" s="866"/>
      <c r="MA13" s="866"/>
      <c r="MB13" s="994"/>
      <c r="MC13" s="116"/>
      <c r="MD13" s="116"/>
      <c r="ME13" s="866"/>
      <c r="MF13" s="866"/>
      <c r="MG13" s="866"/>
      <c r="MH13" s="866"/>
      <c r="MI13" s="1186" t="s">
        <v>8513</v>
      </c>
      <c r="MJ13" s="1187"/>
      <c r="ML13" s="866"/>
      <c r="MM13" s="866"/>
      <c r="MN13" s="866"/>
      <c r="MO13" s="866"/>
      <c r="MP13" s="866"/>
      <c r="MQ13" s="866"/>
      <c r="MR13" s="866"/>
      <c r="MS13" s="866"/>
      <c r="MT13" s="866"/>
      <c r="MU13" s="866"/>
      <c r="MV13" s="866"/>
      <c r="MW13" s="866"/>
      <c r="MX13" s="1472"/>
      <c r="MY13" s="988" t="s">
        <v>8513</v>
      </c>
      <c r="MZ13" s="984" t="e">
        <f t="shared" si="3"/>
        <v>#VALUE!</v>
      </c>
      <c r="NA13" s="984"/>
      <c r="NB13" s="920"/>
      <c r="NC13" s="920"/>
      <c r="ND13" s="984"/>
      <c r="NE13" s="984"/>
      <c r="NF13" s="984"/>
      <c r="NG13" s="1474"/>
      <c r="NK13" s="1464"/>
      <c r="NL13" s="826"/>
      <c r="NM13" s="836"/>
      <c r="NN13" s="306" t="str">
        <f>IF(NO13=IFERROR(SEARCH(".",NJ$4,NO12),99999),".",
IF(NO13=IFERROR(SEARCH(",",NJ$4,NO12),99999),",",
IF(NO13=IFERROR(SEARCH(" за период",NJ$4,NO12),999999)," за период",
IF(NO13=IFERROR(SEARCH(" в размере",NJ$4,NO12),99999)," в размере",
))))</f>
        <v>.</v>
      </c>
      <c r="NO13" s="306">
        <f>MIN(
IFERROR(SEARCH(".",NJ$4,NO12),99999),
IFERROR(SEARCH(",",NJ$4,NO12),99999),
IFERROR(SEARCH(" в размере",NJ$4,NO12),99999))</f>
        <v>99999</v>
      </c>
      <c r="NP13" s="306"/>
      <c r="NQ13" s="827"/>
      <c r="NR13" s="829"/>
      <c r="NS13" s="842" t="str">
        <f>IF(NR73="","",CONCATENATE(NK73,". ",NR73," ",IFERROR(CONCATENATE(NQ77,",",NQ78),""),IF(ISERROR(CONCATENATE(NQ77,",",NQ78)),"","₽")))</f>
        <v/>
      </c>
      <c r="NT13" s="1105" t="str">
        <f t="shared" si="4"/>
        <v/>
      </c>
      <c r="NU13" s="993" t="s">
        <v>8513</v>
      </c>
      <c r="NV13" s="994"/>
      <c r="NW13" s="920"/>
      <c r="NX13" s="920"/>
      <c r="NY13" s="994"/>
      <c r="NZ13" s="994"/>
      <c r="OA13" s="994"/>
      <c r="OB13" s="1535"/>
      <c r="OC13" s="1472"/>
      <c r="OD13" s="946" t="s">
        <v>8513</v>
      </c>
      <c r="OE13" s="947" t="e">
        <f t="shared" si="5"/>
        <v>#VALUE!</v>
      </c>
      <c r="OF13" s="947"/>
      <c r="OG13" s="920"/>
      <c r="OH13" s="920"/>
      <c r="OI13" s="947"/>
      <c r="OJ13" s="947"/>
      <c r="OK13" s="947"/>
      <c r="OL13" s="1474"/>
      <c r="OM13" s="869"/>
      <c r="ON13" s="817"/>
      <c r="OO13" s="943"/>
      <c r="OP13" s="1069"/>
      <c r="OQ13" s="935" t="s">
        <v>8513</v>
      </c>
      <c r="OR13" s="937"/>
      <c r="OS13" s="920"/>
      <c r="OT13" s="920"/>
      <c r="OU13" s="937"/>
      <c r="OV13" s="937"/>
      <c r="OW13" s="937"/>
      <c r="OX13" s="979"/>
      <c r="OY13" t="s">
        <v>8513</v>
      </c>
      <c r="OZ13" s="937"/>
      <c r="PA13" t="s">
        <v>8513</v>
      </c>
      <c r="PB13" s="937"/>
      <c r="PC13" s="5"/>
      <c r="PD13" s="1070"/>
      <c r="PE13" t="s">
        <v>8513</v>
      </c>
      <c r="PF13" s="1209"/>
      <c r="PG13" t="s">
        <v>8513</v>
      </c>
      <c r="PH13" s="937"/>
      <c r="PI13" s="5"/>
      <c r="PJ13" s="1073"/>
      <c r="PK13" t="s">
        <v>8513</v>
      </c>
      <c r="PL13" s="947"/>
      <c r="PM13" t="s">
        <v>8513</v>
      </c>
      <c r="PN13" s="937"/>
      <c r="PO13" s="5"/>
      <c r="PP13" s="1064"/>
      <c r="PQ13" t="s">
        <v>8513</v>
      </c>
      <c r="PR13" s="937" t="e">
        <f t="shared" si="22"/>
        <v>#VALUE!</v>
      </c>
      <c r="PS13" s="5"/>
      <c r="PV13" s="937"/>
      <c r="PX13" s="5"/>
      <c r="PY13" s="1470"/>
      <c r="PZ13" t="s">
        <v>8513</v>
      </c>
      <c r="QA13" s="937" t="e">
        <f t="shared" si="6"/>
        <v>#VALUE!</v>
      </c>
      <c r="QB13" s="5"/>
      <c r="QC13" s="264"/>
      <c r="QE13" s="937"/>
      <c r="QF13" s="264"/>
      <c r="QG13" s="5"/>
      <c r="QH13" s="1470"/>
      <c r="QI13" t="s">
        <v>8513</v>
      </c>
      <c r="QJ13" s="937" t="e">
        <f t="shared" si="7"/>
        <v>#VALUE!</v>
      </c>
      <c r="QK13" s="5"/>
      <c r="QL13" s="264"/>
      <c r="QN13" s="937"/>
      <c r="QO13" s="264"/>
      <c r="QP13" s="5"/>
      <c r="QQ13" s="1470"/>
      <c r="QR13" t="s">
        <v>8513</v>
      </c>
      <c r="QS13" s="937" t="e">
        <f t="shared" si="8"/>
        <v>#VALUE!</v>
      </c>
      <c r="QT13" s="5"/>
      <c r="QU13" s="264"/>
      <c r="QW13" s="937"/>
      <c r="QX13" s="264"/>
      <c r="QY13" s="5"/>
      <c r="QZ13" s="1470"/>
      <c r="RA13" s="1094" t="s">
        <v>8585</v>
      </c>
      <c r="RB13" s="1097" t="str">
        <f>IFERROR(PY15,"")</f>
        <v/>
      </c>
      <c r="RC13" s="1069"/>
      <c r="RD13" s="1148" t="s">
        <v>8513</v>
      </c>
      <c r="RE13" s="1059"/>
      <c r="RF13" s="920"/>
      <c r="RG13" s="920"/>
      <c r="RH13" s="1059"/>
      <c r="RI13" s="1059"/>
      <c r="RJ13" s="1059"/>
      <c r="RK13" s="979"/>
      <c r="RL13" s="1055"/>
      <c r="RM13" s="1180" t="s">
        <v>8513</v>
      </c>
      <c r="RN13" s="1181"/>
      <c r="RO13" s="1061"/>
      <c r="RP13" t="s">
        <v>8513</v>
      </c>
      <c r="RQ13" s="854"/>
      <c r="RR13" t="s">
        <v>8513</v>
      </c>
      <c r="RS13" s="1059"/>
      <c r="RT13" s="5"/>
      <c r="RU13" s="1070"/>
      <c r="RV13" t="s">
        <v>8513</v>
      </c>
      <c r="RW13" s="854"/>
      <c r="RX13" t="s">
        <v>8513</v>
      </c>
      <c r="RY13" s="1059"/>
      <c r="RZ13" s="5"/>
      <c r="SA13" s="1070"/>
      <c r="SB13" t="s">
        <v>8513</v>
      </c>
      <c r="SC13" s="854"/>
      <c r="SD13" t="s">
        <v>8513</v>
      </c>
      <c r="SE13" s="1059"/>
      <c r="SF13" s="5"/>
      <c r="SG13" s="1070"/>
      <c r="SH13" s="1070"/>
      <c r="SI13" s="1055"/>
      <c r="SJ13" s="927" t="s">
        <v>9454</v>
      </c>
      <c r="SK13" s="928"/>
      <c r="SL13" s="920"/>
      <c r="SM13" s="920"/>
      <c r="SN13" s="928"/>
      <c r="SO13" s="928"/>
      <c r="SP13" s="928"/>
      <c r="SQ13" s="979"/>
      <c r="SR13" s="866"/>
      <c r="SS13" s="1173" t="s">
        <v>8513</v>
      </c>
      <c r="ST13" s="1174"/>
      <c r="SV13" t="s">
        <v>8513</v>
      </c>
      <c r="SY13" s="1464"/>
      <c r="SZ13" s="826"/>
      <c r="TA13" s="836"/>
      <c r="TB13" s="306" t="str">
        <f>IF(TC13=IFERROR(SEARCH(".",$SQ$3,TC12),99999),".",
IF(TC13=IFERROR(SEARCH(",",$SQ$3,TC12),99999),",",
IF(TC13=IFERROR(SEARCH(" за период",$SQ$3,TC12),999999)," за период",
IF(TC13=IFERROR(SEARCH(" в размере",$SQ$3,TC12),99999)," в размере",
))))</f>
        <v>.</v>
      </c>
      <c r="TC13" s="306">
        <f>MIN(
IFERROR(SEARCH(".",$SQ$3,TC12),99999),
IFERROR(SEARCH(",",$SQ$3,TC12),99999),
IFERROR(SEARCH(" в размере",$SQ$3,TC12),99999))</f>
        <v>99999</v>
      </c>
      <c r="TD13" s="306"/>
      <c r="TE13" s="827"/>
      <c r="TF13" s="829"/>
      <c r="TG13" s="842" t="str">
        <f>IF(TF73="","",CONCATENATE(SY73,". ",TF73," ",IFERROR(CONCATENATE(TE77,",",TE78),""),IF(ISERROR(CONCATENATE(TE77,",",TE78)),"","₽")))</f>
        <v/>
      </c>
      <c r="TK13" s="1475">
        <v>3</v>
      </c>
      <c r="TL13" s="1030" t="s">
        <v>8433</v>
      </c>
      <c r="TM13" s="406" t="e">
        <f>SEARCH($TJ$14,TJ$4,TO9)+LEN($TJ$14)</f>
        <v>#VALUE!</v>
      </c>
      <c r="TN13" s="406" t="str">
        <f>IF(TO13=IFERROR(SEARCH(".",TJ$4,TM13),99999),".",
IF(TO13=IFERROR(SEARCH(",",TJ$4,TM13),99999),",",
IF(TO13=IFERROR(SEARCH(" за период",TJ$4,TM13),999999)," за период",
IF(TO13=IFERROR(SEARCH(" в размере",TJ$4,TM13),99999)," в размере",
IF(TO13=IFERROR(SEARCH(" и ",TJ$4,TM13),99999)," и ",
IF(TO13=IFERROR(SEARCH(")",TJ$4,TM13),99999),")",
))))))</f>
        <v>.</v>
      </c>
      <c r="TO13" s="406">
        <f>IFERROR(MIN(IFERROR(SEARCH(".",TJ$4,TM13),99999),IFERROR(SEARCH(",",TJ$4,TM13),99999),IFERROR(SEARCH(" за период",TJ$4,TM13),999999),IFERROR(SEARCH(" в размере",TJ$4,TM13),99999),IFERROR(SEARCH(" и ",TJ$4,TM13),99999),IFERROR(SEARCH(")",TJ$4,TM13),99999)),"ОШИБКА")</f>
        <v>99999</v>
      </c>
      <c r="TP13" s="406" t="e">
        <f>TO13-TM13</f>
        <v>#VALUE!</v>
      </c>
      <c r="TQ13" s="873" t="e">
        <f>MID(TJ$4,TM13,TP13)</f>
        <v>#VALUE!</v>
      </c>
      <c r="TR13" s="825" t="str">
        <f>IFERROR(INDEX($DU:$DU,MATCH(MID(TJ$4,TM13,TP13),$DT:$DT,0),1),"")</f>
        <v/>
      </c>
      <c r="TS13" s="843" t="str">
        <f>IF(TR45="","",CONCATENATE(TK45,". ",TR45," ",IFERROR(CONCATENATE(TQ46,",",TQ47),""),IF(ISERROR(CONCATENATE(TQ46,",",TQ47)),"","₽")))</f>
        <v/>
      </c>
      <c r="TT13" t="str">
        <f t="shared" si="27"/>
        <v>$$$$</v>
      </c>
      <c r="TW13" s="1464"/>
      <c r="TX13" s="826"/>
      <c r="TY13" s="836"/>
      <c r="TZ13" s="306" t="str">
        <f>IF(UA13=IFERROR(SEARCH(".",$SQ$4,UA12),99999),".",
IF(UA13=IFERROR(SEARCH(",",$SQ$4,UA12),99999),",",
IF(UA13=IFERROR(SEARCH(" за период",$SQ$4,UA12),999999)," за период",
IF(UA13=IFERROR(SEARCH(" в размере",$SQ$4,UA12),99999)," в размере",
))))</f>
        <v>.</v>
      </c>
      <c r="UA13" s="306">
        <f>MIN(
IFERROR(SEARCH(".",$SQ$4,UA12),99999),
IFERROR(SEARCH(",",$SQ$4,UA12),99999),
IFERROR(SEARCH(" в размере",$SQ$4,UA12),99999))</f>
        <v>99999</v>
      </c>
      <c r="UB13" s="306"/>
      <c r="UC13" s="827"/>
      <c r="UD13" s="829"/>
      <c r="UE13" s="842" t="str">
        <f>IF(UD73="","",CONCATENATE(TW73,". ",UD73," ",IFERROR(CONCATENATE(UC77,",",UC78),""),IF(ISERROR(CONCATENATE(UC77,",",UC78)),"","₽")))</f>
        <v/>
      </c>
      <c r="UI13" s="1475">
        <v>3</v>
      </c>
      <c r="UJ13" s="1030" t="s">
        <v>8433</v>
      </c>
      <c r="UK13" s="406" t="e">
        <f>SEARCH(UH$14,UH$4,UM9)+LEN(UH$14)</f>
        <v>#VALUE!</v>
      </c>
      <c r="UL13" s="406" t="str">
        <f>IF(UM13=IFERROR(SEARCH(".",UH$4,UK13),99999),".",
IF(UM13=IFERROR(SEARCH(",",UH$4,UK13),99999),",",
IF(UM13=IFERROR(SEARCH(" за период",UH$4,UK13),999999)," за период",
IF(UM13=IFERROR(SEARCH(" в размере",UH$4,UK13),99999)," в размере",
IF(UM13=IFERROR(SEARCH(" и ",UH$4,UK13),99999)," и ",
IF(UM13=IFERROR(SEARCH(")",UH$4,UK13),99999),")",
))))))</f>
        <v>.</v>
      </c>
      <c r="UM13" s="406">
        <f>IFERROR(MIN(IFERROR(SEARCH(".",UH$4,UK13),99999),IFERROR(SEARCH(",",UH$4,UK13),99999),IFERROR(SEARCH(" за период",UH$4,UK13),999999),IFERROR(SEARCH(" в размере",UH$4,UK13),99999),IFERROR(SEARCH(" и ",UH$4,UK13),99999),IFERROR(SEARCH(")",UH$4,UK13),99999)),"ОШИБКА")</f>
        <v>99999</v>
      </c>
      <c r="UN13" s="406" t="e">
        <f>UM13-UK13</f>
        <v>#VALUE!</v>
      </c>
      <c r="UO13" s="873" t="e">
        <f>MID(UH$4,UK13,UN13)</f>
        <v>#VALUE!</v>
      </c>
      <c r="UP13" s="825" t="str">
        <f>IFERROR(INDEX($DU:$DU,MATCH(MID(UH$4,UK13,UN13),$DT:$DT,0),1),"")</f>
        <v/>
      </c>
      <c r="UQ13" s="843" t="str">
        <f>IF(UP45="","",CONCATENATE(UI45,". ",UP45," ",IFERROR(CONCATENATE(UO46,",",UO47),""),IF(ISERROR(CONCATENATE(UO46,",",UO47)),"","₽")))</f>
        <v/>
      </c>
      <c r="UU13" s="1464"/>
      <c r="UV13" s="826"/>
      <c r="UW13" s="836"/>
      <c r="UX13" s="306" t="str">
        <f>IF(UY13=IFERROR(SEARCH(".",$SQ$5,UY12),99999),".",
IF(UY13=IFERROR(SEARCH(",",$SQ$5,UY12),99999),",",
IF(UY13=IFERROR(SEARCH(" за период",$SQ$5,UY12),999999)," за период",
IF(UY13=IFERROR(SEARCH(" в размере",$SQ$5,UY12),99999)," в размере",
))))</f>
        <v>.</v>
      </c>
      <c r="UY13" s="306">
        <f>MIN(
IFERROR(SEARCH(".",$SQ$5,UY12),99999),
IFERROR(SEARCH(",",$SQ$5,UY12),99999),
IFERROR(SEARCH(" в размере",$SQ$5,UY12),99999))</f>
        <v>99999</v>
      </c>
      <c r="UZ13" s="306"/>
      <c r="VA13" s="827"/>
      <c r="VB13" s="829"/>
      <c r="VC13" s="842" t="str">
        <f>IF(VB73="","",CONCATENATE(UU73,". ",VB73," ",IFERROR(CONCATENATE(VA77,",",VA78),""),IF(ISERROR(CONCATENATE(VA77,",",VA78)),"","₽")))</f>
        <v/>
      </c>
      <c r="VG13" s="1475">
        <v>3</v>
      </c>
      <c r="VH13" s="1030" t="s">
        <v>8433</v>
      </c>
      <c r="VI13" s="406" t="e">
        <f>SEARCH(VF$14,VF$4,VK9)+LEN(VF$14)</f>
        <v>#VALUE!</v>
      </c>
      <c r="VJ13" s="406" t="str">
        <f>IF(VK13=IFERROR(SEARCH(".",VF$4,VI13),99999),".",
IF(VK13=IFERROR(SEARCH(",",VF$4,VI13),99999),",",
IF(VK13=IFERROR(SEARCH(" за период",VF$4,VI13),999999)," за период",
IF(VK13=IFERROR(SEARCH(" в размере",VF$4,VI13),99999)," в размере",
IF(VK13=IFERROR(SEARCH(" и ",VF$4,VI13),99999)," и ",
IF(VK13=IFERROR(SEARCH(")",VF$4,VI13),99999),")",
))))))</f>
        <v>.</v>
      </c>
      <c r="VK13" s="406">
        <f>IFERROR(MIN(IFERROR(SEARCH(".",VF$4,VI13),99999),IFERROR(SEARCH(",",VF$4,VI13),99999),IFERROR(SEARCH(" за период",VF$4,VI13),999999),IFERROR(SEARCH(" в размере",VF$4,VI13),99999),IFERROR(SEARCH(" и ",VF$4,VI13),99999),IFERROR(SEARCH(")",VF$4,VI13),99999)),"ОШИБКА")</f>
        <v>99999</v>
      </c>
      <c r="VL13" s="406" t="e">
        <f>VK13-VI13</f>
        <v>#VALUE!</v>
      </c>
      <c r="VM13" s="873" t="e">
        <f>MID(VF$4,VI13,VL13)</f>
        <v>#VALUE!</v>
      </c>
      <c r="VN13" s="825" t="str">
        <f>IFERROR(INDEX($DU:$DU,MATCH(MID(VF$4,VI13,VL13),$DT:$DT,0),1),"")</f>
        <v/>
      </c>
      <c r="VO13" s="843" t="str">
        <f>IF(VN45="","",CONCATENATE(VG45,". ",VN45," ",IFERROR(CONCATENATE(VM46,",",VM47),""),IF(ISERROR(CONCATENATE(VM46,",",VM47)),"","₽")))</f>
        <v/>
      </c>
      <c r="VS13" s="1464"/>
      <c r="VT13" s="826"/>
      <c r="VU13" s="836"/>
      <c r="VV13" s="306" t="str">
        <f>IF(VW13=IFERROR(SEARCH(".",$SQ$6,VW12),99999),".",
IF(VW13=IFERROR(SEARCH(",",$SQ$6,VW12),99999),",",
IF(VW13=IFERROR(SEARCH(" за период",$SQ$6,VW12),999999)," за период",
IF(VW13=IFERROR(SEARCH(" в размере",$SQ$6,VW12),99999)," в размере",
))))</f>
        <v>.</v>
      </c>
      <c r="VW13" s="306">
        <f>MIN(
IFERROR(SEARCH(".",$SQ$6,VW12),99999),
IFERROR(SEARCH(",",$SQ$6,VW12),99999),
IFERROR(SEARCH(" в размере",$SQ$6,VW12),99999))</f>
        <v>99999</v>
      </c>
      <c r="VX13" s="306"/>
      <c r="VY13" s="827"/>
      <c r="VZ13" s="829"/>
      <c r="WA13" s="842" t="str">
        <f>IF(VZ73="","",CONCATENATE(VS73,". ",VZ73," ",IFERROR(CONCATENATE(VY77,",",VY78),""),IF(ISERROR(CONCATENATE(VY77,",",VY78)),"","₽")))</f>
        <v/>
      </c>
      <c r="WE13" s="1475">
        <v>3</v>
      </c>
      <c r="WF13" s="1030" t="s">
        <v>8433</v>
      </c>
      <c r="WG13" s="406" t="e">
        <f>SEARCH($TJ$14,WD$4,WI9)+LEN($TJ$14)</f>
        <v>#VALUE!</v>
      </c>
      <c r="WH13" s="406" t="str">
        <f>IF(WI13=IFERROR(SEARCH(".",WD$4,WG13),99999),".",
IF(WI13=IFERROR(SEARCH(",",WD$4,WG13),99999),",",
IF(WI13=IFERROR(SEARCH(" за период",WD$4,WG13),999999)," за период",
IF(WI13=IFERROR(SEARCH(" в размере",WD$4,WG13),99999)," в размере",
IF(WI13=IFERROR(SEARCH(" и ",WD$4,WG13),99999)," и ",
IF(WI13=IFERROR(SEARCH(")",WD$4,WG13),99999),")",
))))))</f>
        <v>.</v>
      </c>
      <c r="WI13" s="406">
        <f>IFERROR(MIN(IFERROR(SEARCH(".",WD$4,WG13),99999),IFERROR(SEARCH(",",WD$4,WG13),99999),IFERROR(SEARCH(" за период",WD$4,WG13),999999),IFERROR(SEARCH(" в размере",WD$4,WG13),99999),IFERROR(SEARCH(" и ",WD$4,WG13),99999),IFERROR(SEARCH(")",WD$4,WG13),99999)),"ОШИБКА")</f>
        <v>99999</v>
      </c>
      <c r="WJ13" s="406" t="e">
        <f>WI13-WG13</f>
        <v>#VALUE!</v>
      </c>
      <c r="WK13" s="873" t="e">
        <f>MID(WD$4,WG13,WJ13)</f>
        <v>#VALUE!</v>
      </c>
      <c r="WL13" s="825" t="str">
        <f>IFERROR(INDEX($DU:$DU,MATCH(MID(WD$4,WG13,WJ13),$DT:$DT,0),1),"")</f>
        <v/>
      </c>
      <c r="WM13" s="843" t="str">
        <f>IF(WL45="","",CONCATENATE(WE45,". ",WL45," ",IFERROR(CONCATENATE(WK46,",",WK47),""),IF(ISERROR(CONCATENATE(WK46,",",WK47)),"","₽")))</f>
        <v/>
      </c>
      <c r="WQ13" s="1464"/>
      <c r="WR13" s="826"/>
      <c r="WS13" s="836"/>
      <c r="WT13" s="306" t="str">
        <f>IF(WU13=IFERROR(SEARCH(".",$SQ$7,WU12),99999),".",
IF(WU13=IFERROR(SEARCH(",",$SQ$7,WU12),99999),",",
IF(WU13=IFERROR(SEARCH(" за период",$SQ$7,WU12),999999)," за период",
IF(WU13=IFERROR(SEARCH(" в размере",$SQ$7,WU12),99999)," в размере",
))))</f>
        <v>.</v>
      </c>
      <c r="WU13" s="306">
        <f>MIN(
IFERROR(SEARCH(".",$SQ$7,WU12),99999),
IFERROR(SEARCH(",",$SQ$7,WU12),99999),
IFERROR(SEARCH(" в размере",$SQ$7,WU12),99999))</f>
        <v>99999</v>
      </c>
      <c r="WV13" s="306"/>
      <c r="WW13" s="827"/>
      <c r="WX13" s="829"/>
      <c r="WY13" s="842" t="str">
        <f>IF(WX73="","",CONCATENATE(WQ73,". ",WX73," ",IFERROR(CONCATENATE(WW77,",",WW78),""),IF(ISERROR(CONCATENATE(WW77,",",WW78)),"","₽")))</f>
        <v/>
      </c>
      <c r="XC13" s="1475">
        <v>3</v>
      </c>
      <c r="XD13" s="1030" t="s">
        <v>8433</v>
      </c>
      <c r="XE13" s="406" t="e">
        <f>SEARCH($TJ$14,XB$4,XG9)+LEN($TJ$14)</f>
        <v>#VALUE!</v>
      </c>
      <c r="XF13" s="406" t="str">
        <f>IF(XG13=IFERROR(SEARCH(".",XB$4,XE13),99999),".",
IF(XG13=IFERROR(SEARCH(",",XB$4,XE13),99999),",",
IF(XG13=IFERROR(SEARCH(" за период",XB$4,XE13),999999)," за период",
IF(XG13=IFERROR(SEARCH(" в размере",XB$4,XE13),99999)," в размере",
IF(XG13=IFERROR(SEARCH(" и ",XB$4,XE13),99999)," и ",
IF(XG13=IFERROR(SEARCH(")",XB$4,XE13),99999),")",
))))))</f>
        <v>.</v>
      </c>
      <c r="XG13" s="406">
        <f>IFERROR(MIN(IFERROR(SEARCH(".",XB$4,XE13),99999),IFERROR(SEARCH(",",XB$4,XE13),99999),IFERROR(SEARCH(" за период",XB$4,XE13),999999),IFERROR(SEARCH(" в размере",XB$4,XE13),99999),IFERROR(SEARCH(" и ",XB$4,XE13),99999),IFERROR(SEARCH(")",XB$4,XE13),99999)),"ОШИБКА")</f>
        <v>99999</v>
      </c>
      <c r="XH13" s="406" t="e">
        <f>XG13-XE13</f>
        <v>#VALUE!</v>
      </c>
      <c r="XI13" s="873" t="e">
        <f>MID(XB$4,XE13,XH13)</f>
        <v>#VALUE!</v>
      </c>
      <c r="XJ13" s="825" t="str">
        <f>IFERROR(INDEX($DU:$DU,MATCH(MID(XB$4,XE13,XH13),$DT:$DT,0),1),"")</f>
        <v/>
      </c>
      <c r="XK13" s="843" t="str">
        <f>IF(XJ45="","",CONCATENATE(XC45,". ",XJ45," ",IFERROR(CONCATENATE(XI46,",",XI47),""),IF(ISERROR(CONCATENATE(XI46,",",XI47)),"","₽")))</f>
        <v/>
      </c>
      <c r="XL13" s="1090" t="str">
        <f>IFERROR(CONCATENATE(DATES!C25," ",TEXT(VALUE(CONCATENATE(LEFT(DATES!E25,SEARCH(",",TEXT(DATES!E25,"0,00"))-1),",",RIGHT(TEXT(DATES!E25,"0,00"),2))),"0 000,00"),"₽"),"")</f>
        <v xml:space="preserve"> 0 000,00₽</v>
      </c>
      <c r="XM13" s="1064"/>
      <c r="XN13" s="864" t="str">
        <f>CONCATENATE(" в ",$CU$3, " поступило заявление (претензия) ")</f>
        <v xml:space="preserve"> в АО СК «БАСК» поступило заявление (претензия) </v>
      </c>
      <c r="XP13" s="920"/>
      <c r="XQ13" s="920"/>
      <c r="XR13" s="863"/>
      <c r="XS13" s="863"/>
      <c r="XT13" s="863"/>
      <c r="XU13" s="979"/>
      <c r="XV13" s="866"/>
      <c r="XW13" s="1180" t="s">
        <v>8513</v>
      </c>
      <c r="XX13" s="1181"/>
      <c r="XZ13" s="866"/>
      <c r="YA13" s="866"/>
      <c r="YB13" s="866"/>
      <c r="YC13" s="866"/>
      <c r="YG13" s="1464"/>
      <c r="YH13" s="826"/>
      <c r="YI13" s="836"/>
      <c r="YJ13" s="306" t="str">
        <f>IF(YK13=IFERROR(SEARCH(".",$XU$3,YK12),99999),".",
IF(YK13=IFERROR(SEARCH(",",$XU$3,YK12),99999),",",
IF(YK13=IFERROR(SEARCH(" за период",$XU$3,YK12),999999)," за период",
IF(YK13=IFERROR(SEARCH(" в размере",$XU$3,YK12),99999)," в размере",
))))</f>
        <v>.</v>
      </c>
      <c r="YK13" s="306">
        <f>MIN(
IFERROR(SEARCH(".",$XU$3,YK12),99999),
IFERROR(SEARCH(",",$XU$3,YK12),99999),
IFERROR(SEARCH(" в размере",$XU$3,YK12),99999))</f>
        <v>99999</v>
      </c>
      <c r="YL13" s="306"/>
      <c r="YM13" s="827"/>
      <c r="YN13" s="829"/>
      <c r="YO13" s="842" t="str">
        <f>IF(ISERROR(YI73),"",CONCATENATE(YG73,". ",YN73," ",IFERROR(CONCATENATE(YM77,",",YM78),""),IF(ISERROR(CONCATENATE(YM77,",",YM78)),"","₽")))</f>
        <v/>
      </c>
      <c r="YS13" s="1464"/>
      <c r="YT13" s="826"/>
      <c r="YU13" s="836"/>
      <c r="YV13" s="306" t="str">
        <f>IF(YW13=IFERROR(SEARCH(".",$XU$4,YW12),99999),".",
IF(YW13=IFERROR(SEARCH(",",$XU$4,YW12),99999),",",
IF(YW13=IFERROR(SEARCH(" за период",$XU$4,YW12),999999)," за период",
IF(YW13=IFERROR(SEARCH(" в размере",$XU$4,YW12),99999)," в размере",
))))</f>
        <v>.</v>
      </c>
      <c r="YW13" s="306">
        <f>MIN(
IFERROR(SEARCH(".",$XU$4,YW12),99999),
IFERROR(SEARCH(",",$XU$4,YW12),99999),
IFERROR(SEARCH(" в размере",$XU$4,YW12),99999))</f>
        <v>99999</v>
      </c>
      <c r="YX13" s="306"/>
      <c r="YY13" s="827"/>
      <c r="YZ13" s="829"/>
      <c r="ZA13" s="842" t="str">
        <f>IF(ISERROR(YU73),"",CONCATENATE(YS73,". ",YZ73," ",IFERROR(CONCATENATE(YY77,",",YY78),""),IF(ISERROR(CONCATENATE(YY77,",",YY78)),"","₽")))</f>
        <v/>
      </c>
      <c r="ZE13" s="1464"/>
      <c r="ZF13" s="826"/>
      <c r="ZG13" s="836"/>
      <c r="ZH13" s="306" t="str">
        <f>IF(ZI13=IFERROR(SEARCH(".",$XU$5,ZI12),99999),".",
IF(ZI13=IFERROR(SEARCH(",",$XU$5,ZI12),99999),",",
IF(ZI13=IFERROR(SEARCH(" за период",$XU$5,ZI12),999999)," за период",
IF(ZI13=IFERROR(SEARCH(" в размере",$XU$5,ZI12),99999)," в размере",
))))</f>
        <v>.</v>
      </c>
      <c r="ZI13" s="306">
        <f>MIN(
IFERROR(SEARCH(".",$XU$5,ZI12),99999),
IFERROR(SEARCH(",",$XU$5,ZI12),99999),
IFERROR(SEARCH(" в размере",$XU$5,ZI12),99999))</f>
        <v>99999</v>
      </c>
      <c r="ZJ13" s="306"/>
      <c r="ZK13" s="827"/>
      <c r="ZL13" s="829"/>
      <c r="ZM13" s="842" t="str">
        <f>IF(ISERROR(ZG73),"",CONCATENATE(ZE73,". ",ZL73," ",IFERROR(CONCATENATE(ZK77,",",ZK78),""),IF(ISERROR(CONCATENATE(ZK77,",",ZK78)),"","₽")))</f>
        <v/>
      </c>
      <c r="ZQ13" s="1464"/>
      <c r="ZR13" s="826"/>
      <c r="ZS13" s="836"/>
      <c r="ZT13" s="306" t="str">
        <f>IF(ZU13=IFERROR(SEARCH(".",$XU$6,ZU12),99999),".",
IF(ZU13=IFERROR(SEARCH(",",$XU$6,ZU12),99999),",",
IF(ZU13=IFERROR(SEARCH(" за период",$XU$6,ZU12),999999)," за период",
IF(ZU13=IFERROR(SEARCH(" в размере",$XU$6,ZU12),99999)," в размере",
))))</f>
        <v>.</v>
      </c>
      <c r="ZU13" s="306">
        <f>MIN(
IFERROR(SEARCH(".",$XU$6,ZU12),99999),
IFERROR(SEARCH(",",$XU$6,ZU12),99999),
IFERROR(SEARCH(" в размере",$XU$6,ZU12),99999))</f>
        <v>99999</v>
      </c>
      <c r="ZV13" s="306"/>
      <c r="ZW13" s="827"/>
      <c r="ZX13" s="829"/>
      <c r="ZY13" s="842" t="str">
        <f>IF(ISERROR(ZS73),"",CONCATENATE(ZQ73,". ",ZX73," ",IFERROR(CONCATENATE(ZW77,",",ZW78),""),IF(ISERROR(CONCATENATE(ZW77,",",ZW78)),"","₽")))</f>
        <v/>
      </c>
      <c r="AAC13" s="1464"/>
      <c r="AAD13" s="826"/>
      <c r="AAE13" s="836"/>
      <c r="AAF13" s="306" t="str">
        <f>IF(AAG13=IFERROR(SEARCH(".",$XU$7,AAG12),99999),".",
IF(AAG13=IFERROR(SEARCH(",",$XU$7,AAG12),99999),",",
IF(AAG13=IFERROR(SEARCH(" за период",$XU$7,AAG12),999999)," за период",
IF(AAG13=IFERROR(SEARCH(" в размере",$XU$7,AAG12),99999)," в размере",
))))</f>
        <v>.</v>
      </c>
      <c r="AAG13" s="306">
        <f>MIN(
IFERROR(SEARCH(".",$XU$7,AAG12),99999),
IFERROR(SEARCH(",",$XU$7,AAG12),99999),
IFERROR(SEARCH(" в размере",$XU$7,AAG12),99999))</f>
        <v>99999</v>
      </c>
      <c r="AAH13" s="306"/>
      <c r="AAI13" s="827"/>
      <c r="AAJ13" s="829"/>
      <c r="AAK13" s="842" t="str">
        <f>IF(ISERROR(AAE73),"",CONCATENATE(AAC73,". ",AAJ73," ",IFERROR(CONCATENATE(AAI77,",",AAI78),""),IF(ISERROR(CONCATENATE(AAI77,",",AAI78)),"","₽")))</f>
        <v/>
      </c>
      <c r="AAL13" s="1090" t="str">
        <f>IF(DATES!O12="","",DATES!O12)</f>
        <v/>
      </c>
      <c r="AAM13" s="1066"/>
      <c r="AAN13" s="946" t="s">
        <v>8513</v>
      </c>
      <c r="AAO13" s="947"/>
      <c r="AAP13" s="920"/>
      <c r="AAQ13" s="920"/>
      <c r="AAR13" s="947"/>
      <c r="AAS13" s="947"/>
      <c r="AAT13" s="947"/>
      <c r="AAU13" s="979"/>
      <c r="AAV13" t="s">
        <v>8513</v>
      </c>
      <c r="AAW13" s="947" t="e">
        <f t="shared" si="9"/>
        <v>#VALUE!</v>
      </c>
      <c r="AAX13" s="5"/>
      <c r="AAY13" s="5"/>
      <c r="AAZ13" s="5"/>
      <c r="ABA13" s="1486"/>
      <c r="ABC13" s="1067"/>
      <c r="ABD13" s="935" t="s">
        <v>8513</v>
      </c>
      <c r="ABE13" s="937"/>
      <c r="ABF13" s="920"/>
      <c r="ABG13" s="920"/>
      <c r="ABH13" s="937"/>
      <c r="ABI13" s="937"/>
      <c r="ABJ13" s="937"/>
      <c r="ABK13" s="979"/>
      <c r="ABL13" t="s">
        <v>8513</v>
      </c>
      <c r="ABM13" s="854"/>
      <c r="ABN13" t="s">
        <v>8513</v>
      </c>
      <c r="ABO13" s="937"/>
      <c r="ABP13" s="5"/>
      <c r="ABQ13" s="1070"/>
      <c r="ABR13" t="s">
        <v>8513</v>
      </c>
      <c r="ABS13" s="937"/>
      <c r="ABT13" t="s">
        <v>8513</v>
      </c>
      <c r="ABU13" s="937"/>
      <c r="ABV13" s="5"/>
      <c r="ABW13" s="1073"/>
      <c r="ABX13" t="s">
        <v>8513</v>
      </c>
      <c r="ABY13" s="937"/>
      <c r="ABZ13" t="s">
        <v>8513</v>
      </c>
      <c r="ACA13" s="937"/>
      <c r="ACB13" s="5"/>
      <c r="ACC13" s="1064"/>
      <c r="ACD13" t="s">
        <v>8513</v>
      </c>
      <c r="ACE13" s="937"/>
      <c r="ACF13" s="5"/>
      <c r="ACG13" s="264"/>
      <c r="ACI13" s="937"/>
      <c r="ACJ13" s="264"/>
      <c r="ACK13" s="5"/>
      <c r="ACL13" s="5"/>
      <c r="ACM13" s="1075"/>
      <c r="ACN13" t="s">
        <v>8513</v>
      </c>
      <c r="ACO13" s="937"/>
      <c r="ACP13" s="5"/>
      <c r="ACQ13" s="264"/>
      <c r="ACS13" s="937"/>
      <c r="ACT13" s="264"/>
      <c r="ACU13" s="5"/>
      <c r="ACV13" s="5"/>
      <c r="ACW13" s="1075"/>
      <c r="ACX13" t="s">
        <v>8513</v>
      </c>
      <c r="ACY13" s="937"/>
      <c r="ACZ13" s="5"/>
      <c r="ADA13" s="264"/>
      <c r="ADC13" s="937"/>
      <c r="ADD13" s="264"/>
      <c r="ADE13" s="5"/>
      <c r="ADF13" s="5"/>
      <c r="ADG13" s="1075"/>
      <c r="ADH13" t="s">
        <v>8513</v>
      </c>
      <c r="ADI13" s="937"/>
      <c r="ADJ13" s="5"/>
      <c r="ADK13" s="264"/>
      <c r="ADM13" s="937"/>
      <c r="ADN13" s="264"/>
      <c r="ADO13" s="5"/>
      <c r="ADP13" s="5"/>
      <c r="ADQ13" s="1075"/>
      <c r="ADR13" s="1080" t="str">
        <f>IFERROR(ACM4,"")</f>
        <v/>
      </c>
      <c r="ADS13" s="1067"/>
      <c r="ADT13" s="946" t="s">
        <v>8513</v>
      </c>
      <c r="ADU13" s="947"/>
      <c r="ADV13" s="920"/>
      <c r="ADW13" s="920"/>
      <c r="ADX13" s="947"/>
      <c r="ADY13" s="947"/>
      <c r="ADZ13" s="947"/>
      <c r="AEA13" s="979"/>
      <c r="AEB13" s="946" t="s">
        <v>8513</v>
      </c>
      <c r="AEC13" s="947"/>
      <c r="AED13" s="920"/>
      <c r="AEE13" s="920"/>
      <c r="AEF13" s="947"/>
      <c r="AEG13" s="947"/>
      <c r="AEH13" s="947"/>
      <c r="AEI13" s="979"/>
      <c r="AEJ13" s="961"/>
      <c r="AEK13" s="961"/>
      <c r="AEL13" s="961"/>
      <c r="AEM13" t="s">
        <v>8513</v>
      </c>
      <c r="AEN13" s="947"/>
      <c r="AEO13" t="s">
        <v>8513</v>
      </c>
      <c r="AEP13" s="947"/>
      <c r="AEQ13" s="5"/>
      <c r="AER13" s="1070"/>
      <c r="AES13" t="s">
        <v>8513</v>
      </c>
      <c r="AET13" s="947"/>
      <c r="AEU13" t="s">
        <v>8513</v>
      </c>
      <c r="AEV13" s="947"/>
      <c r="AEW13" s="5"/>
      <c r="AEX13" s="1070"/>
      <c r="AEY13" t="s">
        <v>8513</v>
      </c>
      <c r="AEZ13" s="947"/>
      <c r="AFA13" s="1070"/>
      <c r="AFE13" s="1464"/>
      <c r="AFF13" s="826"/>
      <c r="AFG13" s="836"/>
      <c r="AFH13" s="306" t="str">
        <f>IF(AFI13=IFERROR(SEARCH(".",AFD$4,AFI12),99999),".",
IF(AFI13=IFERROR(SEARCH(",",AFD$4,AFI12),99999),",",
IF(AFI13=IFERROR(SEARCH(" за период",AFD$4,AFI12),999999)," за период",
IF(AFI13=IFERROR(SEARCH(" в размере",AFD$4,AFI12),99999)," в размере",
))))</f>
        <v xml:space="preserve"> в размере</v>
      </c>
      <c r="AFI13" s="306">
        <f>MIN(
IFERROR(SEARCH(".",AFD$4,AFI12),99999),
IFERROR(SEARCH(",",AFD$4,AFI12),99999),
IFERROR(SEARCH(" в размере",AFD$4,AFI12),99999))</f>
        <v>442</v>
      </c>
      <c r="AFJ13" s="306"/>
      <c r="AFK13" s="827"/>
      <c r="AFL13" s="829"/>
      <c r="AFM13" s="842" t="str">
        <f>IF(AFL73="","",CONCATENATE(AFE73,". ",AFL73," ",IFERROR(CONCATENATE(AFK77,",",AFK78),""),IF(ISERROR(CONCATENATE(AFK77,",",AFK78)),"","₽")))</f>
        <v/>
      </c>
      <c r="AFQ13" s="1464"/>
      <c r="AFR13" s="826"/>
      <c r="AFS13" s="836"/>
      <c r="AFT13" s="306" t="str">
        <f>IF(AFU13=IFERROR(SEARCH(".",AFP$4,AFU12),99999),".",
IF(AFU13=IFERROR(SEARCH(",",AFP$4,AFU12),99999),",",
IF(AFU13=IFERROR(SEARCH(" за период",AFP$4,AFU12),999999)," за период",
IF(AFU13=IFERROR(SEARCH(" в размере",AFP$4,AFU12),99999)," в размере",
))))</f>
        <v>.</v>
      </c>
      <c r="AFU13" s="306">
        <f>MIN(
IFERROR(SEARCH(".",AFP$4,AFU12),99999),
IFERROR(SEARCH(",",AFP$4,AFU12),99999),
IFERROR(SEARCH(" в размере",AFP$4,AFU12),99999))</f>
        <v>99999</v>
      </c>
      <c r="AFV13" s="306"/>
      <c r="AFW13" s="827"/>
      <c r="AFX13" s="829"/>
      <c r="AFY13" s="842" t="str">
        <f>IF(AFX73="","",CONCATENATE(AFQ73,". ",AFX73," ",IFERROR(CONCATENATE(AFW77,",",AFW78),""),IF(ISERROR(CONCATENATE(AFW77,",",AFW78)),"","₽")))</f>
        <v/>
      </c>
      <c r="AGC13" s="1464"/>
      <c r="AGD13" s="826"/>
      <c r="AGE13" s="836"/>
      <c r="AGF13" s="306" t="str">
        <f>IF(AGG13=IFERROR(SEARCH(".",AGB$4,AGG12),99999),".",
IF(AGG13=IFERROR(SEARCH(",",AGB$4,AGG12),99999),",",
IF(AGG13=IFERROR(SEARCH(" за период",AGB$4,AGG12),999999)," за период",
IF(AGG13=IFERROR(SEARCH(" в размере",AGB$4,AGG12),99999)," в размере",
))))</f>
        <v>.</v>
      </c>
      <c r="AGG13" s="306">
        <f>MIN(
IFERROR(SEARCH(".",AGB$4,AGG12),99999),
IFERROR(SEARCH(",",AGB$4,AGG12),99999),
IFERROR(SEARCH(" в размере",AGB$4,AGG12),99999))</f>
        <v>99999</v>
      </c>
      <c r="AGH13" s="306"/>
      <c r="AGI13" s="827"/>
      <c r="AGJ13" s="829"/>
      <c r="AGK13" s="842" t="str">
        <f>IF(AGJ73="","",CONCATENATE(AGC73,". ",AGJ73," ",IFERROR(CONCATENATE(AGI77,",",AGI78),""),IF(ISERROR(CONCATENATE(AGI77,",",AGI78)),"","₽")))</f>
        <v/>
      </c>
      <c r="AGO13" s="1464"/>
      <c r="AGP13" s="826"/>
      <c r="AGQ13" s="836"/>
      <c r="AGR13" s="306" t="str">
        <f>IF(AGS13=IFERROR(SEARCH(".",AGN$4,AGS12),99999),".",
IF(AGS13=IFERROR(SEARCH(",",AGN$4,AGS12),99999),",",
IF(AGS13=IFERROR(SEARCH(" за период",AGN$4,AGS12),999999)," за период",
IF(AGS13=IFERROR(SEARCH(" в размере",AGN$4,AGS12),99999)," в размере",
))))</f>
        <v>.</v>
      </c>
      <c r="AGS13" s="306">
        <f>MIN(
IFERROR(SEARCH(".",AGN$4,AGS12),99999),
IFERROR(SEARCH(",",AGN$4,AGS12),99999),
IFERROR(SEARCH(" в размере",AGN$4,AGS12),99999))</f>
        <v>99999</v>
      </c>
      <c r="AGT13" s="306"/>
      <c r="AGU13" s="827"/>
      <c r="AGV13" s="829"/>
      <c r="AGW13" s="842" t="str">
        <f>IF(AGV73="","",CONCATENATE(AGO73,". ",AGV73," ",IFERROR(CONCATENATE(AGU77,",",AGU78),""),IF(ISERROR(CONCATENATE(AGU77,",",AGU78)),"","₽")))</f>
        <v/>
      </c>
      <c r="AHA13" s="1464"/>
      <c r="AHB13" s="826"/>
      <c r="AHC13" s="836"/>
      <c r="AHD13" s="306" t="str">
        <f>IF(AHE13=IFERROR(SEARCH(".",AGZ$4,AHE12),99999),".",
IF(AHE13=IFERROR(SEARCH(",",AGZ$4,AHE12),99999),",",
IF(AHE13=IFERROR(SEARCH(" за период",AGZ$4,AHE12),999999)," за период",
IF(AHE13=IFERROR(SEARCH(" в размере",AGZ$4,AHE12),99999)," в размере",
))))</f>
        <v>.</v>
      </c>
      <c r="AHE13" s="306">
        <f>MIN(
IFERROR(SEARCH(".",AGZ$4,AHE12),99999),
IFERROR(SEARCH(",",AGZ$4,AHE12),99999),
IFERROR(SEARCH(" в размере",AGZ$4,AHE12),99999))</f>
        <v>99999</v>
      </c>
      <c r="AHF13" s="306"/>
      <c r="AHG13" s="827"/>
      <c r="AHH13" s="829"/>
      <c r="AHI13" s="842" t="str">
        <f>IF(AHH73="","",CONCATENATE(AHA73,". ",AHH73," ",IFERROR(CONCATENATE(AHG77,",",AHG78),""),IF(ISERROR(CONCATENATE(AHG77,",",AHG78)),"","₽")))</f>
        <v/>
      </c>
      <c r="AHJ13" s="1084"/>
      <c r="AHK13" s="768" t="s">
        <v>8513</v>
      </c>
      <c r="AHL13" s="116"/>
      <c r="AHM13" s="768" t="s">
        <v>8513</v>
      </c>
      <c r="AHT13" s="768" t="s">
        <v>8513</v>
      </c>
      <c r="AHU13" s="116"/>
      <c r="AHV13" s="768" t="s">
        <v>8513</v>
      </c>
      <c r="AHZ13" t="s">
        <v>8513</v>
      </c>
      <c r="AIB13" s="1187" t="e">
        <f t="shared" si="67"/>
        <v>#VALUE!</v>
      </c>
      <c r="AIF13" t="s">
        <v>8513</v>
      </c>
      <c r="AIJ13" t="s">
        <v>1486</v>
      </c>
      <c r="AIK13" t="s">
        <v>1486</v>
      </c>
      <c r="AIL13" s="1187" t="e">
        <f t="shared" si="68"/>
        <v>#VALUE!</v>
      </c>
      <c r="AIP13" t="s">
        <v>8513</v>
      </c>
      <c r="AIT13" t="s">
        <v>8513</v>
      </c>
      <c r="AIV13" s="1187" t="e">
        <f t="shared" si="102"/>
        <v>#VALUE!</v>
      </c>
      <c r="AJB13" t="s">
        <v>8513</v>
      </c>
      <c r="AJH13" t="s">
        <v>8513</v>
      </c>
      <c r="AJJ13" s="1187" t="e">
        <f t="shared" si="10"/>
        <v>#VALUE!</v>
      </c>
      <c r="AJN13" t="s">
        <v>8513</v>
      </c>
      <c r="AJR13" t="s">
        <v>8513</v>
      </c>
      <c r="AJT13" s="1245" t="e">
        <f t="shared" si="69"/>
        <v>#VALUE!</v>
      </c>
      <c r="AJX13" t="s">
        <v>8513</v>
      </c>
      <c r="AKA13" s="116"/>
      <c r="AKB13" s="1268" t="s">
        <v>10036</v>
      </c>
      <c r="AKC13" t="s">
        <v>9584</v>
      </c>
      <c r="AKD13" s="1187" t="e">
        <f t="shared" si="70"/>
        <v>#VALUE!</v>
      </c>
      <c r="AKH13" t="s">
        <v>8513</v>
      </c>
      <c r="AKK13" s="116"/>
      <c r="AKL13" t="s">
        <v>8513</v>
      </c>
      <c r="AKN13" s="1206" t="e">
        <f t="shared" si="71"/>
        <v>#VALUE!</v>
      </c>
      <c r="AKR13" t="s">
        <v>8513</v>
      </c>
      <c r="AKU13" s="116"/>
      <c r="AKV13" t="s">
        <v>8513</v>
      </c>
      <c r="AKX13" s="1187" t="e">
        <f t="shared" si="72"/>
        <v>#VALUE!</v>
      </c>
      <c r="ALB13" t="s">
        <v>8513</v>
      </c>
      <c r="ALE13" s="116"/>
      <c r="ALF13" t="s">
        <v>8513</v>
      </c>
      <c r="ALH13" s="1187" t="e">
        <f t="shared" si="73"/>
        <v>#VALUE!</v>
      </c>
      <c r="ALL13" t="s">
        <v>8513</v>
      </c>
      <c r="ALO13" s="116"/>
      <c r="ALP13" s="116"/>
      <c r="ALQ13" s="768" t="s">
        <v>8513</v>
      </c>
      <c r="ALR13" s="116"/>
      <c r="ALS13" s="768" t="s">
        <v>8513</v>
      </c>
      <c r="ALW13" t="s">
        <v>8513</v>
      </c>
      <c r="ALY13" s="1187" t="e">
        <f t="shared" si="74"/>
        <v>#VALUE!</v>
      </c>
      <c r="AMC13" t="s">
        <v>8513</v>
      </c>
      <c r="AMG13" t="str">
        <f t="shared" si="11"/>
        <v>Ставропольский край</v>
      </c>
      <c r="AMH13" t="str">
        <f t="shared" si="12"/>
        <v>Ставропольский край</v>
      </c>
      <c r="AMI13" s="1206" t="e">
        <f t="shared" si="75"/>
        <v>#VALUE!</v>
      </c>
      <c r="AMM13" t="s">
        <v>8513</v>
      </c>
      <c r="AMQ13" t="str">
        <f t="shared" si="13"/>
        <v>$$$$</v>
      </c>
      <c r="AMR13">
        <f t="shared" si="14"/>
        <v>0</v>
      </c>
      <c r="AMS13" s="1206" t="e">
        <f t="shared" si="76"/>
        <v>#VALUE!</v>
      </c>
      <c r="AMY13" t="s">
        <v>8513</v>
      </c>
      <c r="ANE13" t="str">
        <f t="shared" si="15"/>
        <v>$$$$</v>
      </c>
      <c r="ANF13">
        <f t="shared" si="16"/>
        <v>0</v>
      </c>
      <c r="ANG13" s="1206" t="e">
        <f t="shared" si="77"/>
        <v>#VALUE!</v>
      </c>
      <c r="ANK13" t="str">
        <f t="shared" si="17"/>
        <v>$$$$</v>
      </c>
      <c r="ANO13" t="str">
        <f t="shared" si="78"/>
        <v>$$$$</v>
      </c>
      <c r="ANP13">
        <f t="shared" si="79"/>
        <v>0</v>
      </c>
      <c r="ANQ13" s="1245" t="e">
        <f t="shared" si="80"/>
        <v>#VALUE!</v>
      </c>
      <c r="ANU13" t="str">
        <f t="shared" si="81"/>
        <v>$$$$</v>
      </c>
      <c r="ANX13" s="116"/>
      <c r="ANY13" t="str">
        <f t="shared" si="82"/>
        <v xml:space="preserve"> кт </v>
      </c>
      <c r="ANZ13" t="str">
        <f t="shared" si="83"/>
        <v xml:space="preserve">пр-кт </v>
      </c>
      <c r="AOA13" s="1206" t="e">
        <f t="shared" si="84"/>
        <v>#VALUE!</v>
      </c>
      <c r="AOE13" t="str">
        <f t="shared" si="85"/>
        <v>$$$$</v>
      </c>
      <c r="AOH13" s="116"/>
      <c r="AOI13" t="str">
        <f t="shared" si="86"/>
        <v>$$$$</v>
      </c>
      <c r="AOJ13">
        <f t="shared" si="87"/>
        <v>0</v>
      </c>
      <c r="AOK13" s="1206" t="e">
        <f t="shared" si="88"/>
        <v>#VALUE!</v>
      </c>
      <c r="AOO13" t="s">
        <v>8513</v>
      </c>
      <c r="AOR13" s="116"/>
      <c r="AOS13" t="str">
        <f t="shared" si="89"/>
        <v>$$$$</v>
      </c>
      <c r="AOT13">
        <f t="shared" si="90"/>
        <v>0</v>
      </c>
      <c r="AOU13" s="1245" t="e">
        <f t="shared" si="91"/>
        <v>#VALUE!</v>
      </c>
      <c r="AOY13" t="str">
        <f t="shared" si="92"/>
        <v>$$$$</v>
      </c>
      <c r="APB13" s="116"/>
      <c r="APC13" t="str">
        <f t="shared" si="93"/>
        <v>$$$$</v>
      </c>
      <c r="APD13">
        <f t="shared" si="94"/>
        <v>0</v>
      </c>
      <c r="APE13" s="1206" t="e">
        <f t="shared" si="95"/>
        <v>#VALUE!</v>
      </c>
      <c r="API13" t="s">
        <v>8513</v>
      </c>
      <c r="APL13" s="116"/>
      <c r="APM13" s="116"/>
      <c r="APN13" s="768" t="s">
        <v>8513</v>
      </c>
      <c r="APO13" s="116"/>
      <c r="APP13" s="768" t="s">
        <v>8513</v>
      </c>
    </row>
    <row r="14" spans="1:1114" ht="14.4" customHeight="1" x14ac:dyDescent="0.3">
      <c r="B14" s="116"/>
      <c r="C14" s="116"/>
      <c r="D14" s="116"/>
      <c r="E14" s="116"/>
      <c r="F14" s="116"/>
      <c r="G14" s="116"/>
      <c r="H14" s="116"/>
      <c r="I14" s="116"/>
      <c r="J14" s="116"/>
      <c r="K14" s="116"/>
      <c r="L14" s="116"/>
      <c r="M14" s="116"/>
      <c r="N14" s="116"/>
      <c r="O14" s="116"/>
      <c r="P14" s="116"/>
      <c r="Q14" s="116"/>
      <c r="R14" s="116"/>
      <c r="S14" s="116"/>
      <c r="T14" s="116"/>
      <c r="U14" s="116"/>
      <c r="V14" s="116"/>
      <c r="W14" s="116"/>
      <c r="X14" s="116"/>
      <c r="Y14" s="116"/>
      <c r="Z14" s="116"/>
      <c r="AA14" s="116"/>
      <c r="AB14" s="116"/>
      <c r="AC14" s="116"/>
      <c r="AD14" s="116"/>
      <c r="AE14" s="116"/>
      <c r="AF14" s="116"/>
      <c r="AG14" s="116"/>
      <c r="AH14" s="116"/>
      <c r="AI14" s="116"/>
      <c r="AJ14" s="116"/>
      <c r="AK14" s="116"/>
      <c r="AL14" s="116"/>
      <c r="AM14" s="116"/>
      <c r="AN14" s="116"/>
      <c r="AO14" s="116"/>
      <c r="AP14" s="116"/>
      <c r="AQ14" s="116"/>
      <c r="AR14" s="116"/>
      <c r="AS14" s="116"/>
      <c r="AT14" s="116"/>
      <c r="AU14" s="754"/>
      <c r="AV14" s="754"/>
      <c r="AW14" s="754"/>
      <c r="AX14" s="754"/>
      <c r="AY14" s="754"/>
      <c r="AZ14" s="754"/>
      <c r="BA14" s="754"/>
      <c r="BB14" s="754"/>
      <c r="DP14" s="1540"/>
      <c r="DQ14" s="1542"/>
      <c r="DR14" t="s">
        <v>1704</v>
      </c>
      <c r="DT14" t="s">
        <v>8258</v>
      </c>
      <c r="DU14" s="10" t="s">
        <v>456</v>
      </c>
      <c r="DV14" s="1464"/>
      <c r="DW14" s="830" t="s">
        <v>8249</v>
      </c>
      <c r="DX14" s="836" t="str">
        <f>IF(OR(DY13=" в размере",DY10=" в размере"),SEARCH(" в размере",$C$3,DZ10)+LEN(" в размере")+1,"НЕТ")</f>
        <v>НЕТ</v>
      </c>
      <c r="DY14" s="306" t="s">
        <v>8431</v>
      </c>
      <c r="DZ14" s="306" t="e">
        <f>SEARCH(DY14,$C$3,DX14)</f>
        <v>#VALUE!</v>
      </c>
      <c r="EA14" s="306" t="e">
        <f>DZ14-DX14</f>
        <v>#VALUE!</v>
      </c>
      <c r="EB14" s="826" t="e">
        <f>IF(EC10="Штраф 50%","",MID($C$3,DX14,EA14))</f>
        <v>#VALUE!</v>
      </c>
      <c r="EC14" s="954"/>
      <c r="ED14" s="957" t="str">
        <f>IF(ISERROR(DX80),"",CONCATENATE(DV80,". ",EC80," ",IFERROR(CONCATENATE(EB84,",",EB85),""),IF(ISERROR(CONCATENATE(EB84,",",EB85)),"","₽")))</f>
        <v/>
      </c>
      <c r="EV14" s="768" t="s">
        <v>8513</v>
      </c>
      <c r="EW14" s="116"/>
      <c r="EX14" s="116"/>
      <c r="EY14" s="116"/>
      <c r="EZ14" s="116"/>
      <c r="FA14" s="116"/>
      <c r="FB14" s="116"/>
      <c r="FC14" s="116"/>
      <c r="FD14" s="768" t="s">
        <v>8513</v>
      </c>
      <c r="FE14" s="116"/>
      <c r="FF14" s="116"/>
      <c r="FG14" s="116"/>
      <c r="FH14" s="768" t="s">
        <v>8513</v>
      </c>
      <c r="FI14" s="116"/>
      <c r="FJ14" s="116"/>
      <c r="FK14" s="116"/>
      <c r="FL14" s="116"/>
      <c r="FM14" s="116"/>
      <c r="FN14" s="768" t="s">
        <v>8513</v>
      </c>
      <c r="FO14" s="116"/>
      <c r="FP14" s="116"/>
      <c r="FQ14" s="116"/>
      <c r="FR14" s="116"/>
      <c r="FS14" s="116"/>
      <c r="FT14" s="116"/>
      <c r="FU14" s="866"/>
      <c r="FV14" s="866"/>
      <c r="FW14" s="866"/>
      <c r="FX14" s="866"/>
      <c r="GA14" s="116"/>
      <c r="GB14" s="116"/>
      <c r="GC14" s="116"/>
      <c r="GD14" s="116"/>
      <c r="GE14" s="116"/>
      <c r="GF14" s="116"/>
      <c r="GG14" s="116"/>
      <c r="GH14" s="116"/>
      <c r="GI14" s="116"/>
      <c r="GJ14" s="116"/>
      <c r="GK14" s="116"/>
      <c r="GL14" s="116"/>
      <c r="GM14" s="116"/>
      <c r="GN14" s="116"/>
      <c r="GO14" s="116"/>
      <c r="GP14" s="116"/>
      <c r="GQ14" s="116"/>
      <c r="GR14" s="116"/>
      <c r="GS14" s="116"/>
      <c r="GT14" s="116"/>
      <c r="GU14" s="116"/>
      <c r="GV14" s="116"/>
      <c r="GW14" s="116"/>
      <c r="GX14" s="116"/>
      <c r="GY14" s="116"/>
      <c r="GZ14" s="116"/>
      <c r="HA14" s="116"/>
      <c r="HB14" s="116"/>
      <c r="HC14" s="116"/>
      <c r="HD14" s="116"/>
      <c r="HE14" s="116"/>
      <c r="HG14" s="116"/>
      <c r="HH14" s="116"/>
      <c r="HI14" s="116"/>
      <c r="HK14" s="1543" t="s">
        <v>8615</v>
      </c>
      <c r="HL14" s="948" t="str">
        <f>IFERROR(GH9,"")</f>
        <v/>
      </c>
      <c r="HM14" s="866"/>
      <c r="HN14" s="866"/>
      <c r="HO14" s="866"/>
      <c r="HP14" s="866"/>
      <c r="HQ14" s="866"/>
      <c r="HR14" s="866"/>
      <c r="HS14" s="866"/>
      <c r="HU14" s="116"/>
      <c r="HV14" s="116"/>
      <c r="HW14" s="116"/>
      <c r="HX14" s="116"/>
      <c r="HZ14" s="116"/>
      <c r="IA14" s="116"/>
      <c r="IB14" s="116"/>
      <c r="IC14" s="116"/>
      <c r="IE14" s="116"/>
      <c r="IF14" s="116"/>
      <c r="IG14" s="116"/>
      <c r="IH14" s="116"/>
      <c r="II14" s="116"/>
      <c r="IJ14" s="116"/>
      <c r="IK14" s="116"/>
      <c r="IL14" s="116"/>
      <c r="IM14" s="116"/>
      <c r="IO14" s="116"/>
      <c r="IP14" s="116"/>
      <c r="IQ14" s="116"/>
      <c r="IR14" s="116"/>
      <c r="IS14" s="116"/>
      <c r="IT14" s="116"/>
      <c r="IU14" s="116"/>
      <c r="IW14" s="116"/>
      <c r="IX14" s="116"/>
      <c r="IY14" s="116"/>
      <c r="IZ14" s="116"/>
      <c r="JA14" s="116"/>
      <c r="JC14" s="116"/>
      <c r="JD14" s="116"/>
      <c r="JE14" s="116"/>
      <c r="JF14" s="116"/>
      <c r="JG14" s="116"/>
      <c r="JI14" s="116"/>
      <c r="JJ14" s="116"/>
      <c r="JK14" s="116"/>
      <c r="JL14" s="116"/>
      <c r="JM14" s="116"/>
      <c r="JO14" s="116"/>
      <c r="JP14" s="866"/>
      <c r="JQ14" s="866"/>
      <c r="JR14" s="866"/>
      <c r="JS14" s="866"/>
      <c r="JT14" s="116"/>
      <c r="JU14" s="116"/>
      <c r="JV14" s="866"/>
      <c r="JW14" s="866"/>
      <c r="JX14" s="866"/>
      <c r="JZ14" s="116"/>
      <c r="KA14" s="116"/>
      <c r="KC14" s="116"/>
      <c r="KD14" s="116"/>
      <c r="KE14" s="116"/>
      <c r="KF14" s="116"/>
      <c r="KJ14" s="866"/>
      <c r="KK14" s="866"/>
      <c r="KN14" s="866"/>
      <c r="KO14" s="866"/>
      <c r="KW14" s="866"/>
      <c r="KX14" s="866"/>
      <c r="LE14" s="866"/>
      <c r="LF14" s="866"/>
      <c r="LN14" s="866"/>
      <c r="LO14" s="866"/>
      <c r="LT14" s="866"/>
      <c r="LU14" s="866"/>
      <c r="LY14" s="866" t="str">
        <f>CONCATENATE(" представитель Заявителя ",$MA$3,$CU$3," с заявлением о ",$LZ$3)</f>
        <v xml:space="preserve"> представитель Заявителя обратился в АО СК «БАСК» с заявлением о страховом возмещении по Договору ОСАГО</v>
      </c>
      <c r="LZ14" s="866"/>
      <c r="MA14" s="866"/>
      <c r="MB14" s="1025"/>
      <c r="MC14" s="116"/>
      <c r="MD14" s="116"/>
      <c r="ME14" s="866"/>
      <c r="MF14" s="866"/>
      <c r="MG14" s="866"/>
      <c r="MI14" s="1186" t="s">
        <v>8513</v>
      </c>
      <c r="MJ14" s="1187"/>
      <c r="ML14" s="866"/>
      <c r="MM14" s="866"/>
      <c r="MN14" s="866"/>
      <c r="MP14" s="866"/>
      <c r="MQ14" s="866"/>
      <c r="MR14" s="866"/>
      <c r="MT14" s="866"/>
      <c r="MU14" s="866"/>
      <c r="MX14" s="1472"/>
      <c r="MY14" s="988" t="s">
        <v>8513</v>
      </c>
      <c r="MZ14" s="984" t="e">
        <f t="shared" si="3"/>
        <v>#VALUE!</v>
      </c>
      <c r="NA14" s="984"/>
      <c r="NB14" s="920"/>
      <c r="NC14" s="920"/>
      <c r="ND14" s="984"/>
      <c r="NE14" s="984"/>
      <c r="NF14" s="984"/>
      <c r="NG14" s="1474"/>
      <c r="NK14" s="1464"/>
      <c r="NL14" s="830" t="s">
        <v>8249</v>
      </c>
      <c r="NM14" s="836" t="e">
        <f>SEARCH(" в размере",NJ$4,NO10)+LEN(" в размере")+1</f>
        <v>#VALUE!</v>
      </c>
      <c r="NN14" s="306" t="s">
        <v>8431</v>
      </c>
      <c r="NO14" s="306" t="e">
        <f>SEARCH(NN14,NJ$4,NM14)</f>
        <v>#VALUE!</v>
      </c>
      <c r="NP14" s="306" t="e">
        <f>NO14-NM14</f>
        <v>#VALUE!</v>
      </c>
      <c r="NQ14" s="826" t="e">
        <f>IF(NR10="Штраф 50%","",MID(NJ$4,NM14,NP14))</f>
        <v>#VALUE!</v>
      </c>
      <c r="NR14" s="829"/>
      <c r="NS14" s="845" t="str">
        <f>IF(NR80="","",CONCATENATE(NK80,". ",NR80," ",IFERROR(CONCATENATE(NQ84,",",NQ85),""),IF(ISERROR(CONCATENATE(NQ84,",",NQ85)),"","₽")))</f>
        <v/>
      </c>
      <c r="NT14" s="1105" t="str">
        <f t="shared" si="4"/>
        <v/>
      </c>
      <c r="NU14" s="993" t="s">
        <v>8513</v>
      </c>
      <c r="NV14" s="994"/>
      <c r="NW14" s="920"/>
      <c r="NX14" s="920"/>
      <c r="NY14" s="994"/>
      <c r="NZ14" s="994"/>
      <c r="OA14" s="994"/>
      <c r="OB14" s="1535"/>
      <c r="OC14" s="1472"/>
      <c r="OD14" s="946" t="s">
        <v>8513</v>
      </c>
      <c r="OE14" s="947" t="e">
        <f t="shared" si="5"/>
        <v>#VALUE!</v>
      </c>
      <c r="OF14" s="947"/>
      <c r="OG14" s="920"/>
      <c r="OH14" s="920"/>
      <c r="OI14" s="947"/>
      <c r="OJ14" s="947"/>
      <c r="OK14" s="947"/>
      <c r="OL14" s="1474"/>
      <c r="OM14" s="869"/>
      <c r="ON14" s="817"/>
      <c r="OO14" s="943"/>
      <c r="OP14" s="1069"/>
      <c r="OQ14" s="935" t="s">
        <v>8513</v>
      </c>
      <c r="OR14" s="937"/>
      <c r="OS14" s="920"/>
      <c r="OT14" s="920"/>
      <c r="OU14" s="937"/>
      <c r="OV14" s="937"/>
      <c r="OW14" s="937"/>
      <c r="OX14" s="979"/>
      <c r="OY14" t="s">
        <v>8513</v>
      </c>
      <c r="OZ14" s="937"/>
      <c r="PA14" t="s">
        <v>8513</v>
      </c>
      <c r="PB14" s="937"/>
      <c r="PD14" s="1070"/>
      <c r="PE14" t="s">
        <v>8513</v>
      </c>
      <c r="PF14" s="1209"/>
      <c r="PG14" t="s">
        <v>8513</v>
      </c>
      <c r="PH14" s="937"/>
      <c r="PJ14" s="1073"/>
      <c r="PK14" t="s">
        <v>8513</v>
      </c>
      <c r="PL14" s="947"/>
      <c r="PM14" t="s">
        <v>8513</v>
      </c>
      <c r="PN14" s="937"/>
      <c r="PP14" s="1064"/>
      <c r="PQ14" t="s">
        <v>8513</v>
      </c>
      <c r="PR14" s="937" t="e">
        <f t="shared" si="22"/>
        <v>#VALUE!</v>
      </c>
      <c r="PS14" s="5"/>
      <c r="PV14" s="937"/>
      <c r="PY14" s="1470"/>
      <c r="PZ14" t="s">
        <v>8513</v>
      </c>
      <c r="QA14" s="937" t="e">
        <f t="shared" si="6"/>
        <v>#VALUE!</v>
      </c>
      <c r="QB14" s="5"/>
      <c r="QC14" s="264"/>
      <c r="QE14" s="937"/>
      <c r="QF14" s="264"/>
      <c r="QH14" s="1470"/>
      <c r="QI14" t="s">
        <v>8513</v>
      </c>
      <c r="QJ14" s="937" t="e">
        <f t="shared" si="7"/>
        <v>#VALUE!</v>
      </c>
      <c r="QK14" s="5"/>
      <c r="QL14" s="264"/>
      <c r="QN14" s="937"/>
      <c r="QO14" s="264"/>
      <c r="QQ14" s="1470"/>
      <c r="QR14" t="s">
        <v>8513</v>
      </c>
      <c r="QS14" s="937" t="e">
        <f t="shared" si="8"/>
        <v>#VALUE!</v>
      </c>
      <c r="QT14" s="5"/>
      <c r="QU14" s="264"/>
      <c r="QW14" s="937"/>
      <c r="QX14" s="264"/>
      <c r="QZ14" s="1470"/>
      <c r="RA14" s="1094" t="s">
        <v>601</v>
      </c>
      <c r="RB14" s="1097" t="str">
        <f>IFERROR(QH15,"")</f>
        <v/>
      </c>
      <c r="RC14" s="1069"/>
      <c r="RD14" s="1148" t="s">
        <v>8513</v>
      </c>
      <c r="RE14" s="1059"/>
      <c r="RF14" s="920"/>
      <c r="RG14" s="920"/>
      <c r="RH14" s="1059"/>
      <c r="RI14" s="1059"/>
      <c r="RJ14" s="1059"/>
      <c r="RK14" s="979"/>
      <c r="RL14" s="1055"/>
      <c r="RM14" s="1180" t="s">
        <v>8513</v>
      </c>
      <c r="RN14" s="1181"/>
      <c r="RO14" s="1061"/>
      <c r="RP14" t="s">
        <v>8513</v>
      </c>
      <c r="RQ14" s="854"/>
      <c r="RR14" t="s">
        <v>8513</v>
      </c>
      <c r="RS14" s="1059"/>
      <c r="RU14" s="1070"/>
      <c r="RV14" t="s">
        <v>8513</v>
      </c>
      <c r="RW14" s="854"/>
      <c r="RX14" t="s">
        <v>8513</v>
      </c>
      <c r="RY14" s="1059"/>
      <c r="SA14" s="1070"/>
      <c r="SB14" t="s">
        <v>8513</v>
      </c>
      <c r="SC14" s="854"/>
      <c r="SD14" t="s">
        <v>8513</v>
      </c>
      <c r="SE14" s="1059"/>
      <c r="SG14" s="1070"/>
      <c r="SH14" s="1070"/>
      <c r="SI14" s="1055"/>
      <c r="SJ14" s="927" t="s">
        <v>9463</v>
      </c>
      <c r="SK14" s="928"/>
      <c r="SL14" s="920"/>
      <c r="SM14" s="920"/>
      <c r="SN14" s="928"/>
      <c r="SO14" s="928"/>
      <c r="SP14" s="928"/>
      <c r="SQ14" s="979"/>
      <c r="SS14" s="1173" t="s">
        <v>8513</v>
      </c>
      <c r="ST14" s="1174"/>
      <c r="SV14" t="s">
        <v>8513</v>
      </c>
      <c r="SY14" s="1464"/>
      <c r="SZ14" s="830" t="s">
        <v>8249</v>
      </c>
      <c r="TA14" s="836" t="e">
        <f>IF(NOT(ISERROR(SEARCH("НДФЛ",SX$4))),MIN(SEARCH("в размере ",SX$4,TC10)+LEN("в размере "),SEARCH("исходя из суммы ",SX$4,TC10)+LEN("исходя из суммы ")),SEARCH(" в размере",SX$4,TC10)+LEN(" в размере")+1)</f>
        <v>#VALUE!</v>
      </c>
      <c r="TB14" s="306" t="s">
        <v>8431</v>
      </c>
      <c r="TC14" s="306" t="e">
        <f>SEARCH(TB14,$SQ$3,TA14)</f>
        <v>#VALUE!</v>
      </c>
      <c r="TD14" s="306" t="e">
        <f>TC14-TA14</f>
        <v>#VALUE!</v>
      </c>
      <c r="TE14" s="826" t="e">
        <f>IF(TF10="Штраф 50%","",MID($SQ$3,TA14,TD14))</f>
        <v>#VALUE!</v>
      </c>
      <c r="TF14" s="829"/>
      <c r="TG14" s="845" t="str">
        <f>IF(TF80="","",CONCATENATE(SY80,". ",TF80," ",IFERROR(CONCATENATE(TE84,",",TE85),""),IF(ISERROR(CONCATENATE(TE84,",",TE85)),"","₽")))</f>
        <v/>
      </c>
      <c r="TH14" t="s">
        <v>8731</v>
      </c>
      <c r="TI14" s="1013" t="e">
        <f>SEARCH(TH14,TJ4)</f>
        <v>#VALUE!</v>
      </c>
      <c r="TJ14" s="859" t="str">
        <f>IF(ISERROR(TI14),
IF(ISERROR(TI15),
IF(ISERROR(TI16),
"ОШИБКА",
TH16),
TH15),
TH14)</f>
        <v>ОШИБКА</v>
      </c>
      <c r="TK14" s="1476"/>
      <c r="TL14" s="1031" t="s">
        <v>8249</v>
      </c>
      <c r="TM14" s="836">
        <f>IFERROR(MIN(IFERROR(SEARCH(", ",TJ$4,TO9)+LEN(", "),99999),IFERROR(SEARCH("и ",TJ$4,TO9)+LEN("и "),99999)),"ОШИБКА")</f>
        <v>99999</v>
      </c>
      <c r="TN14" s="306" t="s">
        <v>8431</v>
      </c>
      <c r="TO14" s="306" t="e">
        <f>SEARCH(TN14,TJ$4,TM14)</f>
        <v>#VALUE!</v>
      </c>
      <c r="TP14" s="306" t="e">
        <f>TO14-TM14</f>
        <v>#VALUE!</v>
      </c>
      <c r="TQ14" s="826" t="e">
        <f>IF(TR13="Штраф 50%","",MID(TJ$4,TM14,TP14))</f>
        <v>#VALUE!</v>
      </c>
      <c r="TR14" s="828" t="str">
        <f>IF(TN13=" за период",TQ14,"")</f>
        <v/>
      </c>
      <c r="TS14" s="843" t="str">
        <f>IF(TR49="","",CONCATENATE(TK49,". ",TR49," ",IFERROR(CONCATENATE(TQ50,",",TQ51),""),IF(ISERROR(CONCATENATE(TQ50,",",TQ51)),"","₽")))</f>
        <v/>
      </c>
      <c r="TT14" t="str">
        <f t="shared" si="27"/>
        <v>$$$$</v>
      </c>
      <c r="TW14" s="1464"/>
      <c r="TX14" s="830" t="s">
        <v>8249</v>
      </c>
      <c r="TY14" s="836" t="e">
        <f>IF(NOT(ISERROR(SEARCH("НДФЛ",TV$4))),MIN(SEARCH("в размере ",TV$4,UA10)+LEN("в размере "),SEARCH("исходя из суммы ",TV$4,UA10)+LEN("исходя из суммы ")),SEARCH(" в размере",TV$4,UA10)+LEN(" в размере")+1)</f>
        <v>#VALUE!</v>
      </c>
      <c r="TZ14" s="306" t="s">
        <v>8431</v>
      </c>
      <c r="UA14" s="306" t="e">
        <f>SEARCH(TZ14,$SQ$4,TY14)</f>
        <v>#VALUE!</v>
      </c>
      <c r="UB14" s="306" t="e">
        <f>UA14-TY14</f>
        <v>#VALUE!</v>
      </c>
      <c r="UC14" s="826" t="e">
        <f>IF(UD10="Штраф 50%","",MID($SQ$4,TY14,UB14))</f>
        <v>#VALUE!</v>
      </c>
      <c r="UD14" s="829"/>
      <c r="UE14" s="845" t="str">
        <f>IF(UD80="","",CONCATENATE(TW80,". ",UD80," ",IFERROR(CONCATENATE(UC84,",",UC85),""),IF(ISERROR(CONCATENATE(UC84,",",UC85)),"","₽")))</f>
        <v/>
      </c>
      <c r="UF14" t="s">
        <v>8731</v>
      </c>
      <c r="UG14" s="1025" t="e">
        <f>SEARCH(UF14,UH4)</f>
        <v>#VALUE!</v>
      </c>
      <c r="UH14" s="859" t="str">
        <f>IF(ISERROR(UG14),
IF(ISERROR(UG15),
IF(ISERROR(UG16),
"ОШИБКА",
UF16),
UF15),
UF14)</f>
        <v>ОШИБКА</v>
      </c>
      <c r="UI14" s="1476"/>
      <c r="UJ14" s="1031" t="s">
        <v>8249</v>
      </c>
      <c r="UK14" s="836">
        <f>IFERROR(MIN(IFERROR(SEARCH(", ",UH$4,UM9)+LEN(", "),99999),IFERROR(SEARCH("и ",UH$4,UM9)+LEN("и "),99999)),"ОШИБКА")</f>
        <v>99999</v>
      </c>
      <c r="UL14" s="306" t="s">
        <v>8431</v>
      </c>
      <c r="UM14" s="306" t="e">
        <f>SEARCH(UL14,UH$4,UK14)</f>
        <v>#VALUE!</v>
      </c>
      <c r="UN14" s="306" t="e">
        <f>UM14-UK14</f>
        <v>#VALUE!</v>
      </c>
      <c r="UO14" s="826" t="e">
        <f>IF(UP13="Штраф 50%","",MID(UH$4,UK14,UN14))</f>
        <v>#VALUE!</v>
      </c>
      <c r="UP14" s="828" t="str">
        <f>IF(UL13=" за период",UO14,"")</f>
        <v/>
      </c>
      <c r="UQ14" s="843" t="str">
        <f>IF(UP49="","",CONCATENATE(UI49,". ",UP49," ",IFERROR(CONCATENATE(UO50,",",UO51),""),IF(ISERROR(CONCATENATE(UO50,",",UO51)),"","₽")))</f>
        <v/>
      </c>
      <c r="UU14" s="1464"/>
      <c r="UV14" s="830" t="s">
        <v>8249</v>
      </c>
      <c r="UW14" s="836" t="e">
        <f>IF(NOT(ISERROR(SEARCH("НДФЛ",UT$4))),MIN(SEARCH("в размере ",UT$4,UY10)+LEN("в размере "),SEARCH("исходя из суммы ",UT$4,UY10)+LEN("исходя из суммы ")),SEARCH(" в размере",UT$4,UY10)+LEN(" в размере")+1)</f>
        <v>#VALUE!</v>
      </c>
      <c r="UX14" s="306" t="s">
        <v>8431</v>
      </c>
      <c r="UY14" s="306" t="e">
        <f>SEARCH(UX14,$SQ$5,UW14)</f>
        <v>#VALUE!</v>
      </c>
      <c r="UZ14" s="306" t="e">
        <f>UY14-UW14</f>
        <v>#VALUE!</v>
      </c>
      <c r="VA14" s="826" t="e">
        <f>IF(VB10="Штраф 50%","",MID($SQ$5,UW14,UZ14))</f>
        <v>#VALUE!</v>
      </c>
      <c r="VB14" s="829"/>
      <c r="VC14" s="845" t="str">
        <f>IF(VB80="","",CONCATENATE(UU80,". ",VB80," ",IFERROR(CONCATENATE(VA84,",",VA85),""),IF(ISERROR(CONCATENATE(VA84,",",VA85)),"","₽")))</f>
        <v/>
      </c>
      <c r="VD14" t="s">
        <v>8731</v>
      </c>
      <c r="VE14" s="1025" t="e">
        <f>SEARCH(VD14,VF4)</f>
        <v>#VALUE!</v>
      </c>
      <c r="VF14" s="859" t="str">
        <f>IF(ISERROR(VE14),
IF(ISERROR(VE15),
IF(ISERROR(VE16),
"ОШИБКА",
VD16),
VD15),
VD14)</f>
        <v>ОШИБКА</v>
      </c>
      <c r="VG14" s="1476"/>
      <c r="VH14" s="1031" t="s">
        <v>8249</v>
      </c>
      <c r="VI14" s="836">
        <f>IFERROR(MIN(IFERROR(SEARCH(", ",VF$4,VK9)+LEN(", "),99999),IFERROR(SEARCH("и ",VF$4,VK9)+LEN("и "),99999)),"ОШИБКА")</f>
        <v>99999</v>
      </c>
      <c r="VJ14" s="306" t="s">
        <v>8431</v>
      </c>
      <c r="VK14" s="306" t="e">
        <f>SEARCH(VJ14,VF$4,VI14)</f>
        <v>#VALUE!</v>
      </c>
      <c r="VL14" s="306" t="e">
        <f>VK14-VI14</f>
        <v>#VALUE!</v>
      </c>
      <c r="VM14" s="826" t="e">
        <f>IF(VN13="Штраф 50%","",MID(VF$4,VI14,VL14))</f>
        <v>#VALUE!</v>
      </c>
      <c r="VN14" s="828" t="str">
        <f>IF(VJ13=" за период",VM14,"")</f>
        <v/>
      </c>
      <c r="VO14" s="843" t="str">
        <f>IF(VN49="","",CONCATENATE(VG49,". ",VN49," ",IFERROR(CONCATENATE(VM50,",",VM51),""),IF(ISERROR(CONCATENATE(VM50,",",VM51)),"","₽")))</f>
        <v/>
      </c>
      <c r="VS14" s="1464"/>
      <c r="VT14" s="830" t="s">
        <v>8249</v>
      </c>
      <c r="VU14" s="836" t="e">
        <f>IF(NOT(ISERROR(SEARCH("НДФЛ",VR$4))),MIN(SEARCH("в размере ",VR$4,VW10)+LEN("в размере "),SEARCH("исходя из суммы ",VR$4,VW10)+LEN("исходя из суммы ")),SEARCH(" в размере",VR$4,VW10)+LEN(" в размере")+1)</f>
        <v>#VALUE!</v>
      </c>
      <c r="VV14" s="306" t="s">
        <v>8431</v>
      </c>
      <c r="VW14" s="306" t="e">
        <f>SEARCH(VV14,$SQ$6,VU14)</f>
        <v>#VALUE!</v>
      </c>
      <c r="VX14" s="306" t="e">
        <f>VW14-VU14</f>
        <v>#VALUE!</v>
      </c>
      <c r="VY14" s="826" t="e">
        <f>IF(VZ10="Штраф 50%","",MID($SQ$6,VU14,VX14))</f>
        <v>#VALUE!</v>
      </c>
      <c r="VZ14" s="829"/>
      <c r="WA14" s="845" t="str">
        <f>IF(VZ80="","",CONCATENATE(VS80,". ",VZ80," ",IFERROR(CONCATENATE(VY84,",",VY85),""),IF(ISERROR(CONCATENATE(VY84,",",VY85)),"","₽")))</f>
        <v/>
      </c>
      <c r="WB14" t="s">
        <v>8731</v>
      </c>
      <c r="WC14" s="1025" t="e">
        <f>SEARCH(WB14,WD4)</f>
        <v>#VALUE!</v>
      </c>
      <c r="WD14" s="859" t="str">
        <f>IF(ISERROR(WC14),
IF(ISERROR(WC15),
IF(ISERROR(WC16),
"ОШИБКА",
WB16),
WB15),
WB14)</f>
        <v>ОШИБКА</v>
      </c>
      <c r="WE14" s="1476"/>
      <c r="WF14" s="1031" t="s">
        <v>8249</v>
      </c>
      <c r="WG14" s="836">
        <f>IFERROR(MIN(IFERROR(SEARCH(", ",WD$4,WI9)+LEN(", "),99999),IFERROR(SEARCH("и ",WD$4,WI9)+LEN("и "),99999)),"ОШИБКА")</f>
        <v>99999</v>
      </c>
      <c r="WH14" s="306" t="s">
        <v>8431</v>
      </c>
      <c r="WI14" s="306" t="e">
        <f>SEARCH(WH14,WD$4,WG14)</f>
        <v>#VALUE!</v>
      </c>
      <c r="WJ14" s="306" t="e">
        <f>WI14-WG14</f>
        <v>#VALUE!</v>
      </c>
      <c r="WK14" s="826" t="e">
        <f>IF(WL13="Штраф 50%","",MID(WD$4,WG14,WJ14))</f>
        <v>#VALUE!</v>
      </c>
      <c r="WL14" s="828" t="str">
        <f>IF(WH13=" за период",WK14,"")</f>
        <v/>
      </c>
      <c r="WM14" s="843" t="str">
        <f>IF(WL49="","",CONCATENATE(WE49,". ",WL49," ",IFERROR(CONCATENATE(WK50,",",WK51),""),IF(ISERROR(CONCATENATE(WK50,",",WK51)),"","₽")))</f>
        <v/>
      </c>
      <c r="WQ14" s="1464"/>
      <c r="WR14" s="830" t="s">
        <v>8249</v>
      </c>
      <c r="WS14" s="836" t="e">
        <f>IF(NOT(ISERROR(SEARCH("НДФЛ",WP$4))),MIN(SEARCH("в размере ",WP$4,WU10)+LEN("в размере "),SEARCH("исходя из суммы ",WP$4,WU10)+LEN("исходя из суммы ")),SEARCH(" в размере",WP$4,WU10)+LEN(" в размере")+1)</f>
        <v>#VALUE!</v>
      </c>
      <c r="WT14" s="306" t="s">
        <v>8431</v>
      </c>
      <c r="WU14" s="306" t="e">
        <f>SEARCH(WT14,$SQ$7,WS14)</f>
        <v>#VALUE!</v>
      </c>
      <c r="WV14" s="306" t="e">
        <f>WU14-WS14</f>
        <v>#VALUE!</v>
      </c>
      <c r="WW14" s="826" t="e">
        <f>IF(WX10="Штраф 50%","",MID($SQ$7,WS14,WV14))</f>
        <v>#VALUE!</v>
      </c>
      <c r="WX14" s="829"/>
      <c r="WY14" s="845" t="str">
        <f>IF(WX80="","",CONCATENATE(WQ80,". ",WX80," ",IFERROR(CONCATENATE(WW84,",",WW85),""),IF(ISERROR(CONCATENATE(WW84,",",WW85)),"","₽")))</f>
        <v/>
      </c>
      <c r="WZ14" t="s">
        <v>8731</v>
      </c>
      <c r="XA14" s="1025" t="e">
        <f>SEARCH(WZ14,XB4)</f>
        <v>#VALUE!</v>
      </c>
      <c r="XB14" s="859" t="str">
        <f>IF(ISERROR(XA14),
IF(ISERROR(XA15),
IF(ISERROR(XA16),
"ОШИБКА",
WZ16),
WZ15),
WZ14)</f>
        <v>ОШИБКА</v>
      </c>
      <c r="XC14" s="1476"/>
      <c r="XD14" s="1031" t="s">
        <v>8249</v>
      </c>
      <c r="XE14" s="836">
        <f>IFERROR(MIN(IFERROR(SEARCH(", ",XB$4,XG9)+LEN(", "),99999),IFERROR(SEARCH("и ",XB$4,XG9)+LEN("и "),99999)),"ОШИБКА")</f>
        <v>99999</v>
      </c>
      <c r="XF14" s="306" t="s">
        <v>8431</v>
      </c>
      <c r="XG14" s="306" t="e">
        <f>SEARCH(XF14,XB$4,XE14)</f>
        <v>#VALUE!</v>
      </c>
      <c r="XH14" s="306" t="e">
        <f>XG14-XE14</f>
        <v>#VALUE!</v>
      </c>
      <c r="XI14" s="826" t="e">
        <f>IF(XJ13="Штраф 50%","",MID(XB$4,XE14,XH14))</f>
        <v>#VALUE!</v>
      </c>
      <c r="XJ14" s="828" t="str">
        <f>IF(XF13=" за период",XI14,"")</f>
        <v/>
      </c>
      <c r="XK14" s="843" t="str">
        <f>IF(XJ49="","",CONCATENATE(XC49,". ",XJ49," ",IFERROR(CONCATENATE(XI50,",",XI51),""),IF(ISERROR(CONCATENATE(XI50,",",XI51)),"","₽")))</f>
        <v/>
      </c>
      <c r="XL14" s="1090" t="str">
        <f>IFERROR(CONCATENATE(DATES!C26," ",TEXT(VALUE(CONCATENATE(LEFT(DATES!E26,SEARCH(",",TEXT(DATES!E26,"0,00"))-1),",",RIGHT(TEXT(DATES!E26,"0,00"),2))),"0 000,00"),"₽"),"")</f>
        <v xml:space="preserve"> 0 000,00₽</v>
      </c>
      <c r="XM14" s="1064"/>
      <c r="XN14" s="1180" t="s">
        <v>9562</v>
      </c>
      <c r="XO14" s="852"/>
      <c r="XP14" s="920"/>
      <c r="XQ14" s="920"/>
      <c r="XR14" s="863"/>
      <c r="XS14" s="863"/>
      <c r="XT14" s="863"/>
      <c r="XU14" s="979"/>
      <c r="XW14" s="1180" t="s">
        <v>8513</v>
      </c>
      <c r="XX14" s="1181"/>
      <c r="XZ14" s="866"/>
      <c r="YA14" s="866"/>
      <c r="YB14" s="866"/>
      <c r="YG14" s="1464"/>
      <c r="YH14" s="830" t="s">
        <v>8249</v>
      </c>
      <c r="YI14" s="836" t="str">
        <f>IF(OR(YJ13=" в размере",YJ10=" в размере"),SEARCH(" в размере",$XU$3,YK10)+LEN(" в размере")+1,"НЕТ")</f>
        <v>НЕТ</v>
      </c>
      <c r="YJ14" s="306" t="s">
        <v>8431</v>
      </c>
      <c r="YK14" s="306" t="e">
        <f>SEARCH(YJ14,$XU$3,YI14)</f>
        <v>#VALUE!</v>
      </c>
      <c r="YL14" s="306" t="e">
        <f>YK14-YI14</f>
        <v>#VALUE!</v>
      </c>
      <c r="YM14" s="826" t="e">
        <f>IF(YN10="Штраф 50%","",MID($XU$3,YI14,YL14))</f>
        <v>#VALUE!</v>
      </c>
      <c r="YN14" s="829"/>
      <c r="YO14" s="845" t="str">
        <f>IF(ISERROR(YI80),"",CONCATENATE(YG80,". ",YN80," ",IFERROR(CONCATENATE(YM84,",",YM85),""),IF(ISERROR(CONCATENATE(YM84,",",YM85)),"","₽")))</f>
        <v/>
      </c>
      <c r="YS14" s="1464"/>
      <c r="YT14" s="830" t="s">
        <v>8249</v>
      </c>
      <c r="YU14" s="836" t="e">
        <f>SEARCH(" в размере",$XU$4,YW10)+LEN(" в размере")+1</f>
        <v>#VALUE!</v>
      </c>
      <c r="YV14" s="306" t="s">
        <v>8431</v>
      </c>
      <c r="YW14" s="306" t="e">
        <f>SEARCH(YV14,$XU$4,YU14)</f>
        <v>#VALUE!</v>
      </c>
      <c r="YX14" s="306" t="e">
        <f>YW14-YU14</f>
        <v>#VALUE!</v>
      </c>
      <c r="YY14" s="826" t="e">
        <f>IF(YZ10="Штраф 50%","",MID($XU$4,YU14,YX14))</f>
        <v>#VALUE!</v>
      </c>
      <c r="YZ14" s="829"/>
      <c r="ZA14" s="845" t="str">
        <f>IF(ISERROR(YU80),"",CONCATENATE(YS80,". ",YZ80," ",IFERROR(CONCATENATE(YY84,",",YY85),""),IF(ISERROR(CONCATENATE(YY84,",",YY85)),"","₽")))</f>
        <v/>
      </c>
      <c r="ZE14" s="1464"/>
      <c r="ZF14" s="830" t="s">
        <v>8249</v>
      </c>
      <c r="ZG14" s="836" t="e">
        <f>SEARCH(" в размере",$XU$5,ZI10)+LEN(" в размере")+1</f>
        <v>#VALUE!</v>
      </c>
      <c r="ZH14" s="306" t="s">
        <v>8431</v>
      </c>
      <c r="ZI14" s="306" t="e">
        <f>SEARCH(ZH14,$XU$5,ZG14)</f>
        <v>#VALUE!</v>
      </c>
      <c r="ZJ14" s="306" t="e">
        <f>ZI14-ZG14</f>
        <v>#VALUE!</v>
      </c>
      <c r="ZK14" s="826" t="e">
        <f>IF(ZL10="Штраф 50%","",MID($XU$5,ZG14,ZJ14))</f>
        <v>#VALUE!</v>
      </c>
      <c r="ZL14" s="829"/>
      <c r="ZM14" s="845" t="str">
        <f>IF(ISERROR(ZG80),"",CONCATENATE(ZE80,". ",ZL80," ",IFERROR(CONCATENATE(ZK84,",",ZK85),""),IF(ISERROR(CONCATENATE(ZK84,",",ZK85)),"","₽")))</f>
        <v/>
      </c>
      <c r="ZQ14" s="1464"/>
      <c r="ZR14" s="830" t="s">
        <v>8249</v>
      </c>
      <c r="ZS14" s="836" t="e">
        <f>SEARCH(" в размере",$XU$6,ZU10)+LEN(" в размере")+1</f>
        <v>#VALUE!</v>
      </c>
      <c r="ZT14" s="306" t="s">
        <v>8431</v>
      </c>
      <c r="ZU14" s="306" t="e">
        <f>SEARCH(ZT14,$XU$6,ZS14)</f>
        <v>#VALUE!</v>
      </c>
      <c r="ZV14" s="306" t="e">
        <f>ZU14-ZS14</f>
        <v>#VALUE!</v>
      </c>
      <c r="ZW14" s="826" t="e">
        <f>IF(ZX10="Штраф 50%","",MID($XU$6,ZS14,ZV14))</f>
        <v>#VALUE!</v>
      </c>
      <c r="ZX14" s="829"/>
      <c r="ZY14" s="845" t="str">
        <f>IF(ISERROR(ZS80),"",CONCATENATE(ZQ80,". ",ZX80," ",IFERROR(CONCATENATE(ZW84,",",ZW85),""),IF(ISERROR(CONCATENATE(ZW84,",",ZW85)),"","₽")))</f>
        <v/>
      </c>
      <c r="AAC14" s="1464"/>
      <c r="AAD14" s="830" t="s">
        <v>8249</v>
      </c>
      <c r="AAE14" s="836" t="e">
        <f>SEARCH(" в размере",$XU$7,AAG10)+LEN(" в размере")+1</f>
        <v>#VALUE!</v>
      </c>
      <c r="AAF14" s="306" t="s">
        <v>8431</v>
      </c>
      <c r="AAG14" s="306" t="e">
        <f>SEARCH(AAF14,$XU$7,AAE14)</f>
        <v>#VALUE!</v>
      </c>
      <c r="AAH14" s="306" t="e">
        <f>AAG14-AAE14</f>
        <v>#VALUE!</v>
      </c>
      <c r="AAI14" s="826" t="e">
        <f>IF(AAJ10="Штраф 50%","",MID($XU$7,AAE14,AAH14))</f>
        <v>#VALUE!</v>
      </c>
      <c r="AAJ14" s="829"/>
      <c r="AAK14" s="845" t="str">
        <f>IF(ISERROR(AAE80),"",CONCATENATE(AAC80,". ",AAJ80," ",IFERROR(CONCATENATE(AAI84,",",AAI85),""),IF(ISERROR(CONCATENATE(AAI84,",",AAI85)),"","₽")))</f>
        <v/>
      </c>
      <c r="AAL14" s="1090" t="str">
        <f>IF(DATES!O13="","",DATES!O13)</f>
        <v/>
      </c>
      <c r="AAM14" s="1066"/>
      <c r="AAN14" s="946" t="s">
        <v>8513</v>
      </c>
      <c r="AAO14" s="947"/>
      <c r="AAP14" s="920"/>
      <c r="AAQ14" s="920"/>
      <c r="AAR14" s="947"/>
      <c r="AAS14" s="947"/>
      <c r="AAT14" s="947"/>
      <c r="AAU14" s="979"/>
      <c r="AAV14" t="s">
        <v>8513</v>
      </c>
      <c r="AAW14" s="947" t="e">
        <f t="shared" si="9"/>
        <v>#VALUE!</v>
      </c>
      <c r="AAX14" s="5"/>
      <c r="AAY14" s="5"/>
      <c r="ABA14" s="1486"/>
      <c r="ABC14" s="1067"/>
      <c r="ABD14" s="935" t="s">
        <v>8513</v>
      </c>
      <c r="ABE14" s="937"/>
      <c r="ABF14" s="920"/>
      <c r="ABG14" s="920"/>
      <c r="ABH14" s="937"/>
      <c r="ABI14" s="937"/>
      <c r="ABJ14" s="937"/>
      <c r="ABK14" s="979"/>
      <c r="ABL14" t="s">
        <v>8513</v>
      </c>
      <c r="ABM14" s="854"/>
      <c r="ABN14" t="s">
        <v>8513</v>
      </c>
      <c r="ABO14" s="937"/>
      <c r="ABQ14" s="1070"/>
      <c r="ABR14" t="s">
        <v>8513</v>
      </c>
      <c r="ABS14" s="937"/>
      <c r="ABT14" t="s">
        <v>8513</v>
      </c>
      <c r="ABU14" s="937"/>
      <c r="ABW14" s="1073"/>
      <c r="ABX14" t="s">
        <v>8513</v>
      </c>
      <c r="ABY14" s="937"/>
      <c r="ABZ14" t="s">
        <v>8513</v>
      </c>
      <c r="ACA14" s="937"/>
      <c r="ACC14" s="1064"/>
      <c r="ACD14" t="s">
        <v>8513</v>
      </c>
      <c r="ACE14" s="937"/>
      <c r="ACF14" s="5"/>
      <c r="ACG14" s="264"/>
      <c r="ACI14" s="937"/>
      <c r="ACJ14" s="264"/>
      <c r="ACM14" s="1075"/>
      <c r="ACN14" t="s">
        <v>8513</v>
      </c>
      <c r="ACO14" s="937"/>
      <c r="ACP14" s="5"/>
      <c r="ACQ14" s="264"/>
      <c r="ACS14" s="937"/>
      <c r="ACT14" s="264"/>
      <c r="ACW14" s="1075"/>
      <c r="ACX14" t="s">
        <v>8513</v>
      </c>
      <c r="ACY14" s="937"/>
      <c r="ACZ14" s="5"/>
      <c r="ADA14" s="264"/>
      <c r="ADC14" s="937"/>
      <c r="ADD14" s="264"/>
      <c r="ADG14" s="1075"/>
      <c r="ADH14" t="s">
        <v>8513</v>
      </c>
      <c r="ADI14" s="937"/>
      <c r="ADJ14" s="5"/>
      <c r="ADK14" s="264"/>
      <c r="ADM14" s="937"/>
      <c r="ADN14" s="264"/>
      <c r="ADQ14" s="1075"/>
      <c r="ADR14" s="1080" t="str">
        <f>IFERROR(ACW4,"")</f>
        <v/>
      </c>
      <c r="ADS14" s="1067"/>
      <c r="ADT14" s="946" t="s">
        <v>8513</v>
      </c>
      <c r="ADU14" s="947"/>
      <c r="ADV14" s="920"/>
      <c r="ADW14" s="920"/>
      <c r="ADX14" s="947"/>
      <c r="ADY14" s="947"/>
      <c r="ADZ14" s="947"/>
      <c r="AEA14" s="979"/>
      <c r="AEB14" s="946" t="s">
        <v>8513</v>
      </c>
      <c r="AEC14" s="947"/>
      <c r="AED14" s="920"/>
      <c r="AEE14" s="920"/>
      <c r="AEF14" s="947"/>
      <c r="AEG14" s="947"/>
      <c r="AEH14" s="947"/>
      <c r="AEI14" s="979"/>
      <c r="AEJ14" s="961"/>
      <c r="AEK14" s="961"/>
      <c r="AEL14" s="961"/>
      <c r="AEM14" t="s">
        <v>8513</v>
      </c>
      <c r="AEN14" s="947"/>
      <c r="AEO14" t="s">
        <v>8513</v>
      </c>
      <c r="AEP14" s="947"/>
      <c r="AER14" s="1070"/>
      <c r="AES14" t="s">
        <v>8513</v>
      </c>
      <c r="AET14" s="947"/>
      <c r="AEU14" t="s">
        <v>8513</v>
      </c>
      <c r="AEV14" s="947"/>
      <c r="AEX14" s="1070"/>
      <c r="AEY14" t="s">
        <v>8513</v>
      </c>
      <c r="AEZ14" s="947"/>
      <c r="AFA14" s="1070"/>
      <c r="AFE14" s="1464"/>
      <c r="AFF14" s="830" t="s">
        <v>8249</v>
      </c>
      <c r="AFG14" s="836">
        <f>SEARCH(" в размере",AFD$4,AFI10)+LEN(" в размере")+1</f>
        <v>453</v>
      </c>
      <c r="AFH14" s="306" t="s">
        <v>8431</v>
      </c>
      <c r="AFI14" s="306">
        <f>SEARCH(AFH14,AFD$4,AFG14)</f>
        <v>460</v>
      </c>
      <c r="AFJ14" s="306">
        <f>AFI14-AFG14</f>
        <v>7</v>
      </c>
      <c r="AFK14" s="826" t="str">
        <f>IF(AFL10="Штраф 50%","",MID(AFD$4,AFG14,AFJ14))</f>
        <v>300 000</v>
      </c>
      <c r="AFL14" s="829"/>
      <c r="AFM14" s="845" t="str">
        <f>IF(AFL80="","",CONCATENATE(AFE80,". ",AFL80," ",IFERROR(CONCATENATE(AFK84,",",AFK85),""),IF(ISERROR(CONCATENATE(AFK84,",",AFK85)),"","₽")))</f>
        <v/>
      </c>
      <c r="AFQ14" s="1464"/>
      <c r="AFR14" s="830" t="s">
        <v>8249</v>
      </c>
      <c r="AFS14" s="836" t="e">
        <f>SEARCH(" в размере",AFP$4,AFU10)+LEN(" в размере")+1</f>
        <v>#VALUE!</v>
      </c>
      <c r="AFT14" s="306" t="s">
        <v>8431</v>
      </c>
      <c r="AFU14" s="306" t="e">
        <f>SEARCH(AFT14,AFP$4,AFS14)</f>
        <v>#VALUE!</v>
      </c>
      <c r="AFV14" s="306" t="e">
        <f>AFU14-AFS14</f>
        <v>#VALUE!</v>
      </c>
      <c r="AFW14" s="826" t="e">
        <f>IF(AFX10="Штраф 50%","",MID(AFP$4,AFS14,AFV14))</f>
        <v>#VALUE!</v>
      </c>
      <c r="AFX14" s="829"/>
      <c r="AFY14" s="845" t="str">
        <f>IF(AFX80="","",CONCATENATE(AFQ80,". ",AFX80," ",IFERROR(CONCATENATE(AFW84,",",AFW85),""),IF(ISERROR(CONCATENATE(AFW84,",",AFW85)),"","₽")))</f>
        <v/>
      </c>
      <c r="AGC14" s="1464"/>
      <c r="AGD14" s="830" t="s">
        <v>8249</v>
      </c>
      <c r="AGE14" s="836" t="e">
        <f>SEARCH(" в размере",AGB$4,AGG10)+LEN(" в размере")+1</f>
        <v>#VALUE!</v>
      </c>
      <c r="AGF14" s="306" t="s">
        <v>8431</v>
      </c>
      <c r="AGG14" s="306" t="e">
        <f>SEARCH(AGF14,AGB$4,AGE14)</f>
        <v>#VALUE!</v>
      </c>
      <c r="AGH14" s="306" t="e">
        <f>AGG14-AGE14</f>
        <v>#VALUE!</v>
      </c>
      <c r="AGI14" s="826" t="e">
        <f>IF(AGJ10="Штраф 50%","",MID(AGB$4,AGE14,AGH14))</f>
        <v>#VALUE!</v>
      </c>
      <c r="AGJ14" s="829"/>
      <c r="AGK14" s="845" t="str">
        <f>IF(AGJ80="","",CONCATENATE(AGC80,". ",AGJ80," ",IFERROR(CONCATENATE(AGI84,",",AGI85),""),IF(ISERROR(CONCATENATE(AGI84,",",AGI85)),"","₽")))</f>
        <v/>
      </c>
      <c r="AGO14" s="1464"/>
      <c r="AGP14" s="830" t="s">
        <v>8249</v>
      </c>
      <c r="AGQ14" s="836" t="e">
        <f>SEARCH(" в размере",AGN$4,AGS10)+LEN(" в размере")+1</f>
        <v>#VALUE!</v>
      </c>
      <c r="AGR14" s="306" t="s">
        <v>8431</v>
      </c>
      <c r="AGS14" s="306" t="e">
        <f>SEARCH(AGR14,AGN$4,AGQ14)</f>
        <v>#VALUE!</v>
      </c>
      <c r="AGT14" s="306" t="e">
        <f>AGS14-AGQ14</f>
        <v>#VALUE!</v>
      </c>
      <c r="AGU14" s="826" t="e">
        <f>IF(AGV10="Штраф 50%","",MID(AGN$4,AGQ14,AGT14))</f>
        <v>#VALUE!</v>
      </c>
      <c r="AGV14" s="829"/>
      <c r="AGW14" s="845" t="str">
        <f>IF(AGV80="","",CONCATENATE(AGO80,". ",AGV80," ",IFERROR(CONCATENATE(AGU84,",",AGU85),""),IF(ISERROR(CONCATENATE(AGU84,",",AGU85)),"","₽")))</f>
        <v/>
      </c>
      <c r="AHA14" s="1464"/>
      <c r="AHB14" s="830" t="s">
        <v>8249</v>
      </c>
      <c r="AHC14" s="836" t="e">
        <f>SEARCH(" в размере",AGZ$4,AHE10)+LEN(" в размере")+1</f>
        <v>#VALUE!</v>
      </c>
      <c r="AHD14" s="306" t="s">
        <v>8431</v>
      </c>
      <c r="AHE14" s="306" t="e">
        <f>SEARCH(AHD14,AGZ$4,AHC14)</f>
        <v>#VALUE!</v>
      </c>
      <c r="AHF14" s="306" t="e">
        <f>AHE14-AHC14</f>
        <v>#VALUE!</v>
      </c>
      <c r="AHG14" s="826" t="e">
        <f>IF(AHH10="Штраф 50%","",MID(AGZ$4,AHC14,AHF14))</f>
        <v>#VALUE!</v>
      </c>
      <c r="AHH14" s="829"/>
      <c r="AHI14" s="845" t="str">
        <f>IF(AHH80="","",CONCATENATE(AHA80,". ",AHH80," ",IFERROR(CONCATENATE(AHG84,",",AHG85),""),IF(ISERROR(CONCATENATE(AHG84,",",AHG85)),"","₽")))</f>
        <v/>
      </c>
      <c r="AHJ14" s="1084"/>
      <c r="AHK14" s="768" t="s">
        <v>8513</v>
      </c>
      <c r="AHL14" s="116"/>
      <c r="AHM14" s="768" t="s">
        <v>8513</v>
      </c>
      <c r="AHT14" s="768" t="s">
        <v>8513</v>
      </c>
      <c r="AHU14" s="116"/>
      <c r="AHV14" s="768" t="s">
        <v>8513</v>
      </c>
      <c r="AHZ14" t="s">
        <v>8513</v>
      </c>
      <c r="AIB14" s="1187" t="e">
        <f t="shared" si="67"/>
        <v>#VALUE!</v>
      </c>
      <c r="AIF14" t="s">
        <v>8513</v>
      </c>
      <c r="AIJ14" t="s">
        <v>9651</v>
      </c>
      <c r="AIK14" t="s">
        <v>9652</v>
      </c>
      <c r="AIL14" s="1187" t="e">
        <f t="shared" si="68"/>
        <v>#VALUE!</v>
      </c>
      <c r="AIP14" t="s">
        <v>8513</v>
      </c>
      <c r="AIT14" t="s">
        <v>8513</v>
      </c>
      <c r="AIV14" s="1187" t="e">
        <f t="shared" si="102"/>
        <v>#VALUE!</v>
      </c>
      <c r="AJB14" t="s">
        <v>8513</v>
      </c>
      <c r="AJH14" t="s">
        <v>8513</v>
      </c>
      <c r="AJJ14" s="1187" t="e">
        <f t="shared" si="10"/>
        <v>#VALUE!</v>
      </c>
      <c r="AJN14" t="s">
        <v>8513</v>
      </c>
      <c r="AJR14" t="s">
        <v>8513</v>
      </c>
      <c r="AJT14" s="1245" t="e">
        <f t="shared" si="69"/>
        <v>#VALUE!</v>
      </c>
      <c r="AJX14" t="s">
        <v>8513</v>
      </c>
      <c r="AKA14" s="116"/>
      <c r="AKB14" t="s">
        <v>10039</v>
      </c>
      <c r="AKC14" t="s">
        <v>10039</v>
      </c>
      <c r="AKD14" s="1187" t="e">
        <f t="shared" si="70"/>
        <v>#VALUE!</v>
      </c>
      <c r="AKH14" t="s">
        <v>8513</v>
      </c>
      <c r="AKK14" s="116"/>
      <c r="AKL14" t="s">
        <v>8513</v>
      </c>
      <c r="AKN14" s="1206" t="e">
        <f t="shared" si="71"/>
        <v>#VALUE!</v>
      </c>
      <c r="AKR14" t="s">
        <v>8513</v>
      </c>
      <c r="AKU14" s="116"/>
      <c r="AKV14" t="s">
        <v>8513</v>
      </c>
      <c r="AKX14" s="1187" t="e">
        <f t="shared" si="72"/>
        <v>#VALUE!</v>
      </c>
      <c r="ALB14" t="s">
        <v>8513</v>
      </c>
      <c r="ALE14" s="116"/>
      <c r="ALF14" t="s">
        <v>8513</v>
      </c>
      <c r="ALH14" s="1187" t="e">
        <f t="shared" si="73"/>
        <v>#VALUE!</v>
      </c>
      <c r="ALL14" t="s">
        <v>8513</v>
      </c>
      <c r="ALO14" s="116"/>
      <c r="ALP14" s="116"/>
      <c r="ALQ14" s="768" t="s">
        <v>8513</v>
      </c>
      <c r="ALR14" s="116"/>
      <c r="ALS14" s="768" t="s">
        <v>8513</v>
      </c>
      <c r="ALW14" t="s">
        <v>8513</v>
      </c>
      <c r="ALY14" s="1187" t="e">
        <f t="shared" si="74"/>
        <v>#VALUE!</v>
      </c>
      <c r="AMC14" t="s">
        <v>8513</v>
      </c>
      <c r="AMG14" t="str">
        <f t="shared" si="11"/>
        <v>Московская обл</v>
      </c>
      <c r="AMH14" t="str">
        <f t="shared" si="12"/>
        <v>Московская обл.</v>
      </c>
      <c r="AMI14" s="1206" t="e">
        <f t="shared" si="75"/>
        <v>#VALUE!</v>
      </c>
      <c r="AMM14" t="s">
        <v>8513</v>
      </c>
      <c r="AMQ14" t="str">
        <f t="shared" si="13"/>
        <v>$$$$</v>
      </c>
      <c r="AMR14">
        <f t="shared" si="14"/>
        <v>0</v>
      </c>
      <c r="AMS14" s="1206" t="e">
        <f t="shared" si="76"/>
        <v>#VALUE!</v>
      </c>
      <c r="AMY14" t="s">
        <v>8513</v>
      </c>
      <c r="ANE14" t="str">
        <f t="shared" si="15"/>
        <v>$$$$</v>
      </c>
      <c r="ANF14">
        <f t="shared" si="16"/>
        <v>0</v>
      </c>
      <c r="ANG14" s="1206" t="e">
        <f t="shared" si="77"/>
        <v>#VALUE!</v>
      </c>
      <c r="ANK14" t="str">
        <f t="shared" si="17"/>
        <v>$$$$</v>
      </c>
      <c r="ANO14" t="str">
        <f t="shared" si="78"/>
        <v>$$$$</v>
      </c>
      <c r="ANP14">
        <f t="shared" si="79"/>
        <v>0</v>
      </c>
      <c r="ANQ14" s="1245" t="e">
        <f t="shared" si="80"/>
        <v>#VALUE!</v>
      </c>
      <c r="ANU14" t="str">
        <f t="shared" si="81"/>
        <v>$$$$</v>
      </c>
      <c r="ANX14" s="116"/>
      <c r="ANY14" t="str">
        <f t="shared" si="82"/>
        <v xml:space="preserve">б-р </v>
      </c>
      <c r="ANZ14" t="str">
        <f t="shared" si="83"/>
        <v xml:space="preserve">б-р </v>
      </c>
      <c r="AOA14" s="1206" t="e">
        <f t="shared" si="84"/>
        <v>#VALUE!</v>
      </c>
      <c r="AOE14" t="str">
        <f t="shared" si="85"/>
        <v>$$$$</v>
      </c>
      <c r="AOH14" s="116"/>
      <c r="AOI14" t="str">
        <f t="shared" si="86"/>
        <v>$$$$</v>
      </c>
      <c r="AOJ14">
        <f t="shared" si="87"/>
        <v>0</v>
      </c>
      <c r="AOK14" s="1206" t="e">
        <f t="shared" si="88"/>
        <v>#VALUE!</v>
      </c>
      <c r="AOO14" t="s">
        <v>8513</v>
      </c>
      <c r="AOR14" s="116"/>
      <c r="AOS14" t="str">
        <f t="shared" si="89"/>
        <v>$$$$</v>
      </c>
      <c r="AOT14">
        <f t="shared" si="90"/>
        <v>0</v>
      </c>
      <c r="AOU14" s="1245" t="e">
        <f t="shared" si="91"/>
        <v>#VALUE!</v>
      </c>
      <c r="AOY14" t="str">
        <f t="shared" si="92"/>
        <v>$$$$</v>
      </c>
      <c r="APB14" s="116"/>
      <c r="APC14" t="str">
        <f t="shared" si="93"/>
        <v>$$$$</v>
      </c>
      <c r="APD14">
        <f t="shared" si="94"/>
        <v>0</v>
      </c>
      <c r="APE14" s="1206" t="e">
        <f t="shared" si="95"/>
        <v>#VALUE!</v>
      </c>
      <c r="API14" t="s">
        <v>8513</v>
      </c>
      <c r="APL14" s="116"/>
      <c r="APM14" s="116"/>
      <c r="APN14" s="768" t="s">
        <v>8513</v>
      </c>
      <c r="APO14" s="116"/>
      <c r="APP14" s="768" t="s">
        <v>8513</v>
      </c>
    </row>
    <row r="15" spans="1:1114" ht="14.4" customHeight="1" x14ac:dyDescent="0.3">
      <c r="B15" s="116"/>
      <c r="C15" s="116"/>
      <c r="D15" s="116"/>
      <c r="E15" s="116"/>
      <c r="F15" s="116"/>
      <c r="G15" s="116"/>
      <c r="H15" s="116"/>
      <c r="I15" s="116"/>
      <c r="J15" s="116"/>
      <c r="K15" s="116"/>
      <c r="L15" s="116"/>
      <c r="M15" s="116"/>
      <c r="N15" s="116"/>
      <c r="O15" s="116"/>
      <c r="P15" s="116"/>
      <c r="Q15" s="116"/>
      <c r="R15" s="116"/>
      <c r="S15" s="116"/>
      <c r="T15" s="116"/>
      <c r="U15" s="116"/>
      <c r="V15" s="116"/>
      <c r="W15" s="116"/>
      <c r="X15" s="116"/>
      <c r="Y15" s="116"/>
      <c r="Z15" s="116"/>
      <c r="AA15" s="116"/>
      <c r="AB15" s="116"/>
      <c r="AC15" s="116"/>
      <c r="AD15" s="116"/>
      <c r="AE15" s="116"/>
      <c r="AF15" s="116"/>
      <c r="AG15" s="116"/>
      <c r="AH15" s="116"/>
      <c r="AI15" s="116"/>
      <c r="AJ15" s="116"/>
      <c r="AK15" s="116"/>
      <c r="AL15" s="116"/>
      <c r="AM15" s="116"/>
      <c r="AN15" s="116"/>
      <c r="AO15" s="116"/>
      <c r="AP15" s="116"/>
      <c r="AQ15" s="116"/>
      <c r="AR15" s="116"/>
      <c r="AS15" s="116"/>
      <c r="AT15" s="116"/>
      <c r="AU15" s="754"/>
      <c r="AV15" s="754"/>
      <c r="AW15" s="754"/>
      <c r="AX15" s="754"/>
      <c r="AY15" s="754"/>
      <c r="AZ15" s="754"/>
      <c r="BA15" s="754"/>
      <c r="BB15" s="754"/>
      <c r="DP15" s="1539" t="s">
        <v>8419</v>
      </c>
      <c r="DQ15" s="1541" t="str">
        <f>DE3</f>
        <v>652600, Кемеровская область, г. Белово, пер. Цинкзаводской, д. 8 А</v>
      </c>
      <c r="DR15" s="10" t="s">
        <v>8428</v>
      </c>
      <c r="DS15" s="10"/>
      <c r="DT15" t="s">
        <v>80</v>
      </c>
      <c r="DU15" s="10" t="s">
        <v>78</v>
      </c>
      <c r="DV15" s="1464"/>
      <c r="DW15" s="306"/>
      <c r="DX15" s="836" t="e">
        <f>SEARCH(" ",$C$3,DZ14+1)+1</f>
        <v>#VALUE!</v>
      </c>
      <c r="DY15" s="306" t="s">
        <v>8432</v>
      </c>
      <c r="DZ15" s="306" t="e">
        <f>SEARCH(DY15,$C$3,DX15)</f>
        <v>#VALUE!</v>
      </c>
      <c r="EA15" s="306" t="e">
        <f>DZ15-DX15</f>
        <v>#VALUE!</v>
      </c>
      <c r="EB15" s="826" t="e">
        <f>IF(EC10="Штраф 50%","",MID($C$3,DX15,EA15))</f>
        <v>#VALUE!</v>
      </c>
      <c r="EC15" s="954"/>
      <c r="ED15" s="957" t="str">
        <f>IF(ISERROR(DX87),"",CONCATENATE(DV87,". ",EC87," ",IFERROR(CONCATENATE(EB91,",",EB92),""),IF(ISERROR(CONCATENATE(EB91,",",EB92)),"","₽")))</f>
        <v/>
      </c>
      <c r="EV15" s="768"/>
      <c r="EW15" s="116"/>
      <c r="EX15" s="116"/>
      <c r="EY15" s="116"/>
      <c r="EZ15" s="116"/>
      <c r="FA15" s="116"/>
      <c r="FC15" s="116"/>
      <c r="FD15" s="116"/>
      <c r="FE15" s="116"/>
      <c r="FF15" s="116"/>
      <c r="FH15" s="768"/>
      <c r="FI15" s="116"/>
      <c r="FJ15" s="116"/>
      <c r="FK15" s="116"/>
      <c r="FL15" s="116"/>
      <c r="FM15" s="116"/>
      <c r="FN15" s="116"/>
      <c r="FO15" s="116"/>
      <c r="FP15" s="116"/>
      <c r="FQ15" s="116"/>
      <c r="FR15" s="116"/>
      <c r="FS15" s="116"/>
      <c r="HK15" s="1543"/>
      <c r="HL15" s="948" t="str">
        <f>IFERROR(GP9,"")</f>
        <v/>
      </c>
      <c r="JO15" s="866"/>
      <c r="JT15" s="116"/>
      <c r="JU15" s="116"/>
      <c r="LY15" s="866" t="str">
        <f>CONCATENATE(" представитель Заявителя ",$MA$4,$CU$3," с заявлением о ",$LZ$3)</f>
        <v xml:space="preserve"> представитель Заявителя обратилась в АО СК «БАСК» с заявлением о страховом возмещении по Договору ОСАГО</v>
      </c>
      <c r="MB15" s="1025"/>
      <c r="MC15" s="116"/>
      <c r="MD15" s="116"/>
      <c r="MI15" s="116"/>
      <c r="MJ15" s="116"/>
      <c r="MY15" s="116"/>
      <c r="MZ15" s="116"/>
      <c r="NA15" s="116"/>
      <c r="NB15" s="116"/>
      <c r="NC15" s="116"/>
      <c r="ND15" s="116"/>
      <c r="NE15" s="116"/>
      <c r="NF15" s="116"/>
      <c r="NK15" s="1464"/>
      <c r="NL15" s="306"/>
      <c r="NM15" s="836" t="e">
        <f>SEARCH(" ",NJ$4,NO14+1)+1</f>
        <v>#VALUE!</v>
      </c>
      <c r="NN15" s="306" t="s">
        <v>8432</v>
      </c>
      <c r="NO15" s="306" t="e">
        <f>SEARCH(NN15,NJ$4,NM15)</f>
        <v>#VALUE!</v>
      </c>
      <c r="NP15" s="306" t="e">
        <f>NO15-NM15</f>
        <v>#VALUE!</v>
      </c>
      <c r="NQ15" s="826" t="e">
        <f>IF(NR10="Штраф 50%","",MID(NJ$4,NM15,NP15))</f>
        <v>#VALUE!</v>
      </c>
      <c r="NR15" s="829"/>
      <c r="NS15" s="845" t="str">
        <f>IF(NR87="","",CONCATENATE(NK87,". ",NR87," ",IFERROR(CONCATENATE(NQ91,",",NQ92),""),IF(ISERROR(CONCATENATE(NQ91,",",NQ92)),"","₽")))</f>
        <v/>
      </c>
      <c r="NT15" s="1105" t="str">
        <f t="shared" si="4"/>
        <v/>
      </c>
      <c r="NU15" s="116"/>
      <c r="NV15" s="116"/>
      <c r="NW15" s="116"/>
      <c r="NX15" s="116"/>
      <c r="NY15" s="116"/>
      <c r="NZ15" s="116"/>
      <c r="OA15" s="116"/>
      <c r="OB15" s="1535"/>
      <c r="OC15" s="1472">
        <v>2</v>
      </c>
      <c r="OD15" s="946" t="str">
        <f t="shared" ref="OD15:OD62" si="131">OD3</f>
        <v xml:space="preserve">осмотр </v>
      </c>
      <c r="OE15" s="947" t="e">
        <f t="shared" ref="OE15:OE26" si="132">SEARCH(OD15,$E$4,OJ$3)</f>
        <v>#VALUE!</v>
      </c>
      <c r="OF15" s="947">
        <f>MIN(IFERROR(OE15,99999),IFERROR(OE16,99999),IFERROR(OE17,99999),IFERROR(OE18,99999),IFERROR(OE19,99999),IFERROR(OE20,99999),IFERROR(OE21,99999),IFERROR(OE22,99999),IFERROR(OE23,99999),IFERROR(OE24,99999),IFERROR(OE25,99999),IFERROR(OE26,99999))</f>
        <v>99999</v>
      </c>
      <c r="OG15" s="870" t="str">
        <f>CHAR(10)</f>
        <v xml:space="preserve">
</v>
      </c>
      <c r="OH15" s="334">
        <f>LEN(MID($E$4,1,OF15))-LEN(IF(ISERROR(FIND(" ",MID($E$4,1,OF15))),MID($E$4,1,OF15),RIGHT(MID($E$4,1,OF15),LEN(MID($E$4,1,OF15))-FIND("~",SUBSTITUTE(MID($E$4,1,OF15),OG15,"~",LEN(MID($E$4,1,OF15))-LEN(SUBSTITUTE(MID($E$4,1,OF15),OG15,"")))))))+1</f>
        <v>5367</v>
      </c>
      <c r="OI15" s="870" t="str">
        <f>CHAR(10)</f>
        <v xml:space="preserve">
</v>
      </c>
      <c r="OJ15" s="947" t="e">
        <f>SEARCH(OI15,$E$4,OH15)</f>
        <v>#VALUE!</v>
      </c>
      <c r="OK15" s="854" t="e">
        <f>OJ15-OH15</f>
        <v>#VALUE!</v>
      </c>
      <c r="OL15" s="1474" t="e">
        <f>CLEAN(MID($E$4,OH15,OK15))</f>
        <v>#VALUE!</v>
      </c>
      <c r="OM15" s="871"/>
      <c r="ON15" s="872"/>
      <c r="OO15" s="872"/>
      <c r="OQ15" s="116"/>
      <c r="OR15" s="116"/>
      <c r="OS15" s="116"/>
      <c r="OT15" s="116"/>
      <c r="OU15" s="116"/>
      <c r="OV15" s="116"/>
      <c r="OW15" s="116"/>
      <c r="OY15" s="116"/>
      <c r="OZ15" s="959"/>
      <c r="PA15" s="1210"/>
      <c r="PB15" s="959"/>
      <c r="PC15" s="116"/>
      <c r="PD15" s="1000"/>
      <c r="PF15" s="1209"/>
      <c r="PG15" s="1208"/>
      <c r="PH15" s="1209"/>
      <c r="PJ15" s="1073"/>
      <c r="PK15" s="99"/>
      <c r="PL15" s="920"/>
      <c r="PM15" s="995"/>
      <c r="PN15" s="920"/>
      <c r="PO15" s="99"/>
      <c r="PP15" s="871"/>
      <c r="PQ15" t="str">
        <f t="shared" ref="PQ15:PQ62" si="133">PQ3</f>
        <v xml:space="preserve">без учета износа составила </v>
      </c>
      <c r="PR15" s="937" t="e">
        <f t="shared" ref="PR15:PR26" si="134">SEARCH(PQ15,$OX$4)</f>
        <v>#VALUE!</v>
      </c>
      <c r="PS15" s="859" t="str">
        <f>IF(ISERROR(PR15),
IF(ISERROR(PR16),
IF(ISERROR(PR17),
IF(ISERROR(PR18),
"ОШИБКА",
PQ18),
PQ17),
PQ16),
PQ15)</f>
        <v>ОШИБКА</v>
      </c>
      <c r="PT15" s="937" t="e">
        <f>SEARCH(PS15,$OX$4)+LEN(PS15)</f>
        <v>#VALUE!</v>
      </c>
      <c r="PU15" s="935" t="s">
        <v>8431</v>
      </c>
      <c r="PV15" s="937" t="e">
        <f>SEARCH(PU15,$OX$4,PT15)</f>
        <v>#VALUE!</v>
      </c>
      <c r="PW15" s="264" t="e">
        <f>PV15-PT15</f>
        <v>#VALUE!</v>
      </c>
      <c r="PX15" t="e">
        <f>MID($OX$4,PT15,PW15)</f>
        <v>#VALUE!</v>
      </c>
      <c r="PY15" s="1470" t="e">
        <f>VALUE(CONCATENATE(PX15,",",PX16))</f>
        <v>#VALUE!</v>
      </c>
      <c r="PZ15" t="str">
        <f t="shared" ref="PZ15:PZ62" si="135">PZ3</f>
        <v xml:space="preserve">с учетом износа составила </v>
      </c>
      <c r="QA15" s="937" t="e">
        <f t="shared" ref="QA15:QA26" si="136">SEARCH(PZ15,$OX$4)</f>
        <v>#VALUE!</v>
      </c>
      <c r="QB15" s="859" t="str">
        <f>IF(ISERROR(QA15),
IF(ISERROR(QA16),
IF(ISERROR(QA17),
IF(ISERROR(QA18),
"ОШИБКА",
PZ18),
PZ17),
PZ16),
PZ15)</f>
        <v>ОШИБКА</v>
      </c>
      <c r="QC15" s="937" t="e">
        <f>SEARCH(QB15,$OX$4)+LEN(QB15)</f>
        <v>#VALUE!</v>
      </c>
      <c r="QD15" s="935" t="s">
        <v>8431</v>
      </c>
      <c r="QE15" s="937" t="e">
        <f>SEARCH(QD15,$OX$4,QC15)</f>
        <v>#VALUE!</v>
      </c>
      <c r="QF15" s="264" t="e">
        <f>QE15-QC15</f>
        <v>#VALUE!</v>
      </c>
      <c r="QG15" t="e">
        <f>MID($OX$4,QC15,QF15)</f>
        <v>#VALUE!</v>
      </c>
      <c r="QH15" s="1470" t="e">
        <f>VALUE(CONCATENATE(QG15,",",QG16))</f>
        <v>#VALUE!</v>
      </c>
      <c r="QI15" t="str">
        <f t="shared" ref="QI15:QI62" si="137">QI3</f>
        <v xml:space="preserve">средняя рыночная стоимость Транспортного средства до повреждения по состоянию на дату ДТП составляла </v>
      </c>
      <c r="QJ15" s="937" t="e">
        <f t="shared" ref="QJ15:QJ26" si="138">SEARCH(QI15,$OX$4)</f>
        <v>#VALUE!</v>
      </c>
      <c r="QK15" s="859" t="str">
        <f>IF(ISERROR(QJ15),
IF(ISERROR(QJ16),
IF(ISERROR(QJ17),
IF(ISERROR(QJ18),
"ОШИБКА",
QI18),
QI17),
QI16),
QI15)</f>
        <v>ОШИБКА</v>
      </c>
      <c r="QL15" s="937" t="e">
        <f>SEARCH(QK15,$OX$4)+LEN(QK15)</f>
        <v>#VALUE!</v>
      </c>
      <c r="QM15" s="935" t="s">
        <v>8431</v>
      </c>
      <c r="QN15" s="937" t="e">
        <f>SEARCH(QM15,$OX$4,QL15)</f>
        <v>#VALUE!</v>
      </c>
      <c r="QO15" s="264" t="e">
        <f>QN15-QL15</f>
        <v>#VALUE!</v>
      </c>
      <c r="QP15" t="e">
        <f>MID($OX$4,QL15,QO15)</f>
        <v>#VALUE!</v>
      </c>
      <c r="QQ15" s="1470" t="e">
        <f>VALUE(CONCATENATE(QP15,",",QP16))</f>
        <v>#VALUE!</v>
      </c>
      <c r="QR15" t="str">
        <f t="shared" ref="QR15:QR62" si="139">QR3</f>
        <v xml:space="preserve">стоимость годных остатков поврежденного Транспортного средства составила </v>
      </c>
      <c r="QS15" s="937" t="e">
        <f t="shared" ref="QS15:QS26" si="140">SEARCH(QR15,$OX$4)</f>
        <v>#VALUE!</v>
      </c>
      <c r="QT15" s="859" t="str">
        <f>IF(ISERROR(QS15),
IF(ISERROR(QS16),
IF(ISERROR(QS17),
IF(ISERROR(QS18),
"ОШИБКА",
QR18),
QR17),
QR16),
QR15)</f>
        <v>ОШИБКА</v>
      </c>
      <c r="QU15" s="937" t="e">
        <f>SEARCH(QT15,$OX$4)+LEN(QT15)</f>
        <v>#VALUE!</v>
      </c>
      <c r="QV15" s="935" t="s">
        <v>8431</v>
      </c>
      <c r="QW15" s="937" t="e">
        <f>SEARCH(QV15,$OX$4,QU15)</f>
        <v>#VALUE!</v>
      </c>
      <c r="QX15" s="264" t="e">
        <f>QW15-QU15</f>
        <v>#VALUE!</v>
      </c>
      <c r="QY15" t="e">
        <f>MID($OX$4,QU15,QX15)</f>
        <v>#VALUE!</v>
      </c>
      <c r="QZ15" s="1470" t="e">
        <f>VALUE(CONCATENATE(QY15,",",QY16))</f>
        <v>#VALUE!</v>
      </c>
      <c r="RA15" s="1094" t="s">
        <v>602</v>
      </c>
      <c r="RB15" s="1097" t="str">
        <f>IFERROR(QQ15,"")</f>
        <v/>
      </c>
      <c r="RD15" s="1148"/>
      <c r="RE15" s="116"/>
      <c r="RF15" s="116"/>
      <c r="RG15" s="116"/>
      <c r="RH15" s="116"/>
      <c r="RI15" s="116"/>
      <c r="RJ15" s="116"/>
      <c r="RL15" s="871"/>
      <c r="RM15" s="116"/>
      <c r="RN15" s="116"/>
      <c r="RO15" s="872"/>
      <c r="SJ15" s="116" t="s">
        <v>9852</v>
      </c>
      <c r="SK15" s="116"/>
      <c r="SL15" s="116"/>
      <c r="SM15" s="116"/>
      <c r="SN15" s="116"/>
      <c r="SO15" s="116"/>
      <c r="SP15" s="116"/>
      <c r="SS15" s="116"/>
      <c r="ST15" s="116"/>
      <c r="SV15" t="s">
        <v>8513</v>
      </c>
      <c r="SY15" s="1464"/>
      <c r="SZ15" s="306"/>
      <c r="TA15" s="836" t="e">
        <f>SEARCH(" ",$SQ$3,TC14+1)+1</f>
        <v>#VALUE!</v>
      </c>
      <c r="TB15" s="306" t="s">
        <v>8432</v>
      </c>
      <c r="TC15" s="306" t="e">
        <f>SEARCH(TB15,$SQ$3,TA15)</f>
        <v>#VALUE!</v>
      </c>
      <c r="TD15" s="306" t="e">
        <f>TC15-TA15</f>
        <v>#VALUE!</v>
      </c>
      <c r="TE15" s="826" t="e">
        <f>IF(TF10="Штраф 50%","",MID($SQ$3,TA15,TD15))</f>
        <v>#VALUE!</v>
      </c>
      <c r="TF15" s="829"/>
      <c r="TG15" s="845" t="str">
        <f>IF(TF87="","",CONCATENATE(SY87,". ",TF87," ",IFERROR(CONCATENATE(TE91,",",TE92),""),IF(ISERROR(CONCATENATE(TE91,",",TE92)),"","₽")))</f>
        <v/>
      </c>
      <c r="TH15" s="1162" t="s">
        <v>9202</v>
      </c>
      <c r="TI15" s="1025" t="e">
        <f>SEARCH(TH15,TJ$4)</f>
        <v>#VALUE!</v>
      </c>
      <c r="TK15" s="1476"/>
      <c r="TL15" s="592"/>
      <c r="TM15" s="836" t="e">
        <f>SEARCH(" ",TJ$4,TO14+1)+1</f>
        <v>#VALUE!</v>
      </c>
      <c r="TN15" s="306" t="s">
        <v>8432</v>
      </c>
      <c r="TO15" s="306" t="e">
        <f>SEARCH(TN15,TJ$4,TM15)</f>
        <v>#VALUE!</v>
      </c>
      <c r="TP15" s="306" t="e">
        <f>TO15-TM15</f>
        <v>#VALUE!</v>
      </c>
      <c r="TQ15" s="826" t="e">
        <f>IF(TR13="Штраф 50%","",MID(TJ$4,TM15,TP15))</f>
        <v>#VALUE!</v>
      </c>
      <c r="TR15" s="828" t="str">
        <f>IF(TN13=" за период",TQ15,"")</f>
        <v/>
      </c>
      <c r="TS15" s="843" t="str">
        <f>IF(TR53="","",CONCATENATE(TK53,". ",TR53," ",IFERROR(CONCATENATE(TQ54,",",TQ55),""),IF(ISERROR(CONCATENATE(TQ54,",",TQ55)),"","₽")))</f>
        <v/>
      </c>
      <c r="TT15" t="str">
        <f t="shared" si="27"/>
        <v>$$$$</v>
      </c>
      <c r="TW15" s="1464"/>
      <c r="TX15" s="306"/>
      <c r="TY15" s="836" t="e">
        <f>SEARCH(" ",$SQ$4,UA14+1)+1</f>
        <v>#VALUE!</v>
      </c>
      <c r="TZ15" s="306" t="s">
        <v>8432</v>
      </c>
      <c r="UA15" s="306" t="e">
        <f>SEARCH(TZ15,$SQ$4,TY15)</f>
        <v>#VALUE!</v>
      </c>
      <c r="UB15" s="306" t="e">
        <f>UA15-TY15</f>
        <v>#VALUE!</v>
      </c>
      <c r="UC15" s="826" t="e">
        <f>IF(UD10="Штраф 50%","",MID($SQ$4,TY15,UB15))</f>
        <v>#VALUE!</v>
      </c>
      <c r="UD15" s="829"/>
      <c r="UE15" s="845" t="str">
        <f>IF(UD87="","",CONCATENATE(TW87,". ",UD87," ",IFERROR(CONCATENATE(UC91,",",UC92),""),IF(ISERROR(CONCATENATE(UC91,",",UC92)),"","₽")))</f>
        <v/>
      </c>
      <c r="UF15" s="1162" t="s">
        <v>9202</v>
      </c>
      <c r="UG15" s="1025" t="e">
        <f>SEARCH(UF15,UH$4)</f>
        <v>#VALUE!</v>
      </c>
      <c r="UI15" s="1476"/>
      <c r="UJ15" s="592"/>
      <c r="UK15" s="836" t="e">
        <f>SEARCH(" ",UH$4,UM14+1)+1</f>
        <v>#VALUE!</v>
      </c>
      <c r="UL15" s="306" t="s">
        <v>8432</v>
      </c>
      <c r="UM15" s="306" t="e">
        <f>SEARCH(UL15,UH$4,UK15)</f>
        <v>#VALUE!</v>
      </c>
      <c r="UN15" s="306" t="e">
        <f>UM15-UK15</f>
        <v>#VALUE!</v>
      </c>
      <c r="UO15" s="826" t="e">
        <f>IF(UP13="Штраф 50%","",MID(UH$4,UK15,UN15))</f>
        <v>#VALUE!</v>
      </c>
      <c r="UP15" s="828" t="str">
        <f>IF(UL13=" за период",UO15,"")</f>
        <v/>
      </c>
      <c r="UQ15" s="843" t="str">
        <f>IF(UP53="","",CONCATENATE(UI53,". ",UP53," ",IFERROR(CONCATENATE(UO54,",",UO55),""),IF(ISERROR(CONCATENATE(UO54,",",UO55)),"","₽")))</f>
        <v/>
      </c>
      <c r="UU15" s="1464"/>
      <c r="UV15" s="306"/>
      <c r="UW15" s="836" t="e">
        <f>SEARCH(" ",$SQ$5,UY14+1)+1</f>
        <v>#VALUE!</v>
      </c>
      <c r="UX15" s="306" t="s">
        <v>8432</v>
      </c>
      <c r="UY15" s="306" t="e">
        <f>SEARCH(UX15,$SQ$5,UW15)</f>
        <v>#VALUE!</v>
      </c>
      <c r="UZ15" s="306" t="e">
        <f>UY15-UW15</f>
        <v>#VALUE!</v>
      </c>
      <c r="VA15" s="826" t="e">
        <f>IF(VB10="Штраф 50%","",MID($SQ$5,UW15,UZ15))</f>
        <v>#VALUE!</v>
      </c>
      <c r="VB15" s="829"/>
      <c r="VC15" s="845" t="str">
        <f>IF(VB87="","",CONCATENATE(UU87,". ",VB87," ",IFERROR(CONCATENATE(VA91,",",VA92),""),IF(ISERROR(CONCATENATE(VA91,",",VA92)),"","₽")))</f>
        <v/>
      </c>
      <c r="VD15" s="1162" t="s">
        <v>9202</v>
      </c>
      <c r="VE15" s="1025" t="e">
        <f>SEARCH(VD15,VF$4)</f>
        <v>#VALUE!</v>
      </c>
      <c r="VG15" s="1476"/>
      <c r="VH15" s="592"/>
      <c r="VI15" s="836" t="e">
        <f>SEARCH(" ",VF$4,VK14+1)+1</f>
        <v>#VALUE!</v>
      </c>
      <c r="VJ15" s="306" t="s">
        <v>8432</v>
      </c>
      <c r="VK15" s="306" t="e">
        <f>SEARCH(VJ15,VF$4,VI15)</f>
        <v>#VALUE!</v>
      </c>
      <c r="VL15" s="306" t="e">
        <f>VK15-VI15</f>
        <v>#VALUE!</v>
      </c>
      <c r="VM15" s="826" t="e">
        <f>IF(VN13="Штраф 50%","",MID(VF$4,VI15,VL15))</f>
        <v>#VALUE!</v>
      </c>
      <c r="VN15" s="828" t="str">
        <f>IF(VJ13=" за период",VM15,"")</f>
        <v/>
      </c>
      <c r="VO15" s="843" t="str">
        <f>IF(VN53="","",CONCATENATE(VG53,". ",VN53," ",IFERROR(CONCATENATE(VM54,",",VM55),""),IF(ISERROR(CONCATENATE(VM54,",",VM55)),"","₽")))</f>
        <v/>
      </c>
      <c r="VS15" s="1464"/>
      <c r="VT15" s="306"/>
      <c r="VU15" s="836" t="e">
        <f>SEARCH(" ",$SQ$6,VW14+1)+1</f>
        <v>#VALUE!</v>
      </c>
      <c r="VV15" s="306" t="s">
        <v>8432</v>
      </c>
      <c r="VW15" s="306" t="e">
        <f>SEARCH(VV15,$SQ$6,VU15)</f>
        <v>#VALUE!</v>
      </c>
      <c r="VX15" s="306" t="e">
        <f>VW15-VU15</f>
        <v>#VALUE!</v>
      </c>
      <c r="VY15" s="826" t="e">
        <f>IF(VZ10="Штраф 50%","",MID($SQ$6,VU15,VX15))</f>
        <v>#VALUE!</v>
      </c>
      <c r="VZ15" s="829"/>
      <c r="WA15" s="845" t="str">
        <f>IF(VZ87="","",CONCATENATE(VS87,". ",VZ87," ",IFERROR(CONCATENATE(VY91,",",VY92),""),IF(ISERROR(CONCATENATE(VY91,",",VY92)),"","₽")))</f>
        <v/>
      </c>
      <c r="WB15" s="1162" t="s">
        <v>9202</v>
      </c>
      <c r="WC15" s="1025" t="e">
        <f>SEARCH(WB15,WD$4)</f>
        <v>#VALUE!</v>
      </c>
      <c r="WE15" s="1476"/>
      <c r="WF15" s="592"/>
      <c r="WG15" s="836" t="e">
        <f>SEARCH(" ",WD$4,WI14+1)+1</f>
        <v>#VALUE!</v>
      </c>
      <c r="WH15" s="306" t="s">
        <v>8432</v>
      </c>
      <c r="WI15" s="306" t="e">
        <f>SEARCH(WH15,WD$4,WG15)</f>
        <v>#VALUE!</v>
      </c>
      <c r="WJ15" s="306" t="e">
        <f>WI15-WG15</f>
        <v>#VALUE!</v>
      </c>
      <c r="WK15" s="826" t="e">
        <f>IF(WL13="Штраф 50%","",MID(WD$4,WG15,WJ15))</f>
        <v>#VALUE!</v>
      </c>
      <c r="WL15" s="828" t="str">
        <f>IF(WH13=" за период",WK15,"")</f>
        <v/>
      </c>
      <c r="WM15" s="843" t="str">
        <f>IF(WL53="","",CONCATENATE(WE53,". ",WL53," ",IFERROR(CONCATENATE(WK54,",",WK55),""),IF(ISERROR(CONCATENATE(WK54,",",WK55)),"","₽")))</f>
        <v/>
      </c>
      <c r="WQ15" s="1464"/>
      <c r="WR15" s="306"/>
      <c r="WS15" s="836" t="e">
        <f>SEARCH(" ",$SQ$7,WU14+1)+1</f>
        <v>#VALUE!</v>
      </c>
      <c r="WT15" s="306" t="s">
        <v>8432</v>
      </c>
      <c r="WU15" s="306" t="e">
        <f>SEARCH(WT15,$SQ$7,WS15)</f>
        <v>#VALUE!</v>
      </c>
      <c r="WV15" s="306" t="e">
        <f>WU15-WS15</f>
        <v>#VALUE!</v>
      </c>
      <c r="WW15" s="826" t="e">
        <f>IF(WX10="Штраф 50%","",MID($SQ$7,WS15,WV15))</f>
        <v>#VALUE!</v>
      </c>
      <c r="WX15" s="829"/>
      <c r="WY15" s="845" t="str">
        <f>IF(WX87="","",CONCATENATE(WQ87,". ",WX87," ",IFERROR(CONCATENATE(WW91,",",WW92),""),IF(ISERROR(CONCATENATE(WW91,",",WW92)),"","₽")))</f>
        <v/>
      </c>
      <c r="WZ15" t="s">
        <v>8513</v>
      </c>
      <c r="XA15" s="1025" t="e">
        <f>SEARCH(WZ15,XB$4)</f>
        <v>#VALUE!</v>
      </c>
      <c r="XC15" s="1476"/>
      <c r="XD15" s="592"/>
      <c r="XE15" s="836" t="e">
        <f>SEARCH(" ",XB$4,XG14+1)+1</f>
        <v>#VALUE!</v>
      </c>
      <c r="XF15" s="306" t="s">
        <v>8432</v>
      </c>
      <c r="XG15" s="306" t="e">
        <f>SEARCH(XF15,XB$4,XE15)</f>
        <v>#VALUE!</v>
      </c>
      <c r="XH15" s="306" t="e">
        <f>XG15-XE15</f>
        <v>#VALUE!</v>
      </c>
      <c r="XI15" s="826" t="e">
        <f>IF(XJ13="Штраф 50%","",MID(XB$4,XE15,XH15))</f>
        <v>#VALUE!</v>
      </c>
      <c r="XJ15" s="828" t="str">
        <f>IF(XF13=" за период",XI15,"")</f>
        <v/>
      </c>
      <c r="XK15" s="843" t="str">
        <f>IF(XJ53="","",CONCATENATE(XC53,". ",XJ53," ",IFERROR(CONCATENATE(XI54,",",XI55),""),IF(ISERROR(CONCATENATE(XI54,",",XI55)),"","₽")))</f>
        <v/>
      </c>
      <c r="XL15" s="1090" t="str">
        <f>IFERROR(CONCATENATE(DATES!C27," ",TEXT(VALUE(CONCATENATE(LEFT(DATES!E27,SEARCH(",",TEXT(DATES!E27,"0,00"))-1),",",RIGHT(TEXT(DATES!E27,"0,00"),2))),"0 000,00"),"₽"),"")</f>
        <v xml:space="preserve"> 0 000,00₽</v>
      </c>
      <c r="XN15" s="1180" t="s">
        <v>704</v>
      </c>
      <c r="XP15" s="116"/>
      <c r="XQ15" s="116"/>
      <c r="XR15" s="936"/>
      <c r="XW15" s="116"/>
      <c r="XX15" s="116"/>
      <c r="YG15" s="1464"/>
      <c r="YH15" s="306"/>
      <c r="YI15" s="836" t="e">
        <f>SEARCH(" ",$XU$3,YK14+1)+1</f>
        <v>#VALUE!</v>
      </c>
      <c r="YJ15" s="306" t="s">
        <v>8432</v>
      </c>
      <c r="YK15" s="306" t="e">
        <f>SEARCH(YJ15,$XU$3,YI15)</f>
        <v>#VALUE!</v>
      </c>
      <c r="YL15" s="306" t="e">
        <f>YK15-YI15</f>
        <v>#VALUE!</v>
      </c>
      <c r="YM15" s="826" t="e">
        <f>IF(YN10="Штраф 50%","",MID($XU$3,YI15,YL15))</f>
        <v>#VALUE!</v>
      </c>
      <c r="YN15" s="829"/>
      <c r="YO15" s="845" t="str">
        <f>IF(ISERROR(YI87),"",CONCATENATE(YG87,". ",YN87," ",IFERROR(CONCATENATE(YM91,",",YM92),""),IF(ISERROR(CONCATENATE(YM91,",",YM92)),"","₽")))</f>
        <v/>
      </c>
      <c r="YS15" s="1464"/>
      <c r="YT15" s="306"/>
      <c r="YU15" s="836" t="e">
        <f>SEARCH(" ",$XU$4,YW14+1)+1</f>
        <v>#VALUE!</v>
      </c>
      <c r="YV15" s="306" t="s">
        <v>8432</v>
      </c>
      <c r="YW15" s="306" t="e">
        <f>SEARCH(YV15,$XU$4,YU15)</f>
        <v>#VALUE!</v>
      </c>
      <c r="YX15" s="306" t="e">
        <f>YW15-YU15</f>
        <v>#VALUE!</v>
      </c>
      <c r="YY15" s="826" t="e">
        <f>IF(YZ10="Штраф 50%","",MID($XU$4,YU15,YX15))</f>
        <v>#VALUE!</v>
      </c>
      <c r="YZ15" s="829"/>
      <c r="ZA15" s="845" t="str">
        <f>IF(ISERROR(YU87),"",CONCATENATE(YS87,". ",YZ87," ",IFERROR(CONCATENATE(YY91,",",YY92),""),IF(ISERROR(CONCATENATE(YY91,",",YY92)),"","₽")))</f>
        <v/>
      </c>
      <c r="ZE15" s="1464"/>
      <c r="ZF15" s="306"/>
      <c r="ZG15" s="836" t="e">
        <f>SEARCH(" ",$XU$5,ZI14+1)+1</f>
        <v>#VALUE!</v>
      </c>
      <c r="ZH15" s="306" t="s">
        <v>8432</v>
      </c>
      <c r="ZI15" s="306" t="e">
        <f>SEARCH(ZH15,$XU$5,ZG15)</f>
        <v>#VALUE!</v>
      </c>
      <c r="ZJ15" s="306" t="e">
        <f>ZI15-ZG15</f>
        <v>#VALUE!</v>
      </c>
      <c r="ZK15" s="826" t="e">
        <f>IF(ZL10="Штраф 50%","",MID($XU$5,ZG15,ZJ15))</f>
        <v>#VALUE!</v>
      </c>
      <c r="ZL15" s="829"/>
      <c r="ZM15" s="845" t="str">
        <f>IF(ISERROR(ZG87),"",CONCATENATE(ZE87,". ",ZL87," ",IFERROR(CONCATENATE(ZK91,",",ZK92),""),IF(ISERROR(CONCATENATE(ZK91,",",ZK92)),"","₽")))</f>
        <v/>
      </c>
      <c r="ZQ15" s="1464"/>
      <c r="ZR15" s="306"/>
      <c r="ZS15" s="836" t="e">
        <f>SEARCH(" ",$XU$6,ZU14+1)+1</f>
        <v>#VALUE!</v>
      </c>
      <c r="ZT15" s="306" t="s">
        <v>8432</v>
      </c>
      <c r="ZU15" s="306" t="e">
        <f>SEARCH(ZT15,$XU$6,ZS15)</f>
        <v>#VALUE!</v>
      </c>
      <c r="ZV15" s="306" t="e">
        <f>ZU15-ZS15</f>
        <v>#VALUE!</v>
      </c>
      <c r="ZW15" s="826" t="e">
        <f>IF(ZX10="Штраф 50%","",MID($XU$6,ZS15,ZV15))</f>
        <v>#VALUE!</v>
      </c>
      <c r="ZX15" s="829"/>
      <c r="ZY15" s="845" t="str">
        <f>IF(ISERROR(ZS87),"",CONCATENATE(ZQ87,". ",ZX87," ",IFERROR(CONCATENATE(ZW91,",",ZW92),""),IF(ISERROR(CONCATENATE(ZW91,",",ZW92)),"","₽")))</f>
        <v/>
      </c>
      <c r="AAC15" s="1464"/>
      <c r="AAD15" s="306"/>
      <c r="AAE15" s="836" t="e">
        <f>SEARCH(" ",$XU$7,AAG14+1)+1</f>
        <v>#VALUE!</v>
      </c>
      <c r="AAF15" s="306" t="s">
        <v>8432</v>
      </c>
      <c r="AAG15" s="306" t="e">
        <f>SEARCH(AAF15,$XU$7,AAE15)</f>
        <v>#VALUE!</v>
      </c>
      <c r="AAH15" s="306" t="e">
        <f>AAG15-AAE15</f>
        <v>#VALUE!</v>
      </c>
      <c r="AAI15" s="826" t="e">
        <f>IF(AAJ10="Штраф 50%","",MID($XU$7,AAE15,AAH15))</f>
        <v>#VALUE!</v>
      </c>
      <c r="AAJ15" s="829"/>
      <c r="AAK15" s="845" t="str">
        <f>IF(ISERROR(AAE87),"",CONCATENATE(AAC87,". ",AAJ87," ",IFERROR(CONCATENATE(AAI91,",",AAI92),""),IF(ISERROR(CONCATENATE(AAI91,",",AAI92)),"","₽")))</f>
        <v/>
      </c>
      <c r="AAL15" s="1090" t="str">
        <f>IF(DATES!O14="","",DATES!O14)</f>
        <v/>
      </c>
      <c r="AAM15" s="1066"/>
      <c r="AAN15" s="116"/>
      <c r="AAO15" s="116"/>
      <c r="AAP15" s="116"/>
      <c r="AAQ15" s="116"/>
      <c r="AAR15" s="116"/>
      <c r="AAS15" s="116"/>
      <c r="AAT15" s="116"/>
      <c r="AAV15" t="str">
        <f t="shared" ref="AAV15:AAV62" si="141">AAV3</f>
        <v xml:space="preserve">не позднее </v>
      </c>
      <c r="AAW15" s="947" t="e">
        <f t="shared" ref="AAW15:AAW26" si="142">SEARCH(AAV15,$AAU$4)</f>
        <v>#VALUE!</v>
      </c>
      <c r="AAX15" s="859" t="str">
        <f>IF(ISERROR(AAW15),
IF(ISERROR(AAW16),
IF(ISERROR(AAW17),
IF(ISERROR(AAW18),
"ОШИБКА",
AAV18),
AAV17),
AAV16),
AAV15)</f>
        <v>ОШИБКА</v>
      </c>
      <c r="AAY15" s="947" t="e">
        <f>SEARCH(AAX15,$AAU$4)+LEN(AAX15)</f>
        <v>#VALUE!</v>
      </c>
      <c r="AAZ15">
        <v>10</v>
      </c>
      <c r="ABA15" s="1487" t="e">
        <f>MID($AAU$4,AAY15,AAZ15)</f>
        <v>#VALUE!</v>
      </c>
      <c r="ABD15" s="116"/>
      <c r="ABE15" s="116"/>
      <c r="ABF15" s="116"/>
      <c r="ABG15" s="116"/>
      <c r="ABH15" s="116"/>
      <c r="ABI15" s="116"/>
      <c r="ABJ15" s="116"/>
      <c r="ACC15" s="431"/>
      <c r="ACM15" s="431"/>
      <c r="ACW15" s="431"/>
      <c r="ADR15" s="1080" t="str">
        <f>IFERROR(ADG4,"")</f>
        <v/>
      </c>
      <c r="ADT15" s="116"/>
      <c r="ADU15" s="116"/>
      <c r="ADV15" s="116"/>
      <c r="ADW15" s="116"/>
      <c r="ADX15" s="116"/>
      <c r="ADY15" s="116"/>
      <c r="ADZ15" s="116"/>
      <c r="AEB15" s="116"/>
      <c r="AEC15" s="116"/>
      <c r="AED15" s="116"/>
      <c r="AEE15" s="116"/>
      <c r="AEF15" s="116"/>
      <c r="AEG15" s="116"/>
      <c r="AEH15" s="116"/>
      <c r="AEJ15" s="961"/>
      <c r="AEK15" s="961"/>
      <c r="AEL15" s="961"/>
      <c r="AFE15" s="1464"/>
      <c r="AFF15" s="306"/>
      <c r="AFG15" s="836">
        <f>SEARCH(" ",AFD$4,AFI14+1)+1</f>
        <v>468</v>
      </c>
      <c r="AFH15" s="306" t="s">
        <v>8432</v>
      </c>
      <c r="AFI15" s="306">
        <f>SEARCH(AFH15,AFD$4,AFG15)</f>
        <v>470</v>
      </c>
      <c r="AFJ15" s="306">
        <f>AFI15-AFG15</f>
        <v>2</v>
      </c>
      <c r="AFK15" s="826" t="str">
        <f>IF(AFL10="Штраф 50%","",MID(AFD$4,AFG15,AFJ15))</f>
        <v>00</v>
      </c>
      <c r="AFL15" s="829"/>
      <c r="AFM15" s="845" t="str">
        <f>IF(AFL87="","",CONCATENATE(AFE87,". ",AFL87," ",IFERROR(CONCATENATE(AFK91,",",AFK92),""),IF(ISERROR(CONCATENATE(AFK91,",",AFK92)),"","₽")))</f>
        <v/>
      </c>
      <c r="AFQ15" s="1464"/>
      <c r="AFR15" s="306"/>
      <c r="AFS15" s="836" t="e">
        <f>SEARCH(" ",AFP$4,AFU14+1)+1</f>
        <v>#VALUE!</v>
      </c>
      <c r="AFT15" s="306" t="s">
        <v>8432</v>
      </c>
      <c r="AFU15" s="306" t="e">
        <f>SEARCH(AFT15,AFP$4,AFS15)</f>
        <v>#VALUE!</v>
      </c>
      <c r="AFV15" s="306" t="e">
        <f>AFU15-AFS15</f>
        <v>#VALUE!</v>
      </c>
      <c r="AFW15" s="826" t="e">
        <f>IF(AFX10="Штраф 50%","",MID(AFP$4,AFS15,AFV15))</f>
        <v>#VALUE!</v>
      </c>
      <c r="AFX15" s="829"/>
      <c r="AFY15" s="845" t="str">
        <f>IF(AFX87="","",CONCATENATE(AFQ87,". ",AFX87," ",IFERROR(CONCATENATE(AFW91,",",AFW92),""),IF(ISERROR(CONCATENATE(AFW91,",",AFW92)),"","₽")))</f>
        <v/>
      </c>
      <c r="AGC15" s="1464"/>
      <c r="AGD15" s="306"/>
      <c r="AGE15" s="836" t="e">
        <f>SEARCH(" ",AGB$4,AGG14+1)+1</f>
        <v>#VALUE!</v>
      </c>
      <c r="AGF15" s="306" t="s">
        <v>8432</v>
      </c>
      <c r="AGG15" s="306" t="e">
        <f>SEARCH(AGF15,AGB$4,AGE15)</f>
        <v>#VALUE!</v>
      </c>
      <c r="AGH15" s="306" t="e">
        <f>AGG15-AGE15</f>
        <v>#VALUE!</v>
      </c>
      <c r="AGI15" s="826" t="e">
        <f>IF(AGJ10="Штраф 50%","",MID(AGB$4,AGE15,AGH15))</f>
        <v>#VALUE!</v>
      </c>
      <c r="AGJ15" s="829"/>
      <c r="AGK15" s="845" t="str">
        <f>IF(AGJ87="","",CONCATENATE(AGC87,". ",AGJ87," ",IFERROR(CONCATENATE(AGI91,",",AGI92),""),IF(ISERROR(CONCATENATE(AGI91,",",AGI92)),"","₽")))</f>
        <v/>
      </c>
      <c r="AGO15" s="1464"/>
      <c r="AGP15" s="306"/>
      <c r="AGQ15" s="836" t="e">
        <f>SEARCH(" ",AGN$4,AGS14+1)+1</f>
        <v>#VALUE!</v>
      </c>
      <c r="AGR15" s="306" t="s">
        <v>8432</v>
      </c>
      <c r="AGS15" s="306" t="e">
        <f>SEARCH(AGR15,AGN$4,AGQ15)</f>
        <v>#VALUE!</v>
      </c>
      <c r="AGT15" s="306" t="e">
        <f>AGS15-AGQ15</f>
        <v>#VALUE!</v>
      </c>
      <c r="AGU15" s="826" t="e">
        <f>IF(AGV10="Штраф 50%","",MID(AGN$4,AGQ15,AGT15))</f>
        <v>#VALUE!</v>
      </c>
      <c r="AGV15" s="829"/>
      <c r="AGW15" s="845" t="str">
        <f>IF(AGV87="","",CONCATENATE(AGO87,". ",AGV87," ",IFERROR(CONCATENATE(AGU91,",",AGU92),""),IF(ISERROR(CONCATENATE(AGU91,",",AGU92)),"","₽")))</f>
        <v/>
      </c>
      <c r="AHA15" s="1464"/>
      <c r="AHB15" s="306"/>
      <c r="AHC15" s="836" t="e">
        <f>SEARCH(" ",AGZ$4,AHE14+1)+1</f>
        <v>#VALUE!</v>
      </c>
      <c r="AHD15" s="306" t="s">
        <v>8432</v>
      </c>
      <c r="AHE15" s="306" t="e">
        <f>SEARCH(AHD15,AGZ$4,AHC15)</f>
        <v>#VALUE!</v>
      </c>
      <c r="AHF15" s="306" t="e">
        <f>AHE15-AHC15</f>
        <v>#VALUE!</v>
      </c>
      <c r="AHG15" s="826" t="e">
        <f>IF(AHH10="Штраф 50%","",MID(AGZ$4,AHC15,AHF15))</f>
        <v>#VALUE!</v>
      </c>
      <c r="AHH15" s="829"/>
      <c r="AHI15" s="845" t="str">
        <f>IF(AHH87="","",CONCATENATE(AHA87,". ",AHH87," ",IFERROR(CONCATENATE(AHG91,",",AHG92),""),IF(ISERROR(CONCATENATE(AHG91,",",AHG92)),"","₽")))</f>
        <v/>
      </c>
      <c r="AHJ15" s="1084"/>
      <c r="AHK15" s="768"/>
      <c r="AHL15" s="116"/>
      <c r="AHT15" s="768"/>
      <c r="AHU15" s="116"/>
      <c r="AIJ15" t="s">
        <v>9804</v>
      </c>
      <c r="AIK15" t="s">
        <v>9805</v>
      </c>
      <c r="AIL15" s="1235" t="e">
        <f t="shared" si="68"/>
        <v>#VALUE!</v>
      </c>
      <c r="AKA15" s="116"/>
      <c r="AKB15" t="s">
        <v>10067</v>
      </c>
      <c r="AKC15" t="s">
        <v>10067</v>
      </c>
      <c r="AKD15" s="1270" t="e">
        <f t="shared" si="70"/>
        <v>#VALUE!</v>
      </c>
      <c r="AKK15" s="116"/>
      <c r="AKU15" s="116"/>
      <c r="ALE15" s="116"/>
      <c r="ALO15" s="116"/>
      <c r="ALP15" s="116"/>
      <c r="ALQ15" s="768"/>
      <c r="ALR15" s="116"/>
      <c r="AMG15" t="str">
        <f t="shared" ref="AMG15:AMG31" si="143">AIJ15</f>
        <v>Ивановская обл</v>
      </c>
      <c r="AMH15" t="str">
        <f t="shared" ref="AMH15:AMH31" si="144">AIK15</f>
        <v>Ивановская обл.</v>
      </c>
      <c r="AMI15" s="1235" t="e">
        <f t="shared" si="75"/>
        <v>#VALUE!</v>
      </c>
      <c r="ANX15" s="116"/>
      <c r="ANY15" t="str">
        <f t="shared" si="82"/>
        <v xml:space="preserve">шоссе </v>
      </c>
      <c r="ANZ15" t="str">
        <f t="shared" si="83"/>
        <v xml:space="preserve">шоссе </v>
      </c>
      <c r="AOA15" s="1270" t="e">
        <f t="shared" si="84"/>
        <v>#VALUE!</v>
      </c>
      <c r="AOH15" s="116"/>
      <c r="AOR15" s="116"/>
      <c r="APB15" s="116"/>
      <c r="APL15" s="116"/>
      <c r="APM15" s="116"/>
      <c r="APN15" s="768"/>
      <c r="APO15" s="116"/>
    </row>
    <row r="16" spans="1:1114" ht="14.4" customHeight="1" thickBot="1" x14ac:dyDescent="0.35">
      <c r="B16" s="116"/>
      <c r="C16" s="116"/>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6"/>
      <c r="AB16" s="116"/>
      <c r="AC16" s="116"/>
      <c r="AD16" s="116"/>
      <c r="AE16" s="116"/>
      <c r="AF16" s="116"/>
      <c r="AG16" s="116"/>
      <c r="AH16" s="116"/>
      <c r="AI16" s="116"/>
      <c r="AJ16" s="116"/>
      <c r="AK16" s="116"/>
      <c r="AL16" s="116"/>
      <c r="AM16" s="116"/>
      <c r="AN16" s="116"/>
      <c r="AO16" s="116"/>
      <c r="AP16" s="116"/>
      <c r="AQ16" s="116"/>
      <c r="AR16" s="116"/>
      <c r="AS16" s="116"/>
      <c r="AT16" s="116"/>
      <c r="AU16" s="754"/>
      <c r="AV16" s="754"/>
      <c r="AW16" s="754"/>
      <c r="AX16" s="754"/>
      <c r="AY16" s="754"/>
      <c r="AZ16" s="754"/>
      <c r="BA16" s="754"/>
      <c r="BB16" s="754"/>
      <c r="DP16" s="1540"/>
      <c r="DQ16" s="1542"/>
      <c r="DR16" t="s">
        <v>1702</v>
      </c>
      <c r="DT16" t="s">
        <v>83</v>
      </c>
      <c r="DU16" s="10" t="s">
        <v>1248</v>
      </c>
      <c r="DV16" s="1465"/>
      <c r="DW16" s="583"/>
      <c r="DX16" s="837"/>
      <c r="DY16" s="583"/>
      <c r="DZ16" s="583"/>
      <c r="EA16" s="583"/>
      <c r="EB16" s="831" t="e">
        <f>VALUE(CONCATENATE(EB14,",",EB15))</f>
        <v>#VALUE!</v>
      </c>
      <c r="EC16" s="955" t="str">
        <f>IF(EC10="Штраф 50%","",IF(OR(DY13=" в размере",DY10=" в размере"),EB16,""))</f>
        <v/>
      </c>
      <c r="ED16" s="957" t="str">
        <f>IF(ISERROR(DX94),"",CONCATENATE(DV94,". ",EC94," ",IFERROR(CONCATENATE(EB98,",",EB99),""),IF(ISERROR(CONCATENATE(EB98,",",EB99)),"","₽")))</f>
        <v/>
      </c>
      <c r="FC16" s="116"/>
      <c r="FD16" s="116"/>
      <c r="FE16" s="116"/>
      <c r="FF16" s="116"/>
      <c r="FI16" s="116"/>
      <c r="HK16" s="1543"/>
      <c r="HL16" s="948" t="str">
        <f>IFERROR(GX9,"")</f>
        <v/>
      </c>
      <c r="LY16" s="866" t="str">
        <f>CONCATENATE(" представитель Заявителя ",$MA$3,$CU$3," с заявлением о ",$LZ$4)</f>
        <v xml:space="preserve"> представитель Заявителя обратился в АО СК «БАСК» с заявлением о прямом возмещении убытков</v>
      </c>
      <c r="MB16" s="1025"/>
      <c r="MI16" s="116"/>
      <c r="MJ16" s="116"/>
      <c r="MY16" s="116"/>
      <c r="MZ16" s="116"/>
      <c r="NA16" s="116"/>
      <c r="NB16" s="116"/>
      <c r="NC16" s="116"/>
      <c r="ND16" s="116"/>
      <c r="NE16" s="116"/>
      <c r="NF16" s="116"/>
      <c r="NK16" s="1465"/>
      <c r="NL16" s="583"/>
      <c r="NM16" s="837"/>
      <c r="NN16" s="583"/>
      <c r="NO16" s="583"/>
      <c r="NP16" s="583"/>
      <c r="NQ16" s="831" t="e">
        <f>VALUE(CONCATENATE(NQ14,",",NQ15))</f>
        <v>#VALUE!</v>
      </c>
      <c r="NR16" s="832" t="str">
        <f>IF(NR10="Штраф 50%","",IF(OR(NN13=" в размере",NN10=" в размере"),NQ16,""))</f>
        <v/>
      </c>
      <c r="NS16" s="845" t="str">
        <f>IF(NR94="","",CONCATENATE(NK94,". ",NR94," ",IFERROR(CONCATENATE(NQ98,",",NQ99),""),IF(ISERROR(CONCATENATE(NQ98,",",NQ99)),"","₽")))</f>
        <v/>
      </c>
      <c r="NT16" s="1105" t="str">
        <f t="shared" si="4"/>
        <v/>
      </c>
      <c r="NU16" s="116"/>
      <c r="NV16" s="116"/>
      <c r="NW16" s="116"/>
      <c r="NX16" s="116"/>
      <c r="NY16" s="116"/>
      <c r="NZ16" s="116"/>
      <c r="OA16" s="116"/>
      <c r="OB16" s="1535"/>
      <c r="OC16" s="1472"/>
      <c r="OD16" s="946" t="str">
        <f t="shared" si="131"/>
        <v>$$$$</v>
      </c>
      <c r="OE16" s="947" t="e">
        <f t="shared" si="132"/>
        <v>#VALUE!</v>
      </c>
      <c r="OF16" s="947"/>
      <c r="OG16" s="920"/>
      <c r="OH16" s="920"/>
      <c r="OI16" s="947"/>
      <c r="OJ16" s="947"/>
      <c r="OK16" s="947"/>
      <c r="OL16" s="1474"/>
      <c r="OM16" s="99"/>
      <c r="ON16" s="872"/>
      <c r="OO16" s="872"/>
      <c r="OQ16" s="116"/>
      <c r="OR16" s="116"/>
      <c r="OS16" s="116"/>
      <c r="OT16" s="116"/>
      <c r="OU16" s="116"/>
      <c r="OV16" s="116"/>
      <c r="OW16" s="116"/>
      <c r="OY16" s="116"/>
      <c r="OZ16" s="959"/>
      <c r="PA16" s="1210"/>
      <c r="PB16" s="959"/>
      <c r="PC16" s="116"/>
      <c r="PD16" s="1000"/>
      <c r="PF16" s="1209"/>
      <c r="PG16" s="1208"/>
      <c r="PH16" s="1209"/>
      <c r="PJ16" s="1073"/>
      <c r="PK16" s="99"/>
      <c r="PL16" s="920"/>
      <c r="PM16" s="995"/>
      <c r="PN16" s="920"/>
      <c r="PO16" s="99"/>
      <c r="PP16" s="871"/>
      <c r="PQ16" t="str">
        <f t="shared" si="133"/>
        <v xml:space="preserve">без учета износа составляет </v>
      </c>
      <c r="PR16" s="937" t="e">
        <f t="shared" si="134"/>
        <v>#VALUE!</v>
      </c>
      <c r="PT16" s="264" t="e">
        <f>SEARCH(" ",$OX$4,PV15+1)+1</f>
        <v>#VALUE!</v>
      </c>
      <c r="PU16" t="s">
        <v>8432</v>
      </c>
      <c r="PV16" s="937" t="e">
        <f>SEARCH(PU16,$OX$4,PT16)</f>
        <v>#VALUE!</v>
      </c>
      <c r="PW16" s="264" t="e">
        <f>PV16-PT16</f>
        <v>#VALUE!</v>
      </c>
      <c r="PX16" t="e">
        <f>MID($OX$4,PT16,PW16)</f>
        <v>#VALUE!</v>
      </c>
      <c r="PY16" s="1470"/>
      <c r="PZ16" t="str">
        <f t="shared" si="135"/>
        <v xml:space="preserve">с учетом износа – </v>
      </c>
      <c r="QA16" s="937" t="e">
        <f t="shared" si="136"/>
        <v>#VALUE!</v>
      </c>
      <c r="QC16" s="264" t="e">
        <f>SEARCH(" ",$OX$4,QE15+1)+1</f>
        <v>#VALUE!</v>
      </c>
      <c r="QD16" t="s">
        <v>8432</v>
      </c>
      <c r="QE16" s="937" t="e">
        <f>SEARCH(QD16,$OX$4,QC16)</f>
        <v>#VALUE!</v>
      </c>
      <c r="QF16" s="264" t="e">
        <f>QE16-QC16</f>
        <v>#VALUE!</v>
      </c>
      <c r="QG16" t="e">
        <f>MID($OX$4,QC16,QF16)</f>
        <v>#VALUE!</v>
      </c>
      <c r="QH16" s="1470"/>
      <c r="QI16" t="str">
        <f t="shared" si="137"/>
        <v xml:space="preserve">Рыночная стоимость Транспортного средства Заявителя на дату ДТП составляет </v>
      </c>
      <c r="QJ16" s="937" t="e">
        <f t="shared" si="138"/>
        <v>#VALUE!</v>
      </c>
      <c r="QL16" s="264" t="e">
        <f>SEARCH(" ",$OX$4,QN15+1)+1</f>
        <v>#VALUE!</v>
      </c>
      <c r="QM16" t="s">
        <v>8432</v>
      </c>
      <c r="QN16" s="937" t="e">
        <f>SEARCH(QM16,$OX$4,QL16)</f>
        <v>#VALUE!</v>
      </c>
      <c r="QO16" s="264" t="e">
        <f>QN16-QL16</f>
        <v>#VALUE!</v>
      </c>
      <c r="QP16" t="e">
        <f>MID($OX$4,QL16,QO16)</f>
        <v>#VALUE!</v>
      </c>
      <c r="QQ16" s="1470"/>
      <c r="QR16" t="str">
        <f t="shared" si="139"/>
        <v xml:space="preserve">стоимость годных остатков – </v>
      </c>
      <c r="QS16" s="937" t="e">
        <f t="shared" si="140"/>
        <v>#VALUE!</v>
      </c>
      <c r="QU16" s="264" t="e">
        <f>SEARCH(" ",$OX$4,QW15+1)+1</f>
        <v>#VALUE!</v>
      </c>
      <c r="QV16" t="s">
        <v>8432</v>
      </c>
      <c r="QW16" s="937" t="e">
        <f>SEARCH(QV16,$OX$4,QU16)</f>
        <v>#VALUE!</v>
      </c>
      <c r="QX16" s="264" t="e">
        <f>QW16-QU16</f>
        <v>#VALUE!</v>
      </c>
      <c r="QY16" t="e">
        <f>MID($OX$4,QU16,QX16)</f>
        <v>#VALUE!</v>
      </c>
      <c r="QZ16" s="1470"/>
      <c r="RA16" s="1098" t="s">
        <v>5580</v>
      </c>
      <c r="RB16" s="1099" t="str">
        <f>IFERROR(QZ15,"")</f>
        <v/>
      </c>
      <c r="RD16" s="1148"/>
      <c r="RE16" s="116"/>
      <c r="RF16" s="116"/>
      <c r="RG16" s="116"/>
      <c r="RH16" s="116"/>
      <c r="RI16" s="116"/>
      <c r="RJ16" s="116"/>
      <c r="RL16" s="99"/>
      <c r="RM16" s="116"/>
      <c r="RN16" s="116"/>
      <c r="RO16" s="872"/>
      <c r="SJ16" s="116" t="s">
        <v>3153</v>
      </c>
      <c r="SK16" s="116"/>
      <c r="SL16" s="116"/>
      <c r="SM16" s="116"/>
      <c r="SN16" s="116"/>
      <c r="SO16" s="116"/>
      <c r="SP16" s="116"/>
      <c r="SS16" s="116"/>
      <c r="ST16" s="116"/>
      <c r="SV16" t="s">
        <v>8513</v>
      </c>
      <c r="SY16" s="1465"/>
      <c r="SZ16" s="583"/>
      <c r="TA16" s="837"/>
      <c r="TB16" s="583"/>
      <c r="TC16" s="583"/>
      <c r="TD16" s="583"/>
      <c r="TE16" s="831" t="e">
        <f>VALUE(CONCATENATE(TE14,",",TE15))</f>
        <v>#VALUE!</v>
      </c>
      <c r="TF16" s="832" t="str">
        <f>IF(OR(TF10="Штраф 50%",TF10=""),"",TE16)</f>
        <v/>
      </c>
      <c r="TG16" s="845" t="str">
        <f>IF(TF94="","",CONCATENATE(SY94,". ",TF94," ",IFERROR(CONCATENATE(TE98,",",TE99),""),IF(ISERROR(CONCATENATE(TE98,",",TE99)),"","₽")))</f>
        <v/>
      </c>
      <c r="TH16" t="s">
        <v>8513</v>
      </c>
      <c r="TI16" s="1025" t="e">
        <f>SEARCH(TH16,TJ$4)</f>
        <v>#VALUE!</v>
      </c>
      <c r="TK16" s="1477"/>
      <c r="TL16" s="1032"/>
      <c r="TM16" s="1033"/>
      <c r="TN16" s="403"/>
      <c r="TO16" s="403"/>
      <c r="TP16" s="403"/>
      <c r="TQ16" s="1034" t="e">
        <f>VALUE(CONCATENATE(TQ14,",",TQ15))</f>
        <v>#VALUE!</v>
      </c>
      <c r="TR16" s="832" t="str">
        <f>IFERROR(IF(TR13="Штраф 50%","",TQ16),"")</f>
        <v/>
      </c>
      <c r="TS16" s="843" t="str">
        <f>IF(TR57="","",CONCATENATE(TK57,". ",TR57," ",IFERROR(CONCATENATE(TQ58,",",TQ59),""),IF(ISERROR(CONCATENATE(TQ58,",",TQ59)),"","₽")))</f>
        <v/>
      </c>
      <c r="TT16" t="str">
        <f t="shared" si="27"/>
        <v>$$$$</v>
      </c>
      <c r="TW16" s="1465"/>
      <c r="TX16" s="583"/>
      <c r="TY16" s="837"/>
      <c r="TZ16" s="583"/>
      <c r="UA16" s="583"/>
      <c r="UB16" s="583"/>
      <c r="UC16" s="831" t="e">
        <f>VALUE(CONCATENATE(UC14,",",UC15))</f>
        <v>#VALUE!</v>
      </c>
      <c r="UD16" s="832" t="str">
        <f>IF(OR(UD10="Штраф 50%",UD10=""),"",UC16)</f>
        <v/>
      </c>
      <c r="UE16" s="845" t="str">
        <f>IF(UD94="","",CONCATENATE(TW94,". ",UD94," ",IFERROR(CONCATENATE(UC98,",",UC99),""),IF(ISERROR(CONCATENATE(UC98,",",UC99)),"","₽")))</f>
        <v/>
      </c>
      <c r="UF16" t="s">
        <v>8513</v>
      </c>
      <c r="UG16" s="1025" t="e">
        <f>SEARCH(UF16,UH$4)</f>
        <v>#VALUE!</v>
      </c>
      <c r="UI16" s="1477"/>
      <c r="UJ16" s="1032"/>
      <c r="UK16" s="1033"/>
      <c r="UL16" s="403"/>
      <c r="UM16" s="403"/>
      <c r="UN16" s="403"/>
      <c r="UO16" s="1034" t="e">
        <f>VALUE(CONCATENATE(UO14,",",UO15))</f>
        <v>#VALUE!</v>
      </c>
      <c r="UP16" s="832" t="str">
        <f>IFERROR(IF(UP13="Штраф 50%","",UO16),"")</f>
        <v/>
      </c>
      <c r="UQ16" s="843" t="str">
        <f>IF(UP57="","",CONCATENATE(UI57,". ",UP57," ",IFERROR(CONCATENATE(UO58,",",UO59),""),IF(ISERROR(CONCATENATE(UO58,",",UO59)),"","₽")))</f>
        <v/>
      </c>
      <c r="UU16" s="1465"/>
      <c r="UV16" s="583"/>
      <c r="UW16" s="837"/>
      <c r="UX16" s="583"/>
      <c r="UY16" s="583"/>
      <c r="UZ16" s="583"/>
      <c r="VA16" s="831" t="e">
        <f>VALUE(CONCATENATE(VA14,",",VA15))</f>
        <v>#VALUE!</v>
      </c>
      <c r="VB16" s="832" t="str">
        <f>IF(OR(VB10="Штраф 50%",VB10=""),"",VA16)</f>
        <v/>
      </c>
      <c r="VC16" s="845" t="str">
        <f>IF(VB94="","",CONCATENATE(UU94,". ",VB94," ",IFERROR(CONCATENATE(VA98,",",VA99),""),IF(ISERROR(CONCATENATE(VA98,",",VA99)),"","₽")))</f>
        <v/>
      </c>
      <c r="VD16" t="s">
        <v>8513</v>
      </c>
      <c r="VE16" s="1025" t="e">
        <f>SEARCH(VD16,VF$4)</f>
        <v>#VALUE!</v>
      </c>
      <c r="VG16" s="1477"/>
      <c r="VH16" s="1032"/>
      <c r="VI16" s="1033"/>
      <c r="VJ16" s="403"/>
      <c r="VK16" s="403"/>
      <c r="VL16" s="403"/>
      <c r="VM16" s="1034" t="e">
        <f>VALUE(CONCATENATE(VM14,",",VM15))</f>
        <v>#VALUE!</v>
      </c>
      <c r="VN16" s="832" t="str">
        <f>IFERROR(IF(VN13="Штраф 50%","",VM16),"")</f>
        <v/>
      </c>
      <c r="VO16" s="843" t="str">
        <f>IF(VN57="","",CONCATENATE(VG57,". ",VN57," ",IFERROR(CONCATENATE(VM58,",",VM59),""),IF(ISERROR(CONCATENATE(VM58,",",VM59)),"","₽")))</f>
        <v/>
      </c>
      <c r="VS16" s="1465"/>
      <c r="VT16" s="583"/>
      <c r="VU16" s="837"/>
      <c r="VV16" s="583"/>
      <c r="VW16" s="583"/>
      <c r="VX16" s="583"/>
      <c r="VY16" s="831" t="e">
        <f>VALUE(CONCATENATE(VY14,",",VY15))</f>
        <v>#VALUE!</v>
      </c>
      <c r="VZ16" s="832" t="str">
        <f>IF(OR(VZ10="Штраф 50%",VZ10=""),"",VY16)</f>
        <v/>
      </c>
      <c r="WA16" s="845" t="str">
        <f>IF(VZ94="","",CONCATENATE(VS94,". ",VZ94," ",IFERROR(CONCATENATE(VY98,",",VY99),""),IF(ISERROR(CONCATENATE(VY98,",",VY99)),"","₽")))</f>
        <v/>
      </c>
      <c r="WB16" t="s">
        <v>8513</v>
      </c>
      <c r="WC16" s="1025" t="e">
        <f>SEARCH(WB16,WD$4)</f>
        <v>#VALUE!</v>
      </c>
      <c r="WE16" s="1477"/>
      <c r="WF16" s="1032"/>
      <c r="WG16" s="1033"/>
      <c r="WH16" s="403"/>
      <c r="WI16" s="403"/>
      <c r="WJ16" s="403"/>
      <c r="WK16" s="1034" t="e">
        <f>VALUE(CONCATENATE(WK14,",",WK15))</f>
        <v>#VALUE!</v>
      </c>
      <c r="WL16" s="832" t="str">
        <f>IFERROR(IF(WL13="Штраф 50%","",WK16),"")</f>
        <v/>
      </c>
      <c r="WM16" s="843" t="str">
        <f>IF(WL57="","",CONCATENATE(WE57,". ",WL57," ",IFERROR(CONCATENATE(WK58,",",WK59),""),IF(ISERROR(CONCATENATE(WK58,",",WK59)),"","₽")))</f>
        <v/>
      </c>
      <c r="WQ16" s="1465"/>
      <c r="WR16" s="583"/>
      <c r="WS16" s="837"/>
      <c r="WT16" s="583"/>
      <c r="WU16" s="583"/>
      <c r="WV16" s="583"/>
      <c r="WW16" s="831" t="e">
        <f>VALUE(CONCATENATE(WW14,",",WW15))</f>
        <v>#VALUE!</v>
      </c>
      <c r="WX16" s="832" t="str">
        <f>IF(OR(WX10="Штраф 50%",WX10=""),"",WW16)</f>
        <v/>
      </c>
      <c r="WY16" s="845" t="str">
        <f>IF(WX94="","",CONCATENATE(WQ94,". ",WX94," ",IFERROR(CONCATENATE(WW98,",",WW99),""),IF(ISERROR(CONCATENATE(WW98,",",WW99)),"","₽")))</f>
        <v/>
      </c>
      <c r="WZ16" t="s">
        <v>8513</v>
      </c>
      <c r="XA16" s="1025" t="e">
        <f>SEARCH(WZ16,XB$4)</f>
        <v>#VALUE!</v>
      </c>
      <c r="XC16" s="1477"/>
      <c r="XD16" s="1032"/>
      <c r="XE16" s="1033"/>
      <c r="XF16" s="403"/>
      <c r="XG16" s="403"/>
      <c r="XH16" s="403"/>
      <c r="XI16" s="1034" t="e">
        <f>VALUE(CONCATENATE(XI14,",",XI15))</f>
        <v>#VALUE!</v>
      </c>
      <c r="XJ16" s="832" t="str">
        <f>IFERROR(IF(XJ13="Штраф 50%","",XI16),"")</f>
        <v/>
      </c>
      <c r="XK16" s="843" t="str">
        <f>IF(XJ57="","",CONCATENATE(XC57,". ",XJ57," ",IFERROR(CONCATENATE(XI58,",",XI59),""),IF(ISERROR(CONCATENATE(XI58,",",XI59)),"","₽")))</f>
        <v/>
      </c>
      <c r="XL16" s="1090" t="str">
        <f>IFERROR(CONCATENATE(DATES!C28," ",TEXT(VALUE(CONCATENATE(LEFT(DATES!E28,SEARCH(",",TEXT(DATES!E28,"0,00"))-1),",",RIGHT(TEXT(DATES!E28,"0,00"),2))),"0 000,00"),"₽"),"")</f>
        <v xml:space="preserve"> 0 000,00₽</v>
      </c>
      <c r="XM16" s="1064"/>
      <c r="XN16" s="1180" t="s">
        <v>701</v>
      </c>
      <c r="XP16" s="116"/>
      <c r="XQ16" s="116"/>
      <c r="XR16" s="863"/>
      <c r="XS16" s="863"/>
      <c r="XT16" s="863"/>
      <c r="XU16" s="979"/>
      <c r="XW16" s="116"/>
      <c r="XX16" s="116"/>
      <c r="YG16" s="1465"/>
      <c r="YH16" s="583"/>
      <c r="YI16" s="837"/>
      <c r="YJ16" s="583"/>
      <c r="YK16" s="583"/>
      <c r="YL16" s="583"/>
      <c r="YM16" s="831" t="e">
        <f>VALUE(CONCATENATE(YM14,",",YM15))</f>
        <v>#VALUE!</v>
      </c>
      <c r="YN16" s="832" t="str">
        <f>IF(YN10="Штраф 50%","",IF(OR(YJ13=" в размере",YJ10=" в размере"),YM16,""))</f>
        <v/>
      </c>
      <c r="YO16" s="845" t="str">
        <f>IF(ISERROR(YI94),"",CONCATENATE(YG94,". ",YN94," ",IFERROR(CONCATENATE(YM98,",",YM99),""),IF(ISERROR(CONCATENATE(YM98,",",YM99)),"","₽")))</f>
        <v/>
      </c>
      <c r="YS16" s="1465"/>
      <c r="YT16" s="583"/>
      <c r="YU16" s="837"/>
      <c r="YV16" s="583"/>
      <c r="YW16" s="583"/>
      <c r="YX16" s="583"/>
      <c r="YY16" s="831" t="e">
        <f>VALUE(CONCATENATE(YY14,",",YY15))</f>
        <v>#VALUE!</v>
      </c>
      <c r="YZ16" s="832" t="str">
        <f>IF(YZ10="Штраф 50%","",IF(OR(YV13=" в размере",YV10=" в размере"),YY16,""))</f>
        <v/>
      </c>
      <c r="ZA16" s="845" t="str">
        <f>IF(ISERROR(YU94),"",CONCATENATE(YS94,". ",YZ94," ",IFERROR(CONCATENATE(YY98,",",YY99),""),IF(ISERROR(CONCATENATE(YY98,",",YY99)),"","₽")))</f>
        <v/>
      </c>
      <c r="ZE16" s="1465"/>
      <c r="ZF16" s="583"/>
      <c r="ZG16" s="837"/>
      <c r="ZH16" s="583"/>
      <c r="ZI16" s="583"/>
      <c r="ZJ16" s="583"/>
      <c r="ZK16" s="831" t="e">
        <f>VALUE(CONCATENATE(ZK14,",",ZK15))</f>
        <v>#VALUE!</v>
      </c>
      <c r="ZL16" s="832" t="str">
        <f>IF(ZL10="Штраф 50%","",IF(OR(ZH13=" в размере",ZH10=" в размере"),ZK16,""))</f>
        <v/>
      </c>
      <c r="ZM16" s="845" t="str">
        <f>IF(ISERROR(ZG94),"",CONCATENATE(ZE94,". ",ZL94," ",IFERROR(CONCATENATE(ZK98,",",ZK99),""),IF(ISERROR(CONCATENATE(ZK98,",",ZK99)),"","₽")))</f>
        <v/>
      </c>
      <c r="ZQ16" s="1465"/>
      <c r="ZR16" s="583"/>
      <c r="ZS16" s="837"/>
      <c r="ZT16" s="583"/>
      <c r="ZU16" s="583"/>
      <c r="ZV16" s="583"/>
      <c r="ZW16" s="831" t="e">
        <f>VALUE(CONCATENATE(ZW14,",",ZW15))</f>
        <v>#VALUE!</v>
      </c>
      <c r="ZX16" s="832" t="str">
        <f>IF(ZX10="Штраф 50%","",IF(OR(ZT13=" в размере",ZT10=" в размере"),ZW16,""))</f>
        <v/>
      </c>
      <c r="ZY16" s="845" t="str">
        <f>IF(ISERROR(ZS94),"",CONCATENATE(ZQ94,". ",ZX94," ",IFERROR(CONCATENATE(ZW98,",",ZW99),""),IF(ISERROR(CONCATENATE(ZW98,",",ZW99)),"","₽")))</f>
        <v/>
      </c>
      <c r="AAC16" s="1465"/>
      <c r="AAD16" s="583"/>
      <c r="AAE16" s="837"/>
      <c r="AAF16" s="583"/>
      <c r="AAG16" s="583"/>
      <c r="AAH16" s="583"/>
      <c r="AAI16" s="831" t="e">
        <f>VALUE(CONCATENATE(AAI14,",",AAI15))</f>
        <v>#VALUE!</v>
      </c>
      <c r="AAJ16" s="832" t="str">
        <f>IF(AAJ10="Штраф 50%","",IF(OR(AAF13=" в размере",AAF10=" в размере"),AAI16,""))</f>
        <v/>
      </c>
      <c r="AAK16" s="845" t="str">
        <f>IF(ISERROR(AAE94),"",CONCATENATE(AAC94,". ",AAJ94," ",IFERROR(CONCATENATE(AAI98,",",AAI99),""),IF(ISERROR(CONCATENATE(AAI98,",",AAI99)),"","₽")))</f>
        <v/>
      </c>
      <c r="AAL16" s="1090" t="str">
        <f>IF(DATES!O15="","",DATES!O15)</f>
        <v/>
      </c>
      <c r="AAM16" s="1066"/>
      <c r="AAN16" s="116"/>
      <c r="AAO16" s="116"/>
      <c r="AAP16" s="116"/>
      <c r="AAQ16" s="116"/>
      <c r="AAR16" s="116"/>
      <c r="AAS16" s="116"/>
      <c r="AAT16" s="116"/>
      <c r="AAV16" t="str">
        <f t="shared" si="141"/>
        <v>$$$$</v>
      </c>
      <c r="AAW16" s="947" t="e">
        <f t="shared" si="142"/>
        <v>#VALUE!</v>
      </c>
      <c r="ABA16" s="1487"/>
      <c r="ABD16" s="116"/>
      <c r="ABE16" s="116"/>
      <c r="ABF16" s="116"/>
      <c r="ABG16" s="116"/>
      <c r="ABH16" s="116"/>
      <c r="ABI16" s="116"/>
      <c r="ABJ16" s="116"/>
      <c r="ACC16" s="431"/>
      <c r="ACM16" s="431"/>
      <c r="ACW16" s="431"/>
      <c r="ADR16" s="1081" t="str">
        <f>IFERROR(ADQ4,"")</f>
        <v/>
      </c>
      <c r="AEB16" s="116"/>
      <c r="AEC16" s="116"/>
      <c r="AED16" s="116"/>
      <c r="AEE16" s="116"/>
      <c r="AEF16" s="116"/>
      <c r="AEG16" s="116"/>
      <c r="AEH16" s="116"/>
      <c r="AEJ16" s="961"/>
      <c r="AEK16" s="961"/>
      <c r="AEL16" s="961"/>
      <c r="AFE16" s="1465"/>
      <c r="AFF16" s="583"/>
      <c r="AFG16" s="837"/>
      <c r="AFH16" s="583"/>
      <c r="AFI16" s="583"/>
      <c r="AFJ16" s="583"/>
      <c r="AFK16" s="831">
        <f>VALUE(CONCATENATE(AFK14,",",AFK15))</f>
        <v>300000</v>
      </c>
      <c r="AFL16" s="832">
        <f>IF(AFL10="Штраф 50%","",IF(OR(AFH13=" в размере",AFH10=" в размере"),AFK16,""))</f>
        <v>300000</v>
      </c>
      <c r="AFM16" s="845" t="str">
        <f>IF(AFL94="","",CONCATENATE(AFE94,". ",AFL94," ",IFERROR(CONCATENATE(AFK98,",",AFK99),""),IF(ISERROR(CONCATENATE(AFK98,",",AFK99)),"","₽")))</f>
        <v/>
      </c>
      <c r="AFQ16" s="1465"/>
      <c r="AFR16" s="583"/>
      <c r="AFS16" s="837"/>
      <c r="AFT16" s="583"/>
      <c r="AFU16" s="583"/>
      <c r="AFV16" s="583"/>
      <c r="AFW16" s="831" t="e">
        <f>VALUE(CONCATENATE(AFW14,",",AFW15))</f>
        <v>#VALUE!</v>
      </c>
      <c r="AFX16" s="832" t="str">
        <f>IF(AFX10="Штраф 50%","",IF(OR(AFT13=" в размере",AFT10=" в размере"),AFW16,""))</f>
        <v/>
      </c>
      <c r="AFY16" s="845" t="str">
        <f>IF(AFX94="","",CONCATENATE(AFQ94,". ",AFX94," ",IFERROR(CONCATENATE(AFW98,",",AFW99),""),IF(ISERROR(CONCATENATE(AFW98,",",AFW99)),"","₽")))</f>
        <v/>
      </c>
      <c r="AGC16" s="1465"/>
      <c r="AGD16" s="583"/>
      <c r="AGE16" s="837"/>
      <c r="AGF16" s="583"/>
      <c r="AGG16" s="583"/>
      <c r="AGH16" s="583"/>
      <c r="AGI16" s="831" t="e">
        <f>VALUE(CONCATENATE(AGI14,",",AGI15))</f>
        <v>#VALUE!</v>
      </c>
      <c r="AGJ16" s="832" t="str">
        <f>IF(AGJ10="Штраф 50%","",IF(OR(AGF13=" в размере",AGF10=" в размере"),AGI16,""))</f>
        <v/>
      </c>
      <c r="AGK16" s="845" t="str">
        <f>IF(AGJ94="","",CONCATENATE(AGC94,". ",AGJ94," ",IFERROR(CONCATENATE(AGI98,",",AGI99),""),IF(ISERROR(CONCATENATE(AGI98,",",AGI99)),"","₽")))</f>
        <v/>
      </c>
      <c r="AGO16" s="1465"/>
      <c r="AGP16" s="583"/>
      <c r="AGQ16" s="837"/>
      <c r="AGR16" s="583"/>
      <c r="AGS16" s="583"/>
      <c r="AGT16" s="583"/>
      <c r="AGU16" s="831" t="e">
        <f>VALUE(CONCATENATE(AGU14,",",AGU15))</f>
        <v>#VALUE!</v>
      </c>
      <c r="AGV16" s="832" t="str">
        <f>IF(AGV10="Штраф 50%","",IF(OR(AGR13=" в размере",AGR10=" в размере"),AGU16,""))</f>
        <v/>
      </c>
      <c r="AGW16" s="845" t="str">
        <f>IF(AGV94="","",CONCATENATE(AGO94,". ",AGV94," ",IFERROR(CONCATENATE(AGU98,",",AGU99),""),IF(ISERROR(CONCATENATE(AGU98,",",AGU99)),"","₽")))</f>
        <v/>
      </c>
      <c r="AHA16" s="1465"/>
      <c r="AHB16" s="583"/>
      <c r="AHC16" s="837"/>
      <c r="AHD16" s="583"/>
      <c r="AHE16" s="583"/>
      <c r="AHF16" s="583"/>
      <c r="AHG16" s="831" t="e">
        <f>VALUE(CONCATENATE(AHG14,",",AHG15))</f>
        <v>#VALUE!</v>
      </c>
      <c r="AHH16" s="832" t="str">
        <f>IF(AHH10="Штраф 50%","",IF(OR(AHD13=" в размере",AHD10=" в размере"),AHG16,""))</f>
        <v/>
      </c>
      <c r="AHI16" s="845" t="str">
        <f>IF(AHH94="","",CONCATENATE(AHA94,". ",AHH94," ",IFERROR(CONCATENATE(AHG98,",",AHG99),""),IF(ISERROR(CONCATENATE(AHG98,",",AHG99)),"","₽")))</f>
        <v/>
      </c>
      <c r="AHJ16" s="1084"/>
      <c r="AIJ16" t="s">
        <v>1420</v>
      </c>
      <c r="AIK16" t="s">
        <v>1420</v>
      </c>
      <c r="AIL16" s="1235" t="e">
        <f t="shared" si="68"/>
        <v>#VALUE!</v>
      </c>
      <c r="AKA16" s="116"/>
      <c r="AKK16" s="116"/>
      <c r="AKU16" s="116"/>
      <c r="ALE16" s="116"/>
      <c r="ALO16" s="116"/>
      <c r="ALP16" s="116"/>
      <c r="AMG16" t="str">
        <f t="shared" si="143"/>
        <v>Алтайский край</v>
      </c>
      <c r="AMH16" t="str">
        <f t="shared" si="144"/>
        <v>Алтайский край</v>
      </c>
      <c r="AMI16" s="1235" t="e">
        <f t="shared" si="75"/>
        <v>#VALUE!</v>
      </c>
      <c r="ANX16" s="116"/>
      <c r="AOH16" s="116"/>
      <c r="AOR16" s="116"/>
      <c r="APB16" s="116"/>
      <c r="APL16" s="116"/>
      <c r="APM16" s="116"/>
    </row>
    <row r="17" spans="1:1023 1064:1105" ht="14.4" customHeight="1" thickTop="1" thickBot="1" x14ac:dyDescent="0.35">
      <c r="B17" s="116"/>
      <c r="C17" s="116"/>
      <c r="D17" s="116"/>
      <c r="E17" s="116"/>
      <c r="F17" s="116"/>
      <c r="G17" s="116"/>
      <c r="H17" s="116"/>
      <c r="I17" s="116"/>
      <c r="J17" s="116"/>
      <c r="K17" s="116"/>
      <c r="L17" s="116"/>
      <c r="M17" s="116"/>
      <c r="N17" s="116"/>
      <c r="O17" s="116"/>
      <c r="P17" s="116"/>
      <c r="Q17" s="116"/>
      <c r="R17" s="116"/>
      <c r="S17" s="116"/>
      <c r="T17" s="116"/>
      <c r="U17" s="116"/>
      <c r="V17" s="116"/>
      <c r="W17" s="116"/>
      <c r="X17" s="116"/>
      <c r="Y17" s="116"/>
      <c r="Z17" s="116"/>
      <c r="AA17" s="116"/>
      <c r="AB17" s="116"/>
      <c r="AC17" s="116"/>
      <c r="AD17" s="116"/>
      <c r="AE17" s="116"/>
      <c r="AF17" s="116"/>
      <c r="AG17" s="116"/>
      <c r="AH17" s="116"/>
      <c r="AI17" s="116"/>
      <c r="AJ17" s="116"/>
      <c r="AK17" s="116"/>
      <c r="AL17" s="116"/>
      <c r="AM17" s="116"/>
      <c r="AN17" s="116"/>
      <c r="AO17" s="116"/>
      <c r="AP17" s="116"/>
      <c r="AQ17" s="116"/>
      <c r="AR17" s="116"/>
      <c r="AS17" s="116"/>
      <c r="AT17" s="116"/>
      <c r="AU17" s="754"/>
      <c r="AV17" s="754"/>
      <c r="AW17" s="754"/>
      <c r="AX17" s="754"/>
      <c r="AY17" s="754"/>
      <c r="AZ17" s="754"/>
      <c r="BA17" s="754"/>
      <c r="BB17" s="754"/>
      <c r="DP17" s="791" t="s">
        <v>8421</v>
      </c>
      <c r="DQ17" s="950">
        <f>DJ3</f>
        <v>34096</v>
      </c>
      <c r="DR17" t="s">
        <v>1703</v>
      </c>
      <c r="DT17" t="s">
        <v>8301</v>
      </c>
      <c r="DU17" s="10" t="s">
        <v>1248</v>
      </c>
      <c r="DV17" s="1463">
        <v>3</v>
      </c>
      <c r="DW17" s="824" t="s">
        <v>8433</v>
      </c>
      <c r="DX17" s="838" t="e">
        <f>SEARCH(DS$4,$C$3,DZ10)+LEN(DS$4)</f>
        <v>#VALUE!</v>
      </c>
      <c r="DY17" s="406" t="str">
        <f>IF(DZ17=IFERROR(SEARCH(".",C$3,DX17),99999),".",
IF(DZ17=IFERROR(SEARCH(",",C$3,DX17),99999),",",
IF(DZ17=IFERROR(SEARCH(" за период",C$3,DX17),999999)," за период",
IF(DZ17=IFERROR(SEARCH(" в размере",C$3,DX17),99999)," в размере",
))))</f>
        <v>.</v>
      </c>
      <c r="DZ17" s="406">
        <f>IFERROR(MIN(IFERROR(SEARCH(".",$C$3,DX17),99999),IFERROR(SEARCH(",",$C$3,DX17),99999),IFERROR(SEARCH(" за период",$C$3,DX17),999999),IFERROR(SEARCH(" в размере",$C$3,DX17),99999)),"ОШИБКА")</f>
        <v>99999</v>
      </c>
      <c r="EA17" s="406" t="e">
        <f>DZ17-DX17</f>
        <v>#VALUE!</v>
      </c>
      <c r="EB17" s="824" t="e">
        <f>MID($C$3,DX17,EA17)</f>
        <v>#VALUE!</v>
      </c>
      <c r="EC17" s="952" t="str">
        <f>IFERROR(INDEX(DU:DU,MATCH(MID($C$3,DX17,EA17),DT:DT,0),1),"")</f>
        <v/>
      </c>
      <c r="ED17" s="956" t="str">
        <f>IF(ISERROR(DX101),"",CONCATENATE(DV101,". ",EC101," ",IFERROR(CONCATENATE(EB105,",",EB106),""),IF(ISERROR(CONCATENATE(EB105,",",EB106)),"","₽")))</f>
        <v/>
      </c>
      <c r="FC17" s="116"/>
      <c r="FD17" s="116"/>
      <c r="FE17" s="116"/>
      <c r="FF17" s="116"/>
      <c r="FI17" s="116"/>
      <c r="HK17" s="1543" t="s">
        <v>8616</v>
      </c>
      <c r="HL17" s="948" t="str">
        <f>IFERROR(GH11,"")</f>
        <v/>
      </c>
      <c r="LY17" s="866" t="str">
        <f>CONCATENATE(" представитель Заявителя ",$MA$4,$CU$3," с заявлением о ",$LZ$4)</f>
        <v xml:space="preserve"> представитель Заявителя обратилась в АО СК «БАСК» с заявлением о прямом возмещении убытков</v>
      </c>
      <c r="MB17" s="1025"/>
      <c r="NK17" s="1463">
        <v>3</v>
      </c>
      <c r="NL17" s="824" t="s">
        <v>8433</v>
      </c>
      <c r="NM17" s="838" t="e">
        <f>SEARCH(NH$4,NJ$4,NO10)+LEN(NH$4)</f>
        <v>#VALUE!</v>
      </c>
      <c r="NN17" s="406" t="str">
        <f>IF(NO17=IFERROR(SEARCH(".",NJ$4,NM17),99999),".",
IF(NO17=IFERROR(SEARCH(",",NJ$4,NM17),99999),",",
IF(NO17=IFERROR(SEARCH(" за период",NJ$4,NM17),999999)," за период",
IF(NO17=IFERROR(SEARCH(" в размере",NJ$4,NM17),99999)," в размере",
))))</f>
        <v>.</v>
      </c>
      <c r="NO17" s="406">
        <f>IFERROR(MIN(IFERROR(SEARCH(".",NJ$4,NM17),99999),IFERROR(SEARCH(",",NJ$4,NM17),99999),IFERROR(SEARCH(" за период",NJ$4,NM17),999999),IFERROR(SEARCH(" в размере",NJ$4,NM17),99999)),"ОШИБКА")</f>
        <v>99999</v>
      </c>
      <c r="NP17" s="406" t="e">
        <f>NO17-NM17</f>
        <v>#VALUE!</v>
      </c>
      <c r="NQ17" s="824" t="e">
        <f>MID(NJ$4,NM17,NP17)</f>
        <v>#VALUE!</v>
      </c>
      <c r="NR17" s="825" t="str">
        <f>IFERROR(INDEX($DU:$DU,MATCH(MID(NJ$4,NM17,NP17),$DT:$DT,0),1),"")</f>
        <v/>
      </c>
      <c r="NS17" s="842" t="str">
        <f>IF(NR101="","",CONCATENATE(NK101,". ",NR101," ",IFERROR(CONCATENATE(NQ105,",",NQ106),""),IF(ISERROR(CONCATENATE(NQ105,",",NQ106)),"","₽")))</f>
        <v/>
      </c>
      <c r="NT17" s="1106" t="str">
        <f t="shared" si="4"/>
        <v/>
      </c>
      <c r="OB17" s="1535"/>
      <c r="OC17" s="1472"/>
      <c r="OD17" s="946" t="str">
        <f t="shared" si="131"/>
        <v>$$$$</v>
      </c>
      <c r="OE17" s="947" t="e">
        <f t="shared" si="132"/>
        <v>#VALUE!</v>
      </c>
      <c r="OF17" s="947"/>
      <c r="OG17" s="920"/>
      <c r="OH17" s="920"/>
      <c r="OI17" s="947"/>
      <c r="OJ17" s="947"/>
      <c r="OK17" s="947"/>
      <c r="OL17" s="1474"/>
      <c r="OM17" s="99"/>
      <c r="ON17" s="872"/>
      <c r="OO17" s="872"/>
      <c r="OY17" s="116"/>
      <c r="OZ17" s="959"/>
      <c r="PA17" s="1210"/>
      <c r="PB17" s="959"/>
      <c r="PC17" s="116"/>
      <c r="PD17" s="1000"/>
      <c r="PF17" s="1209"/>
      <c r="PG17" s="1208"/>
      <c r="PH17" s="1209"/>
      <c r="PI17" s="5"/>
      <c r="PJ17" s="1073"/>
      <c r="PK17" s="99"/>
      <c r="PL17" s="920"/>
      <c r="PM17" s="995"/>
      <c r="PN17" s="920"/>
      <c r="PO17" s="254"/>
      <c r="PP17" s="871"/>
      <c r="PQ17" t="str">
        <f t="shared" si="133"/>
        <v xml:space="preserve">без учета износа составляет – </v>
      </c>
      <c r="PR17" s="937" t="e">
        <f t="shared" si="134"/>
        <v>#VALUE!</v>
      </c>
      <c r="PS17" s="5"/>
      <c r="PV17" s="937"/>
      <c r="PX17" s="5"/>
      <c r="PY17" s="1470"/>
      <c r="PZ17" t="str">
        <f t="shared" si="135"/>
        <v xml:space="preserve">с учетом износа </v>
      </c>
      <c r="QA17" s="937" t="e">
        <f t="shared" si="136"/>
        <v>#VALUE!</v>
      </c>
      <c r="QB17" s="5"/>
      <c r="QC17" s="264"/>
      <c r="QE17" s="937"/>
      <c r="QF17" s="264"/>
      <c r="QG17" s="5"/>
      <c r="QH17" s="1470"/>
      <c r="QI17" t="str">
        <f t="shared" si="137"/>
        <v>$$$$</v>
      </c>
      <c r="QJ17" s="937" t="e">
        <f t="shared" si="138"/>
        <v>#VALUE!</v>
      </c>
      <c r="QK17" s="5"/>
      <c r="QL17" s="264"/>
      <c r="QN17" s="937"/>
      <c r="QO17" s="264"/>
      <c r="QP17" s="5"/>
      <c r="QQ17" s="1470"/>
      <c r="QR17" t="str">
        <f t="shared" si="139"/>
        <v>$$$$</v>
      </c>
      <c r="QS17" s="937" t="e">
        <f t="shared" si="140"/>
        <v>#VALUE!</v>
      </c>
      <c r="QT17" s="5"/>
      <c r="QU17" s="264"/>
      <c r="QW17" s="937"/>
      <c r="QX17" s="264"/>
      <c r="QY17" s="5"/>
      <c r="QZ17" s="1470"/>
      <c r="RA17" s="1092" t="s">
        <v>8594</v>
      </c>
      <c r="RB17" s="1093" t="str">
        <f>IFERROR(PD5,"")</f>
        <v/>
      </c>
      <c r="RD17" s="1148"/>
      <c r="RL17" s="99"/>
      <c r="RO17" s="872"/>
      <c r="SJ17" s="1269" t="s">
        <v>10050</v>
      </c>
      <c r="SV17" t="s">
        <v>8513</v>
      </c>
      <c r="SY17" s="1463">
        <v>3</v>
      </c>
      <c r="SZ17" s="824" t="s">
        <v>8433</v>
      </c>
      <c r="TA17" s="838" t="e">
        <f>SEARCH(SV$4,$SQ$3,TC10)+LEN(SV$4)</f>
        <v>#VALUE!</v>
      </c>
      <c r="TB17" s="406" t="str">
        <f>IF(TC17=IFERROR(SEARCH(".",$SQ$3,TA17),99999),".",
IF(TC17=IFERROR(SEARCH(",",$SQ$3,TA17),99999),",",
IF(TC17=IFERROR(SEARCH(" за период",$SQ$3,TA17),999999)," за период",
IF(TC17=IFERROR(SEARCH(" в размере",$SQ$3,TA17),99999)," в размере",
))))</f>
        <v>.</v>
      </c>
      <c r="TC17" s="406">
        <f>IFERROR(MIN(IFERROR(SEARCH(".",$SQ$3,TA17),99999),IFERROR(SEARCH(",",$SQ$3,TA17),99999),IFERROR(SEARCH(" за период",$SQ$3,TA17),999999),IFERROR(SEARCH(" в размере",$SQ$3,TA17),99999)),"ОШИБКА")</f>
        <v>99999</v>
      </c>
      <c r="TD17" s="406" t="e">
        <f>TC17-TA17</f>
        <v>#VALUE!</v>
      </c>
      <c r="TE17" s="824" t="e">
        <f>MID($SQ$3,TA17,TD17)</f>
        <v>#VALUE!</v>
      </c>
      <c r="TF17" s="825" t="str">
        <f>IFERROR(INDEX($DU:$DU,MATCH(MID($SQ$3,TA17,TD17),$DT:$DT,0),1),"")</f>
        <v/>
      </c>
      <c r="TG17" s="842" t="str">
        <f>IF(TF101="","",CONCATENATE(SY101,". ",TF101," ",IFERROR(CONCATENATE(TE105,",",TE106),""),IF(ISERROR(CONCATENATE(TE105,",",TE106)),"","₽")))</f>
        <v/>
      </c>
      <c r="TK17" s="1475">
        <v>4</v>
      </c>
      <c r="TL17" s="1030" t="s">
        <v>8433</v>
      </c>
      <c r="TM17" s="406" t="e">
        <f>SEARCH($TJ$14,TJ$4,TO13)+LEN($TJ$14)</f>
        <v>#VALUE!</v>
      </c>
      <c r="TN17" s="406" t="str">
        <f>IF(TO17=IFERROR(SEARCH(".",TJ$4,TM17),99999),".",
IF(TO17=IFERROR(SEARCH(",",TJ$4,TM17),99999),",",
IF(TO17=IFERROR(SEARCH(" за период",TJ$4,TM17),999999)," за период",
IF(TO17=IFERROR(SEARCH(" в размере",TJ$4,TM17),99999)," в размере",
IF(TO17=IFERROR(SEARCH(" и ",TJ$4,TM17),99999)," и ",
IF(TO17=IFERROR(SEARCH(")",TJ$4,TM17),99999),")",
))))))</f>
        <v>.</v>
      </c>
      <c r="TO17" s="406">
        <f>IFERROR(MIN(IFERROR(SEARCH(".",TJ$4,TM17),99999),IFERROR(SEARCH(",",TJ$4,TM17),99999),IFERROR(SEARCH(" за период",TJ$4,TM17),999999),IFERROR(SEARCH(" в размере",TJ$4,TM17),99999),IFERROR(SEARCH(" и ",TJ$4,TM17),99999),IFERROR(SEARCH(")",TJ$4,TM17),99999)),"ОШИБКА")</f>
        <v>99999</v>
      </c>
      <c r="TP17" s="406" t="e">
        <f>TO17-TM17</f>
        <v>#VALUE!</v>
      </c>
      <c r="TQ17" s="873" t="e">
        <f>MID(TJ$4,TM17,TP17)</f>
        <v>#VALUE!</v>
      </c>
      <c r="TR17" s="825" t="str">
        <f>IFERROR(INDEX($DU:$DU,MATCH(MID(TJ$4,TM17,TP17),$DT:$DT,0),1),"")</f>
        <v/>
      </c>
      <c r="TS17" s="843" t="str">
        <f>IF(TR61="","",CONCATENATE(TK61,". ",TR61," ",IFERROR(CONCATENATE(TQ62,",",TQ63),""),IF(ISERROR(CONCATENATE(TQ62,",",TQ63)),"","₽")))</f>
        <v/>
      </c>
      <c r="TT17" t="str">
        <f t="shared" si="27"/>
        <v>$$$$</v>
      </c>
      <c r="TW17" s="1463">
        <v>3</v>
      </c>
      <c r="TX17" s="824" t="s">
        <v>8433</v>
      </c>
      <c r="TY17" s="838" t="e">
        <f>SEARCH(TT$4,$SQ$4,UA10)+LEN(TT$4)</f>
        <v>#VALUE!</v>
      </c>
      <c r="TZ17" s="406" t="str">
        <f>IF(UA17=IFERROR(SEARCH(".",$SQ$4,TY17),99999),".",
IF(UA17=IFERROR(SEARCH(",",$SQ$4,TY17),99999),",",
IF(UA17=IFERROR(SEARCH(" за период",$SQ$4,TY17),999999)," за период",
IF(UA17=IFERROR(SEARCH(" в размере",$SQ$4,TY17),99999)," в размере",
))))</f>
        <v>.</v>
      </c>
      <c r="UA17" s="406">
        <f>IFERROR(MIN(IFERROR(SEARCH(".",$SQ$4,TY17),99999),IFERROR(SEARCH(",",$SQ$4,TY17),99999),IFERROR(SEARCH(" за период",$SQ$4,TY17),999999),IFERROR(SEARCH(" в размере",$SQ$4,TY17),99999)),"ОШИБКА")</f>
        <v>99999</v>
      </c>
      <c r="UB17" s="406" t="e">
        <f>UA17-TY17</f>
        <v>#VALUE!</v>
      </c>
      <c r="UC17" s="824" t="e">
        <f>MID($SQ$4,TY17,UB17)</f>
        <v>#VALUE!</v>
      </c>
      <c r="UD17" s="825" t="str">
        <f>IFERROR(INDEX($DU:$DU,MATCH(MID($SQ$4,TY17,UB17),$DT:$DT,0),1),"")</f>
        <v/>
      </c>
      <c r="UE17" s="842" t="str">
        <f>IF(UD101="","",CONCATENATE(TW101,". ",UD101," ",IFERROR(CONCATENATE(UC105,",",UC106),""),IF(ISERROR(CONCATENATE(UC105,",",UC106)),"","₽")))</f>
        <v/>
      </c>
      <c r="UI17" s="1475">
        <v>4</v>
      </c>
      <c r="UJ17" s="1030" t="s">
        <v>8433</v>
      </c>
      <c r="UK17" s="406" t="e">
        <f>SEARCH(UH$14,UH$4,UM13)+LEN(UH$14)</f>
        <v>#VALUE!</v>
      </c>
      <c r="UL17" s="406" t="str">
        <f>IF(UM17=IFERROR(SEARCH(".",UH$4,UK17),99999),".",
IF(UM17=IFERROR(SEARCH(",",UH$4,UK17),99999),",",
IF(UM17=IFERROR(SEARCH(" за период",UH$4,UK17),999999)," за период",
IF(UM17=IFERROR(SEARCH(" в размере",UH$4,UK17),99999)," в размере",
IF(UM17=IFERROR(SEARCH(" и ",UH$4,UK17),99999)," и ",
IF(UM17=IFERROR(SEARCH(")",UH$4,UK17),99999),")",
))))))</f>
        <v>.</v>
      </c>
      <c r="UM17" s="406">
        <f>IFERROR(MIN(IFERROR(SEARCH(".",UH$4,UK17),99999),IFERROR(SEARCH(",",UH$4,UK17),99999),IFERROR(SEARCH(" за период",UH$4,UK17),999999),IFERROR(SEARCH(" в размере",UH$4,UK17),99999),IFERROR(SEARCH(" и ",UH$4,UK17),99999),IFERROR(SEARCH(")",UH$4,UK17),99999)),"ОШИБКА")</f>
        <v>99999</v>
      </c>
      <c r="UN17" s="406" t="e">
        <f>UM17-UK17</f>
        <v>#VALUE!</v>
      </c>
      <c r="UO17" s="873" t="e">
        <f>MID(UH$4,UK17,UN17)</f>
        <v>#VALUE!</v>
      </c>
      <c r="UP17" s="825" t="str">
        <f>IFERROR(INDEX($DU:$DU,MATCH(MID(UH$4,UK17,UN17),$DT:$DT,0),1),"")</f>
        <v/>
      </c>
      <c r="UQ17" s="843" t="str">
        <f>IF(UP61="","",CONCATENATE(UI61,". ",UP61," ",IFERROR(CONCATENATE(UO62,",",UO63),""),IF(ISERROR(CONCATENATE(UO62,",",UO63)),"","₽")))</f>
        <v/>
      </c>
      <c r="UU17" s="1463">
        <v>3</v>
      </c>
      <c r="UV17" s="824" t="s">
        <v>8433</v>
      </c>
      <c r="UW17" s="838" t="e">
        <f>SEARCH(UR$4,$SQ$5,UY10)+LEN(UR$4)</f>
        <v>#VALUE!</v>
      </c>
      <c r="UX17" s="406" t="str">
        <f>IF(UY17=IFERROR(SEARCH(".",$SQ$5,UW17),99999),".",
IF(UY17=IFERROR(SEARCH(",",$SQ$5,UW17),99999),",",
IF(UY17=IFERROR(SEARCH(" за период",$SQ$5,UW17),999999)," за период",
IF(UY17=IFERROR(SEARCH(" в размере",$SQ$5,UW17),99999)," в размере",
))))</f>
        <v>.</v>
      </c>
      <c r="UY17" s="406">
        <f>IFERROR(MIN(IFERROR(SEARCH(".",$SQ$5,UW17),99999),IFERROR(SEARCH(",",$SQ$5,UW17),99999),IFERROR(SEARCH(" за период",$SQ$5,UW17),999999),IFERROR(SEARCH(" в размере",$SQ$5,UW17),99999)),"ОШИБКА")</f>
        <v>99999</v>
      </c>
      <c r="UZ17" s="406" t="e">
        <f>UY17-UW17</f>
        <v>#VALUE!</v>
      </c>
      <c r="VA17" s="824" t="e">
        <f>MID($SQ$5,UW17,UZ17)</f>
        <v>#VALUE!</v>
      </c>
      <c r="VB17" s="825" t="str">
        <f>IFERROR(INDEX($DU:$DU,MATCH(MID($SQ$5,UW17,UZ17),$DT:$DT,0),1),"")</f>
        <v/>
      </c>
      <c r="VC17" s="842" t="str">
        <f>IF(VB101="","",CONCATENATE(UU101,". ",VB101," ",IFERROR(CONCATENATE(VA105,",",VA106),""),IF(ISERROR(CONCATENATE(VA105,",",VA106)),"","₽")))</f>
        <v/>
      </c>
      <c r="VG17" s="1475">
        <v>4</v>
      </c>
      <c r="VH17" s="1030" t="s">
        <v>8433</v>
      </c>
      <c r="VI17" s="406" t="e">
        <f>SEARCH(VF$14,VF$4,VK13)+LEN(VF$14)</f>
        <v>#VALUE!</v>
      </c>
      <c r="VJ17" s="406" t="str">
        <f>IF(VK17=IFERROR(SEARCH(".",VF$4,VI17),99999),".",
IF(VK17=IFERROR(SEARCH(",",VF$4,VI17),99999),",",
IF(VK17=IFERROR(SEARCH(" за период",VF$4,VI17),999999)," за период",
IF(VK17=IFERROR(SEARCH(" в размере",VF$4,VI17),99999)," в размере",
IF(VK17=IFERROR(SEARCH(" и ",VF$4,VI17),99999)," и ",
IF(VK17=IFERROR(SEARCH(")",VF$4,VI17),99999),")",
))))))</f>
        <v>.</v>
      </c>
      <c r="VK17" s="406">
        <f>IFERROR(MIN(IFERROR(SEARCH(".",VF$4,VI17),99999),IFERROR(SEARCH(",",VF$4,VI17),99999),IFERROR(SEARCH(" за период",VF$4,VI17),999999),IFERROR(SEARCH(" в размере",VF$4,VI17),99999),IFERROR(SEARCH(" и ",VF$4,VI17),99999),IFERROR(SEARCH(")",VF$4,VI17),99999)),"ОШИБКА")</f>
        <v>99999</v>
      </c>
      <c r="VL17" s="406" t="e">
        <f>VK17-VI17</f>
        <v>#VALUE!</v>
      </c>
      <c r="VM17" s="873" t="e">
        <f>MID(VF$4,VI17,VL17)</f>
        <v>#VALUE!</v>
      </c>
      <c r="VN17" s="825" t="str">
        <f>IFERROR(INDEX($DU:$DU,MATCH(MID(VF$4,VI17,VL17),$DT:$DT,0),1),"")</f>
        <v/>
      </c>
      <c r="VO17" s="843" t="str">
        <f>IF(VN61="","",CONCATENATE(VG61,". ",VN61," ",IFERROR(CONCATENATE(VM62,",",VM63),""),IF(ISERROR(CONCATENATE(VM62,",",VM63)),"","₽")))</f>
        <v/>
      </c>
      <c r="VS17" s="1463">
        <v>3</v>
      </c>
      <c r="VT17" s="824" t="s">
        <v>8433</v>
      </c>
      <c r="VU17" s="838" t="e">
        <f>SEARCH(VP$4,$SQ$6,VW10)+LEN(VP$4)</f>
        <v>#VALUE!</v>
      </c>
      <c r="VV17" s="406" t="str">
        <f>IF(VW17=IFERROR(SEARCH(".",$SQ$6,VU17),99999),".",
IF(VW17=IFERROR(SEARCH(",",$SQ$6,VU17),99999),",",
IF(VW17=IFERROR(SEARCH(" за период",$SQ$6,VU17),999999)," за период",
IF(VW17=IFERROR(SEARCH(" в размере",$SQ$6,VU17),99999)," в размере",
))))</f>
        <v>.</v>
      </c>
      <c r="VW17" s="406">
        <f>IFERROR(MIN(IFERROR(SEARCH(".",$SQ$6,VU17),99999),IFERROR(SEARCH(",",$SQ$6,VU17),99999),IFERROR(SEARCH(" за период",$SQ$6,VU17),999999),IFERROR(SEARCH(" в размере",$SQ$6,VU17),99999)),"ОШИБКА")</f>
        <v>99999</v>
      </c>
      <c r="VX17" s="406" t="e">
        <f>VW17-VU17</f>
        <v>#VALUE!</v>
      </c>
      <c r="VY17" s="824" t="e">
        <f>MID($SQ$6,VU17,VX17)</f>
        <v>#VALUE!</v>
      </c>
      <c r="VZ17" s="825" t="str">
        <f>IFERROR(INDEX($DU:$DU,MATCH(MID($SQ$6,VU17,VX17),$DT:$DT,0),1),"")</f>
        <v/>
      </c>
      <c r="WA17" s="842" t="str">
        <f>IF(VZ101="","",CONCATENATE(VS101,". ",VZ101," ",IFERROR(CONCATENATE(VY105,",",VY106),""),IF(ISERROR(CONCATENATE(VY105,",",VY106)),"","₽")))</f>
        <v/>
      </c>
      <c r="WE17" s="1475">
        <v>4</v>
      </c>
      <c r="WF17" s="1030" t="s">
        <v>8433</v>
      </c>
      <c r="WG17" s="406" t="e">
        <f>SEARCH($TJ$14,WD$4,WI13)+LEN($TJ$14)</f>
        <v>#VALUE!</v>
      </c>
      <c r="WH17" s="406" t="str">
        <f>IF(WI17=IFERROR(SEARCH(".",WD$4,WG17),99999),".",
IF(WI17=IFERROR(SEARCH(",",WD$4,WG17),99999),",",
IF(WI17=IFERROR(SEARCH(" за период",WD$4,WG17),999999)," за период",
IF(WI17=IFERROR(SEARCH(" в размере",WD$4,WG17),99999)," в размере",
IF(WI17=IFERROR(SEARCH(" и ",WD$4,WG17),99999)," и ",
IF(WI17=IFERROR(SEARCH(")",WD$4,WG17),99999),")",
))))))</f>
        <v>.</v>
      </c>
      <c r="WI17" s="406">
        <f>IFERROR(MIN(IFERROR(SEARCH(".",WD$4,WG17),99999),IFERROR(SEARCH(",",WD$4,WG17),99999),IFERROR(SEARCH(" за период",WD$4,WG17),999999),IFERROR(SEARCH(" в размере",WD$4,WG17),99999),IFERROR(SEARCH(" и ",WD$4,WG17),99999),IFERROR(SEARCH(")",WD$4,WG17),99999)),"ОШИБКА")</f>
        <v>99999</v>
      </c>
      <c r="WJ17" s="406" t="e">
        <f>WI17-WG17</f>
        <v>#VALUE!</v>
      </c>
      <c r="WK17" s="873" t="e">
        <f>MID(WD$4,WG17,WJ17)</f>
        <v>#VALUE!</v>
      </c>
      <c r="WL17" s="825" t="str">
        <f>IFERROR(INDEX($DU:$DU,MATCH(MID(WD$4,WG17,WJ17),$DT:$DT,0),1),"")</f>
        <v/>
      </c>
      <c r="WM17" s="843" t="str">
        <f>IF(WL61="","",CONCATENATE(WE61,". ",WL61," ",IFERROR(CONCATENATE(WK62,",",WK63),""),IF(ISERROR(CONCATENATE(WK62,",",WK63)),"","₽")))</f>
        <v/>
      </c>
      <c r="WQ17" s="1463">
        <v>3</v>
      </c>
      <c r="WR17" s="824" t="s">
        <v>8433</v>
      </c>
      <c r="WS17" s="838" t="e">
        <f>SEARCH(WN$4,$SQ$7,WU10)+LEN(WN$4)</f>
        <v>#VALUE!</v>
      </c>
      <c r="WT17" s="406" t="str">
        <f>IF(WU17=IFERROR(SEARCH(".",$SQ$7,WS17),99999),".",
IF(WU17=IFERROR(SEARCH(",",$SQ$7,WS17),99999),",",
IF(WU17=IFERROR(SEARCH(" за период",$SQ$7,WS17),999999)," за период",
IF(WU17=IFERROR(SEARCH(" в размере",$SQ$7,WS17),99999)," в размере",
))))</f>
        <v>.</v>
      </c>
      <c r="WU17" s="406">
        <f>IFERROR(MIN(IFERROR(SEARCH(".",$SQ$7,WS17),99999),IFERROR(SEARCH(",",$SQ$7,WS17),99999),IFERROR(SEARCH(" за период",$SQ$7,WS17),999999),IFERROR(SEARCH(" в размере",$SQ$7,WS17),99999)),"ОШИБКА")</f>
        <v>99999</v>
      </c>
      <c r="WV17" s="406" t="e">
        <f>WU17-WS17</f>
        <v>#VALUE!</v>
      </c>
      <c r="WW17" s="824" t="e">
        <f>MID($SQ$7,WS17,WV17)</f>
        <v>#VALUE!</v>
      </c>
      <c r="WX17" s="825" t="str">
        <f>IFERROR(INDEX($DU:$DU,MATCH(MID($SQ$7,WS17,WV17),$DT:$DT,0),1),"")</f>
        <v/>
      </c>
      <c r="WY17" s="842" t="str">
        <f>IF(WX101="","",CONCATENATE(WQ101,". ",WX101," ",IFERROR(CONCATENATE(WW105,",",WW106),""),IF(ISERROR(CONCATENATE(WW105,",",WW106)),"","₽")))</f>
        <v/>
      </c>
      <c r="XC17" s="1475">
        <v>4</v>
      </c>
      <c r="XD17" s="1030" t="s">
        <v>8433</v>
      </c>
      <c r="XE17" s="406" t="e">
        <f>SEARCH($TJ$14,XB$4,XG13)+LEN($TJ$14)</f>
        <v>#VALUE!</v>
      </c>
      <c r="XF17" s="406" t="str">
        <f>IF(XG17=IFERROR(SEARCH(".",XB$4,XE17),99999),".",
IF(XG17=IFERROR(SEARCH(",",XB$4,XE17),99999),",",
IF(XG17=IFERROR(SEARCH(" за период",XB$4,XE17),999999)," за период",
IF(XG17=IFERROR(SEARCH(" в размере",XB$4,XE17),99999)," в размере",
IF(XG17=IFERROR(SEARCH(" и ",XB$4,XE17),99999)," и ",
IF(XG17=IFERROR(SEARCH(")",XB$4,XE17),99999),")",
))))))</f>
        <v>.</v>
      </c>
      <c r="XG17" s="406">
        <f>IFERROR(MIN(IFERROR(SEARCH(".",XB$4,XE17),99999),IFERROR(SEARCH(",",XB$4,XE17),99999),IFERROR(SEARCH(" за период",XB$4,XE17),999999),IFERROR(SEARCH(" в размере",XB$4,XE17),99999),IFERROR(SEARCH(" и ",XB$4,XE17),99999),IFERROR(SEARCH(")",XB$4,XE17),99999)),"ОШИБКА")</f>
        <v>99999</v>
      </c>
      <c r="XH17" s="406" t="e">
        <f>XG17-XE17</f>
        <v>#VALUE!</v>
      </c>
      <c r="XI17" s="873" t="e">
        <f>MID(XB$4,XE17,XH17)</f>
        <v>#VALUE!</v>
      </c>
      <c r="XJ17" s="825" t="str">
        <f>IFERROR(INDEX($DU:$DU,MATCH(MID(XB$4,XE17,XH17),$DT:$DT,0),1),"")</f>
        <v/>
      </c>
      <c r="XK17" s="843" t="str">
        <f>IF(XJ61="","",CONCATENATE(XC61,". ",XJ61," ",IFERROR(CONCATENATE(XI62,",",XI63),""),IF(ISERROR(CONCATENATE(XI62,",",XI63)),"","₽")))</f>
        <v/>
      </c>
      <c r="XL17" s="1091" t="str">
        <f>IFERROR(CONCATENATE(DATES!C29," ",TEXT(VALUE(CONCATENATE(LEFT(DATES!E29,SEARCH(",",TEXT(DATES!E29,"0,00"))-1),",",RIGHT(TEXT(DATES!E29,"0,00"),2))),"0 000,00"),"₽"),"")</f>
        <v xml:space="preserve"> 0 000,00₽</v>
      </c>
      <c r="XM17" s="1064"/>
      <c r="XN17" s="1180" t="s">
        <v>8513</v>
      </c>
      <c r="XO17" s="852"/>
      <c r="XR17" s="863"/>
      <c r="XS17" s="863"/>
      <c r="XT17" s="863"/>
      <c r="XU17" s="979"/>
      <c r="YG17" s="1463">
        <v>3</v>
      </c>
      <c r="YH17" s="824" t="s">
        <v>8433</v>
      </c>
      <c r="YI17" s="838" t="e">
        <f>SEARCH(YD$4,$XU$3,YK10)+LEN(YD$4)</f>
        <v>#VALUE!</v>
      </c>
      <c r="YJ17" s="406" t="str">
        <f>IF(YK17=IFERROR(SEARCH(".",$XU$3,YI17),99999),".",
IF(YK17=IFERROR(SEARCH(",",$XU$3,YI17),99999),",",
IF(YK17=IFERROR(SEARCH(" за период",$XU$3,YI17),999999)," за период",
IF(YK17=IFERROR(SEARCH(" в размере",$XU$3,YI17),99999)," в размере",
))))</f>
        <v>.</v>
      </c>
      <c r="YK17" s="406">
        <f>IFERROR(MIN(IFERROR(SEARCH(".",$XU$3,YI17),99999),IFERROR(SEARCH(",",$XU$3,YI17),99999),IFERROR(SEARCH(" за период",$XU$3,YI17),999999),IFERROR(SEARCH(" в размере",$XU$3,YI17),99999)),"ОШИБКА")</f>
        <v>99999</v>
      </c>
      <c r="YL17" s="406" t="e">
        <f>YK17-YI17</f>
        <v>#VALUE!</v>
      </c>
      <c r="YM17" s="824" t="e">
        <f>MID($XU$3,YI17,YL17)</f>
        <v>#VALUE!</v>
      </c>
      <c r="YN17" s="825" t="str">
        <f>IFERROR(INDEX($DU:$DU,MATCH(MID($XU$3,YI17,YL17),$DT:$DT,0),1),"")</f>
        <v/>
      </c>
      <c r="YO17" s="842" t="str">
        <f>IF(ISERROR(YI101),"",CONCATENATE(YG101,". ",YN101," ",IFERROR(CONCATENATE(YM105,",",YM106),""),IF(ISERROR(CONCATENATE(YM105,",",YM106)),"","₽")))</f>
        <v/>
      </c>
      <c r="YS17" s="1463">
        <v>3</v>
      </c>
      <c r="YT17" s="824" t="s">
        <v>8433</v>
      </c>
      <c r="YU17" s="838" t="e">
        <f>SEARCH(YP$4,$XU$4,YW10)+LEN(YP$4)</f>
        <v>#VALUE!</v>
      </c>
      <c r="YV17" s="406" t="str">
        <f>IF(YW17=IFERROR(SEARCH(".",$XU$4,YU17),99999),".",
IF(YW17=IFERROR(SEARCH(",",$XU$4,YU17),99999),",",
IF(YW17=IFERROR(SEARCH(" за период",$XU$4,YU17),999999)," за период",
IF(YW17=IFERROR(SEARCH(" в размере",$XU$4,YU17),99999)," в размере",
))))</f>
        <v>.</v>
      </c>
      <c r="YW17" s="406">
        <f>IFERROR(MIN(IFERROR(SEARCH(".",$XU$4,YU17),99999),IFERROR(SEARCH(",",$XU$4,YU17),99999),IFERROR(SEARCH(" за период",$XU$4,YU17),999999),IFERROR(SEARCH(" в размере",$XU$4,YU17),99999)),"ОШИБКА")</f>
        <v>99999</v>
      </c>
      <c r="YX17" s="406" t="e">
        <f>YW17-YU17</f>
        <v>#VALUE!</v>
      </c>
      <c r="YY17" s="824" t="e">
        <f>MID($XU$4,YU17,YX17)</f>
        <v>#VALUE!</v>
      </c>
      <c r="YZ17" s="825" t="str">
        <f>IFERROR(INDEX($DU:$DU,MATCH(MID($XU$4,YU17,YX17),$DT:$DT,0),1),"")</f>
        <v/>
      </c>
      <c r="ZA17" s="842" t="str">
        <f>IF(ISERROR(YU101),"",CONCATENATE(YS101,". ",YZ101," ",IFERROR(CONCATENATE(YY105,",",YY106),""),IF(ISERROR(CONCATENATE(YY105,",",YY106)),"","₽")))</f>
        <v/>
      </c>
      <c r="ZE17" s="1463">
        <v>3</v>
      </c>
      <c r="ZF17" s="824" t="s">
        <v>8433</v>
      </c>
      <c r="ZG17" s="838" t="e">
        <f>SEARCH(ZB$4,$XU$5,ZI10)+LEN(ZB$4)</f>
        <v>#VALUE!</v>
      </c>
      <c r="ZH17" s="406" t="str">
        <f>IF(ZI17=IFERROR(SEARCH(".",$XU$5,ZG17),99999),".",
IF(ZI17=IFERROR(SEARCH(",",$XU$5,ZG17),99999),",",
IF(ZI17=IFERROR(SEARCH(" за период",$XU$5,ZG17),999999)," за период",
IF(ZI17=IFERROR(SEARCH(" в размере",$XU$5,ZG17),99999)," в размере",
))))</f>
        <v>.</v>
      </c>
      <c r="ZI17" s="406">
        <f>IFERROR(MIN(IFERROR(SEARCH(".",$XU$5,ZG17),99999),IFERROR(SEARCH(",",$XU$5,ZG17),99999),IFERROR(SEARCH(" за период",$XU$5,ZG17),999999),IFERROR(SEARCH(" в размере",$XU$5,ZG17),99999)),"ОШИБКА")</f>
        <v>99999</v>
      </c>
      <c r="ZJ17" s="406" t="e">
        <f>ZI17-ZG17</f>
        <v>#VALUE!</v>
      </c>
      <c r="ZK17" s="824" t="e">
        <f>MID($XU$5,ZG17,ZJ17)</f>
        <v>#VALUE!</v>
      </c>
      <c r="ZL17" s="825" t="str">
        <f>IFERROR(INDEX($DU:$DU,MATCH(MID($XU$5,ZG17,ZJ17),$DT:$DT,0),1),"")</f>
        <v/>
      </c>
      <c r="ZM17" s="842" t="str">
        <f>IF(ISERROR(ZG101),"",CONCATENATE(ZE101,". ",ZL101," ",IFERROR(CONCATENATE(ZK105,",",ZK106),""),IF(ISERROR(CONCATENATE(ZK105,",",ZK106)),"","₽")))</f>
        <v/>
      </c>
      <c r="ZQ17" s="1463">
        <v>3</v>
      </c>
      <c r="ZR17" s="824" t="s">
        <v>8433</v>
      </c>
      <c r="ZS17" s="838" t="e">
        <f>SEARCH(ZN$4,$XU$6,ZU10)+LEN(ZN$4)</f>
        <v>#VALUE!</v>
      </c>
      <c r="ZT17" s="406" t="str">
        <f>IF(ZU17=IFERROR(SEARCH(".",$XU$6,ZS17),99999),".",
IF(ZU17=IFERROR(SEARCH(",",$XU$6,ZS17),99999),",",
IF(ZU17=IFERROR(SEARCH(" за период",$XU$6,ZS17),999999)," за период",
IF(ZU17=IFERROR(SEARCH(" в размере",$XU$6,ZS17),99999)," в размере",
))))</f>
        <v>.</v>
      </c>
      <c r="ZU17" s="406">
        <f>IFERROR(MIN(IFERROR(SEARCH(".",$XU$6,ZS17),99999),IFERROR(SEARCH(",",$XU$6,ZS17),99999),IFERROR(SEARCH(" за период",$XU$6,ZS17),999999),IFERROR(SEARCH(" в размере",$XU$6,ZS17),99999)),"ОШИБКА")</f>
        <v>99999</v>
      </c>
      <c r="ZV17" s="406" t="e">
        <f>ZU17-ZS17</f>
        <v>#VALUE!</v>
      </c>
      <c r="ZW17" s="824" t="e">
        <f>MID($XU$6,ZS17,ZV17)</f>
        <v>#VALUE!</v>
      </c>
      <c r="ZX17" s="825" t="str">
        <f>IFERROR(INDEX($DU:$DU,MATCH(MID($XU$6,ZS17,ZV17),$DT:$DT,0),1),"")</f>
        <v/>
      </c>
      <c r="ZY17" s="842" t="str">
        <f>IF(ISERROR(ZS101),"",CONCATENATE(ZQ101,". ",ZX101," ",IFERROR(CONCATENATE(ZW105,",",ZW106),""),IF(ISERROR(CONCATENATE(ZW105,",",ZW106)),"","₽")))</f>
        <v/>
      </c>
      <c r="AAC17" s="1463">
        <v>3</v>
      </c>
      <c r="AAD17" s="824" t="s">
        <v>8433</v>
      </c>
      <c r="AAE17" s="838" t="e">
        <f>SEARCH(ZZ$4,$XU$7,AAG10)+LEN(ZZ$4)</f>
        <v>#VALUE!</v>
      </c>
      <c r="AAF17" s="406" t="str">
        <f>IF(AAG17=IFERROR(SEARCH(".",$XU$7,AAE17),99999),".",
IF(AAG17=IFERROR(SEARCH(",",$XU$7,AAE17),99999),",",
IF(AAG17=IFERROR(SEARCH(" за период",$XU$7,AAE17),999999)," за период",
IF(AAG17=IFERROR(SEARCH(" в размере",$XU$7,AAE17),99999)," в размере",
))))</f>
        <v>.</v>
      </c>
      <c r="AAG17" s="406">
        <f>IFERROR(MIN(IFERROR(SEARCH(".",$XU$7,AAE17),99999),IFERROR(SEARCH(",",$XU$7,AAE17),99999),IFERROR(SEARCH(" за период",$XU$7,AAE17),999999),IFERROR(SEARCH(" в размере",$XU$7,AAE17),99999)),"ОШИБКА")</f>
        <v>99999</v>
      </c>
      <c r="AAH17" s="406" t="e">
        <f>AAG17-AAE17</f>
        <v>#VALUE!</v>
      </c>
      <c r="AAI17" s="824" t="e">
        <f>MID($XU$7,AAE17,AAH17)</f>
        <v>#VALUE!</v>
      </c>
      <c r="AAJ17" s="825" t="str">
        <f>IFERROR(INDEX($DU:$DU,MATCH(MID($XU$7,AAE17,AAH17),$DT:$DT,0),1),"")</f>
        <v/>
      </c>
      <c r="AAK17" s="842" t="str">
        <f>IF(ISERROR(AAE101),"",CONCATENATE(AAC101,". ",AAJ101," ",IFERROR(CONCATENATE(AAI105,",",AAI106),""),IF(ISERROR(CONCATENATE(AAI105,",",AAI106)),"","₽")))</f>
        <v/>
      </c>
      <c r="AAL17" s="1091" t="str">
        <f>IF(DATES!O16="","",DATES!O16)</f>
        <v/>
      </c>
      <c r="AAM17" s="1065"/>
      <c r="AAV17" t="str">
        <f t="shared" si="141"/>
        <v>$$$$</v>
      </c>
      <c r="AAW17" s="947" t="e">
        <f t="shared" si="142"/>
        <v>#VALUE!</v>
      </c>
      <c r="AAX17" s="5"/>
      <c r="AAY17" s="5"/>
      <c r="AAZ17" s="5"/>
      <c r="ABA17" s="1487"/>
      <c r="ACC17" s="431"/>
      <c r="ACM17" s="431"/>
      <c r="ACW17" s="431"/>
      <c r="ADF17" s="5"/>
      <c r="ADR17" s="1082" t="str">
        <f>IFERROR(ABQ5,"")</f>
        <v/>
      </c>
      <c r="AEJ17" s="961"/>
      <c r="AEK17" s="961"/>
      <c r="AEL17" s="961"/>
      <c r="AFE17" s="1463">
        <v>3</v>
      </c>
      <c r="AFF17" s="824" t="s">
        <v>8433</v>
      </c>
      <c r="AFG17" s="838">
        <f>SEARCH(AFB$4,AFD$4,AFI10)+LEN(AFB$4)</f>
        <v>479</v>
      </c>
      <c r="AFH17" s="406" t="str">
        <f>IF(AFI17=IFERROR(SEARCH(".",AFD$4,AFG17),99999),".",
IF(AFI17=IFERROR(SEARCH(",",AFD$4,AFG17),99999),",",
IF(AFI17=IFERROR(SEARCH(" за период",AFD$4,AFG17),999999)," за период",
IF(AFI17=IFERROR(SEARCH(" в размере",AFD$4,AFG17),99999)," в размере",
))))</f>
        <v xml:space="preserve"> в размере</v>
      </c>
      <c r="AFI17" s="406">
        <f>IFERROR(MIN(IFERROR(SEARCH(".",AFD$4,AFG17),99999),IFERROR(SEARCH(",",AFD$4,AFG17),99999),IFERROR(SEARCH(" за период",AFD$4,AFG17),999999),IFERROR(SEARCH(" в размере",AFD$4,AFG17),99999)),"ОШИБКА")</f>
        <v>535</v>
      </c>
      <c r="AFJ17" s="406">
        <f>AFI17-AFG17</f>
        <v>56</v>
      </c>
      <c r="AFK17" s="824" t="str">
        <f>MID(AFD$4,AFG17,AFJ17)</f>
        <v>расходы на проведение независимой технической экспертизы</v>
      </c>
      <c r="AFL17" s="825" t="str">
        <f>IFERROR(INDEX($DU:$DU,MATCH(MID(AFD$4,AFG17,AFJ17),$DT:$DT,0),1),"")</f>
        <v/>
      </c>
      <c r="AFM17" s="842" t="str">
        <f>IF(AFL101="","",CONCATENATE(AFE101,". ",AFL101," ",IFERROR(CONCATENATE(AFK105,",",AFK106),""),IF(ISERROR(CONCATENATE(AFK105,",",AFK106)),"","₽")))</f>
        <v/>
      </c>
      <c r="AFQ17" s="1463">
        <v>3</v>
      </c>
      <c r="AFR17" s="824" t="s">
        <v>8433</v>
      </c>
      <c r="AFS17" s="838" t="e">
        <f>SEARCH(AFN$4,AFP$4,AFU10)+LEN(AFN$4)</f>
        <v>#VALUE!</v>
      </c>
      <c r="AFT17" s="406" t="str">
        <f>IF(AFU17=IFERROR(SEARCH(".",AFP$4,AFS17),99999),".",
IF(AFU17=IFERROR(SEARCH(",",AFP$4,AFS17),99999),",",
IF(AFU17=IFERROR(SEARCH(" за период",AFP$4,AFS17),999999)," за период",
IF(AFU17=IFERROR(SEARCH(" в размере",AFP$4,AFS17),99999)," в размере",
))))</f>
        <v>.</v>
      </c>
      <c r="AFU17" s="406">
        <f>IFERROR(MIN(IFERROR(SEARCH(".",AFP$4,AFS17),99999),IFERROR(SEARCH(",",AFP$4,AFS17),99999),IFERROR(SEARCH(" за период",AFP$4,AFS17),999999),IFERROR(SEARCH(" в размере",AFP$4,AFS17),99999)),"ОШИБКА")</f>
        <v>99999</v>
      </c>
      <c r="AFV17" s="406" t="e">
        <f>AFU17-AFS17</f>
        <v>#VALUE!</v>
      </c>
      <c r="AFW17" s="824" t="e">
        <f>MID(AFP$4,AFS17,AFV17)</f>
        <v>#VALUE!</v>
      </c>
      <c r="AFX17" s="825" t="str">
        <f>IFERROR(INDEX($DU:$DU,MATCH(MID(AFP$4,AFS17,AFV17),$DT:$DT,0),1),"")</f>
        <v/>
      </c>
      <c r="AFY17" s="842" t="str">
        <f>IF(AFX101="","",CONCATENATE(AFQ101,". ",AFX101," ",IFERROR(CONCATENATE(AFW105,",",AFW106),""),IF(ISERROR(CONCATENATE(AFW105,",",AFW106)),"","₽")))</f>
        <v/>
      </c>
      <c r="AGC17" s="1463">
        <v>3</v>
      </c>
      <c r="AGD17" s="824" t="s">
        <v>8433</v>
      </c>
      <c r="AGE17" s="838" t="e">
        <f>SEARCH(AFZ$4,AGB$4,AGG10)+LEN(AFZ$4)</f>
        <v>#VALUE!</v>
      </c>
      <c r="AGF17" s="406" t="str">
        <f>IF(AGG17=IFERROR(SEARCH(".",AGB$4,AGE17),99999),".",
IF(AGG17=IFERROR(SEARCH(",",AGB$4,AGE17),99999),",",
IF(AGG17=IFERROR(SEARCH(" за период",AGB$4,AGE17),999999)," за период",
IF(AGG17=IFERROR(SEARCH(" в размере",AGB$4,AGE17),99999)," в размере",
))))</f>
        <v>.</v>
      </c>
      <c r="AGG17" s="406">
        <f>IFERROR(MIN(IFERROR(SEARCH(".",AGB$4,AGE17),99999),IFERROR(SEARCH(",",AGB$4,AGE17),99999),IFERROR(SEARCH(" за период",AGB$4,AGE17),999999),IFERROR(SEARCH(" в размере",AGB$4,AGE17),99999)),"ОШИБКА")</f>
        <v>99999</v>
      </c>
      <c r="AGH17" s="406" t="e">
        <f>AGG17-AGE17</f>
        <v>#VALUE!</v>
      </c>
      <c r="AGI17" s="824" t="e">
        <f>MID(AGB$4,AGE17,AGH17)</f>
        <v>#VALUE!</v>
      </c>
      <c r="AGJ17" s="825" t="str">
        <f>IFERROR(INDEX($DU:$DU,MATCH(MID(AGB$4,AGE17,AGH17),$DT:$DT,0),1),"")</f>
        <v/>
      </c>
      <c r="AGK17" s="842" t="str">
        <f>IF(AGJ101="","",CONCATENATE(AGC101,". ",AGJ101," ",IFERROR(CONCATENATE(AGI105,",",AGI106),""),IF(ISERROR(CONCATENATE(AGI105,",",AGI106)),"","₽")))</f>
        <v/>
      </c>
      <c r="AGO17" s="1463">
        <v>3</v>
      </c>
      <c r="AGP17" s="824" t="s">
        <v>8433</v>
      </c>
      <c r="AGQ17" s="838" t="e">
        <f>SEARCH(AGL$4,AGN$4,AGS10)+LEN(AGL$4)</f>
        <v>#VALUE!</v>
      </c>
      <c r="AGR17" s="406" t="str">
        <f>IF(AGS17=IFERROR(SEARCH(".",AGN$4,AGQ17),99999),".",
IF(AGS17=IFERROR(SEARCH(",",AGN$4,AGQ17),99999),",",
IF(AGS17=IFERROR(SEARCH(" за период",AGN$4,AGQ17),999999)," за период",
IF(AGS17=IFERROR(SEARCH(" в размере",AGN$4,AGQ17),99999)," в размере",
))))</f>
        <v>.</v>
      </c>
      <c r="AGS17" s="406">
        <f>IFERROR(MIN(IFERROR(SEARCH(".",AGN$4,AGQ17),99999),IFERROR(SEARCH(",",AGN$4,AGQ17),99999),IFERROR(SEARCH(" за период",AGN$4,AGQ17),999999),IFERROR(SEARCH(" в размере",AGN$4,AGQ17),99999)),"ОШИБКА")</f>
        <v>99999</v>
      </c>
      <c r="AGT17" s="406" t="e">
        <f>AGS17-AGQ17</f>
        <v>#VALUE!</v>
      </c>
      <c r="AGU17" s="824" t="e">
        <f>MID(AGN$4,AGQ17,AGT17)</f>
        <v>#VALUE!</v>
      </c>
      <c r="AGV17" s="825" t="str">
        <f>IFERROR(INDEX($DU:$DU,MATCH(MID(AGN$4,AGQ17,AGT17),$DT:$DT,0),1),"")</f>
        <v/>
      </c>
      <c r="AGW17" s="842" t="str">
        <f>IF(AGV101="","",CONCATENATE(AGO101,". ",AGV101," ",IFERROR(CONCATENATE(AGU105,",",AGU106),""),IF(ISERROR(CONCATENATE(AGU105,",",AGU106)),"","₽")))</f>
        <v/>
      </c>
      <c r="AHA17" s="1463">
        <v>3</v>
      </c>
      <c r="AHB17" s="824" t="s">
        <v>8433</v>
      </c>
      <c r="AHC17" s="838" t="e">
        <f>SEARCH(AGX$4,AGZ$4,AHE10)+LEN(AGX$4)</f>
        <v>#VALUE!</v>
      </c>
      <c r="AHD17" s="406" t="str">
        <f>IF(AHE17=IFERROR(SEARCH(".",AGZ$4,AHC17),99999),".",
IF(AHE17=IFERROR(SEARCH(",",AGZ$4,AHC17),99999),",",
IF(AHE17=IFERROR(SEARCH(" за период",AGZ$4,AHC17),999999)," за период",
IF(AHE17=IFERROR(SEARCH(" в размере",AGZ$4,AHC17),99999)," в размере",
))))</f>
        <v>.</v>
      </c>
      <c r="AHE17" s="406">
        <f>IFERROR(MIN(IFERROR(SEARCH(".",AGZ$4,AHC17),99999),IFERROR(SEARCH(",",AGZ$4,AHC17),99999),IFERROR(SEARCH(" за период",AGZ$4,AHC17),999999),IFERROR(SEARCH(" в размере",AGZ$4,AHC17),99999)),"ОШИБКА")</f>
        <v>99999</v>
      </c>
      <c r="AHF17" s="406" t="e">
        <f>AHE17-AHC17</f>
        <v>#VALUE!</v>
      </c>
      <c r="AHG17" s="824" t="e">
        <f>MID(AGZ$4,AHC17,AHF17)</f>
        <v>#VALUE!</v>
      </c>
      <c r="AHH17" s="825" t="str">
        <f>IFERROR(INDEX($DU:$DU,MATCH(MID(AGZ$4,AHC17,AHF17),$DT:$DT,0),1),"")</f>
        <v/>
      </c>
      <c r="AHI17" s="842" t="str">
        <f>IF(AHH101="","",CONCATENATE(AHA101,". ",AHH101," ",IFERROR(CONCATENATE(AHG105,",",AHG106),""),IF(ISERROR(CONCATENATE(AHG105,",",AHG106)),"","₽")))</f>
        <v/>
      </c>
      <c r="AHJ17" s="1085"/>
      <c r="AIJ17" t="s">
        <v>9815</v>
      </c>
      <c r="AIK17" t="s">
        <v>9816</v>
      </c>
      <c r="AIL17" s="1235" t="e">
        <f t="shared" si="68"/>
        <v>#VALUE!</v>
      </c>
      <c r="AKA17" s="116"/>
      <c r="AKK17" s="116"/>
      <c r="AKU17" s="116"/>
      <c r="ALE17" s="116"/>
      <c r="ALO17" s="116"/>
      <c r="ALP17" s="116"/>
      <c r="AMG17" t="str">
        <f t="shared" si="143"/>
        <v>Волгоградская обл</v>
      </c>
      <c r="AMH17" t="str">
        <f t="shared" si="144"/>
        <v>Волгоградская обл.</v>
      </c>
      <c r="AMI17" s="1235" t="e">
        <f t="shared" si="75"/>
        <v>#VALUE!</v>
      </c>
      <c r="ANX17" s="116"/>
      <c r="AOH17" s="116"/>
      <c r="AOR17" s="116"/>
      <c r="APB17" s="116"/>
      <c r="APL17" s="116"/>
      <c r="APM17" s="116"/>
    </row>
    <row r="18" spans="1:1023 1064:1105" ht="14.4" customHeight="1" thickTop="1" x14ac:dyDescent="0.3">
      <c r="B18" s="116"/>
      <c r="C18" s="116"/>
      <c r="D18" s="116"/>
      <c r="E18" s="116"/>
      <c r="F18" s="116"/>
      <c r="G18" s="116"/>
      <c r="H18" s="116"/>
      <c r="I18" s="116"/>
      <c r="J18" s="116"/>
      <c r="K18" s="116"/>
      <c r="L18" s="116"/>
      <c r="M18" s="116"/>
      <c r="N18" s="116"/>
      <c r="O18" s="116"/>
      <c r="P18" s="116"/>
      <c r="Q18" s="116"/>
      <c r="R18" s="116"/>
      <c r="S18" s="116"/>
      <c r="T18" s="116"/>
      <c r="U18" s="116"/>
      <c r="V18" s="116"/>
      <c r="W18" s="116"/>
      <c r="X18" s="116"/>
      <c r="Y18" s="116"/>
      <c r="Z18" s="116"/>
      <c r="AA18" s="116"/>
      <c r="AB18" s="116"/>
      <c r="AC18" s="116"/>
      <c r="AD18" s="116"/>
      <c r="AE18" s="116"/>
      <c r="AF18" s="116"/>
      <c r="AG18" s="116"/>
      <c r="AH18" s="116"/>
      <c r="AI18" s="116"/>
      <c r="AJ18" s="116"/>
      <c r="AK18" s="116"/>
      <c r="AL18" s="116"/>
      <c r="AM18" s="116"/>
      <c r="AN18" s="116"/>
      <c r="AO18" s="116"/>
      <c r="AP18" s="116"/>
      <c r="AQ18" s="116"/>
      <c r="AR18" s="116"/>
      <c r="AS18" s="116"/>
      <c r="AT18" s="116"/>
      <c r="AU18" s="754"/>
      <c r="AV18" s="754"/>
      <c r="AW18" s="754"/>
      <c r="AX18" s="754"/>
      <c r="AY18" s="754"/>
      <c r="AZ18" s="754"/>
      <c r="BA18" s="754"/>
      <c r="BB18" s="754"/>
      <c r="DP18" s="791" t="s">
        <v>8422</v>
      </c>
      <c r="DQ18" s="941" t="str">
        <f>DO3</f>
        <v>4202000716</v>
      </c>
      <c r="DR18" t="s">
        <v>1119</v>
      </c>
      <c r="DT18" t="s">
        <v>85</v>
      </c>
      <c r="DU18" t="s">
        <v>9220</v>
      </c>
      <c r="DV18" s="1464"/>
      <c r="DW18" s="826" t="s">
        <v>8435</v>
      </c>
      <c r="DX18" s="836" t="str">
        <f>IF(DY17=" за период",SEARCH(" за период",$C$3,DZ17)+LEN(" за период")+3,"НЕТ")</f>
        <v>НЕТ</v>
      </c>
      <c r="DY18" s="306" t="s">
        <v>8434</v>
      </c>
      <c r="DZ18" s="306" t="e">
        <f>SEARCH(DY18,$C$3,DX18)</f>
        <v>#VALUE!</v>
      </c>
      <c r="EA18" s="306" t="e">
        <f>DZ18-DX18</f>
        <v>#VALUE!</v>
      </c>
      <c r="EB18" s="827" t="e">
        <f>DATEVALUE(MID($C$3,DX18,EA18))</f>
        <v>#VALUE!</v>
      </c>
      <c r="EC18" s="828" t="str">
        <f>IF(DY17=" за период",EB18,"")</f>
        <v/>
      </c>
      <c r="ED18" s="116"/>
      <c r="FC18" s="116"/>
      <c r="FD18" s="116"/>
      <c r="FE18" s="116"/>
      <c r="FF18" s="116"/>
      <c r="FI18" s="116"/>
      <c r="HK18" s="1543"/>
      <c r="HL18" s="948" t="str">
        <f>IFERROR(GP11,"")</f>
        <v/>
      </c>
      <c r="LY18" t="str">
        <f>CONCATENATE(" Заявитель уведомил ",$CU$3)</f>
        <v xml:space="preserve"> Заявитель уведомил АО СК «БАСК»</v>
      </c>
      <c r="MB18" s="1059"/>
      <c r="NK18" s="1464"/>
      <c r="NL18" s="826" t="s">
        <v>8435</v>
      </c>
      <c r="NM18" s="836" t="str">
        <f>IF(NN17=" за период",SEARCH(" за период",NJ$4,NO17)+LEN(" за период")+3,"НЕТ")</f>
        <v>НЕТ</v>
      </c>
      <c r="NN18" s="306" t="s">
        <v>8434</v>
      </c>
      <c r="NO18" s="306" t="e">
        <f>SEARCH(NN18,NJ$4,NM18)</f>
        <v>#VALUE!</v>
      </c>
      <c r="NP18" s="306" t="e">
        <f>NO18-NM18</f>
        <v>#VALUE!</v>
      </c>
      <c r="NQ18" s="827" t="e">
        <f>DATEVALUE(MID(NJ$4,NM18,NP18))</f>
        <v>#VALUE!</v>
      </c>
      <c r="NR18" s="828" t="str">
        <f>IF(NN17=" за период",NQ18,"")</f>
        <v/>
      </c>
      <c r="NS18" s="116"/>
      <c r="NT18" s="116"/>
      <c r="OB18" s="1535"/>
      <c r="OC18" s="1472"/>
      <c r="OD18" s="946" t="str">
        <f t="shared" si="131"/>
        <v>$$$$</v>
      </c>
      <c r="OE18" s="947" t="e">
        <f t="shared" si="132"/>
        <v>#VALUE!</v>
      </c>
      <c r="OF18" s="947"/>
      <c r="OG18" s="920"/>
      <c r="OH18" s="920"/>
      <c r="OI18" s="947"/>
      <c r="OJ18" s="947"/>
      <c r="OK18" s="947"/>
      <c r="OL18" s="1474"/>
      <c r="OM18" s="99"/>
      <c r="ON18" s="99"/>
      <c r="OO18" s="99"/>
      <c r="OY18" s="116"/>
      <c r="OZ18" s="959"/>
      <c r="PA18" s="1210"/>
      <c r="PB18" s="959"/>
      <c r="PC18" s="116"/>
      <c r="PD18" s="1000"/>
      <c r="PF18" s="1209"/>
      <c r="PG18" s="1208"/>
      <c r="PH18" s="1209"/>
      <c r="PI18" s="5"/>
      <c r="PJ18" s="1073"/>
      <c r="PK18" s="99"/>
      <c r="PL18" s="920"/>
      <c r="PM18" s="995"/>
      <c r="PN18" s="920"/>
      <c r="PO18" s="254"/>
      <c r="PP18" s="871"/>
      <c r="PQ18" t="str">
        <f t="shared" si="133"/>
        <v>$$$$</v>
      </c>
      <c r="PR18" s="937" t="e">
        <f t="shared" si="134"/>
        <v>#VALUE!</v>
      </c>
      <c r="PS18" s="5"/>
      <c r="PV18" s="937"/>
      <c r="PX18" s="5"/>
      <c r="PY18" s="1470"/>
      <c r="PZ18" t="str">
        <f t="shared" si="135"/>
        <v>$$$$</v>
      </c>
      <c r="QA18" s="937" t="e">
        <f t="shared" si="136"/>
        <v>#VALUE!</v>
      </c>
      <c r="QB18" s="5"/>
      <c r="QC18" s="264"/>
      <c r="QE18" s="937"/>
      <c r="QF18" s="264"/>
      <c r="QG18" s="5"/>
      <c r="QH18" s="1470"/>
      <c r="QI18" t="str">
        <f t="shared" si="137"/>
        <v>$$$$</v>
      </c>
      <c r="QJ18" s="937" t="e">
        <f t="shared" si="138"/>
        <v>#VALUE!</v>
      </c>
      <c r="QK18" s="5"/>
      <c r="QL18" s="264"/>
      <c r="QN18" s="937"/>
      <c r="QO18" s="264"/>
      <c r="QP18" s="5"/>
      <c r="QQ18" s="1470"/>
      <c r="QR18" t="str">
        <f t="shared" si="139"/>
        <v>$$$$</v>
      </c>
      <c r="QS18" s="937" t="e">
        <f t="shared" si="140"/>
        <v>#VALUE!</v>
      </c>
      <c r="QT18" s="5"/>
      <c r="QU18" s="264"/>
      <c r="QW18" s="937"/>
      <c r="QX18" s="264"/>
      <c r="QY18" s="5"/>
      <c r="QZ18" s="1470"/>
      <c r="RA18" s="1094" t="s">
        <v>5</v>
      </c>
      <c r="RB18" s="1095" t="str">
        <f>IFERROR(PJ5,"")</f>
        <v/>
      </c>
      <c r="RL18" s="99"/>
      <c r="RO18" s="99"/>
      <c r="SJ18" s="1284" t="s">
        <v>10646</v>
      </c>
      <c r="SV18" t="s">
        <v>8513</v>
      </c>
      <c r="SY18" s="1464"/>
      <c r="SZ18" s="826" t="s">
        <v>8435</v>
      </c>
      <c r="TA18" s="836" t="str">
        <f>IF(TB17=" за период",SEARCH(" за период",$SQ$3,TC17)+LEN(" за период")+3,"НЕТ")</f>
        <v>НЕТ</v>
      </c>
      <c r="TB18" s="306" t="s">
        <v>8434</v>
      </c>
      <c r="TC18" s="306" t="e">
        <f>SEARCH(TB18,$SQ$3,TA18)</f>
        <v>#VALUE!</v>
      </c>
      <c r="TD18" s="306" t="e">
        <f>TC18-TA18</f>
        <v>#VALUE!</v>
      </c>
      <c r="TE18" s="827" t="e">
        <f>DATEVALUE(MID($SQ$3,TA18,TD18))</f>
        <v>#VALUE!</v>
      </c>
      <c r="TF18" s="828" t="str">
        <f>IF(TB17=" за период",TE18,"")</f>
        <v/>
      </c>
      <c r="TG18" s="116"/>
      <c r="TK18" s="1476"/>
      <c r="TL18" s="1031" t="s">
        <v>8249</v>
      </c>
      <c r="TM18" s="836">
        <f>IFERROR(MIN(IFERROR(SEARCH(", ",TJ$4,TO13)+LEN(", "),99999),IFERROR(SEARCH("и ",TJ$4,TO13)+LEN("и "),99999)),"ОШИБКА")</f>
        <v>99999</v>
      </c>
      <c r="TN18" s="306" t="s">
        <v>8431</v>
      </c>
      <c r="TO18" s="306" t="e">
        <f>SEARCH(TN18,TJ$4,TM18)</f>
        <v>#VALUE!</v>
      </c>
      <c r="TP18" s="306" t="e">
        <f>TO18-TM18</f>
        <v>#VALUE!</v>
      </c>
      <c r="TQ18" s="826" t="e">
        <f>IF(TR17="Штраф 50%","",MID(TJ$4,TM18,TP18))</f>
        <v>#VALUE!</v>
      </c>
      <c r="TR18" s="828" t="str">
        <f>IF(TN17=" за период",TQ18,"")</f>
        <v/>
      </c>
      <c r="TS18" s="116"/>
      <c r="TT18" t="str">
        <f t="shared" si="27"/>
        <v>$$$$</v>
      </c>
      <c r="TW18" s="1464"/>
      <c r="TX18" s="826" t="s">
        <v>8435</v>
      </c>
      <c r="TY18" s="836" t="str">
        <f>IF(TZ17=" за период",SEARCH(" за период",$SQ$4,UA17)+LEN(" за период")+3,"НЕТ")</f>
        <v>НЕТ</v>
      </c>
      <c r="TZ18" s="306" t="s">
        <v>8434</v>
      </c>
      <c r="UA18" s="306" t="e">
        <f>SEARCH(TZ18,$SQ$4,TY18)</f>
        <v>#VALUE!</v>
      </c>
      <c r="UB18" s="306" t="e">
        <f>UA18-TY18</f>
        <v>#VALUE!</v>
      </c>
      <c r="UC18" s="827" t="e">
        <f>DATEVALUE(MID($SQ$4,TY18,UB18))</f>
        <v>#VALUE!</v>
      </c>
      <c r="UD18" s="828" t="str">
        <f>IF(TZ17=" за период",UC18,"")</f>
        <v/>
      </c>
      <c r="UE18" s="116"/>
      <c r="UI18" s="1476"/>
      <c r="UJ18" s="1031" t="s">
        <v>8249</v>
      </c>
      <c r="UK18" s="836">
        <f>IFERROR(MIN(IFERROR(SEARCH(", ",UH$4,UM13)+LEN(", "),99999),IFERROR(SEARCH("и ",UH$4,UM13)+LEN("и "),99999)),"ОШИБКА")</f>
        <v>99999</v>
      </c>
      <c r="UL18" s="306" t="s">
        <v>8431</v>
      </c>
      <c r="UM18" s="306" t="e">
        <f>SEARCH(UL18,UH$4,UK18)</f>
        <v>#VALUE!</v>
      </c>
      <c r="UN18" s="306" t="e">
        <f>UM18-UK18</f>
        <v>#VALUE!</v>
      </c>
      <c r="UO18" s="826" t="e">
        <f>IF(UP17="Штраф 50%","",MID(UH$4,UK18,UN18))</f>
        <v>#VALUE!</v>
      </c>
      <c r="UP18" s="828" t="str">
        <f>IF(UL17=" за период",UO18,"")</f>
        <v/>
      </c>
      <c r="UQ18" s="116"/>
      <c r="UU18" s="1464"/>
      <c r="UV18" s="826" t="s">
        <v>8435</v>
      </c>
      <c r="UW18" s="836" t="str">
        <f>IF(UX17=" за период",SEARCH(" за период",$SQ$5,UY17)+LEN(" за период")+3,"НЕТ")</f>
        <v>НЕТ</v>
      </c>
      <c r="UX18" s="306" t="s">
        <v>8434</v>
      </c>
      <c r="UY18" s="306" t="e">
        <f>SEARCH(UX18,$SQ$5,UW18)</f>
        <v>#VALUE!</v>
      </c>
      <c r="UZ18" s="306" t="e">
        <f>UY18-UW18</f>
        <v>#VALUE!</v>
      </c>
      <c r="VA18" s="827" t="e">
        <f>DATEVALUE(MID($SQ$5,UW18,UZ18))</f>
        <v>#VALUE!</v>
      </c>
      <c r="VB18" s="828" t="str">
        <f>IF(UX17=" за период",VA18,"")</f>
        <v/>
      </c>
      <c r="VC18" s="116"/>
      <c r="VG18" s="1476"/>
      <c r="VH18" s="1031" t="s">
        <v>8249</v>
      </c>
      <c r="VI18" s="836">
        <f>IFERROR(MIN(IFERROR(SEARCH(", ",VF$4,VK13)+LEN(", "),99999),IFERROR(SEARCH("и ",VF$4,VK13)+LEN("и "),99999)),"ОШИБКА")</f>
        <v>99999</v>
      </c>
      <c r="VJ18" s="306" t="s">
        <v>8431</v>
      </c>
      <c r="VK18" s="306" t="e">
        <f>SEARCH(VJ18,VF$4,VI18)</f>
        <v>#VALUE!</v>
      </c>
      <c r="VL18" s="306" t="e">
        <f>VK18-VI18</f>
        <v>#VALUE!</v>
      </c>
      <c r="VM18" s="826" t="e">
        <f>IF(VN17="Штраф 50%","",MID(VF$4,VI18,VL18))</f>
        <v>#VALUE!</v>
      </c>
      <c r="VN18" s="828" t="str">
        <f>IF(VJ17=" за период",VM18,"")</f>
        <v/>
      </c>
      <c r="VO18" s="116"/>
      <c r="VS18" s="1464"/>
      <c r="VT18" s="826" t="s">
        <v>8435</v>
      </c>
      <c r="VU18" s="836" t="str">
        <f>IF(VV17=" за период",SEARCH(" за период",$SQ$6,VW17)+LEN(" за период")+3,"НЕТ")</f>
        <v>НЕТ</v>
      </c>
      <c r="VV18" s="306" t="s">
        <v>8434</v>
      </c>
      <c r="VW18" s="306" t="e">
        <f>SEARCH(VV18,$SQ$6,VU18)</f>
        <v>#VALUE!</v>
      </c>
      <c r="VX18" s="306" t="e">
        <f>VW18-VU18</f>
        <v>#VALUE!</v>
      </c>
      <c r="VY18" s="827" t="e">
        <f>DATEVALUE(MID($SQ$6,VU18,VX18))</f>
        <v>#VALUE!</v>
      </c>
      <c r="VZ18" s="828" t="str">
        <f>IF(VV17=" за период",VY18,"")</f>
        <v/>
      </c>
      <c r="WA18" s="116"/>
      <c r="WE18" s="1476"/>
      <c r="WF18" s="1031" t="s">
        <v>8249</v>
      </c>
      <c r="WG18" s="836">
        <f>IFERROR(MIN(IFERROR(SEARCH(", ",WD$4,WI13)+LEN(", "),99999),IFERROR(SEARCH("и ",WD$4,WI13)+LEN("и "),99999)),"ОШИБКА")</f>
        <v>99999</v>
      </c>
      <c r="WH18" s="306" t="s">
        <v>8431</v>
      </c>
      <c r="WI18" s="306" t="e">
        <f>SEARCH(WH18,WD$4,WG18)</f>
        <v>#VALUE!</v>
      </c>
      <c r="WJ18" s="306" t="e">
        <f>WI18-WG18</f>
        <v>#VALUE!</v>
      </c>
      <c r="WK18" s="826" t="e">
        <f>IF(WL17="Штраф 50%","",MID(WD$4,WG18,WJ18))</f>
        <v>#VALUE!</v>
      </c>
      <c r="WL18" s="828" t="str">
        <f>IF(WH17=" за период",WK18,"")</f>
        <v/>
      </c>
      <c r="WM18" s="116"/>
      <c r="WQ18" s="1464"/>
      <c r="WR18" s="826" t="s">
        <v>8435</v>
      </c>
      <c r="WS18" s="836" t="str">
        <f>IF(WT17=" за период",SEARCH(" за период",$SQ$7,WU17)+LEN(" за период")+3,"НЕТ")</f>
        <v>НЕТ</v>
      </c>
      <c r="WT18" s="306" t="s">
        <v>8434</v>
      </c>
      <c r="WU18" s="306" t="e">
        <f>SEARCH(WT18,$SQ$7,WS18)</f>
        <v>#VALUE!</v>
      </c>
      <c r="WV18" s="306" t="e">
        <f>WU18-WS18</f>
        <v>#VALUE!</v>
      </c>
      <c r="WW18" s="827" t="e">
        <f>DATEVALUE(MID($SQ$7,WS18,WV18))</f>
        <v>#VALUE!</v>
      </c>
      <c r="WX18" s="828" t="str">
        <f>IF(WT17=" за период",WW18,"")</f>
        <v/>
      </c>
      <c r="WY18" s="116"/>
      <c r="XC18" s="1476"/>
      <c r="XD18" s="1031" t="s">
        <v>8249</v>
      </c>
      <c r="XE18" s="836">
        <f>IFERROR(MIN(IFERROR(SEARCH(", ",XB$4,XG13)+LEN(", "),99999),IFERROR(SEARCH("и ",XB$4,XG13)+LEN("и "),99999)),"ОШИБКА")</f>
        <v>99999</v>
      </c>
      <c r="XF18" s="306" t="s">
        <v>8431</v>
      </c>
      <c r="XG18" s="306" t="e">
        <f>SEARCH(XF18,XB$4,XE18)</f>
        <v>#VALUE!</v>
      </c>
      <c r="XH18" s="306" t="e">
        <f>XG18-XE18</f>
        <v>#VALUE!</v>
      </c>
      <c r="XI18" s="826" t="e">
        <f>IF(XJ17="Штраф 50%","",MID(XB$4,XE18,XH18))</f>
        <v>#VALUE!</v>
      </c>
      <c r="XJ18" s="828" t="str">
        <f>IF(XF17=" за период",XI18,"")</f>
        <v/>
      </c>
      <c r="XK18" s="116"/>
      <c r="XM18" s="99"/>
      <c r="YG18" s="1464"/>
      <c r="YH18" s="826" t="s">
        <v>8435</v>
      </c>
      <c r="YI18" s="836" t="str">
        <f>IF(YJ17=" за период",SEARCH(" за период",$XU$3,YK17)+LEN(" за период")+3,"НЕТ")</f>
        <v>НЕТ</v>
      </c>
      <c r="YJ18" s="306" t="s">
        <v>8434</v>
      </c>
      <c r="YK18" s="306" t="e">
        <f>SEARCH(YJ18,$XU$3,YI18)</f>
        <v>#VALUE!</v>
      </c>
      <c r="YL18" s="306" t="e">
        <f>YK18-YI18</f>
        <v>#VALUE!</v>
      </c>
      <c r="YM18" s="827" t="e">
        <f>DATEVALUE(MID($XU$3,YI18,YL18))</f>
        <v>#VALUE!</v>
      </c>
      <c r="YN18" s="828" t="str">
        <f>IF(YJ17=" за период",YM18,"")</f>
        <v/>
      </c>
      <c r="YO18" s="116"/>
      <c r="YS18" s="1464"/>
      <c r="YT18" s="826" t="s">
        <v>8435</v>
      </c>
      <c r="YU18" s="836" t="str">
        <f>IF(YV17=" за период",SEARCH(" за период",$XU$4,YW17)+LEN(" за период")+3,"НЕТ")</f>
        <v>НЕТ</v>
      </c>
      <c r="YV18" s="306" t="s">
        <v>8434</v>
      </c>
      <c r="YW18" s="306" t="e">
        <f>SEARCH(YV18,$XU$4,YU18)</f>
        <v>#VALUE!</v>
      </c>
      <c r="YX18" s="306" t="e">
        <f>YW18-YU18</f>
        <v>#VALUE!</v>
      </c>
      <c r="YY18" s="827" t="e">
        <f>DATEVALUE(MID($XU$4,YU18,YX18))</f>
        <v>#VALUE!</v>
      </c>
      <c r="YZ18" s="828" t="str">
        <f>IF(YV17=" за период",YY18,"")</f>
        <v/>
      </c>
      <c r="ZA18" s="116"/>
      <c r="ZE18" s="1464"/>
      <c r="ZF18" s="826" t="s">
        <v>8435</v>
      </c>
      <c r="ZG18" s="836" t="str">
        <f>IF(ZH17=" за период",SEARCH(" за период",$XU$5,ZI17)+LEN(" за период")+3,"НЕТ")</f>
        <v>НЕТ</v>
      </c>
      <c r="ZH18" s="306" t="s">
        <v>8434</v>
      </c>
      <c r="ZI18" s="306" t="e">
        <f>SEARCH(ZH18,$XU$5,ZG18)</f>
        <v>#VALUE!</v>
      </c>
      <c r="ZJ18" s="306" t="e">
        <f>ZI18-ZG18</f>
        <v>#VALUE!</v>
      </c>
      <c r="ZK18" s="827" t="e">
        <f>DATEVALUE(MID($XU$5,ZG18,ZJ18))</f>
        <v>#VALUE!</v>
      </c>
      <c r="ZL18" s="828" t="str">
        <f>IF(ZH17=" за период",ZK18,"")</f>
        <v/>
      </c>
      <c r="ZM18" s="116"/>
      <c r="ZQ18" s="1464"/>
      <c r="ZR18" s="826" t="s">
        <v>8435</v>
      </c>
      <c r="ZS18" s="836" t="str">
        <f>IF(ZT17=" за период",SEARCH(" за период",$XU$6,ZU17)+LEN(" за период")+3,"НЕТ")</f>
        <v>НЕТ</v>
      </c>
      <c r="ZT18" s="306" t="s">
        <v>8434</v>
      </c>
      <c r="ZU18" s="306" t="e">
        <f>SEARCH(ZT18,$XU$6,ZS18)</f>
        <v>#VALUE!</v>
      </c>
      <c r="ZV18" s="306" t="e">
        <f>ZU18-ZS18</f>
        <v>#VALUE!</v>
      </c>
      <c r="ZW18" s="827" t="e">
        <f>DATEVALUE(MID($XU$6,ZS18,ZV18))</f>
        <v>#VALUE!</v>
      </c>
      <c r="ZX18" s="828" t="str">
        <f>IF(ZT17=" за период",ZW18,"")</f>
        <v/>
      </c>
      <c r="ZY18" s="116"/>
      <c r="AAC18" s="1464"/>
      <c r="AAD18" s="826" t="s">
        <v>8435</v>
      </c>
      <c r="AAE18" s="836" t="str">
        <f>IF(AAF17=" за период",SEARCH(" за период",$XU$7,AAG17)+LEN(" за период")+3,"НЕТ")</f>
        <v>НЕТ</v>
      </c>
      <c r="AAF18" s="306" t="s">
        <v>8434</v>
      </c>
      <c r="AAG18" s="306" t="e">
        <f>SEARCH(AAF18,$XU$7,AAE18)</f>
        <v>#VALUE!</v>
      </c>
      <c r="AAH18" s="306" t="e">
        <f>AAG18-AAE18</f>
        <v>#VALUE!</v>
      </c>
      <c r="AAI18" s="827" t="e">
        <f>DATEVALUE(MID($XU$7,AAE18,AAH18))</f>
        <v>#VALUE!</v>
      </c>
      <c r="AAJ18" s="828" t="str">
        <f>IF(AAF17=" за период",AAI18,"")</f>
        <v/>
      </c>
      <c r="AAK18" s="116"/>
      <c r="AAL18" s="116"/>
      <c r="AAM18" s="116"/>
      <c r="AAV18" t="str">
        <f t="shared" si="141"/>
        <v>$$$$</v>
      </c>
      <c r="AAW18" s="947" t="e">
        <f t="shared" si="142"/>
        <v>#VALUE!</v>
      </c>
      <c r="AAX18" s="5"/>
      <c r="AAY18" s="5"/>
      <c r="AAZ18" s="5"/>
      <c r="ABA18" s="1487"/>
      <c r="ADF18" s="5"/>
      <c r="ADR18" s="1078" t="str">
        <f>IFERROR(ABW5,"")</f>
        <v/>
      </c>
      <c r="AEJ18" s="961"/>
      <c r="AEK18" s="961"/>
      <c r="AEL18" s="961"/>
      <c r="AFE18" s="1464"/>
      <c r="AFF18" s="826" t="s">
        <v>8435</v>
      </c>
      <c r="AFG18" s="836" t="str">
        <f>IF(AFH17=" за период",SEARCH(" за период",AFD$4,AFI17)+LEN(" за период")+3,"НЕТ")</f>
        <v>НЕТ</v>
      </c>
      <c r="AFH18" s="306" t="s">
        <v>8434</v>
      </c>
      <c r="AFI18" s="306" t="e">
        <f>SEARCH(AFH18,AFD$4,AFG18)</f>
        <v>#VALUE!</v>
      </c>
      <c r="AFJ18" s="306" t="e">
        <f>AFI18-AFG18</f>
        <v>#VALUE!</v>
      </c>
      <c r="AFK18" s="827" t="e">
        <f>DATEVALUE(MID(AFD$4,AFG18,AFJ18))</f>
        <v>#VALUE!</v>
      </c>
      <c r="AFL18" s="828" t="str">
        <f>IF(AFH17=" за период",AFK18,"")</f>
        <v/>
      </c>
      <c r="AFM18" s="116"/>
      <c r="AFQ18" s="1464"/>
      <c r="AFR18" s="826" t="s">
        <v>8435</v>
      </c>
      <c r="AFS18" s="836" t="str">
        <f>IF(AFT17=" за период",SEARCH(" за период",AFP$4,AFU17)+LEN(" за период")+3,"НЕТ")</f>
        <v>НЕТ</v>
      </c>
      <c r="AFT18" s="306" t="s">
        <v>8434</v>
      </c>
      <c r="AFU18" s="306" t="e">
        <f>SEARCH(AFT18,AFP$4,AFS18)</f>
        <v>#VALUE!</v>
      </c>
      <c r="AFV18" s="306" t="e">
        <f>AFU18-AFS18</f>
        <v>#VALUE!</v>
      </c>
      <c r="AFW18" s="827" t="e">
        <f>DATEVALUE(MID(AFP$4,AFS18,AFV18))</f>
        <v>#VALUE!</v>
      </c>
      <c r="AFX18" s="828" t="str">
        <f>IF(AFT17=" за период",AFW18,"")</f>
        <v/>
      </c>
      <c r="AFY18" s="116"/>
      <c r="AGC18" s="1464"/>
      <c r="AGD18" s="826" t="s">
        <v>8435</v>
      </c>
      <c r="AGE18" s="836" t="str">
        <f>IF(AGF17=" за период",SEARCH(" за период",AGB$4,AGG17)+LEN(" за период")+3,"НЕТ")</f>
        <v>НЕТ</v>
      </c>
      <c r="AGF18" s="306" t="s">
        <v>8434</v>
      </c>
      <c r="AGG18" s="306" t="e">
        <f>SEARCH(AGF18,AGB$4,AGE18)</f>
        <v>#VALUE!</v>
      </c>
      <c r="AGH18" s="306" t="e">
        <f>AGG18-AGE18</f>
        <v>#VALUE!</v>
      </c>
      <c r="AGI18" s="827" t="e">
        <f>DATEVALUE(MID(AGB$4,AGE18,AGH18))</f>
        <v>#VALUE!</v>
      </c>
      <c r="AGJ18" s="828" t="str">
        <f>IF(AGF17=" за период",AGI18,"")</f>
        <v/>
      </c>
      <c r="AGK18" s="116"/>
      <c r="AGO18" s="1464"/>
      <c r="AGP18" s="826" t="s">
        <v>8435</v>
      </c>
      <c r="AGQ18" s="836" t="str">
        <f>IF(AGR17=" за период",SEARCH(" за период",AGN$4,AGS17)+LEN(" за период")+3,"НЕТ")</f>
        <v>НЕТ</v>
      </c>
      <c r="AGR18" s="306" t="s">
        <v>8434</v>
      </c>
      <c r="AGS18" s="306" t="e">
        <f>SEARCH(AGR18,AGN$4,AGQ18)</f>
        <v>#VALUE!</v>
      </c>
      <c r="AGT18" s="306" t="e">
        <f>AGS18-AGQ18</f>
        <v>#VALUE!</v>
      </c>
      <c r="AGU18" s="827" t="e">
        <f>DATEVALUE(MID(AGN$4,AGQ18,AGT18))</f>
        <v>#VALUE!</v>
      </c>
      <c r="AGV18" s="828" t="str">
        <f>IF(AGR17=" за период",AGU18,"")</f>
        <v/>
      </c>
      <c r="AGW18" s="116"/>
      <c r="AHA18" s="1464"/>
      <c r="AHB18" s="826" t="s">
        <v>8435</v>
      </c>
      <c r="AHC18" s="836" t="str">
        <f>IF(AHD17=" за период",SEARCH(" за период",AGZ$4,AHE17)+LEN(" за период")+3,"НЕТ")</f>
        <v>НЕТ</v>
      </c>
      <c r="AHD18" s="306" t="s">
        <v>8434</v>
      </c>
      <c r="AHE18" s="306" t="e">
        <f>SEARCH(AHD18,AGZ$4,AHC18)</f>
        <v>#VALUE!</v>
      </c>
      <c r="AHF18" s="306" t="e">
        <f>AHE18-AHC18</f>
        <v>#VALUE!</v>
      </c>
      <c r="AHG18" s="827" t="e">
        <f>DATEVALUE(MID(AGZ$4,AHC18,AHF18))</f>
        <v>#VALUE!</v>
      </c>
      <c r="AHH18" s="828" t="str">
        <f>IF(AHD17=" за период",AHG18,"")</f>
        <v/>
      </c>
      <c r="AHI18" s="116"/>
      <c r="AIJ18" t="s">
        <v>9828</v>
      </c>
      <c r="AIK18" t="s">
        <v>9829</v>
      </c>
      <c r="AIL18" s="1235" t="e">
        <f t="shared" si="68"/>
        <v>#VALUE!</v>
      </c>
      <c r="AKA18" s="116"/>
      <c r="AKK18" s="116"/>
      <c r="AKU18" s="116"/>
      <c r="ALE18" s="116"/>
      <c r="ALO18" s="116"/>
      <c r="ALP18" s="116"/>
      <c r="AMG18" t="str">
        <f t="shared" si="143"/>
        <v>Вологодская обл</v>
      </c>
      <c r="AMH18" t="str">
        <f t="shared" si="144"/>
        <v>Вологодская обл.</v>
      </c>
      <c r="AMI18" s="1235" t="e">
        <f t="shared" si="75"/>
        <v>#VALUE!</v>
      </c>
      <c r="ANX18" s="116"/>
      <c r="AOH18" s="116"/>
      <c r="AOR18" s="116"/>
      <c r="APB18" s="116"/>
      <c r="APL18" s="116"/>
      <c r="APM18" s="116"/>
    </row>
    <row r="19" spans="1:1023 1064:1105" ht="14.4" customHeight="1" x14ac:dyDescent="0.3">
      <c r="B19" s="116"/>
      <c r="C19" s="116"/>
      <c r="D19" s="116"/>
      <c r="E19" s="116"/>
      <c r="F19" s="116"/>
      <c r="G19" s="116"/>
      <c r="H19" s="116"/>
      <c r="I19" s="116"/>
      <c r="J19" s="116"/>
      <c r="K19" s="116"/>
      <c r="L19" s="116"/>
      <c r="M19" s="116"/>
      <c r="N19" s="116"/>
      <c r="O19" s="116"/>
      <c r="P19" s="116"/>
      <c r="Q19" s="116"/>
      <c r="R19" s="116"/>
      <c r="S19" s="116"/>
      <c r="T19" s="116"/>
      <c r="U19" s="116"/>
      <c r="V19" s="116"/>
      <c r="W19" s="116"/>
      <c r="X19" s="116"/>
      <c r="Y19" s="116"/>
      <c r="Z19" s="116"/>
      <c r="AA19" s="116"/>
      <c r="AB19" s="116"/>
      <c r="AC19" s="116"/>
      <c r="AD19" s="116"/>
      <c r="AE19" s="116"/>
      <c r="AF19" s="116"/>
      <c r="AG19" s="116"/>
      <c r="AH19" s="116"/>
      <c r="AI19" s="116"/>
      <c r="AJ19" s="116"/>
      <c r="AK19" s="116"/>
      <c r="AL19" s="116"/>
      <c r="AM19" s="116"/>
      <c r="AN19" s="116"/>
      <c r="AO19" s="116"/>
      <c r="AP19" s="116"/>
      <c r="AQ19" s="116"/>
      <c r="AR19" s="116"/>
      <c r="AS19" s="116"/>
      <c r="AT19" s="116"/>
      <c r="AU19" s="754"/>
      <c r="AV19" s="754"/>
      <c r="AW19" s="754"/>
      <c r="AX19" s="754"/>
      <c r="AY19" s="754"/>
      <c r="AZ19" s="754"/>
      <c r="BA19" s="754"/>
      <c r="BB19" s="754"/>
      <c r="DP19" s="938"/>
      <c r="DQ19" s="938"/>
      <c r="DR19" t="s">
        <v>1120</v>
      </c>
      <c r="DT19" t="s">
        <v>87</v>
      </c>
      <c r="DU19" t="s">
        <v>1702</v>
      </c>
      <c r="DV19" s="1464"/>
      <c r="DW19" s="826" t="s">
        <v>8436</v>
      </c>
      <c r="DX19" s="836" t="e">
        <f>SEARCH(" ",$C$3,DZ18+1)+1</f>
        <v>#VALUE!</v>
      </c>
      <c r="DY19" s="306"/>
      <c r="DZ19" s="306" t="e">
        <f>DX19+EA19</f>
        <v>#VALUE!</v>
      </c>
      <c r="EA19" s="306">
        <v>10</v>
      </c>
      <c r="EB19" s="827" t="e">
        <f>DATEVALUE(MID($C$3,DX19,EA19))</f>
        <v>#VALUE!</v>
      </c>
      <c r="EC19" s="828" t="str">
        <f>IF(DY17=" за период",EB19,"")</f>
        <v/>
      </c>
      <c r="ED19" s="116"/>
      <c r="FC19" s="116"/>
      <c r="FD19" s="116"/>
      <c r="FE19" s="116"/>
      <c r="FF19" s="116"/>
      <c r="FI19" s="116"/>
      <c r="HK19" s="1543"/>
      <c r="HL19" s="948" t="str">
        <f>IFERROR(GX11,"")</f>
        <v/>
      </c>
      <c r="LY19" t="s">
        <v>8983</v>
      </c>
      <c r="MB19" s="1129"/>
      <c r="NK19" s="1464"/>
      <c r="NL19" s="826" t="s">
        <v>8436</v>
      </c>
      <c r="NM19" s="836" t="e">
        <f>SEARCH(" ",NJ$4,NO18+1)+1</f>
        <v>#VALUE!</v>
      </c>
      <c r="NN19" s="306"/>
      <c r="NO19" s="306" t="e">
        <f>NM19+NP19</f>
        <v>#VALUE!</v>
      </c>
      <c r="NP19" s="306">
        <v>10</v>
      </c>
      <c r="NQ19" s="827" t="e">
        <f>DATEVALUE(MID(NJ$4,NM19,NP19))</f>
        <v>#VALUE!</v>
      </c>
      <c r="NR19" s="828" t="str">
        <f>IF(NN17=" за период",NQ19,"")</f>
        <v/>
      </c>
      <c r="NS19" s="116"/>
      <c r="NT19" s="116"/>
      <c r="OB19" s="1535"/>
      <c r="OC19" s="1472"/>
      <c r="OD19" s="946" t="str">
        <f t="shared" si="131"/>
        <v>$$$$</v>
      </c>
      <c r="OE19" s="947" t="e">
        <f t="shared" si="132"/>
        <v>#VALUE!</v>
      </c>
      <c r="OF19" s="947"/>
      <c r="OG19" s="920"/>
      <c r="OH19" s="920"/>
      <c r="OI19" s="947"/>
      <c r="OJ19" s="947"/>
      <c r="OK19" s="947"/>
      <c r="OL19" s="1474"/>
      <c r="OM19" s="99"/>
      <c r="ON19" s="99"/>
      <c r="OO19" s="99"/>
      <c r="OY19" s="116"/>
      <c r="OZ19" s="959"/>
      <c r="PA19" s="1210"/>
      <c r="PB19" s="959"/>
      <c r="PC19" s="116"/>
      <c r="PD19" s="1000"/>
      <c r="PF19" s="1209"/>
      <c r="PG19" s="1208"/>
      <c r="PH19" s="1209"/>
      <c r="PI19" s="5"/>
      <c r="PJ19" s="1073"/>
      <c r="PK19" s="99"/>
      <c r="PL19" s="920"/>
      <c r="PM19" s="995"/>
      <c r="PN19" s="920"/>
      <c r="PO19" s="254"/>
      <c r="PP19" s="871"/>
      <c r="PQ19" t="str">
        <f t="shared" si="133"/>
        <v>$$$$</v>
      </c>
      <c r="PR19" s="937" t="e">
        <f t="shared" si="134"/>
        <v>#VALUE!</v>
      </c>
      <c r="PS19" s="5"/>
      <c r="PV19" s="937"/>
      <c r="PX19" s="5"/>
      <c r="PY19" s="1470"/>
      <c r="PZ19" t="str">
        <f t="shared" si="135"/>
        <v>$$$$</v>
      </c>
      <c r="QA19" s="937" t="e">
        <f t="shared" si="136"/>
        <v>#VALUE!</v>
      </c>
      <c r="QB19" s="5"/>
      <c r="QC19" s="264"/>
      <c r="QE19" s="937"/>
      <c r="QF19" s="264"/>
      <c r="QG19" s="5"/>
      <c r="QH19" s="1470"/>
      <c r="QI19" t="str">
        <f t="shared" si="137"/>
        <v>$$$$</v>
      </c>
      <c r="QJ19" s="937" t="e">
        <f t="shared" si="138"/>
        <v>#VALUE!</v>
      </c>
      <c r="QK19" s="5"/>
      <c r="QL19" s="264"/>
      <c r="QN19" s="937"/>
      <c r="QO19" s="264"/>
      <c r="QP19" s="5"/>
      <c r="QQ19" s="1470"/>
      <c r="QR19" t="str">
        <f t="shared" si="139"/>
        <v>$$$$</v>
      </c>
      <c r="QS19" s="937" t="e">
        <f t="shared" si="140"/>
        <v>#VALUE!</v>
      </c>
      <c r="QT19" s="5"/>
      <c r="QU19" s="264"/>
      <c r="QW19" s="937"/>
      <c r="QX19" s="264"/>
      <c r="QY19" s="5"/>
      <c r="QZ19" s="1470"/>
      <c r="RA19" s="1094" t="s">
        <v>4</v>
      </c>
      <c r="RB19" s="1096" t="str">
        <f>IFERROR(PP5,"")</f>
        <v/>
      </c>
      <c r="RL19" s="99"/>
      <c r="RO19" s="99"/>
      <c r="SJ19" s="1284" t="s">
        <v>10647</v>
      </c>
      <c r="SQ19" s="979"/>
      <c r="SR19" s="116"/>
      <c r="SU19" s="116"/>
      <c r="SV19" t="s">
        <v>8513</v>
      </c>
      <c r="SY19" s="1464"/>
      <c r="SZ19" s="826" t="s">
        <v>8436</v>
      </c>
      <c r="TA19" s="836" t="e">
        <f>SEARCH(" ",$SQ$3,TC18+1)+1</f>
        <v>#VALUE!</v>
      </c>
      <c r="TB19" s="306"/>
      <c r="TC19" s="306" t="e">
        <f>TA19+TD19</f>
        <v>#VALUE!</v>
      </c>
      <c r="TD19" s="306">
        <v>10</v>
      </c>
      <c r="TE19" s="827" t="e">
        <f>DATEVALUE(MID($SQ$3,TA19,TD19))</f>
        <v>#VALUE!</v>
      </c>
      <c r="TF19" s="828" t="str">
        <f>IF(TB17=" за период",TE19,"")</f>
        <v/>
      </c>
      <c r="TG19" s="116"/>
      <c r="TK19" s="1476"/>
      <c r="TL19" s="592"/>
      <c r="TM19" s="836" t="e">
        <f>SEARCH(" ",TJ$4,TO18+1)+1</f>
        <v>#VALUE!</v>
      </c>
      <c r="TN19" s="306" t="s">
        <v>8432</v>
      </c>
      <c r="TO19" s="306" t="e">
        <f>SEARCH(TN19,TJ$4,TM19)</f>
        <v>#VALUE!</v>
      </c>
      <c r="TP19" s="306" t="e">
        <f>TO19-TM19</f>
        <v>#VALUE!</v>
      </c>
      <c r="TQ19" s="826" t="e">
        <f>IF(TR17="Штраф 50%","",MID(TJ$4,TM19,TP19))</f>
        <v>#VALUE!</v>
      </c>
      <c r="TR19" s="828" t="str">
        <f>IF(TN17=" за период",TQ19,"")</f>
        <v/>
      </c>
      <c r="TS19" s="116"/>
      <c r="TT19" t="str">
        <f t="shared" si="27"/>
        <v>$$$$</v>
      </c>
      <c r="TW19" s="1464"/>
      <c r="TX19" s="826" t="s">
        <v>8436</v>
      </c>
      <c r="TY19" s="836" t="e">
        <f>SEARCH(" ",$SQ$4,UA18+1)+1</f>
        <v>#VALUE!</v>
      </c>
      <c r="TZ19" s="306"/>
      <c r="UA19" s="306" t="e">
        <f>TY19+UB19</f>
        <v>#VALUE!</v>
      </c>
      <c r="UB19" s="306">
        <v>10</v>
      </c>
      <c r="UC19" s="827" t="e">
        <f>DATEVALUE(MID($SQ$4,TY19,UB19))</f>
        <v>#VALUE!</v>
      </c>
      <c r="UD19" s="828" t="str">
        <f>IF(TZ17=" за период",UC19,"")</f>
        <v/>
      </c>
      <c r="UE19" s="116"/>
      <c r="UI19" s="1476"/>
      <c r="UJ19" s="592"/>
      <c r="UK19" s="836" t="e">
        <f>SEARCH(" ",UH$4,UM18+1)+1</f>
        <v>#VALUE!</v>
      </c>
      <c r="UL19" s="306" t="s">
        <v>8432</v>
      </c>
      <c r="UM19" s="306" t="e">
        <f>SEARCH(UL19,UH$4,UK19)</f>
        <v>#VALUE!</v>
      </c>
      <c r="UN19" s="306" t="e">
        <f>UM19-UK19</f>
        <v>#VALUE!</v>
      </c>
      <c r="UO19" s="826" t="e">
        <f>IF(UP17="Штраф 50%","",MID(UH$4,UK19,UN19))</f>
        <v>#VALUE!</v>
      </c>
      <c r="UP19" s="828" t="str">
        <f>IF(UL17=" за период",UO19,"")</f>
        <v/>
      </c>
      <c r="UQ19" s="116"/>
      <c r="UU19" s="1464"/>
      <c r="UV19" s="826" t="s">
        <v>8436</v>
      </c>
      <c r="UW19" s="836" t="e">
        <f>SEARCH(" ",$SQ$5,UY18+1)+1</f>
        <v>#VALUE!</v>
      </c>
      <c r="UX19" s="306"/>
      <c r="UY19" s="306" t="e">
        <f>UW19+UZ19</f>
        <v>#VALUE!</v>
      </c>
      <c r="UZ19" s="306">
        <v>10</v>
      </c>
      <c r="VA19" s="827" t="e">
        <f>DATEVALUE(MID($SQ$5,UW19,UZ19))</f>
        <v>#VALUE!</v>
      </c>
      <c r="VB19" s="828" t="str">
        <f>IF(UX17=" за период",VA19,"")</f>
        <v/>
      </c>
      <c r="VC19" s="116"/>
      <c r="VG19" s="1476"/>
      <c r="VH19" s="592"/>
      <c r="VI19" s="836" t="e">
        <f>SEARCH(" ",VF$4,VK18+1)+1</f>
        <v>#VALUE!</v>
      </c>
      <c r="VJ19" s="306" t="s">
        <v>8432</v>
      </c>
      <c r="VK19" s="306" t="e">
        <f>SEARCH(VJ19,VF$4,VI19)</f>
        <v>#VALUE!</v>
      </c>
      <c r="VL19" s="306" t="e">
        <f>VK19-VI19</f>
        <v>#VALUE!</v>
      </c>
      <c r="VM19" s="826" t="e">
        <f>IF(VN17="Штраф 50%","",MID(VF$4,VI19,VL19))</f>
        <v>#VALUE!</v>
      </c>
      <c r="VN19" s="828" t="str">
        <f>IF(VJ17=" за период",VM19,"")</f>
        <v/>
      </c>
      <c r="VO19" s="116"/>
      <c r="VS19" s="1464"/>
      <c r="VT19" s="826" t="s">
        <v>8436</v>
      </c>
      <c r="VU19" s="836" t="e">
        <f>SEARCH(" ",$SQ$6,VW18+1)+1</f>
        <v>#VALUE!</v>
      </c>
      <c r="VV19" s="306"/>
      <c r="VW19" s="306" t="e">
        <f>VU19+VX19</f>
        <v>#VALUE!</v>
      </c>
      <c r="VX19" s="306">
        <v>10</v>
      </c>
      <c r="VY19" s="827" t="e">
        <f>DATEVALUE(MID($SQ$6,VU19,VX19))</f>
        <v>#VALUE!</v>
      </c>
      <c r="VZ19" s="828" t="str">
        <f>IF(VV17=" за период",VY19,"")</f>
        <v/>
      </c>
      <c r="WA19" s="116"/>
      <c r="WE19" s="1476"/>
      <c r="WF19" s="592"/>
      <c r="WG19" s="836" t="e">
        <f>SEARCH(" ",WD$4,WI18+1)+1</f>
        <v>#VALUE!</v>
      </c>
      <c r="WH19" s="306" t="s">
        <v>8432</v>
      </c>
      <c r="WI19" s="306" t="e">
        <f>SEARCH(WH19,WD$4,WG19)</f>
        <v>#VALUE!</v>
      </c>
      <c r="WJ19" s="306" t="e">
        <f>WI19-WG19</f>
        <v>#VALUE!</v>
      </c>
      <c r="WK19" s="826" t="e">
        <f>IF(WL17="Штраф 50%","",MID(WD$4,WG19,WJ19))</f>
        <v>#VALUE!</v>
      </c>
      <c r="WL19" s="828" t="str">
        <f>IF(WH17=" за период",WK19,"")</f>
        <v/>
      </c>
      <c r="WM19" s="116"/>
      <c r="WQ19" s="1464"/>
      <c r="WR19" s="826" t="s">
        <v>8436</v>
      </c>
      <c r="WS19" s="836" t="e">
        <f>SEARCH(" ",$SQ$7,WU18+1)+1</f>
        <v>#VALUE!</v>
      </c>
      <c r="WT19" s="306"/>
      <c r="WU19" s="306" t="e">
        <f>WS19+WV19</f>
        <v>#VALUE!</v>
      </c>
      <c r="WV19" s="306">
        <v>10</v>
      </c>
      <c r="WW19" s="827" t="e">
        <f>DATEVALUE(MID($SQ$7,WS19,WV19))</f>
        <v>#VALUE!</v>
      </c>
      <c r="WX19" s="828" t="str">
        <f>IF(WT17=" за период",WW19,"")</f>
        <v/>
      </c>
      <c r="WY19" s="116"/>
      <c r="XC19" s="1476"/>
      <c r="XD19" s="592"/>
      <c r="XE19" s="836" t="e">
        <f>SEARCH(" ",XB$4,XG18+1)+1</f>
        <v>#VALUE!</v>
      </c>
      <c r="XF19" s="306" t="s">
        <v>8432</v>
      </c>
      <c r="XG19" s="306" t="e">
        <f>SEARCH(XF19,XB$4,XE19)</f>
        <v>#VALUE!</v>
      </c>
      <c r="XH19" s="306" t="e">
        <f>XG19-XE19</f>
        <v>#VALUE!</v>
      </c>
      <c r="XI19" s="826" t="e">
        <f>IF(XJ17="Штраф 50%","",MID(XB$4,XE19,XH19))</f>
        <v>#VALUE!</v>
      </c>
      <c r="XJ19" s="828" t="str">
        <f>IF(XF17=" за период",XI19,"")</f>
        <v/>
      </c>
      <c r="XK19" s="116"/>
      <c r="XM19" s="99"/>
      <c r="YG19" s="1464"/>
      <c r="YH19" s="826" t="s">
        <v>8436</v>
      </c>
      <c r="YI19" s="836" t="e">
        <f>SEARCH(" ",$XU$3,YK18+1)+1</f>
        <v>#VALUE!</v>
      </c>
      <c r="YJ19" s="306"/>
      <c r="YK19" s="306" t="e">
        <f>YI19+YL19</f>
        <v>#VALUE!</v>
      </c>
      <c r="YL19" s="306">
        <v>10</v>
      </c>
      <c r="YM19" s="827" t="e">
        <f>DATEVALUE(MID($XU$3,YI19,YL19))</f>
        <v>#VALUE!</v>
      </c>
      <c r="YN19" s="828" t="str">
        <f>IF(YJ17=" за период",YM19,"")</f>
        <v/>
      </c>
      <c r="YO19" s="116"/>
      <c r="YS19" s="1464"/>
      <c r="YT19" s="826" t="s">
        <v>8436</v>
      </c>
      <c r="YU19" s="836" t="e">
        <f>SEARCH(" ",$XU$4,YW18+1)+1</f>
        <v>#VALUE!</v>
      </c>
      <c r="YV19" s="306"/>
      <c r="YW19" s="306" t="e">
        <f>YU19+YX19</f>
        <v>#VALUE!</v>
      </c>
      <c r="YX19" s="306">
        <v>10</v>
      </c>
      <c r="YY19" s="827" t="e">
        <f>DATEVALUE(MID($XU$4,YU19,YX19))</f>
        <v>#VALUE!</v>
      </c>
      <c r="YZ19" s="828" t="str">
        <f>IF(YV17=" за период",YY19,"")</f>
        <v/>
      </c>
      <c r="ZA19" s="116"/>
      <c r="ZE19" s="1464"/>
      <c r="ZF19" s="826" t="s">
        <v>8436</v>
      </c>
      <c r="ZG19" s="836" t="e">
        <f>SEARCH(" ",$XU$5,ZI18+1)+1</f>
        <v>#VALUE!</v>
      </c>
      <c r="ZH19" s="306"/>
      <c r="ZI19" s="306" t="e">
        <f>ZG19+ZJ19</f>
        <v>#VALUE!</v>
      </c>
      <c r="ZJ19" s="306">
        <v>10</v>
      </c>
      <c r="ZK19" s="827" t="e">
        <f>DATEVALUE(MID($XU$5,ZG19,ZJ19))</f>
        <v>#VALUE!</v>
      </c>
      <c r="ZL19" s="828" t="str">
        <f>IF(ZH17=" за период",ZK19,"")</f>
        <v/>
      </c>
      <c r="ZM19" s="116"/>
      <c r="ZQ19" s="1464"/>
      <c r="ZR19" s="826" t="s">
        <v>8436</v>
      </c>
      <c r="ZS19" s="836" t="e">
        <f>SEARCH(" ",$XU$6,ZU18+1)+1</f>
        <v>#VALUE!</v>
      </c>
      <c r="ZT19" s="306"/>
      <c r="ZU19" s="306" t="e">
        <f>ZS19+ZV19</f>
        <v>#VALUE!</v>
      </c>
      <c r="ZV19" s="306">
        <v>10</v>
      </c>
      <c r="ZW19" s="827" t="e">
        <f>DATEVALUE(MID($XU$6,ZS19,ZV19))</f>
        <v>#VALUE!</v>
      </c>
      <c r="ZX19" s="828" t="str">
        <f>IF(ZT17=" за период",ZW19,"")</f>
        <v/>
      </c>
      <c r="ZY19" s="116"/>
      <c r="AAC19" s="1464"/>
      <c r="AAD19" s="826" t="s">
        <v>8436</v>
      </c>
      <c r="AAE19" s="836" t="e">
        <f>SEARCH(" ",$XU$7,AAG18+1)+1</f>
        <v>#VALUE!</v>
      </c>
      <c r="AAF19" s="306"/>
      <c r="AAG19" s="306" t="e">
        <f>AAE19+AAH19</f>
        <v>#VALUE!</v>
      </c>
      <c r="AAH19" s="306">
        <v>10</v>
      </c>
      <c r="AAI19" s="827" t="e">
        <f>DATEVALUE(MID($XU$7,AAE19,AAH19))</f>
        <v>#VALUE!</v>
      </c>
      <c r="AAJ19" s="828" t="str">
        <f>IF(AAF17=" за период",AAI19,"")</f>
        <v/>
      </c>
      <c r="AAK19" s="116"/>
      <c r="AAL19" s="116"/>
      <c r="AAM19" s="116"/>
      <c r="AAV19" t="str">
        <f t="shared" si="141"/>
        <v>$$$$</v>
      </c>
      <c r="AAW19" s="947" t="e">
        <f t="shared" si="142"/>
        <v>#VALUE!</v>
      </c>
      <c r="AAX19" s="5"/>
      <c r="AAY19" s="5"/>
      <c r="AAZ19" s="5"/>
      <c r="ABA19" s="1487"/>
      <c r="ADF19" s="5"/>
      <c r="ADG19" s="1075"/>
      <c r="ADQ19" s="1075"/>
      <c r="ADR19" s="1079" t="str">
        <f>IFERROR(ACC5,"")</f>
        <v/>
      </c>
      <c r="AEJ19" s="961"/>
      <c r="AEK19" s="961"/>
      <c r="AEL19" s="961"/>
      <c r="AEX19" s="1070"/>
      <c r="AFA19" s="1070"/>
      <c r="AFE19" s="1464"/>
      <c r="AFF19" s="826" t="s">
        <v>8436</v>
      </c>
      <c r="AFG19" s="836" t="e">
        <f>SEARCH(" ",AFD$4,AFI18+1)+1</f>
        <v>#VALUE!</v>
      </c>
      <c r="AFH19" s="306"/>
      <c r="AFI19" s="306" t="e">
        <f>AFG19+AFJ19</f>
        <v>#VALUE!</v>
      </c>
      <c r="AFJ19" s="306">
        <v>10</v>
      </c>
      <c r="AFK19" s="827" t="e">
        <f>DATEVALUE(MID(AFD$4,AFG19,AFJ19))</f>
        <v>#VALUE!</v>
      </c>
      <c r="AFL19" s="828" t="str">
        <f>IF(AFH17=" за период",AFK19,"")</f>
        <v/>
      </c>
      <c r="AFM19" s="116"/>
      <c r="AFQ19" s="1464"/>
      <c r="AFR19" s="826" t="s">
        <v>8436</v>
      </c>
      <c r="AFS19" s="836" t="e">
        <f>SEARCH(" ",AFP$4,AFU18+1)+1</f>
        <v>#VALUE!</v>
      </c>
      <c r="AFT19" s="306"/>
      <c r="AFU19" s="306" t="e">
        <f>AFS19+AFV19</f>
        <v>#VALUE!</v>
      </c>
      <c r="AFV19" s="306">
        <v>10</v>
      </c>
      <c r="AFW19" s="827" t="e">
        <f>DATEVALUE(MID(AFP$4,AFS19,AFV19))</f>
        <v>#VALUE!</v>
      </c>
      <c r="AFX19" s="828" t="str">
        <f>IF(AFT17=" за период",AFW19,"")</f>
        <v/>
      </c>
      <c r="AFY19" s="116"/>
      <c r="AGC19" s="1464"/>
      <c r="AGD19" s="826" t="s">
        <v>8436</v>
      </c>
      <c r="AGE19" s="836" t="e">
        <f>SEARCH(" ",AGB$4,AGG18+1)+1</f>
        <v>#VALUE!</v>
      </c>
      <c r="AGF19" s="306"/>
      <c r="AGG19" s="306" t="e">
        <f>AGE19+AGH19</f>
        <v>#VALUE!</v>
      </c>
      <c r="AGH19" s="306">
        <v>10</v>
      </c>
      <c r="AGI19" s="827" t="e">
        <f>DATEVALUE(MID(AGB$4,AGE19,AGH19))</f>
        <v>#VALUE!</v>
      </c>
      <c r="AGJ19" s="828" t="str">
        <f>IF(AGF17=" за период",AGI19,"")</f>
        <v/>
      </c>
      <c r="AGK19" s="116"/>
      <c r="AGO19" s="1464"/>
      <c r="AGP19" s="826" t="s">
        <v>8436</v>
      </c>
      <c r="AGQ19" s="836" t="e">
        <f>SEARCH(" ",AGN$4,AGS18+1)+1</f>
        <v>#VALUE!</v>
      </c>
      <c r="AGR19" s="306"/>
      <c r="AGS19" s="306" t="e">
        <f>AGQ19+AGT19</f>
        <v>#VALUE!</v>
      </c>
      <c r="AGT19" s="306">
        <v>10</v>
      </c>
      <c r="AGU19" s="827" t="e">
        <f>DATEVALUE(MID(AGN$4,AGQ19,AGT19))</f>
        <v>#VALUE!</v>
      </c>
      <c r="AGV19" s="828" t="str">
        <f>IF(AGR17=" за период",AGU19,"")</f>
        <v/>
      </c>
      <c r="AGW19" s="116"/>
      <c r="AHA19" s="1464"/>
      <c r="AHB19" s="826" t="s">
        <v>8436</v>
      </c>
      <c r="AHC19" s="836" t="e">
        <f>SEARCH(" ",AGZ$4,AHE18+1)+1</f>
        <v>#VALUE!</v>
      </c>
      <c r="AHD19" s="306"/>
      <c r="AHE19" s="306" t="e">
        <f>AHC19+AHF19</f>
        <v>#VALUE!</v>
      </c>
      <c r="AHF19" s="306">
        <v>10</v>
      </c>
      <c r="AHG19" s="827" t="e">
        <f>DATEVALUE(MID(AGZ$4,AHC19,AHF19))</f>
        <v>#VALUE!</v>
      </c>
      <c r="AHH19" s="828" t="str">
        <f>IF(AHD17=" за период",AHG19,"")</f>
        <v/>
      </c>
      <c r="AHI19" s="116"/>
      <c r="AIJ19" s="8" t="s">
        <v>9830</v>
      </c>
      <c r="AIK19" t="s">
        <v>1439</v>
      </c>
      <c r="AIL19" s="1235" t="e">
        <f t="shared" si="68"/>
        <v>#VALUE!</v>
      </c>
      <c r="AKA19" s="116"/>
      <c r="AKK19" s="116"/>
      <c r="AKU19" s="116"/>
      <c r="ALE19" s="116"/>
      <c r="ALO19" s="116"/>
      <c r="ALP19" s="116"/>
      <c r="AMG19" t="str">
        <f t="shared" si="143"/>
        <v>Карачаево</v>
      </c>
      <c r="AMH19" t="str">
        <f t="shared" si="144"/>
        <v>Карачаево-Черкесская Республика</v>
      </c>
      <c r="AMI19" s="1235" t="e">
        <f t="shared" si="75"/>
        <v>#VALUE!</v>
      </c>
      <c r="ANX19" s="116"/>
      <c r="AOH19" s="116"/>
      <c r="AOR19" s="116"/>
      <c r="APB19" s="116"/>
      <c r="APL19" s="116"/>
      <c r="APM19" s="116"/>
    </row>
    <row r="20" spans="1:1023 1064:1105" ht="14.4" customHeight="1" thickBot="1" x14ac:dyDescent="0.35">
      <c r="B20" s="116"/>
      <c r="C20" s="116"/>
      <c r="D20" s="116"/>
      <c r="E20" s="116"/>
      <c r="F20" s="116"/>
      <c r="G20" s="116"/>
      <c r="H20" s="116"/>
      <c r="I20" s="116"/>
      <c r="J20" s="116"/>
      <c r="K20" s="116"/>
      <c r="L20" s="116"/>
      <c r="M20" s="116"/>
      <c r="N20" s="116"/>
      <c r="O20" s="116"/>
      <c r="P20" s="116"/>
      <c r="Q20" s="116"/>
      <c r="R20" s="116"/>
      <c r="S20" s="116"/>
      <c r="T20" s="116"/>
      <c r="U20" s="116"/>
      <c r="V20" s="116"/>
      <c r="W20" s="116"/>
      <c r="X20" s="116"/>
      <c r="Y20" s="116"/>
      <c r="Z20" s="116"/>
      <c r="AA20" s="116"/>
      <c r="AB20" s="116"/>
      <c r="AC20" s="116"/>
      <c r="AD20" s="116"/>
      <c r="AE20" s="116"/>
      <c r="AF20" s="116"/>
      <c r="AG20" s="116"/>
      <c r="AH20" s="116"/>
      <c r="AI20" s="116"/>
      <c r="AJ20" s="116"/>
      <c r="AK20" s="116"/>
      <c r="AL20" s="116"/>
      <c r="AM20" s="116"/>
      <c r="AN20" s="116"/>
      <c r="AO20" s="116"/>
      <c r="AP20" s="116"/>
      <c r="AQ20" s="116"/>
      <c r="AR20" s="116"/>
      <c r="AS20" s="116"/>
      <c r="AT20" s="116"/>
      <c r="AU20" s="754"/>
      <c r="AV20" s="754"/>
      <c r="AW20" s="754"/>
      <c r="AX20" s="754"/>
      <c r="AY20" s="754"/>
      <c r="AZ20" s="754"/>
      <c r="BA20" s="754"/>
      <c r="BB20" s="754"/>
      <c r="DR20" t="s">
        <v>1250</v>
      </c>
      <c r="DT20" t="s">
        <v>89</v>
      </c>
      <c r="DU20" t="s">
        <v>1703</v>
      </c>
      <c r="DV20" s="1464"/>
      <c r="DW20" s="826"/>
      <c r="DX20" s="836"/>
      <c r="DY20" s="306" t="str">
        <f>IF(DZ20=IFERROR(SEARCH(".",C$3,DZ19),99999),".",
IF(DZ20=IFERROR(SEARCH(",",C$3,DZ19),99999),",",
IF(DZ20=IFERROR(SEARCH(" за период",C$3,DZ19),999999)," за период",
IF(DZ20=IFERROR(SEARCH(" в размере",C$3,DZ19),99999)," в размере",
))))</f>
        <v>.</v>
      </c>
      <c r="DZ20" s="306">
        <f>MIN(
IFERROR(SEARCH(".",$C$3,DZ19),99999),
IFERROR(SEARCH(",",$C$3,DZ19),99999),
IFERROR(SEARCH(" в размере",$C$3,DZ19),99999))</f>
        <v>99999</v>
      </c>
      <c r="EA20" s="306"/>
      <c r="EB20" s="827"/>
      <c r="EC20" s="829"/>
      <c r="ED20" s="116"/>
      <c r="FC20" s="116"/>
      <c r="FD20" s="116"/>
      <c r="FE20" s="116"/>
      <c r="FF20" s="116"/>
      <c r="FI20" s="116"/>
      <c r="HK20" s="791" t="s">
        <v>8617</v>
      </c>
      <c r="HL20" s="948" t="str">
        <f>HJ3</f>
        <v>ГИБДД</v>
      </c>
      <c r="LY20" t="s">
        <v>9003</v>
      </c>
      <c r="MB20" s="1149"/>
      <c r="NK20" s="1464"/>
      <c r="NL20" s="826"/>
      <c r="NM20" s="836"/>
      <c r="NN20" s="306" t="str">
        <f>IF(NO20=IFERROR(SEARCH(".",NJ$4,NO19),99999),".",
IF(NO20=IFERROR(SEARCH(",",NJ$4,NO19),99999),",",
IF(NO20=IFERROR(SEARCH(" за период",NJ$4,NO19),999999)," за период",
IF(NO20=IFERROR(SEARCH(" в размере",NJ$4,NO19),99999)," в размере",
))))</f>
        <v>.</v>
      </c>
      <c r="NO20" s="306">
        <f>MIN(
IFERROR(SEARCH(".",NJ$4,NO19),99999),
IFERROR(SEARCH(",",NJ$4,NO19),99999),
IFERROR(SEARCH(" в размере",NJ$4,NO19),99999))</f>
        <v>99999</v>
      </c>
      <c r="NP20" s="306"/>
      <c r="NQ20" s="827"/>
      <c r="NR20" s="829"/>
      <c r="NS20" s="116"/>
      <c r="NT20" s="116"/>
      <c r="OB20" s="1535"/>
      <c r="OC20" s="1472"/>
      <c r="OD20" s="946" t="str">
        <f t="shared" si="131"/>
        <v>$$$$</v>
      </c>
      <c r="OE20" s="947" t="e">
        <f t="shared" si="132"/>
        <v>#VALUE!</v>
      </c>
      <c r="OF20" s="947"/>
      <c r="OG20" s="920"/>
      <c r="OH20" s="920"/>
      <c r="OI20" s="947"/>
      <c r="OJ20" s="947"/>
      <c r="OK20" s="947"/>
      <c r="OL20" s="1474"/>
      <c r="OM20" s="116"/>
      <c r="ON20" s="116"/>
      <c r="OO20" s="116"/>
      <c r="OY20" s="116"/>
      <c r="OZ20" s="959"/>
      <c r="PA20" s="1210"/>
      <c r="PB20" s="959"/>
      <c r="PC20" s="116"/>
      <c r="PD20" s="1000"/>
      <c r="PF20" s="1209"/>
      <c r="PG20" s="1208"/>
      <c r="PH20" s="1209"/>
      <c r="PI20" s="5"/>
      <c r="PJ20" s="1073"/>
      <c r="PK20" s="99"/>
      <c r="PL20" s="920"/>
      <c r="PM20" s="995"/>
      <c r="PN20" s="920"/>
      <c r="PO20" s="254"/>
      <c r="PP20" s="871"/>
      <c r="PQ20" t="str">
        <f t="shared" si="133"/>
        <v>$$$$</v>
      </c>
      <c r="PR20" s="937" t="e">
        <f t="shared" si="134"/>
        <v>#VALUE!</v>
      </c>
      <c r="PS20" s="5"/>
      <c r="PV20" s="937"/>
      <c r="PX20" s="5"/>
      <c r="PY20" s="1470"/>
      <c r="PZ20" t="str">
        <f t="shared" si="135"/>
        <v>$$$$</v>
      </c>
      <c r="QA20" s="937" t="e">
        <f t="shared" si="136"/>
        <v>#VALUE!</v>
      </c>
      <c r="QB20" s="5"/>
      <c r="QC20" s="264"/>
      <c r="QE20" s="937"/>
      <c r="QF20" s="264"/>
      <c r="QG20" s="5"/>
      <c r="QH20" s="1470"/>
      <c r="QI20" t="str">
        <f t="shared" si="137"/>
        <v>$$$$</v>
      </c>
      <c r="QJ20" s="937" t="e">
        <f t="shared" si="138"/>
        <v>#VALUE!</v>
      </c>
      <c r="QK20" s="5"/>
      <c r="QL20" s="264"/>
      <c r="QN20" s="937"/>
      <c r="QO20" s="264"/>
      <c r="QP20" s="5"/>
      <c r="QQ20" s="1470"/>
      <c r="QR20" t="str">
        <f t="shared" si="139"/>
        <v>$$$$</v>
      </c>
      <c r="QS20" s="937" t="e">
        <f t="shared" si="140"/>
        <v>#VALUE!</v>
      </c>
      <c r="QT20" s="5"/>
      <c r="QU20" s="264"/>
      <c r="QW20" s="937"/>
      <c r="QX20" s="264"/>
      <c r="QY20" s="5"/>
      <c r="QZ20" s="1470"/>
      <c r="RA20" s="1094" t="s">
        <v>8585</v>
      </c>
      <c r="RB20" s="1097" t="str">
        <f>IFERROR(PY27,"")</f>
        <v/>
      </c>
      <c r="RL20" s="116"/>
      <c r="RO20" s="116"/>
      <c r="SQ20" s="979"/>
      <c r="SR20" s="116"/>
      <c r="SU20" s="116"/>
      <c r="SV20" t="s">
        <v>8513</v>
      </c>
      <c r="SY20" s="1464"/>
      <c r="SZ20" s="826"/>
      <c r="TA20" s="836"/>
      <c r="TB20" s="306" t="str">
        <f>IF(TC20=IFERROR(SEARCH(".",$SQ$3,TC19),99999),".",
IF(TC20=IFERROR(SEARCH(",",$SQ$3,TC19),99999),",",
IF(TC20=IFERROR(SEARCH(" за период",$SQ$3,TC19),999999)," за период",
IF(TC20=IFERROR(SEARCH(" в размере",$SQ$3,TC19),99999)," в размере",
))))</f>
        <v>.</v>
      </c>
      <c r="TC20" s="306">
        <f>MIN(
IFERROR(SEARCH(".",$SQ$3,TC19),99999),
IFERROR(SEARCH(",",$SQ$3,TC19),99999),
IFERROR(SEARCH(" в размере",$SQ$3,TC19),99999))</f>
        <v>99999</v>
      </c>
      <c r="TD20" s="306"/>
      <c r="TE20" s="827"/>
      <c r="TF20" s="829"/>
      <c r="TG20" s="116"/>
      <c r="TK20" s="1477"/>
      <c r="TL20" s="1032"/>
      <c r="TM20" s="1033"/>
      <c r="TN20" s="403"/>
      <c r="TO20" s="403"/>
      <c r="TP20" s="403"/>
      <c r="TQ20" s="1034" t="e">
        <f>VALUE(CONCATENATE(TQ18,",",TQ19))</f>
        <v>#VALUE!</v>
      </c>
      <c r="TR20" s="832" t="str">
        <f>IFERROR(IF(TR17="Штраф 50%","",TQ20),"")</f>
        <v/>
      </c>
      <c r="TS20" s="116"/>
      <c r="TT20" t="str">
        <f t="shared" si="27"/>
        <v>$$$$</v>
      </c>
      <c r="TW20" s="1464"/>
      <c r="TX20" s="826"/>
      <c r="TY20" s="836"/>
      <c r="TZ20" s="306" t="str">
        <f>IF(UA20=IFERROR(SEARCH(".",$SQ$4,UA19),99999),".",
IF(UA20=IFERROR(SEARCH(",",$SQ$4,UA19),99999),",",
IF(UA20=IFERROR(SEARCH(" за период",$SQ$4,UA19),999999)," за период",
IF(UA20=IFERROR(SEARCH(" в размере",$SQ$4,UA19),99999)," в размере",
))))</f>
        <v>.</v>
      </c>
      <c r="UA20" s="306">
        <f>MIN(
IFERROR(SEARCH(".",$SQ$4,UA19),99999),
IFERROR(SEARCH(",",$SQ$4,UA19),99999),
IFERROR(SEARCH(" в размере",$SQ$4,UA19),99999))</f>
        <v>99999</v>
      </c>
      <c r="UB20" s="306"/>
      <c r="UC20" s="827"/>
      <c r="UD20" s="829"/>
      <c r="UE20" s="116"/>
      <c r="UI20" s="1477"/>
      <c r="UJ20" s="1032"/>
      <c r="UK20" s="1033"/>
      <c r="UL20" s="403"/>
      <c r="UM20" s="403"/>
      <c r="UN20" s="403"/>
      <c r="UO20" s="1034" t="e">
        <f>VALUE(CONCATENATE(UO18,",",UO19))</f>
        <v>#VALUE!</v>
      </c>
      <c r="UP20" s="832" t="str">
        <f>IFERROR(IF(UP17="Штраф 50%","",UO20),"")</f>
        <v/>
      </c>
      <c r="UQ20" s="116"/>
      <c r="UU20" s="1464"/>
      <c r="UV20" s="826"/>
      <c r="UW20" s="836"/>
      <c r="UX20" s="306" t="str">
        <f>IF(UY20=IFERROR(SEARCH(".",$SQ$5,UY19),99999),".",
IF(UY20=IFERROR(SEARCH(",",$SQ$5,UY19),99999),",",
IF(UY20=IFERROR(SEARCH(" за период",$SQ$5,UY19),999999)," за период",
IF(UY20=IFERROR(SEARCH(" в размере",$SQ$5,UY19),99999)," в размере",
))))</f>
        <v>.</v>
      </c>
      <c r="UY20" s="306">
        <f>MIN(
IFERROR(SEARCH(".",$SQ$5,UY19),99999),
IFERROR(SEARCH(",",$SQ$5,UY19),99999),
IFERROR(SEARCH(" в размере",$SQ$5,UY19),99999))</f>
        <v>99999</v>
      </c>
      <c r="UZ20" s="306"/>
      <c r="VA20" s="827"/>
      <c r="VB20" s="829"/>
      <c r="VC20" s="116"/>
      <c r="VG20" s="1477"/>
      <c r="VH20" s="1032"/>
      <c r="VI20" s="1033"/>
      <c r="VJ20" s="403"/>
      <c r="VK20" s="403"/>
      <c r="VL20" s="403"/>
      <c r="VM20" s="1034" t="e">
        <f>VALUE(CONCATENATE(VM18,",",VM19))</f>
        <v>#VALUE!</v>
      </c>
      <c r="VN20" s="832" t="str">
        <f>IFERROR(IF(VN17="Штраф 50%","",VM20),"")</f>
        <v/>
      </c>
      <c r="VO20" s="116"/>
      <c r="VS20" s="1464"/>
      <c r="VT20" s="826"/>
      <c r="VU20" s="836"/>
      <c r="VV20" s="306" t="str">
        <f>IF(VW20=IFERROR(SEARCH(".",$SQ$6,VW19),99999),".",
IF(VW20=IFERROR(SEARCH(",",$SQ$6,VW19),99999),",",
IF(VW20=IFERROR(SEARCH(" за период",$SQ$6,VW19),999999)," за период",
IF(VW20=IFERROR(SEARCH(" в размере",$SQ$6,VW19),99999)," в размере",
))))</f>
        <v>.</v>
      </c>
      <c r="VW20" s="306">
        <f>MIN(
IFERROR(SEARCH(".",$SQ$6,VW19),99999),
IFERROR(SEARCH(",",$SQ$6,VW19),99999),
IFERROR(SEARCH(" в размере",$SQ$6,VW19),99999))</f>
        <v>99999</v>
      </c>
      <c r="VX20" s="306"/>
      <c r="VY20" s="827"/>
      <c r="VZ20" s="829"/>
      <c r="WA20" s="116"/>
      <c r="WE20" s="1477"/>
      <c r="WF20" s="1032"/>
      <c r="WG20" s="1033"/>
      <c r="WH20" s="403"/>
      <c r="WI20" s="403"/>
      <c r="WJ20" s="403"/>
      <c r="WK20" s="1034" t="e">
        <f>VALUE(CONCATENATE(WK18,",",WK19))</f>
        <v>#VALUE!</v>
      </c>
      <c r="WL20" s="832" t="str">
        <f>IFERROR(IF(WL17="Штраф 50%","",WK20),"")</f>
        <v/>
      </c>
      <c r="WM20" s="116"/>
      <c r="WQ20" s="1464"/>
      <c r="WR20" s="826"/>
      <c r="WS20" s="836"/>
      <c r="WT20" s="306" t="str">
        <f>IF(WU20=IFERROR(SEARCH(".",$SQ$7,WU19),99999),".",
IF(WU20=IFERROR(SEARCH(",",$SQ$7,WU19),99999),",",
IF(WU20=IFERROR(SEARCH(" за период",$SQ$7,WU19),999999)," за период",
IF(WU20=IFERROR(SEARCH(" в размере",$SQ$7,WU19),99999)," в размере",
))))</f>
        <v>.</v>
      </c>
      <c r="WU20" s="306">
        <f>MIN(
IFERROR(SEARCH(".",$SQ$7,WU19),99999),
IFERROR(SEARCH(",",$SQ$7,WU19),99999),
IFERROR(SEARCH(" в размере",$SQ$7,WU19),99999))</f>
        <v>99999</v>
      </c>
      <c r="WV20" s="306"/>
      <c r="WW20" s="827"/>
      <c r="WX20" s="829"/>
      <c r="WY20" s="116"/>
      <c r="XC20" s="1477"/>
      <c r="XD20" s="1032"/>
      <c r="XE20" s="1033"/>
      <c r="XF20" s="403"/>
      <c r="XG20" s="403"/>
      <c r="XH20" s="403"/>
      <c r="XI20" s="1034" t="e">
        <f>VALUE(CONCATENATE(XI18,",",XI19))</f>
        <v>#VALUE!</v>
      </c>
      <c r="XJ20" s="832" t="str">
        <f>IFERROR(IF(XJ17="Штраф 50%","",XI20),"")</f>
        <v/>
      </c>
      <c r="XK20" s="116"/>
      <c r="XM20" s="116"/>
      <c r="XN20" s="116"/>
      <c r="XO20" s="116"/>
      <c r="XR20" s="116"/>
      <c r="XS20" s="116"/>
      <c r="XT20" s="116"/>
      <c r="XU20" s="116"/>
      <c r="XV20" s="116"/>
      <c r="XY20" s="116"/>
      <c r="YG20" s="1464"/>
      <c r="YH20" s="826"/>
      <c r="YI20" s="836"/>
      <c r="YJ20" s="306" t="str">
        <f>IF(YK20=IFERROR(SEARCH(".",$XU$3,YK19),99999),".",
IF(YK20=IFERROR(SEARCH(",",$XU$3,YK19),99999),",",
IF(YK20=IFERROR(SEARCH(" за период",$XU$3,YK19),999999)," за период",
IF(YK20=IFERROR(SEARCH(" в размере",$XU$3,YK19),99999)," в размере",
))))</f>
        <v>.</v>
      </c>
      <c r="YK20" s="306">
        <f>MIN(
IFERROR(SEARCH(".",$XU$3,YK19),99999),
IFERROR(SEARCH(",",$XU$3,YK19),99999),
IFERROR(SEARCH(" в размере",$XU$3,YK19),99999))</f>
        <v>99999</v>
      </c>
      <c r="YL20" s="306"/>
      <c r="YM20" s="827"/>
      <c r="YN20" s="829"/>
      <c r="YO20" s="116"/>
      <c r="YS20" s="1464"/>
      <c r="YT20" s="826"/>
      <c r="YU20" s="836"/>
      <c r="YV20" s="306" t="str">
        <f>IF(YW20=IFERROR(SEARCH(".",$XU$4,YW19),99999),".",
IF(YW20=IFERROR(SEARCH(",",$XU$4,YW19),99999),",",
IF(YW20=IFERROR(SEARCH(" за период",$XU$4,YW19),999999)," за период",
IF(YW20=IFERROR(SEARCH(" в размере",$XU$4,YW19),99999)," в размере",
))))</f>
        <v>.</v>
      </c>
      <c r="YW20" s="306">
        <f>MIN(
IFERROR(SEARCH(".",$XU$4,YW19),99999),
IFERROR(SEARCH(",",$XU$4,YW19),99999),
IFERROR(SEARCH(" в размере",$XU$4,YW19),99999))</f>
        <v>99999</v>
      </c>
      <c r="YX20" s="306"/>
      <c r="YY20" s="827"/>
      <c r="YZ20" s="829"/>
      <c r="ZA20" s="116"/>
      <c r="ZE20" s="1464"/>
      <c r="ZF20" s="826"/>
      <c r="ZG20" s="836"/>
      <c r="ZH20" s="306" t="str">
        <f>IF(ZI20=IFERROR(SEARCH(".",$XU$5,ZI19),99999),".",
IF(ZI20=IFERROR(SEARCH(",",$XU$5,ZI19),99999),",",
IF(ZI20=IFERROR(SEARCH(" за период",$XU$5,ZI19),999999)," за период",
IF(ZI20=IFERROR(SEARCH(" в размере",$XU$5,ZI19),99999)," в размере",
))))</f>
        <v>.</v>
      </c>
      <c r="ZI20" s="306">
        <f>MIN(
IFERROR(SEARCH(".",$XU$5,ZI19),99999),
IFERROR(SEARCH(",",$XU$5,ZI19),99999),
IFERROR(SEARCH(" в размере",$XU$5,ZI19),99999))</f>
        <v>99999</v>
      </c>
      <c r="ZJ20" s="306"/>
      <c r="ZK20" s="827"/>
      <c r="ZL20" s="829"/>
      <c r="ZM20" s="116"/>
      <c r="ZQ20" s="1464"/>
      <c r="ZR20" s="826"/>
      <c r="ZS20" s="836"/>
      <c r="ZT20" s="306" t="str">
        <f>IF(ZU20=IFERROR(SEARCH(".",$XU$6,ZU19),99999),".",
IF(ZU20=IFERROR(SEARCH(",",$XU$6,ZU19),99999),",",
IF(ZU20=IFERROR(SEARCH(" за период",$XU$6,ZU19),999999)," за период",
IF(ZU20=IFERROR(SEARCH(" в размере",$XU$6,ZU19),99999)," в размере",
))))</f>
        <v>.</v>
      </c>
      <c r="ZU20" s="306">
        <f>MIN(
IFERROR(SEARCH(".",$XU$6,ZU19),99999),
IFERROR(SEARCH(",",$XU$6,ZU19),99999),
IFERROR(SEARCH(" в размере",$XU$6,ZU19),99999))</f>
        <v>99999</v>
      </c>
      <c r="ZV20" s="306"/>
      <c r="ZW20" s="827"/>
      <c r="ZX20" s="829"/>
      <c r="ZY20" s="116"/>
      <c r="AAC20" s="1464"/>
      <c r="AAD20" s="826"/>
      <c r="AAE20" s="836"/>
      <c r="AAF20" s="306" t="str">
        <f>IF(AAG20=IFERROR(SEARCH(".",$XU$7,AAG19),99999),".",
IF(AAG20=IFERROR(SEARCH(",",$XU$7,AAG19),99999),",",
IF(AAG20=IFERROR(SEARCH(" за период",$XU$7,AAG19),999999)," за период",
IF(AAG20=IFERROR(SEARCH(" в размере",$XU$7,AAG19),99999)," в размере",
))))</f>
        <v>.</v>
      </c>
      <c r="AAG20" s="306">
        <f>MIN(
IFERROR(SEARCH(".",$XU$7,AAG19),99999),
IFERROR(SEARCH(",",$XU$7,AAG19),99999),
IFERROR(SEARCH(" в размере",$XU$7,AAG19),99999))</f>
        <v>99999</v>
      </c>
      <c r="AAH20" s="306"/>
      <c r="AAI20" s="827"/>
      <c r="AAJ20" s="829"/>
      <c r="AAK20" s="116"/>
      <c r="AAL20" s="116"/>
      <c r="AAM20" s="116"/>
      <c r="AAV20" t="str">
        <f t="shared" si="141"/>
        <v>$$$$</v>
      </c>
      <c r="AAW20" s="947" t="e">
        <f t="shared" si="142"/>
        <v>#VALUE!</v>
      </c>
      <c r="AAX20" s="5"/>
      <c r="AAY20" s="5"/>
      <c r="AAZ20" s="5"/>
      <c r="ABA20" s="1487"/>
      <c r="ADF20" s="5"/>
      <c r="ADG20" s="1075"/>
      <c r="ADQ20" s="1075"/>
      <c r="ADR20" s="1080" t="str">
        <f>IFERROR(ACM5,"")</f>
        <v/>
      </c>
      <c r="AEJ20" s="961"/>
      <c r="AEK20" s="961"/>
      <c r="AEL20" s="961"/>
      <c r="AEX20" s="1070"/>
      <c r="AFA20" s="1070"/>
      <c r="AFE20" s="1464"/>
      <c r="AFF20" s="826"/>
      <c r="AFG20" s="836"/>
      <c r="AFH20" s="306" t="str">
        <f>IF(AFI20=IFERROR(SEARCH(".",AFD$4,AFI19),99999),".",
IF(AFI20=IFERROR(SEARCH(",",AFD$4,AFI19),99999),",",
IF(AFI20=IFERROR(SEARCH(" за период",AFD$4,AFI19),999999)," за период",
IF(AFI20=IFERROR(SEARCH(" в размере",AFD$4,AFI19),99999)," в размере",
))))</f>
        <v>.</v>
      </c>
      <c r="AFI20" s="306">
        <f>MIN(
IFERROR(SEARCH(".",AFD$4,AFI19),99999),
IFERROR(SEARCH(",",AFD$4,AFI19),99999),
IFERROR(SEARCH(" в размере",AFD$4,AFI19),99999))</f>
        <v>99999</v>
      </c>
      <c r="AFJ20" s="306"/>
      <c r="AFK20" s="827"/>
      <c r="AFL20" s="829"/>
      <c r="AFM20" s="116"/>
      <c r="AFQ20" s="1464"/>
      <c r="AFR20" s="826"/>
      <c r="AFS20" s="836"/>
      <c r="AFT20" s="306" t="str">
        <f>IF(AFU20=IFERROR(SEARCH(".",AFP$4,AFU19),99999),".",
IF(AFU20=IFERROR(SEARCH(",",AFP$4,AFU19),99999),",",
IF(AFU20=IFERROR(SEARCH(" за период",AFP$4,AFU19),999999)," за период",
IF(AFU20=IFERROR(SEARCH(" в размере",AFP$4,AFU19),99999)," в размере",
))))</f>
        <v>.</v>
      </c>
      <c r="AFU20" s="306">
        <f>MIN(
IFERROR(SEARCH(".",AFP$4,AFU19),99999),
IFERROR(SEARCH(",",AFP$4,AFU19),99999),
IFERROR(SEARCH(" в размере",AFP$4,AFU19),99999))</f>
        <v>99999</v>
      </c>
      <c r="AFV20" s="306"/>
      <c r="AFW20" s="827"/>
      <c r="AFX20" s="829"/>
      <c r="AFY20" s="116"/>
      <c r="AGC20" s="1464"/>
      <c r="AGD20" s="826"/>
      <c r="AGE20" s="836"/>
      <c r="AGF20" s="306" t="str">
        <f>IF(AGG20=IFERROR(SEARCH(".",AGB$4,AGG19),99999),".",
IF(AGG20=IFERROR(SEARCH(",",AGB$4,AGG19),99999),",",
IF(AGG20=IFERROR(SEARCH(" за период",AGB$4,AGG19),999999)," за период",
IF(AGG20=IFERROR(SEARCH(" в размере",AGB$4,AGG19),99999)," в размере",
))))</f>
        <v>.</v>
      </c>
      <c r="AGG20" s="306">
        <f>MIN(
IFERROR(SEARCH(".",AGB$4,AGG19),99999),
IFERROR(SEARCH(",",AGB$4,AGG19),99999),
IFERROR(SEARCH(" в размере",AGB$4,AGG19),99999))</f>
        <v>99999</v>
      </c>
      <c r="AGH20" s="306"/>
      <c r="AGI20" s="827"/>
      <c r="AGJ20" s="829"/>
      <c r="AGK20" s="116"/>
      <c r="AGO20" s="1464"/>
      <c r="AGP20" s="826"/>
      <c r="AGQ20" s="836"/>
      <c r="AGR20" s="306" t="str">
        <f>IF(AGS20=IFERROR(SEARCH(".",AGN$4,AGS19),99999),".",
IF(AGS20=IFERROR(SEARCH(",",AGN$4,AGS19),99999),",",
IF(AGS20=IFERROR(SEARCH(" за период",AGN$4,AGS19),999999)," за период",
IF(AGS20=IFERROR(SEARCH(" в размере",AGN$4,AGS19),99999)," в размере",
))))</f>
        <v>.</v>
      </c>
      <c r="AGS20" s="306">
        <f>MIN(
IFERROR(SEARCH(".",AGN$4,AGS19),99999),
IFERROR(SEARCH(",",AGN$4,AGS19),99999),
IFERROR(SEARCH(" в размере",AGN$4,AGS19),99999))</f>
        <v>99999</v>
      </c>
      <c r="AGT20" s="306"/>
      <c r="AGU20" s="827"/>
      <c r="AGV20" s="829"/>
      <c r="AGW20" s="116"/>
      <c r="AHA20" s="1464"/>
      <c r="AHB20" s="826"/>
      <c r="AHC20" s="836"/>
      <c r="AHD20" s="306" t="str">
        <f>IF(AHE20=IFERROR(SEARCH(".",AGZ$4,AHE19),99999),".",
IF(AHE20=IFERROR(SEARCH(",",AGZ$4,AHE19),99999),",",
IF(AHE20=IFERROR(SEARCH(" за период",AGZ$4,AHE19),999999)," за период",
IF(AHE20=IFERROR(SEARCH(" в размере",AGZ$4,AHE19),99999)," в размере",
))))</f>
        <v>.</v>
      </c>
      <c r="AHE20" s="306">
        <f>MIN(
IFERROR(SEARCH(".",AGZ$4,AHE19),99999),
IFERROR(SEARCH(",",AGZ$4,AHE19),99999),
IFERROR(SEARCH(" в размере",AGZ$4,AHE19),99999))</f>
        <v>99999</v>
      </c>
      <c r="AHF20" s="306"/>
      <c r="AHG20" s="827"/>
      <c r="AHH20" s="829"/>
      <c r="AHI20" s="116"/>
      <c r="AIJ20" t="s">
        <v>9840</v>
      </c>
      <c r="AIK20" t="s">
        <v>9841</v>
      </c>
      <c r="AIL20" s="1235" t="e">
        <f t="shared" si="68"/>
        <v>#VALUE!</v>
      </c>
      <c r="AKA20" s="116"/>
      <c r="AKK20" s="116"/>
      <c r="AKU20" s="116"/>
      <c r="ALE20" s="116"/>
      <c r="ALO20" s="116"/>
      <c r="ALP20" s="116"/>
      <c r="AMG20" t="str">
        <f t="shared" si="143"/>
        <v>Ханты-Мансийский</v>
      </c>
      <c r="AMH20" t="str">
        <f t="shared" si="144"/>
        <v>Ханты-Мансийский Автономный округ - Югра</v>
      </c>
      <c r="AMI20" s="1235" t="e">
        <f t="shared" si="75"/>
        <v>#VALUE!</v>
      </c>
      <c r="ANX20" s="116"/>
      <c r="AOH20" s="116"/>
      <c r="AOR20" s="116"/>
      <c r="APB20" s="116"/>
      <c r="APL20" s="116"/>
      <c r="APM20" s="116"/>
    </row>
    <row r="21" spans="1:1023 1064:1105" ht="14.4" customHeight="1" thickTop="1" x14ac:dyDescent="0.3">
      <c r="B21" s="116"/>
      <c r="C21" s="116"/>
      <c r="D21" s="116"/>
      <c r="E21" s="116"/>
      <c r="F21" s="116"/>
      <c r="G21" s="116"/>
      <c r="H21" s="116"/>
      <c r="I21" s="116"/>
      <c r="J21" s="116"/>
      <c r="K21" s="116"/>
      <c r="L21" s="116"/>
      <c r="M21" s="116"/>
      <c r="N21" s="116"/>
      <c r="O21" s="116"/>
      <c r="P21" s="116"/>
      <c r="Q21" s="116"/>
      <c r="R21" s="116"/>
      <c r="S21" s="116"/>
      <c r="T21" s="116"/>
      <c r="U21" s="116"/>
      <c r="V21" s="116"/>
      <c r="W21" s="116"/>
      <c r="X21" s="116"/>
      <c r="Y21" s="116"/>
      <c r="Z21" s="116"/>
      <c r="AA21" s="116"/>
      <c r="AB21" s="116"/>
      <c r="AC21" s="116"/>
      <c r="AD21" s="116"/>
      <c r="AE21" s="116"/>
      <c r="AF21" s="116"/>
      <c r="AG21" s="116"/>
      <c r="AH21" s="116"/>
      <c r="AI21" s="116"/>
      <c r="AJ21" s="116"/>
      <c r="AK21" s="116"/>
      <c r="AL21" s="116"/>
      <c r="AM21" s="116"/>
      <c r="AN21" s="116"/>
      <c r="AO21" s="116"/>
      <c r="AP21" s="116"/>
      <c r="AQ21" s="116"/>
      <c r="AR21" s="116"/>
      <c r="AS21" s="116"/>
      <c r="AT21" s="116"/>
      <c r="AU21" s="754"/>
      <c r="AV21" s="754"/>
      <c r="AW21" s="754"/>
      <c r="AX21" s="754"/>
      <c r="AY21" s="754"/>
      <c r="AZ21" s="754"/>
      <c r="BA21" s="754"/>
      <c r="BB21" s="754"/>
      <c r="DR21" t="s">
        <v>1118</v>
      </c>
      <c r="DT21" t="s">
        <v>91</v>
      </c>
      <c r="DU21" t="s">
        <v>1116</v>
      </c>
      <c r="DV21" s="1464"/>
      <c r="DW21" s="830" t="s">
        <v>8249</v>
      </c>
      <c r="DX21" s="836" t="str">
        <f>IF(OR(DY20=" в размере",DY17=" в размере"),SEARCH(" в размере",$C$3,DZ17)+LEN(" в размере")+1,"НЕТ")</f>
        <v>НЕТ</v>
      </c>
      <c r="DY21" s="306" t="s">
        <v>8431</v>
      </c>
      <c r="DZ21" s="306" t="e">
        <f>SEARCH(DY21,$C$3,DX21)</f>
        <v>#VALUE!</v>
      </c>
      <c r="EA21" s="306" t="e">
        <f>DZ21-DX21</f>
        <v>#VALUE!</v>
      </c>
      <c r="EB21" s="826" t="e">
        <f>IF(EC17="Штраф 50%","",MID($C$3,DX21,EA21))</f>
        <v>#VALUE!</v>
      </c>
      <c r="EC21" s="829"/>
      <c r="ED21" s="116"/>
      <c r="FC21" s="116"/>
      <c r="FD21" s="116"/>
      <c r="FE21" s="116"/>
      <c r="FF21" s="116"/>
      <c r="FI21" s="116"/>
      <c r="LY21" t="s">
        <v>9004</v>
      </c>
      <c r="MB21" s="1149"/>
      <c r="NK21" s="1464"/>
      <c r="NL21" s="830" t="s">
        <v>8249</v>
      </c>
      <c r="NM21" s="836" t="e">
        <f>SEARCH(" в размере",NJ$4,NO17)+LEN(" в размере")+1</f>
        <v>#VALUE!</v>
      </c>
      <c r="NN21" s="306" t="s">
        <v>8431</v>
      </c>
      <c r="NO21" s="306" t="e">
        <f>SEARCH(NN21,NJ$4,NM21)</f>
        <v>#VALUE!</v>
      </c>
      <c r="NP21" s="306" t="e">
        <f>NO21-NM21</f>
        <v>#VALUE!</v>
      </c>
      <c r="NQ21" s="826" t="e">
        <f>IF(NR17="Штраф 50%","",MID(NJ$4,NM21,NP21))</f>
        <v>#VALUE!</v>
      </c>
      <c r="NR21" s="829"/>
      <c r="NS21" s="116"/>
      <c r="NT21" s="116"/>
      <c r="OB21" s="1535"/>
      <c r="OC21" s="1472"/>
      <c r="OD21" s="946" t="str">
        <f t="shared" si="131"/>
        <v>$$$$</v>
      </c>
      <c r="OE21" s="947" t="e">
        <f t="shared" si="132"/>
        <v>#VALUE!</v>
      </c>
      <c r="OF21" s="947"/>
      <c r="OG21" s="920"/>
      <c r="OH21" s="920"/>
      <c r="OI21" s="947"/>
      <c r="OJ21" s="947"/>
      <c r="OK21" s="947"/>
      <c r="OL21" s="1474"/>
      <c r="OM21" s="116"/>
      <c r="ON21" s="116"/>
      <c r="OO21" s="116"/>
      <c r="OY21" s="116"/>
      <c r="OZ21" s="959"/>
      <c r="PA21" s="1210"/>
      <c r="PB21" s="959"/>
      <c r="PC21" s="116"/>
      <c r="PD21" s="1000"/>
      <c r="PF21" s="1209"/>
      <c r="PG21" s="1208"/>
      <c r="PH21" s="1209"/>
      <c r="PI21" s="5"/>
      <c r="PJ21" s="1073"/>
      <c r="PK21" s="99"/>
      <c r="PL21" s="920"/>
      <c r="PM21" s="995"/>
      <c r="PN21" s="920"/>
      <c r="PO21" s="254"/>
      <c r="PP21" s="871"/>
      <c r="PQ21" t="str">
        <f t="shared" si="133"/>
        <v>$$$$</v>
      </c>
      <c r="PR21" s="937" t="e">
        <f t="shared" si="134"/>
        <v>#VALUE!</v>
      </c>
      <c r="PS21" s="5"/>
      <c r="PV21" s="937"/>
      <c r="PX21" s="5"/>
      <c r="PY21" s="1470"/>
      <c r="PZ21" t="str">
        <f t="shared" si="135"/>
        <v>$$$$</v>
      </c>
      <c r="QA21" s="937" t="e">
        <f t="shared" si="136"/>
        <v>#VALUE!</v>
      </c>
      <c r="QB21" s="5"/>
      <c r="QC21" s="264"/>
      <c r="QE21" s="937"/>
      <c r="QF21" s="264"/>
      <c r="QG21" s="5"/>
      <c r="QH21" s="1470"/>
      <c r="QI21" t="str">
        <f t="shared" si="137"/>
        <v>$$$$</v>
      </c>
      <c r="QJ21" s="937" t="e">
        <f t="shared" si="138"/>
        <v>#VALUE!</v>
      </c>
      <c r="QK21" s="5"/>
      <c r="QL21" s="264"/>
      <c r="QN21" s="937"/>
      <c r="QO21" s="264"/>
      <c r="QP21" s="5"/>
      <c r="QQ21" s="1470"/>
      <c r="QR21" t="str">
        <f t="shared" si="139"/>
        <v>$$$$</v>
      </c>
      <c r="QS21" s="937" t="e">
        <f t="shared" si="140"/>
        <v>#VALUE!</v>
      </c>
      <c r="QT21" s="5"/>
      <c r="QU21" s="264"/>
      <c r="QW21" s="937"/>
      <c r="QX21" s="264"/>
      <c r="QY21" s="5"/>
      <c r="QZ21" s="1470"/>
      <c r="RA21" s="1094" t="s">
        <v>601</v>
      </c>
      <c r="RB21" s="1097" t="str">
        <f>IFERROR(QH27,"")</f>
        <v/>
      </c>
      <c r="RL21" s="116"/>
      <c r="RO21" s="116"/>
      <c r="SQ21" s="979"/>
      <c r="SR21" s="116"/>
      <c r="SU21" s="116"/>
      <c r="SV21" t="s">
        <v>8513</v>
      </c>
      <c r="SY21" s="1464"/>
      <c r="SZ21" s="830" t="s">
        <v>8249</v>
      </c>
      <c r="TA21" s="836" t="e">
        <f>IF(NOT(ISERROR(SEARCH("НДФЛ",SX$4))),MIN(SEARCH("в размере ",SX$4,TC17)+LEN("в размере "),SEARCH("исходя из суммы ",SX$4,TC17)+LEN("исходя из суммы ")),SEARCH(" в размере",SX$4,TC17)+LEN(" в размере")+1)</f>
        <v>#VALUE!</v>
      </c>
      <c r="TB21" s="306" t="s">
        <v>8431</v>
      </c>
      <c r="TC21" s="306" t="e">
        <f>SEARCH(TB21,$SQ$3,TA21)</f>
        <v>#VALUE!</v>
      </c>
      <c r="TD21" s="306" t="e">
        <f>TC21-TA21</f>
        <v>#VALUE!</v>
      </c>
      <c r="TE21" s="826" t="e">
        <f>IF(TF17="Штраф 50%","",MID($SQ$3,TA21,TD21))</f>
        <v>#VALUE!</v>
      </c>
      <c r="TF21" s="829"/>
      <c r="TG21" s="116"/>
      <c r="TK21" s="1475">
        <v>5</v>
      </c>
      <c r="TL21" s="1030" t="s">
        <v>8433</v>
      </c>
      <c r="TM21" s="406" t="e">
        <f>SEARCH($TJ$14,TJ$4,TO17)+LEN($TJ$14)</f>
        <v>#VALUE!</v>
      </c>
      <c r="TN21" s="406" t="str">
        <f>IF(TO21=IFERROR(SEARCH(".",TJ$4,TM21),99999),".",
IF(TO21=IFERROR(SEARCH(",",TJ$4,TM21),99999),",",
IF(TO21=IFERROR(SEARCH(" за период",TJ$4,TM21),999999)," за период",
IF(TO21=IFERROR(SEARCH(" в размере",TJ$4,TM21),99999)," в размере",
IF(TO21=IFERROR(SEARCH(" и ",TJ$4,TM21),99999)," и ",
IF(TO21=IFERROR(SEARCH(")",TJ$4,TM21),99999),")",
))))))</f>
        <v>.</v>
      </c>
      <c r="TO21" s="406">
        <f>IFERROR(MIN(IFERROR(SEARCH(".",TJ$4,TM21),99999),IFERROR(SEARCH(",",TJ$4,TM21),99999),IFERROR(SEARCH(" за период",TJ$4,TM21),999999),IFERROR(SEARCH(" в размере",TJ$4,TM21),99999),IFERROR(SEARCH(" и ",TJ$4,TM21),99999),IFERROR(SEARCH(")",TJ$4,TM21),99999)),"ОШИБКА")</f>
        <v>99999</v>
      </c>
      <c r="TP21" s="406" t="e">
        <f>TO21-TM21</f>
        <v>#VALUE!</v>
      </c>
      <c r="TQ21" s="873" t="e">
        <f>MID(TJ$4,TM21,TP21)</f>
        <v>#VALUE!</v>
      </c>
      <c r="TR21" s="825" t="str">
        <f>IFERROR(INDEX($DU:$DU,MATCH(MID(TJ$4,TM21,TP21),$DT:$DT,0),1),"")</f>
        <v/>
      </c>
      <c r="TS21" s="116"/>
      <c r="TT21" t="str">
        <f t="shared" si="27"/>
        <v>$$$$</v>
      </c>
      <c r="TW21" s="1464"/>
      <c r="TX21" s="830" t="s">
        <v>8249</v>
      </c>
      <c r="TY21" s="836" t="e">
        <f>IF(NOT(ISERROR(SEARCH("НДФЛ",TV$4))),MIN(SEARCH("в размере ",TV$4,UA17)+LEN("в размере "),SEARCH("исходя из суммы ",TV$4,UA17)+LEN("исходя из суммы ")),SEARCH(" в размере",TV$4,UA17)+LEN(" в размере")+1)</f>
        <v>#VALUE!</v>
      </c>
      <c r="TZ21" s="306" t="s">
        <v>8431</v>
      </c>
      <c r="UA21" s="306" t="e">
        <f>SEARCH(TZ21,$SQ$4,TY21)</f>
        <v>#VALUE!</v>
      </c>
      <c r="UB21" s="306" t="e">
        <f>UA21-TY21</f>
        <v>#VALUE!</v>
      </c>
      <c r="UC21" s="826" t="e">
        <f>IF(UD17="Штраф 50%","",MID($SQ$4,TY21,UB21))</f>
        <v>#VALUE!</v>
      </c>
      <c r="UD21" s="829"/>
      <c r="UE21" s="116"/>
      <c r="UI21" s="1475">
        <v>5</v>
      </c>
      <c r="UJ21" s="1030" t="s">
        <v>8433</v>
      </c>
      <c r="UK21" s="406" t="e">
        <f>SEARCH(UH$14,UH$4,UM17)+LEN(UH$14)</f>
        <v>#VALUE!</v>
      </c>
      <c r="UL21" s="406" t="str">
        <f>IF(UM21=IFERROR(SEARCH(".",UH$4,UK21),99999),".",
IF(UM21=IFERROR(SEARCH(",",UH$4,UK21),99999),",",
IF(UM21=IFERROR(SEARCH(" за период",UH$4,UK21),999999)," за период",
IF(UM21=IFERROR(SEARCH(" в размере",UH$4,UK21),99999)," в размере",
IF(UM21=IFERROR(SEARCH(" и ",UH$4,UK21),99999)," и ",
IF(UM21=IFERROR(SEARCH(")",UH$4,UK21),99999),")",
))))))</f>
        <v>.</v>
      </c>
      <c r="UM21" s="406">
        <f>IFERROR(MIN(IFERROR(SEARCH(".",UH$4,UK21),99999),IFERROR(SEARCH(",",UH$4,UK21),99999),IFERROR(SEARCH(" за период",UH$4,UK21),999999),IFERROR(SEARCH(" в размере",UH$4,UK21),99999),IFERROR(SEARCH(" и ",UH$4,UK21),99999),IFERROR(SEARCH(")",UH$4,UK21),99999)),"ОШИБКА")</f>
        <v>99999</v>
      </c>
      <c r="UN21" s="406" t="e">
        <f>UM21-UK21</f>
        <v>#VALUE!</v>
      </c>
      <c r="UO21" s="873" t="e">
        <f>MID(UH$4,UK21,UN21)</f>
        <v>#VALUE!</v>
      </c>
      <c r="UP21" s="825" t="str">
        <f>IFERROR(INDEX($DU:$DU,MATCH(MID(UH$4,UK21,UN21),$DT:$DT,0),1),"")</f>
        <v/>
      </c>
      <c r="UQ21" s="116"/>
      <c r="UU21" s="1464"/>
      <c r="UV21" s="830" t="s">
        <v>8249</v>
      </c>
      <c r="UW21" s="836" t="e">
        <f>IF(NOT(ISERROR(SEARCH("НДФЛ",UT$4))),MIN(SEARCH("в размере ",UT$4,UY17)+LEN("в размере "),SEARCH("исходя из суммы ",UT$4,UY17)+LEN("исходя из суммы ")),SEARCH(" в размере",UT$4,UY17)+LEN(" в размере")+1)</f>
        <v>#VALUE!</v>
      </c>
      <c r="UX21" s="306" t="s">
        <v>8431</v>
      </c>
      <c r="UY21" s="306" t="e">
        <f>SEARCH(UX21,$SQ$5,UW21)</f>
        <v>#VALUE!</v>
      </c>
      <c r="UZ21" s="306" t="e">
        <f>UY21-UW21</f>
        <v>#VALUE!</v>
      </c>
      <c r="VA21" s="826" t="e">
        <f>IF(VB17="Штраф 50%","",MID($SQ$5,UW21,UZ21))</f>
        <v>#VALUE!</v>
      </c>
      <c r="VB21" s="829"/>
      <c r="VC21" s="116"/>
      <c r="VG21" s="1475">
        <v>5</v>
      </c>
      <c r="VH21" s="1030" t="s">
        <v>8433</v>
      </c>
      <c r="VI21" s="406" t="e">
        <f>SEARCH(VF$14,VF$4,VK17)+LEN(VF$14)</f>
        <v>#VALUE!</v>
      </c>
      <c r="VJ21" s="406" t="str">
        <f>IF(VK21=IFERROR(SEARCH(".",VF$4,VI21),99999),".",
IF(VK21=IFERROR(SEARCH(",",VF$4,VI21),99999),",",
IF(VK21=IFERROR(SEARCH(" за период",VF$4,VI21),999999)," за период",
IF(VK21=IFERROR(SEARCH(" в размере",VF$4,VI21),99999)," в размере",
IF(VK21=IFERROR(SEARCH(" и ",VF$4,VI21),99999)," и ",
IF(VK21=IFERROR(SEARCH(")",VF$4,VI21),99999),")",
))))))</f>
        <v>.</v>
      </c>
      <c r="VK21" s="406">
        <f>IFERROR(MIN(IFERROR(SEARCH(".",VF$4,VI21),99999),IFERROR(SEARCH(",",VF$4,VI21),99999),IFERROR(SEARCH(" за период",VF$4,VI21),999999),IFERROR(SEARCH(" в размере",VF$4,VI21),99999),IFERROR(SEARCH(" и ",VF$4,VI21),99999),IFERROR(SEARCH(")",VF$4,VI21),99999)),"ОШИБКА")</f>
        <v>99999</v>
      </c>
      <c r="VL21" s="406" t="e">
        <f>VK21-VI21</f>
        <v>#VALUE!</v>
      </c>
      <c r="VM21" s="873" t="e">
        <f>MID(VF$4,VI21,VL21)</f>
        <v>#VALUE!</v>
      </c>
      <c r="VN21" s="825" t="str">
        <f>IFERROR(INDEX($DU:$DU,MATCH(MID(VF$4,VI21,VL21),$DT:$DT,0),1),"")</f>
        <v/>
      </c>
      <c r="VO21" s="116"/>
      <c r="VS21" s="1464"/>
      <c r="VT21" s="830" t="s">
        <v>8249</v>
      </c>
      <c r="VU21" s="836" t="e">
        <f>IF(NOT(ISERROR(SEARCH("НДФЛ",VR$4))),MIN(SEARCH("в размере ",VR$4,VW17)+LEN("в размере "),SEARCH("исходя из суммы ",VR$4,VW17)+LEN("исходя из суммы ")),SEARCH(" в размере",VR$4,VW17)+LEN(" в размере")+1)</f>
        <v>#VALUE!</v>
      </c>
      <c r="VV21" s="306" t="s">
        <v>8431</v>
      </c>
      <c r="VW21" s="306" t="e">
        <f>SEARCH(VV21,$SQ$6,VU21)</f>
        <v>#VALUE!</v>
      </c>
      <c r="VX21" s="306" t="e">
        <f>VW21-VU21</f>
        <v>#VALUE!</v>
      </c>
      <c r="VY21" s="826" t="e">
        <f>IF(VZ17="Штраф 50%","",MID($SQ$6,VU21,VX21))</f>
        <v>#VALUE!</v>
      </c>
      <c r="VZ21" s="829"/>
      <c r="WA21" s="116"/>
      <c r="WE21" s="1475">
        <v>5</v>
      </c>
      <c r="WF21" s="1030" t="s">
        <v>8433</v>
      </c>
      <c r="WG21" s="406" t="e">
        <f>SEARCH($TJ$14,WD$4,WI17)+LEN($TJ$14)</f>
        <v>#VALUE!</v>
      </c>
      <c r="WH21" s="406" t="str">
        <f>IF(WI21=IFERROR(SEARCH(".",WD$4,WG21),99999),".",
IF(WI21=IFERROR(SEARCH(",",WD$4,WG21),99999),",",
IF(WI21=IFERROR(SEARCH(" за период",WD$4,WG21),999999)," за период",
IF(WI21=IFERROR(SEARCH(" в размере",WD$4,WG21),99999)," в размере",
IF(WI21=IFERROR(SEARCH(" и ",WD$4,WG21),99999)," и ",
IF(WI21=IFERROR(SEARCH(")",WD$4,WG21),99999),")",
))))))</f>
        <v>.</v>
      </c>
      <c r="WI21" s="406">
        <f>IFERROR(MIN(IFERROR(SEARCH(".",WD$4,WG21),99999),IFERROR(SEARCH(",",WD$4,WG21),99999),IFERROR(SEARCH(" за период",WD$4,WG21),999999),IFERROR(SEARCH(" в размере",WD$4,WG21),99999),IFERROR(SEARCH(" и ",WD$4,WG21),99999),IFERROR(SEARCH(")",WD$4,WG21),99999)),"ОШИБКА")</f>
        <v>99999</v>
      </c>
      <c r="WJ21" s="406" t="e">
        <f>WI21-WG21</f>
        <v>#VALUE!</v>
      </c>
      <c r="WK21" s="873" t="e">
        <f>MID(WD$4,WG21,WJ21)</f>
        <v>#VALUE!</v>
      </c>
      <c r="WL21" s="825" t="str">
        <f>IFERROR(INDEX($DU:$DU,MATCH(MID(WD$4,WG21,WJ21),$DT:$DT,0),1),"")</f>
        <v/>
      </c>
      <c r="WM21" s="116"/>
      <c r="WQ21" s="1464"/>
      <c r="WR21" s="830" t="s">
        <v>8249</v>
      </c>
      <c r="WS21" s="836" t="e">
        <f>IF(NOT(ISERROR(SEARCH("НДФЛ",WP$4))),MIN(SEARCH("в размере ",WP$4,WU17)+LEN("в размере "),SEARCH("исходя из суммы ",WP$4,WU17)+LEN("исходя из суммы ")),SEARCH(" в размере",WP$4,WU17)+LEN(" в размере")+1)</f>
        <v>#VALUE!</v>
      </c>
      <c r="WT21" s="306" t="s">
        <v>8431</v>
      </c>
      <c r="WU21" s="306" t="e">
        <f>SEARCH(WT21,$SQ$7,WS21)</f>
        <v>#VALUE!</v>
      </c>
      <c r="WV21" s="306" t="e">
        <f>WU21-WS21</f>
        <v>#VALUE!</v>
      </c>
      <c r="WW21" s="826" t="e">
        <f>IF(WX17="Штраф 50%","",MID($SQ$7,WS21,WV21))</f>
        <v>#VALUE!</v>
      </c>
      <c r="WX21" s="829"/>
      <c r="WY21" s="116"/>
      <c r="XC21" s="1475">
        <v>5</v>
      </c>
      <c r="XD21" s="1030" t="s">
        <v>8433</v>
      </c>
      <c r="XE21" s="406" t="e">
        <f>SEARCH($TJ$14,XB$4,XG17)+LEN($TJ$14)</f>
        <v>#VALUE!</v>
      </c>
      <c r="XF21" s="406" t="str">
        <f>IF(XG21=IFERROR(SEARCH(".",XB$4,XE21),99999),".",
IF(XG21=IFERROR(SEARCH(",",XB$4,XE21),99999),",",
IF(XG21=IFERROR(SEARCH(" за период",XB$4,XE21),999999)," за период",
IF(XG21=IFERROR(SEARCH(" в размере",XB$4,XE21),99999)," в размере",
IF(XG21=IFERROR(SEARCH(" и ",XB$4,XE21),99999)," и ",
IF(XG21=IFERROR(SEARCH(")",XB$4,XE21),99999),")",
))))))</f>
        <v>.</v>
      </c>
      <c r="XG21" s="406">
        <f>IFERROR(MIN(IFERROR(SEARCH(".",XB$4,XE21),99999),IFERROR(SEARCH(",",XB$4,XE21),99999),IFERROR(SEARCH(" за период",XB$4,XE21),999999),IFERROR(SEARCH(" в размере",XB$4,XE21),99999),IFERROR(SEARCH(" и ",XB$4,XE21),99999),IFERROR(SEARCH(")",XB$4,XE21),99999)),"ОШИБКА")</f>
        <v>99999</v>
      </c>
      <c r="XH21" s="406" t="e">
        <f>XG21-XE21</f>
        <v>#VALUE!</v>
      </c>
      <c r="XI21" s="873" t="e">
        <f>MID(XB$4,XE21,XH21)</f>
        <v>#VALUE!</v>
      </c>
      <c r="XJ21" s="825" t="str">
        <f>IFERROR(INDEX($DU:$DU,MATCH(MID(XB$4,XE21,XH21),$DT:$DT,0),1),"")</f>
        <v/>
      </c>
      <c r="XK21" s="116"/>
      <c r="XM21" s="116"/>
      <c r="XN21" s="116"/>
      <c r="XO21" s="116"/>
      <c r="XR21" s="116"/>
      <c r="XS21" s="116"/>
      <c r="XT21" s="116"/>
      <c r="XU21" s="116"/>
      <c r="XV21" s="116"/>
      <c r="XY21" s="116"/>
      <c r="YG21" s="1464"/>
      <c r="YH21" s="830" t="s">
        <v>8249</v>
      </c>
      <c r="YI21" s="836" t="str">
        <f>IF(OR(YJ20=" в размере",YJ17=" в размере"),SEARCH(" в размере",$XU$3,YK17)+LEN(" в размере")+1,"НЕТ")</f>
        <v>НЕТ</v>
      </c>
      <c r="YJ21" s="306" t="s">
        <v>8431</v>
      </c>
      <c r="YK21" s="306" t="e">
        <f>SEARCH(YJ21,$XU$3,YI21)</f>
        <v>#VALUE!</v>
      </c>
      <c r="YL21" s="306" t="e">
        <f>YK21-YI21</f>
        <v>#VALUE!</v>
      </c>
      <c r="YM21" s="826" t="e">
        <f>IF(YN17="Штраф 50%","",MID($XU$3,YI21,YL21))</f>
        <v>#VALUE!</v>
      </c>
      <c r="YN21" s="829"/>
      <c r="YO21" s="116"/>
      <c r="YS21" s="1464"/>
      <c r="YT21" s="830" t="s">
        <v>8249</v>
      </c>
      <c r="YU21" s="836" t="e">
        <f>SEARCH(" в размере",$XU$4,YW17)+LEN(" в размере")+1</f>
        <v>#VALUE!</v>
      </c>
      <c r="YV21" s="306" t="s">
        <v>8431</v>
      </c>
      <c r="YW21" s="306" t="e">
        <f>SEARCH(YV21,$XU$4,YU21)</f>
        <v>#VALUE!</v>
      </c>
      <c r="YX21" s="306" t="e">
        <f>YW21-YU21</f>
        <v>#VALUE!</v>
      </c>
      <c r="YY21" s="826" t="e">
        <f>IF(YZ17="Штраф 50%","",MID($XU$4,YU21,YX21))</f>
        <v>#VALUE!</v>
      </c>
      <c r="YZ21" s="829"/>
      <c r="ZA21" s="116"/>
      <c r="ZE21" s="1464"/>
      <c r="ZF21" s="830" t="s">
        <v>8249</v>
      </c>
      <c r="ZG21" s="836" t="e">
        <f>SEARCH(" в размере",$XU$5,ZI17)+LEN(" в размере")+1</f>
        <v>#VALUE!</v>
      </c>
      <c r="ZH21" s="306" t="s">
        <v>8431</v>
      </c>
      <c r="ZI21" s="306" t="e">
        <f>SEARCH(ZH21,$XU$5,ZG21)</f>
        <v>#VALUE!</v>
      </c>
      <c r="ZJ21" s="306" t="e">
        <f>ZI21-ZG21</f>
        <v>#VALUE!</v>
      </c>
      <c r="ZK21" s="826" t="e">
        <f>IF(ZL17="Штраф 50%","",MID($XU$5,ZG21,ZJ21))</f>
        <v>#VALUE!</v>
      </c>
      <c r="ZL21" s="829"/>
      <c r="ZM21" s="116"/>
      <c r="ZQ21" s="1464"/>
      <c r="ZR21" s="830" t="s">
        <v>8249</v>
      </c>
      <c r="ZS21" s="836" t="e">
        <f>SEARCH(" в размере",$XU$6,ZU17)+LEN(" в размере")+1</f>
        <v>#VALUE!</v>
      </c>
      <c r="ZT21" s="306" t="s">
        <v>8431</v>
      </c>
      <c r="ZU21" s="306" t="e">
        <f>SEARCH(ZT21,$XU$6,ZS21)</f>
        <v>#VALUE!</v>
      </c>
      <c r="ZV21" s="306" t="e">
        <f>ZU21-ZS21</f>
        <v>#VALUE!</v>
      </c>
      <c r="ZW21" s="826" t="e">
        <f>IF(ZX17="Штраф 50%","",MID($XU$6,ZS21,ZV21))</f>
        <v>#VALUE!</v>
      </c>
      <c r="ZX21" s="829"/>
      <c r="ZY21" s="116"/>
      <c r="AAC21" s="1464"/>
      <c r="AAD21" s="830" t="s">
        <v>8249</v>
      </c>
      <c r="AAE21" s="836" t="e">
        <f>SEARCH(" в размере",$XU$7,AAG17)+LEN(" в размере")+1</f>
        <v>#VALUE!</v>
      </c>
      <c r="AAF21" s="306" t="s">
        <v>8431</v>
      </c>
      <c r="AAG21" s="306" t="e">
        <f>SEARCH(AAF21,$XU$7,AAE21)</f>
        <v>#VALUE!</v>
      </c>
      <c r="AAH21" s="306" t="e">
        <f>AAG21-AAE21</f>
        <v>#VALUE!</v>
      </c>
      <c r="AAI21" s="826" t="e">
        <f>IF(AAJ17="Штраф 50%","",MID($XU$7,AAE21,AAH21))</f>
        <v>#VALUE!</v>
      </c>
      <c r="AAJ21" s="829"/>
      <c r="AAK21" s="116"/>
      <c r="AAL21" s="116"/>
      <c r="AAM21" s="116"/>
      <c r="AAV21" t="str">
        <f t="shared" si="141"/>
        <v>$$$$</v>
      </c>
      <c r="AAW21" s="947" t="e">
        <f t="shared" si="142"/>
        <v>#VALUE!</v>
      </c>
      <c r="AAX21" s="5"/>
      <c r="AAY21" s="5"/>
      <c r="AAZ21" s="5"/>
      <c r="ABA21" s="1487"/>
      <c r="ADF21" s="5"/>
      <c r="ADG21" s="1075"/>
      <c r="ADQ21" s="1075"/>
      <c r="ADR21" s="1080" t="str">
        <f>IFERROR(ACW5,"")</f>
        <v/>
      </c>
      <c r="AEJ21" s="961"/>
      <c r="AEK21" s="961"/>
      <c r="AEL21" s="961"/>
      <c r="AEX21" s="1070"/>
      <c r="AFA21" s="1070"/>
      <c r="AFE21" s="1464"/>
      <c r="AFF21" s="830" t="s">
        <v>8249</v>
      </c>
      <c r="AFG21" s="836">
        <f>SEARCH(" в размере",AFD$4,AFI17)+LEN(" в размере")+1</f>
        <v>546</v>
      </c>
      <c r="AFH21" s="306" t="s">
        <v>8431</v>
      </c>
      <c r="AFI21" s="306">
        <f>SEARCH(AFH21,AFD$4,AFG21)</f>
        <v>551</v>
      </c>
      <c r="AFJ21" s="306">
        <f>AFI21-AFG21</f>
        <v>5</v>
      </c>
      <c r="AFK21" s="826" t="str">
        <f>IF(AFL17="Штраф 50%","",MID(AFD$4,AFG21,AFJ21))</f>
        <v>7 000</v>
      </c>
      <c r="AFL21" s="829"/>
      <c r="AFM21" s="116"/>
      <c r="AFQ21" s="1464"/>
      <c r="AFR21" s="830" t="s">
        <v>8249</v>
      </c>
      <c r="AFS21" s="836" t="e">
        <f>SEARCH(" в размере",AFP$4,AFU17)+LEN(" в размере")+1</f>
        <v>#VALUE!</v>
      </c>
      <c r="AFT21" s="306" t="s">
        <v>8431</v>
      </c>
      <c r="AFU21" s="306" t="e">
        <f>SEARCH(AFT21,AFP$4,AFS21)</f>
        <v>#VALUE!</v>
      </c>
      <c r="AFV21" s="306" t="e">
        <f>AFU21-AFS21</f>
        <v>#VALUE!</v>
      </c>
      <c r="AFW21" s="826" t="e">
        <f>IF(AFX17="Штраф 50%","",MID(AFP$4,AFS21,AFV21))</f>
        <v>#VALUE!</v>
      </c>
      <c r="AFX21" s="829"/>
      <c r="AFY21" s="116"/>
      <c r="AGC21" s="1464"/>
      <c r="AGD21" s="830" t="s">
        <v>8249</v>
      </c>
      <c r="AGE21" s="836" t="e">
        <f>SEARCH(" в размере",AGB$4,AGG17)+LEN(" в размере")+1</f>
        <v>#VALUE!</v>
      </c>
      <c r="AGF21" s="306" t="s">
        <v>8431</v>
      </c>
      <c r="AGG21" s="306" t="e">
        <f>SEARCH(AGF21,AGB$4,AGE21)</f>
        <v>#VALUE!</v>
      </c>
      <c r="AGH21" s="306" t="e">
        <f>AGG21-AGE21</f>
        <v>#VALUE!</v>
      </c>
      <c r="AGI21" s="826" t="e">
        <f>IF(AGJ17="Штраф 50%","",MID(AGB$4,AGE21,AGH21))</f>
        <v>#VALUE!</v>
      </c>
      <c r="AGJ21" s="829"/>
      <c r="AGK21" s="116"/>
      <c r="AGO21" s="1464"/>
      <c r="AGP21" s="830" t="s">
        <v>8249</v>
      </c>
      <c r="AGQ21" s="836" t="e">
        <f>SEARCH(" в размере",AGN$4,AGS17)+LEN(" в размере")+1</f>
        <v>#VALUE!</v>
      </c>
      <c r="AGR21" s="306" t="s">
        <v>8431</v>
      </c>
      <c r="AGS21" s="306" t="e">
        <f>SEARCH(AGR21,AGN$4,AGQ21)</f>
        <v>#VALUE!</v>
      </c>
      <c r="AGT21" s="306" t="e">
        <f>AGS21-AGQ21</f>
        <v>#VALUE!</v>
      </c>
      <c r="AGU21" s="826" t="e">
        <f>IF(AGV17="Штраф 50%","",MID(AGN$4,AGQ21,AGT21))</f>
        <v>#VALUE!</v>
      </c>
      <c r="AGV21" s="829"/>
      <c r="AGW21" s="116"/>
      <c r="AHA21" s="1464"/>
      <c r="AHB21" s="830" t="s">
        <v>8249</v>
      </c>
      <c r="AHC21" s="836" t="e">
        <f>SEARCH(" в размере",AGZ$4,AHE17)+LEN(" в размере")+1</f>
        <v>#VALUE!</v>
      </c>
      <c r="AHD21" s="306" t="s">
        <v>8431</v>
      </c>
      <c r="AHE21" s="306" t="e">
        <f>SEARCH(AHD21,AGZ$4,AHC21)</f>
        <v>#VALUE!</v>
      </c>
      <c r="AHF21" s="306" t="e">
        <f>AHE21-AHC21</f>
        <v>#VALUE!</v>
      </c>
      <c r="AHG21" s="826" t="e">
        <f>IF(AHH17="Штраф 50%","",MID(AGZ$4,AHC21,AHF21))</f>
        <v>#VALUE!</v>
      </c>
      <c r="AHH21" s="829"/>
      <c r="AHI21" s="116"/>
      <c r="AHW21" s="754"/>
      <c r="AIJ21" t="s">
        <v>1460</v>
      </c>
      <c r="AIK21" t="s">
        <v>1460</v>
      </c>
      <c r="AIL21" s="1235" t="e">
        <f t="shared" si="68"/>
        <v>#VALUE!</v>
      </c>
      <c r="AKA21" s="116"/>
      <c r="AKK21" s="116"/>
      <c r="AKU21" s="116"/>
      <c r="ALE21" s="116"/>
      <c r="ALO21" s="116"/>
      <c r="ALP21" s="116"/>
      <c r="ALT21" s="754"/>
      <c r="AMG21" t="str">
        <f t="shared" si="143"/>
        <v>Пермский край</v>
      </c>
      <c r="AMH21" t="str">
        <f t="shared" si="144"/>
        <v>Пермский край</v>
      </c>
      <c r="AMI21" s="1235" t="e">
        <f t="shared" si="75"/>
        <v>#VALUE!</v>
      </c>
      <c r="ANX21" s="116"/>
      <c r="AOH21" s="116"/>
      <c r="AOR21" s="116"/>
      <c r="APB21" s="116"/>
      <c r="APL21" s="116"/>
      <c r="APM21" s="116"/>
    </row>
    <row r="22" spans="1:1023 1064:1105" ht="14.4" customHeight="1" x14ac:dyDescent="0.3">
      <c r="B22" s="116"/>
      <c r="C22" s="116"/>
      <c r="D22" s="116"/>
      <c r="E22" s="116"/>
      <c r="F22" s="116"/>
      <c r="G22" s="116"/>
      <c r="H22" s="116"/>
      <c r="I22" s="116"/>
      <c r="J22" s="116"/>
      <c r="K22" s="116"/>
      <c r="L22" s="116"/>
      <c r="M22" s="116"/>
      <c r="N22" s="116"/>
      <c r="O22" s="116"/>
      <c r="P22" s="116"/>
      <c r="Q22" s="116"/>
      <c r="R22" s="116"/>
      <c r="S22" s="116"/>
      <c r="T22" s="116"/>
      <c r="U22" s="116"/>
      <c r="V22" s="116"/>
      <c r="W22" s="116"/>
      <c r="X22" s="116"/>
      <c r="Y22" s="116"/>
      <c r="Z22" s="116"/>
      <c r="AA22" s="116"/>
      <c r="AB22" s="116"/>
      <c r="AC22" s="116"/>
      <c r="AD22" s="116"/>
      <c r="AE22" s="116"/>
      <c r="AF22" s="116"/>
      <c r="AG22" s="116"/>
      <c r="AH22" s="116"/>
      <c r="AI22" s="116"/>
      <c r="AJ22" s="116"/>
      <c r="AK22" s="116"/>
      <c r="AL22" s="116"/>
      <c r="AM22" s="116"/>
      <c r="AN22" s="116"/>
      <c r="AO22" s="116"/>
      <c r="AP22" s="116"/>
      <c r="AQ22" s="116"/>
      <c r="AR22" s="116"/>
      <c r="AS22" s="116"/>
      <c r="AT22" s="116"/>
      <c r="AU22" s="754"/>
      <c r="AV22" s="754"/>
      <c r="AW22" s="754"/>
      <c r="AX22" s="754"/>
      <c r="AY22" s="754"/>
      <c r="AZ22" s="754"/>
      <c r="BA22" s="754"/>
      <c r="BB22" s="754"/>
      <c r="DR22" t="s">
        <v>1116</v>
      </c>
      <c r="DT22" t="s">
        <v>4954</v>
      </c>
      <c r="DU22" t="s">
        <v>1117</v>
      </c>
      <c r="DV22" s="1464"/>
      <c r="DW22" s="306"/>
      <c r="DX22" s="836" t="e">
        <f>SEARCH(" ",$C$3,DZ21+1)+1</f>
        <v>#VALUE!</v>
      </c>
      <c r="DY22" s="306" t="s">
        <v>8432</v>
      </c>
      <c r="DZ22" s="306" t="e">
        <f>SEARCH(DY22,$C$3,DX22)</f>
        <v>#VALUE!</v>
      </c>
      <c r="EA22" s="306" t="e">
        <f>DZ22-DX22</f>
        <v>#VALUE!</v>
      </c>
      <c r="EB22" s="826" t="e">
        <f>IF(EC17="Штраф 50%","",MID($C$3,DX22,EA22))</f>
        <v>#VALUE!</v>
      </c>
      <c r="EC22" s="829"/>
      <c r="ED22" s="116"/>
      <c r="FC22" s="116"/>
      <c r="FD22" s="116"/>
      <c r="FE22" s="116"/>
      <c r="FF22" s="116"/>
      <c r="FI22" s="116"/>
      <c r="LY22" t="s">
        <v>9032</v>
      </c>
      <c r="NK22" s="1464"/>
      <c r="NL22" s="306"/>
      <c r="NM22" s="836" t="e">
        <f>SEARCH(" ",NJ$4,NO21+1)+1</f>
        <v>#VALUE!</v>
      </c>
      <c r="NN22" s="306" t="s">
        <v>8432</v>
      </c>
      <c r="NO22" s="306" t="e">
        <f>SEARCH(NN22,NJ$4,NM22)</f>
        <v>#VALUE!</v>
      </c>
      <c r="NP22" s="306" t="e">
        <f>NO22-NM22</f>
        <v>#VALUE!</v>
      </c>
      <c r="NQ22" s="826" t="e">
        <f>IF(NR17="Штраф 50%","",MID(NJ$4,NM22,NP22))</f>
        <v>#VALUE!</v>
      </c>
      <c r="NR22" s="829"/>
      <c r="NS22" s="116"/>
      <c r="NT22" s="116"/>
      <c r="OB22" s="1535"/>
      <c r="OC22" s="1472"/>
      <c r="OD22" s="946" t="str">
        <f t="shared" si="131"/>
        <v>$$$$</v>
      </c>
      <c r="OE22" s="947" t="e">
        <f t="shared" si="132"/>
        <v>#VALUE!</v>
      </c>
      <c r="OF22" s="947"/>
      <c r="OG22" s="920"/>
      <c r="OH22" s="920"/>
      <c r="OI22" s="947"/>
      <c r="OJ22" s="947"/>
      <c r="OK22" s="947"/>
      <c r="OL22" s="1474"/>
      <c r="OM22" s="116"/>
      <c r="ON22" s="116"/>
      <c r="OO22" s="116"/>
      <c r="OY22" s="116"/>
      <c r="OZ22" s="959"/>
      <c r="PA22" s="1210"/>
      <c r="PB22" s="959"/>
      <c r="PC22" s="116"/>
      <c r="PD22" s="1000"/>
      <c r="PF22" s="1209"/>
      <c r="PG22" s="1208"/>
      <c r="PH22" s="1209"/>
      <c r="PI22" s="5"/>
      <c r="PJ22" s="1073"/>
      <c r="PK22" s="99"/>
      <c r="PL22" s="920"/>
      <c r="PM22" s="995"/>
      <c r="PN22" s="920"/>
      <c r="PO22" s="254"/>
      <c r="PP22" s="871"/>
      <c r="PQ22" t="str">
        <f t="shared" si="133"/>
        <v>$$$$</v>
      </c>
      <c r="PR22" s="937" t="e">
        <f t="shared" si="134"/>
        <v>#VALUE!</v>
      </c>
      <c r="PS22" s="5"/>
      <c r="PV22" s="937"/>
      <c r="PX22" s="5"/>
      <c r="PY22" s="1470"/>
      <c r="PZ22" t="str">
        <f t="shared" si="135"/>
        <v>$$$$</v>
      </c>
      <c r="QA22" s="937" t="e">
        <f t="shared" si="136"/>
        <v>#VALUE!</v>
      </c>
      <c r="QB22" s="5"/>
      <c r="QC22" s="264"/>
      <c r="QE22" s="937"/>
      <c r="QF22" s="264"/>
      <c r="QG22" s="5"/>
      <c r="QH22" s="1470"/>
      <c r="QI22" t="str">
        <f t="shared" si="137"/>
        <v>$$$$</v>
      </c>
      <c r="QJ22" s="937" t="e">
        <f t="shared" si="138"/>
        <v>#VALUE!</v>
      </c>
      <c r="QK22" s="5"/>
      <c r="QL22" s="264"/>
      <c r="QN22" s="937"/>
      <c r="QO22" s="264"/>
      <c r="QP22" s="5"/>
      <c r="QQ22" s="1470"/>
      <c r="QR22" t="str">
        <f t="shared" si="139"/>
        <v>$$$$</v>
      </c>
      <c r="QS22" s="937" t="e">
        <f t="shared" si="140"/>
        <v>#VALUE!</v>
      </c>
      <c r="QT22" s="5"/>
      <c r="QU22" s="264"/>
      <c r="QW22" s="937"/>
      <c r="QX22" s="264"/>
      <c r="QY22" s="5"/>
      <c r="QZ22" s="1470"/>
      <c r="RA22" s="1094" t="s">
        <v>602</v>
      </c>
      <c r="RB22" s="1097" t="str">
        <f>IFERROR(QQ27,"")</f>
        <v/>
      </c>
      <c r="RL22" s="116"/>
      <c r="RO22" s="116"/>
      <c r="SQ22" s="979"/>
      <c r="SR22" s="116"/>
      <c r="SU22" s="116"/>
      <c r="SV22" t="s">
        <v>8513</v>
      </c>
      <c r="SY22" s="1464"/>
      <c r="SZ22" s="306"/>
      <c r="TA22" s="836" t="e">
        <f>SEARCH(" ",$SQ$3,TC21+1)+1</f>
        <v>#VALUE!</v>
      </c>
      <c r="TB22" s="306" t="s">
        <v>8432</v>
      </c>
      <c r="TC22" s="306" t="e">
        <f>SEARCH(TB22,$SQ$3,TA22)</f>
        <v>#VALUE!</v>
      </c>
      <c r="TD22" s="306" t="e">
        <f>TC22-TA22</f>
        <v>#VALUE!</v>
      </c>
      <c r="TE22" s="826" t="e">
        <f>IF(TF17="Штраф 50%","",MID($SQ$3,TA22,TD22))</f>
        <v>#VALUE!</v>
      </c>
      <c r="TF22" s="829"/>
      <c r="TG22" s="116"/>
      <c r="TK22" s="1476"/>
      <c r="TL22" s="1031" t="s">
        <v>8249</v>
      </c>
      <c r="TM22" s="836">
        <f>IFERROR(MIN(IFERROR(SEARCH(", ",TJ$4,TO17)+LEN(", "),99999),IFERROR(SEARCH("и ",TJ$4,TO17)+LEN("и "),99999)),"ОШИБКА")</f>
        <v>99999</v>
      </c>
      <c r="TN22" s="306" t="s">
        <v>8431</v>
      </c>
      <c r="TO22" s="306" t="e">
        <f>SEARCH(TN22,TJ$4,TM22)</f>
        <v>#VALUE!</v>
      </c>
      <c r="TP22" s="306" t="e">
        <f>TO22-TM22</f>
        <v>#VALUE!</v>
      </c>
      <c r="TQ22" s="826" t="e">
        <f>IF(TR21="Штраф 50%","",MID(TJ$4,TM22,TP22))</f>
        <v>#VALUE!</v>
      </c>
      <c r="TR22" s="828" t="str">
        <f>IF(TN21=" за период",TQ22,"")</f>
        <v/>
      </c>
      <c r="TS22" s="116"/>
      <c r="TT22" t="str">
        <f t="shared" si="27"/>
        <v>$$$$</v>
      </c>
      <c r="TW22" s="1464"/>
      <c r="TX22" s="306"/>
      <c r="TY22" s="836" t="e">
        <f>SEARCH(" ",$SQ$4,UA21+1)+1</f>
        <v>#VALUE!</v>
      </c>
      <c r="TZ22" s="306" t="s">
        <v>8432</v>
      </c>
      <c r="UA22" s="306" t="e">
        <f>SEARCH(TZ22,$SQ$4,TY22)</f>
        <v>#VALUE!</v>
      </c>
      <c r="UB22" s="306" t="e">
        <f>UA22-TY22</f>
        <v>#VALUE!</v>
      </c>
      <c r="UC22" s="826" t="e">
        <f>IF(UD17="Штраф 50%","",MID($SQ$4,TY22,UB22))</f>
        <v>#VALUE!</v>
      </c>
      <c r="UD22" s="829"/>
      <c r="UE22" s="116"/>
      <c r="UI22" s="1476"/>
      <c r="UJ22" s="1031" t="s">
        <v>8249</v>
      </c>
      <c r="UK22" s="836">
        <f>IFERROR(MIN(IFERROR(SEARCH(", ",UH$4,UM17)+LEN(", "),99999),IFERROR(SEARCH("и ",UH$4,UM17)+LEN("и "),99999)),"ОШИБКА")</f>
        <v>99999</v>
      </c>
      <c r="UL22" s="306" t="s">
        <v>8431</v>
      </c>
      <c r="UM22" s="306" t="e">
        <f>SEARCH(UL22,UH$4,UK22)</f>
        <v>#VALUE!</v>
      </c>
      <c r="UN22" s="306" t="e">
        <f>UM22-UK22</f>
        <v>#VALUE!</v>
      </c>
      <c r="UO22" s="826" t="e">
        <f>IF(UP21="Штраф 50%","",MID(UH$4,UK22,UN22))</f>
        <v>#VALUE!</v>
      </c>
      <c r="UP22" s="828" t="str">
        <f>IF(UL21=" за период",UO22,"")</f>
        <v/>
      </c>
      <c r="UQ22" s="116"/>
      <c r="UU22" s="1464"/>
      <c r="UV22" s="306"/>
      <c r="UW22" s="836" t="e">
        <f>SEARCH(" ",$SQ$5,UY21+1)+1</f>
        <v>#VALUE!</v>
      </c>
      <c r="UX22" s="306" t="s">
        <v>8432</v>
      </c>
      <c r="UY22" s="306" t="e">
        <f>SEARCH(UX22,$SQ$5,UW22)</f>
        <v>#VALUE!</v>
      </c>
      <c r="UZ22" s="306" t="e">
        <f>UY22-UW22</f>
        <v>#VALUE!</v>
      </c>
      <c r="VA22" s="826" t="e">
        <f>IF(VB17="Штраф 50%","",MID($SQ$5,UW22,UZ22))</f>
        <v>#VALUE!</v>
      </c>
      <c r="VB22" s="829"/>
      <c r="VC22" s="116"/>
      <c r="VG22" s="1476"/>
      <c r="VH22" s="1031" t="s">
        <v>8249</v>
      </c>
      <c r="VI22" s="836">
        <f>IFERROR(MIN(IFERROR(SEARCH(", ",VF$4,VK17)+LEN(", "),99999),IFERROR(SEARCH("и ",VF$4,VK17)+LEN("и "),99999)),"ОШИБКА")</f>
        <v>99999</v>
      </c>
      <c r="VJ22" s="306" t="s">
        <v>8431</v>
      </c>
      <c r="VK22" s="306" t="e">
        <f>SEARCH(VJ22,VF$4,VI22)</f>
        <v>#VALUE!</v>
      </c>
      <c r="VL22" s="306" t="e">
        <f>VK22-VI22</f>
        <v>#VALUE!</v>
      </c>
      <c r="VM22" s="826" t="e">
        <f>IF(VN21="Штраф 50%","",MID(VF$4,VI22,VL22))</f>
        <v>#VALUE!</v>
      </c>
      <c r="VN22" s="828" t="str">
        <f>IF(VJ21=" за период",VM22,"")</f>
        <v/>
      </c>
      <c r="VO22" s="116"/>
      <c r="VS22" s="1464"/>
      <c r="VT22" s="306"/>
      <c r="VU22" s="836" t="e">
        <f>SEARCH(" ",$SQ$6,VW21+1)+1</f>
        <v>#VALUE!</v>
      </c>
      <c r="VV22" s="306" t="s">
        <v>8432</v>
      </c>
      <c r="VW22" s="306" t="e">
        <f>SEARCH(VV22,$SQ$6,VU22)</f>
        <v>#VALUE!</v>
      </c>
      <c r="VX22" s="306" t="e">
        <f>VW22-VU22</f>
        <v>#VALUE!</v>
      </c>
      <c r="VY22" s="826" t="e">
        <f>IF(VZ17="Штраф 50%","",MID($SQ$6,VU22,VX22))</f>
        <v>#VALUE!</v>
      </c>
      <c r="VZ22" s="829"/>
      <c r="WA22" s="116"/>
      <c r="WE22" s="1476"/>
      <c r="WF22" s="1031" t="s">
        <v>8249</v>
      </c>
      <c r="WG22" s="836">
        <f>IFERROR(MIN(IFERROR(SEARCH(", ",WD$4,WI17)+LEN(", "),99999),IFERROR(SEARCH("и ",WD$4,WI17)+LEN("и "),99999)),"ОШИБКА")</f>
        <v>99999</v>
      </c>
      <c r="WH22" s="306" t="s">
        <v>8431</v>
      </c>
      <c r="WI22" s="306" t="e">
        <f>SEARCH(WH22,WD$4,WG22)</f>
        <v>#VALUE!</v>
      </c>
      <c r="WJ22" s="306" t="e">
        <f>WI22-WG22</f>
        <v>#VALUE!</v>
      </c>
      <c r="WK22" s="826" t="e">
        <f>IF(WL21="Штраф 50%","",MID(WD$4,WG22,WJ22))</f>
        <v>#VALUE!</v>
      </c>
      <c r="WL22" s="828" t="str">
        <f>IF(WH21=" за период",WK22,"")</f>
        <v/>
      </c>
      <c r="WM22" s="116"/>
      <c r="WQ22" s="1464"/>
      <c r="WR22" s="306"/>
      <c r="WS22" s="836" t="e">
        <f>SEARCH(" ",$SQ$7,WU21+1)+1</f>
        <v>#VALUE!</v>
      </c>
      <c r="WT22" s="306" t="s">
        <v>8432</v>
      </c>
      <c r="WU22" s="306" t="e">
        <f>SEARCH(WT22,$SQ$7,WS22)</f>
        <v>#VALUE!</v>
      </c>
      <c r="WV22" s="306" t="e">
        <f>WU22-WS22</f>
        <v>#VALUE!</v>
      </c>
      <c r="WW22" s="826" t="e">
        <f>IF(WX17="Штраф 50%","",MID($SQ$7,WS22,WV22))</f>
        <v>#VALUE!</v>
      </c>
      <c r="WX22" s="829"/>
      <c r="WY22" s="116"/>
      <c r="XC22" s="1476"/>
      <c r="XD22" s="1031" t="s">
        <v>8249</v>
      </c>
      <c r="XE22" s="836">
        <f>IFERROR(MIN(IFERROR(SEARCH(", ",XB$4,XG17)+LEN(", "),99999),IFERROR(SEARCH("и ",XB$4,XG17)+LEN("и "),99999)),"ОШИБКА")</f>
        <v>99999</v>
      </c>
      <c r="XF22" s="306" t="s">
        <v>8431</v>
      </c>
      <c r="XG22" s="306" t="e">
        <f>SEARCH(XF22,XB$4,XE22)</f>
        <v>#VALUE!</v>
      </c>
      <c r="XH22" s="306" t="e">
        <f>XG22-XE22</f>
        <v>#VALUE!</v>
      </c>
      <c r="XI22" s="826" t="e">
        <f>IF(XJ21="Штраф 50%","",MID(XB$4,XE22,XH22))</f>
        <v>#VALUE!</v>
      </c>
      <c r="XJ22" s="828" t="str">
        <f>IF(XF21=" за период",XI22,"")</f>
        <v/>
      </c>
      <c r="XK22" s="116"/>
      <c r="XM22" s="116"/>
      <c r="XN22" s="116"/>
      <c r="XO22" s="116"/>
      <c r="XR22" s="116"/>
      <c r="XS22" s="116"/>
      <c r="XT22" s="116"/>
      <c r="XU22" s="116"/>
      <c r="XV22" s="116"/>
      <c r="XY22" s="116"/>
      <c r="YG22" s="1464"/>
      <c r="YH22" s="306"/>
      <c r="YI22" s="836" t="e">
        <f>SEARCH(" ",$XU$3,YK21+1)+1</f>
        <v>#VALUE!</v>
      </c>
      <c r="YJ22" s="306" t="s">
        <v>8432</v>
      </c>
      <c r="YK22" s="306" t="e">
        <f>SEARCH(YJ22,$XU$3,YI22)</f>
        <v>#VALUE!</v>
      </c>
      <c r="YL22" s="306" t="e">
        <f>YK22-YI22</f>
        <v>#VALUE!</v>
      </c>
      <c r="YM22" s="826" t="e">
        <f>IF(YN17="Штраф 50%","",MID($XU$3,YI22,YL22))</f>
        <v>#VALUE!</v>
      </c>
      <c r="YN22" s="829"/>
      <c r="YO22" s="116"/>
      <c r="YS22" s="1464"/>
      <c r="YT22" s="306"/>
      <c r="YU22" s="836" t="e">
        <f>SEARCH(" ",$XU$4,YW21+1)+1</f>
        <v>#VALUE!</v>
      </c>
      <c r="YV22" s="306" t="s">
        <v>8432</v>
      </c>
      <c r="YW22" s="306" t="e">
        <f>SEARCH(YV22,$XU$4,YU22)</f>
        <v>#VALUE!</v>
      </c>
      <c r="YX22" s="306" t="e">
        <f>YW22-YU22</f>
        <v>#VALUE!</v>
      </c>
      <c r="YY22" s="826" t="e">
        <f>IF(YZ17="Штраф 50%","",MID($XU$4,YU22,YX22))</f>
        <v>#VALUE!</v>
      </c>
      <c r="YZ22" s="829"/>
      <c r="ZA22" s="116"/>
      <c r="ZE22" s="1464"/>
      <c r="ZF22" s="306"/>
      <c r="ZG22" s="836" t="e">
        <f>SEARCH(" ",$XU$5,ZI21+1)+1</f>
        <v>#VALUE!</v>
      </c>
      <c r="ZH22" s="306" t="s">
        <v>8432</v>
      </c>
      <c r="ZI22" s="306" t="e">
        <f>SEARCH(ZH22,$XU$5,ZG22)</f>
        <v>#VALUE!</v>
      </c>
      <c r="ZJ22" s="306" t="e">
        <f>ZI22-ZG22</f>
        <v>#VALUE!</v>
      </c>
      <c r="ZK22" s="826" t="e">
        <f>IF(ZL17="Штраф 50%","",MID($XU$5,ZG22,ZJ22))</f>
        <v>#VALUE!</v>
      </c>
      <c r="ZL22" s="829"/>
      <c r="ZM22" s="116"/>
      <c r="ZQ22" s="1464"/>
      <c r="ZR22" s="306"/>
      <c r="ZS22" s="836" t="e">
        <f>SEARCH(" ",$XU$6,ZU21+1)+1</f>
        <v>#VALUE!</v>
      </c>
      <c r="ZT22" s="306" t="s">
        <v>8432</v>
      </c>
      <c r="ZU22" s="306" t="e">
        <f>SEARCH(ZT22,$XU$6,ZS22)</f>
        <v>#VALUE!</v>
      </c>
      <c r="ZV22" s="306" t="e">
        <f>ZU22-ZS22</f>
        <v>#VALUE!</v>
      </c>
      <c r="ZW22" s="826" t="e">
        <f>IF(ZX17="Штраф 50%","",MID($XU$6,ZS22,ZV22))</f>
        <v>#VALUE!</v>
      </c>
      <c r="ZX22" s="829"/>
      <c r="ZY22" s="116"/>
      <c r="AAC22" s="1464"/>
      <c r="AAD22" s="306"/>
      <c r="AAE22" s="836" t="e">
        <f>SEARCH(" ",$XU$7,AAG21+1)+1</f>
        <v>#VALUE!</v>
      </c>
      <c r="AAF22" s="306" t="s">
        <v>8432</v>
      </c>
      <c r="AAG22" s="306" t="e">
        <f>SEARCH(AAF22,$XU$7,AAE22)</f>
        <v>#VALUE!</v>
      </c>
      <c r="AAH22" s="306" t="e">
        <f>AAG22-AAE22</f>
        <v>#VALUE!</v>
      </c>
      <c r="AAI22" s="826" t="e">
        <f>IF(AAJ17="Штраф 50%","",MID($XU$7,AAE22,AAH22))</f>
        <v>#VALUE!</v>
      </c>
      <c r="AAJ22" s="829"/>
      <c r="AAK22" s="116"/>
      <c r="AAL22" s="116"/>
      <c r="AAM22" s="116"/>
      <c r="AAV22" t="str">
        <f t="shared" si="141"/>
        <v>$$$$</v>
      </c>
      <c r="AAW22" s="947" t="e">
        <f t="shared" si="142"/>
        <v>#VALUE!</v>
      </c>
      <c r="AAX22" s="5"/>
      <c r="AAY22" s="5"/>
      <c r="AAZ22" s="5"/>
      <c r="ABA22" s="1487"/>
      <c r="ADF22" s="5"/>
      <c r="ADG22" s="1075"/>
      <c r="ADQ22" s="1075"/>
      <c r="ADR22" s="1080" t="str">
        <f>IFERROR(ADG5,"")</f>
        <v/>
      </c>
      <c r="AEJ22" s="961"/>
      <c r="AEK22" s="961"/>
      <c r="AEL22" s="961"/>
      <c r="AEX22" s="1070"/>
      <c r="AFA22" s="1070"/>
      <c r="AFE22" s="1464"/>
      <c r="AFF22" s="306"/>
      <c r="AFG22" s="836">
        <f>SEARCH(" ",AFD$4,AFI21+1)+1</f>
        <v>559</v>
      </c>
      <c r="AFH22" s="306" t="s">
        <v>8432</v>
      </c>
      <c r="AFI22" s="306">
        <f>SEARCH(AFH22,AFD$4,AFG22)</f>
        <v>561</v>
      </c>
      <c r="AFJ22" s="306">
        <f>AFI22-AFG22</f>
        <v>2</v>
      </c>
      <c r="AFK22" s="826" t="str">
        <f>IF(AFL17="Штраф 50%","",MID(AFD$4,AFG22,AFJ22))</f>
        <v>00</v>
      </c>
      <c r="AFL22" s="829"/>
      <c r="AFM22" s="116"/>
      <c r="AFQ22" s="1464"/>
      <c r="AFR22" s="306"/>
      <c r="AFS22" s="836" t="e">
        <f>SEARCH(" ",AFP$4,AFU21+1)+1</f>
        <v>#VALUE!</v>
      </c>
      <c r="AFT22" s="306" t="s">
        <v>8432</v>
      </c>
      <c r="AFU22" s="306" t="e">
        <f>SEARCH(AFT22,AFP$4,AFS22)</f>
        <v>#VALUE!</v>
      </c>
      <c r="AFV22" s="306" t="e">
        <f>AFU22-AFS22</f>
        <v>#VALUE!</v>
      </c>
      <c r="AFW22" s="826" t="e">
        <f>IF(AFX17="Штраф 50%","",MID(AFP$4,AFS22,AFV22))</f>
        <v>#VALUE!</v>
      </c>
      <c r="AFX22" s="829"/>
      <c r="AFY22" s="116"/>
      <c r="AGC22" s="1464"/>
      <c r="AGD22" s="306"/>
      <c r="AGE22" s="836" t="e">
        <f>SEARCH(" ",AGB$4,AGG21+1)+1</f>
        <v>#VALUE!</v>
      </c>
      <c r="AGF22" s="306" t="s">
        <v>8432</v>
      </c>
      <c r="AGG22" s="306" t="e">
        <f>SEARCH(AGF22,AGB$4,AGE22)</f>
        <v>#VALUE!</v>
      </c>
      <c r="AGH22" s="306" t="e">
        <f>AGG22-AGE22</f>
        <v>#VALUE!</v>
      </c>
      <c r="AGI22" s="826" t="e">
        <f>IF(AGJ17="Штраф 50%","",MID(AGB$4,AGE22,AGH22))</f>
        <v>#VALUE!</v>
      </c>
      <c r="AGJ22" s="829"/>
      <c r="AGK22" s="116"/>
      <c r="AGO22" s="1464"/>
      <c r="AGP22" s="306"/>
      <c r="AGQ22" s="836" t="e">
        <f>SEARCH(" ",AGN$4,AGS21+1)+1</f>
        <v>#VALUE!</v>
      </c>
      <c r="AGR22" s="306" t="s">
        <v>8432</v>
      </c>
      <c r="AGS22" s="306" t="e">
        <f>SEARCH(AGR22,AGN$4,AGQ22)</f>
        <v>#VALUE!</v>
      </c>
      <c r="AGT22" s="306" t="e">
        <f>AGS22-AGQ22</f>
        <v>#VALUE!</v>
      </c>
      <c r="AGU22" s="826" t="e">
        <f>IF(AGV17="Штраф 50%","",MID(AGN$4,AGQ22,AGT22))</f>
        <v>#VALUE!</v>
      </c>
      <c r="AGV22" s="829"/>
      <c r="AGW22" s="116"/>
      <c r="AHA22" s="1464"/>
      <c r="AHB22" s="306"/>
      <c r="AHC22" s="836" t="e">
        <f>SEARCH(" ",AGZ$4,AHE21+1)+1</f>
        <v>#VALUE!</v>
      </c>
      <c r="AHD22" s="306" t="s">
        <v>8432</v>
      </c>
      <c r="AHE22" s="306" t="e">
        <f>SEARCH(AHD22,AGZ$4,AHC22)</f>
        <v>#VALUE!</v>
      </c>
      <c r="AHF22" s="306" t="e">
        <f>AHE22-AHC22</f>
        <v>#VALUE!</v>
      </c>
      <c r="AHG22" s="826" t="e">
        <f>IF(AHH17="Штраф 50%","",MID(AGZ$4,AHC22,AHF22))</f>
        <v>#VALUE!</v>
      </c>
      <c r="AHH22" s="829"/>
      <c r="AHI22" s="116"/>
      <c r="AIJ22" t="s">
        <v>9857</v>
      </c>
      <c r="AIK22" t="s">
        <v>9858</v>
      </c>
      <c r="AIL22" s="1235" t="e">
        <f t="shared" si="68"/>
        <v>#VALUE!</v>
      </c>
      <c r="AKA22" s="116"/>
      <c r="AKK22" s="116"/>
      <c r="AKU22" s="116"/>
      <c r="ALE22" s="116"/>
      <c r="ALO22" s="116"/>
      <c r="ALP22" s="116"/>
      <c r="AMG22" t="str">
        <f t="shared" si="143"/>
        <v>Калининградская обл</v>
      </c>
      <c r="AMH22" t="str">
        <f t="shared" si="144"/>
        <v>Калининградская обл.</v>
      </c>
      <c r="AMI22" s="1235" t="e">
        <f t="shared" si="75"/>
        <v>#VALUE!</v>
      </c>
      <c r="ANX22" s="116"/>
      <c r="AOH22" s="116"/>
      <c r="AOR22" s="116"/>
      <c r="APB22" s="116"/>
      <c r="APL22" s="116"/>
      <c r="APM22" s="116"/>
    </row>
    <row r="23" spans="1:1023 1064:1105" ht="14.4" customHeight="1" thickBot="1" x14ac:dyDescent="0.35">
      <c r="B23" s="116"/>
      <c r="C23" s="116"/>
      <c r="D23" s="116"/>
      <c r="E23" s="116"/>
      <c r="F23" s="116"/>
      <c r="G23" s="116"/>
      <c r="H23" s="116"/>
      <c r="I23" s="116"/>
      <c r="J23" s="116"/>
      <c r="K23" s="116"/>
      <c r="L23" s="116"/>
      <c r="M23" s="116"/>
      <c r="N23" s="116"/>
      <c r="O23" s="116"/>
      <c r="P23" s="116"/>
      <c r="Q23" s="116"/>
      <c r="R23" s="116"/>
      <c r="S23" s="116"/>
      <c r="T23" s="116"/>
      <c r="U23" s="116"/>
      <c r="V23" s="116"/>
      <c r="W23" s="116"/>
      <c r="X23" s="116"/>
      <c r="Y23" s="116"/>
      <c r="Z23" s="116"/>
      <c r="AA23" s="116"/>
      <c r="AB23" s="116"/>
      <c r="AC23" s="116"/>
      <c r="AD23" s="116"/>
      <c r="AE23" s="116"/>
      <c r="AF23" s="116"/>
      <c r="AG23" s="116"/>
      <c r="AH23" s="116"/>
      <c r="AI23" s="116"/>
      <c r="AJ23" s="116"/>
      <c r="AK23" s="116"/>
      <c r="AL23" s="116"/>
      <c r="AM23" s="116"/>
      <c r="AN23" s="116"/>
      <c r="AO23" s="116"/>
      <c r="AP23" s="116"/>
      <c r="AQ23" s="116"/>
      <c r="AR23" s="116"/>
      <c r="AS23" s="116"/>
      <c r="AT23" s="116"/>
      <c r="AU23" s="754"/>
      <c r="AV23" s="754"/>
      <c r="AW23" s="754"/>
      <c r="AX23" s="754"/>
      <c r="AY23" s="754"/>
      <c r="AZ23" s="754"/>
      <c r="BA23" s="754"/>
      <c r="BB23" s="754"/>
      <c r="DR23" s="933" t="s">
        <v>1117</v>
      </c>
      <c r="DT23" t="s">
        <v>93</v>
      </c>
      <c r="DU23" t="s">
        <v>1118</v>
      </c>
      <c r="DV23" s="1465"/>
      <c r="DW23" s="583"/>
      <c r="DX23" s="837"/>
      <c r="DY23" s="583"/>
      <c r="DZ23" s="583"/>
      <c r="EA23" s="583"/>
      <c r="EB23" s="831" t="e">
        <f>VALUE(CONCATENATE(EB21,",",EB22))</f>
        <v>#VALUE!</v>
      </c>
      <c r="EC23" s="832" t="str">
        <f>IF(EC17="Штраф 50%","",IF(OR(DY20=" в размере",DY17=" в размере"),EB23,""))</f>
        <v/>
      </c>
      <c r="ED23" s="116"/>
      <c r="FC23" s="116"/>
      <c r="FD23" s="116"/>
      <c r="FE23" s="116"/>
      <c r="FF23" s="116"/>
      <c r="FI23" s="116"/>
      <c r="LY23" t="s">
        <v>9190</v>
      </c>
      <c r="NK23" s="1465"/>
      <c r="NL23" s="583"/>
      <c r="NM23" s="837"/>
      <c r="NN23" s="583"/>
      <c r="NO23" s="583"/>
      <c r="NP23" s="583"/>
      <c r="NQ23" s="831" t="e">
        <f>VALUE(CONCATENATE(NQ21,",",NQ22))</f>
        <v>#VALUE!</v>
      </c>
      <c r="NR23" s="832" t="str">
        <f>IF(NR17="Штраф 50%","",IF(OR(NN20=" в размере",NN17=" в размере"),NQ23,""))</f>
        <v/>
      </c>
      <c r="NS23" s="116"/>
      <c r="NT23" s="116"/>
      <c r="OB23" s="1535"/>
      <c r="OC23" s="1472"/>
      <c r="OD23" s="946" t="str">
        <f t="shared" si="131"/>
        <v>$$$$</v>
      </c>
      <c r="OE23" s="947" t="e">
        <f t="shared" si="132"/>
        <v>#VALUE!</v>
      </c>
      <c r="OF23" s="947"/>
      <c r="OG23" s="920"/>
      <c r="OH23" s="920"/>
      <c r="OI23" s="947"/>
      <c r="OJ23" s="947"/>
      <c r="OK23" s="947"/>
      <c r="OL23" s="1474"/>
      <c r="OM23" s="116"/>
      <c r="ON23" s="116"/>
      <c r="OO23" s="116"/>
      <c r="OY23" s="116"/>
      <c r="OZ23" s="959"/>
      <c r="PA23" s="1210"/>
      <c r="PB23" s="959"/>
      <c r="PC23" s="116"/>
      <c r="PD23" s="1000"/>
      <c r="PF23" s="1209"/>
      <c r="PG23" s="1208"/>
      <c r="PH23" s="1209"/>
      <c r="PI23" s="5"/>
      <c r="PJ23" s="1073"/>
      <c r="PK23" s="99"/>
      <c r="PL23" s="920"/>
      <c r="PM23" s="995"/>
      <c r="PN23" s="920"/>
      <c r="PO23" s="254"/>
      <c r="PP23" s="871"/>
      <c r="PQ23" t="str">
        <f t="shared" si="133"/>
        <v>$$$$</v>
      </c>
      <c r="PR23" s="937" t="e">
        <f t="shared" si="134"/>
        <v>#VALUE!</v>
      </c>
      <c r="PS23" s="5"/>
      <c r="PV23" s="937"/>
      <c r="PX23" s="5"/>
      <c r="PY23" s="1470"/>
      <c r="PZ23" t="str">
        <f t="shared" si="135"/>
        <v>$$$$</v>
      </c>
      <c r="QA23" s="937" t="e">
        <f t="shared" si="136"/>
        <v>#VALUE!</v>
      </c>
      <c r="QB23" s="5"/>
      <c r="QC23" s="264"/>
      <c r="QE23" s="937"/>
      <c r="QF23" s="264"/>
      <c r="QG23" s="5"/>
      <c r="QH23" s="1470"/>
      <c r="QI23" t="str">
        <f t="shared" si="137"/>
        <v>$$$$</v>
      </c>
      <c r="QJ23" s="937" t="e">
        <f t="shared" si="138"/>
        <v>#VALUE!</v>
      </c>
      <c r="QK23" s="5"/>
      <c r="QL23" s="264"/>
      <c r="QN23" s="937"/>
      <c r="QO23" s="264"/>
      <c r="QP23" s="5"/>
      <c r="QQ23" s="1470"/>
      <c r="QR23" t="str">
        <f t="shared" si="139"/>
        <v>$$$$</v>
      </c>
      <c r="QS23" s="937" t="e">
        <f t="shared" si="140"/>
        <v>#VALUE!</v>
      </c>
      <c r="QT23" s="5"/>
      <c r="QU23" s="264"/>
      <c r="QW23" s="937"/>
      <c r="QX23" s="264"/>
      <c r="QY23" s="5"/>
      <c r="QZ23" s="1470"/>
      <c r="RA23" s="1098" t="s">
        <v>5580</v>
      </c>
      <c r="RB23" s="1099" t="str">
        <f>IFERROR(QZ27,"")</f>
        <v/>
      </c>
      <c r="RL23" s="116"/>
      <c r="RO23" s="116"/>
      <c r="SQ23" s="979"/>
      <c r="SR23" s="116"/>
      <c r="SU23" s="116"/>
      <c r="SV23" t="s">
        <v>8513</v>
      </c>
      <c r="SY23" s="1465"/>
      <c r="SZ23" s="583"/>
      <c r="TA23" s="837"/>
      <c r="TB23" s="583"/>
      <c r="TC23" s="583"/>
      <c r="TD23" s="583"/>
      <c r="TE23" s="831" t="e">
        <f>VALUE(CONCATENATE(TE21,",",TE22))</f>
        <v>#VALUE!</v>
      </c>
      <c r="TF23" s="832" t="str">
        <f>IF(OR(TF17="Штраф 50%",TF17=""),"",TE23)</f>
        <v/>
      </c>
      <c r="TG23" s="116"/>
      <c r="TK23" s="1476"/>
      <c r="TL23" s="592"/>
      <c r="TM23" s="836" t="e">
        <f>SEARCH(" ",TJ$4,TO22+1)+1</f>
        <v>#VALUE!</v>
      </c>
      <c r="TN23" s="306" t="s">
        <v>8432</v>
      </c>
      <c r="TO23" s="306" t="e">
        <f>SEARCH(TN23,TJ$4,TM23)</f>
        <v>#VALUE!</v>
      </c>
      <c r="TP23" s="306" t="e">
        <f>TO23-TM23</f>
        <v>#VALUE!</v>
      </c>
      <c r="TQ23" s="826" t="e">
        <f>IF(TR21="Штраф 50%","",MID(TJ$4,TM23,TP23))</f>
        <v>#VALUE!</v>
      </c>
      <c r="TR23" s="828" t="str">
        <f>IF(TN21=" за период",TQ23,"")</f>
        <v/>
      </c>
      <c r="TS23" s="116"/>
      <c r="TT23" t="str">
        <f t="shared" si="27"/>
        <v>$$$$</v>
      </c>
      <c r="TW23" s="1465"/>
      <c r="TX23" s="583"/>
      <c r="TY23" s="837"/>
      <c r="TZ23" s="583"/>
      <c r="UA23" s="583"/>
      <c r="UB23" s="583"/>
      <c r="UC23" s="831" t="e">
        <f>VALUE(CONCATENATE(UC21,",",UC22))</f>
        <v>#VALUE!</v>
      </c>
      <c r="UD23" s="832" t="str">
        <f>IF(OR(UD17="Штраф 50%",UD17=""),"",UC23)</f>
        <v/>
      </c>
      <c r="UE23" s="116"/>
      <c r="UI23" s="1476"/>
      <c r="UJ23" s="592"/>
      <c r="UK23" s="836" t="e">
        <f>SEARCH(" ",UH$4,UM22+1)+1</f>
        <v>#VALUE!</v>
      </c>
      <c r="UL23" s="306" t="s">
        <v>8432</v>
      </c>
      <c r="UM23" s="306" t="e">
        <f>SEARCH(UL23,UH$4,UK23)</f>
        <v>#VALUE!</v>
      </c>
      <c r="UN23" s="306" t="e">
        <f>UM23-UK23</f>
        <v>#VALUE!</v>
      </c>
      <c r="UO23" s="826" t="e">
        <f>IF(UP21="Штраф 50%","",MID(UH$4,UK23,UN23))</f>
        <v>#VALUE!</v>
      </c>
      <c r="UP23" s="828" t="str">
        <f>IF(UL21=" за период",UO23,"")</f>
        <v/>
      </c>
      <c r="UQ23" s="116"/>
      <c r="UU23" s="1465"/>
      <c r="UV23" s="583"/>
      <c r="UW23" s="837"/>
      <c r="UX23" s="583"/>
      <c r="UY23" s="583"/>
      <c r="UZ23" s="583"/>
      <c r="VA23" s="831" t="e">
        <f>VALUE(CONCATENATE(VA21,",",VA22))</f>
        <v>#VALUE!</v>
      </c>
      <c r="VB23" s="832" t="str">
        <f>IF(OR(VB17="Штраф 50%",VB17=""),"",VA23)</f>
        <v/>
      </c>
      <c r="VC23" s="116"/>
      <c r="VG23" s="1476"/>
      <c r="VH23" s="592"/>
      <c r="VI23" s="836" t="e">
        <f>SEARCH(" ",VF$4,VK22+1)+1</f>
        <v>#VALUE!</v>
      </c>
      <c r="VJ23" s="306" t="s">
        <v>8432</v>
      </c>
      <c r="VK23" s="306" t="e">
        <f>SEARCH(VJ23,VF$4,VI23)</f>
        <v>#VALUE!</v>
      </c>
      <c r="VL23" s="306" t="e">
        <f>VK23-VI23</f>
        <v>#VALUE!</v>
      </c>
      <c r="VM23" s="826" t="e">
        <f>IF(VN21="Штраф 50%","",MID(VF$4,VI23,VL23))</f>
        <v>#VALUE!</v>
      </c>
      <c r="VN23" s="828" t="str">
        <f>IF(VJ21=" за период",VM23,"")</f>
        <v/>
      </c>
      <c r="VO23" s="116"/>
      <c r="VS23" s="1465"/>
      <c r="VT23" s="583"/>
      <c r="VU23" s="837"/>
      <c r="VV23" s="583"/>
      <c r="VW23" s="583"/>
      <c r="VX23" s="583"/>
      <c r="VY23" s="831" t="e">
        <f>VALUE(CONCATENATE(VY21,",",VY22))</f>
        <v>#VALUE!</v>
      </c>
      <c r="VZ23" s="832" t="str">
        <f>IF(OR(VZ17="Штраф 50%",VZ17=""),"",VY23)</f>
        <v/>
      </c>
      <c r="WA23" s="116"/>
      <c r="WE23" s="1476"/>
      <c r="WF23" s="592"/>
      <c r="WG23" s="836" t="e">
        <f>SEARCH(" ",WD$4,WI22+1)+1</f>
        <v>#VALUE!</v>
      </c>
      <c r="WH23" s="306" t="s">
        <v>8432</v>
      </c>
      <c r="WI23" s="306" t="e">
        <f>SEARCH(WH23,WD$4,WG23)</f>
        <v>#VALUE!</v>
      </c>
      <c r="WJ23" s="306" t="e">
        <f>WI23-WG23</f>
        <v>#VALUE!</v>
      </c>
      <c r="WK23" s="826" t="e">
        <f>IF(WL21="Штраф 50%","",MID(WD$4,WG23,WJ23))</f>
        <v>#VALUE!</v>
      </c>
      <c r="WL23" s="828" t="str">
        <f>IF(WH21=" за период",WK23,"")</f>
        <v/>
      </c>
      <c r="WM23" s="116"/>
      <c r="WQ23" s="1465"/>
      <c r="WR23" s="583"/>
      <c r="WS23" s="837"/>
      <c r="WT23" s="583"/>
      <c r="WU23" s="583"/>
      <c r="WV23" s="583"/>
      <c r="WW23" s="831" t="e">
        <f>VALUE(CONCATENATE(WW21,",",WW22))</f>
        <v>#VALUE!</v>
      </c>
      <c r="WX23" s="832" t="str">
        <f>IF(OR(WX17="Штраф 50%",WX17=""),"",WW23)</f>
        <v/>
      </c>
      <c r="WY23" s="116"/>
      <c r="XC23" s="1476"/>
      <c r="XD23" s="592"/>
      <c r="XE23" s="836" t="e">
        <f>SEARCH(" ",XB$4,XG22+1)+1</f>
        <v>#VALUE!</v>
      </c>
      <c r="XF23" s="306" t="s">
        <v>8432</v>
      </c>
      <c r="XG23" s="306" t="e">
        <f>SEARCH(XF23,XB$4,XE23)</f>
        <v>#VALUE!</v>
      </c>
      <c r="XH23" s="306" t="e">
        <f>XG23-XE23</f>
        <v>#VALUE!</v>
      </c>
      <c r="XI23" s="826" t="e">
        <f>IF(XJ21="Штраф 50%","",MID(XB$4,XE23,XH23))</f>
        <v>#VALUE!</v>
      </c>
      <c r="XJ23" s="828" t="str">
        <f>IF(XF21=" за период",XI23,"")</f>
        <v/>
      </c>
      <c r="XK23" s="116"/>
      <c r="XM23" s="116"/>
      <c r="XN23" s="116"/>
      <c r="XO23" s="116"/>
      <c r="XR23" s="116"/>
      <c r="XS23" s="116"/>
      <c r="XT23" s="116"/>
      <c r="XU23" s="116"/>
      <c r="XV23" s="116"/>
      <c r="XY23" s="116"/>
      <c r="YG23" s="1465"/>
      <c r="YH23" s="583"/>
      <c r="YI23" s="837"/>
      <c r="YJ23" s="583"/>
      <c r="YK23" s="583"/>
      <c r="YL23" s="583"/>
      <c r="YM23" s="831" t="e">
        <f>VALUE(CONCATENATE(YM21,",",YM22))</f>
        <v>#VALUE!</v>
      </c>
      <c r="YN23" s="832" t="str">
        <f>IF(YN17="Штраф 50%","",IF(OR(YJ20=" в размере",YJ17=" в размере"),YM23,""))</f>
        <v/>
      </c>
      <c r="YO23" s="116"/>
      <c r="YS23" s="1465"/>
      <c r="YT23" s="583"/>
      <c r="YU23" s="837"/>
      <c r="YV23" s="583"/>
      <c r="YW23" s="583"/>
      <c r="YX23" s="583"/>
      <c r="YY23" s="831" t="e">
        <f>VALUE(CONCATENATE(YY21,",",YY22))</f>
        <v>#VALUE!</v>
      </c>
      <c r="YZ23" s="832" t="str">
        <f>IF(YZ17="Штраф 50%","",IF(OR(YV20=" в размере",YV17=" в размере"),YY23,""))</f>
        <v/>
      </c>
      <c r="ZA23" s="116"/>
      <c r="ZE23" s="1465"/>
      <c r="ZF23" s="583"/>
      <c r="ZG23" s="837"/>
      <c r="ZH23" s="583"/>
      <c r="ZI23" s="583"/>
      <c r="ZJ23" s="583"/>
      <c r="ZK23" s="831" t="e">
        <f>VALUE(CONCATENATE(ZK21,",",ZK22))</f>
        <v>#VALUE!</v>
      </c>
      <c r="ZL23" s="832" t="str">
        <f>IF(ZL17="Штраф 50%","",IF(OR(ZH20=" в размере",ZH17=" в размере"),ZK23,""))</f>
        <v/>
      </c>
      <c r="ZM23" s="116"/>
      <c r="ZQ23" s="1465"/>
      <c r="ZR23" s="583"/>
      <c r="ZS23" s="837"/>
      <c r="ZT23" s="583"/>
      <c r="ZU23" s="583"/>
      <c r="ZV23" s="583"/>
      <c r="ZW23" s="831" t="e">
        <f>VALUE(CONCATENATE(ZW21,",",ZW22))</f>
        <v>#VALUE!</v>
      </c>
      <c r="ZX23" s="832" t="str">
        <f>IF(ZX17="Штраф 50%","",IF(OR(ZT20=" в размере",ZT17=" в размере"),ZW23,""))</f>
        <v/>
      </c>
      <c r="ZY23" s="116"/>
      <c r="AAC23" s="1465"/>
      <c r="AAD23" s="583"/>
      <c r="AAE23" s="837"/>
      <c r="AAF23" s="583"/>
      <c r="AAG23" s="583"/>
      <c r="AAH23" s="583"/>
      <c r="AAI23" s="831" t="e">
        <f>VALUE(CONCATENATE(AAI21,",",AAI22))</f>
        <v>#VALUE!</v>
      </c>
      <c r="AAJ23" s="832" t="str">
        <f>IF(AAJ17="Штраф 50%","",IF(OR(AAF20=" в размере",AAF17=" в размере"),AAI23,""))</f>
        <v/>
      </c>
      <c r="AAK23" s="116"/>
      <c r="AAL23" s="116"/>
      <c r="AAM23" s="116"/>
      <c r="AAV23" t="str">
        <f t="shared" si="141"/>
        <v>$$$$</v>
      </c>
      <c r="AAW23" s="947" t="e">
        <f t="shared" si="142"/>
        <v>#VALUE!</v>
      </c>
      <c r="AAX23" s="5"/>
      <c r="AAY23" s="5"/>
      <c r="AAZ23" s="5"/>
      <c r="ABA23" s="1487"/>
      <c r="ADF23" s="5"/>
      <c r="ADG23" s="1075"/>
      <c r="ADQ23" s="1075"/>
      <c r="ADR23" s="1081" t="str">
        <f>IFERROR(ADQ5,"")</f>
        <v/>
      </c>
      <c r="AEJ23" s="961"/>
      <c r="AEK23" s="961"/>
      <c r="AEL23" s="961"/>
      <c r="AEX23" s="1070"/>
      <c r="AFA23" s="1070"/>
      <c r="AFE23" s="1465"/>
      <c r="AFF23" s="583"/>
      <c r="AFG23" s="837"/>
      <c r="AFH23" s="583"/>
      <c r="AFI23" s="583"/>
      <c r="AFJ23" s="583"/>
      <c r="AFK23" s="831">
        <f>VALUE(CONCATENATE(AFK21,",",AFK22))</f>
        <v>7000</v>
      </c>
      <c r="AFL23" s="832">
        <f>IF(AFL17="Штраф 50%","",IF(OR(AFH20=" в размере",AFH17=" в размере"),AFK23,""))</f>
        <v>7000</v>
      </c>
      <c r="AFM23" s="116"/>
      <c r="AFQ23" s="1465"/>
      <c r="AFR23" s="583"/>
      <c r="AFS23" s="837"/>
      <c r="AFT23" s="583"/>
      <c r="AFU23" s="583"/>
      <c r="AFV23" s="583"/>
      <c r="AFW23" s="831" t="e">
        <f>VALUE(CONCATENATE(AFW21,",",AFW22))</f>
        <v>#VALUE!</v>
      </c>
      <c r="AFX23" s="832" t="str">
        <f>IF(AFX17="Штраф 50%","",IF(OR(AFT20=" в размере",AFT17=" в размере"),AFW23,""))</f>
        <v/>
      </c>
      <c r="AFY23" s="116"/>
      <c r="AGC23" s="1465"/>
      <c r="AGD23" s="583"/>
      <c r="AGE23" s="837"/>
      <c r="AGF23" s="583"/>
      <c r="AGG23" s="583"/>
      <c r="AGH23" s="583"/>
      <c r="AGI23" s="831" t="e">
        <f>VALUE(CONCATENATE(AGI21,",",AGI22))</f>
        <v>#VALUE!</v>
      </c>
      <c r="AGJ23" s="832" t="str">
        <f>IF(AGJ17="Штраф 50%","",IF(OR(AGF20=" в размере",AGF17=" в размере"),AGI23,""))</f>
        <v/>
      </c>
      <c r="AGK23" s="116"/>
      <c r="AGO23" s="1465"/>
      <c r="AGP23" s="583"/>
      <c r="AGQ23" s="837"/>
      <c r="AGR23" s="583"/>
      <c r="AGS23" s="583"/>
      <c r="AGT23" s="583"/>
      <c r="AGU23" s="831" t="e">
        <f>VALUE(CONCATENATE(AGU21,",",AGU22))</f>
        <v>#VALUE!</v>
      </c>
      <c r="AGV23" s="832" t="str">
        <f>IF(AGV17="Штраф 50%","",IF(OR(AGR20=" в размере",AGR17=" в размере"),AGU23,""))</f>
        <v/>
      </c>
      <c r="AGW23" s="116"/>
      <c r="AHA23" s="1465"/>
      <c r="AHB23" s="583"/>
      <c r="AHC23" s="837"/>
      <c r="AHD23" s="583"/>
      <c r="AHE23" s="583"/>
      <c r="AHF23" s="583"/>
      <c r="AHG23" s="831" t="e">
        <f>VALUE(CONCATENATE(AHG21,",",AHG22))</f>
        <v>#VALUE!</v>
      </c>
      <c r="AHH23" s="832" t="str">
        <f>IF(AHH17="Штраф 50%","",IF(OR(AHD20=" в размере",AHD17=" в размере"),AHG23,""))</f>
        <v/>
      </c>
      <c r="AHI23" s="116"/>
      <c r="AIJ23" t="s">
        <v>9873</v>
      </c>
      <c r="AIK23" t="s">
        <v>9874</v>
      </c>
      <c r="AIL23" s="1235" t="e">
        <f t="shared" si="68"/>
        <v>#VALUE!</v>
      </c>
      <c r="AKA23" s="116"/>
      <c r="AKK23" s="116"/>
      <c r="AKU23" s="116"/>
      <c r="ALE23" s="116"/>
      <c r="ALO23" s="116"/>
      <c r="ALP23" s="116"/>
      <c r="AMG23" t="str">
        <f t="shared" si="143"/>
        <v>Тульская обл</v>
      </c>
      <c r="AMH23" t="str">
        <f t="shared" si="144"/>
        <v>Тульская обл.</v>
      </c>
      <c r="AMI23" s="1235" t="e">
        <f t="shared" si="75"/>
        <v>#VALUE!</v>
      </c>
      <c r="ANX23" s="116"/>
      <c r="AOH23" s="116"/>
      <c r="AOR23" s="116"/>
      <c r="APB23" s="116"/>
      <c r="APL23" s="116"/>
      <c r="APM23" s="116"/>
    </row>
    <row r="24" spans="1:1023 1064:1105" ht="14.4" customHeight="1" thickTop="1" thickBot="1" x14ac:dyDescent="0.35">
      <c r="B24" s="116"/>
      <c r="C24" s="116"/>
      <c r="D24" s="116"/>
      <c r="E24" s="116"/>
      <c r="F24" s="116"/>
      <c r="G24" s="116"/>
      <c r="H24" s="116"/>
      <c r="I24" s="116"/>
      <c r="J24" s="116"/>
      <c r="K24" s="116"/>
      <c r="L24" s="116"/>
      <c r="M24" s="116"/>
      <c r="N24" s="116"/>
      <c r="O24" s="116"/>
      <c r="P24" s="116"/>
      <c r="Q24" s="116"/>
      <c r="R24" s="116"/>
      <c r="S24" s="116"/>
      <c r="T24" s="116"/>
      <c r="U24" s="116"/>
      <c r="V24" s="116"/>
      <c r="W24" s="116"/>
      <c r="X24" s="116"/>
      <c r="Y24" s="116"/>
      <c r="Z24" s="116"/>
      <c r="AA24" s="116"/>
      <c r="AB24" s="116"/>
      <c r="AC24" s="116"/>
      <c r="AD24" s="116"/>
      <c r="AE24" s="116"/>
      <c r="AF24" s="116"/>
      <c r="AG24" s="116"/>
      <c r="AH24" s="116"/>
      <c r="AI24" s="116"/>
      <c r="AJ24" s="116"/>
      <c r="AK24" s="116"/>
      <c r="AL24" s="116"/>
      <c r="AM24" s="116"/>
      <c r="AN24" s="116"/>
      <c r="AO24" s="116"/>
      <c r="AP24" s="116"/>
      <c r="AQ24" s="116"/>
      <c r="AR24" s="116"/>
      <c r="AS24" s="116"/>
      <c r="AT24" s="116"/>
      <c r="AU24" s="754"/>
      <c r="AV24" s="754"/>
      <c r="AW24" s="754"/>
      <c r="AX24" s="754"/>
      <c r="AY24" s="754"/>
      <c r="AZ24" s="754"/>
      <c r="BA24" s="754"/>
      <c r="BB24" s="754"/>
      <c r="DR24" s="933" t="s">
        <v>4951</v>
      </c>
      <c r="DT24" t="s">
        <v>95</v>
      </c>
      <c r="DU24" t="s">
        <v>1119</v>
      </c>
      <c r="DV24" s="1463">
        <v>4</v>
      </c>
      <c r="DW24" s="824" t="s">
        <v>8433</v>
      </c>
      <c r="DX24" s="838" t="e">
        <f>SEARCH(DS$4,$C$3,DZ17)+LEN(DS$4)</f>
        <v>#VALUE!</v>
      </c>
      <c r="DY24" s="406" t="str">
        <f>IF(DZ24=IFERROR(SEARCH(".",C$3,DX24),99999),".",
IF(DZ24=IFERROR(SEARCH(",",C$3,DX24),99999),",",
IF(DZ24=IFERROR(SEARCH(" за период",C$3,DX24),999999)," за период",
IF(DZ24=IFERROR(SEARCH(" в размере",C$3,DX24),99999)," в размере",
))))</f>
        <v>.</v>
      </c>
      <c r="DZ24" s="406">
        <f>IFERROR(MIN(IFERROR(SEARCH(".",$C$3,DX24),99999),IFERROR(SEARCH(",",$C$3,DX24),99999),IFERROR(SEARCH(" за период",$C$3,DX24),999999),IFERROR(SEARCH(" в размере",$C$3,DX24),99999)),"ОШИБКА")</f>
        <v>99999</v>
      </c>
      <c r="EA24" s="406" t="e">
        <f>DZ24-DX24</f>
        <v>#VALUE!</v>
      </c>
      <c r="EB24" s="824" t="e">
        <f>MID($C$3,DX24,EA24)</f>
        <v>#VALUE!</v>
      </c>
      <c r="EC24" s="825" t="str">
        <f>IFERROR(INDEX(DU:DU,MATCH(MID($C$3,DX24,EA24),DT:DT,0),1),"")</f>
        <v/>
      </c>
      <c r="ED24" s="754"/>
      <c r="FC24" s="116"/>
      <c r="FD24" s="116"/>
      <c r="FE24" s="116"/>
      <c r="FF24" s="116"/>
      <c r="FI24" s="116"/>
      <c r="LY24" t="s">
        <v>9210</v>
      </c>
      <c r="NK24" s="1463">
        <v>4</v>
      </c>
      <c r="NL24" s="824" t="s">
        <v>8433</v>
      </c>
      <c r="NM24" s="838" t="e">
        <f>SEARCH(NH$4,NJ$4,NO17)+LEN(NH$4)</f>
        <v>#VALUE!</v>
      </c>
      <c r="NN24" s="406" t="str">
        <f>IF(NO24=IFERROR(SEARCH(".",NJ$4,NM24),99999),".",
IF(NO24=IFERROR(SEARCH(",",NJ$4,NM24),99999),",",
IF(NO24=IFERROR(SEARCH(" за период",NJ$4,NM24),999999)," за период",
IF(NO24=IFERROR(SEARCH(" в размере",NJ$4,NM24),99999)," в размере",
))))</f>
        <v>.</v>
      </c>
      <c r="NO24" s="406">
        <f>IFERROR(MIN(IFERROR(SEARCH(".",NJ$4,NM24),99999),IFERROR(SEARCH(",",NJ$4,NM24),99999),IFERROR(SEARCH(" за период",NJ$4,NM24),999999),IFERROR(SEARCH(" в размере",NJ$4,NM24),99999)),"ОШИБКА")</f>
        <v>99999</v>
      </c>
      <c r="NP24" s="406" t="e">
        <f>NO24-NM24</f>
        <v>#VALUE!</v>
      </c>
      <c r="NQ24" s="824" t="e">
        <f>MID(NJ$4,NM24,NP24)</f>
        <v>#VALUE!</v>
      </c>
      <c r="NR24" s="825" t="str">
        <f>IFERROR(INDEX($DU:$DU,MATCH(MID(NJ$4,NM24,NP24),$DT:$DT,0),1),"")</f>
        <v/>
      </c>
      <c r="NS24" s="754"/>
      <c r="NT24" s="754"/>
      <c r="OB24" s="1536"/>
      <c r="OC24" s="1472"/>
      <c r="OD24" s="946" t="str">
        <f t="shared" si="131"/>
        <v>$$$$</v>
      </c>
      <c r="OE24" s="947" t="e">
        <f t="shared" si="132"/>
        <v>#VALUE!</v>
      </c>
      <c r="OF24" s="947"/>
      <c r="OG24" s="920"/>
      <c r="OH24" s="920"/>
      <c r="OI24" s="947"/>
      <c r="OJ24" s="947"/>
      <c r="OK24" s="947"/>
      <c r="OL24" s="1474"/>
      <c r="OM24" s="116"/>
      <c r="ON24" s="116"/>
      <c r="OO24" s="116"/>
      <c r="OY24" s="116"/>
      <c r="OZ24" s="959"/>
      <c r="PA24" s="1210"/>
      <c r="PB24" s="959"/>
      <c r="PC24" s="116"/>
      <c r="PD24" s="1000"/>
      <c r="PF24" s="1209"/>
      <c r="PG24" s="1208"/>
      <c r="PH24" s="1209"/>
      <c r="PI24" s="5"/>
      <c r="PJ24" s="1073"/>
      <c r="PK24" s="99"/>
      <c r="PL24" s="920"/>
      <c r="PM24" s="995"/>
      <c r="PN24" s="920"/>
      <c r="PO24" s="254"/>
      <c r="PP24" s="871"/>
      <c r="PQ24" t="str">
        <f t="shared" si="133"/>
        <v>$$$$</v>
      </c>
      <c r="PR24" s="937" t="e">
        <f t="shared" si="134"/>
        <v>#VALUE!</v>
      </c>
      <c r="PS24" s="5"/>
      <c r="PV24" s="937"/>
      <c r="PX24" s="5"/>
      <c r="PY24" s="1470"/>
      <c r="PZ24" t="str">
        <f t="shared" si="135"/>
        <v>$$$$</v>
      </c>
      <c r="QA24" s="937" t="e">
        <f t="shared" si="136"/>
        <v>#VALUE!</v>
      </c>
      <c r="QB24" s="5"/>
      <c r="QC24" s="264"/>
      <c r="QE24" s="937"/>
      <c r="QF24" s="264"/>
      <c r="QG24" s="5"/>
      <c r="QH24" s="1470"/>
      <c r="QI24" t="str">
        <f t="shared" si="137"/>
        <v>$$$$</v>
      </c>
      <c r="QJ24" s="937" t="e">
        <f t="shared" si="138"/>
        <v>#VALUE!</v>
      </c>
      <c r="QK24" s="5"/>
      <c r="QL24" s="264"/>
      <c r="QN24" s="937"/>
      <c r="QO24" s="264"/>
      <c r="QP24" s="5"/>
      <c r="QQ24" s="1470"/>
      <c r="QR24" t="str">
        <f t="shared" si="139"/>
        <v>$$$$</v>
      </c>
      <c r="QS24" s="937" t="e">
        <f t="shared" si="140"/>
        <v>#VALUE!</v>
      </c>
      <c r="QT24" s="5"/>
      <c r="QU24" s="264"/>
      <c r="QW24" s="937"/>
      <c r="QX24" s="264"/>
      <c r="QY24" s="5"/>
      <c r="QZ24" s="1470"/>
      <c r="RA24" s="1092" t="s">
        <v>8594</v>
      </c>
      <c r="RB24" s="1093" t="str">
        <f>IFERROR(PD6,"")</f>
        <v/>
      </c>
      <c r="RL24" s="116"/>
      <c r="RO24" s="116"/>
      <c r="SQ24" s="979"/>
      <c r="SR24" s="116"/>
      <c r="SU24" s="116"/>
      <c r="SV24" t="s">
        <v>8513</v>
      </c>
      <c r="SY24" s="1463">
        <v>4</v>
      </c>
      <c r="SZ24" s="824" t="s">
        <v>8433</v>
      </c>
      <c r="TA24" s="838" t="e">
        <f>SEARCH(SV$4,$SQ$3,TC17)+LEN(SV$4)</f>
        <v>#VALUE!</v>
      </c>
      <c r="TB24" s="406" t="str">
        <f>IF(TC24=IFERROR(SEARCH(".",$SQ$3,TA24),99999),".",
IF(TC24=IFERROR(SEARCH(",",$SQ$3,TA24),99999),",",
IF(TC24=IFERROR(SEARCH(" за период",$SQ$3,TA24),999999)," за период",
IF(TC24=IFERROR(SEARCH(" в размере",$SQ$3,TA24),99999)," в размере",
))))</f>
        <v>.</v>
      </c>
      <c r="TC24" s="406">
        <f>IFERROR(MIN(IFERROR(SEARCH(".",$SQ$3,TA24),99999),IFERROR(SEARCH(",",$SQ$3,TA24),99999),IFERROR(SEARCH(" за период",$SQ$3,TA24),999999),IFERROR(SEARCH(" в размере",$SQ$3,TA24),99999)),"ОШИБКА")</f>
        <v>99999</v>
      </c>
      <c r="TD24" s="406" t="e">
        <f>TC24-TA24</f>
        <v>#VALUE!</v>
      </c>
      <c r="TE24" s="824" t="e">
        <f>MID($SQ$3,TA24,TD24)</f>
        <v>#VALUE!</v>
      </c>
      <c r="TF24" s="825" t="str">
        <f>IFERROR(INDEX($DU:$DU,MATCH(MID($SQ$3,TA24,TD24),$DT:$DT,0),1),"")</f>
        <v/>
      </c>
      <c r="TG24" s="754"/>
      <c r="TK24" s="1477"/>
      <c r="TL24" s="1032"/>
      <c r="TM24" s="1033"/>
      <c r="TN24" s="403"/>
      <c r="TO24" s="403"/>
      <c r="TP24" s="403"/>
      <c r="TQ24" s="1034" t="e">
        <f>VALUE(CONCATENATE(TQ22,",",TQ23))</f>
        <v>#VALUE!</v>
      </c>
      <c r="TR24" s="832" t="str">
        <f>IFERROR(IF(TR21="Штраф 50%","",TQ24),"")</f>
        <v/>
      </c>
      <c r="TS24" s="754"/>
      <c r="TT24" t="str">
        <f t="shared" si="27"/>
        <v>$$$$</v>
      </c>
      <c r="TW24" s="1463">
        <v>4</v>
      </c>
      <c r="TX24" s="824" t="s">
        <v>8433</v>
      </c>
      <c r="TY24" s="838" t="e">
        <f>SEARCH(TT$4,$SQ$4,UA17)+LEN(TT$4)</f>
        <v>#VALUE!</v>
      </c>
      <c r="TZ24" s="406" t="str">
        <f>IF(UA24=IFERROR(SEARCH(".",$SQ$4,TY24),99999),".",
IF(UA24=IFERROR(SEARCH(",",$SQ$4,TY24),99999),",",
IF(UA24=IFERROR(SEARCH(" за период",$SQ$4,TY24),999999)," за период",
IF(UA24=IFERROR(SEARCH(" в размере",$SQ$4,TY24),99999)," в размере",
))))</f>
        <v>.</v>
      </c>
      <c r="UA24" s="406">
        <f>IFERROR(MIN(IFERROR(SEARCH(".",$SQ$4,TY24),99999),IFERROR(SEARCH(",",$SQ$4,TY24),99999),IFERROR(SEARCH(" за период",$SQ$4,TY24),999999),IFERROR(SEARCH(" в размере",$SQ$4,TY24),99999)),"ОШИБКА")</f>
        <v>99999</v>
      </c>
      <c r="UB24" s="406" t="e">
        <f>UA24-TY24</f>
        <v>#VALUE!</v>
      </c>
      <c r="UC24" s="824" t="e">
        <f>MID($SQ$4,TY24,UB24)</f>
        <v>#VALUE!</v>
      </c>
      <c r="UD24" s="825" t="str">
        <f>IFERROR(INDEX($DU:$DU,MATCH(MID($SQ$4,TY24,UB24),$DT:$DT,0),1),"")</f>
        <v/>
      </c>
      <c r="UE24" s="754"/>
      <c r="UI24" s="1477"/>
      <c r="UJ24" s="1032"/>
      <c r="UK24" s="1033"/>
      <c r="UL24" s="403"/>
      <c r="UM24" s="403"/>
      <c r="UN24" s="403"/>
      <c r="UO24" s="1034" t="e">
        <f>VALUE(CONCATENATE(UO22,",",UO23))</f>
        <v>#VALUE!</v>
      </c>
      <c r="UP24" s="832" t="str">
        <f>IFERROR(IF(UP21="Штраф 50%","",UO24),"")</f>
        <v/>
      </c>
      <c r="UQ24" s="754"/>
      <c r="UU24" s="1463">
        <v>4</v>
      </c>
      <c r="UV24" s="824" t="s">
        <v>8433</v>
      </c>
      <c r="UW24" s="838" t="e">
        <f>SEARCH(UR$4,$SQ$5,UY17)+LEN(UR$4)</f>
        <v>#VALUE!</v>
      </c>
      <c r="UX24" s="406" t="str">
        <f>IF(UY24=IFERROR(SEARCH(".",$SQ$5,UW24),99999),".",
IF(UY24=IFERROR(SEARCH(",",$SQ$5,UW24),99999),",",
IF(UY24=IFERROR(SEARCH(" за период",$SQ$5,UW24),999999)," за период",
IF(UY24=IFERROR(SEARCH(" в размере",$SQ$5,UW24),99999)," в размере",
))))</f>
        <v>.</v>
      </c>
      <c r="UY24" s="406">
        <f>IFERROR(MIN(IFERROR(SEARCH(".",$SQ$5,UW24),99999),IFERROR(SEARCH(",",$SQ$5,UW24),99999),IFERROR(SEARCH(" за период",$SQ$5,UW24),999999),IFERROR(SEARCH(" в размере",$SQ$5,UW24),99999)),"ОШИБКА")</f>
        <v>99999</v>
      </c>
      <c r="UZ24" s="406" t="e">
        <f>UY24-UW24</f>
        <v>#VALUE!</v>
      </c>
      <c r="VA24" s="824" t="e">
        <f>MID($SQ$5,UW24,UZ24)</f>
        <v>#VALUE!</v>
      </c>
      <c r="VB24" s="825" t="str">
        <f>IFERROR(INDEX($DU:$DU,MATCH(MID($SQ$5,UW24,UZ24),$DT:$DT,0),1),"")</f>
        <v/>
      </c>
      <c r="VC24" s="754"/>
      <c r="VG24" s="1477"/>
      <c r="VH24" s="1032"/>
      <c r="VI24" s="1033"/>
      <c r="VJ24" s="403"/>
      <c r="VK24" s="403"/>
      <c r="VL24" s="403"/>
      <c r="VM24" s="1034" t="e">
        <f>VALUE(CONCATENATE(VM22,",",VM23))</f>
        <v>#VALUE!</v>
      </c>
      <c r="VN24" s="832" t="str">
        <f>IFERROR(IF(VN21="Штраф 50%","",VM24),"")</f>
        <v/>
      </c>
      <c r="VO24" s="754"/>
      <c r="VS24" s="1463">
        <v>4</v>
      </c>
      <c r="VT24" s="824" t="s">
        <v>8433</v>
      </c>
      <c r="VU24" s="838" t="e">
        <f>SEARCH(VP$4,$SQ$6,VW17)+LEN(VP$4)</f>
        <v>#VALUE!</v>
      </c>
      <c r="VV24" s="406" t="str">
        <f>IF(VW24=IFERROR(SEARCH(".",$SQ$6,VU24),99999),".",
IF(VW24=IFERROR(SEARCH(",",$SQ$6,VU24),99999),",",
IF(VW24=IFERROR(SEARCH(" за период",$SQ$6,VU24),999999)," за период",
IF(VW24=IFERROR(SEARCH(" в размере",$SQ$6,VU24),99999)," в размере",
))))</f>
        <v>.</v>
      </c>
      <c r="VW24" s="406">
        <f>IFERROR(MIN(IFERROR(SEARCH(".",$SQ$6,VU24),99999),IFERROR(SEARCH(",",$SQ$6,VU24),99999),IFERROR(SEARCH(" за период",$SQ$6,VU24),999999),IFERROR(SEARCH(" в размере",$SQ$6,VU24),99999)),"ОШИБКА")</f>
        <v>99999</v>
      </c>
      <c r="VX24" s="406" t="e">
        <f>VW24-VU24</f>
        <v>#VALUE!</v>
      </c>
      <c r="VY24" s="824" t="e">
        <f>MID($SQ$6,VU24,VX24)</f>
        <v>#VALUE!</v>
      </c>
      <c r="VZ24" s="825" t="str">
        <f>IFERROR(INDEX($DU:$DU,MATCH(MID($SQ$6,VU24,VX24),$DT:$DT,0),1),"")</f>
        <v/>
      </c>
      <c r="WA24" s="754"/>
      <c r="WE24" s="1477"/>
      <c r="WF24" s="1032"/>
      <c r="WG24" s="1033"/>
      <c r="WH24" s="403"/>
      <c r="WI24" s="403"/>
      <c r="WJ24" s="403"/>
      <c r="WK24" s="1034" t="e">
        <f>VALUE(CONCATENATE(WK22,",",WK23))</f>
        <v>#VALUE!</v>
      </c>
      <c r="WL24" s="832" t="str">
        <f>IFERROR(IF(WL21="Штраф 50%","",WK24),"")</f>
        <v/>
      </c>
      <c r="WM24" s="754"/>
      <c r="WQ24" s="1463">
        <v>4</v>
      </c>
      <c r="WR24" s="824" t="s">
        <v>8433</v>
      </c>
      <c r="WS24" s="838" t="e">
        <f>SEARCH(WN$4,$SQ$7,WU17)+LEN(WN$4)</f>
        <v>#VALUE!</v>
      </c>
      <c r="WT24" s="406" t="str">
        <f>IF(WU24=IFERROR(SEARCH(".",$SQ$7,WS24),99999),".",
IF(WU24=IFERROR(SEARCH(",",$SQ$7,WS24),99999),",",
IF(WU24=IFERROR(SEARCH(" за период",$SQ$7,WS24),999999)," за период",
IF(WU24=IFERROR(SEARCH(" в размере",$SQ$7,WS24),99999)," в размере",
))))</f>
        <v>.</v>
      </c>
      <c r="WU24" s="406">
        <f>IFERROR(MIN(IFERROR(SEARCH(".",$SQ$7,WS24),99999),IFERROR(SEARCH(",",$SQ$7,WS24),99999),IFERROR(SEARCH(" за период",$SQ$7,WS24),999999),IFERROR(SEARCH(" в размере",$SQ$7,WS24),99999)),"ОШИБКА")</f>
        <v>99999</v>
      </c>
      <c r="WV24" s="406" t="e">
        <f>WU24-WS24</f>
        <v>#VALUE!</v>
      </c>
      <c r="WW24" s="824" t="e">
        <f>MID($SQ$7,WS24,WV24)</f>
        <v>#VALUE!</v>
      </c>
      <c r="WX24" s="825" t="str">
        <f>IFERROR(INDEX($DU:$DU,MATCH(MID($SQ$7,WS24,WV24),$DT:$DT,0),1),"")</f>
        <v/>
      </c>
      <c r="WY24" s="754"/>
      <c r="XC24" s="1477"/>
      <c r="XD24" s="1032"/>
      <c r="XE24" s="1033"/>
      <c r="XF24" s="403"/>
      <c r="XG24" s="403"/>
      <c r="XH24" s="403"/>
      <c r="XI24" s="1034" t="e">
        <f>VALUE(CONCATENATE(XI22,",",XI23))</f>
        <v>#VALUE!</v>
      </c>
      <c r="XJ24" s="832" t="str">
        <f>IFERROR(IF(XJ21="Штраф 50%","",XI24),"")</f>
        <v/>
      </c>
      <c r="XK24" s="754"/>
      <c r="XM24" s="116"/>
      <c r="XN24" s="116"/>
      <c r="XO24" s="116"/>
      <c r="XR24" s="116"/>
      <c r="XS24" s="116"/>
      <c r="XT24" s="116"/>
      <c r="XU24" s="116"/>
      <c r="XV24" s="116"/>
      <c r="XY24" s="116"/>
      <c r="YG24" s="1463">
        <v>4</v>
      </c>
      <c r="YH24" s="824" t="s">
        <v>8433</v>
      </c>
      <c r="YI24" s="838" t="e">
        <f>SEARCH(YD$4,$XU$3,YK17)+LEN(YD$4)</f>
        <v>#VALUE!</v>
      </c>
      <c r="YJ24" s="406" t="str">
        <f>IF(YK24=IFERROR(SEARCH(".",$XU$3,YI24),99999),".",
IF(YK24=IFERROR(SEARCH(",",$XU$3,YI24),99999),",",
IF(YK24=IFERROR(SEARCH(" за период",$XU$3,YI24),999999)," за период",
IF(YK24=IFERROR(SEARCH(" в размере",$XU$3,YI24),99999)," в размере",
))))</f>
        <v>.</v>
      </c>
      <c r="YK24" s="406">
        <f>IFERROR(MIN(IFERROR(SEARCH(".",$XU$3,YI24),99999),IFERROR(SEARCH(",",$XU$3,YI24),99999),IFERROR(SEARCH(" за период",$XU$3,YI24),999999),IFERROR(SEARCH(" в размере",$XU$3,YI24),99999)),"ОШИБКА")</f>
        <v>99999</v>
      </c>
      <c r="YL24" s="406" t="e">
        <f>YK24-YI24</f>
        <v>#VALUE!</v>
      </c>
      <c r="YM24" s="824" t="e">
        <f>MID($XU$3,YI24,YL24)</f>
        <v>#VALUE!</v>
      </c>
      <c r="YN24" s="825" t="str">
        <f>IFERROR(INDEX($DU:$DU,MATCH(MID($XU$3,YI24,YL24),$DT:$DT,0),1),"")</f>
        <v/>
      </c>
      <c r="YO24" s="754"/>
      <c r="YS24" s="1463">
        <v>4</v>
      </c>
      <c r="YT24" s="824" t="s">
        <v>8433</v>
      </c>
      <c r="YU24" s="838" t="e">
        <f>SEARCH(YP$4,$XU$4,YW17)+LEN(YP$4)</f>
        <v>#VALUE!</v>
      </c>
      <c r="YV24" s="406" t="str">
        <f>IF(YW24=IFERROR(SEARCH(".",$XU$4,YU24),99999),".",
IF(YW24=IFERROR(SEARCH(",",$XU$4,YU24),99999),",",
IF(YW24=IFERROR(SEARCH(" за период",$XU$4,YU24),999999)," за период",
IF(YW24=IFERROR(SEARCH(" в размере",$XU$4,YU24),99999)," в размере",
))))</f>
        <v>.</v>
      </c>
      <c r="YW24" s="406">
        <f>IFERROR(MIN(IFERROR(SEARCH(".",$XU$4,YU24),99999),IFERROR(SEARCH(",",$XU$4,YU24),99999),IFERROR(SEARCH(" за период",$XU$4,YU24),999999),IFERROR(SEARCH(" в размере",$XU$4,YU24),99999)),"ОШИБКА")</f>
        <v>99999</v>
      </c>
      <c r="YX24" s="406" t="e">
        <f>YW24-YU24</f>
        <v>#VALUE!</v>
      </c>
      <c r="YY24" s="824" t="e">
        <f>MID($XU$4,YU24,YX24)</f>
        <v>#VALUE!</v>
      </c>
      <c r="YZ24" s="825" t="str">
        <f>IFERROR(INDEX($DU:$DU,MATCH(MID($XU$4,YU24,YX24),$DT:$DT,0),1),"")</f>
        <v/>
      </c>
      <c r="ZA24" s="754"/>
      <c r="ZE24" s="1463">
        <v>4</v>
      </c>
      <c r="ZF24" s="824" t="s">
        <v>8433</v>
      </c>
      <c r="ZG24" s="838" t="e">
        <f>SEARCH(ZB$4,$XU$5,ZI17)+LEN(ZB$4)</f>
        <v>#VALUE!</v>
      </c>
      <c r="ZH24" s="406" t="str">
        <f>IF(ZI24=IFERROR(SEARCH(".",$XU$5,ZG24),99999),".",
IF(ZI24=IFERROR(SEARCH(",",$XU$5,ZG24),99999),",",
IF(ZI24=IFERROR(SEARCH(" за период",$XU$5,ZG24),999999)," за период",
IF(ZI24=IFERROR(SEARCH(" в размере",$XU$5,ZG24),99999)," в размере",
))))</f>
        <v>.</v>
      </c>
      <c r="ZI24" s="406">
        <f>IFERROR(MIN(IFERROR(SEARCH(".",$XU$5,ZG24),99999),IFERROR(SEARCH(",",$XU$5,ZG24),99999),IFERROR(SEARCH(" за период",$XU$5,ZG24),999999),IFERROR(SEARCH(" в размере",$XU$5,ZG24),99999)),"ОШИБКА")</f>
        <v>99999</v>
      </c>
      <c r="ZJ24" s="406" t="e">
        <f>ZI24-ZG24</f>
        <v>#VALUE!</v>
      </c>
      <c r="ZK24" s="824" t="e">
        <f>MID($XU$5,ZG24,ZJ24)</f>
        <v>#VALUE!</v>
      </c>
      <c r="ZL24" s="825" t="str">
        <f>IFERROR(INDEX($DU:$DU,MATCH(MID($XU$5,ZG24,ZJ24),$DT:$DT,0),1),"")</f>
        <v/>
      </c>
      <c r="ZM24" s="754"/>
      <c r="ZQ24" s="1463">
        <v>4</v>
      </c>
      <c r="ZR24" s="824" t="s">
        <v>8433</v>
      </c>
      <c r="ZS24" s="838" t="e">
        <f>SEARCH(ZN$4,$XU$6,ZU17)+LEN(ZN$4)</f>
        <v>#VALUE!</v>
      </c>
      <c r="ZT24" s="406" t="str">
        <f>IF(ZU24=IFERROR(SEARCH(".",$XU$6,ZS24),99999),".",
IF(ZU24=IFERROR(SEARCH(",",$XU$6,ZS24),99999),",",
IF(ZU24=IFERROR(SEARCH(" за период",$XU$6,ZS24),999999)," за период",
IF(ZU24=IFERROR(SEARCH(" в размере",$XU$6,ZS24),99999)," в размере",
))))</f>
        <v>.</v>
      </c>
      <c r="ZU24" s="406">
        <f>IFERROR(MIN(IFERROR(SEARCH(".",$XU$6,ZS24),99999),IFERROR(SEARCH(",",$XU$6,ZS24),99999),IFERROR(SEARCH(" за период",$XU$6,ZS24),999999),IFERROR(SEARCH(" в размере",$XU$6,ZS24),99999)),"ОШИБКА")</f>
        <v>99999</v>
      </c>
      <c r="ZV24" s="406" t="e">
        <f>ZU24-ZS24</f>
        <v>#VALUE!</v>
      </c>
      <c r="ZW24" s="824" t="e">
        <f>MID($XU$6,ZS24,ZV24)</f>
        <v>#VALUE!</v>
      </c>
      <c r="ZX24" s="825" t="str">
        <f>IFERROR(INDEX($DU:$DU,MATCH(MID($XU$6,ZS24,ZV24),$DT:$DT,0),1),"")</f>
        <v/>
      </c>
      <c r="ZY24" s="754"/>
      <c r="AAC24" s="1463">
        <v>4</v>
      </c>
      <c r="AAD24" s="824" t="s">
        <v>8433</v>
      </c>
      <c r="AAE24" s="838" t="e">
        <f>SEARCH(ZZ$4,$XU$7,AAG17)+LEN(ZZ$4)</f>
        <v>#VALUE!</v>
      </c>
      <c r="AAF24" s="406" t="str">
        <f>IF(AAG24=IFERROR(SEARCH(".",$XU$7,AAE24),99999),".",
IF(AAG24=IFERROR(SEARCH(",",$XU$7,AAE24),99999),",",
IF(AAG24=IFERROR(SEARCH(" за период",$XU$7,AAE24),999999)," за период",
IF(AAG24=IFERROR(SEARCH(" в размере",$XU$7,AAE24),99999)," в размере",
))))</f>
        <v>.</v>
      </c>
      <c r="AAG24" s="406">
        <f>IFERROR(MIN(IFERROR(SEARCH(".",$XU$7,AAE24),99999),IFERROR(SEARCH(",",$XU$7,AAE24),99999),IFERROR(SEARCH(" за период",$XU$7,AAE24),999999),IFERROR(SEARCH(" в размере",$XU$7,AAE24),99999)),"ОШИБКА")</f>
        <v>99999</v>
      </c>
      <c r="AAH24" s="406" t="e">
        <f>AAG24-AAE24</f>
        <v>#VALUE!</v>
      </c>
      <c r="AAI24" s="824" t="e">
        <f>MID($XU$7,AAE24,AAH24)</f>
        <v>#VALUE!</v>
      </c>
      <c r="AAJ24" s="825" t="str">
        <f>IFERROR(INDEX($DU:$DU,MATCH(MID($XU$7,AAE24,AAH24),$DT:$DT,0),1),"")</f>
        <v/>
      </c>
      <c r="AAK24" s="754"/>
      <c r="AAL24" s="754"/>
      <c r="AAM24" s="754"/>
      <c r="AAV24" t="str">
        <f t="shared" si="141"/>
        <v>$$$$</v>
      </c>
      <c r="AAW24" s="947" t="e">
        <f t="shared" si="142"/>
        <v>#VALUE!</v>
      </c>
      <c r="AAX24" s="5"/>
      <c r="AAY24" s="5"/>
      <c r="AAZ24" s="5"/>
      <c r="ABA24" s="1487"/>
      <c r="ADF24" s="5"/>
      <c r="ADG24" s="1075"/>
      <c r="ADQ24" s="1075"/>
      <c r="ADR24" s="1082" t="str">
        <f>IFERROR(ABQ6,"")</f>
        <v/>
      </c>
      <c r="AEJ24" s="961"/>
      <c r="AEK24" s="961"/>
      <c r="AEL24" s="961"/>
      <c r="AEX24" s="1070"/>
      <c r="AFA24" s="1070"/>
      <c r="AFE24" s="1463">
        <v>4</v>
      </c>
      <c r="AFF24" s="824" t="s">
        <v>8433</v>
      </c>
      <c r="AFG24" s="838" t="e">
        <f>SEARCH(AFB$4,AFD$4,AFI17)+LEN(AFB$4)</f>
        <v>#VALUE!</v>
      </c>
      <c r="AFH24" s="406" t="str">
        <f>IF(AFI24=IFERROR(SEARCH(".",AFD$4,AFG24),99999),".",
IF(AFI24=IFERROR(SEARCH(",",AFD$4,AFG24),99999),",",
IF(AFI24=IFERROR(SEARCH(" за период",AFD$4,AFG24),999999)," за период",
IF(AFI24=IFERROR(SEARCH(" в размере",AFD$4,AFG24),99999)," в размере",
))))</f>
        <v>.</v>
      </c>
      <c r="AFI24" s="406">
        <f>IFERROR(MIN(IFERROR(SEARCH(".",AFD$4,AFG24),99999),IFERROR(SEARCH(",",AFD$4,AFG24),99999),IFERROR(SEARCH(" за период",AFD$4,AFG24),999999),IFERROR(SEARCH(" в размере",AFD$4,AFG24),99999)),"ОШИБКА")</f>
        <v>99999</v>
      </c>
      <c r="AFJ24" s="406" t="e">
        <f>AFI24-AFG24</f>
        <v>#VALUE!</v>
      </c>
      <c r="AFK24" s="824" t="e">
        <f>MID(AFD$4,AFG24,AFJ24)</f>
        <v>#VALUE!</v>
      </c>
      <c r="AFL24" s="825" t="str">
        <f>IFERROR(INDEX($DU:$DU,MATCH(MID(AFD$4,AFG24,AFJ24),$DT:$DT,0),1),"")</f>
        <v/>
      </c>
      <c r="AFM24" s="754"/>
      <c r="AFQ24" s="1463">
        <v>4</v>
      </c>
      <c r="AFR24" s="824" t="s">
        <v>8433</v>
      </c>
      <c r="AFS24" s="838" t="e">
        <f>SEARCH(AFN$4,AFP$4,AFU17)+LEN(AFN$4)</f>
        <v>#VALUE!</v>
      </c>
      <c r="AFT24" s="406" t="str">
        <f>IF(AFU24=IFERROR(SEARCH(".",AFP$4,AFS24),99999),".",
IF(AFU24=IFERROR(SEARCH(",",AFP$4,AFS24),99999),",",
IF(AFU24=IFERROR(SEARCH(" за период",AFP$4,AFS24),999999)," за период",
IF(AFU24=IFERROR(SEARCH(" в размере",AFP$4,AFS24),99999)," в размере",
))))</f>
        <v>.</v>
      </c>
      <c r="AFU24" s="406">
        <f>IFERROR(MIN(IFERROR(SEARCH(".",AFP$4,AFS24),99999),IFERROR(SEARCH(",",AFP$4,AFS24),99999),IFERROR(SEARCH(" за период",AFP$4,AFS24),999999),IFERROR(SEARCH(" в размере",AFP$4,AFS24),99999)),"ОШИБКА")</f>
        <v>99999</v>
      </c>
      <c r="AFV24" s="406" t="e">
        <f>AFU24-AFS24</f>
        <v>#VALUE!</v>
      </c>
      <c r="AFW24" s="824" t="e">
        <f>MID(AFP$4,AFS24,AFV24)</f>
        <v>#VALUE!</v>
      </c>
      <c r="AFX24" s="825" t="str">
        <f>IFERROR(INDEX($DU:$DU,MATCH(MID(AFP$4,AFS24,AFV24),$DT:$DT,0),1),"")</f>
        <v/>
      </c>
      <c r="AFY24" s="754"/>
      <c r="AGC24" s="1463">
        <v>4</v>
      </c>
      <c r="AGD24" s="824" t="s">
        <v>8433</v>
      </c>
      <c r="AGE24" s="838" t="e">
        <f>SEARCH(AFZ$4,AGB$4,AGG17)+LEN(AFZ$4)</f>
        <v>#VALUE!</v>
      </c>
      <c r="AGF24" s="406" t="str">
        <f>IF(AGG24=IFERROR(SEARCH(".",AGB$4,AGE24),99999),".",
IF(AGG24=IFERROR(SEARCH(",",AGB$4,AGE24),99999),",",
IF(AGG24=IFERROR(SEARCH(" за период",AGB$4,AGE24),999999)," за период",
IF(AGG24=IFERROR(SEARCH(" в размере",AGB$4,AGE24),99999)," в размере",
))))</f>
        <v>.</v>
      </c>
      <c r="AGG24" s="406">
        <f>IFERROR(MIN(IFERROR(SEARCH(".",AGB$4,AGE24),99999),IFERROR(SEARCH(",",AGB$4,AGE24),99999),IFERROR(SEARCH(" за период",AGB$4,AGE24),999999),IFERROR(SEARCH(" в размере",AGB$4,AGE24),99999)),"ОШИБКА")</f>
        <v>99999</v>
      </c>
      <c r="AGH24" s="406" t="e">
        <f>AGG24-AGE24</f>
        <v>#VALUE!</v>
      </c>
      <c r="AGI24" s="824" t="e">
        <f>MID(AGB$4,AGE24,AGH24)</f>
        <v>#VALUE!</v>
      </c>
      <c r="AGJ24" s="825" t="str">
        <f>IFERROR(INDEX($DU:$DU,MATCH(MID(AGB$4,AGE24,AGH24),$DT:$DT,0),1),"")</f>
        <v/>
      </c>
      <c r="AGK24" s="754"/>
      <c r="AGO24" s="1463">
        <v>4</v>
      </c>
      <c r="AGP24" s="824" t="s">
        <v>8433</v>
      </c>
      <c r="AGQ24" s="838" t="e">
        <f>SEARCH(AGL$4,AGN$4,AGS17)+LEN(AGL$4)</f>
        <v>#VALUE!</v>
      </c>
      <c r="AGR24" s="406" t="str">
        <f>IF(AGS24=IFERROR(SEARCH(".",AGN$4,AGQ24),99999),".",
IF(AGS24=IFERROR(SEARCH(",",AGN$4,AGQ24),99999),",",
IF(AGS24=IFERROR(SEARCH(" за период",AGN$4,AGQ24),999999)," за период",
IF(AGS24=IFERROR(SEARCH(" в размере",AGN$4,AGQ24),99999)," в размере",
))))</f>
        <v>.</v>
      </c>
      <c r="AGS24" s="406">
        <f>IFERROR(MIN(IFERROR(SEARCH(".",AGN$4,AGQ24),99999),IFERROR(SEARCH(",",AGN$4,AGQ24),99999),IFERROR(SEARCH(" за период",AGN$4,AGQ24),999999),IFERROR(SEARCH(" в размере",AGN$4,AGQ24),99999)),"ОШИБКА")</f>
        <v>99999</v>
      </c>
      <c r="AGT24" s="406" t="e">
        <f>AGS24-AGQ24</f>
        <v>#VALUE!</v>
      </c>
      <c r="AGU24" s="824" t="e">
        <f>MID(AGN$4,AGQ24,AGT24)</f>
        <v>#VALUE!</v>
      </c>
      <c r="AGV24" s="825" t="str">
        <f>IFERROR(INDEX($DU:$DU,MATCH(MID(AGN$4,AGQ24,AGT24),$DT:$DT,0),1),"")</f>
        <v/>
      </c>
      <c r="AGW24" s="754"/>
      <c r="AHA24" s="1463">
        <v>4</v>
      </c>
      <c r="AHB24" s="824" t="s">
        <v>8433</v>
      </c>
      <c r="AHC24" s="838" t="e">
        <f>SEARCH(AGX$4,AGZ$4,AHE17)+LEN(AGX$4)</f>
        <v>#VALUE!</v>
      </c>
      <c r="AHD24" s="406" t="str">
        <f>IF(AHE24=IFERROR(SEARCH(".",AGZ$4,AHC24),99999),".",
IF(AHE24=IFERROR(SEARCH(",",AGZ$4,AHC24),99999),",",
IF(AHE24=IFERROR(SEARCH(" за период",AGZ$4,AHC24),999999)," за период",
IF(AHE24=IFERROR(SEARCH(" в размере",AGZ$4,AHC24),99999)," в размере",
))))</f>
        <v>.</v>
      </c>
      <c r="AHE24" s="406">
        <f>IFERROR(MIN(IFERROR(SEARCH(".",AGZ$4,AHC24),99999),IFERROR(SEARCH(",",AGZ$4,AHC24),99999),IFERROR(SEARCH(" за период",AGZ$4,AHC24),999999),IFERROR(SEARCH(" в размере",AGZ$4,AHC24),99999)),"ОШИБКА")</f>
        <v>99999</v>
      </c>
      <c r="AHF24" s="406" t="e">
        <f>AHE24-AHC24</f>
        <v>#VALUE!</v>
      </c>
      <c r="AHG24" s="824" t="e">
        <f>MID(AGZ$4,AHC24,AHF24)</f>
        <v>#VALUE!</v>
      </c>
      <c r="AHH24" s="825" t="str">
        <f>IFERROR(INDEX($DU:$DU,MATCH(MID(AGZ$4,AHC24,AHF24),$DT:$DT,0),1),"")</f>
        <v/>
      </c>
      <c r="AHI24" s="754"/>
      <c r="AIJ24" t="s">
        <v>9875</v>
      </c>
      <c r="AIK24" t="s">
        <v>9876</v>
      </c>
      <c r="AIL24" s="1235" t="e">
        <f t="shared" si="68"/>
        <v>#VALUE!</v>
      </c>
      <c r="AKA24" s="116"/>
      <c r="AKK24" s="116"/>
      <c r="AKU24" s="116"/>
      <c r="ALE24" s="116"/>
      <c r="ALO24" s="116"/>
      <c r="ALP24" s="116"/>
      <c r="AMG24" t="str">
        <f t="shared" si="143"/>
        <v>Архангельская обл</v>
      </c>
      <c r="AMH24" t="str">
        <f t="shared" si="144"/>
        <v>Архангельская обл.</v>
      </c>
      <c r="AMI24" s="1235" t="e">
        <f t="shared" si="75"/>
        <v>#VALUE!</v>
      </c>
      <c r="ANX24" s="116"/>
      <c r="AOH24" s="116"/>
      <c r="AOR24" s="116"/>
      <c r="APB24" s="116"/>
      <c r="APL24" s="116"/>
      <c r="APM24" s="116"/>
    </row>
    <row r="25" spans="1:1023 1064:1105" ht="14.4" customHeight="1" thickTop="1" x14ac:dyDescent="0.3">
      <c r="A25" s="116"/>
      <c r="B25" s="116"/>
      <c r="C25" s="116"/>
      <c r="D25" s="116"/>
      <c r="E25" s="116"/>
      <c r="F25" s="116"/>
      <c r="G25" s="116"/>
      <c r="H25" s="116"/>
      <c r="I25" s="116"/>
      <c r="J25" s="116"/>
      <c r="K25" s="116"/>
      <c r="L25" s="116"/>
      <c r="M25" s="116"/>
      <c r="N25" s="116"/>
      <c r="O25" s="116"/>
      <c r="P25" s="116"/>
      <c r="Q25" s="116"/>
      <c r="R25" s="116"/>
      <c r="S25" s="116"/>
      <c r="T25" s="116"/>
      <c r="U25" s="116"/>
      <c r="V25" s="116"/>
      <c r="W25" s="116"/>
      <c r="X25" s="116"/>
      <c r="Y25" s="116"/>
      <c r="Z25" s="116"/>
      <c r="AA25" s="116"/>
      <c r="AB25" s="116"/>
      <c r="AC25" s="116"/>
      <c r="AD25" s="116"/>
      <c r="AE25" s="116"/>
      <c r="AF25" s="116"/>
      <c r="AG25" s="116"/>
      <c r="AH25" s="116"/>
      <c r="AI25" s="116"/>
      <c r="AJ25" s="116"/>
      <c r="AK25" s="116"/>
      <c r="AL25" s="116"/>
      <c r="AM25" s="116"/>
      <c r="AN25" s="116"/>
      <c r="AO25" s="116"/>
      <c r="AP25" s="116"/>
      <c r="AQ25" s="116"/>
      <c r="AR25" s="116"/>
      <c r="AS25" s="116"/>
      <c r="AT25" s="116"/>
      <c r="AU25" s="116"/>
      <c r="AV25" s="116"/>
      <c r="AW25" s="116"/>
      <c r="AX25" s="116"/>
      <c r="AY25" s="116"/>
      <c r="AZ25" s="116"/>
      <c r="BA25" s="116"/>
      <c r="BB25" s="116"/>
      <c r="BC25" s="116"/>
      <c r="BD25" s="116"/>
      <c r="BE25" s="116"/>
      <c r="BF25" s="116"/>
      <c r="BG25" s="116"/>
      <c r="BH25" s="116"/>
      <c r="BI25" s="116"/>
      <c r="BJ25" s="116"/>
      <c r="BK25" s="116"/>
      <c r="BL25" s="116"/>
      <c r="BM25" s="116"/>
      <c r="BN25" s="116"/>
      <c r="BO25" s="116"/>
      <c r="BP25" s="116"/>
      <c r="BQ25" s="116"/>
      <c r="BR25" s="116"/>
      <c r="BS25" s="116"/>
      <c r="BT25" s="116"/>
      <c r="BU25" s="116"/>
      <c r="BV25" s="116"/>
      <c r="BW25" s="116"/>
      <c r="BX25" s="116"/>
      <c r="BY25" s="116"/>
      <c r="BZ25" s="116"/>
      <c r="CA25" s="116"/>
      <c r="CB25" s="116"/>
      <c r="CC25" s="116"/>
      <c r="CD25" s="116"/>
      <c r="CE25" s="116"/>
      <c r="CF25" s="116"/>
      <c r="CG25" s="116"/>
      <c r="CH25" s="116"/>
      <c r="CI25" s="116"/>
      <c r="CJ25" s="116"/>
      <c r="CK25" s="116"/>
      <c r="CL25" s="116"/>
      <c r="CM25" s="116"/>
      <c r="CN25" s="116"/>
      <c r="CO25" s="116"/>
      <c r="CP25" s="116"/>
      <c r="CQ25" s="116"/>
      <c r="CR25" s="116"/>
      <c r="CS25" s="116"/>
      <c r="CT25" s="116"/>
      <c r="CU25" s="116"/>
      <c r="CV25" s="116"/>
      <c r="CW25" s="116"/>
      <c r="CX25" s="116"/>
      <c r="CY25" s="116"/>
      <c r="CZ25" s="116"/>
      <c r="DA25" s="116"/>
      <c r="DB25" s="116"/>
      <c r="DC25" s="116"/>
      <c r="DD25" s="116"/>
      <c r="DE25" s="116"/>
      <c r="DF25" s="116"/>
      <c r="DG25" s="116"/>
      <c r="DH25" s="116"/>
      <c r="DI25" s="116"/>
      <c r="DJ25" s="116"/>
      <c r="DK25" s="116"/>
      <c r="DL25" s="116"/>
      <c r="DM25" s="116"/>
      <c r="DN25" s="116"/>
      <c r="DO25" s="116"/>
      <c r="DP25" s="116"/>
      <c r="DQ25" s="116"/>
      <c r="DR25" t="s">
        <v>99</v>
      </c>
      <c r="DT25" t="s">
        <v>97</v>
      </c>
      <c r="DU25" t="s">
        <v>1120</v>
      </c>
      <c r="DV25" s="1464"/>
      <c r="DW25" s="826" t="s">
        <v>8435</v>
      </c>
      <c r="DX25" s="836" t="str">
        <f>IF(DY24=" за период",SEARCH(" за период",$C$3,DZ24)+LEN(" за период")+3,"НЕТ")</f>
        <v>НЕТ</v>
      </c>
      <c r="DY25" s="306" t="s">
        <v>8434</v>
      </c>
      <c r="DZ25" s="306" t="e">
        <f>SEARCH(DY25,$C$3,DX25)</f>
        <v>#VALUE!</v>
      </c>
      <c r="EA25" s="306" t="e">
        <f>DZ25-DX25</f>
        <v>#VALUE!</v>
      </c>
      <c r="EB25" s="827" t="e">
        <f>DATEVALUE(MID($C$3,DX25,EA25))</f>
        <v>#VALUE!</v>
      </c>
      <c r="EC25" s="828" t="str">
        <f>IF(DY24=" за период",EB25,"")</f>
        <v/>
      </c>
      <c r="ED25" s="754"/>
      <c r="FC25" s="116"/>
      <c r="FD25" s="116"/>
      <c r="FE25" s="116"/>
      <c r="FF25" s="116"/>
      <c r="FI25" s="116"/>
      <c r="LY25" t="s">
        <v>9217</v>
      </c>
      <c r="NK25" s="1464"/>
      <c r="NL25" s="826" t="s">
        <v>8435</v>
      </c>
      <c r="NM25" s="836" t="str">
        <f>IF(NN24=" за период",SEARCH(" за период",NJ$4,NO24)+LEN(" за период")+3,"НЕТ")</f>
        <v>НЕТ</v>
      </c>
      <c r="NN25" s="306" t="s">
        <v>8434</v>
      </c>
      <c r="NO25" s="306" t="e">
        <f>SEARCH(NN25,NJ$4,NM25)</f>
        <v>#VALUE!</v>
      </c>
      <c r="NP25" s="306" t="e">
        <f>NO25-NM25</f>
        <v>#VALUE!</v>
      </c>
      <c r="NQ25" s="827" t="e">
        <f>DATEVALUE(MID(NJ$4,NM25,NP25))</f>
        <v>#VALUE!</v>
      </c>
      <c r="NR25" s="828" t="str">
        <f>IF(NN24=" за период",NQ25,"")</f>
        <v/>
      </c>
      <c r="NS25" s="754"/>
      <c r="NT25" s="754"/>
      <c r="OC25" s="1472"/>
      <c r="OD25" s="946" t="str">
        <f t="shared" si="131"/>
        <v>$$$$</v>
      </c>
      <c r="OE25" s="947" t="e">
        <f t="shared" si="132"/>
        <v>#VALUE!</v>
      </c>
      <c r="OF25" s="947"/>
      <c r="OG25" s="920"/>
      <c r="OH25" s="920"/>
      <c r="OI25" s="947"/>
      <c r="OJ25" s="947"/>
      <c r="OK25" s="947"/>
      <c r="OL25" s="1474"/>
      <c r="OM25" s="116"/>
      <c r="ON25" s="116"/>
      <c r="OO25" s="116"/>
      <c r="OY25" s="116"/>
      <c r="OZ25" s="959"/>
      <c r="PA25" s="1210"/>
      <c r="PB25" s="959"/>
      <c r="PC25" s="116"/>
      <c r="PD25" s="1000"/>
      <c r="PF25" s="1209"/>
      <c r="PG25" s="1208"/>
      <c r="PH25" s="1209"/>
      <c r="PI25" s="5"/>
      <c r="PJ25" s="1073"/>
      <c r="PK25" s="99"/>
      <c r="PL25" s="920"/>
      <c r="PM25" s="995"/>
      <c r="PN25" s="920"/>
      <c r="PO25" s="254"/>
      <c r="PP25" s="871"/>
      <c r="PQ25" t="str">
        <f t="shared" si="133"/>
        <v>$$$$</v>
      </c>
      <c r="PR25" s="937" t="e">
        <f t="shared" si="134"/>
        <v>#VALUE!</v>
      </c>
      <c r="PS25" s="5"/>
      <c r="PV25" s="937"/>
      <c r="PX25" s="5"/>
      <c r="PY25" s="1470"/>
      <c r="PZ25" t="str">
        <f t="shared" si="135"/>
        <v>$$$$</v>
      </c>
      <c r="QA25" s="937" t="e">
        <f t="shared" si="136"/>
        <v>#VALUE!</v>
      </c>
      <c r="QB25" s="5"/>
      <c r="QC25" s="264"/>
      <c r="QE25" s="937"/>
      <c r="QF25" s="264"/>
      <c r="QG25" s="5"/>
      <c r="QH25" s="1470"/>
      <c r="QI25" t="str">
        <f t="shared" si="137"/>
        <v>$$$$</v>
      </c>
      <c r="QJ25" s="937" t="e">
        <f t="shared" si="138"/>
        <v>#VALUE!</v>
      </c>
      <c r="QK25" s="5"/>
      <c r="QL25" s="264"/>
      <c r="QN25" s="937"/>
      <c r="QO25" s="264"/>
      <c r="QP25" s="5"/>
      <c r="QQ25" s="1470"/>
      <c r="QR25" t="str">
        <f t="shared" si="139"/>
        <v>$$$$</v>
      </c>
      <c r="QS25" s="937" t="e">
        <f t="shared" si="140"/>
        <v>#VALUE!</v>
      </c>
      <c r="QT25" s="5"/>
      <c r="QU25" s="264"/>
      <c r="QW25" s="937"/>
      <c r="QX25" s="264"/>
      <c r="QY25" s="5"/>
      <c r="QZ25" s="1470"/>
      <c r="RA25" s="1094" t="s">
        <v>5</v>
      </c>
      <c r="RB25" s="1095" t="str">
        <f>IFERROR(PJ6,"")</f>
        <v/>
      </c>
      <c r="RL25" s="116"/>
      <c r="RO25" s="116"/>
      <c r="SQ25" s="979"/>
      <c r="SR25" s="116"/>
      <c r="SU25" s="116"/>
      <c r="SV25" t="s">
        <v>8513</v>
      </c>
      <c r="SY25" s="1464"/>
      <c r="SZ25" s="826" t="s">
        <v>8435</v>
      </c>
      <c r="TA25" s="836" t="str">
        <f>IF(TB24=" за период",SEARCH(" за период",$SQ$3,TC24)+LEN(" за период")+3,"НЕТ")</f>
        <v>НЕТ</v>
      </c>
      <c r="TB25" s="306" t="s">
        <v>8434</v>
      </c>
      <c r="TC25" s="306" t="e">
        <f>SEARCH(TB25,$SQ$3,TA25)</f>
        <v>#VALUE!</v>
      </c>
      <c r="TD25" s="306" t="e">
        <f>TC25-TA25</f>
        <v>#VALUE!</v>
      </c>
      <c r="TE25" s="827" t="e">
        <f>DATEVALUE(MID($SQ$3,TA25,TD25))</f>
        <v>#VALUE!</v>
      </c>
      <c r="TF25" s="828" t="str">
        <f>IF(TB24=" за период",TE25,"")</f>
        <v/>
      </c>
      <c r="TG25" s="754"/>
      <c r="TK25" s="1475">
        <v>6</v>
      </c>
      <c r="TL25" s="1030" t="s">
        <v>8433</v>
      </c>
      <c r="TM25" s="406" t="e">
        <f>SEARCH($TJ$14,TJ$4,TO21)+LEN($TJ$14)</f>
        <v>#VALUE!</v>
      </c>
      <c r="TN25" s="406" t="str">
        <f>IF(TO25=IFERROR(SEARCH(".",TJ$4,TM25),99999),".",
IF(TO25=IFERROR(SEARCH(",",TJ$4,TM25),99999),",",
IF(TO25=IFERROR(SEARCH(" за период",TJ$4,TM25),999999)," за период",
IF(TO25=IFERROR(SEARCH(" в размере",TJ$4,TM25),99999)," в размере",
IF(TO25=IFERROR(SEARCH(" и ",TJ$4,TM25),99999)," и ",
IF(TO25=IFERROR(SEARCH(")",TJ$4,TM25),99999),")",
))))))</f>
        <v>.</v>
      </c>
      <c r="TO25" s="406">
        <f>IFERROR(MIN(IFERROR(SEARCH(".",TJ$4,TM25),99999),IFERROR(SEARCH(",",TJ$4,TM25),99999),IFERROR(SEARCH(" за период",TJ$4,TM25),999999),IFERROR(SEARCH(" в размере",TJ$4,TM25),99999),IFERROR(SEARCH(" и ",TJ$4,TM25),99999),IFERROR(SEARCH(")",TJ$4,TM25),99999)),"ОШИБКА")</f>
        <v>99999</v>
      </c>
      <c r="TP25" s="406" t="e">
        <f>TO25-TM25</f>
        <v>#VALUE!</v>
      </c>
      <c r="TQ25" s="873" t="e">
        <f>MID(TJ$4,TM25,TP25)</f>
        <v>#VALUE!</v>
      </c>
      <c r="TR25" s="825" t="str">
        <f>IFERROR(INDEX($DU:$DU,MATCH(MID(TJ$4,TM25,TP25),$DT:$DT,0),1),"")</f>
        <v/>
      </c>
      <c r="TS25" s="754"/>
      <c r="TT25" t="str">
        <f t="shared" si="27"/>
        <v>$$$$</v>
      </c>
      <c r="TW25" s="1464"/>
      <c r="TX25" s="826" t="s">
        <v>8435</v>
      </c>
      <c r="TY25" s="836" t="str">
        <f>IF(TZ24=" за период",SEARCH(" за период",$SQ$4,UA24)+LEN(" за период")+3,"НЕТ")</f>
        <v>НЕТ</v>
      </c>
      <c r="TZ25" s="306" t="s">
        <v>8434</v>
      </c>
      <c r="UA25" s="306" t="e">
        <f>SEARCH(TZ25,$SQ$4,TY25)</f>
        <v>#VALUE!</v>
      </c>
      <c r="UB25" s="306" t="e">
        <f>UA25-TY25</f>
        <v>#VALUE!</v>
      </c>
      <c r="UC25" s="827" t="e">
        <f>DATEVALUE(MID($SQ$4,TY25,UB25))</f>
        <v>#VALUE!</v>
      </c>
      <c r="UD25" s="828" t="str">
        <f>IF(TZ24=" за период",UC25,"")</f>
        <v/>
      </c>
      <c r="UE25" s="754"/>
      <c r="UI25" s="1475">
        <v>6</v>
      </c>
      <c r="UJ25" s="1030" t="s">
        <v>8433</v>
      </c>
      <c r="UK25" s="406" t="e">
        <f>SEARCH(UH$14,UH$4,UM21)+LEN(UH$14)</f>
        <v>#VALUE!</v>
      </c>
      <c r="UL25" s="406" t="str">
        <f>IF(UM25=IFERROR(SEARCH(".",UH$4,UK25),99999),".",
IF(UM25=IFERROR(SEARCH(",",UH$4,UK25),99999),",",
IF(UM25=IFERROR(SEARCH(" за период",UH$4,UK25),999999)," за период",
IF(UM25=IFERROR(SEARCH(" в размере",UH$4,UK25),99999)," в размере",
IF(UM25=IFERROR(SEARCH(" и ",UH$4,UK25),99999)," и ",
IF(UM25=IFERROR(SEARCH(")",UH$4,UK25),99999),")",
))))))</f>
        <v>.</v>
      </c>
      <c r="UM25" s="406">
        <f>IFERROR(MIN(IFERROR(SEARCH(".",UH$4,UK25),99999),IFERROR(SEARCH(",",UH$4,UK25),99999),IFERROR(SEARCH(" за период",UH$4,UK25),999999),IFERROR(SEARCH(" в размере",UH$4,UK25),99999),IFERROR(SEARCH(" и ",UH$4,UK25),99999),IFERROR(SEARCH(")",UH$4,UK25),99999)),"ОШИБКА")</f>
        <v>99999</v>
      </c>
      <c r="UN25" s="406" t="e">
        <f>UM25-UK25</f>
        <v>#VALUE!</v>
      </c>
      <c r="UO25" s="873" t="e">
        <f>MID(UH$4,UK25,UN25)</f>
        <v>#VALUE!</v>
      </c>
      <c r="UP25" s="825" t="str">
        <f>IFERROR(INDEX($DU:$DU,MATCH(MID(UH$4,UK25,UN25),$DT:$DT,0),1),"")</f>
        <v/>
      </c>
      <c r="UQ25" s="754"/>
      <c r="UU25" s="1464"/>
      <c r="UV25" s="826" t="s">
        <v>8435</v>
      </c>
      <c r="UW25" s="836" t="str">
        <f>IF(UX24=" за период",SEARCH(" за период",$SQ$5,UY24)+LEN(" за период")+3,"НЕТ")</f>
        <v>НЕТ</v>
      </c>
      <c r="UX25" s="306" t="s">
        <v>8434</v>
      </c>
      <c r="UY25" s="306" t="e">
        <f>SEARCH(UX25,$SQ$5,UW25)</f>
        <v>#VALUE!</v>
      </c>
      <c r="UZ25" s="306" t="e">
        <f>UY25-UW25</f>
        <v>#VALUE!</v>
      </c>
      <c r="VA25" s="827" t="e">
        <f>DATEVALUE(MID($SQ$5,UW25,UZ25))</f>
        <v>#VALUE!</v>
      </c>
      <c r="VB25" s="828" t="str">
        <f>IF(UX24=" за период",VA25,"")</f>
        <v/>
      </c>
      <c r="VC25" s="754"/>
      <c r="VG25" s="1475">
        <v>6</v>
      </c>
      <c r="VH25" s="1030" t="s">
        <v>8433</v>
      </c>
      <c r="VI25" s="406" t="e">
        <f>SEARCH(VF$14,VF$4,VK21)+LEN(VF$14)</f>
        <v>#VALUE!</v>
      </c>
      <c r="VJ25" s="406" t="str">
        <f>IF(VK25=IFERROR(SEARCH(".",VF$4,VI25),99999),".",
IF(VK25=IFERROR(SEARCH(",",VF$4,VI25),99999),",",
IF(VK25=IFERROR(SEARCH(" за период",VF$4,VI25),999999)," за период",
IF(VK25=IFERROR(SEARCH(" в размере",VF$4,VI25),99999)," в размере",
IF(VK25=IFERROR(SEARCH(" и ",VF$4,VI25),99999)," и ",
IF(VK25=IFERROR(SEARCH(")",VF$4,VI25),99999),")",
))))))</f>
        <v>.</v>
      </c>
      <c r="VK25" s="406">
        <f>IFERROR(MIN(IFERROR(SEARCH(".",VF$4,VI25),99999),IFERROR(SEARCH(",",VF$4,VI25),99999),IFERROR(SEARCH(" за период",VF$4,VI25),999999),IFERROR(SEARCH(" в размере",VF$4,VI25),99999),IFERROR(SEARCH(" и ",VF$4,VI25),99999),IFERROR(SEARCH(")",VF$4,VI25),99999)),"ОШИБКА")</f>
        <v>99999</v>
      </c>
      <c r="VL25" s="406" t="e">
        <f>VK25-VI25</f>
        <v>#VALUE!</v>
      </c>
      <c r="VM25" s="873" t="e">
        <f>MID(VF$4,VI25,VL25)</f>
        <v>#VALUE!</v>
      </c>
      <c r="VN25" s="825" t="str">
        <f>IFERROR(INDEX($DU:$DU,MATCH(MID(VF$4,VI25,VL25),$DT:$DT,0),1),"")</f>
        <v/>
      </c>
      <c r="VO25" s="754"/>
      <c r="VS25" s="1464"/>
      <c r="VT25" s="826" t="s">
        <v>8435</v>
      </c>
      <c r="VU25" s="836" t="str">
        <f>IF(VV24=" за период",SEARCH(" за период",$SQ$6,VW24)+LEN(" за период")+3,"НЕТ")</f>
        <v>НЕТ</v>
      </c>
      <c r="VV25" s="306" t="s">
        <v>8434</v>
      </c>
      <c r="VW25" s="306" t="e">
        <f>SEARCH(VV25,$SQ$6,VU25)</f>
        <v>#VALUE!</v>
      </c>
      <c r="VX25" s="306" t="e">
        <f>VW25-VU25</f>
        <v>#VALUE!</v>
      </c>
      <c r="VY25" s="827" t="e">
        <f>DATEVALUE(MID($SQ$6,VU25,VX25))</f>
        <v>#VALUE!</v>
      </c>
      <c r="VZ25" s="828" t="str">
        <f>IF(VV24=" за период",VY25,"")</f>
        <v/>
      </c>
      <c r="WA25" s="754"/>
      <c r="WE25" s="1475">
        <v>6</v>
      </c>
      <c r="WF25" s="1030" t="s">
        <v>8433</v>
      </c>
      <c r="WG25" s="406" t="e">
        <f>SEARCH($TJ$14,WD$4,WI21)+LEN($TJ$14)</f>
        <v>#VALUE!</v>
      </c>
      <c r="WH25" s="406" t="str">
        <f>IF(WI25=IFERROR(SEARCH(".",WD$4,WG25),99999),".",
IF(WI25=IFERROR(SEARCH(",",WD$4,WG25),99999),",",
IF(WI25=IFERROR(SEARCH(" за период",WD$4,WG25),999999)," за период",
IF(WI25=IFERROR(SEARCH(" в размере",WD$4,WG25),99999)," в размере",
IF(WI25=IFERROR(SEARCH(" и ",WD$4,WG25),99999)," и ",
IF(WI25=IFERROR(SEARCH(")",WD$4,WG25),99999),")",
))))))</f>
        <v>.</v>
      </c>
      <c r="WI25" s="406">
        <f>IFERROR(MIN(IFERROR(SEARCH(".",WD$4,WG25),99999),IFERROR(SEARCH(",",WD$4,WG25),99999),IFERROR(SEARCH(" за период",WD$4,WG25),999999),IFERROR(SEARCH(" в размере",WD$4,WG25),99999),IFERROR(SEARCH(" и ",WD$4,WG25),99999),IFERROR(SEARCH(")",WD$4,WG25),99999)),"ОШИБКА")</f>
        <v>99999</v>
      </c>
      <c r="WJ25" s="406" t="e">
        <f>WI25-WG25</f>
        <v>#VALUE!</v>
      </c>
      <c r="WK25" s="873" t="e">
        <f>MID(WD$4,WG25,WJ25)</f>
        <v>#VALUE!</v>
      </c>
      <c r="WL25" s="825" t="str">
        <f>IFERROR(INDEX($DU:$DU,MATCH(MID(WD$4,WG25,WJ25),$DT:$DT,0),1),"")</f>
        <v/>
      </c>
      <c r="WM25" s="754"/>
      <c r="WQ25" s="1464"/>
      <c r="WR25" s="826" t="s">
        <v>8435</v>
      </c>
      <c r="WS25" s="836" t="str">
        <f>IF(WT24=" за период",SEARCH(" за период",$SQ$7,WU24)+LEN(" за период")+3,"НЕТ")</f>
        <v>НЕТ</v>
      </c>
      <c r="WT25" s="306" t="s">
        <v>8434</v>
      </c>
      <c r="WU25" s="306" t="e">
        <f>SEARCH(WT25,$SQ$7,WS25)</f>
        <v>#VALUE!</v>
      </c>
      <c r="WV25" s="306" t="e">
        <f>WU25-WS25</f>
        <v>#VALUE!</v>
      </c>
      <c r="WW25" s="827" t="e">
        <f>DATEVALUE(MID($SQ$7,WS25,WV25))</f>
        <v>#VALUE!</v>
      </c>
      <c r="WX25" s="828" t="str">
        <f>IF(WT24=" за период",WW25,"")</f>
        <v/>
      </c>
      <c r="WY25" s="754"/>
      <c r="XC25" s="1475">
        <v>6</v>
      </c>
      <c r="XD25" s="1030" t="s">
        <v>8433</v>
      </c>
      <c r="XE25" s="406" t="e">
        <f>SEARCH($TJ$14,XB$4,XG21)+LEN($TJ$14)</f>
        <v>#VALUE!</v>
      </c>
      <c r="XF25" s="406" t="str">
        <f>IF(XG25=IFERROR(SEARCH(".",XB$4,XE25),99999),".",
IF(XG25=IFERROR(SEARCH(",",XB$4,XE25),99999),",",
IF(XG25=IFERROR(SEARCH(" за период",XB$4,XE25),999999)," за период",
IF(XG25=IFERROR(SEARCH(" в размере",XB$4,XE25),99999)," в размере",
IF(XG25=IFERROR(SEARCH(" и ",XB$4,XE25),99999)," и ",
IF(XG25=IFERROR(SEARCH(")",XB$4,XE25),99999),")",
))))))</f>
        <v>.</v>
      </c>
      <c r="XG25" s="406">
        <f>IFERROR(MIN(IFERROR(SEARCH(".",XB$4,XE25),99999),IFERROR(SEARCH(",",XB$4,XE25),99999),IFERROR(SEARCH(" за период",XB$4,XE25),999999),IFERROR(SEARCH(" в размере",XB$4,XE25),99999),IFERROR(SEARCH(" и ",XB$4,XE25),99999),IFERROR(SEARCH(")",XB$4,XE25),99999)),"ОШИБКА")</f>
        <v>99999</v>
      </c>
      <c r="XH25" s="406" t="e">
        <f>XG25-XE25</f>
        <v>#VALUE!</v>
      </c>
      <c r="XI25" s="873" t="e">
        <f>MID(XB$4,XE25,XH25)</f>
        <v>#VALUE!</v>
      </c>
      <c r="XJ25" s="825" t="str">
        <f>IFERROR(INDEX($DU:$DU,MATCH(MID(XB$4,XE25,XH25),$DT:$DT,0),1),"")</f>
        <v/>
      </c>
      <c r="XK25" s="754"/>
      <c r="XM25" s="116"/>
      <c r="XN25" s="116"/>
      <c r="XO25" s="116"/>
      <c r="XR25" s="116"/>
      <c r="XS25" s="116"/>
      <c r="XT25" s="116"/>
      <c r="XU25" s="116"/>
      <c r="XV25" s="116"/>
      <c r="XY25" s="116"/>
      <c r="YG25" s="1464"/>
      <c r="YH25" s="826" t="s">
        <v>8435</v>
      </c>
      <c r="YI25" s="836" t="str">
        <f>IF(YJ24=" за период",SEARCH(" за период",$XU$3,YK24)+LEN(" за период")+3,"НЕТ")</f>
        <v>НЕТ</v>
      </c>
      <c r="YJ25" s="306" t="s">
        <v>8434</v>
      </c>
      <c r="YK25" s="306" t="e">
        <f>SEARCH(YJ25,$XU$3,YI25)</f>
        <v>#VALUE!</v>
      </c>
      <c r="YL25" s="306" t="e">
        <f>YK25-YI25</f>
        <v>#VALUE!</v>
      </c>
      <c r="YM25" s="827" t="e">
        <f>DATEVALUE(MID($XU$3,YI25,YL25))</f>
        <v>#VALUE!</v>
      </c>
      <c r="YN25" s="828" t="str">
        <f>IF(YJ24=" за период",YM25,"")</f>
        <v/>
      </c>
      <c r="YO25" s="754"/>
      <c r="YS25" s="1464"/>
      <c r="YT25" s="826" t="s">
        <v>8435</v>
      </c>
      <c r="YU25" s="836" t="str">
        <f>IF(YV24=" за период",SEARCH(" за период",$XU$4,YW24)+LEN(" за период")+3,"НЕТ")</f>
        <v>НЕТ</v>
      </c>
      <c r="YV25" s="306" t="s">
        <v>8434</v>
      </c>
      <c r="YW25" s="306" t="e">
        <f>SEARCH(YV25,$XU$4,YU25)</f>
        <v>#VALUE!</v>
      </c>
      <c r="YX25" s="306" t="e">
        <f>YW25-YU25</f>
        <v>#VALUE!</v>
      </c>
      <c r="YY25" s="827" t="e">
        <f>DATEVALUE(MID($XU$4,YU25,YX25))</f>
        <v>#VALUE!</v>
      </c>
      <c r="YZ25" s="828" t="str">
        <f>IF(YV24=" за период",YY25,"")</f>
        <v/>
      </c>
      <c r="ZA25" s="754"/>
      <c r="ZE25" s="1464"/>
      <c r="ZF25" s="826" t="s">
        <v>8435</v>
      </c>
      <c r="ZG25" s="836" t="str">
        <f>IF(ZH24=" за период",SEARCH(" за период",$XU$5,ZI24)+LEN(" за период")+3,"НЕТ")</f>
        <v>НЕТ</v>
      </c>
      <c r="ZH25" s="306" t="s">
        <v>8434</v>
      </c>
      <c r="ZI25" s="306" t="e">
        <f>SEARCH(ZH25,$XU$5,ZG25)</f>
        <v>#VALUE!</v>
      </c>
      <c r="ZJ25" s="306" t="e">
        <f>ZI25-ZG25</f>
        <v>#VALUE!</v>
      </c>
      <c r="ZK25" s="827" t="e">
        <f>DATEVALUE(MID($XU$5,ZG25,ZJ25))</f>
        <v>#VALUE!</v>
      </c>
      <c r="ZL25" s="828" t="str">
        <f>IF(ZH24=" за период",ZK25,"")</f>
        <v/>
      </c>
      <c r="ZM25" s="754"/>
      <c r="ZQ25" s="1464"/>
      <c r="ZR25" s="826" t="s">
        <v>8435</v>
      </c>
      <c r="ZS25" s="836" t="str">
        <f>IF(ZT24=" за период",SEARCH(" за период",$XU$6,ZU24)+LEN(" за период")+3,"НЕТ")</f>
        <v>НЕТ</v>
      </c>
      <c r="ZT25" s="306" t="s">
        <v>8434</v>
      </c>
      <c r="ZU25" s="306" t="e">
        <f>SEARCH(ZT25,$XU$6,ZS25)</f>
        <v>#VALUE!</v>
      </c>
      <c r="ZV25" s="306" t="e">
        <f>ZU25-ZS25</f>
        <v>#VALUE!</v>
      </c>
      <c r="ZW25" s="827" t="e">
        <f>DATEVALUE(MID($XU$6,ZS25,ZV25))</f>
        <v>#VALUE!</v>
      </c>
      <c r="ZX25" s="828" t="str">
        <f>IF(ZT24=" за период",ZW25,"")</f>
        <v/>
      </c>
      <c r="ZY25" s="754"/>
      <c r="AAC25" s="1464"/>
      <c r="AAD25" s="826" t="s">
        <v>8435</v>
      </c>
      <c r="AAE25" s="836" t="str">
        <f>IF(AAF24=" за период",SEARCH(" за период",$XU$7,AAG24)+LEN(" за период")+3,"НЕТ")</f>
        <v>НЕТ</v>
      </c>
      <c r="AAF25" s="306" t="s">
        <v>8434</v>
      </c>
      <c r="AAG25" s="306" t="e">
        <f>SEARCH(AAF25,$XU$7,AAE25)</f>
        <v>#VALUE!</v>
      </c>
      <c r="AAH25" s="306" t="e">
        <f>AAG25-AAE25</f>
        <v>#VALUE!</v>
      </c>
      <c r="AAI25" s="827" t="e">
        <f>DATEVALUE(MID($XU$7,AAE25,AAH25))</f>
        <v>#VALUE!</v>
      </c>
      <c r="AAJ25" s="828" t="str">
        <f>IF(AAF24=" за период",AAI25,"")</f>
        <v/>
      </c>
      <c r="AAK25" s="754"/>
      <c r="AAL25" s="754"/>
      <c r="AAM25" s="754"/>
      <c r="AAV25" t="str">
        <f t="shared" si="141"/>
        <v>$$$$</v>
      </c>
      <c r="AAW25" s="947" t="e">
        <f t="shared" si="142"/>
        <v>#VALUE!</v>
      </c>
      <c r="AAX25" s="5"/>
      <c r="AAY25" s="5"/>
      <c r="AAZ25" s="5"/>
      <c r="ABA25" s="1487"/>
      <c r="ADF25" s="5"/>
      <c r="ADG25" s="1075"/>
      <c r="ADQ25" s="1075"/>
      <c r="ADR25" s="1078" t="str">
        <f>IFERROR(ABW6,"")</f>
        <v/>
      </c>
      <c r="AEJ25" s="961"/>
      <c r="AEK25" s="961"/>
      <c r="AEL25" s="961"/>
      <c r="AEX25" s="1070"/>
      <c r="AFA25" s="1070"/>
      <c r="AFE25" s="1464"/>
      <c r="AFF25" s="826" t="s">
        <v>8435</v>
      </c>
      <c r="AFG25" s="836" t="str">
        <f>IF(AFH24=" за период",SEARCH(" за период",AFD$4,AFI24)+LEN(" за период")+3,"НЕТ")</f>
        <v>НЕТ</v>
      </c>
      <c r="AFH25" s="306" t="s">
        <v>8434</v>
      </c>
      <c r="AFI25" s="306" t="e">
        <f>SEARCH(AFH25,AFD$4,AFG25)</f>
        <v>#VALUE!</v>
      </c>
      <c r="AFJ25" s="306" t="e">
        <f>AFI25-AFG25</f>
        <v>#VALUE!</v>
      </c>
      <c r="AFK25" s="827" t="e">
        <f>DATEVALUE(MID(AFD$4,AFG25,AFJ25))</f>
        <v>#VALUE!</v>
      </c>
      <c r="AFL25" s="828" t="str">
        <f>IF(AFH24=" за период",AFK25,"")</f>
        <v/>
      </c>
      <c r="AFM25" s="754"/>
      <c r="AFQ25" s="1464"/>
      <c r="AFR25" s="826" t="s">
        <v>8435</v>
      </c>
      <c r="AFS25" s="836" t="str">
        <f>IF(AFT24=" за период",SEARCH(" за период",AFP$4,AFU24)+LEN(" за период")+3,"НЕТ")</f>
        <v>НЕТ</v>
      </c>
      <c r="AFT25" s="306" t="s">
        <v>8434</v>
      </c>
      <c r="AFU25" s="306" t="e">
        <f>SEARCH(AFT25,AFP$4,AFS25)</f>
        <v>#VALUE!</v>
      </c>
      <c r="AFV25" s="306" t="e">
        <f>AFU25-AFS25</f>
        <v>#VALUE!</v>
      </c>
      <c r="AFW25" s="827" t="e">
        <f>DATEVALUE(MID(AFP$4,AFS25,AFV25))</f>
        <v>#VALUE!</v>
      </c>
      <c r="AFX25" s="828" t="str">
        <f>IF(AFT24=" за период",AFW25,"")</f>
        <v/>
      </c>
      <c r="AFY25" s="754"/>
      <c r="AGC25" s="1464"/>
      <c r="AGD25" s="826" t="s">
        <v>8435</v>
      </c>
      <c r="AGE25" s="836" t="str">
        <f>IF(AGF24=" за период",SEARCH(" за период",AGB$4,AGG24)+LEN(" за период")+3,"НЕТ")</f>
        <v>НЕТ</v>
      </c>
      <c r="AGF25" s="306" t="s">
        <v>8434</v>
      </c>
      <c r="AGG25" s="306" t="e">
        <f>SEARCH(AGF25,AGB$4,AGE25)</f>
        <v>#VALUE!</v>
      </c>
      <c r="AGH25" s="306" t="e">
        <f>AGG25-AGE25</f>
        <v>#VALUE!</v>
      </c>
      <c r="AGI25" s="827" t="e">
        <f>DATEVALUE(MID(AGB$4,AGE25,AGH25))</f>
        <v>#VALUE!</v>
      </c>
      <c r="AGJ25" s="828" t="str">
        <f>IF(AGF24=" за период",AGI25,"")</f>
        <v/>
      </c>
      <c r="AGK25" s="754"/>
      <c r="AGO25" s="1464"/>
      <c r="AGP25" s="826" t="s">
        <v>8435</v>
      </c>
      <c r="AGQ25" s="836" t="str">
        <f>IF(AGR24=" за период",SEARCH(" за период",AGN$4,AGS24)+LEN(" за период")+3,"НЕТ")</f>
        <v>НЕТ</v>
      </c>
      <c r="AGR25" s="306" t="s">
        <v>8434</v>
      </c>
      <c r="AGS25" s="306" t="e">
        <f>SEARCH(AGR25,AGN$4,AGQ25)</f>
        <v>#VALUE!</v>
      </c>
      <c r="AGT25" s="306" t="e">
        <f>AGS25-AGQ25</f>
        <v>#VALUE!</v>
      </c>
      <c r="AGU25" s="827" t="e">
        <f>DATEVALUE(MID(AGN$4,AGQ25,AGT25))</f>
        <v>#VALUE!</v>
      </c>
      <c r="AGV25" s="828" t="str">
        <f>IF(AGR24=" за период",AGU25,"")</f>
        <v/>
      </c>
      <c r="AGW25" s="754"/>
      <c r="AHA25" s="1464"/>
      <c r="AHB25" s="826" t="s">
        <v>8435</v>
      </c>
      <c r="AHC25" s="836" t="str">
        <f>IF(AHD24=" за период",SEARCH(" за период",AGZ$4,AHE24)+LEN(" за период")+3,"НЕТ")</f>
        <v>НЕТ</v>
      </c>
      <c r="AHD25" s="306" t="s">
        <v>8434</v>
      </c>
      <c r="AHE25" s="306" t="e">
        <f>SEARCH(AHD25,AGZ$4,AHC25)</f>
        <v>#VALUE!</v>
      </c>
      <c r="AHF25" s="306" t="e">
        <f>AHE25-AHC25</f>
        <v>#VALUE!</v>
      </c>
      <c r="AHG25" s="827" t="e">
        <f>DATEVALUE(MID(AGZ$4,AHC25,AHF25))</f>
        <v>#VALUE!</v>
      </c>
      <c r="AHH25" s="828" t="str">
        <f>IF(AHD24=" за период",AHG25,"")</f>
        <v/>
      </c>
      <c r="AHI25" s="754"/>
      <c r="AIJ25" t="s">
        <v>9885</v>
      </c>
      <c r="AIK25" t="s">
        <v>9886</v>
      </c>
      <c r="AIL25" s="1235" t="e">
        <f t="shared" si="68"/>
        <v>#VALUE!</v>
      </c>
      <c r="AKA25" s="116"/>
      <c r="AKK25" s="116"/>
      <c r="AKU25" s="116"/>
      <c r="ALE25" s="116"/>
      <c r="ALO25" s="116"/>
      <c r="ALP25" s="116"/>
      <c r="AMG25" t="str">
        <f t="shared" si="143"/>
        <v>Нижегородская обл</v>
      </c>
      <c r="AMH25" t="str">
        <f t="shared" si="144"/>
        <v>Нижегородская обл.</v>
      </c>
      <c r="AMI25" s="1235" t="e">
        <f t="shared" si="75"/>
        <v>#VALUE!</v>
      </c>
      <c r="ANX25" s="116"/>
      <c r="AOH25" s="116"/>
      <c r="AOR25" s="116"/>
      <c r="APB25" s="116"/>
      <c r="APL25" s="116"/>
      <c r="APM25" s="116"/>
    </row>
    <row r="26" spans="1:1023 1064:1105" ht="14.4" customHeight="1" x14ac:dyDescent="0.3">
      <c r="A26" s="116"/>
      <c r="B26" s="116"/>
      <c r="C26" s="116"/>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6"/>
      <c r="AB26" s="116"/>
      <c r="AC26" s="116"/>
      <c r="AD26" s="116"/>
      <c r="AE26" s="116"/>
      <c r="AF26" s="116"/>
      <c r="AG26" s="116"/>
      <c r="AH26" s="116"/>
      <c r="AI26" s="116"/>
      <c r="AJ26" s="116"/>
      <c r="AK26" s="116"/>
      <c r="AL26" s="116"/>
      <c r="AM26" s="116"/>
      <c r="AN26" s="116"/>
      <c r="AO26" s="116"/>
      <c r="AP26" s="116"/>
      <c r="AQ26" s="116"/>
      <c r="AR26" s="116"/>
      <c r="AS26" s="116"/>
      <c r="AT26" s="116"/>
      <c r="AU26" s="116"/>
      <c r="AV26" s="116"/>
      <c r="AW26" s="116"/>
      <c r="AX26" s="116"/>
      <c r="AY26" s="116"/>
      <c r="AZ26" s="116"/>
      <c r="BA26" s="116"/>
      <c r="BB26" s="116"/>
      <c r="BC26" s="116"/>
      <c r="BD26" s="116"/>
      <c r="BE26" s="116"/>
      <c r="BF26" s="116"/>
      <c r="BG26" s="116"/>
      <c r="BH26" s="116"/>
      <c r="BI26" s="116"/>
      <c r="BJ26" s="116"/>
      <c r="BK26" s="116"/>
      <c r="BL26" s="116"/>
      <c r="BM26" s="116"/>
      <c r="BN26" s="116"/>
      <c r="BO26" s="116"/>
      <c r="BP26" s="116"/>
      <c r="BQ26" s="116"/>
      <c r="BR26" s="116"/>
      <c r="BS26" s="116"/>
      <c r="BT26" s="116"/>
      <c r="BU26" s="116"/>
      <c r="BV26" s="116"/>
      <c r="BW26" s="116"/>
      <c r="BX26" s="116"/>
      <c r="BY26" s="116"/>
      <c r="BZ26" s="116"/>
      <c r="CA26" s="116"/>
      <c r="CB26" s="116"/>
      <c r="CC26" s="116"/>
      <c r="CD26" s="116"/>
      <c r="CE26" s="116"/>
      <c r="CF26" s="116"/>
      <c r="CG26" s="116"/>
      <c r="CH26" s="116"/>
      <c r="CI26" s="116"/>
      <c r="CJ26" s="116"/>
      <c r="CK26" s="116"/>
      <c r="CL26" s="116"/>
      <c r="CM26" s="116"/>
      <c r="CN26" s="116"/>
      <c r="CO26" s="116"/>
      <c r="CP26" s="116"/>
      <c r="CQ26" s="116"/>
      <c r="CR26" s="116"/>
      <c r="CS26" s="116"/>
      <c r="CT26" s="116"/>
      <c r="CU26" s="116"/>
      <c r="CV26" s="116"/>
      <c r="CW26" s="116"/>
      <c r="CX26" s="116"/>
      <c r="CY26" s="116"/>
      <c r="CZ26" s="116"/>
      <c r="DA26" s="116"/>
      <c r="DB26" s="116"/>
      <c r="DC26" s="116"/>
      <c r="DD26" s="116"/>
      <c r="DE26" s="116"/>
      <c r="DF26" s="116"/>
      <c r="DG26" s="116"/>
      <c r="DH26" s="116"/>
      <c r="DI26" s="116"/>
      <c r="DJ26" s="116"/>
      <c r="DK26" s="116"/>
      <c r="DL26" s="116"/>
      <c r="DM26" s="116"/>
      <c r="DN26" s="116"/>
      <c r="DO26" s="116"/>
      <c r="DP26" s="116"/>
      <c r="DQ26" s="116"/>
      <c r="DR26" t="s">
        <v>2861</v>
      </c>
      <c r="DT26" t="s">
        <v>1351</v>
      </c>
      <c r="DU26" t="s">
        <v>98</v>
      </c>
      <c r="DV26" s="1464"/>
      <c r="DW26" s="826" t="s">
        <v>8436</v>
      </c>
      <c r="DX26" s="836" t="e">
        <f>SEARCH(" ",$C$3,DZ25+1)+1</f>
        <v>#VALUE!</v>
      </c>
      <c r="DY26" s="306"/>
      <c r="DZ26" s="306" t="e">
        <f>DX26+EA26</f>
        <v>#VALUE!</v>
      </c>
      <c r="EA26" s="306">
        <v>10</v>
      </c>
      <c r="EB26" s="827" t="e">
        <f>DATEVALUE(MID($C$3,DX26,EA26))</f>
        <v>#VALUE!</v>
      </c>
      <c r="EC26" s="828" t="str">
        <f>IF(DY24=" за период",EB26,"")</f>
        <v/>
      </c>
      <c r="ED26" s="754"/>
      <c r="FC26" s="116"/>
      <c r="FD26" s="116"/>
      <c r="FE26" s="116"/>
      <c r="FF26" s="116"/>
      <c r="FI26" s="116"/>
      <c r="LY26" t="s">
        <v>9235</v>
      </c>
      <c r="NK26" s="1464"/>
      <c r="NL26" s="826" t="s">
        <v>8436</v>
      </c>
      <c r="NM26" s="836" t="e">
        <f>SEARCH(" ",NJ$4,NO25+1)+1</f>
        <v>#VALUE!</v>
      </c>
      <c r="NN26" s="306"/>
      <c r="NO26" s="306" t="e">
        <f>NM26+NP26</f>
        <v>#VALUE!</v>
      </c>
      <c r="NP26" s="306">
        <v>10</v>
      </c>
      <c r="NQ26" s="827" t="e">
        <f>DATEVALUE(MID(NJ$4,NM26,NP26))</f>
        <v>#VALUE!</v>
      </c>
      <c r="NR26" s="828" t="str">
        <f>IF(NN24=" за период",NQ26,"")</f>
        <v/>
      </c>
      <c r="NS26" s="754"/>
      <c r="NT26" s="754"/>
      <c r="OC26" s="1472"/>
      <c r="OD26" s="946" t="str">
        <f t="shared" si="131"/>
        <v>$$$$</v>
      </c>
      <c r="OE26" s="947" t="e">
        <f t="shared" si="132"/>
        <v>#VALUE!</v>
      </c>
      <c r="OF26" s="947"/>
      <c r="OG26" s="920"/>
      <c r="OH26" s="920"/>
      <c r="OI26" s="947"/>
      <c r="OJ26" s="947"/>
      <c r="OK26" s="947"/>
      <c r="OL26" s="1474"/>
      <c r="OM26" s="116"/>
      <c r="ON26" s="116"/>
      <c r="OO26" s="116"/>
      <c r="OY26" s="116"/>
      <c r="OZ26" s="959"/>
      <c r="PA26" s="1210"/>
      <c r="PB26" s="959"/>
      <c r="PC26" s="116"/>
      <c r="PD26" s="1000"/>
      <c r="PF26" s="1209"/>
      <c r="PG26" s="1208"/>
      <c r="PH26" s="1209"/>
      <c r="PJ26" s="1073"/>
      <c r="PK26" s="99"/>
      <c r="PL26" s="920"/>
      <c r="PM26" s="995"/>
      <c r="PN26" s="920"/>
      <c r="PO26" s="99"/>
      <c r="PP26" s="871"/>
      <c r="PQ26" t="str">
        <f t="shared" si="133"/>
        <v>$$$$</v>
      </c>
      <c r="PR26" s="937" t="e">
        <f t="shared" si="134"/>
        <v>#VALUE!</v>
      </c>
      <c r="PS26" s="5"/>
      <c r="PV26" s="937"/>
      <c r="PY26" s="1470"/>
      <c r="PZ26" t="str">
        <f t="shared" si="135"/>
        <v>$$$$</v>
      </c>
      <c r="QA26" s="937" t="e">
        <f t="shared" si="136"/>
        <v>#VALUE!</v>
      </c>
      <c r="QB26" s="5"/>
      <c r="QC26" s="264"/>
      <c r="QE26" s="937"/>
      <c r="QF26" s="264"/>
      <c r="QH26" s="1470"/>
      <c r="QI26" t="str">
        <f t="shared" si="137"/>
        <v>$$$$</v>
      </c>
      <c r="QJ26" s="937" t="e">
        <f t="shared" si="138"/>
        <v>#VALUE!</v>
      </c>
      <c r="QK26" s="5"/>
      <c r="QL26" s="264"/>
      <c r="QN26" s="937"/>
      <c r="QO26" s="264"/>
      <c r="QQ26" s="1470"/>
      <c r="QR26" t="str">
        <f t="shared" si="139"/>
        <v>$$$$</v>
      </c>
      <c r="QS26" s="937" t="e">
        <f t="shared" si="140"/>
        <v>#VALUE!</v>
      </c>
      <c r="QT26" s="5"/>
      <c r="QU26" s="264"/>
      <c r="QW26" s="937"/>
      <c r="QX26" s="264"/>
      <c r="QZ26" s="1470"/>
      <c r="RA26" s="1094" t="s">
        <v>4</v>
      </c>
      <c r="RB26" s="1096" t="str">
        <f>IFERROR(PP6,"")</f>
        <v/>
      </c>
      <c r="RL26" s="116"/>
      <c r="RO26" s="116"/>
      <c r="SQ26" s="979"/>
      <c r="SR26" s="116"/>
      <c r="SU26" s="116"/>
      <c r="SV26" t="s">
        <v>8513</v>
      </c>
      <c r="SY26" s="1464"/>
      <c r="SZ26" s="826" t="s">
        <v>8436</v>
      </c>
      <c r="TA26" s="836" t="e">
        <f>SEARCH(" ",$SQ$3,TC25+1)+1</f>
        <v>#VALUE!</v>
      </c>
      <c r="TB26" s="306"/>
      <c r="TC26" s="306" t="e">
        <f>TA26+TD26</f>
        <v>#VALUE!</v>
      </c>
      <c r="TD26" s="306">
        <v>10</v>
      </c>
      <c r="TE26" s="827" t="e">
        <f>DATEVALUE(MID($SQ$3,TA26,TD26))</f>
        <v>#VALUE!</v>
      </c>
      <c r="TF26" s="828" t="str">
        <f>IF(TB24=" за период",TE26,"")</f>
        <v/>
      </c>
      <c r="TG26" s="754"/>
      <c r="TK26" s="1476"/>
      <c r="TL26" s="1031" t="s">
        <v>8249</v>
      </c>
      <c r="TM26" s="836">
        <f>IFERROR(MIN(IFERROR(SEARCH(", ",TJ$4,TO21)+LEN(", "),99999),IFERROR(SEARCH("и ",TJ$4,TO21)+LEN("и "),99999)),"ОШИБКА")</f>
        <v>99999</v>
      </c>
      <c r="TN26" s="306" t="s">
        <v>8431</v>
      </c>
      <c r="TO26" s="306" t="e">
        <f>SEARCH(TN26,TJ$4,TM26)</f>
        <v>#VALUE!</v>
      </c>
      <c r="TP26" s="306" t="e">
        <f>TO26-TM26</f>
        <v>#VALUE!</v>
      </c>
      <c r="TQ26" s="826" t="e">
        <f>IF(TR25="Штраф 50%","",MID(TJ$4,TM26,TP26))</f>
        <v>#VALUE!</v>
      </c>
      <c r="TR26" s="828" t="str">
        <f>IF(TN25=" за период",TQ26,"")</f>
        <v/>
      </c>
      <c r="TS26" s="754"/>
      <c r="TT26" t="str">
        <f t="shared" si="27"/>
        <v>$$$$</v>
      </c>
      <c r="TW26" s="1464"/>
      <c r="TX26" s="826" t="s">
        <v>8436</v>
      </c>
      <c r="TY26" s="836" t="e">
        <f>SEARCH(" ",$SQ$4,UA25+1)+1</f>
        <v>#VALUE!</v>
      </c>
      <c r="TZ26" s="306"/>
      <c r="UA26" s="306" t="e">
        <f>TY26+UB26</f>
        <v>#VALUE!</v>
      </c>
      <c r="UB26" s="306">
        <v>10</v>
      </c>
      <c r="UC26" s="827" t="e">
        <f>DATEVALUE(MID($SQ$4,TY26,UB26))</f>
        <v>#VALUE!</v>
      </c>
      <c r="UD26" s="828" t="str">
        <f>IF(TZ24=" за период",UC26,"")</f>
        <v/>
      </c>
      <c r="UE26" s="754"/>
      <c r="UI26" s="1476"/>
      <c r="UJ26" s="1031" t="s">
        <v>8249</v>
      </c>
      <c r="UK26" s="836">
        <f>IFERROR(MIN(IFERROR(SEARCH(", ",UH$4,UM21)+LEN(", "),99999),IFERROR(SEARCH("и ",UH$4,UM21)+LEN("и "),99999)),"ОШИБКА")</f>
        <v>99999</v>
      </c>
      <c r="UL26" s="306" t="s">
        <v>8431</v>
      </c>
      <c r="UM26" s="306" t="e">
        <f>SEARCH(UL26,UH$4,UK26)</f>
        <v>#VALUE!</v>
      </c>
      <c r="UN26" s="306" t="e">
        <f>UM26-UK26</f>
        <v>#VALUE!</v>
      </c>
      <c r="UO26" s="826" t="e">
        <f>IF(UP25="Штраф 50%","",MID(UH$4,UK26,UN26))</f>
        <v>#VALUE!</v>
      </c>
      <c r="UP26" s="828" t="str">
        <f>IF(UL25=" за период",UO26,"")</f>
        <v/>
      </c>
      <c r="UQ26" s="754"/>
      <c r="UU26" s="1464"/>
      <c r="UV26" s="826" t="s">
        <v>8436</v>
      </c>
      <c r="UW26" s="836" t="e">
        <f>SEARCH(" ",$SQ$5,UY25+1)+1</f>
        <v>#VALUE!</v>
      </c>
      <c r="UX26" s="306"/>
      <c r="UY26" s="306" t="e">
        <f>UW26+UZ26</f>
        <v>#VALUE!</v>
      </c>
      <c r="UZ26" s="306">
        <v>10</v>
      </c>
      <c r="VA26" s="827" t="e">
        <f>DATEVALUE(MID($SQ$5,UW26,UZ26))</f>
        <v>#VALUE!</v>
      </c>
      <c r="VB26" s="828" t="str">
        <f>IF(UX24=" за период",VA26,"")</f>
        <v/>
      </c>
      <c r="VC26" s="754"/>
      <c r="VG26" s="1476"/>
      <c r="VH26" s="1031" t="s">
        <v>8249</v>
      </c>
      <c r="VI26" s="836">
        <f>IFERROR(MIN(IFERROR(SEARCH(", ",VF$4,VK21)+LEN(", "),99999),IFERROR(SEARCH("и ",VF$4,VK21)+LEN("и "),99999)),"ОШИБКА")</f>
        <v>99999</v>
      </c>
      <c r="VJ26" s="306" t="s">
        <v>8431</v>
      </c>
      <c r="VK26" s="306" t="e">
        <f>SEARCH(VJ26,VF$4,VI26)</f>
        <v>#VALUE!</v>
      </c>
      <c r="VL26" s="306" t="e">
        <f>VK26-VI26</f>
        <v>#VALUE!</v>
      </c>
      <c r="VM26" s="826" t="e">
        <f>IF(VN25="Штраф 50%","",MID(VF$4,VI26,VL26))</f>
        <v>#VALUE!</v>
      </c>
      <c r="VN26" s="828" t="str">
        <f>IF(VJ25=" за период",VM26,"")</f>
        <v/>
      </c>
      <c r="VO26" s="754"/>
      <c r="VS26" s="1464"/>
      <c r="VT26" s="826" t="s">
        <v>8436</v>
      </c>
      <c r="VU26" s="836" t="e">
        <f>SEARCH(" ",$SQ$6,VW25+1)+1</f>
        <v>#VALUE!</v>
      </c>
      <c r="VV26" s="306"/>
      <c r="VW26" s="306" t="e">
        <f>VU26+VX26</f>
        <v>#VALUE!</v>
      </c>
      <c r="VX26" s="306">
        <v>10</v>
      </c>
      <c r="VY26" s="827" t="e">
        <f>DATEVALUE(MID($SQ$6,VU26,VX26))</f>
        <v>#VALUE!</v>
      </c>
      <c r="VZ26" s="828" t="str">
        <f>IF(VV24=" за период",VY26,"")</f>
        <v/>
      </c>
      <c r="WA26" s="754"/>
      <c r="WE26" s="1476"/>
      <c r="WF26" s="1031" t="s">
        <v>8249</v>
      </c>
      <c r="WG26" s="836">
        <f>IFERROR(MIN(IFERROR(SEARCH(", ",WD$4,WI21)+LEN(", "),99999),IFERROR(SEARCH("и ",WD$4,WI21)+LEN("и "),99999)),"ОШИБКА")</f>
        <v>99999</v>
      </c>
      <c r="WH26" s="306" t="s">
        <v>8431</v>
      </c>
      <c r="WI26" s="306" t="e">
        <f>SEARCH(WH26,WD$4,WG26)</f>
        <v>#VALUE!</v>
      </c>
      <c r="WJ26" s="306" t="e">
        <f>WI26-WG26</f>
        <v>#VALUE!</v>
      </c>
      <c r="WK26" s="826" t="e">
        <f>IF(WL25="Штраф 50%","",MID(WD$4,WG26,WJ26))</f>
        <v>#VALUE!</v>
      </c>
      <c r="WL26" s="828" t="str">
        <f>IF(WH25=" за период",WK26,"")</f>
        <v/>
      </c>
      <c r="WM26" s="754"/>
      <c r="WQ26" s="1464"/>
      <c r="WR26" s="826" t="s">
        <v>8436</v>
      </c>
      <c r="WS26" s="836" t="e">
        <f>SEARCH(" ",$SQ$7,WU25+1)+1</f>
        <v>#VALUE!</v>
      </c>
      <c r="WT26" s="306"/>
      <c r="WU26" s="306" t="e">
        <f>WS26+WV26</f>
        <v>#VALUE!</v>
      </c>
      <c r="WV26" s="306">
        <v>10</v>
      </c>
      <c r="WW26" s="827" t="e">
        <f>DATEVALUE(MID($SQ$7,WS26,WV26))</f>
        <v>#VALUE!</v>
      </c>
      <c r="WX26" s="828" t="str">
        <f>IF(WT24=" за период",WW26,"")</f>
        <v/>
      </c>
      <c r="WY26" s="754"/>
      <c r="XC26" s="1476"/>
      <c r="XD26" s="1031" t="s">
        <v>8249</v>
      </c>
      <c r="XE26" s="836">
        <f>IFERROR(MIN(IFERROR(SEARCH(", ",XB$4,XG21)+LEN(", "),99999),IFERROR(SEARCH("и ",XB$4,XG21)+LEN("и "),99999)),"ОШИБКА")</f>
        <v>99999</v>
      </c>
      <c r="XF26" s="306" t="s">
        <v>8431</v>
      </c>
      <c r="XG26" s="306" t="e">
        <f>SEARCH(XF26,XB$4,XE26)</f>
        <v>#VALUE!</v>
      </c>
      <c r="XH26" s="306" t="e">
        <f>XG26-XE26</f>
        <v>#VALUE!</v>
      </c>
      <c r="XI26" s="826" t="e">
        <f>IF(XJ25="Штраф 50%","",MID(XB$4,XE26,XH26))</f>
        <v>#VALUE!</v>
      </c>
      <c r="XJ26" s="828" t="str">
        <f>IF(XF25=" за период",XI26,"")</f>
        <v/>
      </c>
      <c r="XK26" s="754"/>
      <c r="XM26" s="116"/>
      <c r="XN26" s="116"/>
      <c r="XO26" s="116"/>
      <c r="XR26" s="116"/>
      <c r="XS26" s="116"/>
      <c r="XT26" s="116"/>
      <c r="XU26" s="116"/>
      <c r="XV26" s="116"/>
      <c r="XY26" s="116"/>
      <c r="YG26" s="1464"/>
      <c r="YH26" s="826" t="s">
        <v>8436</v>
      </c>
      <c r="YI26" s="836" t="e">
        <f>SEARCH(" ",$XU$3,YK25+1)+1</f>
        <v>#VALUE!</v>
      </c>
      <c r="YJ26" s="306"/>
      <c r="YK26" s="306" t="e">
        <f>YI26+YL26</f>
        <v>#VALUE!</v>
      </c>
      <c r="YL26" s="306">
        <v>10</v>
      </c>
      <c r="YM26" s="827" t="e">
        <f>DATEVALUE(MID($XU$3,YI26,YL26))</f>
        <v>#VALUE!</v>
      </c>
      <c r="YN26" s="828" t="str">
        <f>IF(YJ24=" за период",YM26,"")</f>
        <v/>
      </c>
      <c r="YO26" s="754"/>
      <c r="YS26" s="1464"/>
      <c r="YT26" s="826" t="s">
        <v>8436</v>
      </c>
      <c r="YU26" s="836" t="e">
        <f>SEARCH(" ",$XU$4,YW25+1)+1</f>
        <v>#VALUE!</v>
      </c>
      <c r="YV26" s="306"/>
      <c r="YW26" s="306" t="e">
        <f>YU26+YX26</f>
        <v>#VALUE!</v>
      </c>
      <c r="YX26" s="306">
        <v>10</v>
      </c>
      <c r="YY26" s="827" t="e">
        <f>DATEVALUE(MID($XU$4,YU26,YX26))</f>
        <v>#VALUE!</v>
      </c>
      <c r="YZ26" s="828" t="str">
        <f>IF(YV24=" за период",YY26,"")</f>
        <v/>
      </c>
      <c r="ZA26" s="754"/>
      <c r="ZE26" s="1464"/>
      <c r="ZF26" s="826" t="s">
        <v>8436</v>
      </c>
      <c r="ZG26" s="836" t="e">
        <f>SEARCH(" ",$XU$5,ZI25+1)+1</f>
        <v>#VALUE!</v>
      </c>
      <c r="ZH26" s="306"/>
      <c r="ZI26" s="306" t="e">
        <f>ZG26+ZJ26</f>
        <v>#VALUE!</v>
      </c>
      <c r="ZJ26" s="306">
        <v>10</v>
      </c>
      <c r="ZK26" s="827" t="e">
        <f>DATEVALUE(MID($XU$5,ZG26,ZJ26))</f>
        <v>#VALUE!</v>
      </c>
      <c r="ZL26" s="828" t="str">
        <f>IF(ZH24=" за период",ZK26,"")</f>
        <v/>
      </c>
      <c r="ZM26" s="754"/>
      <c r="ZQ26" s="1464"/>
      <c r="ZR26" s="826" t="s">
        <v>8436</v>
      </c>
      <c r="ZS26" s="836" t="e">
        <f>SEARCH(" ",$XU$6,ZU25+1)+1</f>
        <v>#VALUE!</v>
      </c>
      <c r="ZT26" s="306"/>
      <c r="ZU26" s="306" t="e">
        <f>ZS26+ZV26</f>
        <v>#VALUE!</v>
      </c>
      <c r="ZV26" s="306">
        <v>10</v>
      </c>
      <c r="ZW26" s="827" t="e">
        <f>DATEVALUE(MID($XU$6,ZS26,ZV26))</f>
        <v>#VALUE!</v>
      </c>
      <c r="ZX26" s="828" t="str">
        <f>IF(ZT24=" за период",ZW26,"")</f>
        <v/>
      </c>
      <c r="ZY26" s="754"/>
      <c r="AAC26" s="1464"/>
      <c r="AAD26" s="826" t="s">
        <v>8436</v>
      </c>
      <c r="AAE26" s="836" t="e">
        <f>SEARCH(" ",$XU$7,AAG25+1)+1</f>
        <v>#VALUE!</v>
      </c>
      <c r="AAF26" s="306"/>
      <c r="AAG26" s="306" t="e">
        <f>AAE26+AAH26</f>
        <v>#VALUE!</v>
      </c>
      <c r="AAH26" s="306">
        <v>10</v>
      </c>
      <c r="AAI26" s="827" t="e">
        <f>DATEVALUE(MID($XU$7,AAE26,AAH26))</f>
        <v>#VALUE!</v>
      </c>
      <c r="AAJ26" s="828" t="str">
        <f>IF(AAF24=" за период",AAI26,"")</f>
        <v/>
      </c>
      <c r="AAK26" s="754"/>
      <c r="AAL26" s="754"/>
      <c r="AAM26" s="754"/>
      <c r="AAV26" t="str">
        <f t="shared" si="141"/>
        <v>$$$$</v>
      </c>
      <c r="AAW26" s="947" t="e">
        <f t="shared" si="142"/>
        <v>#VALUE!</v>
      </c>
      <c r="AAX26" s="5"/>
      <c r="AAY26" s="5"/>
      <c r="ABA26" s="1487"/>
      <c r="ADG26" s="1075"/>
      <c r="ADQ26" s="1075"/>
      <c r="ADR26" s="1079" t="str">
        <f>IFERROR(ACC6,"")</f>
        <v/>
      </c>
      <c r="AEJ26" s="961"/>
      <c r="AEK26" s="961"/>
      <c r="AEL26" s="961"/>
      <c r="AEX26" s="1070"/>
      <c r="AFA26" s="1070"/>
      <c r="AFE26" s="1464"/>
      <c r="AFF26" s="826" t="s">
        <v>8436</v>
      </c>
      <c r="AFG26" s="836" t="e">
        <f>SEARCH(" ",AFD$4,AFI25+1)+1</f>
        <v>#VALUE!</v>
      </c>
      <c r="AFH26" s="306"/>
      <c r="AFI26" s="306" t="e">
        <f>AFG26+AFJ26</f>
        <v>#VALUE!</v>
      </c>
      <c r="AFJ26" s="306">
        <v>10</v>
      </c>
      <c r="AFK26" s="827" t="e">
        <f>DATEVALUE(MID(AFD$4,AFG26,AFJ26))</f>
        <v>#VALUE!</v>
      </c>
      <c r="AFL26" s="828" t="str">
        <f>IF(AFH24=" за период",AFK26,"")</f>
        <v/>
      </c>
      <c r="AFM26" s="754"/>
      <c r="AFQ26" s="1464"/>
      <c r="AFR26" s="826" t="s">
        <v>8436</v>
      </c>
      <c r="AFS26" s="836" t="e">
        <f>SEARCH(" ",AFP$4,AFU25+1)+1</f>
        <v>#VALUE!</v>
      </c>
      <c r="AFT26" s="306"/>
      <c r="AFU26" s="306" t="e">
        <f>AFS26+AFV26</f>
        <v>#VALUE!</v>
      </c>
      <c r="AFV26" s="306">
        <v>10</v>
      </c>
      <c r="AFW26" s="827" t="e">
        <f>DATEVALUE(MID(AFP$4,AFS26,AFV26))</f>
        <v>#VALUE!</v>
      </c>
      <c r="AFX26" s="828" t="str">
        <f>IF(AFT24=" за период",AFW26,"")</f>
        <v/>
      </c>
      <c r="AFY26" s="754"/>
      <c r="AGC26" s="1464"/>
      <c r="AGD26" s="826" t="s">
        <v>8436</v>
      </c>
      <c r="AGE26" s="836" t="e">
        <f>SEARCH(" ",AGB$4,AGG25+1)+1</f>
        <v>#VALUE!</v>
      </c>
      <c r="AGF26" s="306"/>
      <c r="AGG26" s="306" t="e">
        <f>AGE26+AGH26</f>
        <v>#VALUE!</v>
      </c>
      <c r="AGH26" s="306">
        <v>10</v>
      </c>
      <c r="AGI26" s="827" t="e">
        <f>DATEVALUE(MID(AGB$4,AGE26,AGH26))</f>
        <v>#VALUE!</v>
      </c>
      <c r="AGJ26" s="828" t="str">
        <f>IF(AGF24=" за период",AGI26,"")</f>
        <v/>
      </c>
      <c r="AGK26" s="754"/>
      <c r="AGO26" s="1464"/>
      <c r="AGP26" s="826" t="s">
        <v>8436</v>
      </c>
      <c r="AGQ26" s="836" t="e">
        <f>SEARCH(" ",AGN$4,AGS25+1)+1</f>
        <v>#VALUE!</v>
      </c>
      <c r="AGR26" s="306"/>
      <c r="AGS26" s="306" t="e">
        <f>AGQ26+AGT26</f>
        <v>#VALUE!</v>
      </c>
      <c r="AGT26" s="306">
        <v>10</v>
      </c>
      <c r="AGU26" s="827" t="e">
        <f>DATEVALUE(MID(AGN$4,AGQ26,AGT26))</f>
        <v>#VALUE!</v>
      </c>
      <c r="AGV26" s="828" t="str">
        <f>IF(AGR24=" за период",AGU26,"")</f>
        <v/>
      </c>
      <c r="AGW26" s="754"/>
      <c r="AHA26" s="1464"/>
      <c r="AHB26" s="826" t="s">
        <v>8436</v>
      </c>
      <c r="AHC26" s="836" t="e">
        <f>SEARCH(" ",AGZ$4,AHE25+1)+1</f>
        <v>#VALUE!</v>
      </c>
      <c r="AHD26" s="306"/>
      <c r="AHE26" s="306" t="e">
        <f>AHC26+AHF26</f>
        <v>#VALUE!</v>
      </c>
      <c r="AHF26" s="306">
        <v>10</v>
      </c>
      <c r="AHG26" s="827" t="e">
        <f>DATEVALUE(MID(AGZ$4,AHC26,AHF26))</f>
        <v>#VALUE!</v>
      </c>
      <c r="AHH26" s="828" t="str">
        <f>IF(AHD24=" за период",AHG26,"")</f>
        <v/>
      </c>
      <c r="AHI26" s="754"/>
      <c r="AIJ26" t="s">
        <v>9904</v>
      </c>
      <c r="AIK26" t="s">
        <v>9905</v>
      </c>
      <c r="AIL26" s="1235" t="e">
        <f t="shared" si="68"/>
        <v>#VALUE!</v>
      </c>
      <c r="AKA26" s="116"/>
      <c r="AKK26" s="116"/>
      <c r="AKU26" s="116"/>
      <c r="ALE26" s="116"/>
      <c r="ALO26" s="116"/>
      <c r="ALP26" s="116"/>
      <c r="AMG26" t="str">
        <f t="shared" si="143"/>
        <v>Свердловская обл</v>
      </c>
      <c r="AMH26" t="str">
        <f t="shared" si="144"/>
        <v>Свердловская обл.</v>
      </c>
      <c r="AMI26" s="1235" t="e">
        <f t="shared" si="75"/>
        <v>#VALUE!</v>
      </c>
      <c r="ANX26" s="116"/>
      <c r="AOH26" s="116"/>
      <c r="AOR26" s="116"/>
      <c r="APB26" s="116"/>
      <c r="APL26" s="116"/>
      <c r="APM26" s="116"/>
    </row>
    <row r="27" spans="1:1023 1064:1105" ht="14.4" customHeight="1" x14ac:dyDescent="0.3">
      <c r="A27" s="116"/>
      <c r="B27" s="116"/>
      <c r="C27" s="116"/>
      <c r="D27" s="116"/>
      <c r="E27" s="116"/>
      <c r="F27" s="116"/>
      <c r="G27" s="116"/>
      <c r="H27" s="116"/>
      <c r="I27" s="116"/>
      <c r="J27" s="116"/>
      <c r="K27" s="116"/>
      <c r="L27" s="116"/>
      <c r="M27" s="116"/>
      <c r="N27" s="116"/>
      <c r="O27" s="116"/>
      <c r="P27" s="116"/>
      <c r="Q27" s="116"/>
      <c r="R27" s="116"/>
      <c r="S27" s="116"/>
      <c r="T27" s="116"/>
      <c r="U27" s="116"/>
      <c r="V27" s="116"/>
      <c r="W27" s="116"/>
      <c r="X27" s="116"/>
      <c r="Y27" s="116"/>
      <c r="Z27" s="116"/>
      <c r="AA27" s="116"/>
      <c r="AB27" s="116"/>
      <c r="AC27" s="116"/>
      <c r="AD27" s="116"/>
      <c r="AE27" s="116"/>
      <c r="AF27" s="116"/>
      <c r="AG27" s="116"/>
      <c r="AH27" s="116"/>
      <c r="AI27" s="116"/>
      <c r="AJ27" s="116"/>
      <c r="AK27" s="116"/>
      <c r="AL27" s="116"/>
      <c r="AM27" s="116"/>
      <c r="AN27" s="116"/>
      <c r="AO27" s="116"/>
      <c r="AP27" s="116"/>
      <c r="AQ27" s="116"/>
      <c r="AR27" s="116"/>
      <c r="AS27" s="116"/>
      <c r="AT27" s="116"/>
      <c r="AU27" s="116"/>
      <c r="AV27" s="116"/>
      <c r="AW27" s="116"/>
      <c r="AX27" s="116"/>
      <c r="AY27" s="116"/>
      <c r="AZ27" s="116"/>
      <c r="BA27" s="116"/>
      <c r="BB27" s="116"/>
      <c r="BC27" s="116"/>
      <c r="BD27" s="116"/>
      <c r="BE27" s="116"/>
      <c r="BF27" s="116"/>
      <c r="BG27" s="116"/>
      <c r="BH27" s="116"/>
      <c r="BI27" s="116"/>
      <c r="BJ27" s="116"/>
      <c r="BK27" s="116"/>
      <c r="BL27" s="116"/>
      <c r="BM27" s="116"/>
      <c r="BN27" s="116"/>
      <c r="BO27" s="116"/>
      <c r="BP27" s="116"/>
      <c r="BQ27" s="116"/>
      <c r="BR27" s="116"/>
      <c r="BS27" s="116"/>
      <c r="BT27" s="116"/>
      <c r="BU27" s="116"/>
      <c r="BV27" s="116"/>
      <c r="BW27" s="116"/>
      <c r="BX27" s="116"/>
      <c r="BY27" s="116"/>
      <c r="BZ27" s="116"/>
      <c r="CA27" s="116"/>
      <c r="CB27" s="116"/>
      <c r="CC27" s="116"/>
      <c r="CD27" s="116"/>
      <c r="CE27" s="116"/>
      <c r="CF27" s="116"/>
      <c r="CG27" s="116"/>
      <c r="CH27" s="116"/>
      <c r="CI27" s="116"/>
      <c r="CJ27" s="116"/>
      <c r="CK27" s="116"/>
      <c r="CL27" s="116"/>
      <c r="CM27" s="116"/>
      <c r="CN27" s="116"/>
      <c r="CO27" s="116"/>
      <c r="CP27" s="116"/>
      <c r="CQ27" s="116"/>
      <c r="CR27" s="116"/>
      <c r="CS27" s="116"/>
      <c r="CT27" s="116"/>
      <c r="CU27" s="116"/>
      <c r="CV27" s="116"/>
      <c r="CW27" s="116"/>
      <c r="CX27" s="116"/>
      <c r="CY27" s="116"/>
      <c r="CZ27" s="116"/>
      <c r="DA27" s="116"/>
      <c r="DB27" s="116"/>
      <c r="DC27" s="116"/>
      <c r="DD27" s="116"/>
      <c r="DE27" s="116"/>
      <c r="DF27" s="116"/>
      <c r="DG27" s="116"/>
      <c r="DH27" s="116"/>
      <c r="DI27" s="116"/>
      <c r="DJ27" s="116"/>
      <c r="DK27" s="116"/>
      <c r="DL27" s="116"/>
      <c r="DM27" s="116"/>
      <c r="DN27" s="116"/>
      <c r="DO27" s="116"/>
      <c r="DP27" s="116"/>
      <c r="DQ27" s="116"/>
      <c r="DR27" t="s">
        <v>98</v>
      </c>
      <c r="DT27" t="s">
        <v>101</v>
      </c>
      <c r="DU27" t="s">
        <v>99</v>
      </c>
      <c r="DV27" s="1464"/>
      <c r="DW27" s="826"/>
      <c r="DX27" s="836"/>
      <c r="DY27" s="306" t="str">
        <f>IF(DZ27=IFERROR(SEARCH(".",C$3,DZ26),99999),".",
IF(DZ27=IFERROR(SEARCH(",",C$3,DZ26),99999),",",
IF(DZ27=IFERROR(SEARCH(" за период",C$3,DZ26),999999)," за период",
IF(DZ27=IFERROR(SEARCH(" в размере",C$3,DZ26),99999)," в размере",
))))</f>
        <v>.</v>
      </c>
      <c r="DZ27" s="306">
        <f>MIN(
IFERROR(SEARCH(".",$C$3,DZ26),99999),
IFERROR(SEARCH(",",$C$3,DZ26),99999),
IFERROR(SEARCH(" в размере",$C$3,DZ26),99999))</f>
        <v>99999</v>
      </c>
      <c r="EA27" s="306"/>
      <c r="EB27" s="827"/>
      <c r="EC27" s="829"/>
      <c r="ED27" s="754"/>
      <c r="FC27" s="116"/>
      <c r="FD27" s="116"/>
      <c r="FE27" s="116"/>
      <c r="FF27" s="116"/>
      <c r="FI27" s="116"/>
      <c r="LY27" t="s">
        <v>9248</v>
      </c>
      <c r="NK27" s="1464"/>
      <c r="NL27" s="826"/>
      <c r="NM27" s="836"/>
      <c r="NN27" s="306" t="str">
        <f>IF(NO27=IFERROR(SEARCH(".",NJ$4,NO26),99999),".",
IF(NO27=IFERROR(SEARCH(",",NJ$4,NO26),99999),",",
IF(NO27=IFERROR(SEARCH(" за период",NJ$4,NO26),999999)," за период",
IF(NO27=IFERROR(SEARCH(" в размере",NJ$4,NO26),99999)," в размере",
))))</f>
        <v>.</v>
      </c>
      <c r="NO27" s="306">
        <f>MIN(
IFERROR(SEARCH(".",NJ$4,NO26),99999),
IFERROR(SEARCH(",",NJ$4,NO26),99999),
IFERROR(SEARCH(" в размере",NJ$4,NO26),99999))</f>
        <v>99999</v>
      </c>
      <c r="NP27" s="306"/>
      <c r="NQ27" s="827"/>
      <c r="NR27" s="829"/>
      <c r="NS27" s="754"/>
      <c r="NT27" s="754"/>
      <c r="OC27" s="1472">
        <v>3</v>
      </c>
      <c r="OD27" s="946" t="str">
        <f t="shared" si="131"/>
        <v xml:space="preserve">осмотр </v>
      </c>
      <c r="OE27" s="947" t="e">
        <f t="shared" ref="OE27:OE38" si="145">SEARCH(OD27,$E$4,OJ$15)</f>
        <v>#VALUE!</v>
      </c>
      <c r="OF27" s="947">
        <f>MIN(IFERROR(OE27,99999),IFERROR(OE28,99999),IFERROR(OE29,99999),IFERROR(OE30,99999),IFERROR(OE31,99999),IFERROR(OE32,99999),IFERROR(OE33,99999),IFERROR(OE34,99999),IFERROR(OE35,99999),IFERROR(OE36,99999),IFERROR(OE37,99999),IFERROR(OE38,99999))</f>
        <v>99999</v>
      </c>
      <c r="OG27" s="870" t="str">
        <f>CHAR(10)</f>
        <v xml:space="preserve">
</v>
      </c>
      <c r="OH27" s="334">
        <f>LEN(MID($E$4,1,OF27))-LEN(IF(ISERROR(FIND(" ",MID($E$4,1,OF27))),MID($E$4,1,OF27),RIGHT(MID($E$4,1,OF27),LEN(MID($E$4,1,OF27))-FIND("~",SUBSTITUTE(MID($E$4,1,OF27),OG27,"~",LEN(MID($E$4,1,OF27))-LEN(SUBSTITUTE(MID($E$4,1,OF27),OG27,"")))))))+1</f>
        <v>5367</v>
      </c>
      <c r="OI27" s="870" t="str">
        <f>CHAR(10)</f>
        <v xml:space="preserve">
</v>
      </c>
      <c r="OJ27" s="947" t="e">
        <f>SEARCH(OI27,$E$4,OH27)</f>
        <v>#VALUE!</v>
      </c>
      <c r="OK27" s="854" t="e">
        <f>OJ27-OH27</f>
        <v>#VALUE!</v>
      </c>
      <c r="OL27" s="1474" t="e">
        <f>CLEAN(MID($E$4,OH27,OK27))</f>
        <v>#VALUE!</v>
      </c>
      <c r="OM27" s="116"/>
      <c r="ON27" s="116"/>
      <c r="OO27" s="116"/>
      <c r="OY27" s="116"/>
      <c r="OZ27" s="959"/>
      <c r="PA27" s="1210"/>
      <c r="PB27" s="959"/>
      <c r="PC27" s="116"/>
      <c r="PD27" s="1000"/>
      <c r="PF27" s="1209"/>
      <c r="PG27" s="1208"/>
      <c r="PH27" s="1209"/>
      <c r="PJ27" s="1073"/>
      <c r="PK27" s="99"/>
      <c r="PL27" s="920"/>
      <c r="PM27" s="995"/>
      <c r="PN27" s="920"/>
      <c r="PO27" s="99"/>
      <c r="PP27" s="871"/>
      <c r="PQ27" t="str">
        <f t="shared" si="133"/>
        <v xml:space="preserve">без учета износа составила </v>
      </c>
      <c r="PR27" s="937" t="e">
        <f t="shared" ref="PR27:PR38" si="146">SEARCH(PQ27,$OX$5)</f>
        <v>#VALUE!</v>
      </c>
      <c r="PS27" s="859" t="str">
        <f>IF(ISERROR(PR27),
IF(ISERROR(PR28),
IF(ISERROR(PR29),
IF(ISERROR(PR30),
"ОШИБКА",
PQ30),
PQ29),
PQ28),
PQ27)</f>
        <v>ОШИБКА</v>
      </c>
      <c r="PT27" s="937" t="e">
        <f>SEARCH(PS27,$OX$5)+LEN(PS27)</f>
        <v>#VALUE!</v>
      </c>
      <c r="PU27" s="935" t="s">
        <v>8431</v>
      </c>
      <c r="PV27" s="937" t="e">
        <f>SEARCH(PU27,$OX$5,PT27)</f>
        <v>#VALUE!</v>
      </c>
      <c r="PW27" s="264" t="e">
        <f>PV27-PT27</f>
        <v>#VALUE!</v>
      </c>
      <c r="PX27" t="e">
        <f>MID($OX$5,PT27,PW27)</f>
        <v>#VALUE!</v>
      </c>
      <c r="PY27" s="1470" t="e">
        <f>VALUE(CONCATENATE(PX27,",",PX28))</f>
        <v>#VALUE!</v>
      </c>
      <c r="PZ27" t="str">
        <f t="shared" si="135"/>
        <v xml:space="preserve">с учетом износа составила </v>
      </c>
      <c r="QA27" s="937" t="e">
        <f t="shared" ref="QA27:QA38" si="147">SEARCH(PZ27,$OX$5)</f>
        <v>#VALUE!</v>
      </c>
      <c r="QB27" s="859" t="str">
        <f>IF(ISERROR(QA27),
IF(ISERROR(QA28),
IF(ISERROR(QA29),
IF(ISERROR(QA30),
"ОШИБКА",
PZ30),
PZ29),
PZ28),
PZ27)</f>
        <v>ОШИБКА</v>
      </c>
      <c r="QC27" s="937" t="e">
        <f>SEARCH(QB27,$OX$5)+LEN(QB27)</f>
        <v>#VALUE!</v>
      </c>
      <c r="QD27" s="935" t="s">
        <v>8431</v>
      </c>
      <c r="QE27" s="937" t="e">
        <f>SEARCH(QD27,$OX$5,QC27)</f>
        <v>#VALUE!</v>
      </c>
      <c r="QF27" s="264" t="e">
        <f>QE27-QC27</f>
        <v>#VALUE!</v>
      </c>
      <c r="QG27" t="e">
        <f>MID($OX$5,QC27,QF27)</f>
        <v>#VALUE!</v>
      </c>
      <c r="QH27" s="1470" t="e">
        <f>VALUE(CONCATENATE(QG27,",",QG28))</f>
        <v>#VALUE!</v>
      </c>
      <c r="QI27" t="str">
        <f t="shared" si="137"/>
        <v xml:space="preserve">средняя рыночная стоимость Транспортного средства до повреждения по состоянию на дату ДТП составляла </v>
      </c>
      <c r="QJ27" s="937" t="e">
        <f t="shared" ref="QJ27:QJ38" si="148">SEARCH(QI27,$OX$5)</f>
        <v>#VALUE!</v>
      </c>
      <c r="QK27" s="859" t="str">
        <f>IF(ISERROR(QJ27),
IF(ISERROR(QJ28),
IF(ISERROR(QJ29),
IF(ISERROR(QJ30),
"ОШИБКА",
QI30),
QI29),
QI28),
QI27)</f>
        <v>ОШИБКА</v>
      </c>
      <c r="QL27" s="937" t="e">
        <f>SEARCH(QK27,$OX$5)+LEN(QK27)</f>
        <v>#VALUE!</v>
      </c>
      <c r="QM27" s="935" t="s">
        <v>8431</v>
      </c>
      <c r="QN27" s="937" t="e">
        <f>SEARCH(QM27,$OX$5,QL27)</f>
        <v>#VALUE!</v>
      </c>
      <c r="QO27" s="264" t="e">
        <f>QN27-QL27</f>
        <v>#VALUE!</v>
      </c>
      <c r="QP27" t="e">
        <f>MID($OX$5,QL27,QO27)</f>
        <v>#VALUE!</v>
      </c>
      <c r="QQ27" s="1470" t="e">
        <f>VALUE(CONCATENATE(QP27,",",QP28))</f>
        <v>#VALUE!</v>
      </c>
      <c r="QR27" t="str">
        <f t="shared" si="139"/>
        <v xml:space="preserve">стоимость годных остатков поврежденного Транспортного средства составила </v>
      </c>
      <c r="QS27" s="937" t="e">
        <f t="shared" ref="QS27:QS38" si="149">SEARCH(QR27,$OX$5)</f>
        <v>#VALUE!</v>
      </c>
      <c r="QT27" s="859" t="str">
        <f>IF(ISERROR(QS27),
IF(ISERROR(QS28),
IF(ISERROR(QS29),
IF(ISERROR(QS30),
"ОШИБКА",
QR30),
QR29),
QR28),
QR27)</f>
        <v>ОШИБКА</v>
      </c>
      <c r="QU27" s="937" t="e">
        <f>SEARCH(QT27,$OX$5)+LEN(QT27)</f>
        <v>#VALUE!</v>
      </c>
      <c r="QV27" s="935" t="s">
        <v>8431</v>
      </c>
      <c r="QW27" s="937" t="e">
        <f>SEARCH(QV27,$OX$5,QU27)</f>
        <v>#VALUE!</v>
      </c>
      <c r="QX27" s="264" t="e">
        <f>QW27-QU27</f>
        <v>#VALUE!</v>
      </c>
      <c r="QY27" t="e">
        <f>MID($OX$5,QU27,QX27)</f>
        <v>#VALUE!</v>
      </c>
      <c r="QZ27" s="1470" t="e">
        <f>VALUE(CONCATENATE(QY27,",",QY28))</f>
        <v>#VALUE!</v>
      </c>
      <c r="RA27" s="1094" t="s">
        <v>8585</v>
      </c>
      <c r="RB27" s="1097" t="str">
        <f>IFERROR(PY39,"")</f>
        <v/>
      </c>
      <c r="RL27" s="116"/>
      <c r="RO27" s="116"/>
      <c r="SR27" s="116"/>
      <c r="SU27" s="116"/>
      <c r="SV27" t="s">
        <v>8513</v>
      </c>
      <c r="SY27" s="1464"/>
      <c r="SZ27" s="826"/>
      <c r="TA27" s="836"/>
      <c r="TB27" s="306" t="str">
        <f>IF(TC27=IFERROR(SEARCH(".",$SQ$3,TC26),99999),".",
IF(TC27=IFERROR(SEARCH(",",$SQ$3,TC26),99999),",",
IF(TC27=IFERROR(SEARCH(" за период",$SQ$3,TC26),999999)," за период",
IF(TC27=IFERROR(SEARCH(" в размере",$SQ$3,TC26),99999)," в размере",
))))</f>
        <v>.</v>
      </c>
      <c r="TC27" s="306">
        <f>MIN(
IFERROR(SEARCH(".",$SQ$3,TC26),99999),
IFERROR(SEARCH(",",$SQ$3,TC26),99999),
IFERROR(SEARCH(" в размере",$SQ$3,TC26),99999))</f>
        <v>99999</v>
      </c>
      <c r="TD27" s="306"/>
      <c r="TE27" s="827"/>
      <c r="TF27" s="829"/>
      <c r="TG27" s="754"/>
      <c r="TK27" s="1476"/>
      <c r="TL27" s="592"/>
      <c r="TM27" s="836" t="e">
        <f>SEARCH(" ",TJ$4,TO26+1)+1</f>
        <v>#VALUE!</v>
      </c>
      <c r="TN27" s="306" t="s">
        <v>8432</v>
      </c>
      <c r="TO27" s="306" t="e">
        <f>SEARCH(TN27,TJ$4,TM27)</f>
        <v>#VALUE!</v>
      </c>
      <c r="TP27" s="306" t="e">
        <f>TO27-TM27</f>
        <v>#VALUE!</v>
      </c>
      <c r="TQ27" s="826" t="e">
        <f>IF(TR25="Штраф 50%","",MID(TJ$4,TM27,TP27))</f>
        <v>#VALUE!</v>
      </c>
      <c r="TR27" s="828" t="str">
        <f>IF(TN25=" за период",TQ27,"")</f>
        <v/>
      </c>
      <c r="TS27" s="754"/>
      <c r="TT27" t="str">
        <f t="shared" si="27"/>
        <v>$$$$</v>
      </c>
      <c r="TW27" s="1464"/>
      <c r="TX27" s="826"/>
      <c r="TY27" s="836"/>
      <c r="TZ27" s="306" t="str">
        <f>IF(UA27=IFERROR(SEARCH(".",$SQ$4,UA26),99999),".",
IF(UA27=IFERROR(SEARCH(",",$SQ$4,UA26),99999),",",
IF(UA27=IFERROR(SEARCH(" за период",$SQ$4,UA26),999999)," за период",
IF(UA27=IFERROR(SEARCH(" в размере",$SQ$4,UA26),99999)," в размере",
))))</f>
        <v>.</v>
      </c>
      <c r="UA27" s="306">
        <f>MIN(
IFERROR(SEARCH(".",$SQ$4,UA26),99999),
IFERROR(SEARCH(",",$SQ$4,UA26),99999),
IFERROR(SEARCH(" в размере",$SQ$4,UA26),99999))</f>
        <v>99999</v>
      </c>
      <c r="UB27" s="306"/>
      <c r="UC27" s="827"/>
      <c r="UD27" s="829"/>
      <c r="UE27" s="754"/>
      <c r="UI27" s="1476"/>
      <c r="UJ27" s="592"/>
      <c r="UK27" s="836" t="e">
        <f>SEARCH(" ",UH$4,UM26+1)+1</f>
        <v>#VALUE!</v>
      </c>
      <c r="UL27" s="306" t="s">
        <v>8432</v>
      </c>
      <c r="UM27" s="306" t="e">
        <f>SEARCH(UL27,UH$4,UK27)</f>
        <v>#VALUE!</v>
      </c>
      <c r="UN27" s="306" t="e">
        <f>UM27-UK27</f>
        <v>#VALUE!</v>
      </c>
      <c r="UO27" s="826" t="e">
        <f>IF(UP25="Штраф 50%","",MID(UH$4,UK27,UN27))</f>
        <v>#VALUE!</v>
      </c>
      <c r="UP27" s="828" t="str">
        <f>IF(UL25=" за период",UO27,"")</f>
        <v/>
      </c>
      <c r="UQ27" s="754"/>
      <c r="UU27" s="1464"/>
      <c r="UV27" s="826"/>
      <c r="UW27" s="836"/>
      <c r="UX27" s="306" t="str">
        <f>IF(UY27=IFERROR(SEARCH(".",$SQ$5,UY26),99999),".",
IF(UY27=IFERROR(SEARCH(",",$SQ$5,UY26),99999),",",
IF(UY27=IFERROR(SEARCH(" за период",$SQ$5,UY26),999999)," за период",
IF(UY27=IFERROR(SEARCH(" в размере",$SQ$5,UY26),99999)," в размере",
))))</f>
        <v>.</v>
      </c>
      <c r="UY27" s="306">
        <f>MIN(
IFERROR(SEARCH(".",$SQ$5,UY26),99999),
IFERROR(SEARCH(",",$SQ$5,UY26),99999),
IFERROR(SEARCH(" в размере",$SQ$5,UY26),99999))</f>
        <v>99999</v>
      </c>
      <c r="UZ27" s="306"/>
      <c r="VA27" s="827"/>
      <c r="VB27" s="829"/>
      <c r="VC27" s="754"/>
      <c r="VG27" s="1476"/>
      <c r="VH27" s="592"/>
      <c r="VI27" s="836" t="e">
        <f>SEARCH(" ",VF$4,VK26+1)+1</f>
        <v>#VALUE!</v>
      </c>
      <c r="VJ27" s="306" t="s">
        <v>8432</v>
      </c>
      <c r="VK27" s="306" t="e">
        <f>SEARCH(VJ27,VF$4,VI27)</f>
        <v>#VALUE!</v>
      </c>
      <c r="VL27" s="306" t="e">
        <f>VK27-VI27</f>
        <v>#VALUE!</v>
      </c>
      <c r="VM27" s="826" t="e">
        <f>IF(VN25="Штраф 50%","",MID(VF$4,VI27,VL27))</f>
        <v>#VALUE!</v>
      </c>
      <c r="VN27" s="828" t="str">
        <f>IF(VJ25=" за период",VM27,"")</f>
        <v/>
      </c>
      <c r="VO27" s="754"/>
      <c r="VS27" s="1464"/>
      <c r="VT27" s="826"/>
      <c r="VU27" s="836"/>
      <c r="VV27" s="306" t="str">
        <f>IF(VW27=IFERROR(SEARCH(".",$SQ$6,VW26),99999),".",
IF(VW27=IFERROR(SEARCH(",",$SQ$6,VW26),99999),",",
IF(VW27=IFERROR(SEARCH(" за период",$SQ$6,VW26),999999)," за период",
IF(VW27=IFERROR(SEARCH(" в размере",$SQ$6,VW26),99999)," в размере",
))))</f>
        <v>.</v>
      </c>
      <c r="VW27" s="306">
        <f>MIN(
IFERROR(SEARCH(".",$SQ$6,VW26),99999),
IFERROR(SEARCH(",",$SQ$6,VW26),99999),
IFERROR(SEARCH(" в размере",$SQ$6,VW26),99999))</f>
        <v>99999</v>
      </c>
      <c r="VX27" s="306"/>
      <c r="VY27" s="827"/>
      <c r="VZ27" s="829"/>
      <c r="WA27" s="754"/>
      <c r="WE27" s="1476"/>
      <c r="WF27" s="592"/>
      <c r="WG27" s="836" t="e">
        <f>SEARCH(" ",WD$4,WI26+1)+1</f>
        <v>#VALUE!</v>
      </c>
      <c r="WH27" s="306" t="s">
        <v>8432</v>
      </c>
      <c r="WI27" s="306" t="e">
        <f>SEARCH(WH27,WD$4,WG27)</f>
        <v>#VALUE!</v>
      </c>
      <c r="WJ27" s="306" t="e">
        <f>WI27-WG27</f>
        <v>#VALUE!</v>
      </c>
      <c r="WK27" s="826" t="e">
        <f>IF(WL25="Штраф 50%","",MID(WD$4,WG27,WJ27))</f>
        <v>#VALUE!</v>
      </c>
      <c r="WL27" s="828" t="str">
        <f>IF(WH25=" за период",WK27,"")</f>
        <v/>
      </c>
      <c r="WM27" s="754"/>
      <c r="WQ27" s="1464"/>
      <c r="WR27" s="826"/>
      <c r="WS27" s="836"/>
      <c r="WT27" s="306" t="str">
        <f>IF(WU27=IFERROR(SEARCH(".",$SQ$7,WU26),99999),".",
IF(WU27=IFERROR(SEARCH(",",$SQ$7,WU26),99999),",",
IF(WU27=IFERROR(SEARCH(" за период",$SQ$7,WU26),999999)," за период",
IF(WU27=IFERROR(SEARCH(" в размере",$SQ$7,WU26),99999)," в размере",
))))</f>
        <v>.</v>
      </c>
      <c r="WU27" s="306">
        <f>MIN(
IFERROR(SEARCH(".",$SQ$7,WU26),99999),
IFERROR(SEARCH(",",$SQ$7,WU26),99999),
IFERROR(SEARCH(" в размере",$SQ$7,WU26),99999))</f>
        <v>99999</v>
      </c>
      <c r="WV27" s="306"/>
      <c r="WW27" s="827"/>
      <c r="WX27" s="829"/>
      <c r="WY27" s="754"/>
      <c r="XC27" s="1476"/>
      <c r="XD27" s="592"/>
      <c r="XE27" s="836" t="e">
        <f>SEARCH(" ",XB$4,XG26+1)+1</f>
        <v>#VALUE!</v>
      </c>
      <c r="XF27" s="306" t="s">
        <v>8432</v>
      </c>
      <c r="XG27" s="306" t="e">
        <f>SEARCH(XF27,XB$4,XE27)</f>
        <v>#VALUE!</v>
      </c>
      <c r="XH27" s="306" t="e">
        <f>XG27-XE27</f>
        <v>#VALUE!</v>
      </c>
      <c r="XI27" s="826" t="e">
        <f>IF(XJ25="Штраф 50%","",MID(XB$4,XE27,XH27))</f>
        <v>#VALUE!</v>
      </c>
      <c r="XJ27" s="828" t="str">
        <f>IF(XF25=" за период",XI27,"")</f>
        <v/>
      </c>
      <c r="XK27" s="754"/>
      <c r="XM27" s="116"/>
      <c r="XN27" s="116"/>
      <c r="XO27" s="116"/>
      <c r="XR27" s="116"/>
      <c r="XS27" s="116"/>
      <c r="XT27" s="116"/>
      <c r="XU27" s="116"/>
      <c r="XV27" s="116"/>
      <c r="XY27" s="116"/>
      <c r="YG27" s="1464"/>
      <c r="YH27" s="826"/>
      <c r="YI27" s="836"/>
      <c r="YJ27" s="306" t="str">
        <f>IF(YK27=IFERROR(SEARCH(".",$XU$3,YK26),99999),".",
IF(YK27=IFERROR(SEARCH(",",$XU$3,YK26),99999),",",
IF(YK27=IFERROR(SEARCH(" за период",$XU$3,YK26),999999)," за период",
IF(YK27=IFERROR(SEARCH(" в размере",$XU$3,YK26),99999)," в размере",
))))</f>
        <v>.</v>
      </c>
      <c r="YK27" s="306">
        <f>MIN(
IFERROR(SEARCH(".",$XU$3,YK26),99999),
IFERROR(SEARCH(",",$XU$3,YK26),99999),
IFERROR(SEARCH(" в размере",$XU$3,YK26),99999))</f>
        <v>99999</v>
      </c>
      <c r="YL27" s="306"/>
      <c r="YM27" s="827"/>
      <c r="YN27" s="829"/>
      <c r="YO27" s="754"/>
      <c r="YS27" s="1464"/>
      <c r="YT27" s="826"/>
      <c r="YU27" s="836"/>
      <c r="YV27" s="306" t="str">
        <f>IF(YW27=IFERROR(SEARCH(".",$XU$4,YW26),99999),".",
IF(YW27=IFERROR(SEARCH(",",$XU$4,YW26),99999),",",
IF(YW27=IFERROR(SEARCH(" за период",$XU$4,YW26),999999)," за период",
IF(YW27=IFERROR(SEARCH(" в размере",$XU$4,YW26),99999)," в размере",
))))</f>
        <v>.</v>
      </c>
      <c r="YW27" s="306">
        <f>MIN(
IFERROR(SEARCH(".",$XU$4,YW26),99999),
IFERROR(SEARCH(",",$XU$4,YW26),99999),
IFERROR(SEARCH(" в размере",$XU$4,YW26),99999))</f>
        <v>99999</v>
      </c>
      <c r="YX27" s="306"/>
      <c r="YY27" s="827"/>
      <c r="YZ27" s="829"/>
      <c r="ZA27" s="754"/>
      <c r="ZE27" s="1464"/>
      <c r="ZF27" s="826"/>
      <c r="ZG27" s="836"/>
      <c r="ZH27" s="306" t="str">
        <f>IF(ZI27=IFERROR(SEARCH(".",$XU$5,ZI26),99999),".",
IF(ZI27=IFERROR(SEARCH(",",$XU$5,ZI26),99999),",",
IF(ZI27=IFERROR(SEARCH(" за период",$XU$5,ZI26),999999)," за период",
IF(ZI27=IFERROR(SEARCH(" в размере",$XU$5,ZI26),99999)," в размере",
))))</f>
        <v>.</v>
      </c>
      <c r="ZI27" s="306">
        <f>MIN(
IFERROR(SEARCH(".",$XU$5,ZI26),99999),
IFERROR(SEARCH(",",$XU$5,ZI26),99999),
IFERROR(SEARCH(" в размере",$XU$5,ZI26),99999))</f>
        <v>99999</v>
      </c>
      <c r="ZJ27" s="306"/>
      <c r="ZK27" s="827"/>
      <c r="ZL27" s="829"/>
      <c r="ZM27" s="754"/>
      <c r="ZQ27" s="1464"/>
      <c r="ZR27" s="826"/>
      <c r="ZS27" s="836"/>
      <c r="ZT27" s="306" t="str">
        <f>IF(ZU27=IFERROR(SEARCH(".",$XU$6,ZU26),99999),".",
IF(ZU27=IFERROR(SEARCH(",",$XU$6,ZU26),99999),",",
IF(ZU27=IFERROR(SEARCH(" за период",$XU$6,ZU26),999999)," за период",
IF(ZU27=IFERROR(SEARCH(" в размере",$XU$6,ZU26),99999)," в размере",
))))</f>
        <v>.</v>
      </c>
      <c r="ZU27" s="306">
        <f>MIN(
IFERROR(SEARCH(".",$XU$6,ZU26),99999),
IFERROR(SEARCH(",",$XU$6,ZU26),99999),
IFERROR(SEARCH(" в размере",$XU$6,ZU26),99999))</f>
        <v>99999</v>
      </c>
      <c r="ZV27" s="306"/>
      <c r="ZW27" s="827"/>
      <c r="ZX27" s="829"/>
      <c r="ZY27" s="754"/>
      <c r="AAC27" s="1464"/>
      <c r="AAD27" s="826"/>
      <c r="AAE27" s="836"/>
      <c r="AAF27" s="306" t="str">
        <f>IF(AAG27=IFERROR(SEARCH(".",$XU$7,AAG26),99999),".",
IF(AAG27=IFERROR(SEARCH(",",$XU$7,AAG26),99999),",",
IF(AAG27=IFERROR(SEARCH(" за период",$XU$7,AAG26),999999)," за период",
IF(AAG27=IFERROR(SEARCH(" в размере",$XU$7,AAG26),99999)," в размере",
))))</f>
        <v>.</v>
      </c>
      <c r="AAG27" s="306">
        <f>MIN(
IFERROR(SEARCH(".",$XU$7,AAG26),99999),
IFERROR(SEARCH(",",$XU$7,AAG26),99999),
IFERROR(SEARCH(" в размере",$XU$7,AAG26),99999))</f>
        <v>99999</v>
      </c>
      <c r="AAH27" s="306"/>
      <c r="AAI27" s="827"/>
      <c r="AAJ27" s="829"/>
      <c r="AAK27" s="754"/>
      <c r="AAL27" s="754"/>
      <c r="AAM27" s="754"/>
      <c r="AAV27" t="str">
        <f t="shared" si="141"/>
        <v xml:space="preserve">не позднее </v>
      </c>
      <c r="AAW27" s="947" t="e">
        <f t="shared" ref="AAW27:AAW38" si="150">SEARCH(AAV27,$AAU$5)</f>
        <v>#VALUE!</v>
      </c>
      <c r="AAX27" s="859" t="str">
        <f>IF(ISERROR(AAW27),
IF(ISERROR(AAW28),
IF(ISERROR(AAW29),
IF(ISERROR(AAW30),
"ОШИБКА",
AAV30),
AAV29),
AAV28),
AAV27)</f>
        <v>ОШИБКА</v>
      </c>
      <c r="AAY27" s="947" t="e">
        <f>SEARCH(AAX27,$AAU$5)+LEN(AAX27)</f>
        <v>#VALUE!</v>
      </c>
      <c r="AAZ27">
        <v>10</v>
      </c>
      <c r="ABA27" s="1487" t="e">
        <f>MID($AAU$5,AAY27,AAZ27)</f>
        <v>#VALUE!</v>
      </c>
      <c r="ADR27" s="1080" t="str">
        <f>IFERROR(ACM6,"")</f>
        <v/>
      </c>
      <c r="AEJ27" s="961"/>
      <c r="AEK27" s="961"/>
      <c r="AEL27" s="961"/>
      <c r="AFE27" s="1464"/>
      <c r="AFF27" s="826"/>
      <c r="AFG27" s="836"/>
      <c r="AFH27" s="306" t="str">
        <f>IF(AFI27=IFERROR(SEARCH(".",AFD$4,AFI26),99999),".",
IF(AFI27=IFERROR(SEARCH(",",AFD$4,AFI26),99999),",",
IF(AFI27=IFERROR(SEARCH(" за период",AFD$4,AFI26),999999)," за период",
IF(AFI27=IFERROR(SEARCH(" в размере",AFD$4,AFI26),99999)," в размере",
))))</f>
        <v>.</v>
      </c>
      <c r="AFI27" s="306">
        <f>MIN(
IFERROR(SEARCH(".",AFD$4,AFI26),99999),
IFERROR(SEARCH(",",AFD$4,AFI26),99999),
IFERROR(SEARCH(" в размере",AFD$4,AFI26),99999))</f>
        <v>99999</v>
      </c>
      <c r="AFJ27" s="306"/>
      <c r="AFK27" s="827"/>
      <c r="AFL27" s="829"/>
      <c r="AFM27" s="754"/>
      <c r="AFQ27" s="1464"/>
      <c r="AFR27" s="826"/>
      <c r="AFS27" s="836"/>
      <c r="AFT27" s="306" t="str">
        <f>IF(AFU27=IFERROR(SEARCH(".",AFP$4,AFU26),99999),".",
IF(AFU27=IFERROR(SEARCH(",",AFP$4,AFU26),99999),",",
IF(AFU27=IFERROR(SEARCH(" за период",AFP$4,AFU26),999999)," за период",
IF(AFU27=IFERROR(SEARCH(" в размере",AFP$4,AFU26),99999)," в размере",
))))</f>
        <v>.</v>
      </c>
      <c r="AFU27" s="306">
        <f>MIN(
IFERROR(SEARCH(".",AFP$4,AFU26),99999),
IFERROR(SEARCH(",",AFP$4,AFU26),99999),
IFERROR(SEARCH(" в размере",AFP$4,AFU26),99999))</f>
        <v>99999</v>
      </c>
      <c r="AFV27" s="306"/>
      <c r="AFW27" s="827"/>
      <c r="AFX27" s="829"/>
      <c r="AFY27" s="754"/>
      <c r="AGC27" s="1464"/>
      <c r="AGD27" s="826"/>
      <c r="AGE27" s="836"/>
      <c r="AGF27" s="306" t="str">
        <f>IF(AGG27=IFERROR(SEARCH(".",AGB$4,AGG26),99999),".",
IF(AGG27=IFERROR(SEARCH(",",AGB$4,AGG26),99999),",",
IF(AGG27=IFERROR(SEARCH(" за период",AGB$4,AGG26),999999)," за период",
IF(AGG27=IFERROR(SEARCH(" в размере",AGB$4,AGG26),99999)," в размере",
))))</f>
        <v>.</v>
      </c>
      <c r="AGG27" s="306">
        <f>MIN(
IFERROR(SEARCH(".",AGB$4,AGG26),99999),
IFERROR(SEARCH(",",AGB$4,AGG26),99999),
IFERROR(SEARCH(" в размере",AGB$4,AGG26),99999))</f>
        <v>99999</v>
      </c>
      <c r="AGH27" s="306"/>
      <c r="AGI27" s="827"/>
      <c r="AGJ27" s="829"/>
      <c r="AGK27" s="754"/>
      <c r="AGO27" s="1464"/>
      <c r="AGP27" s="826"/>
      <c r="AGQ27" s="836"/>
      <c r="AGR27" s="306" t="str">
        <f>IF(AGS27=IFERROR(SEARCH(".",AGN$4,AGS26),99999),".",
IF(AGS27=IFERROR(SEARCH(",",AGN$4,AGS26),99999),",",
IF(AGS27=IFERROR(SEARCH(" за период",AGN$4,AGS26),999999)," за период",
IF(AGS27=IFERROR(SEARCH(" в размере",AGN$4,AGS26),99999)," в размере",
))))</f>
        <v>.</v>
      </c>
      <c r="AGS27" s="306">
        <f>MIN(
IFERROR(SEARCH(".",AGN$4,AGS26),99999),
IFERROR(SEARCH(",",AGN$4,AGS26),99999),
IFERROR(SEARCH(" в размере",AGN$4,AGS26),99999))</f>
        <v>99999</v>
      </c>
      <c r="AGT27" s="306"/>
      <c r="AGU27" s="827"/>
      <c r="AGV27" s="829"/>
      <c r="AGW27" s="754"/>
      <c r="AHA27" s="1464"/>
      <c r="AHB27" s="826"/>
      <c r="AHC27" s="836"/>
      <c r="AHD27" s="306" t="str">
        <f>IF(AHE27=IFERROR(SEARCH(".",AGZ$4,AHE26),99999),".",
IF(AHE27=IFERROR(SEARCH(",",AGZ$4,AHE26),99999),",",
IF(AHE27=IFERROR(SEARCH(" за период",AGZ$4,AHE26),999999)," за период",
IF(AHE27=IFERROR(SEARCH(" в размере",AGZ$4,AHE26),99999)," в размере",
))))</f>
        <v>.</v>
      </c>
      <c r="AHE27" s="306">
        <f>MIN(
IFERROR(SEARCH(".",AGZ$4,AHE26),99999),
IFERROR(SEARCH(",",AGZ$4,AHE26),99999),
IFERROR(SEARCH(" в размере",AGZ$4,AHE26),99999))</f>
        <v>99999</v>
      </c>
      <c r="AHF27" s="306"/>
      <c r="AHG27" s="827"/>
      <c r="AHH27" s="829"/>
      <c r="AHI27" s="754"/>
      <c r="AIJ27" t="s">
        <v>10040</v>
      </c>
      <c r="AIK27" t="s">
        <v>10041</v>
      </c>
      <c r="AIL27" s="1235" t="e">
        <f t="shared" si="68"/>
        <v>#VALUE!</v>
      </c>
      <c r="AKA27" s="116"/>
      <c r="AKK27" s="116"/>
      <c r="AKU27" s="116"/>
      <c r="ALE27" s="116"/>
      <c r="ALO27" s="116"/>
      <c r="ALP27" s="116"/>
      <c r="AMG27" t="str">
        <f t="shared" si="143"/>
        <v>Тюменская обл</v>
      </c>
      <c r="AMH27" t="str">
        <f t="shared" si="144"/>
        <v>Тюменская обл.</v>
      </c>
      <c r="AMI27" s="1235" t="e">
        <f t="shared" si="75"/>
        <v>#VALUE!</v>
      </c>
      <c r="ANX27" s="116"/>
      <c r="AOH27" s="116"/>
      <c r="AOR27" s="116"/>
      <c r="APB27" s="116"/>
      <c r="APL27" s="116"/>
      <c r="APM27" s="116"/>
    </row>
    <row r="28" spans="1:1023 1064:1105" ht="14.4" customHeight="1" thickBot="1" x14ac:dyDescent="0.35">
      <c r="A28" s="116"/>
      <c r="B28" s="116"/>
      <c r="C28" s="116"/>
      <c r="D28" s="116"/>
      <c r="E28" s="116"/>
      <c r="F28" s="116"/>
      <c r="G28" s="116"/>
      <c r="H28" s="116"/>
      <c r="I28" s="116"/>
      <c r="J28" s="116"/>
      <c r="K28" s="116"/>
      <c r="L28" s="116"/>
      <c r="M28" s="116"/>
      <c r="N28" s="116"/>
      <c r="O28" s="116"/>
      <c r="P28" s="116"/>
      <c r="Q28" s="116"/>
      <c r="R28" s="116"/>
      <c r="S28" s="116"/>
      <c r="T28" s="116"/>
      <c r="U28" s="116"/>
      <c r="V28" s="116"/>
      <c r="W28" s="116"/>
      <c r="X28" s="116"/>
      <c r="Y28" s="116"/>
      <c r="Z28" s="116"/>
      <c r="AA28" s="116"/>
      <c r="AB28" s="116"/>
      <c r="AC28" s="116"/>
      <c r="AD28" s="116"/>
      <c r="AE28" s="116"/>
      <c r="AF28" s="116"/>
      <c r="AG28" s="116"/>
      <c r="AH28" s="116"/>
      <c r="AI28" s="116"/>
      <c r="AJ28" s="116"/>
      <c r="AK28" s="116"/>
      <c r="AL28" s="116"/>
      <c r="AM28" s="116"/>
      <c r="AN28" s="116"/>
      <c r="AO28" s="116"/>
      <c r="AP28" s="116"/>
      <c r="AQ28" s="116"/>
      <c r="AR28" s="116"/>
      <c r="AS28" s="116"/>
      <c r="AT28" s="116"/>
      <c r="AU28" s="116"/>
      <c r="AV28" s="116"/>
      <c r="AW28" s="116"/>
      <c r="AX28" s="116"/>
      <c r="AY28" s="116"/>
      <c r="AZ28" s="116"/>
      <c r="BA28" s="116"/>
      <c r="BB28" s="116"/>
      <c r="BC28" s="116"/>
      <c r="BD28" s="116"/>
      <c r="BE28" s="116"/>
      <c r="BF28" s="116"/>
      <c r="BG28" s="116"/>
      <c r="BH28" s="116"/>
      <c r="BI28" s="116"/>
      <c r="BJ28" s="116"/>
      <c r="BK28" s="116"/>
      <c r="BL28" s="116"/>
      <c r="BM28" s="116"/>
      <c r="BN28" s="116"/>
      <c r="BO28" s="116"/>
      <c r="BP28" s="116"/>
      <c r="BQ28" s="116"/>
      <c r="BR28" s="116"/>
      <c r="BS28" s="116"/>
      <c r="BT28" s="116"/>
      <c r="BU28" s="116"/>
      <c r="BV28" s="116"/>
      <c r="BW28" s="116"/>
      <c r="BX28" s="116"/>
      <c r="BY28" s="116"/>
      <c r="BZ28" s="116"/>
      <c r="CA28" s="116"/>
      <c r="CB28" s="116"/>
      <c r="CC28" s="116"/>
      <c r="CD28" s="116"/>
      <c r="CE28" s="116"/>
      <c r="CF28" s="116"/>
      <c r="CG28" s="116"/>
      <c r="CH28" s="116"/>
      <c r="CI28" s="116"/>
      <c r="CJ28" s="116"/>
      <c r="CK28" s="116"/>
      <c r="CL28" s="116"/>
      <c r="CM28" s="116"/>
      <c r="CN28" s="116"/>
      <c r="CO28" s="116"/>
      <c r="CP28" s="116"/>
      <c r="CQ28" s="116"/>
      <c r="CR28" s="116"/>
      <c r="CS28" s="116"/>
      <c r="CT28" s="116"/>
      <c r="CU28" s="116"/>
      <c r="CV28" s="116"/>
      <c r="CW28" s="116"/>
      <c r="CX28" s="116"/>
      <c r="CY28" s="116"/>
      <c r="CZ28" s="116"/>
      <c r="DA28" s="116"/>
      <c r="DB28" s="116"/>
      <c r="DC28" s="116"/>
      <c r="DD28" s="116"/>
      <c r="DE28" s="116"/>
      <c r="DF28" s="116"/>
      <c r="DG28" s="116"/>
      <c r="DH28" s="116"/>
      <c r="DI28" s="116"/>
      <c r="DJ28" s="116"/>
      <c r="DK28" s="116"/>
      <c r="DL28" s="116"/>
      <c r="DM28" s="116"/>
      <c r="DN28" s="116"/>
      <c r="DO28" s="116"/>
      <c r="DP28" s="116"/>
      <c r="DQ28" s="116"/>
      <c r="DR28" t="s">
        <v>102</v>
      </c>
      <c r="DT28" t="s">
        <v>110</v>
      </c>
      <c r="DU28" s="431" t="s">
        <v>102</v>
      </c>
      <c r="DV28" s="1464"/>
      <c r="DW28" s="830" t="s">
        <v>8249</v>
      </c>
      <c r="DX28" s="836" t="str">
        <f>IF(OR(DY27=" в размере",DY24=" в размере"),SEARCH(" в размере",$C$3,DZ24)+LEN(" в размере")+1,"НЕТ")</f>
        <v>НЕТ</v>
      </c>
      <c r="DY28" s="306" t="s">
        <v>8431</v>
      </c>
      <c r="DZ28" s="306" t="e">
        <f>SEARCH(DY28,$C$3,DX28)</f>
        <v>#VALUE!</v>
      </c>
      <c r="EA28" s="306" t="e">
        <f>DZ28-DX28</f>
        <v>#VALUE!</v>
      </c>
      <c r="EB28" s="826" t="e">
        <f>IF(EC24="Штраф 50%","",MID($C$3,DX28,EA28))</f>
        <v>#VALUE!</v>
      </c>
      <c r="EC28" s="829"/>
      <c r="FC28" s="116"/>
      <c r="FD28" s="116"/>
      <c r="FE28" s="116"/>
      <c r="FF28" s="116"/>
      <c r="FI28" s="116"/>
      <c r="LY28" t="s">
        <v>9429</v>
      </c>
      <c r="NK28" s="1464"/>
      <c r="NL28" s="830" t="s">
        <v>8249</v>
      </c>
      <c r="NM28" s="836" t="e">
        <f>SEARCH(" в размере",NJ$4,NO24)+LEN(" в размере")+1</f>
        <v>#VALUE!</v>
      </c>
      <c r="NN28" s="306" t="s">
        <v>8431</v>
      </c>
      <c r="NO28" s="306" t="e">
        <f>SEARCH(NN28,NJ$4,NM28)</f>
        <v>#VALUE!</v>
      </c>
      <c r="NP28" s="306" t="e">
        <f>NO28-NM28</f>
        <v>#VALUE!</v>
      </c>
      <c r="NQ28" s="826" t="e">
        <f>IF(NR24="Штраф 50%","",MID(NJ$4,NM28,NP28))</f>
        <v>#VALUE!</v>
      </c>
      <c r="NR28" s="829"/>
      <c r="OC28" s="1472"/>
      <c r="OD28" s="946" t="str">
        <f t="shared" si="131"/>
        <v>$$$$</v>
      </c>
      <c r="OE28" s="947" t="e">
        <f t="shared" si="145"/>
        <v>#VALUE!</v>
      </c>
      <c r="OF28" s="947"/>
      <c r="OG28" s="920"/>
      <c r="OH28" s="920"/>
      <c r="OI28" s="947"/>
      <c r="OJ28" s="947"/>
      <c r="OK28" s="947"/>
      <c r="OL28" s="1474"/>
      <c r="OM28" s="116"/>
      <c r="ON28" s="116"/>
      <c r="OO28" s="116"/>
      <c r="OY28" s="116"/>
      <c r="OZ28" s="959"/>
      <c r="PA28" s="1210"/>
      <c r="PB28" s="959"/>
      <c r="PC28" s="116"/>
      <c r="PD28" s="1000"/>
      <c r="PF28" s="1209"/>
      <c r="PG28" s="1208"/>
      <c r="PH28" s="1209"/>
      <c r="PJ28" s="1073"/>
      <c r="PK28" s="99"/>
      <c r="PL28" s="920"/>
      <c r="PM28" s="995"/>
      <c r="PN28" s="920"/>
      <c r="PO28" s="99"/>
      <c r="PP28" s="871"/>
      <c r="PQ28" t="str">
        <f t="shared" si="133"/>
        <v xml:space="preserve">без учета износа составляет </v>
      </c>
      <c r="PR28" s="937" t="e">
        <f t="shared" si="146"/>
        <v>#VALUE!</v>
      </c>
      <c r="PT28" s="264" t="e">
        <f>SEARCH(" ",$OX$5,PV27+1)+1</f>
        <v>#VALUE!</v>
      </c>
      <c r="PU28" t="s">
        <v>8432</v>
      </c>
      <c r="PV28" s="937" t="e">
        <f>SEARCH(PU28,$OX$5,PT28)</f>
        <v>#VALUE!</v>
      </c>
      <c r="PW28" s="264" t="e">
        <f>PV28-PT28</f>
        <v>#VALUE!</v>
      </c>
      <c r="PX28" t="e">
        <f>MID($OX$5,PT28,PW28)</f>
        <v>#VALUE!</v>
      </c>
      <c r="PY28" s="1470"/>
      <c r="PZ28" t="str">
        <f t="shared" si="135"/>
        <v xml:space="preserve">с учетом износа – </v>
      </c>
      <c r="QA28" s="937" t="e">
        <f t="shared" si="147"/>
        <v>#VALUE!</v>
      </c>
      <c r="QC28" s="264" t="e">
        <f>SEARCH(" ",$OX$5,QE27+1)+1</f>
        <v>#VALUE!</v>
      </c>
      <c r="QD28" t="s">
        <v>8432</v>
      </c>
      <c r="QE28" s="937" t="e">
        <f>SEARCH(QD28,$OX$5,QC28)</f>
        <v>#VALUE!</v>
      </c>
      <c r="QF28" s="264" t="e">
        <f>QE28-QC28</f>
        <v>#VALUE!</v>
      </c>
      <c r="QG28" t="e">
        <f>MID($OX$5,QC28,QF28)</f>
        <v>#VALUE!</v>
      </c>
      <c r="QH28" s="1470"/>
      <c r="QI28" t="str">
        <f t="shared" si="137"/>
        <v xml:space="preserve">Рыночная стоимость Транспортного средства Заявителя на дату ДТП составляет </v>
      </c>
      <c r="QJ28" s="937" t="e">
        <f t="shared" si="148"/>
        <v>#VALUE!</v>
      </c>
      <c r="QL28" s="264" t="e">
        <f>SEARCH(" ",$OX$5,QN27+1)+1</f>
        <v>#VALUE!</v>
      </c>
      <c r="QM28" t="s">
        <v>8432</v>
      </c>
      <c r="QN28" s="937" t="e">
        <f>SEARCH(QM28,$OX$5,QL28)</f>
        <v>#VALUE!</v>
      </c>
      <c r="QO28" s="264" t="e">
        <f>QN28-QL28</f>
        <v>#VALUE!</v>
      </c>
      <c r="QP28" t="e">
        <f>MID($OX$5,QL28,QO28)</f>
        <v>#VALUE!</v>
      </c>
      <c r="QQ28" s="1470"/>
      <c r="QR28" t="str">
        <f t="shared" si="139"/>
        <v xml:space="preserve">стоимость годных остатков – </v>
      </c>
      <c r="QS28" s="937" t="e">
        <f t="shared" si="149"/>
        <v>#VALUE!</v>
      </c>
      <c r="QU28" s="264" t="e">
        <f>SEARCH(" ",$OX$5,QW27+1)+1</f>
        <v>#VALUE!</v>
      </c>
      <c r="QV28" t="s">
        <v>8432</v>
      </c>
      <c r="QW28" s="937" t="e">
        <f>SEARCH(QV28,$OX$5,QU28)</f>
        <v>#VALUE!</v>
      </c>
      <c r="QX28" s="264" t="e">
        <f>QW28-QU28</f>
        <v>#VALUE!</v>
      </c>
      <c r="QY28" t="e">
        <f>MID($OX$5,QU28,QX28)</f>
        <v>#VALUE!</v>
      </c>
      <c r="QZ28" s="1470"/>
      <c r="RA28" s="1094" t="s">
        <v>601</v>
      </c>
      <c r="RB28" s="1097" t="str">
        <f>IFERROR(QH39,"")</f>
        <v/>
      </c>
      <c r="RL28" s="116"/>
      <c r="RO28" s="116"/>
      <c r="SR28" s="116"/>
      <c r="SU28" s="116"/>
      <c r="SV28" t="s">
        <v>8513</v>
      </c>
      <c r="SY28" s="1464"/>
      <c r="SZ28" s="830" t="s">
        <v>8249</v>
      </c>
      <c r="TA28" s="836" t="e">
        <f>IF(NOT(ISERROR(SEARCH("НДФЛ",SX$4))),MIN(SEARCH("в размере ",SX$4,TC24)+LEN("в размере "),SEARCH("исходя из суммы ",SX$4,TC24)+LEN("исходя из суммы ")),SEARCH(" в размере",SX$4,TC24)+LEN(" в размере")+1)</f>
        <v>#VALUE!</v>
      </c>
      <c r="TB28" s="306" t="s">
        <v>8431</v>
      </c>
      <c r="TC28" s="306" t="e">
        <f>SEARCH(TB28,$SQ$3,TA28)</f>
        <v>#VALUE!</v>
      </c>
      <c r="TD28" s="306" t="e">
        <f>TC28-TA28</f>
        <v>#VALUE!</v>
      </c>
      <c r="TE28" s="826" t="e">
        <f>IF(TF24="Штраф 50%","",MID($SQ$3,TA28,TD28))</f>
        <v>#VALUE!</v>
      </c>
      <c r="TF28" s="829"/>
      <c r="TK28" s="1477"/>
      <c r="TL28" s="1032"/>
      <c r="TM28" s="1033"/>
      <c r="TN28" s="403"/>
      <c r="TO28" s="403"/>
      <c r="TP28" s="403"/>
      <c r="TQ28" s="1034" t="e">
        <f>VALUE(CONCATENATE(TQ26,",",TQ27))</f>
        <v>#VALUE!</v>
      </c>
      <c r="TR28" s="832" t="str">
        <f>IFERROR(IF(TR25="Штраф 50%","",TQ28),"")</f>
        <v/>
      </c>
      <c r="TT28" t="str">
        <f t="shared" si="27"/>
        <v>$$$$</v>
      </c>
      <c r="TW28" s="1464"/>
      <c r="TX28" s="830" t="s">
        <v>8249</v>
      </c>
      <c r="TY28" s="836" t="e">
        <f>IF(NOT(ISERROR(SEARCH("НДФЛ",TV$4))),MIN(SEARCH("в размере ",TV$4,UA24)+LEN("в размере "),SEARCH("исходя из суммы ",TV$4,UA24)+LEN("исходя из суммы ")),SEARCH(" в размере",TV$4,UA24)+LEN(" в размере")+1)</f>
        <v>#VALUE!</v>
      </c>
      <c r="TZ28" s="306" t="s">
        <v>8431</v>
      </c>
      <c r="UA28" s="306" t="e">
        <f>SEARCH(TZ28,$SQ$4,TY28)</f>
        <v>#VALUE!</v>
      </c>
      <c r="UB28" s="306" t="e">
        <f>UA28-TY28</f>
        <v>#VALUE!</v>
      </c>
      <c r="UC28" s="826" t="e">
        <f>IF(UD24="Штраф 50%","",MID($SQ$4,TY28,UB28))</f>
        <v>#VALUE!</v>
      </c>
      <c r="UD28" s="829"/>
      <c r="UI28" s="1477"/>
      <c r="UJ28" s="1032"/>
      <c r="UK28" s="1033"/>
      <c r="UL28" s="403"/>
      <c r="UM28" s="403"/>
      <c r="UN28" s="403"/>
      <c r="UO28" s="1034" t="e">
        <f>VALUE(CONCATENATE(UO26,",",UO27))</f>
        <v>#VALUE!</v>
      </c>
      <c r="UP28" s="832" t="str">
        <f>IFERROR(IF(UP25="Штраф 50%","",UO28),"")</f>
        <v/>
      </c>
      <c r="UU28" s="1464"/>
      <c r="UV28" s="830" t="s">
        <v>8249</v>
      </c>
      <c r="UW28" s="836" t="e">
        <f>IF(NOT(ISERROR(SEARCH("НДФЛ",UT$4))),MIN(SEARCH("в размере ",UT$4,UY24)+LEN("в размере "),SEARCH("исходя из суммы ",UT$4,UY24)+LEN("исходя из суммы ")),SEARCH(" в размере",UT$4,UY24)+LEN(" в размере")+1)</f>
        <v>#VALUE!</v>
      </c>
      <c r="UX28" s="306" t="s">
        <v>8431</v>
      </c>
      <c r="UY28" s="306" t="e">
        <f>SEARCH(UX28,$SQ$5,UW28)</f>
        <v>#VALUE!</v>
      </c>
      <c r="UZ28" s="306" t="e">
        <f>UY28-UW28</f>
        <v>#VALUE!</v>
      </c>
      <c r="VA28" s="826" t="e">
        <f>IF(VB24="Штраф 50%","",MID($SQ$5,UW28,UZ28))</f>
        <v>#VALUE!</v>
      </c>
      <c r="VB28" s="829"/>
      <c r="VG28" s="1477"/>
      <c r="VH28" s="1032"/>
      <c r="VI28" s="1033"/>
      <c r="VJ28" s="403"/>
      <c r="VK28" s="403"/>
      <c r="VL28" s="403"/>
      <c r="VM28" s="1034" t="e">
        <f>VALUE(CONCATENATE(VM26,",",VM27))</f>
        <v>#VALUE!</v>
      </c>
      <c r="VN28" s="832" t="str">
        <f>IFERROR(IF(VN25="Штраф 50%","",VM28),"")</f>
        <v/>
      </c>
      <c r="VS28" s="1464"/>
      <c r="VT28" s="830" t="s">
        <v>8249</v>
      </c>
      <c r="VU28" s="836" t="e">
        <f>IF(NOT(ISERROR(SEARCH("НДФЛ",VR$4))),MIN(SEARCH("в размере ",VR$4,VW24)+LEN("в размере "),SEARCH("исходя из суммы ",VR$4,VW24)+LEN("исходя из суммы ")),SEARCH(" в размере",VR$4,VW24)+LEN(" в размере")+1)</f>
        <v>#VALUE!</v>
      </c>
      <c r="VV28" s="306" t="s">
        <v>8431</v>
      </c>
      <c r="VW28" s="306" t="e">
        <f>SEARCH(VV28,$SQ$6,VU28)</f>
        <v>#VALUE!</v>
      </c>
      <c r="VX28" s="306" t="e">
        <f>VW28-VU28</f>
        <v>#VALUE!</v>
      </c>
      <c r="VY28" s="826" t="e">
        <f>IF(VZ24="Штраф 50%","",MID($SQ$6,VU28,VX28))</f>
        <v>#VALUE!</v>
      </c>
      <c r="VZ28" s="829"/>
      <c r="WE28" s="1477"/>
      <c r="WF28" s="1032"/>
      <c r="WG28" s="1033"/>
      <c r="WH28" s="403"/>
      <c r="WI28" s="403"/>
      <c r="WJ28" s="403"/>
      <c r="WK28" s="1034" t="e">
        <f>VALUE(CONCATENATE(WK26,",",WK27))</f>
        <v>#VALUE!</v>
      </c>
      <c r="WL28" s="832" t="str">
        <f>IFERROR(IF(WL25="Штраф 50%","",WK28),"")</f>
        <v/>
      </c>
      <c r="WQ28" s="1464"/>
      <c r="WR28" s="830" t="s">
        <v>8249</v>
      </c>
      <c r="WS28" s="836" t="e">
        <f>IF(NOT(ISERROR(SEARCH("НДФЛ",WP$4))),MIN(SEARCH("в размере ",WP$4,WU24)+LEN("в размере "),SEARCH("исходя из суммы ",WP$4,WU24)+LEN("исходя из суммы ")),SEARCH(" в размере",WP$4,WU24)+LEN(" в размере")+1)</f>
        <v>#VALUE!</v>
      </c>
      <c r="WT28" s="306" t="s">
        <v>8431</v>
      </c>
      <c r="WU28" s="306" t="e">
        <f>SEARCH(WT28,$SQ$7,WS28)</f>
        <v>#VALUE!</v>
      </c>
      <c r="WV28" s="306" t="e">
        <f>WU28-WS28</f>
        <v>#VALUE!</v>
      </c>
      <c r="WW28" s="826" t="e">
        <f>IF(WX24="Штраф 50%","",MID($SQ$7,WS28,WV28))</f>
        <v>#VALUE!</v>
      </c>
      <c r="WX28" s="829"/>
      <c r="XC28" s="1477"/>
      <c r="XD28" s="1032"/>
      <c r="XE28" s="1033"/>
      <c r="XF28" s="403"/>
      <c r="XG28" s="403"/>
      <c r="XH28" s="403"/>
      <c r="XI28" s="1034" t="e">
        <f>VALUE(CONCATENATE(XI26,",",XI27))</f>
        <v>#VALUE!</v>
      </c>
      <c r="XJ28" s="832" t="str">
        <f>IFERROR(IF(XJ25="Штраф 50%","",XI28),"")</f>
        <v/>
      </c>
      <c r="XM28" s="116"/>
      <c r="XN28" s="116"/>
      <c r="XO28" s="116"/>
      <c r="XR28" s="116"/>
      <c r="XS28" s="116"/>
      <c r="XT28" s="116"/>
      <c r="XU28" s="116"/>
      <c r="XV28" s="116"/>
      <c r="XY28" s="116"/>
      <c r="YG28" s="1464"/>
      <c r="YH28" s="830" t="s">
        <v>8249</v>
      </c>
      <c r="YI28" s="836" t="str">
        <f>IF(OR(YJ27=" в размере",YJ24=" в размере"),SEARCH(" в размере",$XU$3,YK24)+LEN(" в размере")+1,"НЕТ")</f>
        <v>НЕТ</v>
      </c>
      <c r="YJ28" s="306" t="s">
        <v>8431</v>
      </c>
      <c r="YK28" s="306" t="e">
        <f>SEARCH(YJ28,$XU$3,YI28)</f>
        <v>#VALUE!</v>
      </c>
      <c r="YL28" s="306" t="e">
        <f>YK28-YI28</f>
        <v>#VALUE!</v>
      </c>
      <c r="YM28" s="826" t="e">
        <f>IF(YN24="Штраф 50%","",MID($XU$3,YI28,YL28))</f>
        <v>#VALUE!</v>
      </c>
      <c r="YN28" s="829"/>
      <c r="YS28" s="1464"/>
      <c r="YT28" s="830" t="s">
        <v>8249</v>
      </c>
      <c r="YU28" s="836" t="e">
        <f>SEARCH(" в размере",$XU$4,YW24)+LEN(" в размере")+1</f>
        <v>#VALUE!</v>
      </c>
      <c r="YV28" s="306" t="s">
        <v>8431</v>
      </c>
      <c r="YW28" s="306" t="e">
        <f>SEARCH(YV28,$XU$4,YU28)</f>
        <v>#VALUE!</v>
      </c>
      <c r="YX28" s="306" t="e">
        <f>YW28-YU28</f>
        <v>#VALUE!</v>
      </c>
      <c r="YY28" s="826" t="e">
        <f>IF(YZ24="Штраф 50%","",MID($XU$4,YU28,YX28))</f>
        <v>#VALUE!</v>
      </c>
      <c r="YZ28" s="829"/>
      <c r="ZE28" s="1464"/>
      <c r="ZF28" s="830" t="s">
        <v>8249</v>
      </c>
      <c r="ZG28" s="836" t="e">
        <f>SEARCH(" в размере",$XU$5,ZI24)+LEN(" в размере")+1</f>
        <v>#VALUE!</v>
      </c>
      <c r="ZH28" s="306" t="s">
        <v>8431</v>
      </c>
      <c r="ZI28" s="306" t="e">
        <f>SEARCH(ZH28,$XU$5,ZG28)</f>
        <v>#VALUE!</v>
      </c>
      <c r="ZJ28" s="306" t="e">
        <f>ZI28-ZG28</f>
        <v>#VALUE!</v>
      </c>
      <c r="ZK28" s="826" t="e">
        <f>IF(ZL24="Штраф 50%","",MID($XU$5,ZG28,ZJ28))</f>
        <v>#VALUE!</v>
      </c>
      <c r="ZL28" s="829"/>
      <c r="ZQ28" s="1464"/>
      <c r="ZR28" s="830" t="s">
        <v>8249</v>
      </c>
      <c r="ZS28" s="836" t="e">
        <f>SEARCH(" в размере",$XU$6,ZU24)+LEN(" в размере")+1</f>
        <v>#VALUE!</v>
      </c>
      <c r="ZT28" s="306" t="s">
        <v>8431</v>
      </c>
      <c r="ZU28" s="306" t="e">
        <f>SEARCH(ZT28,$XU$6,ZS28)</f>
        <v>#VALUE!</v>
      </c>
      <c r="ZV28" s="306" t="e">
        <f>ZU28-ZS28</f>
        <v>#VALUE!</v>
      </c>
      <c r="ZW28" s="826" t="e">
        <f>IF(ZX24="Штраф 50%","",MID($XU$6,ZS28,ZV28))</f>
        <v>#VALUE!</v>
      </c>
      <c r="ZX28" s="829"/>
      <c r="AAC28" s="1464"/>
      <c r="AAD28" s="830" t="s">
        <v>8249</v>
      </c>
      <c r="AAE28" s="836" t="e">
        <f>SEARCH(" в размере",$XU$7,AAG24)+LEN(" в размере")+1</f>
        <v>#VALUE!</v>
      </c>
      <c r="AAF28" s="306" t="s">
        <v>8431</v>
      </c>
      <c r="AAG28" s="306" t="e">
        <f>SEARCH(AAF28,$XU$7,AAE28)</f>
        <v>#VALUE!</v>
      </c>
      <c r="AAH28" s="306" t="e">
        <f>AAG28-AAE28</f>
        <v>#VALUE!</v>
      </c>
      <c r="AAI28" s="826" t="e">
        <f>IF(AAJ24="Штраф 50%","",MID($XU$7,AAE28,AAH28))</f>
        <v>#VALUE!</v>
      </c>
      <c r="AAJ28" s="829"/>
      <c r="AAV28" t="str">
        <f t="shared" si="141"/>
        <v>$$$$</v>
      </c>
      <c r="AAW28" s="947" t="e">
        <f t="shared" si="150"/>
        <v>#VALUE!</v>
      </c>
      <c r="ABA28" s="1487"/>
      <c r="ADR28" s="1080" t="str">
        <f>IFERROR(ACW6,"")</f>
        <v/>
      </c>
      <c r="AEJ28" s="961"/>
      <c r="AEK28" s="961"/>
      <c r="AEL28" s="961"/>
      <c r="AFE28" s="1464"/>
      <c r="AFF28" s="830" t="s">
        <v>8249</v>
      </c>
      <c r="AFG28" s="836" t="e">
        <f>SEARCH(" в размере",AFD$4,AFI24)+LEN(" в размере")+1</f>
        <v>#VALUE!</v>
      </c>
      <c r="AFH28" s="306" t="s">
        <v>8431</v>
      </c>
      <c r="AFI28" s="306" t="e">
        <f>SEARCH(AFH28,AFD$4,AFG28)</f>
        <v>#VALUE!</v>
      </c>
      <c r="AFJ28" s="306" t="e">
        <f>AFI28-AFG28</f>
        <v>#VALUE!</v>
      </c>
      <c r="AFK28" s="826" t="e">
        <f>IF(AFL24="Штраф 50%","",MID(AFD$4,AFG28,AFJ28))</f>
        <v>#VALUE!</v>
      </c>
      <c r="AFL28" s="829"/>
      <c r="AFQ28" s="1464"/>
      <c r="AFR28" s="830" t="s">
        <v>8249</v>
      </c>
      <c r="AFS28" s="836" t="e">
        <f>SEARCH(" в размере",AFP$4,AFU24)+LEN(" в размере")+1</f>
        <v>#VALUE!</v>
      </c>
      <c r="AFT28" s="306" t="s">
        <v>8431</v>
      </c>
      <c r="AFU28" s="306" t="e">
        <f>SEARCH(AFT28,AFP$4,AFS28)</f>
        <v>#VALUE!</v>
      </c>
      <c r="AFV28" s="306" t="e">
        <f>AFU28-AFS28</f>
        <v>#VALUE!</v>
      </c>
      <c r="AFW28" s="826" t="e">
        <f>IF(AFX24="Штраф 50%","",MID(AFP$4,AFS28,AFV28))</f>
        <v>#VALUE!</v>
      </c>
      <c r="AFX28" s="829"/>
      <c r="AGC28" s="1464"/>
      <c r="AGD28" s="830" t="s">
        <v>8249</v>
      </c>
      <c r="AGE28" s="836" t="e">
        <f>SEARCH(" в размере",AGB$4,AGG24)+LEN(" в размере")+1</f>
        <v>#VALUE!</v>
      </c>
      <c r="AGF28" s="306" t="s">
        <v>8431</v>
      </c>
      <c r="AGG28" s="306" t="e">
        <f>SEARCH(AGF28,AGB$4,AGE28)</f>
        <v>#VALUE!</v>
      </c>
      <c r="AGH28" s="306" t="e">
        <f>AGG28-AGE28</f>
        <v>#VALUE!</v>
      </c>
      <c r="AGI28" s="826" t="e">
        <f>IF(AGJ24="Штраф 50%","",MID(AGB$4,AGE28,AGH28))</f>
        <v>#VALUE!</v>
      </c>
      <c r="AGJ28" s="829"/>
      <c r="AGO28" s="1464"/>
      <c r="AGP28" s="830" t="s">
        <v>8249</v>
      </c>
      <c r="AGQ28" s="836" t="e">
        <f>SEARCH(" в размере",AGN$4,AGS24)+LEN(" в размере")+1</f>
        <v>#VALUE!</v>
      </c>
      <c r="AGR28" s="306" t="s">
        <v>8431</v>
      </c>
      <c r="AGS28" s="306" t="e">
        <f>SEARCH(AGR28,AGN$4,AGQ28)</f>
        <v>#VALUE!</v>
      </c>
      <c r="AGT28" s="306" t="e">
        <f>AGS28-AGQ28</f>
        <v>#VALUE!</v>
      </c>
      <c r="AGU28" s="826" t="e">
        <f>IF(AGV24="Штраф 50%","",MID(AGN$4,AGQ28,AGT28))</f>
        <v>#VALUE!</v>
      </c>
      <c r="AGV28" s="829"/>
      <c r="AHA28" s="1464"/>
      <c r="AHB28" s="830" t="s">
        <v>8249</v>
      </c>
      <c r="AHC28" s="836" t="e">
        <f>SEARCH(" в размере",AGZ$4,AHE24)+LEN(" в размере")+1</f>
        <v>#VALUE!</v>
      </c>
      <c r="AHD28" s="306" t="s">
        <v>8431</v>
      </c>
      <c r="AHE28" s="306" t="e">
        <f>SEARCH(AHD28,AGZ$4,AHC28)</f>
        <v>#VALUE!</v>
      </c>
      <c r="AHF28" s="306" t="e">
        <f>AHE28-AHC28</f>
        <v>#VALUE!</v>
      </c>
      <c r="AHG28" s="826" t="e">
        <f>IF(AHH24="Штраф 50%","",MID(AGZ$4,AHC28,AHF28))</f>
        <v>#VALUE!</v>
      </c>
      <c r="AHH28" s="829"/>
      <c r="AIJ28" t="s">
        <v>10049</v>
      </c>
      <c r="AIK28" t="s">
        <v>1471</v>
      </c>
      <c r="AIL28" s="1235" t="e">
        <f t="shared" si="68"/>
        <v>#VALUE!</v>
      </c>
      <c r="AKA28" s="116"/>
      <c r="AKK28" s="116"/>
      <c r="AKU28" s="116"/>
      <c r="ALE28" s="116"/>
      <c r="ALO28" s="116"/>
      <c r="ALP28" s="116"/>
      <c r="AMG28" t="str">
        <f t="shared" si="143"/>
        <v>Респ Коми</v>
      </c>
      <c r="AMH28" t="str">
        <f t="shared" si="144"/>
        <v>Республика Коми</v>
      </c>
      <c r="AMI28" s="1235" t="e">
        <f t="shared" si="75"/>
        <v>#VALUE!</v>
      </c>
      <c r="ANX28" s="116"/>
      <c r="AOH28" s="116"/>
      <c r="AOR28" s="116"/>
      <c r="APB28" s="116"/>
      <c r="APL28" s="116"/>
      <c r="APM28" s="116"/>
    </row>
    <row r="29" spans="1:1023 1064:1105" ht="14.4" customHeight="1" thickTop="1" x14ac:dyDescent="0.3">
      <c r="A29" s="116"/>
      <c r="B29" s="116"/>
      <c r="C29" s="116"/>
      <c r="D29" s="116"/>
      <c r="E29" s="116"/>
      <c r="F29" s="116"/>
      <c r="G29" s="116"/>
      <c r="H29" s="116"/>
      <c r="I29" s="116"/>
      <c r="J29" s="116"/>
      <c r="K29" s="116"/>
      <c r="L29" s="116"/>
      <c r="M29" s="116"/>
      <c r="N29" s="116"/>
      <c r="O29" s="116"/>
      <c r="P29" s="116"/>
      <c r="Q29" s="116"/>
      <c r="R29" s="116"/>
      <c r="S29" s="116"/>
      <c r="T29" s="116"/>
      <c r="U29" s="116"/>
      <c r="V29" s="116"/>
      <c r="W29" s="116"/>
      <c r="X29" s="116"/>
      <c r="Y29" s="116"/>
      <c r="Z29" s="116"/>
      <c r="AA29" s="116"/>
      <c r="AB29" s="116"/>
      <c r="AC29" s="116"/>
      <c r="AD29" s="116"/>
      <c r="AE29" s="116"/>
      <c r="AF29" s="116"/>
      <c r="AG29" s="116"/>
      <c r="AH29" s="116"/>
      <c r="AI29" s="116"/>
      <c r="AJ29" s="116"/>
      <c r="AK29" s="116"/>
      <c r="AL29" s="116"/>
      <c r="AM29" s="116"/>
      <c r="AN29" s="116"/>
      <c r="AO29" s="116"/>
      <c r="AP29" s="116"/>
      <c r="AQ29" s="116"/>
      <c r="AR29" s="116"/>
      <c r="AS29" s="116"/>
      <c r="AT29" s="116"/>
      <c r="AU29" s="116"/>
      <c r="AV29" s="116"/>
      <c r="AW29" s="116"/>
      <c r="AX29" s="116"/>
      <c r="AY29" s="116"/>
      <c r="AZ29" s="116"/>
      <c r="BA29" s="116"/>
      <c r="BB29" s="116"/>
      <c r="BC29" s="116"/>
      <c r="BD29" s="116"/>
      <c r="BE29" s="116"/>
      <c r="BF29" s="116"/>
      <c r="BG29" s="116"/>
      <c r="BH29" s="116"/>
      <c r="BI29" s="116"/>
      <c r="BJ29" s="116"/>
      <c r="BK29" s="116"/>
      <c r="BL29" s="116"/>
      <c r="BM29" s="116"/>
      <c r="BN29" s="116"/>
      <c r="BO29" s="116"/>
      <c r="BP29" s="116"/>
      <c r="BQ29" s="116"/>
      <c r="BR29" s="116"/>
      <c r="BS29" s="116"/>
      <c r="BT29" s="116"/>
      <c r="BU29" s="116"/>
      <c r="BV29" s="116"/>
      <c r="BW29" s="116"/>
      <c r="BX29" s="116"/>
      <c r="BY29" s="116"/>
      <c r="BZ29" s="116"/>
      <c r="CA29" s="116"/>
      <c r="CB29" s="116"/>
      <c r="CC29" s="116"/>
      <c r="CD29" s="116"/>
      <c r="CE29" s="116"/>
      <c r="CF29" s="116"/>
      <c r="CG29" s="116"/>
      <c r="CH29" s="116"/>
      <c r="CI29" s="116"/>
      <c r="CJ29" s="116"/>
      <c r="CK29" s="116"/>
      <c r="CL29" s="116"/>
      <c r="CM29" s="116"/>
      <c r="CN29" s="116"/>
      <c r="CO29" s="116"/>
      <c r="CP29" s="116"/>
      <c r="CQ29" s="116"/>
      <c r="CR29" s="116"/>
      <c r="CS29" s="116"/>
      <c r="CT29" s="116"/>
      <c r="CU29" s="116"/>
      <c r="CV29" s="116"/>
      <c r="CW29" s="116"/>
      <c r="CX29" s="116"/>
      <c r="CY29" s="116"/>
      <c r="CZ29" s="116"/>
      <c r="DA29" s="116"/>
      <c r="DB29" s="116"/>
      <c r="DC29" s="116"/>
      <c r="DD29" s="116"/>
      <c r="DE29" s="116"/>
      <c r="DF29" s="116"/>
      <c r="DG29" s="116"/>
      <c r="DH29" s="116"/>
      <c r="DI29" s="116"/>
      <c r="DJ29" s="116"/>
      <c r="DK29" s="116"/>
      <c r="DL29" s="116"/>
      <c r="DM29" s="116"/>
      <c r="DN29" s="116"/>
      <c r="DO29" s="116"/>
      <c r="DP29" s="116"/>
      <c r="DQ29" s="116"/>
      <c r="DR29" t="s">
        <v>8320</v>
      </c>
      <c r="DT29" t="s">
        <v>8261</v>
      </c>
      <c r="DU29" s="431" t="s">
        <v>102</v>
      </c>
      <c r="DV29" s="1464"/>
      <c r="DW29" s="306"/>
      <c r="DX29" s="836" t="e">
        <f>SEARCH(" ",$C$3,DZ28+1)+1</f>
        <v>#VALUE!</v>
      </c>
      <c r="DY29" s="306" t="s">
        <v>8432</v>
      </c>
      <c r="DZ29" s="306" t="e">
        <f>SEARCH(DY29,$C$3,DX29)</f>
        <v>#VALUE!</v>
      </c>
      <c r="EA29" s="306" t="e">
        <f>DZ29-DX29</f>
        <v>#VALUE!</v>
      </c>
      <c r="EB29" s="826" t="e">
        <f>IF(EC24="Штраф 50%","",MID($C$3,DX29,EA29))</f>
        <v>#VALUE!</v>
      </c>
      <c r="EC29" s="829"/>
      <c r="FC29" s="116"/>
      <c r="FD29" s="116"/>
      <c r="FE29" s="116"/>
      <c r="FF29" s="116"/>
      <c r="FI29" s="116"/>
      <c r="LY29" t="s">
        <v>9453</v>
      </c>
      <c r="NK29" s="1464"/>
      <c r="NL29" s="306"/>
      <c r="NM29" s="836" t="e">
        <f>SEARCH(" ",NJ$4,NO28+1)+1</f>
        <v>#VALUE!</v>
      </c>
      <c r="NN29" s="306" t="s">
        <v>8432</v>
      </c>
      <c r="NO29" s="306" t="e">
        <f>SEARCH(NN29,NJ$4,NM29)</f>
        <v>#VALUE!</v>
      </c>
      <c r="NP29" s="306" t="e">
        <f>NO29-NM29</f>
        <v>#VALUE!</v>
      </c>
      <c r="NQ29" s="826" t="e">
        <f>IF(NR24="Штраф 50%","",MID(NJ$4,NM29,NP29))</f>
        <v>#VALUE!</v>
      </c>
      <c r="NR29" s="829"/>
      <c r="OC29" s="1472"/>
      <c r="OD29" s="946" t="str">
        <f t="shared" si="131"/>
        <v>$$$$</v>
      </c>
      <c r="OE29" s="947" t="e">
        <f t="shared" si="145"/>
        <v>#VALUE!</v>
      </c>
      <c r="OF29" s="947"/>
      <c r="OG29" s="920"/>
      <c r="OH29" s="920"/>
      <c r="OI29" s="947"/>
      <c r="OJ29" s="947"/>
      <c r="OK29" s="947"/>
      <c r="OL29" s="1474"/>
      <c r="OY29" s="116"/>
      <c r="OZ29" s="959"/>
      <c r="PA29" s="1210"/>
      <c r="PB29" s="959"/>
      <c r="PC29" s="116"/>
      <c r="PD29" s="1000"/>
      <c r="PF29" s="1209"/>
      <c r="PG29" s="1208"/>
      <c r="PH29" s="1209"/>
      <c r="PI29" s="5"/>
      <c r="PJ29" s="1073"/>
      <c r="PK29" s="99"/>
      <c r="PL29" s="920"/>
      <c r="PM29" s="995"/>
      <c r="PN29" s="920"/>
      <c r="PO29" s="254"/>
      <c r="PP29" s="871"/>
      <c r="PQ29" t="str">
        <f t="shared" si="133"/>
        <v xml:space="preserve">без учета износа составляет – </v>
      </c>
      <c r="PR29" s="937" t="e">
        <f t="shared" si="146"/>
        <v>#VALUE!</v>
      </c>
      <c r="PS29" s="5"/>
      <c r="PV29" s="937"/>
      <c r="PX29" s="5"/>
      <c r="PY29" s="1470"/>
      <c r="PZ29" t="str">
        <f t="shared" si="135"/>
        <v xml:space="preserve">с учетом износа </v>
      </c>
      <c r="QA29" s="937" t="e">
        <f t="shared" si="147"/>
        <v>#VALUE!</v>
      </c>
      <c r="QB29" s="5"/>
      <c r="QC29" s="264"/>
      <c r="QE29" s="937"/>
      <c r="QF29" s="264"/>
      <c r="QG29" s="5"/>
      <c r="QH29" s="1470"/>
      <c r="QI29" t="str">
        <f t="shared" si="137"/>
        <v>$$$$</v>
      </c>
      <c r="QJ29" s="937" t="e">
        <f t="shared" si="148"/>
        <v>#VALUE!</v>
      </c>
      <c r="QK29" s="5"/>
      <c r="QL29" s="264"/>
      <c r="QN29" s="937"/>
      <c r="QO29" s="264"/>
      <c r="QP29" s="5"/>
      <c r="QQ29" s="1470"/>
      <c r="QR29" t="str">
        <f t="shared" si="139"/>
        <v>$$$$</v>
      </c>
      <c r="QS29" s="937" t="e">
        <f t="shared" si="149"/>
        <v>#VALUE!</v>
      </c>
      <c r="QT29" s="5"/>
      <c r="QU29" s="264"/>
      <c r="QW29" s="937"/>
      <c r="QX29" s="264"/>
      <c r="QY29" s="5"/>
      <c r="QZ29" s="1470"/>
      <c r="RA29" s="1094" t="s">
        <v>602</v>
      </c>
      <c r="RB29" s="1097" t="str">
        <f>IFERROR(QQ39,"")</f>
        <v/>
      </c>
      <c r="SR29" s="116"/>
      <c r="SU29" s="116"/>
      <c r="SY29" s="1464"/>
      <c r="SZ29" s="306"/>
      <c r="TA29" s="836" t="e">
        <f>SEARCH(" ",$SQ$3,TC28+1)+1</f>
        <v>#VALUE!</v>
      </c>
      <c r="TB29" s="306" t="s">
        <v>8432</v>
      </c>
      <c r="TC29" s="306" t="e">
        <f>SEARCH(TB29,$SQ$3,TA29)</f>
        <v>#VALUE!</v>
      </c>
      <c r="TD29" s="306" t="e">
        <f>TC29-TA29</f>
        <v>#VALUE!</v>
      </c>
      <c r="TE29" s="826" t="e">
        <f>IF(TF24="Штраф 50%","",MID($SQ$3,TA29,TD29))</f>
        <v>#VALUE!</v>
      </c>
      <c r="TF29" s="829"/>
      <c r="TK29" s="1475">
        <v>7</v>
      </c>
      <c r="TL29" s="1030" t="s">
        <v>8433</v>
      </c>
      <c r="TM29" s="406" t="e">
        <f>SEARCH($TJ$14,TJ$4,TO25)+LEN($TJ$14)</f>
        <v>#VALUE!</v>
      </c>
      <c r="TN29" s="406" t="str">
        <f>IF(TO29=IFERROR(SEARCH(".",TJ$4,TM29),99999),".",
IF(TO29=IFERROR(SEARCH(",",TJ$4,TM29),99999),",",
IF(TO29=IFERROR(SEARCH(" за период",TJ$4,TM29),999999)," за период",
IF(TO29=IFERROR(SEARCH(" в размере",TJ$4,TM29),99999)," в размере",
IF(TO29=IFERROR(SEARCH(" и ",TJ$4,TM29),99999)," и ",
IF(TO29=IFERROR(SEARCH(")",TJ$4,TM29),99999),")",
))))))</f>
        <v>.</v>
      </c>
      <c r="TO29" s="406">
        <f>IFERROR(MIN(IFERROR(SEARCH(".",TJ$4,TM29),99999),IFERROR(SEARCH(",",TJ$4,TM29),99999),IFERROR(SEARCH(" за период",TJ$4,TM29),999999),IFERROR(SEARCH(" в размере",TJ$4,TM29),99999),IFERROR(SEARCH(" и ",TJ$4,TM29),99999),IFERROR(SEARCH(")",TJ$4,TM29),99999)),"ОШИБКА")</f>
        <v>99999</v>
      </c>
      <c r="TP29" s="406" t="e">
        <f>TO29-TM29</f>
        <v>#VALUE!</v>
      </c>
      <c r="TQ29" s="873" t="e">
        <f>MID(TJ$4,TM29,TP29)</f>
        <v>#VALUE!</v>
      </c>
      <c r="TR29" s="825" t="str">
        <f>IFERROR(INDEX($DU:$DU,MATCH(MID(TJ$4,TM29,TP29),$DT:$DT,0),1),"")</f>
        <v/>
      </c>
      <c r="TW29" s="1464"/>
      <c r="TX29" s="306"/>
      <c r="TY29" s="836" t="e">
        <f>SEARCH(" ",$SQ$4,UA28+1)+1</f>
        <v>#VALUE!</v>
      </c>
      <c r="TZ29" s="306" t="s">
        <v>8432</v>
      </c>
      <c r="UA29" s="306" t="e">
        <f>SEARCH(TZ29,$SQ$4,TY29)</f>
        <v>#VALUE!</v>
      </c>
      <c r="UB29" s="306" t="e">
        <f>UA29-TY29</f>
        <v>#VALUE!</v>
      </c>
      <c r="UC29" s="826" t="e">
        <f>IF(UD24="Штраф 50%","",MID($SQ$4,TY29,UB29))</f>
        <v>#VALUE!</v>
      </c>
      <c r="UD29" s="829"/>
      <c r="UI29" s="1475">
        <v>7</v>
      </c>
      <c r="UJ29" s="1030" t="s">
        <v>8433</v>
      </c>
      <c r="UK29" s="406" t="e">
        <f>SEARCH(UH$14,UH$4,UM25)+LEN(UH$14)</f>
        <v>#VALUE!</v>
      </c>
      <c r="UL29" s="406" t="str">
        <f>IF(UM29=IFERROR(SEARCH(".",UH$4,UK29),99999),".",
IF(UM29=IFERROR(SEARCH(",",UH$4,UK29),99999),",",
IF(UM29=IFERROR(SEARCH(" за период",UH$4,UK29),999999)," за период",
IF(UM29=IFERROR(SEARCH(" в размере",UH$4,UK29),99999)," в размере",
IF(UM29=IFERROR(SEARCH(" и ",UH$4,UK29),99999)," и ",
IF(UM29=IFERROR(SEARCH(")",UH$4,UK29),99999),")",
))))))</f>
        <v>.</v>
      </c>
      <c r="UM29" s="406">
        <f>IFERROR(MIN(IFERROR(SEARCH(".",UH$4,UK29),99999),IFERROR(SEARCH(",",UH$4,UK29),99999),IFERROR(SEARCH(" за период",UH$4,UK29),999999),IFERROR(SEARCH(" в размере",UH$4,UK29),99999),IFERROR(SEARCH(" и ",UH$4,UK29),99999),IFERROR(SEARCH(")",UH$4,UK29),99999)),"ОШИБКА")</f>
        <v>99999</v>
      </c>
      <c r="UN29" s="406" t="e">
        <f>UM29-UK29</f>
        <v>#VALUE!</v>
      </c>
      <c r="UO29" s="873" t="e">
        <f>MID(UH$4,UK29,UN29)</f>
        <v>#VALUE!</v>
      </c>
      <c r="UP29" s="825" t="str">
        <f>IFERROR(INDEX($DU:$DU,MATCH(MID(UH$4,UK29,UN29),$DT:$DT,0),1),"")</f>
        <v/>
      </c>
      <c r="UU29" s="1464"/>
      <c r="UV29" s="306"/>
      <c r="UW29" s="836" t="e">
        <f>SEARCH(" ",$SQ$5,UY28+1)+1</f>
        <v>#VALUE!</v>
      </c>
      <c r="UX29" s="306" t="s">
        <v>8432</v>
      </c>
      <c r="UY29" s="306" t="e">
        <f>SEARCH(UX29,$SQ$5,UW29)</f>
        <v>#VALUE!</v>
      </c>
      <c r="UZ29" s="306" t="e">
        <f>UY29-UW29</f>
        <v>#VALUE!</v>
      </c>
      <c r="VA29" s="826" t="e">
        <f>IF(VB24="Штраф 50%","",MID($SQ$5,UW29,UZ29))</f>
        <v>#VALUE!</v>
      </c>
      <c r="VB29" s="829"/>
      <c r="VG29" s="1475">
        <v>7</v>
      </c>
      <c r="VH29" s="1030" t="s">
        <v>8433</v>
      </c>
      <c r="VI29" s="406" t="e">
        <f>SEARCH(VF$14,VF$4,VK25)+LEN(VF$14)</f>
        <v>#VALUE!</v>
      </c>
      <c r="VJ29" s="406" t="str">
        <f>IF(VK29=IFERROR(SEARCH(".",VF$4,VI29),99999),".",
IF(VK29=IFERROR(SEARCH(",",VF$4,VI29),99999),",",
IF(VK29=IFERROR(SEARCH(" за период",VF$4,VI29),999999)," за период",
IF(VK29=IFERROR(SEARCH(" в размере",VF$4,VI29),99999)," в размере",
IF(VK29=IFERROR(SEARCH(" и ",VF$4,VI29),99999)," и ",
IF(VK29=IFERROR(SEARCH(")",VF$4,VI29),99999),")",
))))))</f>
        <v>.</v>
      </c>
      <c r="VK29" s="406">
        <f>IFERROR(MIN(IFERROR(SEARCH(".",VF$4,VI29),99999),IFERROR(SEARCH(",",VF$4,VI29),99999),IFERROR(SEARCH(" за период",VF$4,VI29),999999),IFERROR(SEARCH(" в размере",VF$4,VI29),99999),IFERROR(SEARCH(" и ",VF$4,VI29),99999),IFERROR(SEARCH(")",VF$4,VI29),99999)),"ОШИБКА")</f>
        <v>99999</v>
      </c>
      <c r="VL29" s="406" t="e">
        <f>VK29-VI29</f>
        <v>#VALUE!</v>
      </c>
      <c r="VM29" s="873" t="e">
        <f>MID(VF$4,VI29,VL29)</f>
        <v>#VALUE!</v>
      </c>
      <c r="VN29" s="825" t="str">
        <f>IFERROR(INDEX($DU:$DU,MATCH(MID(VF$4,VI29,VL29),$DT:$DT,0),1),"")</f>
        <v/>
      </c>
      <c r="VS29" s="1464"/>
      <c r="VT29" s="306"/>
      <c r="VU29" s="836" t="e">
        <f>SEARCH(" ",$SQ$6,VW28+1)+1</f>
        <v>#VALUE!</v>
      </c>
      <c r="VV29" s="306" t="s">
        <v>8432</v>
      </c>
      <c r="VW29" s="306" t="e">
        <f>SEARCH(VV29,$SQ$6,VU29)</f>
        <v>#VALUE!</v>
      </c>
      <c r="VX29" s="306" t="e">
        <f>VW29-VU29</f>
        <v>#VALUE!</v>
      </c>
      <c r="VY29" s="826" t="e">
        <f>IF(VZ24="Штраф 50%","",MID($SQ$6,VU29,VX29))</f>
        <v>#VALUE!</v>
      </c>
      <c r="VZ29" s="829"/>
      <c r="WE29" s="1475">
        <v>7</v>
      </c>
      <c r="WF29" s="1030" t="s">
        <v>8433</v>
      </c>
      <c r="WG29" s="406" t="e">
        <f>SEARCH($TJ$14,WD$4,WI25)+LEN($TJ$14)</f>
        <v>#VALUE!</v>
      </c>
      <c r="WH29" s="406" t="str">
        <f>IF(WI29=IFERROR(SEARCH(".",WD$4,WG29),99999),".",
IF(WI29=IFERROR(SEARCH(",",WD$4,WG29),99999),",",
IF(WI29=IFERROR(SEARCH(" за период",WD$4,WG29),999999)," за период",
IF(WI29=IFERROR(SEARCH(" в размере",WD$4,WG29),99999)," в размере",
IF(WI29=IFERROR(SEARCH(" и ",WD$4,WG29),99999)," и ",
IF(WI29=IFERROR(SEARCH(")",WD$4,WG29),99999),")",
))))))</f>
        <v>.</v>
      </c>
      <c r="WI29" s="406">
        <f>IFERROR(MIN(IFERROR(SEARCH(".",WD$4,WG29),99999),IFERROR(SEARCH(",",WD$4,WG29),99999),IFERROR(SEARCH(" за период",WD$4,WG29),999999),IFERROR(SEARCH(" в размере",WD$4,WG29),99999),IFERROR(SEARCH(" и ",WD$4,WG29),99999),IFERROR(SEARCH(")",WD$4,WG29),99999)),"ОШИБКА")</f>
        <v>99999</v>
      </c>
      <c r="WJ29" s="406" t="e">
        <f>WI29-WG29</f>
        <v>#VALUE!</v>
      </c>
      <c r="WK29" s="873" t="e">
        <f>MID(WD$4,WG29,WJ29)</f>
        <v>#VALUE!</v>
      </c>
      <c r="WL29" s="825" t="str">
        <f>IFERROR(INDEX($DU:$DU,MATCH(MID(WD$4,WG29,WJ29),$DT:$DT,0),1),"")</f>
        <v/>
      </c>
      <c r="WQ29" s="1464"/>
      <c r="WR29" s="306"/>
      <c r="WS29" s="836" t="e">
        <f>SEARCH(" ",$SQ$7,WU28+1)+1</f>
        <v>#VALUE!</v>
      </c>
      <c r="WT29" s="306" t="s">
        <v>8432</v>
      </c>
      <c r="WU29" s="306" t="e">
        <f>SEARCH(WT29,$SQ$7,WS29)</f>
        <v>#VALUE!</v>
      </c>
      <c r="WV29" s="306" t="e">
        <f>WU29-WS29</f>
        <v>#VALUE!</v>
      </c>
      <c r="WW29" s="826" t="e">
        <f>IF(WX24="Штраф 50%","",MID($SQ$7,WS29,WV29))</f>
        <v>#VALUE!</v>
      </c>
      <c r="WX29" s="829"/>
      <c r="XC29" s="1475">
        <v>7</v>
      </c>
      <c r="XD29" s="1030" t="s">
        <v>8433</v>
      </c>
      <c r="XE29" s="406" t="e">
        <f>SEARCH($TJ$14,XB$4,XG25)+LEN($TJ$14)</f>
        <v>#VALUE!</v>
      </c>
      <c r="XF29" s="406" t="str">
        <f>IF(XG29=IFERROR(SEARCH(".",XB$4,XE29),99999),".",
IF(XG29=IFERROR(SEARCH(",",XB$4,XE29),99999),",",
IF(XG29=IFERROR(SEARCH(" за период",XB$4,XE29),999999)," за период",
IF(XG29=IFERROR(SEARCH(" в размере",XB$4,XE29),99999)," в размере",
IF(XG29=IFERROR(SEARCH(" и ",XB$4,XE29),99999)," и ",
IF(XG29=IFERROR(SEARCH(")",XB$4,XE29),99999),")",
))))))</f>
        <v>.</v>
      </c>
      <c r="XG29" s="406">
        <f>IFERROR(MIN(IFERROR(SEARCH(".",XB$4,XE29),99999),IFERROR(SEARCH(",",XB$4,XE29),99999),IFERROR(SEARCH(" за период",XB$4,XE29),999999),IFERROR(SEARCH(" в размере",XB$4,XE29),99999),IFERROR(SEARCH(" и ",XB$4,XE29),99999),IFERROR(SEARCH(")",XB$4,XE29),99999)),"ОШИБКА")</f>
        <v>99999</v>
      </c>
      <c r="XH29" s="406" t="e">
        <f>XG29-XE29</f>
        <v>#VALUE!</v>
      </c>
      <c r="XI29" s="873" t="e">
        <f>MID(XB$4,XE29,XH29)</f>
        <v>#VALUE!</v>
      </c>
      <c r="XJ29" s="825" t="str">
        <f>IFERROR(INDEX($DU:$DU,MATCH(MID(XB$4,XE29,XH29),$DT:$DT,0),1),"")</f>
        <v/>
      </c>
      <c r="YG29" s="1464"/>
      <c r="YH29" s="306"/>
      <c r="YI29" s="836" t="e">
        <f>SEARCH(" ",$XU$3,YK28+1)+1</f>
        <v>#VALUE!</v>
      </c>
      <c r="YJ29" s="306" t="s">
        <v>8432</v>
      </c>
      <c r="YK29" s="306" t="e">
        <f>SEARCH(YJ29,$XU$3,YI29)</f>
        <v>#VALUE!</v>
      </c>
      <c r="YL29" s="306" t="e">
        <f>YK29-YI29</f>
        <v>#VALUE!</v>
      </c>
      <c r="YM29" s="826" t="e">
        <f>IF(YN24="Штраф 50%","",MID($XU$3,YI29,YL29))</f>
        <v>#VALUE!</v>
      </c>
      <c r="YN29" s="829"/>
      <c r="YS29" s="1464"/>
      <c r="YT29" s="306"/>
      <c r="YU29" s="836" t="e">
        <f>SEARCH(" ",$XU$4,YW28+1)+1</f>
        <v>#VALUE!</v>
      </c>
      <c r="YV29" s="306" t="s">
        <v>8432</v>
      </c>
      <c r="YW29" s="306" t="e">
        <f>SEARCH(YV29,$XU$4,YU29)</f>
        <v>#VALUE!</v>
      </c>
      <c r="YX29" s="306" t="e">
        <f>YW29-YU29</f>
        <v>#VALUE!</v>
      </c>
      <c r="YY29" s="826" t="e">
        <f>IF(YZ24="Штраф 50%","",MID($XU$4,YU29,YX29))</f>
        <v>#VALUE!</v>
      </c>
      <c r="YZ29" s="829"/>
      <c r="ZE29" s="1464"/>
      <c r="ZF29" s="306"/>
      <c r="ZG29" s="836" t="e">
        <f>SEARCH(" ",$XU$5,ZI28+1)+1</f>
        <v>#VALUE!</v>
      </c>
      <c r="ZH29" s="306" t="s">
        <v>8432</v>
      </c>
      <c r="ZI29" s="306" t="e">
        <f>SEARCH(ZH29,$XU$5,ZG29)</f>
        <v>#VALUE!</v>
      </c>
      <c r="ZJ29" s="306" t="e">
        <f>ZI29-ZG29</f>
        <v>#VALUE!</v>
      </c>
      <c r="ZK29" s="826" t="e">
        <f>IF(ZL24="Штраф 50%","",MID($XU$5,ZG29,ZJ29))</f>
        <v>#VALUE!</v>
      </c>
      <c r="ZL29" s="829"/>
      <c r="ZQ29" s="1464"/>
      <c r="ZR29" s="306"/>
      <c r="ZS29" s="836" t="e">
        <f>SEARCH(" ",$XU$6,ZU28+1)+1</f>
        <v>#VALUE!</v>
      </c>
      <c r="ZT29" s="306" t="s">
        <v>8432</v>
      </c>
      <c r="ZU29" s="306" t="e">
        <f>SEARCH(ZT29,$XU$6,ZS29)</f>
        <v>#VALUE!</v>
      </c>
      <c r="ZV29" s="306" t="e">
        <f>ZU29-ZS29</f>
        <v>#VALUE!</v>
      </c>
      <c r="ZW29" s="826" t="e">
        <f>IF(ZX24="Штраф 50%","",MID($XU$6,ZS29,ZV29))</f>
        <v>#VALUE!</v>
      </c>
      <c r="ZX29" s="829"/>
      <c r="AAC29" s="1464"/>
      <c r="AAD29" s="306"/>
      <c r="AAE29" s="836" t="e">
        <f>SEARCH(" ",$XU$7,AAG28+1)+1</f>
        <v>#VALUE!</v>
      </c>
      <c r="AAF29" s="306" t="s">
        <v>8432</v>
      </c>
      <c r="AAG29" s="306" t="e">
        <f>SEARCH(AAF29,$XU$7,AAE29)</f>
        <v>#VALUE!</v>
      </c>
      <c r="AAH29" s="306" t="e">
        <f>AAG29-AAE29</f>
        <v>#VALUE!</v>
      </c>
      <c r="AAI29" s="826" t="e">
        <f>IF(AAJ24="Штраф 50%","",MID($XU$7,AAE29,AAH29))</f>
        <v>#VALUE!</v>
      </c>
      <c r="AAJ29" s="829"/>
      <c r="AAV29" t="str">
        <f t="shared" si="141"/>
        <v>$$$$</v>
      </c>
      <c r="AAW29" s="947" t="e">
        <f t="shared" si="150"/>
        <v>#VALUE!</v>
      </c>
      <c r="AAX29" s="5"/>
      <c r="AAY29" s="5"/>
      <c r="AAZ29" s="5"/>
      <c r="ABA29" s="1487"/>
      <c r="ADF29" s="5"/>
      <c r="ADR29" s="1080" t="str">
        <f>IFERROR(ADG6,"")</f>
        <v/>
      </c>
      <c r="AEJ29" s="961"/>
      <c r="AEK29" s="961"/>
      <c r="AEL29" s="961"/>
      <c r="AFE29" s="1464"/>
      <c r="AFF29" s="306"/>
      <c r="AFG29" s="836" t="e">
        <f>SEARCH(" ",AFD$4,AFI28+1)+1</f>
        <v>#VALUE!</v>
      </c>
      <c r="AFH29" s="306" t="s">
        <v>8432</v>
      </c>
      <c r="AFI29" s="306" t="e">
        <f>SEARCH(AFH29,AFD$4,AFG29)</f>
        <v>#VALUE!</v>
      </c>
      <c r="AFJ29" s="306" t="e">
        <f>AFI29-AFG29</f>
        <v>#VALUE!</v>
      </c>
      <c r="AFK29" s="826" t="e">
        <f>IF(AFL24="Штраф 50%","",MID(AFD$4,AFG29,AFJ29))</f>
        <v>#VALUE!</v>
      </c>
      <c r="AFL29" s="829"/>
      <c r="AFQ29" s="1464"/>
      <c r="AFR29" s="306"/>
      <c r="AFS29" s="836" t="e">
        <f>SEARCH(" ",AFP$4,AFU28+1)+1</f>
        <v>#VALUE!</v>
      </c>
      <c r="AFT29" s="306" t="s">
        <v>8432</v>
      </c>
      <c r="AFU29" s="306" t="e">
        <f>SEARCH(AFT29,AFP$4,AFS29)</f>
        <v>#VALUE!</v>
      </c>
      <c r="AFV29" s="306" t="e">
        <f>AFU29-AFS29</f>
        <v>#VALUE!</v>
      </c>
      <c r="AFW29" s="826" t="e">
        <f>IF(AFX24="Штраф 50%","",MID(AFP$4,AFS29,AFV29))</f>
        <v>#VALUE!</v>
      </c>
      <c r="AFX29" s="829"/>
      <c r="AGC29" s="1464"/>
      <c r="AGD29" s="306"/>
      <c r="AGE29" s="836" t="e">
        <f>SEARCH(" ",AGB$4,AGG28+1)+1</f>
        <v>#VALUE!</v>
      </c>
      <c r="AGF29" s="306" t="s">
        <v>8432</v>
      </c>
      <c r="AGG29" s="306" t="e">
        <f>SEARCH(AGF29,AGB$4,AGE29)</f>
        <v>#VALUE!</v>
      </c>
      <c r="AGH29" s="306" t="e">
        <f>AGG29-AGE29</f>
        <v>#VALUE!</v>
      </c>
      <c r="AGI29" s="826" t="e">
        <f>IF(AGJ24="Штраф 50%","",MID(AGB$4,AGE29,AGH29))</f>
        <v>#VALUE!</v>
      </c>
      <c r="AGJ29" s="829"/>
      <c r="AGO29" s="1464"/>
      <c r="AGP29" s="306"/>
      <c r="AGQ29" s="836" t="e">
        <f>SEARCH(" ",AGN$4,AGS28+1)+1</f>
        <v>#VALUE!</v>
      </c>
      <c r="AGR29" s="306" t="s">
        <v>8432</v>
      </c>
      <c r="AGS29" s="306" t="e">
        <f>SEARCH(AGR29,AGN$4,AGQ29)</f>
        <v>#VALUE!</v>
      </c>
      <c r="AGT29" s="306" t="e">
        <f>AGS29-AGQ29</f>
        <v>#VALUE!</v>
      </c>
      <c r="AGU29" s="826" t="e">
        <f>IF(AGV24="Штраф 50%","",MID(AGN$4,AGQ29,AGT29))</f>
        <v>#VALUE!</v>
      </c>
      <c r="AGV29" s="829"/>
      <c r="AHA29" s="1464"/>
      <c r="AHB29" s="306"/>
      <c r="AHC29" s="836" t="e">
        <f>SEARCH(" ",AGZ$4,AHE28+1)+1</f>
        <v>#VALUE!</v>
      </c>
      <c r="AHD29" s="306" t="s">
        <v>8432</v>
      </c>
      <c r="AHE29" s="306" t="e">
        <f>SEARCH(AHD29,AGZ$4,AHC29)</f>
        <v>#VALUE!</v>
      </c>
      <c r="AHF29" s="306" t="e">
        <f>AHE29-AHC29</f>
        <v>#VALUE!</v>
      </c>
      <c r="AHG29" s="826" t="e">
        <f>IF(AHH24="Штраф 50%","",MID(AGZ$4,AHC29,AHF29))</f>
        <v>#VALUE!</v>
      </c>
      <c r="AHH29" s="829"/>
      <c r="AIJ29" t="s">
        <v>10061</v>
      </c>
      <c r="AIK29" t="s">
        <v>1476</v>
      </c>
      <c r="AIL29" s="1235" t="e">
        <f t="shared" si="68"/>
        <v>#VALUE!</v>
      </c>
      <c r="AKA29" s="116"/>
      <c r="AKK29" s="116"/>
      <c r="AKU29" s="116"/>
      <c r="ALE29" s="116"/>
      <c r="ALO29" s="116"/>
      <c r="ALP29" s="116"/>
      <c r="AMG29" t="str">
        <f t="shared" si="143"/>
        <v>Респ Северная Осетия - Алания</v>
      </c>
      <c r="AMH29" t="str">
        <f t="shared" si="144"/>
        <v>Республика Северная Осетия - Алания</v>
      </c>
      <c r="AMI29" s="1235" t="e">
        <f t="shared" si="75"/>
        <v>#VALUE!</v>
      </c>
      <c r="ANX29" s="116"/>
      <c r="AOH29" s="116"/>
      <c r="AOR29" s="116"/>
      <c r="APB29" s="116"/>
      <c r="APL29" s="116"/>
      <c r="APM29" s="116"/>
    </row>
    <row r="30" spans="1:1023 1064:1105" ht="14.4" customHeight="1" thickBot="1" x14ac:dyDescent="0.35">
      <c r="A30" s="116"/>
      <c r="B30" s="116"/>
      <c r="C30" s="116"/>
      <c r="D30" s="116"/>
      <c r="E30" s="116"/>
      <c r="F30" s="116"/>
      <c r="G30" s="116"/>
      <c r="H30" s="116"/>
      <c r="I30" s="116"/>
      <c r="J30" s="116"/>
      <c r="K30" s="116"/>
      <c r="L30" s="116"/>
      <c r="M30" s="116"/>
      <c r="N30" s="116"/>
      <c r="O30" s="116"/>
      <c r="P30" s="116"/>
      <c r="Q30" s="116"/>
      <c r="R30" s="116"/>
      <c r="S30" s="116"/>
      <c r="T30" s="116"/>
      <c r="U30" s="116"/>
      <c r="V30" s="116"/>
      <c r="W30" s="116"/>
      <c r="X30" s="116"/>
      <c r="Y30" s="116"/>
      <c r="Z30" s="116"/>
      <c r="AA30" s="116"/>
      <c r="AB30" s="116"/>
      <c r="AC30" s="116"/>
      <c r="AD30" s="116"/>
      <c r="AE30" s="116"/>
      <c r="AF30" s="116"/>
      <c r="AG30" s="116"/>
      <c r="AH30" s="116"/>
      <c r="AI30" s="116"/>
      <c r="AJ30" s="116"/>
      <c r="AK30" s="116"/>
      <c r="AL30" s="116"/>
      <c r="AM30" s="116"/>
      <c r="AN30" s="116"/>
      <c r="AO30" s="116"/>
      <c r="AP30" s="116"/>
      <c r="AQ30" s="116"/>
      <c r="AR30" s="116"/>
      <c r="AS30" s="116"/>
      <c r="AT30" s="116"/>
      <c r="AU30" s="116"/>
      <c r="AV30" s="116"/>
      <c r="AW30" s="116"/>
      <c r="AX30" s="116"/>
      <c r="AY30" s="116"/>
      <c r="AZ30" s="116"/>
      <c r="BA30" s="116"/>
      <c r="BB30" s="116"/>
      <c r="BC30" s="116"/>
      <c r="BD30" s="116"/>
      <c r="BE30" s="116"/>
      <c r="BF30" s="116"/>
      <c r="BG30" s="116"/>
      <c r="BH30" s="116"/>
      <c r="BI30" s="116"/>
      <c r="BJ30" s="116"/>
      <c r="BK30" s="116"/>
      <c r="BL30" s="116"/>
      <c r="BM30" s="116"/>
      <c r="BN30" s="116"/>
      <c r="BO30" s="116"/>
      <c r="BP30" s="116"/>
      <c r="BQ30" s="116"/>
      <c r="BR30" s="116"/>
      <c r="BS30" s="116"/>
      <c r="BT30" s="116"/>
      <c r="BU30" s="116"/>
      <c r="BV30" s="116"/>
      <c r="BW30" s="116"/>
      <c r="BX30" s="116"/>
      <c r="BY30" s="116"/>
      <c r="BZ30" s="116"/>
      <c r="CA30" s="116"/>
      <c r="CB30" s="116"/>
      <c r="CC30" s="116"/>
      <c r="CD30" s="116"/>
      <c r="CE30" s="116"/>
      <c r="CF30" s="116"/>
      <c r="CG30" s="116"/>
      <c r="CH30" s="116"/>
      <c r="CI30" s="116"/>
      <c r="CJ30" s="116"/>
      <c r="CK30" s="116"/>
      <c r="CL30" s="116"/>
      <c r="CM30" s="116"/>
      <c r="CN30" s="116"/>
      <c r="CO30" s="116"/>
      <c r="CP30" s="116"/>
      <c r="CQ30" s="116"/>
      <c r="CR30" s="116"/>
      <c r="CS30" s="116"/>
      <c r="CT30" s="116"/>
      <c r="CU30" s="116"/>
      <c r="CV30" s="116"/>
      <c r="CW30" s="116"/>
      <c r="CX30" s="116"/>
      <c r="CY30" s="116"/>
      <c r="CZ30" s="116"/>
      <c r="DA30" s="116"/>
      <c r="DB30" s="116"/>
      <c r="DC30" s="116"/>
      <c r="DD30" s="116"/>
      <c r="DE30" s="116"/>
      <c r="DF30" s="116"/>
      <c r="DG30" s="116"/>
      <c r="DH30" s="116"/>
      <c r="DI30" s="116"/>
      <c r="DJ30" s="116"/>
      <c r="DK30" s="116"/>
      <c r="DL30" s="116"/>
      <c r="DM30" s="116"/>
      <c r="DN30" s="116"/>
      <c r="DO30" s="116"/>
      <c r="DP30" s="116"/>
      <c r="DQ30" s="116"/>
      <c r="DR30" t="s">
        <v>103</v>
      </c>
      <c r="DT30" t="s">
        <v>104</v>
      </c>
      <c r="DU30" s="431" t="s">
        <v>103</v>
      </c>
      <c r="DV30" s="1465"/>
      <c r="DW30" s="583"/>
      <c r="DX30" s="837"/>
      <c r="DY30" s="583"/>
      <c r="DZ30" s="583"/>
      <c r="EA30" s="583"/>
      <c r="EB30" s="831" t="e">
        <f>VALUE(CONCATENATE(EB28,",",EB29))</f>
        <v>#VALUE!</v>
      </c>
      <c r="EC30" s="832" t="str">
        <f>IF(EC24="Штраф 50%","",IF(OR(DY27=" в размере",DY24=" в размере"),EB30,""))</f>
        <v/>
      </c>
      <c r="FC30" s="116"/>
      <c r="FD30" s="116"/>
      <c r="FE30" s="116"/>
      <c r="FF30" s="116"/>
      <c r="FI30" s="116"/>
      <c r="LY30" t="s">
        <v>9860</v>
      </c>
      <c r="NK30" s="1465"/>
      <c r="NL30" s="583"/>
      <c r="NM30" s="837"/>
      <c r="NN30" s="583"/>
      <c r="NO30" s="583"/>
      <c r="NP30" s="583"/>
      <c r="NQ30" s="831" t="e">
        <f>VALUE(CONCATENATE(NQ28,",",NQ29))</f>
        <v>#VALUE!</v>
      </c>
      <c r="NR30" s="832" t="str">
        <f>IF(NR24="Штраф 50%","",IF(OR(NN27=" в размере",NN24=" в размере"),NQ30,""))</f>
        <v/>
      </c>
      <c r="OC30" s="1472"/>
      <c r="OD30" s="946" t="str">
        <f t="shared" si="131"/>
        <v>$$$$</v>
      </c>
      <c r="OE30" s="947" t="e">
        <f t="shared" si="145"/>
        <v>#VALUE!</v>
      </c>
      <c r="OF30" s="947"/>
      <c r="OG30" s="920"/>
      <c r="OH30" s="920"/>
      <c r="OI30" s="947"/>
      <c r="OJ30" s="947"/>
      <c r="OK30" s="947"/>
      <c r="OL30" s="1474"/>
      <c r="OY30" s="116"/>
      <c r="OZ30" s="959"/>
      <c r="PA30" s="1210"/>
      <c r="PB30" s="959"/>
      <c r="PC30" s="116"/>
      <c r="PD30" s="1000"/>
      <c r="PF30" s="1209"/>
      <c r="PG30" s="1208"/>
      <c r="PH30" s="1209"/>
      <c r="PI30" s="5"/>
      <c r="PJ30" s="1073"/>
      <c r="PK30" s="99"/>
      <c r="PL30" s="920"/>
      <c r="PM30" s="995"/>
      <c r="PN30" s="920"/>
      <c r="PO30" s="254"/>
      <c r="PP30" s="871"/>
      <c r="PQ30" t="str">
        <f t="shared" si="133"/>
        <v>$$$$</v>
      </c>
      <c r="PR30" s="937" t="e">
        <f t="shared" si="146"/>
        <v>#VALUE!</v>
      </c>
      <c r="PS30" s="5"/>
      <c r="PV30" s="937"/>
      <c r="PX30" s="5"/>
      <c r="PY30" s="1470"/>
      <c r="PZ30" t="str">
        <f t="shared" si="135"/>
        <v>$$$$</v>
      </c>
      <c r="QA30" s="937" t="e">
        <f t="shared" si="147"/>
        <v>#VALUE!</v>
      </c>
      <c r="QB30" s="5"/>
      <c r="QC30" s="264"/>
      <c r="QE30" s="937"/>
      <c r="QF30" s="264"/>
      <c r="QG30" s="5"/>
      <c r="QH30" s="1470"/>
      <c r="QI30" t="str">
        <f t="shared" si="137"/>
        <v>$$$$</v>
      </c>
      <c r="QJ30" s="937" t="e">
        <f t="shared" si="148"/>
        <v>#VALUE!</v>
      </c>
      <c r="QK30" s="5"/>
      <c r="QL30" s="264"/>
      <c r="QN30" s="937"/>
      <c r="QO30" s="264"/>
      <c r="QP30" s="5"/>
      <c r="QQ30" s="1470"/>
      <c r="QR30" t="str">
        <f t="shared" si="139"/>
        <v>$$$$</v>
      </c>
      <c r="QS30" s="937" t="e">
        <f t="shared" si="149"/>
        <v>#VALUE!</v>
      </c>
      <c r="QT30" s="5"/>
      <c r="QU30" s="264"/>
      <c r="QW30" s="937"/>
      <c r="QX30" s="264"/>
      <c r="QY30" s="5"/>
      <c r="QZ30" s="1470"/>
      <c r="RA30" s="1098" t="s">
        <v>5580</v>
      </c>
      <c r="RB30" s="1099" t="str">
        <f>IFERROR(QZ39,"")</f>
        <v/>
      </c>
      <c r="SQ30" s="979"/>
      <c r="SY30" s="1465"/>
      <c r="SZ30" s="583"/>
      <c r="TA30" s="837"/>
      <c r="TB30" s="583"/>
      <c r="TC30" s="583"/>
      <c r="TD30" s="583"/>
      <c r="TE30" s="831" t="e">
        <f>VALUE(CONCATENATE(TE28,",",TE29))</f>
        <v>#VALUE!</v>
      </c>
      <c r="TF30" s="832" t="str">
        <f>IF(OR(TF24="Штраф 50%",TF24=""),"",TE30)</f>
        <v/>
      </c>
      <c r="TK30" s="1476"/>
      <c r="TL30" s="1031" t="s">
        <v>8249</v>
      </c>
      <c r="TM30" s="836">
        <f>IFERROR(MIN(IFERROR(SEARCH(", ",TJ$4,TO25)+LEN(", "),99999),IFERROR(SEARCH("и ",TJ$4,TO25)+LEN("и "),99999)),"ОШИБКА")</f>
        <v>99999</v>
      </c>
      <c r="TN30" s="306" t="s">
        <v>8431</v>
      </c>
      <c r="TO30" s="306" t="e">
        <f>SEARCH(TN30,TJ$4,TM30)</f>
        <v>#VALUE!</v>
      </c>
      <c r="TP30" s="306" t="e">
        <f>TO30-TM30</f>
        <v>#VALUE!</v>
      </c>
      <c r="TQ30" s="826" t="e">
        <f>IF(TR29="Штраф 50%","",MID(TJ$4,TM30,TP30))</f>
        <v>#VALUE!</v>
      </c>
      <c r="TR30" s="828" t="str">
        <f>IF(TN29=" за период",TQ30,"")</f>
        <v/>
      </c>
      <c r="TW30" s="1465"/>
      <c r="TX30" s="583"/>
      <c r="TY30" s="837"/>
      <c r="TZ30" s="583"/>
      <c r="UA30" s="583"/>
      <c r="UB30" s="583"/>
      <c r="UC30" s="831" t="e">
        <f>VALUE(CONCATENATE(UC28,",",UC29))</f>
        <v>#VALUE!</v>
      </c>
      <c r="UD30" s="832" t="str">
        <f>IF(OR(UD24="Штраф 50%",UD24=""),"",UC30)</f>
        <v/>
      </c>
      <c r="UI30" s="1476"/>
      <c r="UJ30" s="1031" t="s">
        <v>8249</v>
      </c>
      <c r="UK30" s="836">
        <f>IFERROR(MIN(IFERROR(SEARCH(", ",UH$4,UM25)+LEN(", "),99999),IFERROR(SEARCH("и ",UH$4,UM25)+LEN("и "),99999)),"ОШИБКА")</f>
        <v>99999</v>
      </c>
      <c r="UL30" s="306" t="s">
        <v>8431</v>
      </c>
      <c r="UM30" s="306" t="e">
        <f>SEARCH(UL30,UH$4,UK30)</f>
        <v>#VALUE!</v>
      </c>
      <c r="UN30" s="306" t="e">
        <f>UM30-UK30</f>
        <v>#VALUE!</v>
      </c>
      <c r="UO30" s="826" t="e">
        <f>IF(UP29="Штраф 50%","",MID(UH$4,UK30,UN30))</f>
        <v>#VALUE!</v>
      </c>
      <c r="UP30" s="828" t="str">
        <f>IF(UL29=" за период",UO30,"")</f>
        <v/>
      </c>
      <c r="UU30" s="1465"/>
      <c r="UV30" s="583"/>
      <c r="UW30" s="837"/>
      <c r="UX30" s="583"/>
      <c r="UY30" s="583"/>
      <c r="UZ30" s="583"/>
      <c r="VA30" s="831" t="e">
        <f>VALUE(CONCATENATE(VA28,",",VA29))</f>
        <v>#VALUE!</v>
      </c>
      <c r="VB30" s="832" t="str">
        <f>IF(OR(VB24="Штраф 50%",VB24=""),"",VA30)</f>
        <v/>
      </c>
      <c r="VG30" s="1476"/>
      <c r="VH30" s="1031" t="s">
        <v>8249</v>
      </c>
      <c r="VI30" s="836">
        <f>IFERROR(MIN(IFERROR(SEARCH(", ",VF$4,VK25)+LEN(", "),99999),IFERROR(SEARCH("и ",VF$4,VK25)+LEN("и "),99999)),"ОШИБКА")</f>
        <v>99999</v>
      </c>
      <c r="VJ30" s="306" t="s">
        <v>8431</v>
      </c>
      <c r="VK30" s="306" t="e">
        <f>SEARCH(VJ30,VF$4,VI30)</f>
        <v>#VALUE!</v>
      </c>
      <c r="VL30" s="306" t="e">
        <f>VK30-VI30</f>
        <v>#VALUE!</v>
      </c>
      <c r="VM30" s="826" t="e">
        <f>IF(VN29="Штраф 50%","",MID(VF$4,VI30,VL30))</f>
        <v>#VALUE!</v>
      </c>
      <c r="VN30" s="828" t="str">
        <f>IF(VJ29=" за период",VM30,"")</f>
        <v/>
      </c>
      <c r="VS30" s="1465"/>
      <c r="VT30" s="583"/>
      <c r="VU30" s="837"/>
      <c r="VV30" s="583"/>
      <c r="VW30" s="583"/>
      <c r="VX30" s="583"/>
      <c r="VY30" s="831" t="e">
        <f>VALUE(CONCATENATE(VY28,",",VY29))</f>
        <v>#VALUE!</v>
      </c>
      <c r="VZ30" s="832" t="str">
        <f>IF(OR(VZ24="Штраф 50%",VZ24=""),"",VY30)</f>
        <v/>
      </c>
      <c r="WE30" s="1476"/>
      <c r="WF30" s="1031" t="s">
        <v>8249</v>
      </c>
      <c r="WG30" s="836">
        <f>IFERROR(MIN(IFERROR(SEARCH(", ",WD$4,WI25)+LEN(", "),99999),IFERROR(SEARCH("и ",WD$4,WI25)+LEN("и "),99999)),"ОШИБКА")</f>
        <v>99999</v>
      </c>
      <c r="WH30" s="306" t="s">
        <v>8431</v>
      </c>
      <c r="WI30" s="306" t="e">
        <f>SEARCH(WH30,WD$4,WG30)</f>
        <v>#VALUE!</v>
      </c>
      <c r="WJ30" s="306" t="e">
        <f>WI30-WG30</f>
        <v>#VALUE!</v>
      </c>
      <c r="WK30" s="826" t="e">
        <f>IF(WL29="Штраф 50%","",MID(WD$4,WG30,WJ30))</f>
        <v>#VALUE!</v>
      </c>
      <c r="WL30" s="828" t="str">
        <f>IF(WH29=" за период",WK30,"")</f>
        <v/>
      </c>
      <c r="WQ30" s="1465"/>
      <c r="WR30" s="583"/>
      <c r="WS30" s="837"/>
      <c r="WT30" s="583"/>
      <c r="WU30" s="583"/>
      <c r="WV30" s="583"/>
      <c r="WW30" s="831" t="e">
        <f>VALUE(CONCATENATE(WW28,",",WW29))</f>
        <v>#VALUE!</v>
      </c>
      <c r="WX30" s="832" t="str">
        <f>IF(OR(WX24="Штраф 50%",WX24=""),"",WW30)</f>
        <v/>
      </c>
      <c r="XC30" s="1476"/>
      <c r="XD30" s="1031" t="s">
        <v>8249</v>
      </c>
      <c r="XE30" s="836">
        <f>IFERROR(MIN(IFERROR(SEARCH(", ",XB$4,XG25)+LEN(", "),99999),IFERROR(SEARCH("и ",XB$4,XG25)+LEN("и "),99999)),"ОШИБКА")</f>
        <v>99999</v>
      </c>
      <c r="XF30" s="306" t="s">
        <v>8431</v>
      </c>
      <c r="XG30" s="306" t="e">
        <f>SEARCH(XF30,XB$4,XE30)</f>
        <v>#VALUE!</v>
      </c>
      <c r="XH30" s="306" t="e">
        <f>XG30-XE30</f>
        <v>#VALUE!</v>
      </c>
      <c r="XI30" s="826" t="e">
        <f>IF(XJ29="Штраф 50%","",MID(XB$4,XE30,XH30))</f>
        <v>#VALUE!</v>
      </c>
      <c r="XJ30" s="828" t="str">
        <f>IF(XF29=" за период",XI30,"")</f>
        <v/>
      </c>
      <c r="YG30" s="1465"/>
      <c r="YH30" s="583"/>
      <c r="YI30" s="837"/>
      <c r="YJ30" s="583"/>
      <c r="YK30" s="583"/>
      <c r="YL30" s="583"/>
      <c r="YM30" s="831" t="e">
        <f>VALUE(CONCATENATE(YM28,",",YM29))</f>
        <v>#VALUE!</v>
      </c>
      <c r="YN30" s="832" t="str">
        <f>IF(YN24="Штраф 50%","",IF(OR(YJ27=" в размере",YJ24=" в размере"),YM30,""))</f>
        <v/>
      </c>
      <c r="YS30" s="1465"/>
      <c r="YT30" s="583"/>
      <c r="YU30" s="837"/>
      <c r="YV30" s="583"/>
      <c r="YW30" s="583"/>
      <c r="YX30" s="583"/>
      <c r="YY30" s="831" t="e">
        <f>VALUE(CONCATENATE(YY28,",",YY29))</f>
        <v>#VALUE!</v>
      </c>
      <c r="YZ30" s="832" t="str">
        <f>IF(YZ24="Штраф 50%","",IF(OR(YV27=" в размере",YV24=" в размере"),YY30,""))</f>
        <v/>
      </c>
      <c r="ZE30" s="1465"/>
      <c r="ZF30" s="583"/>
      <c r="ZG30" s="837"/>
      <c r="ZH30" s="583"/>
      <c r="ZI30" s="583"/>
      <c r="ZJ30" s="583"/>
      <c r="ZK30" s="831" t="e">
        <f>VALUE(CONCATENATE(ZK28,",",ZK29))</f>
        <v>#VALUE!</v>
      </c>
      <c r="ZL30" s="832" t="str">
        <f>IF(ZL24="Штраф 50%","",IF(OR(ZH27=" в размере",ZH24=" в размере"),ZK30,""))</f>
        <v/>
      </c>
      <c r="ZQ30" s="1465"/>
      <c r="ZR30" s="583"/>
      <c r="ZS30" s="837"/>
      <c r="ZT30" s="583"/>
      <c r="ZU30" s="583"/>
      <c r="ZV30" s="583"/>
      <c r="ZW30" s="831" t="e">
        <f>VALUE(CONCATENATE(ZW28,",",ZW29))</f>
        <v>#VALUE!</v>
      </c>
      <c r="ZX30" s="832" t="str">
        <f>IF(ZX24="Штраф 50%","",IF(OR(ZT27=" в размере",ZT24=" в размере"),ZW30,""))</f>
        <v/>
      </c>
      <c r="AAC30" s="1465"/>
      <c r="AAD30" s="583"/>
      <c r="AAE30" s="837"/>
      <c r="AAF30" s="583"/>
      <c r="AAG30" s="583"/>
      <c r="AAH30" s="583"/>
      <c r="AAI30" s="831" t="e">
        <f>VALUE(CONCATENATE(AAI28,",",AAI29))</f>
        <v>#VALUE!</v>
      </c>
      <c r="AAJ30" s="832" t="str">
        <f>IF(AAJ24="Штраф 50%","",IF(OR(AAF27=" в размере",AAF24=" в размере"),AAI30,""))</f>
        <v/>
      </c>
      <c r="AAV30" t="str">
        <f t="shared" si="141"/>
        <v>$$$$</v>
      </c>
      <c r="AAW30" s="947" t="e">
        <f t="shared" si="150"/>
        <v>#VALUE!</v>
      </c>
      <c r="AAX30" s="5"/>
      <c r="AAY30" s="5"/>
      <c r="AAZ30" s="5"/>
      <c r="ABA30" s="1487"/>
      <c r="ADF30" s="5"/>
      <c r="ADG30" s="1075"/>
      <c r="ADQ30" s="1075"/>
      <c r="ADR30" s="1081" t="str">
        <f>IFERROR(ADQ6,"")</f>
        <v/>
      </c>
      <c r="AEJ30" s="961"/>
      <c r="AEK30" s="961"/>
      <c r="AEL30" s="961"/>
      <c r="AEX30" s="1070"/>
      <c r="AFA30" s="1070"/>
      <c r="AFE30" s="1465"/>
      <c r="AFF30" s="583"/>
      <c r="AFG30" s="837"/>
      <c r="AFH30" s="583"/>
      <c r="AFI30" s="583"/>
      <c r="AFJ30" s="583"/>
      <c r="AFK30" s="831" t="e">
        <f>VALUE(CONCATENATE(AFK28,",",AFK29))</f>
        <v>#VALUE!</v>
      </c>
      <c r="AFL30" s="832" t="str">
        <f>IF(AFL24="Штраф 50%","",IF(OR(AFH27=" в размере",AFH24=" в размере"),AFK30,""))</f>
        <v/>
      </c>
      <c r="AFQ30" s="1465"/>
      <c r="AFR30" s="583"/>
      <c r="AFS30" s="837"/>
      <c r="AFT30" s="583"/>
      <c r="AFU30" s="583"/>
      <c r="AFV30" s="583"/>
      <c r="AFW30" s="831" t="e">
        <f>VALUE(CONCATENATE(AFW28,",",AFW29))</f>
        <v>#VALUE!</v>
      </c>
      <c r="AFX30" s="832" t="str">
        <f>IF(AFX24="Штраф 50%","",IF(OR(AFT27=" в размере",AFT24=" в размере"),AFW30,""))</f>
        <v/>
      </c>
      <c r="AGC30" s="1465"/>
      <c r="AGD30" s="583"/>
      <c r="AGE30" s="837"/>
      <c r="AGF30" s="583"/>
      <c r="AGG30" s="583"/>
      <c r="AGH30" s="583"/>
      <c r="AGI30" s="831" t="e">
        <f>VALUE(CONCATENATE(AGI28,",",AGI29))</f>
        <v>#VALUE!</v>
      </c>
      <c r="AGJ30" s="832" t="str">
        <f>IF(AGJ24="Штраф 50%","",IF(OR(AGF27=" в размере",AGF24=" в размере"),AGI30,""))</f>
        <v/>
      </c>
      <c r="AGO30" s="1465"/>
      <c r="AGP30" s="583"/>
      <c r="AGQ30" s="837"/>
      <c r="AGR30" s="583"/>
      <c r="AGS30" s="583"/>
      <c r="AGT30" s="583"/>
      <c r="AGU30" s="831" t="e">
        <f>VALUE(CONCATENATE(AGU28,",",AGU29))</f>
        <v>#VALUE!</v>
      </c>
      <c r="AGV30" s="832" t="str">
        <f>IF(AGV24="Штраф 50%","",IF(OR(AGR27=" в размере",AGR24=" в размере"),AGU30,""))</f>
        <v/>
      </c>
      <c r="AHA30" s="1465"/>
      <c r="AHB30" s="583"/>
      <c r="AHC30" s="837"/>
      <c r="AHD30" s="583"/>
      <c r="AHE30" s="583"/>
      <c r="AHF30" s="583"/>
      <c r="AHG30" s="831" t="e">
        <f>VALUE(CONCATENATE(AHG28,",",AHG29))</f>
        <v>#VALUE!</v>
      </c>
      <c r="AHH30" s="832" t="str">
        <f>IF(AHH24="Штраф 50%","",IF(OR(AHD27=" в размере",AHD24=" в размере"),AHG30,""))</f>
        <v/>
      </c>
      <c r="AIJ30" t="s">
        <v>10363</v>
      </c>
      <c r="AIK30" t="s">
        <v>10364</v>
      </c>
      <c r="AIL30" s="1235" t="e">
        <f t="shared" si="68"/>
        <v>#VALUE!</v>
      </c>
      <c r="AKA30" s="116"/>
      <c r="AKK30" s="116"/>
      <c r="AKU30" s="116"/>
      <c r="ALE30" s="116"/>
      <c r="ALO30" s="116"/>
      <c r="ALP30" s="116"/>
      <c r="AMG30" t="str">
        <f t="shared" si="143"/>
        <v>Респ Адыгея</v>
      </c>
      <c r="AMH30" t="str">
        <f t="shared" si="144"/>
        <v>Республика Адыгея</v>
      </c>
      <c r="AMI30" s="1235" t="e">
        <f t="shared" si="75"/>
        <v>#VALUE!</v>
      </c>
      <c r="ANX30" s="116"/>
      <c r="AOH30" s="116"/>
      <c r="AOR30" s="116"/>
      <c r="APB30" s="116"/>
      <c r="APL30" s="116"/>
      <c r="APM30" s="116"/>
    </row>
    <row r="31" spans="1:1023 1064:1105" ht="14.4" customHeight="1" thickTop="1" x14ac:dyDescent="0.3">
      <c r="A31" s="116"/>
      <c r="B31" s="116"/>
      <c r="C31" s="116"/>
      <c r="D31" s="116"/>
      <c r="E31" s="116"/>
      <c r="F31" s="116"/>
      <c r="G31" s="116"/>
      <c r="H31" s="116"/>
      <c r="I31" s="116"/>
      <c r="J31" s="116"/>
      <c r="K31" s="116"/>
      <c r="L31" s="116"/>
      <c r="M31" s="116"/>
      <c r="N31" s="116"/>
      <c r="O31" s="116"/>
      <c r="P31" s="116"/>
      <c r="Q31" s="116"/>
      <c r="R31" s="116"/>
      <c r="S31" s="116"/>
      <c r="T31" s="116"/>
      <c r="U31" s="116"/>
      <c r="V31" s="116"/>
      <c r="W31" s="116"/>
      <c r="X31" s="116"/>
      <c r="Y31" s="116"/>
      <c r="Z31" s="116"/>
      <c r="AA31" s="116"/>
      <c r="AB31" s="116"/>
      <c r="AC31" s="116"/>
      <c r="AD31" s="116"/>
      <c r="AE31" s="116"/>
      <c r="AF31" s="116"/>
      <c r="AG31" s="116"/>
      <c r="AH31" s="116"/>
      <c r="AI31" s="116"/>
      <c r="AJ31" s="116"/>
      <c r="AK31" s="116"/>
      <c r="AL31" s="116"/>
      <c r="AM31" s="116"/>
      <c r="AN31" s="116"/>
      <c r="AO31" s="116"/>
      <c r="AP31" s="116"/>
      <c r="AQ31" s="116"/>
      <c r="AR31" s="116"/>
      <c r="AS31" s="116"/>
      <c r="AT31" s="116"/>
      <c r="AU31" s="116"/>
      <c r="AV31" s="116"/>
      <c r="AW31" s="116"/>
      <c r="AX31" s="116"/>
      <c r="AY31" s="116"/>
      <c r="AZ31" s="116"/>
      <c r="BA31" s="116"/>
      <c r="BB31" s="116"/>
      <c r="BC31" s="116"/>
      <c r="BD31" s="116"/>
      <c r="BE31" s="116"/>
      <c r="BF31" s="116"/>
      <c r="BG31" s="116"/>
      <c r="BH31" s="116"/>
      <c r="BI31" s="116"/>
      <c r="BJ31" s="116"/>
      <c r="BK31" s="116"/>
      <c r="BL31" s="116"/>
      <c r="BM31" s="116"/>
      <c r="BN31" s="116"/>
      <c r="BO31" s="116"/>
      <c r="BP31" s="116"/>
      <c r="BQ31" s="116"/>
      <c r="BR31" s="116"/>
      <c r="BS31" s="116"/>
      <c r="BT31" s="116"/>
      <c r="BU31" s="116"/>
      <c r="BV31" s="116"/>
      <c r="BW31" s="116"/>
      <c r="BX31" s="116"/>
      <c r="BY31" s="116"/>
      <c r="BZ31" s="116"/>
      <c r="CA31" s="116"/>
      <c r="CB31" s="116"/>
      <c r="CC31" s="116"/>
      <c r="CD31" s="116"/>
      <c r="CE31" s="116"/>
      <c r="CF31" s="116"/>
      <c r="CG31" s="116"/>
      <c r="CH31" s="116"/>
      <c r="CI31" s="116"/>
      <c r="CJ31" s="116"/>
      <c r="CK31" s="116"/>
      <c r="CL31" s="116"/>
      <c r="CM31" s="116"/>
      <c r="CN31" s="116"/>
      <c r="CO31" s="116"/>
      <c r="CP31" s="116"/>
      <c r="CQ31" s="116"/>
      <c r="CR31" s="116"/>
      <c r="CS31" s="116"/>
      <c r="CT31" s="116"/>
      <c r="CU31" s="116"/>
      <c r="CV31" s="116"/>
      <c r="CW31" s="116"/>
      <c r="CX31" s="116"/>
      <c r="CY31" s="116"/>
      <c r="CZ31" s="116"/>
      <c r="DA31" s="116"/>
      <c r="DB31" s="116"/>
      <c r="DC31" s="116"/>
      <c r="DD31" s="116"/>
      <c r="DE31" s="116"/>
      <c r="DF31" s="116"/>
      <c r="DG31" s="116"/>
      <c r="DH31" s="116"/>
      <c r="DI31" s="116"/>
      <c r="DJ31" s="116"/>
      <c r="DK31" s="116"/>
      <c r="DL31" s="116"/>
      <c r="DM31" s="116"/>
      <c r="DN31" s="116"/>
      <c r="DO31" s="116"/>
      <c r="DP31" s="116"/>
      <c r="DQ31" s="116"/>
      <c r="DR31" s="5"/>
      <c r="DS31" s="5"/>
      <c r="DT31" t="s">
        <v>1101</v>
      </c>
      <c r="DU31" s="431" t="s">
        <v>1250</v>
      </c>
      <c r="DV31" s="1463">
        <v>5</v>
      </c>
      <c r="DW31" s="824" t="s">
        <v>8433</v>
      </c>
      <c r="DX31" s="838" t="e">
        <f>SEARCH(DS$4,$C$3,DZ24)+LEN(DS$4)</f>
        <v>#VALUE!</v>
      </c>
      <c r="DY31" s="406" t="str">
        <f>IF(DZ31=IFERROR(SEARCH(".",C$3,DX31),99999),".",
IF(DZ31=IFERROR(SEARCH(",",C$3,DX31),99999),",",
IF(DZ31=IFERROR(SEARCH(" за период",C$3,DX31),999999)," за период",
IF(DZ31=IFERROR(SEARCH(" в размере",C$3,DX31),99999)," в размере",
))))</f>
        <v>.</v>
      </c>
      <c r="DZ31" s="406">
        <f>IFERROR(MIN(IFERROR(SEARCH(".",$C$3,DX31),99999),IFERROR(SEARCH(",",$C$3,DX31),99999),IFERROR(SEARCH(" за период",$C$3,DX31),999999),IFERROR(SEARCH(" в размере",$C$3,DX31),99999)),"ОШИБКА")</f>
        <v>99999</v>
      </c>
      <c r="EA31" s="406" t="e">
        <f>DZ31-DX31</f>
        <v>#VALUE!</v>
      </c>
      <c r="EB31" s="824" t="e">
        <f>MID($C$3,DX31,EA31)</f>
        <v>#VALUE!</v>
      </c>
      <c r="EC31" s="825" t="str">
        <f>IFERROR(INDEX(DU:DU,MATCH(MID($C$3,DX31,EA31),DT:DT,0),1),"")</f>
        <v/>
      </c>
      <c r="ED31" s="754"/>
      <c r="FC31" s="116"/>
      <c r="FD31" s="116"/>
      <c r="FE31" s="116"/>
      <c r="FF31" s="116"/>
      <c r="FI31" s="116"/>
      <c r="LY31" t="s">
        <v>8513</v>
      </c>
      <c r="NH31" s="5"/>
      <c r="NI31" s="5"/>
      <c r="NJ31" s="5"/>
      <c r="NK31" s="1463">
        <v>5</v>
      </c>
      <c r="NL31" s="824" t="s">
        <v>8433</v>
      </c>
      <c r="NM31" s="838" t="e">
        <f>SEARCH(NH$4,NJ$4,NO24)+LEN(NH$4)</f>
        <v>#VALUE!</v>
      </c>
      <c r="NN31" s="406" t="str">
        <f>IF(NO31=IFERROR(SEARCH(".",NJ$4,NM31),99999),".",
IF(NO31=IFERROR(SEARCH(",",NJ$4,NM31),99999),",",
IF(NO31=IFERROR(SEARCH(" за период",NJ$4,NM31),999999)," за период",
IF(NO31=IFERROR(SEARCH(" в размере",NJ$4,NM31),99999)," в размере",
))))</f>
        <v>.</v>
      </c>
      <c r="NO31" s="406">
        <f>IFERROR(MIN(IFERROR(SEARCH(".",NJ$4,NM31),99999),IFERROR(SEARCH(",",NJ$4,NM31),99999),IFERROR(SEARCH(" за период",NJ$4,NM31),999999),IFERROR(SEARCH(" в размере",NJ$4,NM31),99999)),"ОШИБКА")</f>
        <v>99999</v>
      </c>
      <c r="NP31" s="406" t="e">
        <f>NO31-NM31</f>
        <v>#VALUE!</v>
      </c>
      <c r="NQ31" s="824" t="e">
        <f>MID(NJ$4,NM31,NP31)</f>
        <v>#VALUE!</v>
      </c>
      <c r="NR31" s="825" t="str">
        <f>IFERROR(INDEX($DU:$DU,MATCH(MID(NJ$4,NM31,NP31),$DT:$DT,0),1),"")</f>
        <v/>
      </c>
      <c r="NS31" s="754"/>
      <c r="NT31" s="754"/>
      <c r="OC31" s="1472"/>
      <c r="OD31" s="946" t="str">
        <f t="shared" si="131"/>
        <v>$$$$</v>
      </c>
      <c r="OE31" s="947" t="e">
        <f t="shared" si="145"/>
        <v>#VALUE!</v>
      </c>
      <c r="OF31" s="947"/>
      <c r="OG31" s="920"/>
      <c r="OH31" s="920"/>
      <c r="OI31" s="947"/>
      <c r="OJ31" s="947"/>
      <c r="OK31" s="947"/>
      <c r="OL31" s="1474"/>
      <c r="OY31" s="116"/>
      <c r="OZ31" s="959"/>
      <c r="PA31" s="1210"/>
      <c r="PB31" s="959"/>
      <c r="PC31" s="116"/>
      <c r="PD31" s="1000"/>
      <c r="PF31" s="1209"/>
      <c r="PG31" s="1208"/>
      <c r="PH31" s="1209"/>
      <c r="PI31" s="5"/>
      <c r="PJ31" s="1073"/>
      <c r="PK31" s="99"/>
      <c r="PL31" s="920"/>
      <c r="PM31" s="995"/>
      <c r="PN31" s="920"/>
      <c r="PO31" s="254"/>
      <c r="PP31" s="871"/>
      <c r="PQ31" t="str">
        <f t="shared" si="133"/>
        <v>$$$$</v>
      </c>
      <c r="PR31" s="937" t="e">
        <f t="shared" si="146"/>
        <v>#VALUE!</v>
      </c>
      <c r="PS31" s="5"/>
      <c r="PV31" s="937"/>
      <c r="PX31" s="5"/>
      <c r="PY31" s="1470"/>
      <c r="PZ31" t="str">
        <f t="shared" si="135"/>
        <v>$$$$</v>
      </c>
      <c r="QA31" s="937" t="e">
        <f t="shared" si="147"/>
        <v>#VALUE!</v>
      </c>
      <c r="QB31" s="5"/>
      <c r="QC31" s="264"/>
      <c r="QE31" s="937"/>
      <c r="QF31" s="264"/>
      <c r="QG31" s="5"/>
      <c r="QH31" s="1470"/>
      <c r="QI31" t="str">
        <f t="shared" si="137"/>
        <v>$$$$</v>
      </c>
      <c r="QJ31" s="937" t="e">
        <f t="shared" si="148"/>
        <v>#VALUE!</v>
      </c>
      <c r="QK31" s="5"/>
      <c r="QL31" s="264"/>
      <c r="QN31" s="937"/>
      <c r="QO31" s="264"/>
      <c r="QP31" s="5"/>
      <c r="QQ31" s="1470"/>
      <c r="QR31" t="str">
        <f t="shared" si="139"/>
        <v>$$$$</v>
      </c>
      <c r="QS31" s="937" t="e">
        <f t="shared" si="149"/>
        <v>#VALUE!</v>
      </c>
      <c r="QT31" s="5"/>
      <c r="QU31" s="264"/>
      <c r="QW31" s="937"/>
      <c r="QX31" s="264"/>
      <c r="QY31" s="5"/>
      <c r="QZ31" s="1470"/>
      <c r="RA31" s="1092" t="s">
        <v>8594</v>
      </c>
      <c r="RB31" s="1093" t="str">
        <f>IFERROR(PD7,"")</f>
        <v/>
      </c>
      <c r="SQ31" s="979"/>
      <c r="SV31" s="5"/>
      <c r="SW31" s="5"/>
      <c r="SX31" s="5"/>
      <c r="SY31" s="1463">
        <v>5</v>
      </c>
      <c r="SZ31" s="824" t="s">
        <v>8433</v>
      </c>
      <c r="TA31" s="838" t="e">
        <f>SEARCH(SV$4,$SQ$3,TC24)+LEN(SV$4)</f>
        <v>#VALUE!</v>
      </c>
      <c r="TB31" s="406" t="str">
        <f>IF(TC31=IFERROR(SEARCH(".",$SQ$3,TA31),99999),".",
IF(TC31=IFERROR(SEARCH(",",$SQ$3,TA31),99999),",",
IF(TC31=IFERROR(SEARCH(" за период",$SQ$3,TA31),999999)," за период",
IF(TC31=IFERROR(SEARCH(" в размере",$SQ$3,TA31),99999)," в размере",
))))</f>
        <v>.</v>
      </c>
      <c r="TC31" s="406">
        <f>IFERROR(MIN(IFERROR(SEARCH(".",$SQ$3,TA31),99999),IFERROR(SEARCH(",",$SQ$3,TA31),99999),IFERROR(SEARCH(" за период",$SQ$3,TA31),999999),IFERROR(SEARCH(" в размере",$SQ$3,TA31),99999)),"ОШИБКА")</f>
        <v>99999</v>
      </c>
      <c r="TD31" s="406" t="e">
        <f>TC31-TA31</f>
        <v>#VALUE!</v>
      </c>
      <c r="TE31" s="824" t="e">
        <f>MID($SQ$3,TA31,TD31)</f>
        <v>#VALUE!</v>
      </c>
      <c r="TF31" s="825" t="str">
        <f>IFERROR(INDEX($DU:$DU,MATCH(MID($SQ$3,TA31,TD31),$DT:$DT,0),1),"")</f>
        <v/>
      </c>
      <c r="TG31" s="754"/>
      <c r="TH31" s="5"/>
      <c r="TI31" s="5"/>
      <c r="TJ31" s="5"/>
      <c r="TK31" s="1476"/>
      <c r="TL31" s="592"/>
      <c r="TM31" s="836" t="e">
        <f>SEARCH(" ",TJ$4,TO30+1)+1</f>
        <v>#VALUE!</v>
      </c>
      <c r="TN31" s="306" t="s">
        <v>8432</v>
      </c>
      <c r="TO31" s="306" t="e">
        <f>SEARCH(TN31,TJ$4,TM31)</f>
        <v>#VALUE!</v>
      </c>
      <c r="TP31" s="306" t="e">
        <f>TO31-TM31</f>
        <v>#VALUE!</v>
      </c>
      <c r="TQ31" s="826" t="e">
        <f>IF(TR29="Штраф 50%","",MID(TJ$4,TM31,TP31))</f>
        <v>#VALUE!</v>
      </c>
      <c r="TR31" s="828" t="str">
        <f>IF(TN29=" за период",TQ31,"")</f>
        <v/>
      </c>
      <c r="TS31" s="754"/>
      <c r="TT31" s="5"/>
      <c r="TU31" s="5"/>
      <c r="TV31" s="5"/>
      <c r="TW31" s="1463">
        <v>5</v>
      </c>
      <c r="TX31" s="824" t="s">
        <v>8433</v>
      </c>
      <c r="TY31" s="838" t="e">
        <f>SEARCH(TT$4,$SQ$4,UA24)+LEN(TT$4)</f>
        <v>#VALUE!</v>
      </c>
      <c r="TZ31" s="406" t="str">
        <f>IF(UA31=IFERROR(SEARCH(".",$SQ$4,TY31),99999),".",
IF(UA31=IFERROR(SEARCH(",",$SQ$4,TY31),99999),",",
IF(UA31=IFERROR(SEARCH(" за период",$SQ$4,TY31),999999)," за период",
IF(UA31=IFERROR(SEARCH(" в размере",$SQ$4,TY31),99999)," в размере",
))))</f>
        <v>.</v>
      </c>
      <c r="UA31" s="406">
        <f>IFERROR(MIN(IFERROR(SEARCH(".",$SQ$4,TY31),99999),IFERROR(SEARCH(",",$SQ$4,TY31),99999),IFERROR(SEARCH(" за период",$SQ$4,TY31),999999),IFERROR(SEARCH(" в размере",$SQ$4,TY31),99999)),"ОШИБКА")</f>
        <v>99999</v>
      </c>
      <c r="UB31" s="406" t="e">
        <f>UA31-TY31</f>
        <v>#VALUE!</v>
      </c>
      <c r="UC31" s="824" t="e">
        <f>MID($SQ$4,TY31,UB31)</f>
        <v>#VALUE!</v>
      </c>
      <c r="UD31" s="825" t="str">
        <f>IFERROR(INDEX($DU:$DU,MATCH(MID($SQ$4,TY31,UB31),$DT:$DT,0),1),"")</f>
        <v/>
      </c>
      <c r="UE31" s="754"/>
      <c r="UF31" s="5"/>
      <c r="UG31" s="5"/>
      <c r="UH31" s="5"/>
      <c r="UI31" s="1476"/>
      <c r="UJ31" s="592"/>
      <c r="UK31" s="836" t="e">
        <f>SEARCH(" ",UH$4,UM30+1)+1</f>
        <v>#VALUE!</v>
      </c>
      <c r="UL31" s="306" t="s">
        <v>8432</v>
      </c>
      <c r="UM31" s="306" t="e">
        <f>SEARCH(UL31,UH$4,UK31)</f>
        <v>#VALUE!</v>
      </c>
      <c r="UN31" s="306" t="e">
        <f>UM31-UK31</f>
        <v>#VALUE!</v>
      </c>
      <c r="UO31" s="826" t="e">
        <f>IF(UP29="Штраф 50%","",MID(UH$4,UK31,UN31))</f>
        <v>#VALUE!</v>
      </c>
      <c r="UP31" s="828" t="str">
        <f>IF(UL29=" за период",UO31,"")</f>
        <v/>
      </c>
      <c r="UQ31" s="754"/>
      <c r="UR31" s="5"/>
      <c r="US31" s="5"/>
      <c r="UT31" s="5"/>
      <c r="UU31" s="1463">
        <v>5</v>
      </c>
      <c r="UV31" s="824" t="s">
        <v>8433</v>
      </c>
      <c r="UW31" s="838" t="e">
        <f>SEARCH(UR$4,$SQ$5,UY24)+LEN(UR$4)</f>
        <v>#VALUE!</v>
      </c>
      <c r="UX31" s="406" t="str">
        <f>IF(UY31=IFERROR(SEARCH(".",$SQ$5,UW31),99999),".",
IF(UY31=IFERROR(SEARCH(",",$SQ$5,UW31),99999),",",
IF(UY31=IFERROR(SEARCH(" за период",$SQ$5,UW31),999999)," за период",
IF(UY31=IFERROR(SEARCH(" в размере",$SQ$5,UW31),99999)," в размере",
))))</f>
        <v>.</v>
      </c>
      <c r="UY31" s="406">
        <f>IFERROR(MIN(IFERROR(SEARCH(".",$SQ$5,UW31),99999),IFERROR(SEARCH(",",$SQ$5,UW31),99999),IFERROR(SEARCH(" за период",$SQ$5,UW31),999999),IFERROR(SEARCH(" в размере",$SQ$5,UW31),99999)),"ОШИБКА")</f>
        <v>99999</v>
      </c>
      <c r="UZ31" s="406" t="e">
        <f>UY31-UW31</f>
        <v>#VALUE!</v>
      </c>
      <c r="VA31" s="824" t="e">
        <f>MID($SQ$5,UW31,UZ31)</f>
        <v>#VALUE!</v>
      </c>
      <c r="VB31" s="825" t="str">
        <f>IFERROR(INDEX($DU:$DU,MATCH(MID($SQ$5,UW31,UZ31),$DT:$DT,0),1),"")</f>
        <v/>
      </c>
      <c r="VC31" s="754"/>
      <c r="VD31" s="5"/>
      <c r="VE31" s="5"/>
      <c r="VF31" s="5"/>
      <c r="VG31" s="1476"/>
      <c r="VH31" s="592"/>
      <c r="VI31" s="836" t="e">
        <f>SEARCH(" ",VF$4,VK30+1)+1</f>
        <v>#VALUE!</v>
      </c>
      <c r="VJ31" s="306" t="s">
        <v>8432</v>
      </c>
      <c r="VK31" s="306" t="e">
        <f>SEARCH(VJ31,VF$4,VI31)</f>
        <v>#VALUE!</v>
      </c>
      <c r="VL31" s="306" t="e">
        <f>VK31-VI31</f>
        <v>#VALUE!</v>
      </c>
      <c r="VM31" s="826" t="e">
        <f>IF(VN29="Штраф 50%","",MID(VF$4,VI31,VL31))</f>
        <v>#VALUE!</v>
      </c>
      <c r="VN31" s="828" t="str">
        <f>IF(VJ29=" за период",VM31,"")</f>
        <v/>
      </c>
      <c r="VO31" s="754"/>
      <c r="VP31" s="5"/>
      <c r="VQ31" s="5"/>
      <c r="VR31" s="5"/>
      <c r="VS31" s="1463">
        <v>5</v>
      </c>
      <c r="VT31" s="824" t="s">
        <v>8433</v>
      </c>
      <c r="VU31" s="838" t="e">
        <f>SEARCH(VP$4,$SQ$6,VW24)+LEN(VP$4)</f>
        <v>#VALUE!</v>
      </c>
      <c r="VV31" s="406" t="str">
        <f>IF(VW31=IFERROR(SEARCH(".",$SQ$6,VU31),99999),".",
IF(VW31=IFERROR(SEARCH(",",$SQ$6,VU31),99999),",",
IF(VW31=IFERROR(SEARCH(" за период",$SQ$6,VU31),999999)," за период",
IF(VW31=IFERROR(SEARCH(" в размере",$SQ$6,VU31),99999)," в размере",
))))</f>
        <v>.</v>
      </c>
      <c r="VW31" s="406">
        <f>IFERROR(MIN(IFERROR(SEARCH(".",$SQ$6,VU31),99999),IFERROR(SEARCH(",",$SQ$6,VU31),99999),IFERROR(SEARCH(" за период",$SQ$6,VU31),999999),IFERROR(SEARCH(" в размере",$SQ$6,VU31),99999)),"ОШИБКА")</f>
        <v>99999</v>
      </c>
      <c r="VX31" s="406" t="e">
        <f>VW31-VU31</f>
        <v>#VALUE!</v>
      </c>
      <c r="VY31" s="824" t="e">
        <f>MID($SQ$6,VU31,VX31)</f>
        <v>#VALUE!</v>
      </c>
      <c r="VZ31" s="825" t="str">
        <f>IFERROR(INDEX($DU:$DU,MATCH(MID($SQ$6,VU31,VX31),$DT:$DT,0),1),"")</f>
        <v/>
      </c>
      <c r="WA31" s="754"/>
      <c r="WB31" s="5"/>
      <c r="WC31" s="5"/>
      <c r="WD31" s="5"/>
      <c r="WE31" s="1476"/>
      <c r="WF31" s="592"/>
      <c r="WG31" s="836" t="e">
        <f>SEARCH(" ",WD$4,WI30+1)+1</f>
        <v>#VALUE!</v>
      </c>
      <c r="WH31" s="306" t="s">
        <v>8432</v>
      </c>
      <c r="WI31" s="306" t="e">
        <f>SEARCH(WH31,WD$4,WG31)</f>
        <v>#VALUE!</v>
      </c>
      <c r="WJ31" s="306" t="e">
        <f>WI31-WG31</f>
        <v>#VALUE!</v>
      </c>
      <c r="WK31" s="826" t="e">
        <f>IF(WL29="Штраф 50%","",MID(WD$4,WG31,WJ31))</f>
        <v>#VALUE!</v>
      </c>
      <c r="WL31" s="828" t="str">
        <f>IF(WH29=" за период",WK31,"")</f>
        <v/>
      </c>
      <c r="WM31" s="754"/>
      <c r="WN31" s="5"/>
      <c r="WO31" s="5"/>
      <c r="WP31" s="5"/>
      <c r="WQ31" s="1463">
        <v>5</v>
      </c>
      <c r="WR31" s="824" t="s">
        <v>8433</v>
      </c>
      <c r="WS31" s="838" t="e">
        <f>SEARCH(WN$4,$SQ$7,WU24)+LEN(WN$4)</f>
        <v>#VALUE!</v>
      </c>
      <c r="WT31" s="406" t="str">
        <f>IF(WU31=IFERROR(SEARCH(".",$SQ$7,WS31),99999),".",
IF(WU31=IFERROR(SEARCH(",",$SQ$7,WS31),99999),",",
IF(WU31=IFERROR(SEARCH(" за период",$SQ$7,WS31),999999)," за период",
IF(WU31=IFERROR(SEARCH(" в размере",$SQ$7,WS31),99999)," в размере",
))))</f>
        <v>.</v>
      </c>
      <c r="WU31" s="406">
        <f>IFERROR(MIN(IFERROR(SEARCH(".",$SQ$7,WS31),99999),IFERROR(SEARCH(",",$SQ$7,WS31),99999),IFERROR(SEARCH(" за период",$SQ$7,WS31),999999),IFERROR(SEARCH(" в размере",$SQ$7,WS31),99999)),"ОШИБКА")</f>
        <v>99999</v>
      </c>
      <c r="WV31" s="406" t="e">
        <f>WU31-WS31</f>
        <v>#VALUE!</v>
      </c>
      <c r="WW31" s="824" t="e">
        <f>MID($SQ$7,WS31,WV31)</f>
        <v>#VALUE!</v>
      </c>
      <c r="WX31" s="825" t="str">
        <f>IFERROR(INDEX($DU:$DU,MATCH(MID($SQ$7,WS31,WV31),$DT:$DT,0),1),"")</f>
        <v/>
      </c>
      <c r="WY31" s="754"/>
      <c r="WZ31" s="5"/>
      <c r="XA31" s="5"/>
      <c r="XB31" s="5"/>
      <c r="XC31" s="1476"/>
      <c r="XD31" s="592"/>
      <c r="XE31" s="836" t="e">
        <f>SEARCH(" ",XB$4,XG30+1)+1</f>
        <v>#VALUE!</v>
      </c>
      <c r="XF31" s="306" t="s">
        <v>8432</v>
      </c>
      <c r="XG31" s="306" t="e">
        <f>SEARCH(XF31,XB$4,XE31)</f>
        <v>#VALUE!</v>
      </c>
      <c r="XH31" s="306" t="e">
        <f>XG31-XE31</f>
        <v>#VALUE!</v>
      </c>
      <c r="XI31" s="826" t="e">
        <f>IF(XJ29="Штраф 50%","",MID(XB$4,XE31,XH31))</f>
        <v>#VALUE!</v>
      </c>
      <c r="XJ31" s="828" t="str">
        <f>IF(XF29=" за период",XI31,"")</f>
        <v/>
      </c>
      <c r="XK31" s="754"/>
      <c r="YD31" s="5"/>
      <c r="YE31" s="5"/>
      <c r="YF31" s="5"/>
      <c r="YG31" s="1463">
        <v>5</v>
      </c>
      <c r="YH31" s="824" t="s">
        <v>8433</v>
      </c>
      <c r="YI31" s="838" t="e">
        <f>SEARCH(YD$4,$XU$3,YK24)+LEN(YD$4)</f>
        <v>#VALUE!</v>
      </c>
      <c r="YJ31" s="406" t="str">
        <f>IF(YK31=IFERROR(SEARCH(".",$XU$3,YI31),99999),".",
IF(YK31=IFERROR(SEARCH(",",$XU$3,YI31),99999),",",
IF(YK31=IFERROR(SEARCH(" за период",$XU$3,YI31),999999)," за период",
IF(YK31=IFERROR(SEARCH(" в размере",$XU$3,YI31),99999)," в размере",
))))</f>
        <v>.</v>
      </c>
      <c r="YK31" s="406">
        <f>IFERROR(MIN(IFERROR(SEARCH(".",$XU$3,YI31),99999),IFERROR(SEARCH(",",$XU$3,YI31),99999),IFERROR(SEARCH(" за период",$XU$3,YI31),999999),IFERROR(SEARCH(" в размере",$XU$3,YI31),99999)),"ОШИБКА")</f>
        <v>99999</v>
      </c>
      <c r="YL31" s="406" t="e">
        <f>YK31-YI31</f>
        <v>#VALUE!</v>
      </c>
      <c r="YM31" s="824" t="e">
        <f>MID($XU$3,YI31,YL31)</f>
        <v>#VALUE!</v>
      </c>
      <c r="YN31" s="825" t="str">
        <f>IFERROR(INDEX($DU:$DU,MATCH(MID($XU$3,YI31,YL31),$DT:$DT,0),1),"")</f>
        <v/>
      </c>
      <c r="YO31" s="754"/>
      <c r="YP31" s="5"/>
      <c r="YQ31" s="5"/>
      <c r="YR31" s="5"/>
      <c r="YS31" s="1463">
        <v>5</v>
      </c>
      <c r="YT31" s="824" t="s">
        <v>8433</v>
      </c>
      <c r="YU31" s="838" t="e">
        <f>SEARCH(YP$4,$XU$4,YW24)+LEN(YP$4)</f>
        <v>#VALUE!</v>
      </c>
      <c r="YV31" s="406" t="str">
        <f>IF(YW31=IFERROR(SEARCH(".",$XU$4,YU31),99999),".",
IF(YW31=IFERROR(SEARCH(",",$XU$4,YU31),99999),",",
IF(YW31=IFERROR(SEARCH(" за период",$XU$4,YU31),999999)," за период",
IF(YW31=IFERROR(SEARCH(" в размере",$XU$4,YU31),99999)," в размере",
))))</f>
        <v>.</v>
      </c>
      <c r="YW31" s="406">
        <f>IFERROR(MIN(IFERROR(SEARCH(".",$XU$4,YU31),99999),IFERROR(SEARCH(",",$XU$4,YU31),99999),IFERROR(SEARCH(" за период",$XU$4,YU31),999999),IFERROR(SEARCH(" в размере",$XU$4,YU31),99999)),"ОШИБКА")</f>
        <v>99999</v>
      </c>
      <c r="YX31" s="406" t="e">
        <f>YW31-YU31</f>
        <v>#VALUE!</v>
      </c>
      <c r="YY31" s="824" t="e">
        <f>MID($XU$4,YU31,YX31)</f>
        <v>#VALUE!</v>
      </c>
      <c r="YZ31" s="825" t="str">
        <f>IFERROR(INDEX($DU:$DU,MATCH(MID($XU$4,YU31,YX31),$DT:$DT,0),1),"")</f>
        <v/>
      </c>
      <c r="ZA31" s="754"/>
      <c r="ZB31" s="5"/>
      <c r="ZC31" s="5"/>
      <c r="ZD31" s="5"/>
      <c r="ZE31" s="1463">
        <v>5</v>
      </c>
      <c r="ZF31" s="824" t="s">
        <v>8433</v>
      </c>
      <c r="ZG31" s="838" t="e">
        <f>SEARCH(ZB$4,$XU$5,ZI24)+LEN(ZB$4)</f>
        <v>#VALUE!</v>
      </c>
      <c r="ZH31" s="406" t="str">
        <f>IF(ZI31=IFERROR(SEARCH(".",$XU$5,ZG31),99999),".",
IF(ZI31=IFERROR(SEARCH(",",$XU$5,ZG31),99999),",",
IF(ZI31=IFERROR(SEARCH(" за период",$XU$5,ZG31),999999)," за период",
IF(ZI31=IFERROR(SEARCH(" в размере",$XU$5,ZG31),99999)," в размере",
))))</f>
        <v>.</v>
      </c>
      <c r="ZI31" s="406">
        <f>IFERROR(MIN(IFERROR(SEARCH(".",$XU$5,ZG31),99999),IFERROR(SEARCH(",",$XU$5,ZG31),99999),IFERROR(SEARCH(" за период",$XU$5,ZG31),999999),IFERROR(SEARCH(" в размере",$XU$5,ZG31),99999)),"ОШИБКА")</f>
        <v>99999</v>
      </c>
      <c r="ZJ31" s="406" t="e">
        <f>ZI31-ZG31</f>
        <v>#VALUE!</v>
      </c>
      <c r="ZK31" s="824" t="e">
        <f>MID($XU$5,ZG31,ZJ31)</f>
        <v>#VALUE!</v>
      </c>
      <c r="ZL31" s="825" t="str">
        <f>IFERROR(INDEX($DU:$DU,MATCH(MID($XU$5,ZG31,ZJ31),$DT:$DT,0),1),"")</f>
        <v/>
      </c>
      <c r="ZM31" s="754"/>
      <c r="ZN31" s="5"/>
      <c r="ZO31" s="5"/>
      <c r="ZP31" s="5"/>
      <c r="ZQ31" s="1463">
        <v>5</v>
      </c>
      <c r="ZR31" s="824" t="s">
        <v>8433</v>
      </c>
      <c r="ZS31" s="838" t="e">
        <f>SEARCH(ZN$4,$XU$6,ZU24)+LEN(ZN$4)</f>
        <v>#VALUE!</v>
      </c>
      <c r="ZT31" s="406" t="str">
        <f>IF(ZU31=IFERROR(SEARCH(".",$XU$6,ZS31),99999),".",
IF(ZU31=IFERROR(SEARCH(",",$XU$6,ZS31),99999),",",
IF(ZU31=IFERROR(SEARCH(" за период",$XU$6,ZS31),999999)," за период",
IF(ZU31=IFERROR(SEARCH(" в размере",$XU$6,ZS31),99999)," в размере",
))))</f>
        <v>.</v>
      </c>
      <c r="ZU31" s="406">
        <f>IFERROR(MIN(IFERROR(SEARCH(".",$XU$6,ZS31),99999),IFERROR(SEARCH(",",$XU$6,ZS31),99999),IFERROR(SEARCH(" за период",$XU$6,ZS31),999999),IFERROR(SEARCH(" в размере",$XU$6,ZS31),99999)),"ОШИБКА")</f>
        <v>99999</v>
      </c>
      <c r="ZV31" s="406" t="e">
        <f>ZU31-ZS31</f>
        <v>#VALUE!</v>
      </c>
      <c r="ZW31" s="824" t="e">
        <f>MID($XU$6,ZS31,ZV31)</f>
        <v>#VALUE!</v>
      </c>
      <c r="ZX31" s="825" t="str">
        <f>IFERROR(INDEX($DU:$DU,MATCH(MID($XU$6,ZS31,ZV31),$DT:$DT,0),1),"")</f>
        <v/>
      </c>
      <c r="ZY31" s="754"/>
      <c r="ZZ31" s="5"/>
      <c r="AAA31" s="5"/>
      <c r="AAB31" s="5"/>
      <c r="AAC31" s="1463">
        <v>5</v>
      </c>
      <c r="AAD31" s="824" t="s">
        <v>8433</v>
      </c>
      <c r="AAE31" s="838" t="e">
        <f>SEARCH(ZZ$4,$XU$7,AAG24)+LEN(ZZ$4)</f>
        <v>#VALUE!</v>
      </c>
      <c r="AAF31" s="406" t="str">
        <f>IF(AAG31=IFERROR(SEARCH(".",$XU$7,AAE31),99999),".",
IF(AAG31=IFERROR(SEARCH(",",$XU$7,AAE31),99999),",",
IF(AAG31=IFERROR(SEARCH(" за период",$XU$7,AAE31),999999)," за период",
IF(AAG31=IFERROR(SEARCH(" в размере",$XU$7,AAE31),99999)," в размере",
))))</f>
        <v>.</v>
      </c>
      <c r="AAG31" s="406">
        <f>IFERROR(MIN(IFERROR(SEARCH(".",$XU$7,AAE31),99999),IFERROR(SEARCH(",",$XU$7,AAE31),99999),IFERROR(SEARCH(" за период",$XU$7,AAE31),999999),IFERROR(SEARCH(" в размере",$XU$7,AAE31),99999)),"ОШИБКА")</f>
        <v>99999</v>
      </c>
      <c r="AAH31" s="406" t="e">
        <f>AAG31-AAE31</f>
        <v>#VALUE!</v>
      </c>
      <c r="AAI31" s="824" t="e">
        <f>MID($XU$7,AAE31,AAH31)</f>
        <v>#VALUE!</v>
      </c>
      <c r="AAJ31" s="825" t="str">
        <f>IFERROR(INDEX($DU:$DU,MATCH(MID($XU$7,AAE31,AAH31),$DT:$DT,0),1),"")</f>
        <v/>
      </c>
      <c r="AAK31" s="754"/>
      <c r="AAL31" s="754"/>
      <c r="AAM31" s="754"/>
      <c r="AAV31" t="str">
        <f t="shared" si="141"/>
        <v>$$$$</v>
      </c>
      <c r="AAW31" s="947" t="e">
        <f t="shared" si="150"/>
        <v>#VALUE!</v>
      </c>
      <c r="AAX31" s="5"/>
      <c r="AAY31" s="5"/>
      <c r="AAZ31" s="5"/>
      <c r="ABA31" s="1487"/>
      <c r="ADF31" s="5"/>
      <c r="ADG31" s="1075"/>
      <c r="ADQ31" s="1075"/>
      <c r="ADR31" s="1082" t="str">
        <f>IFERROR(ABQ7,"")</f>
        <v/>
      </c>
      <c r="AEJ31" s="961"/>
      <c r="AEK31" s="961"/>
      <c r="AEL31" s="961"/>
      <c r="AEX31" s="1070"/>
      <c r="AFA31" s="1070"/>
      <c r="AFB31" s="5"/>
      <c r="AFC31" s="5"/>
      <c r="AFD31" s="5"/>
      <c r="AFE31" s="1463">
        <v>5</v>
      </c>
      <c r="AFF31" s="824" t="s">
        <v>8433</v>
      </c>
      <c r="AFG31" s="838" t="e">
        <f>SEARCH(AFB$4,AFD$4,AFI24)+LEN(AFB$4)</f>
        <v>#VALUE!</v>
      </c>
      <c r="AFH31" s="406" t="str">
        <f>IF(AFI31=IFERROR(SEARCH(".",AFD$4,AFG31),99999),".",
IF(AFI31=IFERROR(SEARCH(",",AFD$4,AFG31),99999),",",
IF(AFI31=IFERROR(SEARCH(" за период",AFD$4,AFG31),999999)," за период",
IF(AFI31=IFERROR(SEARCH(" в размере",AFD$4,AFG31),99999)," в размере",
))))</f>
        <v>.</v>
      </c>
      <c r="AFI31" s="406">
        <f>IFERROR(MIN(IFERROR(SEARCH(".",AFD$4,AFG31),99999),IFERROR(SEARCH(",",AFD$4,AFG31),99999),IFERROR(SEARCH(" за период",AFD$4,AFG31),999999),IFERROR(SEARCH(" в размере",AFD$4,AFG31),99999)),"ОШИБКА")</f>
        <v>99999</v>
      </c>
      <c r="AFJ31" s="406" t="e">
        <f>AFI31-AFG31</f>
        <v>#VALUE!</v>
      </c>
      <c r="AFK31" s="824" t="e">
        <f>MID(AFD$4,AFG31,AFJ31)</f>
        <v>#VALUE!</v>
      </c>
      <c r="AFL31" s="825" t="str">
        <f>IFERROR(INDEX($DU:$DU,MATCH(MID(AFD$4,AFG31,AFJ31),$DT:$DT,0),1),"")</f>
        <v/>
      </c>
      <c r="AFM31" s="754"/>
      <c r="AFN31" s="5"/>
      <c r="AFO31" s="5"/>
      <c r="AFP31" s="5"/>
      <c r="AFQ31" s="1463">
        <v>5</v>
      </c>
      <c r="AFR31" s="824" t="s">
        <v>8433</v>
      </c>
      <c r="AFS31" s="838" t="e">
        <f>SEARCH(AFN$4,AFP$4,AFU24)+LEN(AFN$4)</f>
        <v>#VALUE!</v>
      </c>
      <c r="AFT31" s="406" t="str">
        <f>IF(AFU31=IFERROR(SEARCH(".",AFP$4,AFS31),99999),".",
IF(AFU31=IFERROR(SEARCH(",",AFP$4,AFS31),99999),",",
IF(AFU31=IFERROR(SEARCH(" за период",AFP$4,AFS31),999999)," за период",
IF(AFU31=IFERROR(SEARCH(" в размере",AFP$4,AFS31),99999)," в размере",
))))</f>
        <v>.</v>
      </c>
      <c r="AFU31" s="406">
        <f>IFERROR(MIN(IFERROR(SEARCH(".",AFP$4,AFS31),99999),IFERROR(SEARCH(",",AFP$4,AFS31),99999),IFERROR(SEARCH(" за период",AFP$4,AFS31),999999),IFERROR(SEARCH(" в размере",AFP$4,AFS31),99999)),"ОШИБКА")</f>
        <v>99999</v>
      </c>
      <c r="AFV31" s="406" t="e">
        <f>AFU31-AFS31</f>
        <v>#VALUE!</v>
      </c>
      <c r="AFW31" s="824" t="e">
        <f>MID(AFP$4,AFS31,AFV31)</f>
        <v>#VALUE!</v>
      </c>
      <c r="AFX31" s="825" t="str">
        <f>IFERROR(INDEX($DU:$DU,MATCH(MID(AFP$4,AFS31,AFV31),$DT:$DT,0),1),"")</f>
        <v/>
      </c>
      <c r="AFY31" s="754"/>
      <c r="AFZ31" s="5"/>
      <c r="AGA31" s="5"/>
      <c r="AGB31" s="5"/>
      <c r="AGC31" s="1463">
        <v>5</v>
      </c>
      <c r="AGD31" s="824" t="s">
        <v>8433</v>
      </c>
      <c r="AGE31" s="838" t="e">
        <f>SEARCH(AFZ$4,AGB$4,AGG24)+LEN(AFZ$4)</f>
        <v>#VALUE!</v>
      </c>
      <c r="AGF31" s="406" t="str">
        <f>IF(AGG31=IFERROR(SEARCH(".",AGB$4,AGE31),99999),".",
IF(AGG31=IFERROR(SEARCH(",",AGB$4,AGE31),99999),",",
IF(AGG31=IFERROR(SEARCH(" за период",AGB$4,AGE31),999999)," за период",
IF(AGG31=IFERROR(SEARCH(" в размере",AGB$4,AGE31),99999)," в размере",
))))</f>
        <v>.</v>
      </c>
      <c r="AGG31" s="406">
        <f>IFERROR(MIN(IFERROR(SEARCH(".",AGB$4,AGE31),99999),IFERROR(SEARCH(",",AGB$4,AGE31),99999),IFERROR(SEARCH(" за период",AGB$4,AGE31),999999),IFERROR(SEARCH(" в размере",AGB$4,AGE31),99999)),"ОШИБКА")</f>
        <v>99999</v>
      </c>
      <c r="AGH31" s="406" t="e">
        <f>AGG31-AGE31</f>
        <v>#VALUE!</v>
      </c>
      <c r="AGI31" s="824" t="e">
        <f>MID(AGB$4,AGE31,AGH31)</f>
        <v>#VALUE!</v>
      </c>
      <c r="AGJ31" s="825" t="str">
        <f>IFERROR(INDEX($DU:$DU,MATCH(MID(AGB$4,AGE31,AGH31),$DT:$DT,0),1),"")</f>
        <v/>
      </c>
      <c r="AGK31" s="754"/>
      <c r="AGL31" s="5"/>
      <c r="AGM31" s="5"/>
      <c r="AGN31" s="5"/>
      <c r="AGO31" s="1463">
        <v>5</v>
      </c>
      <c r="AGP31" s="824" t="s">
        <v>8433</v>
      </c>
      <c r="AGQ31" s="838" t="e">
        <f>SEARCH(AGL$4,AGN$4,AGS24)+LEN(AGL$4)</f>
        <v>#VALUE!</v>
      </c>
      <c r="AGR31" s="406" t="str">
        <f>IF(AGS31=IFERROR(SEARCH(".",AGN$4,AGQ31),99999),".",
IF(AGS31=IFERROR(SEARCH(",",AGN$4,AGQ31),99999),",",
IF(AGS31=IFERROR(SEARCH(" за период",AGN$4,AGQ31),999999)," за период",
IF(AGS31=IFERROR(SEARCH(" в размере",AGN$4,AGQ31),99999)," в размере",
))))</f>
        <v>.</v>
      </c>
      <c r="AGS31" s="406">
        <f>IFERROR(MIN(IFERROR(SEARCH(".",AGN$4,AGQ31),99999),IFERROR(SEARCH(",",AGN$4,AGQ31),99999),IFERROR(SEARCH(" за период",AGN$4,AGQ31),999999),IFERROR(SEARCH(" в размере",AGN$4,AGQ31),99999)),"ОШИБКА")</f>
        <v>99999</v>
      </c>
      <c r="AGT31" s="406" t="e">
        <f>AGS31-AGQ31</f>
        <v>#VALUE!</v>
      </c>
      <c r="AGU31" s="824" t="e">
        <f>MID(AGN$4,AGQ31,AGT31)</f>
        <v>#VALUE!</v>
      </c>
      <c r="AGV31" s="825" t="str">
        <f>IFERROR(INDEX($DU:$DU,MATCH(MID(AGN$4,AGQ31,AGT31),$DT:$DT,0),1),"")</f>
        <v/>
      </c>
      <c r="AGW31" s="754"/>
      <c r="AGX31" s="5"/>
      <c r="AGY31" s="5"/>
      <c r="AGZ31" s="5"/>
      <c r="AHA31" s="1463">
        <v>5</v>
      </c>
      <c r="AHB31" s="824" t="s">
        <v>8433</v>
      </c>
      <c r="AHC31" s="838" t="e">
        <f>SEARCH(AGX$4,AGZ$4,AHE24)+LEN(AGX$4)</f>
        <v>#VALUE!</v>
      </c>
      <c r="AHD31" s="406" t="str">
        <f>IF(AHE31=IFERROR(SEARCH(".",AGZ$4,AHC31),99999),".",
IF(AHE31=IFERROR(SEARCH(",",AGZ$4,AHC31),99999),",",
IF(AHE31=IFERROR(SEARCH(" за период",AGZ$4,AHC31),999999)," за период",
IF(AHE31=IFERROR(SEARCH(" в размере",AGZ$4,AHC31),99999)," в размере",
))))</f>
        <v>.</v>
      </c>
      <c r="AHE31" s="406">
        <f>IFERROR(MIN(IFERROR(SEARCH(".",AGZ$4,AHC31),99999),IFERROR(SEARCH(",",AGZ$4,AHC31),99999),IFERROR(SEARCH(" за период",AGZ$4,AHC31),999999),IFERROR(SEARCH(" в размере",AGZ$4,AHC31),99999)),"ОШИБКА")</f>
        <v>99999</v>
      </c>
      <c r="AHF31" s="406" t="e">
        <f>AHE31-AHC31</f>
        <v>#VALUE!</v>
      </c>
      <c r="AHG31" s="824" t="e">
        <f>MID(AGZ$4,AHC31,AHF31)</f>
        <v>#VALUE!</v>
      </c>
      <c r="AHH31" s="825" t="str">
        <f>IFERROR(INDEX($DU:$DU,MATCH(MID(AGZ$4,AHC31,AHF31),$DT:$DT,0),1),"")</f>
        <v/>
      </c>
      <c r="AHI31" s="754"/>
      <c r="AIJ31" t="s">
        <v>10917</v>
      </c>
      <c r="AIK31" t="s">
        <v>10918</v>
      </c>
      <c r="AIL31" s="1293" t="e">
        <f t="shared" si="68"/>
        <v>#VALUE!</v>
      </c>
      <c r="AKA31" s="116"/>
      <c r="AKK31" s="116"/>
      <c r="AKU31" s="116"/>
      <c r="ALE31" s="116"/>
      <c r="ALO31" s="116"/>
      <c r="ALP31" s="116"/>
      <c r="AMG31" t="str">
        <f t="shared" si="143"/>
        <v>Ярославская обл</v>
      </c>
      <c r="AMH31" t="str">
        <f t="shared" si="144"/>
        <v>Ярославская обл.</v>
      </c>
      <c r="AMI31" s="1293" t="e">
        <f t="shared" si="75"/>
        <v>#VALUE!</v>
      </c>
      <c r="ANX31" s="116"/>
      <c r="AOH31" s="116"/>
      <c r="AOR31" s="116"/>
      <c r="APB31" s="116"/>
      <c r="APL31" s="116"/>
      <c r="APM31" s="116"/>
    </row>
    <row r="32" spans="1:1023 1064:1105" ht="14.4" customHeight="1" thickBot="1" x14ac:dyDescent="0.35">
      <c r="A32" s="116"/>
      <c r="B32" s="116"/>
      <c r="C32" s="116"/>
      <c r="D32" s="116"/>
      <c r="E32" s="116"/>
      <c r="F32" s="116"/>
      <c r="G32" s="116"/>
      <c r="H32" s="116"/>
      <c r="I32" s="116"/>
      <c r="J32" s="116"/>
      <c r="K32" s="116"/>
      <c r="L32" s="116"/>
      <c r="M32" s="116"/>
      <c r="N32" s="116"/>
      <c r="O32" s="116"/>
      <c r="P32" s="116"/>
      <c r="Q32" s="116"/>
      <c r="R32" s="116"/>
      <c r="S32" s="116"/>
      <c r="T32" s="116"/>
      <c r="U32" s="116"/>
      <c r="V32" s="116"/>
      <c r="W32" s="116"/>
      <c r="X32" s="116"/>
      <c r="Y32" s="116"/>
      <c r="Z32" s="116"/>
      <c r="AA32" s="116"/>
      <c r="AB32" s="116"/>
      <c r="AC32" s="116"/>
      <c r="AD32" s="116"/>
      <c r="AE32" s="116"/>
      <c r="AF32" s="116"/>
      <c r="AG32" s="116"/>
      <c r="AH32" s="116"/>
      <c r="AI32" s="116"/>
      <c r="AJ32" s="116"/>
      <c r="AK32" s="116"/>
      <c r="AL32" s="116"/>
      <c r="AM32" s="116"/>
      <c r="AN32" s="116"/>
      <c r="AO32" s="116"/>
      <c r="AP32" s="116"/>
      <c r="AQ32" s="116"/>
      <c r="AR32" s="116"/>
      <c r="AS32" s="116"/>
      <c r="AT32" s="116"/>
      <c r="AU32" s="116"/>
      <c r="AV32" s="116"/>
      <c r="AW32" s="116"/>
      <c r="AX32" s="116"/>
      <c r="AY32" s="116"/>
      <c r="AZ32" s="116"/>
      <c r="BA32" s="116"/>
      <c r="BB32" s="116"/>
      <c r="BC32" s="116"/>
      <c r="BD32" s="116"/>
      <c r="BE32" s="116"/>
      <c r="BF32" s="116"/>
      <c r="BG32" s="116"/>
      <c r="BH32" s="116"/>
      <c r="BI32" s="116"/>
      <c r="BJ32" s="116"/>
      <c r="BK32" s="116"/>
      <c r="BL32" s="116"/>
      <c r="BM32" s="116"/>
      <c r="BN32" s="116"/>
      <c r="BO32" s="116"/>
      <c r="BP32" s="116"/>
      <c r="BQ32" s="116"/>
      <c r="BR32" s="116"/>
      <c r="BS32" s="116"/>
      <c r="BT32" s="116"/>
      <c r="BU32" s="116"/>
      <c r="BV32" s="116"/>
      <c r="BW32" s="116"/>
      <c r="BX32" s="116"/>
      <c r="BY32" s="116"/>
      <c r="BZ32" s="116"/>
      <c r="CA32" s="116"/>
      <c r="CB32" s="116"/>
      <c r="CC32" s="116"/>
      <c r="CD32" s="116"/>
      <c r="CE32" s="116"/>
      <c r="CF32" s="116"/>
      <c r="CG32" s="116"/>
      <c r="CH32" s="116"/>
      <c r="CI32" s="116"/>
      <c r="CJ32" s="116"/>
      <c r="CK32" s="116"/>
      <c r="CL32" s="116"/>
      <c r="CM32" s="116"/>
      <c r="CN32" s="116"/>
      <c r="CO32" s="116"/>
      <c r="CP32" s="116"/>
      <c r="CQ32" s="116"/>
      <c r="CR32" s="116"/>
      <c r="CS32" s="116"/>
      <c r="CT32" s="116"/>
      <c r="CU32" s="116"/>
      <c r="CV32" s="116"/>
      <c r="CW32" s="116"/>
      <c r="CX32" s="116"/>
      <c r="CY32" s="116"/>
      <c r="CZ32" s="116"/>
      <c r="DA32" s="116"/>
      <c r="DB32" s="116"/>
      <c r="DC32" s="116"/>
      <c r="DD32" s="116"/>
      <c r="DE32" s="116"/>
      <c r="DF32" s="116"/>
      <c r="DG32" s="116"/>
      <c r="DH32" s="116"/>
      <c r="DI32" s="116"/>
      <c r="DJ32" s="116"/>
      <c r="DK32" s="116"/>
      <c r="DL32" s="116"/>
      <c r="DM32" s="116"/>
      <c r="DN32" s="116"/>
      <c r="DO32" s="116"/>
      <c r="DP32" s="116"/>
      <c r="DQ32" s="116"/>
      <c r="DR32" s="5"/>
      <c r="DS32" s="5"/>
      <c r="DT32" s="5" t="s">
        <v>8259</v>
      </c>
      <c r="DU32" s="821" t="s">
        <v>4395</v>
      </c>
      <c r="DV32" s="1464"/>
      <c r="DW32" s="826" t="s">
        <v>8435</v>
      </c>
      <c r="DX32" s="836" t="str">
        <f>IF(DY31=" за период",SEARCH(" за период",$C$3,DZ31)+LEN(" за период")+3,"НЕТ")</f>
        <v>НЕТ</v>
      </c>
      <c r="DY32" s="306" t="s">
        <v>8434</v>
      </c>
      <c r="DZ32" s="306" t="e">
        <f>SEARCH(DY32,$C$3,DX32)</f>
        <v>#VALUE!</v>
      </c>
      <c r="EA32" s="306" t="e">
        <f>DZ32-DX32</f>
        <v>#VALUE!</v>
      </c>
      <c r="EB32" s="827" t="e">
        <f>DATEVALUE(MID($C$3,DX32,EA32))</f>
        <v>#VALUE!</v>
      </c>
      <c r="EC32" s="828" t="str">
        <f>IF(DY31=" за период",EB32,"")</f>
        <v/>
      </c>
      <c r="FC32" s="116"/>
      <c r="FD32" s="116"/>
      <c r="FE32" s="116"/>
      <c r="FF32" s="116"/>
      <c r="FI32" s="116"/>
      <c r="LY32" t="s">
        <v>8513</v>
      </c>
      <c r="NH32" s="5"/>
      <c r="NI32" s="5"/>
      <c r="NJ32" s="5"/>
      <c r="NK32" s="1464"/>
      <c r="NL32" s="826" t="s">
        <v>8435</v>
      </c>
      <c r="NM32" s="836" t="str">
        <f>IF(NN31=" за период",SEARCH(" за период",NJ$4,NO31)+LEN(" за период")+3,"НЕТ")</f>
        <v>НЕТ</v>
      </c>
      <c r="NN32" s="306" t="s">
        <v>8434</v>
      </c>
      <c r="NO32" s="306" t="e">
        <f>SEARCH(NN32,NJ$4,NM32)</f>
        <v>#VALUE!</v>
      </c>
      <c r="NP32" s="306" t="e">
        <f>NO32-NM32</f>
        <v>#VALUE!</v>
      </c>
      <c r="NQ32" s="827" t="e">
        <f>DATEVALUE(MID(NJ$4,NM32,NP32))</f>
        <v>#VALUE!</v>
      </c>
      <c r="NR32" s="828" t="str">
        <f>IF(NN31=" за период",NQ32,"")</f>
        <v/>
      </c>
      <c r="OC32" s="1472"/>
      <c r="OD32" s="946" t="str">
        <f t="shared" si="131"/>
        <v>$$$$</v>
      </c>
      <c r="OE32" s="947" t="e">
        <f t="shared" si="145"/>
        <v>#VALUE!</v>
      </c>
      <c r="OF32" s="947"/>
      <c r="OG32" s="920"/>
      <c r="OH32" s="920"/>
      <c r="OI32" s="947"/>
      <c r="OJ32" s="947"/>
      <c r="OK32" s="947"/>
      <c r="OL32" s="1474"/>
      <c r="OY32" s="116"/>
      <c r="OZ32" s="959"/>
      <c r="PA32" s="1210"/>
      <c r="PB32" s="959"/>
      <c r="PC32" s="116"/>
      <c r="PD32" s="1000"/>
      <c r="PF32" s="1209"/>
      <c r="PG32" s="1208"/>
      <c r="PH32" s="1209"/>
      <c r="PI32" s="5"/>
      <c r="PJ32" s="1073"/>
      <c r="PK32" s="99"/>
      <c r="PL32" s="920"/>
      <c r="PM32" s="995"/>
      <c r="PN32" s="920"/>
      <c r="PO32" s="254"/>
      <c r="PP32" s="871"/>
      <c r="PQ32" t="str">
        <f t="shared" si="133"/>
        <v>$$$$</v>
      </c>
      <c r="PR32" s="937" t="e">
        <f t="shared" si="146"/>
        <v>#VALUE!</v>
      </c>
      <c r="PS32" s="5"/>
      <c r="PV32" s="937"/>
      <c r="PX32" s="5"/>
      <c r="PY32" s="1470"/>
      <c r="PZ32" t="str">
        <f t="shared" si="135"/>
        <v>$$$$</v>
      </c>
      <c r="QA32" s="937" t="e">
        <f t="shared" si="147"/>
        <v>#VALUE!</v>
      </c>
      <c r="QB32" s="5"/>
      <c r="QC32" s="264"/>
      <c r="QE32" s="937"/>
      <c r="QF32" s="264"/>
      <c r="QG32" s="5"/>
      <c r="QH32" s="1470"/>
      <c r="QI32" t="str">
        <f t="shared" si="137"/>
        <v>$$$$</v>
      </c>
      <c r="QJ32" s="937" t="e">
        <f t="shared" si="148"/>
        <v>#VALUE!</v>
      </c>
      <c r="QK32" s="5"/>
      <c r="QL32" s="264"/>
      <c r="QN32" s="937"/>
      <c r="QO32" s="264"/>
      <c r="QP32" s="5"/>
      <c r="QQ32" s="1470"/>
      <c r="QR32" t="str">
        <f t="shared" si="139"/>
        <v>$$$$</v>
      </c>
      <c r="QS32" s="937" t="e">
        <f t="shared" si="149"/>
        <v>#VALUE!</v>
      </c>
      <c r="QT32" s="5"/>
      <c r="QU32" s="264"/>
      <c r="QW32" s="937"/>
      <c r="QX32" s="264"/>
      <c r="QY32" s="5"/>
      <c r="QZ32" s="1470"/>
      <c r="RA32" s="1094" t="s">
        <v>5</v>
      </c>
      <c r="RB32" s="1095" t="str">
        <f>IFERROR(PJ7,"")</f>
        <v/>
      </c>
      <c r="SQ32" s="979"/>
      <c r="SV32" s="5"/>
      <c r="SW32" s="5"/>
      <c r="SX32" s="5"/>
      <c r="SY32" s="1464"/>
      <c r="SZ32" s="826" t="s">
        <v>8435</v>
      </c>
      <c r="TA32" s="836" t="str">
        <f>IF(TB31=" за период",SEARCH(" за период",$SQ$3,TC31)+LEN(" за период")+3,"НЕТ")</f>
        <v>НЕТ</v>
      </c>
      <c r="TB32" s="306" t="s">
        <v>8434</v>
      </c>
      <c r="TC32" s="306" t="e">
        <f>SEARCH(TB32,$SQ$3,TA32)</f>
        <v>#VALUE!</v>
      </c>
      <c r="TD32" s="306" t="e">
        <f>TC32-TA32</f>
        <v>#VALUE!</v>
      </c>
      <c r="TE32" s="827" t="e">
        <f>DATEVALUE(MID($SQ$3,TA32,TD32))</f>
        <v>#VALUE!</v>
      </c>
      <c r="TF32" s="828" t="str">
        <f>IF(TB31=" за период",TE32,"")</f>
        <v/>
      </c>
      <c r="TH32" s="5"/>
      <c r="TI32" s="5"/>
      <c r="TJ32" s="5"/>
      <c r="TK32" s="1477"/>
      <c r="TL32" s="1032"/>
      <c r="TM32" s="1033"/>
      <c r="TN32" s="403"/>
      <c r="TO32" s="403"/>
      <c r="TP32" s="403"/>
      <c r="TQ32" s="1034" t="e">
        <f>VALUE(CONCATENATE(TQ30,",",TQ31))</f>
        <v>#VALUE!</v>
      </c>
      <c r="TR32" s="832" t="str">
        <f>IFERROR(IF(TR29="Штраф 50%","",TQ32),"")</f>
        <v/>
      </c>
      <c r="TT32" s="5"/>
      <c r="TU32" s="5"/>
      <c r="TV32" s="5"/>
      <c r="TW32" s="1464"/>
      <c r="TX32" s="826" t="s">
        <v>8435</v>
      </c>
      <c r="TY32" s="836" t="str">
        <f>IF(TZ31=" за период",SEARCH(" за период",$SQ$4,UA31)+LEN(" за период")+3,"НЕТ")</f>
        <v>НЕТ</v>
      </c>
      <c r="TZ32" s="306" t="s">
        <v>8434</v>
      </c>
      <c r="UA32" s="306" t="e">
        <f>SEARCH(TZ32,$SQ$4,TY32)</f>
        <v>#VALUE!</v>
      </c>
      <c r="UB32" s="306" t="e">
        <f>UA32-TY32</f>
        <v>#VALUE!</v>
      </c>
      <c r="UC32" s="827" t="e">
        <f>DATEVALUE(MID($SQ$4,TY32,UB32))</f>
        <v>#VALUE!</v>
      </c>
      <c r="UD32" s="828" t="str">
        <f>IF(TZ31=" за период",UC32,"")</f>
        <v/>
      </c>
      <c r="UF32" s="5"/>
      <c r="UG32" s="5"/>
      <c r="UH32" s="5"/>
      <c r="UI32" s="1477"/>
      <c r="UJ32" s="1032"/>
      <c r="UK32" s="1033"/>
      <c r="UL32" s="403"/>
      <c r="UM32" s="403"/>
      <c r="UN32" s="403"/>
      <c r="UO32" s="1034" t="e">
        <f>VALUE(CONCATENATE(UO30,",",UO31))</f>
        <v>#VALUE!</v>
      </c>
      <c r="UP32" s="832" t="str">
        <f>IFERROR(IF(UP29="Штраф 50%","",UO32),"")</f>
        <v/>
      </c>
      <c r="UR32" s="5"/>
      <c r="US32" s="5"/>
      <c r="UT32" s="5"/>
      <c r="UU32" s="1464"/>
      <c r="UV32" s="826" t="s">
        <v>8435</v>
      </c>
      <c r="UW32" s="836" t="str">
        <f>IF(UX31=" за период",SEARCH(" за период",$SQ$5,UY31)+LEN(" за период")+3,"НЕТ")</f>
        <v>НЕТ</v>
      </c>
      <c r="UX32" s="306" t="s">
        <v>8434</v>
      </c>
      <c r="UY32" s="306" t="e">
        <f>SEARCH(UX32,$SQ$5,UW32)</f>
        <v>#VALUE!</v>
      </c>
      <c r="UZ32" s="306" t="e">
        <f>UY32-UW32</f>
        <v>#VALUE!</v>
      </c>
      <c r="VA32" s="827" t="e">
        <f>DATEVALUE(MID($SQ$5,UW32,UZ32))</f>
        <v>#VALUE!</v>
      </c>
      <c r="VB32" s="828" t="str">
        <f>IF(UX31=" за период",VA32,"")</f>
        <v/>
      </c>
      <c r="VD32" s="5"/>
      <c r="VE32" s="5"/>
      <c r="VF32" s="5"/>
      <c r="VG32" s="1477"/>
      <c r="VH32" s="1032"/>
      <c r="VI32" s="1033"/>
      <c r="VJ32" s="403"/>
      <c r="VK32" s="403"/>
      <c r="VL32" s="403"/>
      <c r="VM32" s="1034" t="e">
        <f>VALUE(CONCATENATE(VM30,",",VM31))</f>
        <v>#VALUE!</v>
      </c>
      <c r="VN32" s="832" t="str">
        <f>IFERROR(IF(VN29="Штраф 50%","",VM32),"")</f>
        <v/>
      </c>
      <c r="VP32" s="5"/>
      <c r="VQ32" s="5"/>
      <c r="VR32" s="5"/>
      <c r="VS32" s="1464"/>
      <c r="VT32" s="826" t="s">
        <v>8435</v>
      </c>
      <c r="VU32" s="836" t="str">
        <f>IF(VV31=" за период",SEARCH(" за период",$SQ$6,VW31)+LEN(" за период")+3,"НЕТ")</f>
        <v>НЕТ</v>
      </c>
      <c r="VV32" s="306" t="s">
        <v>8434</v>
      </c>
      <c r="VW32" s="306" t="e">
        <f>SEARCH(VV32,$SQ$6,VU32)</f>
        <v>#VALUE!</v>
      </c>
      <c r="VX32" s="306" t="e">
        <f>VW32-VU32</f>
        <v>#VALUE!</v>
      </c>
      <c r="VY32" s="827" t="e">
        <f>DATEVALUE(MID($SQ$6,VU32,VX32))</f>
        <v>#VALUE!</v>
      </c>
      <c r="VZ32" s="828" t="str">
        <f>IF(VV31=" за период",VY32,"")</f>
        <v/>
      </c>
      <c r="WB32" s="5"/>
      <c r="WC32" s="5"/>
      <c r="WD32" s="5"/>
      <c r="WE32" s="1477"/>
      <c r="WF32" s="1032"/>
      <c r="WG32" s="1033"/>
      <c r="WH32" s="403"/>
      <c r="WI32" s="403"/>
      <c r="WJ32" s="403"/>
      <c r="WK32" s="1034" t="e">
        <f>VALUE(CONCATENATE(WK30,",",WK31))</f>
        <v>#VALUE!</v>
      </c>
      <c r="WL32" s="832" t="str">
        <f>IFERROR(IF(WL29="Штраф 50%","",WK32),"")</f>
        <v/>
      </c>
      <c r="WN32" s="5"/>
      <c r="WO32" s="5"/>
      <c r="WP32" s="5"/>
      <c r="WQ32" s="1464"/>
      <c r="WR32" s="826" t="s">
        <v>8435</v>
      </c>
      <c r="WS32" s="836" t="str">
        <f>IF(WT31=" за период",SEARCH(" за период",$SQ$7,WU31)+LEN(" за период")+3,"НЕТ")</f>
        <v>НЕТ</v>
      </c>
      <c r="WT32" s="306" t="s">
        <v>8434</v>
      </c>
      <c r="WU32" s="306" t="e">
        <f>SEARCH(WT32,$SQ$7,WS32)</f>
        <v>#VALUE!</v>
      </c>
      <c r="WV32" s="306" t="e">
        <f>WU32-WS32</f>
        <v>#VALUE!</v>
      </c>
      <c r="WW32" s="827" t="e">
        <f>DATEVALUE(MID($SQ$7,WS32,WV32))</f>
        <v>#VALUE!</v>
      </c>
      <c r="WX32" s="828" t="str">
        <f>IF(WT31=" за период",WW32,"")</f>
        <v/>
      </c>
      <c r="WZ32" s="5"/>
      <c r="XA32" s="5"/>
      <c r="XB32" s="5"/>
      <c r="XC32" s="1477"/>
      <c r="XD32" s="1032"/>
      <c r="XE32" s="1033"/>
      <c r="XF32" s="403"/>
      <c r="XG32" s="403"/>
      <c r="XH32" s="403"/>
      <c r="XI32" s="1034" t="e">
        <f>VALUE(CONCATENATE(XI30,",",XI31))</f>
        <v>#VALUE!</v>
      </c>
      <c r="XJ32" s="832" t="str">
        <f>IFERROR(IF(XJ29="Штраф 50%","",XI32),"")</f>
        <v/>
      </c>
      <c r="YD32" s="5"/>
      <c r="YE32" s="5"/>
      <c r="YF32" s="5"/>
      <c r="YG32" s="1464"/>
      <c r="YH32" s="826" t="s">
        <v>8435</v>
      </c>
      <c r="YI32" s="836" t="str">
        <f>IF(YJ31=" за период",SEARCH(" за период",$XU$3,YK31)+LEN(" за период")+3,"НЕТ")</f>
        <v>НЕТ</v>
      </c>
      <c r="YJ32" s="306" t="s">
        <v>8434</v>
      </c>
      <c r="YK32" s="306" t="e">
        <f>SEARCH(YJ32,$XU$3,YI32)</f>
        <v>#VALUE!</v>
      </c>
      <c r="YL32" s="306" t="e">
        <f>YK32-YI32</f>
        <v>#VALUE!</v>
      </c>
      <c r="YM32" s="827" t="e">
        <f>DATEVALUE(MID($XU$3,YI32,YL32))</f>
        <v>#VALUE!</v>
      </c>
      <c r="YN32" s="828" t="str">
        <f>IF(YJ31=" за период",YM32,"")</f>
        <v/>
      </c>
      <c r="YP32" s="5"/>
      <c r="YQ32" s="5"/>
      <c r="YR32" s="5"/>
      <c r="YS32" s="1464"/>
      <c r="YT32" s="826" t="s">
        <v>8435</v>
      </c>
      <c r="YU32" s="836" t="str">
        <f>IF(YV31=" за период",SEARCH(" за период",$XU$4,YW31)+LEN(" за период")+3,"НЕТ")</f>
        <v>НЕТ</v>
      </c>
      <c r="YV32" s="306" t="s">
        <v>8434</v>
      </c>
      <c r="YW32" s="306" t="e">
        <f>SEARCH(YV32,$XU$4,YU32)</f>
        <v>#VALUE!</v>
      </c>
      <c r="YX32" s="306" t="e">
        <f>YW32-YU32</f>
        <v>#VALUE!</v>
      </c>
      <c r="YY32" s="827" t="e">
        <f>DATEVALUE(MID($XU$4,YU32,YX32))</f>
        <v>#VALUE!</v>
      </c>
      <c r="YZ32" s="828" t="str">
        <f>IF(YV31=" за период",YY32,"")</f>
        <v/>
      </c>
      <c r="ZB32" s="5"/>
      <c r="ZC32" s="5"/>
      <c r="ZD32" s="5"/>
      <c r="ZE32" s="1464"/>
      <c r="ZF32" s="826" t="s">
        <v>8435</v>
      </c>
      <c r="ZG32" s="836" t="str">
        <f>IF(ZH31=" за период",SEARCH(" за период",$XU$5,ZI31)+LEN(" за период")+3,"НЕТ")</f>
        <v>НЕТ</v>
      </c>
      <c r="ZH32" s="306" t="s">
        <v>8434</v>
      </c>
      <c r="ZI32" s="306" t="e">
        <f>SEARCH(ZH32,$XU$5,ZG32)</f>
        <v>#VALUE!</v>
      </c>
      <c r="ZJ32" s="306" t="e">
        <f>ZI32-ZG32</f>
        <v>#VALUE!</v>
      </c>
      <c r="ZK32" s="827" t="e">
        <f>DATEVALUE(MID($XU$5,ZG32,ZJ32))</f>
        <v>#VALUE!</v>
      </c>
      <c r="ZL32" s="828" t="str">
        <f>IF(ZH31=" за период",ZK32,"")</f>
        <v/>
      </c>
      <c r="ZN32" s="5"/>
      <c r="ZO32" s="5"/>
      <c r="ZP32" s="5"/>
      <c r="ZQ32" s="1464"/>
      <c r="ZR32" s="826" t="s">
        <v>8435</v>
      </c>
      <c r="ZS32" s="836" t="str">
        <f>IF(ZT31=" за период",SEARCH(" за период",$XU$6,ZU31)+LEN(" за период")+3,"НЕТ")</f>
        <v>НЕТ</v>
      </c>
      <c r="ZT32" s="306" t="s">
        <v>8434</v>
      </c>
      <c r="ZU32" s="306" t="e">
        <f>SEARCH(ZT32,$XU$6,ZS32)</f>
        <v>#VALUE!</v>
      </c>
      <c r="ZV32" s="306" t="e">
        <f>ZU32-ZS32</f>
        <v>#VALUE!</v>
      </c>
      <c r="ZW32" s="827" t="e">
        <f>DATEVALUE(MID($XU$6,ZS32,ZV32))</f>
        <v>#VALUE!</v>
      </c>
      <c r="ZX32" s="828" t="str">
        <f>IF(ZT31=" за период",ZW32,"")</f>
        <v/>
      </c>
      <c r="ZZ32" s="5"/>
      <c r="AAA32" s="5"/>
      <c r="AAB32" s="5"/>
      <c r="AAC32" s="1464"/>
      <c r="AAD32" s="826" t="s">
        <v>8435</v>
      </c>
      <c r="AAE32" s="836" t="str">
        <f>IF(AAF31=" за период",SEARCH(" за период",$XU$7,AAG31)+LEN(" за период")+3,"НЕТ")</f>
        <v>НЕТ</v>
      </c>
      <c r="AAF32" s="306" t="s">
        <v>8434</v>
      </c>
      <c r="AAG32" s="306" t="e">
        <f>SEARCH(AAF32,$XU$7,AAE32)</f>
        <v>#VALUE!</v>
      </c>
      <c r="AAH32" s="306" t="e">
        <f>AAG32-AAE32</f>
        <v>#VALUE!</v>
      </c>
      <c r="AAI32" s="827" t="e">
        <f>DATEVALUE(MID($XU$7,AAE32,AAH32))</f>
        <v>#VALUE!</v>
      </c>
      <c r="AAJ32" s="828" t="str">
        <f>IF(AAF31=" за период",AAI32,"")</f>
        <v/>
      </c>
      <c r="AAV32" t="str">
        <f t="shared" si="141"/>
        <v>$$$$</v>
      </c>
      <c r="AAW32" s="947" t="e">
        <f t="shared" si="150"/>
        <v>#VALUE!</v>
      </c>
      <c r="AAX32" s="5"/>
      <c r="AAY32" s="5"/>
      <c r="AAZ32" s="5"/>
      <c r="ABA32" s="1487"/>
      <c r="ADF32" s="5"/>
      <c r="ADG32" s="1075"/>
      <c r="ADQ32" s="1075"/>
      <c r="ADR32" s="1078" t="str">
        <f>IFERROR(ABW7,"")</f>
        <v/>
      </c>
      <c r="AEJ32" s="961"/>
      <c r="AEK32" s="961"/>
      <c r="AEL32" s="961"/>
      <c r="AEX32" s="1070"/>
      <c r="AFA32" s="1070"/>
      <c r="AFB32" s="5"/>
      <c r="AFC32" s="5"/>
      <c r="AFD32" s="5"/>
      <c r="AFE32" s="1464"/>
      <c r="AFF32" s="826" t="s">
        <v>8435</v>
      </c>
      <c r="AFG32" s="836" t="str">
        <f>IF(AFH31=" за период",SEARCH(" за период",AFD$4,AFI31)+LEN(" за период")+3,"НЕТ")</f>
        <v>НЕТ</v>
      </c>
      <c r="AFH32" s="306" t="s">
        <v>8434</v>
      </c>
      <c r="AFI32" s="306" t="e">
        <f>SEARCH(AFH32,AFD$4,AFG32)</f>
        <v>#VALUE!</v>
      </c>
      <c r="AFJ32" s="306" t="e">
        <f>AFI32-AFG32</f>
        <v>#VALUE!</v>
      </c>
      <c r="AFK32" s="827" t="e">
        <f>DATEVALUE(MID(AFD$4,AFG32,AFJ32))</f>
        <v>#VALUE!</v>
      </c>
      <c r="AFL32" s="828" t="str">
        <f>IF(AFH31=" за период",AFK32,"")</f>
        <v/>
      </c>
      <c r="AFN32" s="5"/>
      <c r="AFO32" s="5"/>
      <c r="AFP32" s="5"/>
      <c r="AFQ32" s="1464"/>
      <c r="AFR32" s="826" t="s">
        <v>8435</v>
      </c>
      <c r="AFS32" s="836" t="str">
        <f>IF(AFT31=" за период",SEARCH(" за период",AFP$4,AFU31)+LEN(" за период")+3,"НЕТ")</f>
        <v>НЕТ</v>
      </c>
      <c r="AFT32" s="306" t="s">
        <v>8434</v>
      </c>
      <c r="AFU32" s="306" t="e">
        <f>SEARCH(AFT32,AFP$4,AFS32)</f>
        <v>#VALUE!</v>
      </c>
      <c r="AFV32" s="306" t="e">
        <f>AFU32-AFS32</f>
        <v>#VALUE!</v>
      </c>
      <c r="AFW32" s="827" t="e">
        <f>DATEVALUE(MID(AFP$4,AFS32,AFV32))</f>
        <v>#VALUE!</v>
      </c>
      <c r="AFX32" s="828" t="str">
        <f>IF(AFT31=" за период",AFW32,"")</f>
        <v/>
      </c>
      <c r="AFZ32" s="5"/>
      <c r="AGA32" s="5"/>
      <c r="AGB32" s="5"/>
      <c r="AGC32" s="1464"/>
      <c r="AGD32" s="826" t="s">
        <v>8435</v>
      </c>
      <c r="AGE32" s="836" t="str">
        <f>IF(AGF31=" за период",SEARCH(" за период",AGB$4,AGG31)+LEN(" за период")+3,"НЕТ")</f>
        <v>НЕТ</v>
      </c>
      <c r="AGF32" s="306" t="s">
        <v>8434</v>
      </c>
      <c r="AGG32" s="306" t="e">
        <f>SEARCH(AGF32,AGB$4,AGE32)</f>
        <v>#VALUE!</v>
      </c>
      <c r="AGH32" s="306" t="e">
        <f>AGG32-AGE32</f>
        <v>#VALUE!</v>
      </c>
      <c r="AGI32" s="827" t="e">
        <f>DATEVALUE(MID(AGB$4,AGE32,AGH32))</f>
        <v>#VALUE!</v>
      </c>
      <c r="AGJ32" s="828" t="str">
        <f>IF(AGF31=" за период",AGI32,"")</f>
        <v/>
      </c>
      <c r="AGL32" s="5"/>
      <c r="AGM32" s="5"/>
      <c r="AGN32" s="5"/>
      <c r="AGO32" s="1464"/>
      <c r="AGP32" s="826" t="s">
        <v>8435</v>
      </c>
      <c r="AGQ32" s="836" t="str">
        <f>IF(AGR31=" за период",SEARCH(" за период",AGN$4,AGS31)+LEN(" за период")+3,"НЕТ")</f>
        <v>НЕТ</v>
      </c>
      <c r="AGR32" s="306" t="s">
        <v>8434</v>
      </c>
      <c r="AGS32" s="306" t="e">
        <f>SEARCH(AGR32,AGN$4,AGQ32)</f>
        <v>#VALUE!</v>
      </c>
      <c r="AGT32" s="306" t="e">
        <f>AGS32-AGQ32</f>
        <v>#VALUE!</v>
      </c>
      <c r="AGU32" s="827" t="e">
        <f>DATEVALUE(MID(AGN$4,AGQ32,AGT32))</f>
        <v>#VALUE!</v>
      </c>
      <c r="AGV32" s="828" t="str">
        <f>IF(AGR31=" за период",AGU32,"")</f>
        <v/>
      </c>
      <c r="AGX32" s="5"/>
      <c r="AGY32" s="5"/>
      <c r="AGZ32" s="5"/>
      <c r="AHA32" s="1464"/>
      <c r="AHB32" s="826" t="s">
        <v>8435</v>
      </c>
      <c r="AHC32" s="836" t="str">
        <f>IF(AHD31=" за период",SEARCH(" за период",AGZ$4,AHE31)+LEN(" за период")+3,"НЕТ")</f>
        <v>НЕТ</v>
      </c>
      <c r="AHD32" s="306" t="s">
        <v>8434</v>
      </c>
      <c r="AHE32" s="306" t="e">
        <f>SEARCH(AHD32,AGZ$4,AHC32)</f>
        <v>#VALUE!</v>
      </c>
      <c r="AHF32" s="306" t="e">
        <f>AHE32-AHC32</f>
        <v>#VALUE!</v>
      </c>
      <c r="AHG32" s="827" t="e">
        <f>DATEVALUE(MID(AGZ$4,AHC32,AHF32))</f>
        <v>#VALUE!</v>
      </c>
      <c r="AHH32" s="828" t="str">
        <f>IF(AHD31=" за период",AHG32,"")</f>
        <v/>
      </c>
    </row>
    <row r="33" spans="1:893" ht="14.4" customHeight="1" thickTop="1" x14ac:dyDescent="0.3">
      <c r="A33" s="116"/>
      <c r="B33" s="116"/>
      <c r="C33" s="116"/>
      <c r="D33" s="116"/>
      <c r="E33" s="116"/>
      <c r="F33" s="116"/>
      <c r="G33" s="116"/>
      <c r="H33" s="116"/>
      <c r="I33" s="116"/>
      <c r="J33" s="116"/>
      <c r="K33" s="116"/>
      <c r="L33" s="116"/>
      <c r="M33" s="116"/>
      <c r="N33" s="116"/>
      <c r="O33" s="116"/>
      <c r="P33" s="116"/>
      <c r="Q33" s="116"/>
      <c r="R33" s="116"/>
      <c r="S33" s="116"/>
      <c r="T33" s="116"/>
      <c r="U33" s="116"/>
      <c r="V33" s="116"/>
      <c r="W33" s="116"/>
      <c r="X33" s="116"/>
      <c r="Y33" s="116"/>
      <c r="Z33" s="116"/>
      <c r="AA33" s="116"/>
      <c r="AB33" s="116"/>
      <c r="AC33" s="116"/>
      <c r="AD33" s="116"/>
      <c r="AE33" s="116"/>
      <c r="AF33" s="116"/>
      <c r="AG33" s="116"/>
      <c r="AH33" s="116"/>
      <c r="AI33" s="116"/>
      <c r="AJ33" s="116"/>
      <c r="AK33" s="116"/>
      <c r="AL33" s="116"/>
      <c r="AM33" s="116"/>
      <c r="AN33" s="116"/>
      <c r="AO33" s="116"/>
      <c r="AP33" s="116"/>
      <c r="AQ33" s="116"/>
      <c r="AR33" s="116"/>
      <c r="AS33" s="116"/>
      <c r="AT33" s="116"/>
      <c r="AU33" s="116"/>
      <c r="AV33" s="116"/>
      <c r="AW33" s="116"/>
      <c r="AX33" s="116"/>
      <c r="AY33" s="116"/>
      <c r="AZ33" s="116"/>
      <c r="BA33" s="116"/>
      <c r="BB33" s="116"/>
      <c r="BC33" s="116"/>
      <c r="BD33" s="116"/>
      <c r="BE33" s="116"/>
      <c r="BF33" s="116"/>
      <c r="BG33" s="116"/>
      <c r="BH33" s="116"/>
      <c r="BI33" s="116"/>
      <c r="BJ33" s="116"/>
      <c r="BK33" s="116"/>
      <c r="BL33" s="116"/>
      <c r="BM33" s="116"/>
      <c r="BN33" s="116"/>
      <c r="BO33" s="116"/>
      <c r="BP33" s="116"/>
      <c r="BQ33" s="116"/>
      <c r="BR33" s="116"/>
      <c r="BS33" s="116"/>
      <c r="BT33" s="116"/>
      <c r="BU33" s="116"/>
      <c r="BV33" s="116"/>
      <c r="BW33" s="116"/>
      <c r="BX33" s="116"/>
      <c r="BY33" s="116"/>
      <c r="BZ33" s="116"/>
      <c r="CA33" s="116"/>
      <c r="CB33" s="116"/>
      <c r="CC33" s="116"/>
      <c r="CD33" s="116"/>
      <c r="CE33" s="116"/>
      <c r="CF33" s="116"/>
      <c r="CG33" s="116"/>
      <c r="CH33" s="116"/>
      <c r="CI33" s="116"/>
      <c r="CJ33" s="116"/>
      <c r="CK33" s="116"/>
      <c r="CL33" s="116"/>
      <c r="CM33" s="116"/>
      <c r="CN33" s="116"/>
      <c r="CO33" s="116"/>
      <c r="CP33" s="116"/>
      <c r="CQ33" s="116"/>
      <c r="CR33" s="116"/>
      <c r="CS33" s="116"/>
      <c r="CT33" s="116"/>
      <c r="CU33" s="116"/>
      <c r="CV33" s="116"/>
      <c r="CW33" s="116"/>
      <c r="CX33" s="116"/>
      <c r="CY33" s="116"/>
      <c r="CZ33" s="116"/>
      <c r="DA33" s="116"/>
      <c r="DB33" s="116"/>
      <c r="DC33" s="116"/>
      <c r="DD33" s="116"/>
      <c r="DE33" s="116"/>
      <c r="DF33" s="116"/>
      <c r="DG33" s="116"/>
      <c r="DH33" s="116"/>
      <c r="DI33" s="116"/>
      <c r="DJ33" s="116"/>
      <c r="DK33" s="116"/>
      <c r="DL33" s="116"/>
      <c r="DM33" s="116"/>
      <c r="DN33" s="116"/>
      <c r="DO33" s="116"/>
      <c r="DP33" s="116"/>
      <c r="DQ33" s="116"/>
      <c r="DT33" s="5" t="s">
        <v>8260</v>
      </c>
      <c r="DU33" s="821" t="s">
        <v>1716</v>
      </c>
      <c r="DV33" s="1464"/>
      <c r="DW33" s="826" t="s">
        <v>8436</v>
      </c>
      <c r="DX33" s="836" t="e">
        <f>SEARCH(" ",$C$3,DZ32+1)+1</f>
        <v>#VALUE!</v>
      </c>
      <c r="DY33" s="306"/>
      <c r="DZ33" s="306" t="e">
        <f>DX33+EA33</f>
        <v>#VALUE!</v>
      </c>
      <c r="EA33" s="306">
        <v>10</v>
      </c>
      <c r="EB33" s="827" t="e">
        <f>DATEVALUE(MID($C$3,DX33,EA33))</f>
        <v>#VALUE!</v>
      </c>
      <c r="EC33" s="828" t="str">
        <f>IF(DY31=" за период",EB33,"")</f>
        <v/>
      </c>
      <c r="LY33" t="s">
        <v>8513</v>
      </c>
      <c r="NK33" s="1464"/>
      <c r="NL33" s="826" t="s">
        <v>8436</v>
      </c>
      <c r="NM33" s="836" t="e">
        <f>SEARCH(" ",NJ$4,NO32+1)+1</f>
        <v>#VALUE!</v>
      </c>
      <c r="NN33" s="306"/>
      <c r="NO33" s="306" t="e">
        <f>NM33+NP33</f>
        <v>#VALUE!</v>
      </c>
      <c r="NP33" s="306">
        <v>10</v>
      </c>
      <c r="NQ33" s="827" t="e">
        <f>DATEVALUE(MID(NJ$4,NM33,NP33))</f>
        <v>#VALUE!</v>
      </c>
      <c r="NR33" s="828" t="str">
        <f>IF(NN31=" за период",NQ33,"")</f>
        <v/>
      </c>
      <c r="OC33" s="1472"/>
      <c r="OD33" s="946" t="str">
        <f t="shared" si="131"/>
        <v>$$$$</v>
      </c>
      <c r="OE33" s="947" t="e">
        <f t="shared" si="145"/>
        <v>#VALUE!</v>
      </c>
      <c r="OF33" s="947"/>
      <c r="OG33" s="920"/>
      <c r="OH33" s="920"/>
      <c r="OI33" s="947"/>
      <c r="OJ33" s="947"/>
      <c r="OK33" s="947"/>
      <c r="OL33" s="1474"/>
      <c r="OY33" s="116"/>
      <c r="OZ33" s="959"/>
      <c r="PA33" s="1210"/>
      <c r="PB33" s="959"/>
      <c r="PC33" s="116"/>
      <c r="PD33" s="1000"/>
      <c r="PF33" s="1209"/>
      <c r="PG33" s="1208"/>
      <c r="PH33" s="1209"/>
      <c r="PI33" s="5"/>
      <c r="PJ33" s="1073"/>
      <c r="PK33" s="99"/>
      <c r="PL33" s="920"/>
      <c r="PM33" s="995"/>
      <c r="PN33" s="920"/>
      <c r="PO33" s="254"/>
      <c r="PP33" s="871"/>
      <c r="PQ33" t="str">
        <f t="shared" si="133"/>
        <v>$$$$</v>
      </c>
      <c r="PR33" s="937" t="e">
        <f t="shared" si="146"/>
        <v>#VALUE!</v>
      </c>
      <c r="PS33" s="5"/>
      <c r="PV33" s="937"/>
      <c r="PX33" s="5"/>
      <c r="PY33" s="1470"/>
      <c r="PZ33" t="str">
        <f t="shared" si="135"/>
        <v>$$$$</v>
      </c>
      <c r="QA33" s="937" t="e">
        <f t="shared" si="147"/>
        <v>#VALUE!</v>
      </c>
      <c r="QB33" s="5"/>
      <c r="QC33" s="264"/>
      <c r="QE33" s="937"/>
      <c r="QF33" s="264"/>
      <c r="QG33" s="5"/>
      <c r="QH33" s="1470"/>
      <c r="QI33" t="str">
        <f t="shared" si="137"/>
        <v>$$$$</v>
      </c>
      <c r="QJ33" s="937" t="e">
        <f t="shared" si="148"/>
        <v>#VALUE!</v>
      </c>
      <c r="QK33" s="5"/>
      <c r="QL33" s="264"/>
      <c r="QN33" s="937"/>
      <c r="QO33" s="264"/>
      <c r="QP33" s="5"/>
      <c r="QQ33" s="1470"/>
      <c r="QR33" t="str">
        <f t="shared" si="139"/>
        <v>$$$$</v>
      </c>
      <c r="QS33" s="937" t="e">
        <f t="shared" si="149"/>
        <v>#VALUE!</v>
      </c>
      <c r="QT33" s="5"/>
      <c r="QU33" s="264"/>
      <c r="QW33" s="937"/>
      <c r="QX33" s="264"/>
      <c r="QY33" s="5"/>
      <c r="QZ33" s="1470"/>
      <c r="RA33" s="1094" t="s">
        <v>4</v>
      </c>
      <c r="RB33" s="1096" t="str">
        <f>IFERROR(PP7,"")</f>
        <v/>
      </c>
      <c r="SQ33" s="979"/>
      <c r="SY33" s="1464"/>
      <c r="SZ33" s="826" t="s">
        <v>8436</v>
      </c>
      <c r="TA33" s="836" t="e">
        <f>SEARCH(" ",$SQ$3,TC32+1)+1</f>
        <v>#VALUE!</v>
      </c>
      <c r="TB33" s="306"/>
      <c r="TC33" s="306" t="e">
        <f>TA33+TD33</f>
        <v>#VALUE!</v>
      </c>
      <c r="TD33" s="306">
        <v>10</v>
      </c>
      <c r="TE33" s="827" t="e">
        <f>DATEVALUE(MID($SQ$3,TA33,TD33))</f>
        <v>#VALUE!</v>
      </c>
      <c r="TF33" s="828" t="str">
        <f>IF(TB31=" за период",TE33,"")</f>
        <v/>
      </c>
      <c r="TK33" s="1475">
        <v>8</v>
      </c>
      <c r="TL33" s="1030" t="s">
        <v>8433</v>
      </c>
      <c r="TM33" s="406" t="e">
        <f>SEARCH($TJ$14,TJ$4,TO29)+LEN($TJ$14)</f>
        <v>#VALUE!</v>
      </c>
      <c r="TN33" s="406" t="str">
        <f>IF(TO33=IFERROR(SEARCH(".",TJ$4,TM33),99999),".",
IF(TO33=IFERROR(SEARCH(",",TJ$4,TM33),99999),",",
IF(TO33=IFERROR(SEARCH(" за период",TJ$4,TM33),999999)," за период",
IF(TO33=IFERROR(SEARCH(" в размере",TJ$4,TM33),99999)," в размере",
IF(TO33=IFERROR(SEARCH(" и ",TJ$4,TM33),99999)," и ",
IF(TO33=IFERROR(SEARCH(")",TJ$4,TM33),99999),")",
))))))</f>
        <v>.</v>
      </c>
      <c r="TO33" s="406">
        <f>IFERROR(MIN(IFERROR(SEARCH(".",TJ$4,TM33),99999),IFERROR(SEARCH(",",TJ$4,TM33),99999),IFERROR(SEARCH(" за период",TJ$4,TM33),999999),IFERROR(SEARCH(" в размере",TJ$4,TM33),99999),IFERROR(SEARCH(" и ",TJ$4,TM33),99999),IFERROR(SEARCH(")",TJ$4,TM33),99999)),"ОШИБКА")</f>
        <v>99999</v>
      </c>
      <c r="TP33" s="406" t="e">
        <f>TO33-TM33</f>
        <v>#VALUE!</v>
      </c>
      <c r="TQ33" s="873" t="e">
        <f>MID(TJ$4,TM33,TP33)</f>
        <v>#VALUE!</v>
      </c>
      <c r="TR33" s="825" t="str">
        <f>IFERROR(INDEX($DU:$DU,MATCH(MID(TJ$4,TM33,TP33),$DT:$DT,0),1),"")</f>
        <v/>
      </c>
      <c r="TW33" s="1464"/>
      <c r="TX33" s="826" t="s">
        <v>8436</v>
      </c>
      <c r="TY33" s="836" t="e">
        <f>SEARCH(" ",$SQ$4,UA32+1)+1</f>
        <v>#VALUE!</v>
      </c>
      <c r="TZ33" s="306"/>
      <c r="UA33" s="306" t="e">
        <f>TY33+UB33</f>
        <v>#VALUE!</v>
      </c>
      <c r="UB33" s="306">
        <v>10</v>
      </c>
      <c r="UC33" s="827" t="e">
        <f>DATEVALUE(MID($SQ$4,TY33,UB33))</f>
        <v>#VALUE!</v>
      </c>
      <c r="UD33" s="828" t="str">
        <f>IF(TZ31=" за период",UC33,"")</f>
        <v/>
      </c>
      <c r="UI33" s="1475">
        <v>8</v>
      </c>
      <c r="UJ33" s="1030" t="s">
        <v>8433</v>
      </c>
      <c r="UK33" s="406" t="e">
        <f>SEARCH(UH$14,UH$4,UM29)+LEN(UH$14)</f>
        <v>#VALUE!</v>
      </c>
      <c r="UL33" s="406" t="str">
        <f>IF(UM33=IFERROR(SEARCH(".",UH$4,UK33),99999),".",
IF(UM33=IFERROR(SEARCH(",",UH$4,UK33),99999),",",
IF(UM33=IFERROR(SEARCH(" за период",UH$4,UK33),999999)," за период",
IF(UM33=IFERROR(SEARCH(" в размере",UH$4,UK33),99999)," в размере",
IF(UM33=IFERROR(SEARCH(" и ",UH$4,UK33),99999)," и ",
IF(UM33=IFERROR(SEARCH(")",UH$4,UK33),99999),")",
))))))</f>
        <v>.</v>
      </c>
      <c r="UM33" s="406">
        <f>IFERROR(MIN(IFERROR(SEARCH(".",UH$4,UK33),99999),IFERROR(SEARCH(",",UH$4,UK33),99999),IFERROR(SEARCH(" за период",UH$4,UK33),999999),IFERROR(SEARCH(" в размере",UH$4,UK33),99999),IFERROR(SEARCH(" и ",UH$4,UK33),99999),IFERROR(SEARCH(")",UH$4,UK33),99999)),"ОШИБКА")</f>
        <v>99999</v>
      </c>
      <c r="UN33" s="406" t="e">
        <f>UM33-UK33</f>
        <v>#VALUE!</v>
      </c>
      <c r="UO33" s="873" t="e">
        <f>MID(UH$4,UK33,UN33)</f>
        <v>#VALUE!</v>
      </c>
      <c r="UP33" s="825" t="str">
        <f>IFERROR(INDEX($DU:$DU,MATCH(MID(UH$4,UK33,UN33),$DT:$DT,0),1),"")</f>
        <v/>
      </c>
      <c r="UU33" s="1464"/>
      <c r="UV33" s="826" t="s">
        <v>8436</v>
      </c>
      <c r="UW33" s="836" t="e">
        <f>SEARCH(" ",$SQ$5,UY32+1)+1</f>
        <v>#VALUE!</v>
      </c>
      <c r="UX33" s="306"/>
      <c r="UY33" s="306" t="e">
        <f>UW33+UZ33</f>
        <v>#VALUE!</v>
      </c>
      <c r="UZ33" s="306">
        <v>10</v>
      </c>
      <c r="VA33" s="827" t="e">
        <f>DATEVALUE(MID($SQ$5,UW33,UZ33))</f>
        <v>#VALUE!</v>
      </c>
      <c r="VB33" s="828" t="str">
        <f>IF(UX31=" за период",VA33,"")</f>
        <v/>
      </c>
      <c r="VG33" s="1475">
        <v>8</v>
      </c>
      <c r="VH33" s="1030" t="s">
        <v>8433</v>
      </c>
      <c r="VI33" s="406" t="e">
        <f>SEARCH(VF$14,VF$4,VK29)+LEN(VF$14)</f>
        <v>#VALUE!</v>
      </c>
      <c r="VJ33" s="406" t="str">
        <f>IF(VK33=IFERROR(SEARCH(".",VF$4,VI33),99999),".",
IF(VK33=IFERROR(SEARCH(",",VF$4,VI33),99999),",",
IF(VK33=IFERROR(SEARCH(" за период",VF$4,VI33),999999)," за период",
IF(VK33=IFERROR(SEARCH(" в размере",VF$4,VI33),99999)," в размере",
IF(VK33=IFERROR(SEARCH(" и ",VF$4,VI33),99999)," и ",
IF(VK33=IFERROR(SEARCH(")",VF$4,VI33),99999),")",
))))))</f>
        <v>.</v>
      </c>
      <c r="VK33" s="406">
        <f>IFERROR(MIN(IFERROR(SEARCH(".",VF$4,VI33),99999),IFERROR(SEARCH(",",VF$4,VI33),99999),IFERROR(SEARCH(" за период",VF$4,VI33),999999),IFERROR(SEARCH(" в размере",VF$4,VI33),99999),IFERROR(SEARCH(" и ",VF$4,VI33),99999),IFERROR(SEARCH(")",VF$4,VI33),99999)),"ОШИБКА")</f>
        <v>99999</v>
      </c>
      <c r="VL33" s="406" t="e">
        <f>VK33-VI33</f>
        <v>#VALUE!</v>
      </c>
      <c r="VM33" s="873" t="e">
        <f>MID(VF$4,VI33,VL33)</f>
        <v>#VALUE!</v>
      </c>
      <c r="VN33" s="825" t="str">
        <f>IFERROR(INDEX($DU:$DU,MATCH(MID(VF$4,VI33,VL33),$DT:$DT,0),1),"")</f>
        <v/>
      </c>
      <c r="VS33" s="1464"/>
      <c r="VT33" s="826" t="s">
        <v>8436</v>
      </c>
      <c r="VU33" s="836" t="e">
        <f>SEARCH(" ",$SQ$6,VW32+1)+1</f>
        <v>#VALUE!</v>
      </c>
      <c r="VV33" s="306"/>
      <c r="VW33" s="306" t="e">
        <f>VU33+VX33</f>
        <v>#VALUE!</v>
      </c>
      <c r="VX33" s="306">
        <v>10</v>
      </c>
      <c r="VY33" s="827" t="e">
        <f>DATEVALUE(MID($SQ$6,VU33,VX33))</f>
        <v>#VALUE!</v>
      </c>
      <c r="VZ33" s="828" t="str">
        <f>IF(VV31=" за период",VY33,"")</f>
        <v/>
      </c>
      <c r="WE33" s="1475">
        <v>8</v>
      </c>
      <c r="WF33" s="1030" t="s">
        <v>8433</v>
      </c>
      <c r="WG33" s="406" t="e">
        <f>SEARCH($TJ$14,WD$4,WI29)+LEN($TJ$14)</f>
        <v>#VALUE!</v>
      </c>
      <c r="WH33" s="406" t="str">
        <f>IF(WI33=IFERROR(SEARCH(".",WD$4,WG33),99999),".",
IF(WI33=IFERROR(SEARCH(",",WD$4,WG33),99999),",",
IF(WI33=IFERROR(SEARCH(" за период",WD$4,WG33),999999)," за период",
IF(WI33=IFERROR(SEARCH(" в размере",WD$4,WG33),99999)," в размере",
IF(WI33=IFERROR(SEARCH(" и ",WD$4,WG33),99999)," и ",
IF(WI33=IFERROR(SEARCH(")",WD$4,WG33),99999),")",
))))))</f>
        <v>.</v>
      </c>
      <c r="WI33" s="406">
        <f>IFERROR(MIN(IFERROR(SEARCH(".",WD$4,WG33),99999),IFERROR(SEARCH(",",WD$4,WG33),99999),IFERROR(SEARCH(" за период",WD$4,WG33),999999),IFERROR(SEARCH(" в размере",WD$4,WG33),99999),IFERROR(SEARCH(" и ",WD$4,WG33),99999),IFERROR(SEARCH(")",WD$4,WG33),99999)),"ОШИБКА")</f>
        <v>99999</v>
      </c>
      <c r="WJ33" s="406" t="e">
        <f>WI33-WG33</f>
        <v>#VALUE!</v>
      </c>
      <c r="WK33" s="873" t="e">
        <f>MID(WD$4,WG33,WJ33)</f>
        <v>#VALUE!</v>
      </c>
      <c r="WL33" s="825" t="str">
        <f>IFERROR(INDEX($DU:$DU,MATCH(MID(WD$4,WG33,WJ33),$DT:$DT,0),1),"")</f>
        <v/>
      </c>
      <c r="WQ33" s="1464"/>
      <c r="WR33" s="826" t="s">
        <v>8436</v>
      </c>
      <c r="WS33" s="836" t="e">
        <f>SEARCH(" ",$SQ$7,WU32+1)+1</f>
        <v>#VALUE!</v>
      </c>
      <c r="WT33" s="306"/>
      <c r="WU33" s="306" t="e">
        <f>WS33+WV33</f>
        <v>#VALUE!</v>
      </c>
      <c r="WV33" s="306">
        <v>10</v>
      </c>
      <c r="WW33" s="827" t="e">
        <f>DATEVALUE(MID($SQ$7,WS33,WV33))</f>
        <v>#VALUE!</v>
      </c>
      <c r="WX33" s="828" t="str">
        <f>IF(WT31=" за период",WW33,"")</f>
        <v/>
      </c>
      <c r="XC33" s="1475">
        <v>8</v>
      </c>
      <c r="XD33" s="1030" t="s">
        <v>8433</v>
      </c>
      <c r="XE33" s="406" t="e">
        <f>SEARCH($TJ$14,XB$4,XG29)+LEN($TJ$14)</f>
        <v>#VALUE!</v>
      </c>
      <c r="XF33" s="406" t="str">
        <f>IF(XG33=IFERROR(SEARCH(".",XB$4,XE33),99999),".",
IF(XG33=IFERROR(SEARCH(",",XB$4,XE33),99999),",",
IF(XG33=IFERROR(SEARCH(" за период",XB$4,XE33),999999)," за период",
IF(XG33=IFERROR(SEARCH(" в размере",XB$4,XE33),99999)," в размере",
IF(XG33=IFERROR(SEARCH(" и ",XB$4,XE33),99999)," и ",
IF(XG33=IFERROR(SEARCH(")",XB$4,XE33),99999),")",
))))))</f>
        <v>.</v>
      </c>
      <c r="XG33" s="406">
        <f>IFERROR(MIN(IFERROR(SEARCH(".",XB$4,XE33),99999),IFERROR(SEARCH(",",XB$4,XE33),99999),IFERROR(SEARCH(" за период",XB$4,XE33),999999),IFERROR(SEARCH(" в размере",XB$4,XE33),99999),IFERROR(SEARCH(" и ",XB$4,XE33),99999),IFERROR(SEARCH(")",XB$4,XE33),99999)),"ОШИБКА")</f>
        <v>99999</v>
      </c>
      <c r="XH33" s="406" t="e">
        <f>XG33-XE33</f>
        <v>#VALUE!</v>
      </c>
      <c r="XI33" s="873" t="e">
        <f>MID(XB$4,XE33,XH33)</f>
        <v>#VALUE!</v>
      </c>
      <c r="XJ33" s="825" t="str">
        <f>IFERROR(INDEX($DU:$DU,MATCH(MID(XB$4,XE33,XH33),$DT:$DT,0),1),"")</f>
        <v/>
      </c>
      <c r="YG33" s="1464"/>
      <c r="YH33" s="826" t="s">
        <v>8436</v>
      </c>
      <c r="YI33" s="836" t="e">
        <f>SEARCH(" ",$XU$3,YK32+1)+1</f>
        <v>#VALUE!</v>
      </c>
      <c r="YJ33" s="306"/>
      <c r="YK33" s="306" t="e">
        <f>YI33+YL33</f>
        <v>#VALUE!</v>
      </c>
      <c r="YL33" s="306">
        <v>10</v>
      </c>
      <c r="YM33" s="827" t="e">
        <f>DATEVALUE(MID($XU$3,YI33,YL33))</f>
        <v>#VALUE!</v>
      </c>
      <c r="YN33" s="828" t="str">
        <f>IF(YJ31=" за период",YM33,"")</f>
        <v/>
      </c>
      <c r="YS33" s="1464"/>
      <c r="YT33" s="826" t="s">
        <v>8436</v>
      </c>
      <c r="YU33" s="836" t="e">
        <f>SEARCH(" ",$XU$4,YW32+1)+1</f>
        <v>#VALUE!</v>
      </c>
      <c r="YV33" s="306"/>
      <c r="YW33" s="306" t="e">
        <f>YU33+YX33</f>
        <v>#VALUE!</v>
      </c>
      <c r="YX33" s="306">
        <v>10</v>
      </c>
      <c r="YY33" s="827" t="e">
        <f>DATEVALUE(MID($XU$4,YU33,YX33))</f>
        <v>#VALUE!</v>
      </c>
      <c r="YZ33" s="828" t="str">
        <f>IF(YV31=" за период",YY33,"")</f>
        <v/>
      </c>
      <c r="ZE33" s="1464"/>
      <c r="ZF33" s="826" t="s">
        <v>8436</v>
      </c>
      <c r="ZG33" s="836" t="e">
        <f>SEARCH(" ",$XU$5,ZI32+1)+1</f>
        <v>#VALUE!</v>
      </c>
      <c r="ZH33" s="306"/>
      <c r="ZI33" s="306" t="e">
        <f>ZG33+ZJ33</f>
        <v>#VALUE!</v>
      </c>
      <c r="ZJ33" s="306">
        <v>10</v>
      </c>
      <c r="ZK33" s="827" t="e">
        <f>DATEVALUE(MID($XU$5,ZG33,ZJ33))</f>
        <v>#VALUE!</v>
      </c>
      <c r="ZL33" s="828" t="str">
        <f>IF(ZH31=" за период",ZK33,"")</f>
        <v/>
      </c>
      <c r="ZQ33" s="1464"/>
      <c r="ZR33" s="826" t="s">
        <v>8436</v>
      </c>
      <c r="ZS33" s="836" t="e">
        <f>SEARCH(" ",$XU$6,ZU32+1)+1</f>
        <v>#VALUE!</v>
      </c>
      <c r="ZT33" s="306"/>
      <c r="ZU33" s="306" t="e">
        <f>ZS33+ZV33</f>
        <v>#VALUE!</v>
      </c>
      <c r="ZV33" s="306">
        <v>10</v>
      </c>
      <c r="ZW33" s="827" t="e">
        <f>DATEVALUE(MID($XU$6,ZS33,ZV33))</f>
        <v>#VALUE!</v>
      </c>
      <c r="ZX33" s="828" t="str">
        <f>IF(ZT31=" за период",ZW33,"")</f>
        <v/>
      </c>
      <c r="AAC33" s="1464"/>
      <c r="AAD33" s="826" t="s">
        <v>8436</v>
      </c>
      <c r="AAE33" s="836" t="e">
        <f>SEARCH(" ",$XU$7,AAG32+1)+1</f>
        <v>#VALUE!</v>
      </c>
      <c r="AAF33" s="306"/>
      <c r="AAG33" s="306" t="e">
        <f>AAE33+AAH33</f>
        <v>#VALUE!</v>
      </c>
      <c r="AAH33" s="306">
        <v>10</v>
      </c>
      <c r="AAI33" s="827" t="e">
        <f>DATEVALUE(MID($XU$7,AAE33,AAH33))</f>
        <v>#VALUE!</v>
      </c>
      <c r="AAJ33" s="828" t="str">
        <f>IF(AAF31=" за период",AAI33,"")</f>
        <v/>
      </c>
      <c r="AAV33" t="str">
        <f t="shared" si="141"/>
        <v>$$$$</v>
      </c>
      <c r="AAW33" s="947" t="e">
        <f t="shared" si="150"/>
        <v>#VALUE!</v>
      </c>
      <c r="AAX33" s="5"/>
      <c r="AAY33" s="5"/>
      <c r="AAZ33" s="5"/>
      <c r="ABA33" s="1487"/>
      <c r="ADF33" s="5"/>
      <c r="ADG33" s="1075"/>
      <c r="ADQ33" s="1075"/>
      <c r="ADR33" s="1079" t="str">
        <f>IFERROR(ACC7,"")</f>
        <v/>
      </c>
      <c r="AEJ33" s="961"/>
      <c r="AEK33" s="961"/>
      <c r="AEL33" s="961"/>
      <c r="AEX33" s="1070"/>
      <c r="AFA33" s="1070"/>
      <c r="AFE33" s="1464"/>
      <c r="AFF33" s="826" t="s">
        <v>8436</v>
      </c>
      <c r="AFG33" s="836" t="e">
        <f>SEARCH(" ",AFD$4,AFI32+1)+1</f>
        <v>#VALUE!</v>
      </c>
      <c r="AFH33" s="306"/>
      <c r="AFI33" s="306" t="e">
        <f>AFG33+AFJ33</f>
        <v>#VALUE!</v>
      </c>
      <c r="AFJ33" s="306">
        <v>10</v>
      </c>
      <c r="AFK33" s="827" t="e">
        <f>DATEVALUE(MID(AFD$4,AFG33,AFJ33))</f>
        <v>#VALUE!</v>
      </c>
      <c r="AFL33" s="828" t="str">
        <f>IF(AFH31=" за период",AFK33,"")</f>
        <v/>
      </c>
      <c r="AFQ33" s="1464"/>
      <c r="AFR33" s="826" t="s">
        <v>8436</v>
      </c>
      <c r="AFS33" s="836" t="e">
        <f>SEARCH(" ",AFP$4,AFU32+1)+1</f>
        <v>#VALUE!</v>
      </c>
      <c r="AFT33" s="306"/>
      <c r="AFU33" s="306" t="e">
        <f>AFS33+AFV33</f>
        <v>#VALUE!</v>
      </c>
      <c r="AFV33" s="306">
        <v>10</v>
      </c>
      <c r="AFW33" s="827" t="e">
        <f>DATEVALUE(MID(AFP$4,AFS33,AFV33))</f>
        <v>#VALUE!</v>
      </c>
      <c r="AFX33" s="828" t="str">
        <f>IF(AFT31=" за период",AFW33,"")</f>
        <v/>
      </c>
      <c r="AGC33" s="1464"/>
      <c r="AGD33" s="826" t="s">
        <v>8436</v>
      </c>
      <c r="AGE33" s="836" t="e">
        <f>SEARCH(" ",AGB$4,AGG32+1)+1</f>
        <v>#VALUE!</v>
      </c>
      <c r="AGF33" s="306"/>
      <c r="AGG33" s="306" t="e">
        <f>AGE33+AGH33</f>
        <v>#VALUE!</v>
      </c>
      <c r="AGH33" s="306">
        <v>10</v>
      </c>
      <c r="AGI33" s="827" t="e">
        <f>DATEVALUE(MID(AGB$4,AGE33,AGH33))</f>
        <v>#VALUE!</v>
      </c>
      <c r="AGJ33" s="828" t="str">
        <f>IF(AGF31=" за период",AGI33,"")</f>
        <v/>
      </c>
      <c r="AGO33" s="1464"/>
      <c r="AGP33" s="826" t="s">
        <v>8436</v>
      </c>
      <c r="AGQ33" s="836" t="e">
        <f>SEARCH(" ",AGN$4,AGS32+1)+1</f>
        <v>#VALUE!</v>
      </c>
      <c r="AGR33" s="306"/>
      <c r="AGS33" s="306" t="e">
        <f>AGQ33+AGT33</f>
        <v>#VALUE!</v>
      </c>
      <c r="AGT33" s="306">
        <v>10</v>
      </c>
      <c r="AGU33" s="827" t="e">
        <f>DATEVALUE(MID(AGN$4,AGQ33,AGT33))</f>
        <v>#VALUE!</v>
      </c>
      <c r="AGV33" s="828" t="str">
        <f>IF(AGR31=" за период",AGU33,"")</f>
        <v/>
      </c>
      <c r="AHA33" s="1464"/>
      <c r="AHB33" s="826" t="s">
        <v>8436</v>
      </c>
      <c r="AHC33" s="836" t="e">
        <f>SEARCH(" ",AGZ$4,AHE32+1)+1</f>
        <v>#VALUE!</v>
      </c>
      <c r="AHD33" s="306"/>
      <c r="AHE33" s="306" t="e">
        <f>AHC33+AHF33</f>
        <v>#VALUE!</v>
      </c>
      <c r="AHF33" s="306">
        <v>10</v>
      </c>
      <c r="AHG33" s="827" t="e">
        <f>DATEVALUE(MID(AGZ$4,AHC33,AHF33))</f>
        <v>#VALUE!</v>
      </c>
      <c r="AHH33" s="828" t="str">
        <f>IF(AHD31=" за период",AHG33,"")</f>
        <v/>
      </c>
    </row>
    <row r="34" spans="1:893" ht="14.4" customHeight="1" x14ac:dyDescent="0.3">
      <c r="A34" s="116"/>
      <c r="B34" s="116"/>
      <c r="C34" s="116"/>
      <c r="D34" s="116"/>
      <c r="E34" s="116"/>
      <c r="F34" s="116"/>
      <c r="G34" s="116"/>
      <c r="H34" s="116"/>
      <c r="I34" s="116"/>
      <c r="J34" s="116"/>
      <c r="K34" s="116"/>
      <c r="L34" s="116"/>
      <c r="M34" s="116"/>
      <c r="N34" s="116"/>
      <c r="O34" s="116"/>
      <c r="P34" s="116"/>
      <c r="Q34" s="116"/>
      <c r="R34" s="116"/>
      <c r="S34" s="116"/>
      <c r="T34" s="116"/>
      <c r="U34" s="116"/>
      <c r="V34" s="116"/>
      <c r="W34" s="116"/>
      <c r="X34" s="116"/>
      <c r="Y34" s="116"/>
      <c r="Z34" s="116"/>
      <c r="AA34" s="116"/>
      <c r="AB34" s="116"/>
      <c r="AC34" s="116"/>
      <c r="AD34" s="116"/>
      <c r="AE34" s="116"/>
      <c r="AF34" s="116"/>
      <c r="AG34" s="116"/>
      <c r="AH34" s="116"/>
      <c r="AI34" s="116"/>
      <c r="AJ34" s="116"/>
      <c r="AK34" s="116"/>
      <c r="AL34" s="116"/>
      <c r="AM34" s="116"/>
      <c r="AN34" s="116"/>
      <c r="AO34" s="116"/>
      <c r="AP34" s="116"/>
      <c r="AQ34" s="116"/>
      <c r="AR34" s="116"/>
      <c r="AS34" s="116"/>
      <c r="AT34" s="116"/>
      <c r="AU34" s="116"/>
      <c r="AV34" s="116"/>
      <c r="AW34" s="116"/>
      <c r="AX34" s="116"/>
      <c r="AY34" s="116"/>
      <c r="AZ34" s="116"/>
      <c r="BA34" s="116"/>
      <c r="BB34" s="116"/>
      <c r="BC34" s="116"/>
      <c r="BD34" s="116"/>
      <c r="BE34" s="116"/>
      <c r="BF34" s="116"/>
      <c r="BG34" s="116"/>
      <c r="BH34" s="116"/>
      <c r="BI34" s="116"/>
      <c r="BJ34" s="116"/>
      <c r="BK34" s="116"/>
      <c r="BL34" s="116"/>
      <c r="BM34" s="116"/>
      <c r="BN34" s="116"/>
      <c r="BO34" s="116"/>
      <c r="BP34" s="116"/>
      <c r="BQ34" s="116"/>
      <c r="BR34" s="116"/>
      <c r="BS34" s="116"/>
      <c r="BT34" s="116"/>
      <c r="BU34" s="116"/>
      <c r="BV34" s="116"/>
      <c r="BW34" s="116"/>
      <c r="BX34" s="116"/>
      <c r="BY34" s="116"/>
      <c r="BZ34" s="116"/>
      <c r="CA34" s="116"/>
      <c r="CB34" s="116"/>
      <c r="CC34" s="116"/>
      <c r="CD34" s="116"/>
      <c r="CE34" s="116"/>
      <c r="CF34" s="116"/>
      <c r="CG34" s="116"/>
      <c r="CH34" s="116"/>
      <c r="CI34" s="116"/>
      <c r="CJ34" s="116"/>
      <c r="CK34" s="116"/>
      <c r="CL34" s="116"/>
      <c r="CM34" s="116"/>
      <c r="CN34" s="116"/>
      <c r="CO34" s="116"/>
      <c r="CP34" s="116"/>
      <c r="CQ34" s="116"/>
      <c r="CR34" s="116"/>
      <c r="CS34" s="116"/>
      <c r="CT34" s="116"/>
      <c r="CU34" s="116"/>
      <c r="CV34" s="116"/>
      <c r="CW34" s="116"/>
      <c r="CX34" s="116"/>
      <c r="CY34" s="116"/>
      <c r="CZ34" s="116"/>
      <c r="DA34" s="116"/>
      <c r="DB34" s="116"/>
      <c r="DC34" s="116"/>
      <c r="DD34" s="116"/>
      <c r="DE34" s="116"/>
      <c r="DF34" s="116"/>
      <c r="DG34" s="116"/>
      <c r="DH34" s="116"/>
      <c r="DI34" s="116"/>
      <c r="DJ34" s="116"/>
      <c r="DK34" s="116"/>
      <c r="DL34" s="116"/>
      <c r="DM34" s="116"/>
      <c r="DN34" s="116"/>
      <c r="DO34" s="116"/>
      <c r="DP34" s="116"/>
      <c r="DQ34" s="116"/>
      <c r="DT34" t="s">
        <v>2863</v>
      </c>
      <c r="DU34" s="431" t="s">
        <v>2861</v>
      </c>
      <c r="DV34" s="1464"/>
      <c r="DW34" s="826"/>
      <c r="DX34" s="836"/>
      <c r="DY34" s="306" t="str">
        <f>IF(DZ34=IFERROR(SEARCH(".",C$3,DZ33),99999),".",
IF(DZ34=IFERROR(SEARCH(",",C$3,DZ33),99999),",",
IF(DZ34=IFERROR(SEARCH(" за период",C$3,DZ33),999999)," за период",
IF(DZ34=IFERROR(SEARCH(" в размере",C$3,DZ33),99999)," в размере",
))))</f>
        <v>.</v>
      </c>
      <c r="DZ34" s="306">
        <f>MIN(
IFERROR(SEARCH(".",$C$3,DZ33),99999),
IFERROR(SEARCH(",",$C$3,DZ33),99999),
IFERROR(SEARCH(" в размере",$C$3,DZ33),99999))</f>
        <v>99999</v>
      </c>
      <c r="EA34" s="306"/>
      <c r="EB34" s="827"/>
      <c r="EC34" s="829"/>
      <c r="LY34" t="s">
        <v>8513</v>
      </c>
      <c r="NK34" s="1464"/>
      <c r="NL34" s="826"/>
      <c r="NM34" s="836"/>
      <c r="NN34" s="306" t="str">
        <f>IF(NO34=IFERROR(SEARCH(".",NJ$4,NO33),99999),".",
IF(NO34=IFERROR(SEARCH(",",NJ$4,NO33),99999),",",
IF(NO34=IFERROR(SEARCH(" за период",NJ$4,NO33),999999)," за период",
IF(NO34=IFERROR(SEARCH(" в размере",NJ$4,NO33),99999)," в размере",
))))</f>
        <v>.</v>
      </c>
      <c r="NO34" s="306">
        <f>MIN(
IFERROR(SEARCH(".",NJ$4,NO33),99999),
IFERROR(SEARCH(",",NJ$4,NO33),99999),
IFERROR(SEARCH(" в размере",NJ$4,NO33),99999))</f>
        <v>99999</v>
      </c>
      <c r="NP34" s="306"/>
      <c r="NQ34" s="827"/>
      <c r="NR34" s="829"/>
      <c r="OC34" s="1472"/>
      <c r="OD34" s="946" t="str">
        <f t="shared" si="131"/>
        <v>$$$$</v>
      </c>
      <c r="OE34" s="947" t="e">
        <f t="shared" si="145"/>
        <v>#VALUE!</v>
      </c>
      <c r="OF34" s="947"/>
      <c r="OG34" s="920"/>
      <c r="OH34" s="920"/>
      <c r="OI34" s="947"/>
      <c r="OJ34" s="947"/>
      <c r="OK34" s="947"/>
      <c r="OL34" s="1474"/>
      <c r="OY34" s="116"/>
      <c r="OZ34" s="959"/>
      <c r="PA34" s="1210"/>
      <c r="PB34" s="959"/>
      <c r="PC34" s="116"/>
      <c r="PD34" s="1000"/>
      <c r="PF34" s="1209"/>
      <c r="PG34" s="1208"/>
      <c r="PH34" s="1209"/>
      <c r="PI34" s="5"/>
      <c r="PJ34" s="1073"/>
      <c r="PK34" s="99"/>
      <c r="PL34" s="920"/>
      <c r="PM34" s="995"/>
      <c r="PN34" s="920"/>
      <c r="PO34" s="254"/>
      <c r="PP34" s="871"/>
      <c r="PQ34" t="str">
        <f t="shared" si="133"/>
        <v>$$$$</v>
      </c>
      <c r="PR34" s="937" t="e">
        <f t="shared" si="146"/>
        <v>#VALUE!</v>
      </c>
      <c r="PS34" s="5"/>
      <c r="PV34" s="937"/>
      <c r="PX34" s="5"/>
      <c r="PY34" s="1470"/>
      <c r="PZ34" t="str">
        <f t="shared" si="135"/>
        <v>$$$$</v>
      </c>
      <c r="QA34" s="937" t="e">
        <f t="shared" si="147"/>
        <v>#VALUE!</v>
      </c>
      <c r="QB34" s="5"/>
      <c r="QC34" s="264"/>
      <c r="QE34" s="937"/>
      <c r="QF34" s="264"/>
      <c r="QG34" s="5"/>
      <c r="QH34" s="1470"/>
      <c r="QI34" t="str">
        <f t="shared" si="137"/>
        <v>$$$$</v>
      </c>
      <c r="QJ34" s="937" t="e">
        <f t="shared" si="148"/>
        <v>#VALUE!</v>
      </c>
      <c r="QK34" s="5"/>
      <c r="QL34" s="264"/>
      <c r="QN34" s="937"/>
      <c r="QO34" s="264"/>
      <c r="QP34" s="5"/>
      <c r="QQ34" s="1470"/>
      <c r="QR34" t="str">
        <f t="shared" si="139"/>
        <v>$$$$</v>
      </c>
      <c r="QS34" s="937" t="e">
        <f t="shared" si="149"/>
        <v>#VALUE!</v>
      </c>
      <c r="QT34" s="5"/>
      <c r="QU34" s="264"/>
      <c r="QW34" s="937"/>
      <c r="QX34" s="264"/>
      <c r="QY34" s="5"/>
      <c r="QZ34" s="1470"/>
      <c r="RA34" s="1094" t="s">
        <v>8585</v>
      </c>
      <c r="RB34" s="1097" t="str">
        <f>IFERROR(PY51,"")</f>
        <v/>
      </c>
      <c r="SQ34" s="979"/>
      <c r="SY34" s="1464"/>
      <c r="SZ34" s="826"/>
      <c r="TA34" s="836"/>
      <c r="TB34" s="306" t="str">
        <f>IF(TC34=IFERROR(SEARCH(".",$SQ$3,TC33),99999),".",
IF(TC34=IFERROR(SEARCH(",",$SQ$3,TC33),99999),",",
IF(TC34=IFERROR(SEARCH(" за период",$SQ$3,TC33),999999)," за период",
IF(TC34=IFERROR(SEARCH(" в размере",$SQ$3,TC33),99999)," в размере",
))))</f>
        <v>.</v>
      </c>
      <c r="TC34" s="306">
        <f>MIN(
IFERROR(SEARCH(".",$SQ$3,TC33),99999),
IFERROR(SEARCH(",",$SQ$3,TC33),99999),
IFERROR(SEARCH(" в размере",$SQ$3,TC33),99999))</f>
        <v>99999</v>
      </c>
      <c r="TD34" s="306"/>
      <c r="TE34" s="827"/>
      <c r="TF34" s="829"/>
      <c r="TK34" s="1476"/>
      <c r="TL34" s="1031" t="s">
        <v>8249</v>
      </c>
      <c r="TM34" s="836">
        <f>IFERROR(MIN(IFERROR(SEARCH(", ",TJ$4,TO29)+LEN(", "),99999),IFERROR(SEARCH("и ",TJ$4,TO29)+LEN("и "),99999)),"ОШИБКА")</f>
        <v>99999</v>
      </c>
      <c r="TN34" s="306" t="s">
        <v>8431</v>
      </c>
      <c r="TO34" s="306" t="e">
        <f>SEARCH(TN34,TJ$4,TM34)</f>
        <v>#VALUE!</v>
      </c>
      <c r="TP34" s="306" t="e">
        <f>TO34-TM34</f>
        <v>#VALUE!</v>
      </c>
      <c r="TQ34" s="826" t="e">
        <f>IF(TR33="Штраф 50%","",MID(TJ$4,TM34,TP34))</f>
        <v>#VALUE!</v>
      </c>
      <c r="TR34" s="828" t="str">
        <f>IF(TN33=" за период",TQ34,"")</f>
        <v/>
      </c>
      <c r="TW34" s="1464"/>
      <c r="TX34" s="826"/>
      <c r="TY34" s="836"/>
      <c r="TZ34" s="306" t="str">
        <f>IF(UA34=IFERROR(SEARCH(".",$SQ$4,UA33),99999),".",
IF(UA34=IFERROR(SEARCH(",",$SQ$4,UA33),99999),",",
IF(UA34=IFERROR(SEARCH(" за период",$SQ$4,UA33),999999)," за период",
IF(UA34=IFERROR(SEARCH(" в размере",$SQ$4,UA33),99999)," в размере",
))))</f>
        <v>.</v>
      </c>
      <c r="UA34" s="306">
        <f>MIN(
IFERROR(SEARCH(".",$SQ$4,UA33),99999),
IFERROR(SEARCH(",",$SQ$4,UA33),99999),
IFERROR(SEARCH(" в размере",$SQ$4,UA33),99999))</f>
        <v>99999</v>
      </c>
      <c r="UB34" s="306"/>
      <c r="UC34" s="827"/>
      <c r="UD34" s="829"/>
      <c r="UI34" s="1476"/>
      <c r="UJ34" s="1031" t="s">
        <v>8249</v>
      </c>
      <c r="UK34" s="836">
        <f>IFERROR(MIN(IFERROR(SEARCH(", ",UH$4,UM29)+LEN(", "),99999),IFERROR(SEARCH("и ",UH$4,UM29)+LEN("и "),99999)),"ОШИБКА")</f>
        <v>99999</v>
      </c>
      <c r="UL34" s="306" t="s">
        <v>8431</v>
      </c>
      <c r="UM34" s="306" t="e">
        <f>SEARCH(UL34,UH$4,UK34)</f>
        <v>#VALUE!</v>
      </c>
      <c r="UN34" s="306" t="e">
        <f>UM34-UK34</f>
        <v>#VALUE!</v>
      </c>
      <c r="UO34" s="826" t="e">
        <f>IF(UP33="Штраф 50%","",MID(UH$4,UK34,UN34))</f>
        <v>#VALUE!</v>
      </c>
      <c r="UP34" s="828" t="str">
        <f>IF(UL33=" за период",UO34,"")</f>
        <v/>
      </c>
      <c r="UU34" s="1464"/>
      <c r="UV34" s="826"/>
      <c r="UW34" s="836"/>
      <c r="UX34" s="306" t="str">
        <f>IF(UY34=IFERROR(SEARCH(".",$SQ$5,UY33),99999),".",
IF(UY34=IFERROR(SEARCH(",",$SQ$5,UY33),99999),",",
IF(UY34=IFERROR(SEARCH(" за период",$SQ$5,UY33),999999)," за период",
IF(UY34=IFERROR(SEARCH(" в размере",$SQ$5,UY33),99999)," в размере",
))))</f>
        <v>.</v>
      </c>
      <c r="UY34" s="306">
        <f>MIN(
IFERROR(SEARCH(".",$SQ$5,UY33),99999),
IFERROR(SEARCH(",",$SQ$5,UY33),99999),
IFERROR(SEARCH(" в размере",$SQ$5,UY33),99999))</f>
        <v>99999</v>
      </c>
      <c r="UZ34" s="306"/>
      <c r="VA34" s="827"/>
      <c r="VB34" s="829"/>
      <c r="VG34" s="1476"/>
      <c r="VH34" s="1031" t="s">
        <v>8249</v>
      </c>
      <c r="VI34" s="836">
        <f>IFERROR(MIN(IFERROR(SEARCH(", ",VF$4,VK29)+LEN(", "),99999),IFERROR(SEARCH("и ",VF$4,VK29)+LEN("и "),99999)),"ОШИБКА")</f>
        <v>99999</v>
      </c>
      <c r="VJ34" s="306" t="s">
        <v>8431</v>
      </c>
      <c r="VK34" s="306" t="e">
        <f>SEARCH(VJ34,VF$4,VI34)</f>
        <v>#VALUE!</v>
      </c>
      <c r="VL34" s="306" t="e">
        <f>VK34-VI34</f>
        <v>#VALUE!</v>
      </c>
      <c r="VM34" s="826" t="e">
        <f>IF(VN33="Штраф 50%","",MID(VF$4,VI34,VL34))</f>
        <v>#VALUE!</v>
      </c>
      <c r="VN34" s="828" t="str">
        <f>IF(VJ33=" за период",VM34,"")</f>
        <v/>
      </c>
      <c r="VS34" s="1464"/>
      <c r="VT34" s="826"/>
      <c r="VU34" s="836"/>
      <c r="VV34" s="306" t="str">
        <f>IF(VW34=IFERROR(SEARCH(".",$SQ$6,VW33),99999),".",
IF(VW34=IFERROR(SEARCH(",",$SQ$6,VW33),99999),",",
IF(VW34=IFERROR(SEARCH(" за период",$SQ$6,VW33),999999)," за период",
IF(VW34=IFERROR(SEARCH(" в размере",$SQ$6,VW33),99999)," в размере",
))))</f>
        <v>.</v>
      </c>
      <c r="VW34" s="306">
        <f>MIN(
IFERROR(SEARCH(".",$SQ$6,VW33),99999),
IFERROR(SEARCH(",",$SQ$6,VW33),99999),
IFERROR(SEARCH(" в размере",$SQ$6,VW33),99999))</f>
        <v>99999</v>
      </c>
      <c r="VX34" s="306"/>
      <c r="VY34" s="827"/>
      <c r="VZ34" s="829"/>
      <c r="WE34" s="1476"/>
      <c r="WF34" s="1031" t="s">
        <v>8249</v>
      </c>
      <c r="WG34" s="836">
        <f>IFERROR(MIN(IFERROR(SEARCH(", ",WD$4,WI29)+LEN(", "),99999),IFERROR(SEARCH("и ",WD$4,WI29)+LEN("и "),99999)),"ОШИБКА")</f>
        <v>99999</v>
      </c>
      <c r="WH34" s="306" t="s">
        <v>8431</v>
      </c>
      <c r="WI34" s="306" t="e">
        <f>SEARCH(WH34,WD$4,WG34)</f>
        <v>#VALUE!</v>
      </c>
      <c r="WJ34" s="306" t="e">
        <f>WI34-WG34</f>
        <v>#VALUE!</v>
      </c>
      <c r="WK34" s="826" t="e">
        <f>IF(WL33="Штраф 50%","",MID(WD$4,WG34,WJ34))</f>
        <v>#VALUE!</v>
      </c>
      <c r="WL34" s="828" t="str">
        <f>IF(WH33=" за период",WK34,"")</f>
        <v/>
      </c>
      <c r="WQ34" s="1464"/>
      <c r="WR34" s="826"/>
      <c r="WS34" s="836"/>
      <c r="WT34" s="306" t="str">
        <f>IF(WU34=IFERROR(SEARCH(".",$SQ$7,WU33),99999),".",
IF(WU34=IFERROR(SEARCH(",",$SQ$7,WU33),99999),",",
IF(WU34=IFERROR(SEARCH(" за период",$SQ$7,WU33),999999)," за период",
IF(WU34=IFERROR(SEARCH(" в размере",$SQ$7,WU33),99999)," в размере",
))))</f>
        <v>.</v>
      </c>
      <c r="WU34" s="306">
        <f>MIN(
IFERROR(SEARCH(".",$SQ$7,WU33),99999),
IFERROR(SEARCH(",",$SQ$7,WU33),99999),
IFERROR(SEARCH(" в размере",$SQ$7,WU33),99999))</f>
        <v>99999</v>
      </c>
      <c r="WV34" s="306"/>
      <c r="WW34" s="827"/>
      <c r="WX34" s="829"/>
      <c r="XC34" s="1476"/>
      <c r="XD34" s="1031" t="s">
        <v>8249</v>
      </c>
      <c r="XE34" s="836">
        <f>IFERROR(MIN(IFERROR(SEARCH(", ",XB$4,XG29)+LEN(", "),99999),IFERROR(SEARCH("и ",XB$4,XG29)+LEN("и "),99999)),"ОШИБКА")</f>
        <v>99999</v>
      </c>
      <c r="XF34" s="306" t="s">
        <v>8431</v>
      </c>
      <c r="XG34" s="306" t="e">
        <f>SEARCH(XF34,XB$4,XE34)</f>
        <v>#VALUE!</v>
      </c>
      <c r="XH34" s="306" t="e">
        <f>XG34-XE34</f>
        <v>#VALUE!</v>
      </c>
      <c r="XI34" s="826" t="e">
        <f>IF(XJ33="Штраф 50%","",MID(XB$4,XE34,XH34))</f>
        <v>#VALUE!</v>
      </c>
      <c r="XJ34" s="828" t="str">
        <f>IF(XF33=" за период",XI34,"")</f>
        <v/>
      </c>
      <c r="YG34" s="1464"/>
      <c r="YH34" s="826"/>
      <c r="YI34" s="836"/>
      <c r="YJ34" s="306" t="str">
        <f>IF(YK34=IFERROR(SEARCH(".",$XU$3,YK33),99999),".",
IF(YK34=IFERROR(SEARCH(",",$XU$3,YK33),99999),",",
IF(YK34=IFERROR(SEARCH(" за период",$XU$3,YK33),999999)," за период",
IF(YK34=IFERROR(SEARCH(" в размере",$XU$3,YK33),99999)," в размере",
))))</f>
        <v>.</v>
      </c>
      <c r="YK34" s="306">
        <f>MIN(
IFERROR(SEARCH(".",$XU$3,YK33),99999),
IFERROR(SEARCH(",",$XU$3,YK33),99999),
IFERROR(SEARCH(" в размере",$XU$3,YK33),99999))</f>
        <v>99999</v>
      </c>
      <c r="YL34" s="306"/>
      <c r="YM34" s="827"/>
      <c r="YN34" s="829"/>
      <c r="YS34" s="1464"/>
      <c r="YT34" s="826"/>
      <c r="YU34" s="836"/>
      <c r="YV34" s="306" t="str">
        <f>IF(YW34=IFERROR(SEARCH(".",$XU$4,YW33),99999),".",
IF(YW34=IFERROR(SEARCH(",",$XU$4,YW33),99999),",",
IF(YW34=IFERROR(SEARCH(" за период",$XU$4,YW33),999999)," за период",
IF(YW34=IFERROR(SEARCH(" в размере",$XU$4,YW33),99999)," в размере",
))))</f>
        <v>.</v>
      </c>
      <c r="YW34" s="306">
        <f>MIN(
IFERROR(SEARCH(".",$XU$4,YW33),99999),
IFERROR(SEARCH(",",$XU$4,YW33),99999),
IFERROR(SEARCH(" в размере",$XU$4,YW33),99999))</f>
        <v>99999</v>
      </c>
      <c r="YX34" s="306"/>
      <c r="YY34" s="827"/>
      <c r="YZ34" s="829"/>
      <c r="ZE34" s="1464"/>
      <c r="ZF34" s="826"/>
      <c r="ZG34" s="836"/>
      <c r="ZH34" s="306" t="str">
        <f>IF(ZI34=IFERROR(SEARCH(".",$XU$5,ZI33),99999),".",
IF(ZI34=IFERROR(SEARCH(",",$XU$5,ZI33),99999),",",
IF(ZI34=IFERROR(SEARCH(" за период",$XU$5,ZI33),999999)," за период",
IF(ZI34=IFERROR(SEARCH(" в размере",$XU$5,ZI33),99999)," в размере",
))))</f>
        <v>.</v>
      </c>
      <c r="ZI34" s="306">
        <f>MIN(
IFERROR(SEARCH(".",$XU$5,ZI33),99999),
IFERROR(SEARCH(",",$XU$5,ZI33),99999),
IFERROR(SEARCH(" в размере",$XU$5,ZI33),99999))</f>
        <v>99999</v>
      </c>
      <c r="ZJ34" s="306"/>
      <c r="ZK34" s="827"/>
      <c r="ZL34" s="829"/>
      <c r="ZQ34" s="1464"/>
      <c r="ZR34" s="826"/>
      <c r="ZS34" s="836"/>
      <c r="ZT34" s="306" t="str">
        <f>IF(ZU34=IFERROR(SEARCH(".",$XU$6,ZU33),99999),".",
IF(ZU34=IFERROR(SEARCH(",",$XU$6,ZU33),99999),",",
IF(ZU34=IFERROR(SEARCH(" за период",$XU$6,ZU33),999999)," за период",
IF(ZU34=IFERROR(SEARCH(" в размере",$XU$6,ZU33),99999)," в размере",
))))</f>
        <v>.</v>
      </c>
      <c r="ZU34" s="306">
        <f>MIN(
IFERROR(SEARCH(".",$XU$6,ZU33),99999),
IFERROR(SEARCH(",",$XU$6,ZU33),99999),
IFERROR(SEARCH(" в размере",$XU$6,ZU33),99999))</f>
        <v>99999</v>
      </c>
      <c r="ZV34" s="306"/>
      <c r="ZW34" s="827"/>
      <c r="ZX34" s="829"/>
      <c r="AAC34" s="1464"/>
      <c r="AAD34" s="826"/>
      <c r="AAE34" s="836"/>
      <c r="AAF34" s="306" t="str">
        <f>IF(AAG34=IFERROR(SEARCH(".",$XU$7,AAG33),99999),".",
IF(AAG34=IFERROR(SEARCH(",",$XU$7,AAG33),99999),",",
IF(AAG34=IFERROR(SEARCH(" за период",$XU$7,AAG33),999999)," за период",
IF(AAG34=IFERROR(SEARCH(" в размере",$XU$7,AAG33),99999)," в размере",
))))</f>
        <v>.</v>
      </c>
      <c r="AAG34" s="306">
        <f>MIN(
IFERROR(SEARCH(".",$XU$7,AAG33),99999),
IFERROR(SEARCH(",",$XU$7,AAG33),99999),
IFERROR(SEARCH(" в размере",$XU$7,AAG33),99999))</f>
        <v>99999</v>
      </c>
      <c r="AAH34" s="306"/>
      <c r="AAI34" s="827"/>
      <c r="AAJ34" s="829"/>
      <c r="AAV34" t="str">
        <f t="shared" si="141"/>
        <v>$$$$</v>
      </c>
      <c r="AAW34" s="947" t="e">
        <f t="shared" si="150"/>
        <v>#VALUE!</v>
      </c>
      <c r="AAX34" s="5"/>
      <c r="AAY34" s="5"/>
      <c r="AAZ34" s="5"/>
      <c r="ABA34" s="1487"/>
      <c r="ADF34" s="5"/>
      <c r="ADG34" s="1075"/>
      <c r="ADQ34" s="1075"/>
      <c r="ADR34" s="1080" t="str">
        <f>IFERROR(ACM7,"")</f>
        <v/>
      </c>
      <c r="AEJ34" s="961"/>
      <c r="AEK34" s="961"/>
      <c r="AEL34" s="961"/>
      <c r="AEX34" s="1070"/>
      <c r="AFA34" s="1070"/>
      <c r="AFE34" s="1464"/>
      <c r="AFF34" s="826"/>
      <c r="AFG34" s="836"/>
      <c r="AFH34" s="306" t="str">
        <f>IF(AFI34=IFERROR(SEARCH(".",AFD$4,AFI33),99999),".",
IF(AFI34=IFERROR(SEARCH(",",AFD$4,AFI33),99999),",",
IF(AFI34=IFERROR(SEARCH(" за период",AFD$4,AFI33),999999)," за период",
IF(AFI34=IFERROR(SEARCH(" в размере",AFD$4,AFI33),99999)," в размере",
))))</f>
        <v>.</v>
      </c>
      <c r="AFI34" s="306">
        <f>MIN(
IFERROR(SEARCH(".",AFD$4,AFI33),99999),
IFERROR(SEARCH(",",AFD$4,AFI33),99999),
IFERROR(SEARCH(" в размере",AFD$4,AFI33),99999))</f>
        <v>99999</v>
      </c>
      <c r="AFJ34" s="306"/>
      <c r="AFK34" s="827"/>
      <c r="AFL34" s="829"/>
      <c r="AFQ34" s="1464"/>
      <c r="AFR34" s="826"/>
      <c r="AFS34" s="836"/>
      <c r="AFT34" s="306" t="str">
        <f>IF(AFU34=IFERROR(SEARCH(".",AFP$4,AFU33),99999),".",
IF(AFU34=IFERROR(SEARCH(",",AFP$4,AFU33),99999),",",
IF(AFU34=IFERROR(SEARCH(" за период",AFP$4,AFU33),999999)," за период",
IF(AFU34=IFERROR(SEARCH(" в размере",AFP$4,AFU33),99999)," в размере",
))))</f>
        <v>.</v>
      </c>
      <c r="AFU34" s="306">
        <f>MIN(
IFERROR(SEARCH(".",AFP$4,AFU33),99999),
IFERROR(SEARCH(",",AFP$4,AFU33),99999),
IFERROR(SEARCH(" в размере",AFP$4,AFU33),99999))</f>
        <v>99999</v>
      </c>
      <c r="AFV34" s="306"/>
      <c r="AFW34" s="827"/>
      <c r="AFX34" s="829"/>
      <c r="AGC34" s="1464"/>
      <c r="AGD34" s="826"/>
      <c r="AGE34" s="836"/>
      <c r="AGF34" s="306" t="str">
        <f>IF(AGG34=IFERROR(SEARCH(".",AGB$4,AGG33),99999),".",
IF(AGG34=IFERROR(SEARCH(",",AGB$4,AGG33),99999),",",
IF(AGG34=IFERROR(SEARCH(" за период",AGB$4,AGG33),999999)," за период",
IF(AGG34=IFERROR(SEARCH(" в размере",AGB$4,AGG33),99999)," в размере",
))))</f>
        <v>.</v>
      </c>
      <c r="AGG34" s="306">
        <f>MIN(
IFERROR(SEARCH(".",AGB$4,AGG33),99999),
IFERROR(SEARCH(",",AGB$4,AGG33),99999),
IFERROR(SEARCH(" в размере",AGB$4,AGG33),99999))</f>
        <v>99999</v>
      </c>
      <c r="AGH34" s="306"/>
      <c r="AGI34" s="827"/>
      <c r="AGJ34" s="829"/>
      <c r="AGO34" s="1464"/>
      <c r="AGP34" s="826"/>
      <c r="AGQ34" s="836"/>
      <c r="AGR34" s="306" t="str">
        <f>IF(AGS34=IFERROR(SEARCH(".",AGN$4,AGS33),99999),".",
IF(AGS34=IFERROR(SEARCH(",",AGN$4,AGS33),99999),",",
IF(AGS34=IFERROR(SEARCH(" за период",AGN$4,AGS33),999999)," за период",
IF(AGS34=IFERROR(SEARCH(" в размере",AGN$4,AGS33),99999)," в размере",
))))</f>
        <v>.</v>
      </c>
      <c r="AGS34" s="306">
        <f>MIN(
IFERROR(SEARCH(".",AGN$4,AGS33),99999),
IFERROR(SEARCH(",",AGN$4,AGS33),99999),
IFERROR(SEARCH(" в размере",AGN$4,AGS33),99999))</f>
        <v>99999</v>
      </c>
      <c r="AGT34" s="306"/>
      <c r="AGU34" s="827"/>
      <c r="AGV34" s="829"/>
      <c r="AHA34" s="1464"/>
      <c r="AHB34" s="826"/>
      <c r="AHC34" s="836"/>
      <c r="AHD34" s="306" t="str">
        <f>IF(AHE34=IFERROR(SEARCH(".",AGZ$4,AHE33),99999),".",
IF(AHE34=IFERROR(SEARCH(",",AGZ$4,AHE33),99999),",",
IF(AHE34=IFERROR(SEARCH(" за период",AGZ$4,AHE33),999999)," за период",
IF(AHE34=IFERROR(SEARCH(" в размере",AGZ$4,AHE33),99999)," в размере",
))))</f>
        <v>.</v>
      </c>
      <c r="AHE34" s="306">
        <f>MIN(
IFERROR(SEARCH(".",AGZ$4,AHE33),99999),
IFERROR(SEARCH(",",AGZ$4,AHE33),99999),
IFERROR(SEARCH(" в размере",AGZ$4,AHE33),99999))</f>
        <v>99999</v>
      </c>
      <c r="AHF34" s="306"/>
      <c r="AHG34" s="827"/>
      <c r="AHH34" s="829"/>
    </row>
    <row r="35" spans="1:893" ht="14.4" customHeight="1" x14ac:dyDescent="0.3">
      <c r="A35" s="116"/>
      <c r="B35" s="116"/>
      <c r="C35" s="116"/>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6"/>
      <c r="AB35" s="116"/>
      <c r="AC35" s="116"/>
      <c r="AD35" s="116"/>
      <c r="AE35" s="116"/>
      <c r="AF35" s="116"/>
      <c r="AG35" s="116"/>
      <c r="AH35" s="116"/>
      <c r="AI35" s="116"/>
      <c r="AJ35" s="116"/>
      <c r="AK35" s="116"/>
      <c r="AL35" s="116"/>
      <c r="AM35" s="116"/>
      <c r="AN35" s="116"/>
      <c r="AO35" s="116"/>
      <c r="AP35" s="116"/>
      <c r="AQ35" s="116"/>
      <c r="AR35" s="116"/>
      <c r="AS35" s="116"/>
      <c r="AT35" s="116"/>
      <c r="AU35" s="116"/>
      <c r="AV35" s="116"/>
      <c r="AW35" s="116"/>
      <c r="AX35" s="116"/>
      <c r="AY35" s="116"/>
      <c r="AZ35" s="116"/>
      <c r="BA35" s="116"/>
      <c r="BB35" s="116"/>
      <c r="BC35" s="116"/>
      <c r="BD35" s="116"/>
      <c r="BE35" s="116"/>
      <c r="BF35" s="116"/>
      <c r="BG35" s="116"/>
      <c r="BH35" s="116"/>
      <c r="BI35" s="116"/>
      <c r="BJ35" s="116"/>
      <c r="BK35" s="116"/>
      <c r="BL35" s="116"/>
      <c r="BM35" s="116"/>
      <c r="BN35" s="116"/>
      <c r="BO35" s="116"/>
      <c r="BP35" s="116"/>
      <c r="BQ35" s="116"/>
      <c r="BR35" s="116"/>
      <c r="BS35" s="116"/>
      <c r="BT35" s="116"/>
      <c r="BU35" s="116"/>
      <c r="BV35" s="116"/>
      <c r="BW35" s="116"/>
      <c r="BX35" s="116"/>
      <c r="BY35" s="116"/>
      <c r="BZ35" s="116"/>
      <c r="CA35" s="116"/>
      <c r="CB35" s="116"/>
      <c r="CC35" s="116"/>
      <c r="CD35" s="116"/>
      <c r="CE35" s="116"/>
      <c r="CF35" s="116"/>
      <c r="CG35" s="116"/>
      <c r="CH35" s="116"/>
      <c r="CI35" s="116"/>
      <c r="CJ35" s="116"/>
      <c r="CK35" s="116"/>
      <c r="CL35" s="116"/>
      <c r="CM35" s="116"/>
      <c r="CN35" s="116"/>
      <c r="CO35" s="116"/>
      <c r="CP35" s="116"/>
      <c r="CQ35" s="116"/>
      <c r="CR35" s="116"/>
      <c r="CS35" s="116"/>
      <c r="CT35" s="116"/>
      <c r="CU35" s="116"/>
      <c r="CV35" s="116"/>
      <c r="CW35" s="116"/>
      <c r="CX35" s="116"/>
      <c r="CY35" s="116"/>
      <c r="CZ35" s="116"/>
      <c r="DA35" s="116"/>
      <c r="DB35" s="116"/>
      <c r="DC35" s="116"/>
      <c r="DD35" s="116"/>
      <c r="DE35" s="116"/>
      <c r="DF35" s="116"/>
      <c r="DG35" s="116"/>
      <c r="DH35" s="116"/>
      <c r="DI35" s="116"/>
      <c r="DJ35" s="116"/>
      <c r="DK35" s="116"/>
      <c r="DL35" s="116"/>
      <c r="DM35" s="116"/>
      <c r="DN35" s="116"/>
      <c r="DO35" s="116"/>
      <c r="DP35" s="116"/>
      <c r="DQ35" s="116"/>
      <c r="DT35" t="s">
        <v>4966</v>
      </c>
      <c r="DU35" s="431" t="s">
        <v>4951</v>
      </c>
      <c r="DV35" s="1464"/>
      <c r="DW35" s="830" t="s">
        <v>8249</v>
      </c>
      <c r="DX35" s="836" t="str">
        <f>IF(OR(DY34=" в размере",DY31=" в размере"),SEARCH(" в размере",$C$3,DZ31)+LEN(" в размере")+1,"НЕТ")</f>
        <v>НЕТ</v>
      </c>
      <c r="DY35" s="306" t="s">
        <v>8431</v>
      </c>
      <c r="DZ35" s="306" t="e">
        <f>SEARCH(DY35,$C$3,DX35)</f>
        <v>#VALUE!</v>
      </c>
      <c r="EA35" s="306" t="e">
        <f>DZ35-DX35</f>
        <v>#VALUE!</v>
      </c>
      <c r="EB35" s="826" t="e">
        <f>IF(EC31="Штраф 50%","",MID($C$3,DX35,EA35))</f>
        <v>#VALUE!</v>
      </c>
      <c r="EC35" s="829"/>
      <c r="NK35" s="1464"/>
      <c r="NL35" s="830" t="s">
        <v>8249</v>
      </c>
      <c r="NM35" s="836" t="e">
        <f>SEARCH(" в размере",NJ$4,NO31)+LEN(" в размере")+1</f>
        <v>#VALUE!</v>
      </c>
      <c r="NN35" s="306" t="s">
        <v>8431</v>
      </c>
      <c r="NO35" s="306" t="e">
        <f>SEARCH(NN35,NJ$4,NM35)</f>
        <v>#VALUE!</v>
      </c>
      <c r="NP35" s="306" t="e">
        <f>NO35-NM35</f>
        <v>#VALUE!</v>
      </c>
      <c r="NQ35" s="826" t="e">
        <f>IF(NR31="Штраф 50%","",MID(NJ$4,NM35,NP35))</f>
        <v>#VALUE!</v>
      </c>
      <c r="NR35" s="829"/>
      <c r="OC35" s="1472"/>
      <c r="OD35" s="946" t="str">
        <f t="shared" si="131"/>
        <v>$$$$</v>
      </c>
      <c r="OE35" s="947" t="e">
        <f t="shared" si="145"/>
        <v>#VALUE!</v>
      </c>
      <c r="OF35" s="947"/>
      <c r="OG35" s="920"/>
      <c r="OH35" s="920"/>
      <c r="OI35" s="947"/>
      <c r="OJ35" s="947"/>
      <c r="OK35" s="947"/>
      <c r="OL35" s="1474"/>
      <c r="OY35" s="116"/>
      <c r="OZ35" s="959"/>
      <c r="PA35" s="1210"/>
      <c r="PB35" s="959"/>
      <c r="PC35" s="116"/>
      <c r="PD35" s="1000"/>
      <c r="PF35" s="1209"/>
      <c r="PG35" s="1208"/>
      <c r="PH35" s="1209"/>
      <c r="PI35" s="5"/>
      <c r="PJ35" s="1073"/>
      <c r="PK35" s="99"/>
      <c r="PL35" s="920"/>
      <c r="PM35" s="995"/>
      <c r="PN35" s="920"/>
      <c r="PO35" s="254"/>
      <c r="PP35" s="871"/>
      <c r="PQ35" t="str">
        <f t="shared" si="133"/>
        <v>$$$$</v>
      </c>
      <c r="PR35" s="937" t="e">
        <f t="shared" si="146"/>
        <v>#VALUE!</v>
      </c>
      <c r="PS35" s="5"/>
      <c r="PV35" s="937"/>
      <c r="PX35" s="5"/>
      <c r="PY35" s="1470"/>
      <c r="PZ35" t="str">
        <f t="shared" si="135"/>
        <v>$$$$</v>
      </c>
      <c r="QA35" s="937" t="e">
        <f t="shared" si="147"/>
        <v>#VALUE!</v>
      </c>
      <c r="QB35" s="5"/>
      <c r="QC35" s="264"/>
      <c r="QE35" s="937"/>
      <c r="QF35" s="264"/>
      <c r="QG35" s="5"/>
      <c r="QH35" s="1470"/>
      <c r="QI35" t="str">
        <f t="shared" si="137"/>
        <v>$$$$</v>
      </c>
      <c r="QJ35" s="937" t="e">
        <f t="shared" si="148"/>
        <v>#VALUE!</v>
      </c>
      <c r="QK35" s="5"/>
      <c r="QL35" s="264"/>
      <c r="QN35" s="937"/>
      <c r="QO35" s="264"/>
      <c r="QP35" s="5"/>
      <c r="QQ35" s="1470"/>
      <c r="QR35" t="str">
        <f t="shared" si="139"/>
        <v>$$$$</v>
      </c>
      <c r="QS35" s="937" t="e">
        <f t="shared" si="149"/>
        <v>#VALUE!</v>
      </c>
      <c r="QT35" s="5"/>
      <c r="QU35" s="264"/>
      <c r="QW35" s="937"/>
      <c r="QX35" s="264"/>
      <c r="QY35" s="5"/>
      <c r="QZ35" s="1470"/>
      <c r="RA35" s="1094" t="s">
        <v>601</v>
      </c>
      <c r="RB35" s="1097" t="str">
        <f>IFERROR(QH51,"")</f>
        <v/>
      </c>
      <c r="SQ35" s="979"/>
      <c r="SY35" s="1464"/>
      <c r="SZ35" s="830" t="s">
        <v>8249</v>
      </c>
      <c r="TA35" s="836" t="e">
        <f>IF(NOT(ISERROR(SEARCH("НДФЛ",SX$4))),MIN(SEARCH("в размере ",SX$4,TC31)+LEN("в размере "),SEARCH("исходя из суммы ",SX$4,TC31)+LEN("исходя из суммы ")),SEARCH(" в размере",SX$4,TC31)+LEN(" в размере")+1)</f>
        <v>#VALUE!</v>
      </c>
      <c r="TB35" s="306" t="s">
        <v>8431</v>
      </c>
      <c r="TC35" s="306" t="e">
        <f>SEARCH(TB35,$SQ$3,TA35)</f>
        <v>#VALUE!</v>
      </c>
      <c r="TD35" s="306" t="e">
        <f>TC35-TA35</f>
        <v>#VALUE!</v>
      </c>
      <c r="TE35" s="826" t="e">
        <f>IF(TF31="Штраф 50%","",MID($SQ$3,TA35,TD35))</f>
        <v>#VALUE!</v>
      </c>
      <c r="TF35" s="829"/>
      <c r="TK35" s="1476"/>
      <c r="TL35" s="592"/>
      <c r="TM35" s="836" t="e">
        <f>SEARCH(" ",TJ$4,TO34+1)+1</f>
        <v>#VALUE!</v>
      </c>
      <c r="TN35" s="306" t="s">
        <v>8432</v>
      </c>
      <c r="TO35" s="306" t="e">
        <f>SEARCH(TN35,TJ$4,TM35)</f>
        <v>#VALUE!</v>
      </c>
      <c r="TP35" s="306" t="e">
        <f>TO35-TM35</f>
        <v>#VALUE!</v>
      </c>
      <c r="TQ35" s="826" t="e">
        <f>IF(TR33="Штраф 50%","",MID(TJ$4,TM35,TP35))</f>
        <v>#VALUE!</v>
      </c>
      <c r="TR35" s="828" t="str">
        <f>IF(TN33=" за период",TQ35,"")</f>
        <v/>
      </c>
      <c r="TW35" s="1464"/>
      <c r="TX35" s="830" t="s">
        <v>8249</v>
      </c>
      <c r="TY35" s="836" t="e">
        <f>IF(NOT(ISERROR(SEARCH("НДФЛ",TV$4))),MIN(SEARCH("в размере ",TV$4,UA31)+LEN("в размере "),SEARCH("исходя из суммы ",TV$4,UA31)+LEN("исходя из суммы ")),SEARCH(" в размере",TV$4,UA31)+LEN(" в размере")+1)</f>
        <v>#VALUE!</v>
      </c>
      <c r="TZ35" s="306" t="s">
        <v>8431</v>
      </c>
      <c r="UA35" s="306" t="e">
        <f>SEARCH(TZ35,$SQ$4,TY35)</f>
        <v>#VALUE!</v>
      </c>
      <c r="UB35" s="306" t="e">
        <f>UA35-TY35</f>
        <v>#VALUE!</v>
      </c>
      <c r="UC35" s="826" t="e">
        <f>IF(UD31="Штраф 50%","",MID($SQ$4,TY35,UB35))</f>
        <v>#VALUE!</v>
      </c>
      <c r="UD35" s="829"/>
      <c r="UI35" s="1476"/>
      <c r="UJ35" s="592"/>
      <c r="UK35" s="836" t="e">
        <f>SEARCH(" ",UH$4,UM34+1)+1</f>
        <v>#VALUE!</v>
      </c>
      <c r="UL35" s="306" t="s">
        <v>8432</v>
      </c>
      <c r="UM35" s="306" t="e">
        <f>SEARCH(UL35,UH$4,UK35)</f>
        <v>#VALUE!</v>
      </c>
      <c r="UN35" s="306" t="e">
        <f>UM35-UK35</f>
        <v>#VALUE!</v>
      </c>
      <c r="UO35" s="826" t="e">
        <f>IF(UP33="Штраф 50%","",MID(UH$4,UK35,UN35))</f>
        <v>#VALUE!</v>
      </c>
      <c r="UP35" s="828" t="str">
        <f>IF(UL33=" за период",UO35,"")</f>
        <v/>
      </c>
      <c r="UU35" s="1464"/>
      <c r="UV35" s="830" t="s">
        <v>8249</v>
      </c>
      <c r="UW35" s="836" t="e">
        <f>IF(NOT(ISERROR(SEARCH("НДФЛ",UT$4))),MIN(SEARCH("в размере ",UT$4,UY31)+LEN("в размере "),SEARCH("исходя из суммы ",UT$4,UY31)+LEN("исходя из суммы ")),SEARCH(" в размере",UT$4,UY31)+LEN(" в размере")+1)</f>
        <v>#VALUE!</v>
      </c>
      <c r="UX35" s="306" t="s">
        <v>8431</v>
      </c>
      <c r="UY35" s="306" t="e">
        <f>SEARCH(UX35,$SQ$5,UW35)</f>
        <v>#VALUE!</v>
      </c>
      <c r="UZ35" s="306" t="e">
        <f>UY35-UW35</f>
        <v>#VALUE!</v>
      </c>
      <c r="VA35" s="826" t="e">
        <f>IF(VB31="Штраф 50%","",MID($SQ$5,UW35,UZ35))</f>
        <v>#VALUE!</v>
      </c>
      <c r="VB35" s="829"/>
      <c r="VG35" s="1476"/>
      <c r="VH35" s="592"/>
      <c r="VI35" s="836" t="e">
        <f>SEARCH(" ",VF$4,VK34+1)+1</f>
        <v>#VALUE!</v>
      </c>
      <c r="VJ35" s="306" t="s">
        <v>8432</v>
      </c>
      <c r="VK35" s="306" t="e">
        <f>SEARCH(VJ35,VF$4,VI35)</f>
        <v>#VALUE!</v>
      </c>
      <c r="VL35" s="306" t="e">
        <f>VK35-VI35</f>
        <v>#VALUE!</v>
      </c>
      <c r="VM35" s="826" t="e">
        <f>IF(VN33="Штраф 50%","",MID(VF$4,VI35,VL35))</f>
        <v>#VALUE!</v>
      </c>
      <c r="VN35" s="828" t="str">
        <f>IF(VJ33=" за период",VM35,"")</f>
        <v/>
      </c>
      <c r="VS35" s="1464"/>
      <c r="VT35" s="830" t="s">
        <v>8249</v>
      </c>
      <c r="VU35" s="836" t="e">
        <f>IF(NOT(ISERROR(SEARCH("НДФЛ",VR$4))),MIN(SEARCH("в размере ",VR$4,VW31)+LEN("в размере "),SEARCH("исходя из суммы ",VR$4,VW31)+LEN("исходя из суммы ")),SEARCH(" в размере",VR$4,VW31)+LEN(" в размере")+1)</f>
        <v>#VALUE!</v>
      </c>
      <c r="VV35" s="306" t="s">
        <v>8431</v>
      </c>
      <c r="VW35" s="306" t="e">
        <f>SEARCH(VV35,$SQ$6,VU35)</f>
        <v>#VALUE!</v>
      </c>
      <c r="VX35" s="306" t="e">
        <f>VW35-VU35</f>
        <v>#VALUE!</v>
      </c>
      <c r="VY35" s="826" t="e">
        <f>IF(VZ31="Штраф 50%","",MID($SQ$6,VU35,VX35))</f>
        <v>#VALUE!</v>
      </c>
      <c r="VZ35" s="829"/>
      <c r="WE35" s="1476"/>
      <c r="WF35" s="592"/>
      <c r="WG35" s="836" t="e">
        <f>SEARCH(" ",WD$4,WI34+1)+1</f>
        <v>#VALUE!</v>
      </c>
      <c r="WH35" s="306" t="s">
        <v>8432</v>
      </c>
      <c r="WI35" s="306" t="e">
        <f>SEARCH(WH35,WD$4,WG35)</f>
        <v>#VALUE!</v>
      </c>
      <c r="WJ35" s="306" t="e">
        <f>WI35-WG35</f>
        <v>#VALUE!</v>
      </c>
      <c r="WK35" s="826" t="e">
        <f>IF(WL33="Штраф 50%","",MID(WD$4,WG35,WJ35))</f>
        <v>#VALUE!</v>
      </c>
      <c r="WL35" s="828" t="str">
        <f>IF(WH33=" за период",WK35,"")</f>
        <v/>
      </c>
      <c r="WQ35" s="1464"/>
      <c r="WR35" s="830" t="s">
        <v>8249</v>
      </c>
      <c r="WS35" s="836" t="e">
        <f>IF(NOT(ISERROR(SEARCH("НДФЛ",WP$4))),MIN(SEARCH("в размере ",WP$4,WU31)+LEN("в размере "),SEARCH("исходя из суммы ",WP$4,WU31)+LEN("исходя из суммы ")),SEARCH(" в размере",WP$4,WU31)+LEN(" в размере")+1)</f>
        <v>#VALUE!</v>
      </c>
      <c r="WT35" s="306" t="s">
        <v>8431</v>
      </c>
      <c r="WU35" s="306" t="e">
        <f>SEARCH(WT35,$SQ$7,WS35)</f>
        <v>#VALUE!</v>
      </c>
      <c r="WV35" s="306" t="e">
        <f>WU35-WS35</f>
        <v>#VALUE!</v>
      </c>
      <c r="WW35" s="826" t="e">
        <f>IF(WX31="Штраф 50%","",MID($SQ$7,WS35,WV35))</f>
        <v>#VALUE!</v>
      </c>
      <c r="WX35" s="829"/>
      <c r="XC35" s="1476"/>
      <c r="XD35" s="592"/>
      <c r="XE35" s="836" t="e">
        <f>SEARCH(" ",XB$4,XG34+1)+1</f>
        <v>#VALUE!</v>
      </c>
      <c r="XF35" s="306" t="s">
        <v>8432</v>
      </c>
      <c r="XG35" s="306" t="e">
        <f>SEARCH(XF35,XB$4,XE35)</f>
        <v>#VALUE!</v>
      </c>
      <c r="XH35" s="306" t="e">
        <f>XG35-XE35</f>
        <v>#VALUE!</v>
      </c>
      <c r="XI35" s="826" t="e">
        <f>IF(XJ33="Штраф 50%","",MID(XB$4,XE35,XH35))</f>
        <v>#VALUE!</v>
      </c>
      <c r="XJ35" s="828" t="str">
        <f>IF(XF33=" за период",XI35,"")</f>
        <v/>
      </c>
      <c r="YG35" s="1464"/>
      <c r="YH35" s="830" t="s">
        <v>8249</v>
      </c>
      <c r="YI35" s="836" t="str">
        <f>IF(OR(YJ34=" в размере",YJ31=" в размере"),SEARCH(" в размере",$XU$3,YK31)+LEN(" в размере")+1,"НЕТ")</f>
        <v>НЕТ</v>
      </c>
      <c r="YJ35" s="306" t="s">
        <v>8431</v>
      </c>
      <c r="YK35" s="306" t="e">
        <f>SEARCH(YJ35,$XU$3,YI35)</f>
        <v>#VALUE!</v>
      </c>
      <c r="YL35" s="306" t="e">
        <f>YK35-YI35</f>
        <v>#VALUE!</v>
      </c>
      <c r="YM35" s="826" t="e">
        <f>IF(YN31="Штраф 50%","",MID($XU$3,YI35,YL35))</f>
        <v>#VALUE!</v>
      </c>
      <c r="YN35" s="829"/>
      <c r="YS35" s="1464"/>
      <c r="YT35" s="830" t="s">
        <v>8249</v>
      </c>
      <c r="YU35" s="836" t="e">
        <f>SEARCH(" в размере",$XU$4,YW31)+LEN(" в размере")+1</f>
        <v>#VALUE!</v>
      </c>
      <c r="YV35" s="306" t="s">
        <v>8431</v>
      </c>
      <c r="YW35" s="306" t="e">
        <f>SEARCH(YV35,$XU$4,YU35)</f>
        <v>#VALUE!</v>
      </c>
      <c r="YX35" s="306" t="e">
        <f>YW35-YU35</f>
        <v>#VALUE!</v>
      </c>
      <c r="YY35" s="826" t="e">
        <f>IF(YZ31="Штраф 50%","",MID($XU$4,YU35,YX35))</f>
        <v>#VALUE!</v>
      </c>
      <c r="YZ35" s="829"/>
      <c r="ZE35" s="1464"/>
      <c r="ZF35" s="830" t="s">
        <v>8249</v>
      </c>
      <c r="ZG35" s="836" t="e">
        <f>SEARCH(" в размере",$XU$5,ZI31)+LEN(" в размере")+1</f>
        <v>#VALUE!</v>
      </c>
      <c r="ZH35" s="306" t="s">
        <v>8431</v>
      </c>
      <c r="ZI35" s="306" t="e">
        <f>SEARCH(ZH35,$XU$5,ZG35)</f>
        <v>#VALUE!</v>
      </c>
      <c r="ZJ35" s="306" t="e">
        <f>ZI35-ZG35</f>
        <v>#VALUE!</v>
      </c>
      <c r="ZK35" s="826" t="e">
        <f>IF(ZL31="Штраф 50%","",MID($XU$5,ZG35,ZJ35))</f>
        <v>#VALUE!</v>
      </c>
      <c r="ZL35" s="829"/>
      <c r="ZQ35" s="1464"/>
      <c r="ZR35" s="830" t="s">
        <v>8249</v>
      </c>
      <c r="ZS35" s="836" t="e">
        <f>SEARCH(" в размере",$XU$6,ZU31)+LEN(" в размере")+1</f>
        <v>#VALUE!</v>
      </c>
      <c r="ZT35" s="306" t="s">
        <v>8431</v>
      </c>
      <c r="ZU35" s="306" t="e">
        <f>SEARCH(ZT35,$XU$6,ZS35)</f>
        <v>#VALUE!</v>
      </c>
      <c r="ZV35" s="306" t="e">
        <f>ZU35-ZS35</f>
        <v>#VALUE!</v>
      </c>
      <c r="ZW35" s="826" t="e">
        <f>IF(ZX31="Штраф 50%","",MID($XU$6,ZS35,ZV35))</f>
        <v>#VALUE!</v>
      </c>
      <c r="ZX35" s="829"/>
      <c r="AAC35" s="1464"/>
      <c r="AAD35" s="830" t="s">
        <v>8249</v>
      </c>
      <c r="AAE35" s="836" t="e">
        <f>SEARCH(" в размере",$XU$7,AAG31)+LEN(" в размере")+1</f>
        <v>#VALUE!</v>
      </c>
      <c r="AAF35" s="306" t="s">
        <v>8431</v>
      </c>
      <c r="AAG35" s="306" t="e">
        <f>SEARCH(AAF35,$XU$7,AAE35)</f>
        <v>#VALUE!</v>
      </c>
      <c r="AAH35" s="306" t="e">
        <f>AAG35-AAE35</f>
        <v>#VALUE!</v>
      </c>
      <c r="AAI35" s="826" t="e">
        <f>IF(AAJ31="Штраф 50%","",MID($XU$7,AAE35,AAH35))</f>
        <v>#VALUE!</v>
      </c>
      <c r="AAJ35" s="829"/>
      <c r="AAV35" t="str">
        <f t="shared" si="141"/>
        <v>$$$$</v>
      </c>
      <c r="AAW35" s="947" t="e">
        <f t="shared" si="150"/>
        <v>#VALUE!</v>
      </c>
      <c r="AAX35" s="5"/>
      <c r="AAY35" s="5"/>
      <c r="AAZ35" s="5"/>
      <c r="ABA35" s="1487"/>
      <c r="ADF35" s="5"/>
      <c r="ADG35" s="1075"/>
      <c r="ADQ35" s="1075"/>
      <c r="ADR35" s="1080" t="str">
        <f>IFERROR(ACW7,"")</f>
        <v/>
      </c>
      <c r="AEJ35" s="961"/>
      <c r="AEK35" s="961"/>
      <c r="AEL35" s="961"/>
      <c r="AEX35" s="1070"/>
      <c r="AFA35" s="1070"/>
      <c r="AFE35" s="1464"/>
      <c r="AFF35" s="830" t="s">
        <v>8249</v>
      </c>
      <c r="AFG35" s="836" t="e">
        <f>SEARCH(" в размере",AFD$4,AFI31)+LEN(" в размере")+1</f>
        <v>#VALUE!</v>
      </c>
      <c r="AFH35" s="306" t="s">
        <v>8431</v>
      </c>
      <c r="AFI35" s="306" t="e">
        <f>SEARCH(AFH35,AFD$4,AFG35)</f>
        <v>#VALUE!</v>
      </c>
      <c r="AFJ35" s="306" t="e">
        <f>AFI35-AFG35</f>
        <v>#VALUE!</v>
      </c>
      <c r="AFK35" s="826" t="e">
        <f>IF(AFL31="Штраф 50%","",MID(AFD$4,AFG35,AFJ35))</f>
        <v>#VALUE!</v>
      </c>
      <c r="AFL35" s="829"/>
      <c r="AFQ35" s="1464"/>
      <c r="AFR35" s="830" t="s">
        <v>8249</v>
      </c>
      <c r="AFS35" s="836" t="e">
        <f>SEARCH(" в размере",AFP$4,AFU31)+LEN(" в размере")+1</f>
        <v>#VALUE!</v>
      </c>
      <c r="AFT35" s="306" t="s">
        <v>8431</v>
      </c>
      <c r="AFU35" s="306" t="e">
        <f>SEARCH(AFT35,AFP$4,AFS35)</f>
        <v>#VALUE!</v>
      </c>
      <c r="AFV35" s="306" t="e">
        <f>AFU35-AFS35</f>
        <v>#VALUE!</v>
      </c>
      <c r="AFW35" s="826" t="e">
        <f>IF(AFX31="Штраф 50%","",MID(AFP$4,AFS35,AFV35))</f>
        <v>#VALUE!</v>
      </c>
      <c r="AFX35" s="829"/>
      <c r="AGC35" s="1464"/>
      <c r="AGD35" s="830" t="s">
        <v>8249</v>
      </c>
      <c r="AGE35" s="836" t="e">
        <f>SEARCH(" в размере",AGB$4,AGG31)+LEN(" в размере")+1</f>
        <v>#VALUE!</v>
      </c>
      <c r="AGF35" s="306" t="s">
        <v>8431</v>
      </c>
      <c r="AGG35" s="306" t="e">
        <f>SEARCH(AGF35,AGB$4,AGE35)</f>
        <v>#VALUE!</v>
      </c>
      <c r="AGH35" s="306" t="e">
        <f>AGG35-AGE35</f>
        <v>#VALUE!</v>
      </c>
      <c r="AGI35" s="826" t="e">
        <f>IF(AGJ31="Штраф 50%","",MID(AGB$4,AGE35,AGH35))</f>
        <v>#VALUE!</v>
      </c>
      <c r="AGJ35" s="829"/>
      <c r="AGO35" s="1464"/>
      <c r="AGP35" s="830" t="s">
        <v>8249</v>
      </c>
      <c r="AGQ35" s="836" t="e">
        <f>SEARCH(" в размере",AGN$4,AGS31)+LEN(" в размере")+1</f>
        <v>#VALUE!</v>
      </c>
      <c r="AGR35" s="306" t="s">
        <v>8431</v>
      </c>
      <c r="AGS35" s="306" t="e">
        <f>SEARCH(AGR35,AGN$4,AGQ35)</f>
        <v>#VALUE!</v>
      </c>
      <c r="AGT35" s="306" t="e">
        <f>AGS35-AGQ35</f>
        <v>#VALUE!</v>
      </c>
      <c r="AGU35" s="826" t="e">
        <f>IF(AGV31="Штраф 50%","",MID(AGN$4,AGQ35,AGT35))</f>
        <v>#VALUE!</v>
      </c>
      <c r="AGV35" s="829"/>
      <c r="AHA35" s="1464"/>
      <c r="AHB35" s="830" t="s">
        <v>8249</v>
      </c>
      <c r="AHC35" s="836" t="e">
        <f>SEARCH(" в размере",AGZ$4,AHE31)+LEN(" в размере")+1</f>
        <v>#VALUE!</v>
      </c>
      <c r="AHD35" s="306" t="s">
        <v>8431</v>
      </c>
      <c r="AHE35" s="306" t="e">
        <f>SEARCH(AHD35,AGZ$4,AHC35)</f>
        <v>#VALUE!</v>
      </c>
      <c r="AHF35" s="306" t="e">
        <f>AHE35-AHC35</f>
        <v>#VALUE!</v>
      </c>
      <c r="AHG35" s="826" t="e">
        <f>IF(AHH31="Штраф 50%","",MID(AGZ$4,AHC35,AHF35))</f>
        <v>#VALUE!</v>
      </c>
      <c r="AHH35" s="829"/>
    </row>
    <row r="36" spans="1:893" ht="14.4" customHeight="1" thickBot="1" x14ac:dyDescent="0.35">
      <c r="A36" s="116"/>
      <c r="B36" s="116"/>
      <c r="C36" s="116"/>
      <c r="D36" s="116"/>
      <c r="E36" s="116"/>
      <c r="F36" s="116"/>
      <c r="G36" s="116"/>
      <c r="H36" s="116"/>
      <c r="I36" s="116"/>
      <c r="J36" s="116"/>
      <c r="K36" s="116"/>
      <c r="L36" s="116"/>
      <c r="M36" s="116"/>
      <c r="N36" s="116"/>
      <c r="O36" s="116"/>
      <c r="P36" s="116"/>
      <c r="Q36" s="116"/>
      <c r="R36" s="116"/>
      <c r="S36" s="116"/>
      <c r="T36" s="116"/>
      <c r="U36" s="116"/>
      <c r="V36" s="116"/>
      <c r="W36" s="116"/>
      <c r="X36" s="116"/>
      <c r="Y36" s="116"/>
      <c r="Z36" s="116"/>
      <c r="AA36" s="116"/>
      <c r="AB36" s="116"/>
      <c r="AC36" s="116"/>
      <c r="AD36" s="116"/>
      <c r="AE36" s="116"/>
      <c r="AF36" s="116"/>
      <c r="AG36" s="116"/>
      <c r="AH36" s="116"/>
      <c r="AI36" s="116"/>
      <c r="AJ36" s="116"/>
      <c r="AK36" s="116"/>
      <c r="AL36" s="116"/>
      <c r="AM36" s="116"/>
      <c r="AN36" s="116"/>
      <c r="AO36" s="116"/>
      <c r="AP36" s="116"/>
      <c r="AQ36" s="116"/>
      <c r="AR36" s="116"/>
      <c r="AS36" s="116"/>
      <c r="AT36" s="116"/>
      <c r="AU36" s="116"/>
      <c r="AV36" s="116"/>
      <c r="AW36" s="116"/>
      <c r="AX36" s="116"/>
      <c r="AY36" s="116"/>
      <c r="AZ36" s="116"/>
      <c r="BA36" s="116"/>
      <c r="BB36" s="116"/>
      <c r="BC36" s="116"/>
      <c r="BD36" s="116"/>
      <c r="BE36" s="116"/>
      <c r="BF36" s="116"/>
      <c r="BG36" s="116"/>
      <c r="BH36" s="116"/>
      <c r="BI36" s="116"/>
      <c r="BJ36" s="116"/>
      <c r="BK36" s="116"/>
      <c r="BL36" s="116"/>
      <c r="BM36" s="116"/>
      <c r="BN36" s="116"/>
      <c r="BO36" s="116"/>
      <c r="BP36" s="116"/>
      <c r="BQ36" s="116"/>
      <c r="BR36" s="116"/>
      <c r="BS36" s="116"/>
      <c r="BT36" s="116"/>
      <c r="BU36" s="116"/>
      <c r="BV36" s="116"/>
      <c r="BW36" s="116"/>
      <c r="BX36" s="116"/>
      <c r="BY36" s="116"/>
      <c r="BZ36" s="116"/>
      <c r="CA36" s="116"/>
      <c r="CB36" s="116"/>
      <c r="CC36" s="116"/>
      <c r="CD36" s="116"/>
      <c r="CE36" s="116"/>
      <c r="CF36" s="116"/>
      <c r="CG36" s="116"/>
      <c r="CH36" s="116"/>
      <c r="CI36" s="116"/>
      <c r="CJ36" s="116"/>
      <c r="CK36" s="116"/>
      <c r="CL36" s="116"/>
      <c r="CM36" s="116"/>
      <c r="CN36" s="116"/>
      <c r="CO36" s="116"/>
      <c r="CP36" s="116"/>
      <c r="CQ36" s="116"/>
      <c r="CR36" s="116"/>
      <c r="CS36" s="116"/>
      <c r="CT36" s="116"/>
      <c r="CU36" s="116"/>
      <c r="CV36" s="116"/>
      <c r="CW36" s="116"/>
      <c r="CX36" s="116"/>
      <c r="CY36" s="116"/>
      <c r="CZ36" s="116"/>
      <c r="DA36" s="116"/>
      <c r="DB36" s="116"/>
      <c r="DC36" s="116"/>
      <c r="DD36" s="116"/>
      <c r="DE36" s="116"/>
      <c r="DF36" s="116"/>
      <c r="DG36" s="116"/>
      <c r="DH36" s="116"/>
      <c r="DI36" s="116"/>
      <c r="DJ36" s="116"/>
      <c r="DK36" s="116"/>
      <c r="DL36" s="116"/>
      <c r="DM36" s="116"/>
      <c r="DN36" s="116"/>
      <c r="DO36" s="116"/>
      <c r="DP36" s="116"/>
      <c r="DQ36" s="116"/>
      <c r="DT36" t="s">
        <v>8275</v>
      </c>
      <c r="DU36" s="821" t="s">
        <v>8276</v>
      </c>
      <c r="DV36" s="1464"/>
      <c r="DW36" s="306"/>
      <c r="DX36" s="836" t="e">
        <f>SEARCH(" ",$C$3,DZ35+1)+1</f>
        <v>#VALUE!</v>
      </c>
      <c r="DY36" s="306" t="s">
        <v>8432</v>
      </c>
      <c r="DZ36" s="306" t="e">
        <f>SEARCH(DY36,$C$3,DX36)</f>
        <v>#VALUE!</v>
      </c>
      <c r="EA36" s="306" t="e">
        <f>DZ36-DX36</f>
        <v>#VALUE!</v>
      </c>
      <c r="EB36" s="826" t="e">
        <f>IF(EC31="Штраф 50%","",MID($C$3,DX36,EA36))</f>
        <v>#VALUE!</v>
      </c>
      <c r="EC36" s="829"/>
      <c r="NK36" s="1464"/>
      <c r="NL36" s="306"/>
      <c r="NM36" s="836" t="e">
        <f>SEARCH(" ",NJ$4,NO35+1)+1</f>
        <v>#VALUE!</v>
      </c>
      <c r="NN36" s="306" t="s">
        <v>8432</v>
      </c>
      <c r="NO36" s="306" t="e">
        <f>SEARCH(NN36,NJ$4,NM36)</f>
        <v>#VALUE!</v>
      </c>
      <c r="NP36" s="306" t="e">
        <f>NO36-NM36</f>
        <v>#VALUE!</v>
      </c>
      <c r="NQ36" s="826" t="e">
        <f>IF(NR31="Штраф 50%","",MID(NJ$4,NM36,NP36))</f>
        <v>#VALUE!</v>
      </c>
      <c r="NR36" s="829"/>
      <c r="OC36" s="1472"/>
      <c r="OD36" s="946" t="str">
        <f t="shared" si="131"/>
        <v>$$$$</v>
      </c>
      <c r="OE36" s="947" t="e">
        <f t="shared" si="145"/>
        <v>#VALUE!</v>
      </c>
      <c r="OF36" s="947"/>
      <c r="OG36" s="920"/>
      <c r="OH36" s="920"/>
      <c r="OI36" s="947"/>
      <c r="OJ36" s="947"/>
      <c r="OK36" s="947"/>
      <c r="OL36" s="1474"/>
      <c r="OY36" s="116"/>
      <c r="OZ36" s="959"/>
      <c r="PA36" s="1210"/>
      <c r="PB36" s="959"/>
      <c r="PC36" s="116"/>
      <c r="PD36" s="1000"/>
      <c r="PF36" s="1209"/>
      <c r="PG36" s="1208"/>
      <c r="PH36" s="1209"/>
      <c r="PI36" s="5"/>
      <c r="PJ36" s="1073"/>
      <c r="PK36" s="99"/>
      <c r="PL36" s="920"/>
      <c r="PM36" s="995"/>
      <c r="PN36" s="920"/>
      <c r="PO36" s="254"/>
      <c r="PP36" s="871"/>
      <c r="PQ36" t="str">
        <f t="shared" si="133"/>
        <v>$$$$</v>
      </c>
      <c r="PR36" s="937" t="e">
        <f t="shared" si="146"/>
        <v>#VALUE!</v>
      </c>
      <c r="PS36" s="5"/>
      <c r="PV36" s="937"/>
      <c r="PX36" s="5"/>
      <c r="PY36" s="1470"/>
      <c r="PZ36" t="str">
        <f t="shared" si="135"/>
        <v>$$$$</v>
      </c>
      <c r="QA36" s="937" t="e">
        <f t="shared" si="147"/>
        <v>#VALUE!</v>
      </c>
      <c r="QB36" s="5"/>
      <c r="QC36" s="264"/>
      <c r="QE36" s="937"/>
      <c r="QF36" s="264"/>
      <c r="QG36" s="5"/>
      <c r="QH36" s="1470"/>
      <c r="QI36" t="str">
        <f t="shared" si="137"/>
        <v>$$$$</v>
      </c>
      <c r="QJ36" s="937" t="e">
        <f t="shared" si="148"/>
        <v>#VALUE!</v>
      </c>
      <c r="QK36" s="5"/>
      <c r="QL36" s="264"/>
      <c r="QN36" s="937"/>
      <c r="QO36" s="264"/>
      <c r="QP36" s="5"/>
      <c r="QQ36" s="1470"/>
      <c r="QR36" t="str">
        <f t="shared" si="139"/>
        <v>$$$$</v>
      </c>
      <c r="QS36" s="937" t="e">
        <f t="shared" si="149"/>
        <v>#VALUE!</v>
      </c>
      <c r="QT36" s="5"/>
      <c r="QU36" s="264"/>
      <c r="QW36" s="937"/>
      <c r="QX36" s="264"/>
      <c r="QY36" s="5"/>
      <c r="QZ36" s="1470"/>
      <c r="RA36" s="1094" t="s">
        <v>602</v>
      </c>
      <c r="RB36" s="1097" t="str">
        <f>IFERROR(QQ51,"")</f>
        <v/>
      </c>
      <c r="SQ36" s="979"/>
      <c r="SY36" s="1464"/>
      <c r="SZ36" s="306"/>
      <c r="TA36" s="836" t="e">
        <f>SEARCH(" ",$SQ$3,TC35+1)+1</f>
        <v>#VALUE!</v>
      </c>
      <c r="TB36" s="306" t="s">
        <v>8432</v>
      </c>
      <c r="TC36" s="306" t="e">
        <f>SEARCH(TB36,$SQ$3,TA36)</f>
        <v>#VALUE!</v>
      </c>
      <c r="TD36" s="306" t="e">
        <f>TC36-TA36</f>
        <v>#VALUE!</v>
      </c>
      <c r="TE36" s="826" t="e">
        <f>IF(TF31="Штраф 50%","",MID($SQ$3,TA36,TD36))</f>
        <v>#VALUE!</v>
      </c>
      <c r="TF36" s="829"/>
      <c r="TK36" s="1477"/>
      <c r="TL36" s="1032"/>
      <c r="TM36" s="1033"/>
      <c r="TN36" s="403"/>
      <c r="TO36" s="403"/>
      <c r="TP36" s="403"/>
      <c r="TQ36" s="1034" t="e">
        <f>VALUE(CONCATENATE(TQ34,",",TQ35))</f>
        <v>#VALUE!</v>
      </c>
      <c r="TR36" s="832" t="str">
        <f>IFERROR(IF(TR33="Штраф 50%","",TQ36),"")</f>
        <v/>
      </c>
      <c r="TW36" s="1464"/>
      <c r="TX36" s="306"/>
      <c r="TY36" s="836" t="e">
        <f>SEARCH(" ",$SQ$4,UA35+1)+1</f>
        <v>#VALUE!</v>
      </c>
      <c r="TZ36" s="306" t="s">
        <v>8432</v>
      </c>
      <c r="UA36" s="306" t="e">
        <f>SEARCH(TZ36,$SQ$4,TY36)</f>
        <v>#VALUE!</v>
      </c>
      <c r="UB36" s="306" t="e">
        <f>UA36-TY36</f>
        <v>#VALUE!</v>
      </c>
      <c r="UC36" s="826" t="e">
        <f>IF(UD31="Штраф 50%","",MID($SQ$4,TY36,UB36))</f>
        <v>#VALUE!</v>
      </c>
      <c r="UD36" s="829"/>
      <c r="UI36" s="1477"/>
      <c r="UJ36" s="1032"/>
      <c r="UK36" s="1033"/>
      <c r="UL36" s="403"/>
      <c r="UM36" s="403"/>
      <c r="UN36" s="403"/>
      <c r="UO36" s="1034" t="e">
        <f>VALUE(CONCATENATE(UO34,",",UO35))</f>
        <v>#VALUE!</v>
      </c>
      <c r="UP36" s="832" t="str">
        <f>IFERROR(IF(UP33="Штраф 50%","",UO36),"")</f>
        <v/>
      </c>
      <c r="UU36" s="1464"/>
      <c r="UV36" s="306"/>
      <c r="UW36" s="836" t="e">
        <f>SEARCH(" ",$SQ$5,UY35+1)+1</f>
        <v>#VALUE!</v>
      </c>
      <c r="UX36" s="306" t="s">
        <v>8432</v>
      </c>
      <c r="UY36" s="306" t="e">
        <f>SEARCH(UX36,$SQ$5,UW36)</f>
        <v>#VALUE!</v>
      </c>
      <c r="UZ36" s="306" t="e">
        <f>UY36-UW36</f>
        <v>#VALUE!</v>
      </c>
      <c r="VA36" s="826" t="e">
        <f>IF(VB31="Штраф 50%","",MID($SQ$5,UW36,UZ36))</f>
        <v>#VALUE!</v>
      </c>
      <c r="VB36" s="829"/>
      <c r="VG36" s="1477"/>
      <c r="VH36" s="1032"/>
      <c r="VI36" s="1033"/>
      <c r="VJ36" s="403"/>
      <c r="VK36" s="403"/>
      <c r="VL36" s="403"/>
      <c r="VM36" s="1034" t="e">
        <f>VALUE(CONCATENATE(VM34,",",VM35))</f>
        <v>#VALUE!</v>
      </c>
      <c r="VN36" s="832" t="str">
        <f>IFERROR(IF(VN33="Штраф 50%","",VM36),"")</f>
        <v/>
      </c>
      <c r="VS36" s="1464"/>
      <c r="VT36" s="306"/>
      <c r="VU36" s="836" t="e">
        <f>SEARCH(" ",$SQ$6,VW35+1)+1</f>
        <v>#VALUE!</v>
      </c>
      <c r="VV36" s="306" t="s">
        <v>8432</v>
      </c>
      <c r="VW36" s="306" t="e">
        <f>SEARCH(VV36,$SQ$6,VU36)</f>
        <v>#VALUE!</v>
      </c>
      <c r="VX36" s="306" t="e">
        <f>VW36-VU36</f>
        <v>#VALUE!</v>
      </c>
      <c r="VY36" s="826" t="e">
        <f>IF(VZ31="Штраф 50%","",MID($SQ$6,VU36,VX36))</f>
        <v>#VALUE!</v>
      </c>
      <c r="VZ36" s="829"/>
      <c r="WE36" s="1477"/>
      <c r="WF36" s="1032"/>
      <c r="WG36" s="1033"/>
      <c r="WH36" s="403"/>
      <c r="WI36" s="403"/>
      <c r="WJ36" s="403"/>
      <c r="WK36" s="1034" t="e">
        <f>VALUE(CONCATENATE(WK34,",",WK35))</f>
        <v>#VALUE!</v>
      </c>
      <c r="WL36" s="832" t="str">
        <f>IFERROR(IF(WL33="Штраф 50%","",WK36),"")</f>
        <v/>
      </c>
      <c r="WQ36" s="1464"/>
      <c r="WR36" s="306"/>
      <c r="WS36" s="836" t="e">
        <f>SEARCH(" ",$SQ$7,WU35+1)+1</f>
        <v>#VALUE!</v>
      </c>
      <c r="WT36" s="306" t="s">
        <v>8432</v>
      </c>
      <c r="WU36" s="306" t="e">
        <f>SEARCH(WT36,$SQ$7,WS36)</f>
        <v>#VALUE!</v>
      </c>
      <c r="WV36" s="306" t="e">
        <f>WU36-WS36</f>
        <v>#VALUE!</v>
      </c>
      <c r="WW36" s="826" t="e">
        <f>IF(WX31="Штраф 50%","",MID($SQ$7,WS36,WV36))</f>
        <v>#VALUE!</v>
      </c>
      <c r="WX36" s="829"/>
      <c r="XC36" s="1477"/>
      <c r="XD36" s="1032"/>
      <c r="XE36" s="1033"/>
      <c r="XF36" s="403"/>
      <c r="XG36" s="403"/>
      <c r="XH36" s="403"/>
      <c r="XI36" s="1034" t="e">
        <f>VALUE(CONCATENATE(XI34,",",XI35))</f>
        <v>#VALUE!</v>
      </c>
      <c r="XJ36" s="832" t="str">
        <f>IFERROR(IF(XJ33="Штраф 50%","",XI36),"")</f>
        <v/>
      </c>
      <c r="YG36" s="1464"/>
      <c r="YH36" s="306"/>
      <c r="YI36" s="836" t="e">
        <f>SEARCH(" ",$XU$3,YK35+1)+1</f>
        <v>#VALUE!</v>
      </c>
      <c r="YJ36" s="306" t="s">
        <v>8432</v>
      </c>
      <c r="YK36" s="306" t="e">
        <f>SEARCH(YJ36,$XU$3,YI36)</f>
        <v>#VALUE!</v>
      </c>
      <c r="YL36" s="306" t="e">
        <f>YK36-YI36</f>
        <v>#VALUE!</v>
      </c>
      <c r="YM36" s="826" t="e">
        <f>IF(YN31="Штраф 50%","",MID($XU$3,YI36,YL36))</f>
        <v>#VALUE!</v>
      </c>
      <c r="YN36" s="829"/>
      <c r="YS36" s="1464"/>
      <c r="YT36" s="306"/>
      <c r="YU36" s="836" t="e">
        <f>SEARCH(" ",$XU$4,YW35+1)+1</f>
        <v>#VALUE!</v>
      </c>
      <c r="YV36" s="306" t="s">
        <v>8432</v>
      </c>
      <c r="YW36" s="306" t="e">
        <f>SEARCH(YV36,$XU$4,YU36)</f>
        <v>#VALUE!</v>
      </c>
      <c r="YX36" s="306" t="e">
        <f>YW36-YU36</f>
        <v>#VALUE!</v>
      </c>
      <c r="YY36" s="826" t="e">
        <f>IF(YZ31="Штраф 50%","",MID($XU$4,YU36,YX36))</f>
        <v>#VALUE!</v>
      </c>
      <c r="YZ36" s="829"/>
      <c r="ZE36" s="1464"/>
      <c r="ZF36" s="306"/>
      <c r="ZG36" s="836" t="e">
        <f>SEARCH(" ",$XU$5,ZI35+1)+1</f>
        <v>#VALUE!</v>
      </c>
      <c r="ZH36" s="306" t="s">
        <v>8432</v>
      </c>
      <c r="ZI36" s="306" t="e">
        <f>SEARCH(ZH36,$XU$5,ZG36)</f>
        <v>#VALUE!</v>
      </c>
      <c r="ZJ36" s="306" t="e">
        <f>ZI36-ZG36</f>
        <v>#VALUE!</v>
      </c>
      <c r="ZK36" s="826" t="e">
        <f>IF(ZL31="Штраф 50%","",MID($XU$5,ZG36,ZJ36))</f>
        <v>#VALUE!</v>
      </c>
      <c r="ZL36" s="829"/>
      <c r="ZQ36" s="1464"/>
      <c r="ZR36" s="306"/>
      <c r="ZS36" s="836" t="e">
        <f>SEARCH(" ",$XU$6,ZU35+1)+1</f>
        <v>#VALUE!</v>
      </c>
      <c r="ZT36" s="306" t="s">
        <v>8432</v>
      </c>
      <c r="ZU36" s="306" t="e">
        <f>SEARCH(ZT36,$XU$6,ZS36)</f>
        <v>#VALUE!</v>
      </c>
      <c r="ZV36" s="306" t="e">
        <f>ZU36-ZS36</f>
        <v>#VALUE!</v>
      </c>
      <c r="ZW36" s="826" t="e">
        <f>IF(ZX31="Штраф 50%","",MID($XU$6,ZS36,ZV36))</f>
        <v>#VALUE!</v>
      </c>
      <c r="ZX36" s="829"/>
      <c r="AAC36" s="1464"/>
      <c r="AAD36" s="306"/>
      <c r="AAE36" s="836" t="e">
        <f>SEARCH(" ",$XU$7,AAG35+1)+1</f>
        <v>#VALUE!</v>
      </c>
      <c r="AAF36" s="306" t="s">
        <v>8432</v>
      </c>
      <c r="AAG36" s="306" t="e">
        <f>SEARCH(AAF36,$XU$7,AAE36)</f>
        <v>#VALUE!</v>
      </c>
      <c r="AAH36" s="306" t="e">
        <f>AAG36-AAE36</f>
        <v>#VALUE!</v>
      </c>
      <c r="AAI36" s="826" t="e">
        <f>IF(AAJ31="Штраф 50%","",MID($XU$7,AAE36,AAH36))</f>
        <v>#VALUE!</v>
      </c>
      <c r="AAJ36" s="829"/>
      <c r="AAV36" t="str">
        <f t="shared" si="141"/>
        <v>$$$$</v>
      </c>
      <c r="AAW36" s="947" t="e">
        <f t="shared" si="150"/>
        <v>#VALUE!</v>
      </c>
      <c r="AAX36" s="5"/>
      <c r="AAY36" s="5"/>
      <c r="AAZ36" s="5"/>
      <c r="ABA36" s="1487"/>
      <c r="ADF36" s="5"/>
      <c r="ADG36" s="1075"/>
      <c r="ADQ36" s="1075"/>
      <c r="ADR36" s="1080" t="str">
        <f>IFERROR(ADG7,"")</f>
        <v/>
      </c>
      <c r="AEJ36" s="961"/>
      <c r="AEK36" s="961"/>
      <c r="AEL36" s="961"/>
      <c r="AEX36" s="1070"/>
      <c r="AFA36" s="1070"/>
      <c r="AFE36" s="1464"/>
      <c r="AFF36" s="306"/>
      <c r="AFG36" s="836" t="e">
        <f>SEARCH(" ",AFD$4,AFI35+1)+1</f>
        <v>#VALUE!</v>
      </c>
      <c r="AFH36" s="306" t="s">
        <v>8432</v>
      </c>
      <c r="AFI36" s="306" t="e">
        <f>SEARCH(AFH36,AFD$4,AFG36)</f>
        <v>#VALUE!</v>
      </c>
      <c r="AFJ36" s="306" t="e">
        <f>AFI36-AFG36</f>
        <v>#VALUE!</v>
      </c>
      <c r="AFK36" s="826" t="e">
        <f>IF(AFL31="Штраф 50%","",MID(AFD$4,AFG36,AFJ36))</f>
        <v>#VALUE!</v>
      </c>
      <c r="AFL36" s="829"/>
      <c r="AFQ36" s="1464"/>
      <c r="AFR36" s="306"/>
      <c r="AFS36" s="836" t="e">
        <f>SEARCH(" ",AFP$4,AFU35+1)+1</f>
        <v>#VALUE!</v>
      </c>
      <c r="AFT36" s="306" t="s">
        <v>8432</v>
      </c>
      <c r="AFU36" s="306" t="e">
        <f>SEARCH(AFT36,AFP$4,AFS36)</f>
        <v>#VALUE!</v>
      </c>
      <c r="AFV36" s="306" t="e">
        <f>AFU36-AFS36</f>
        <v>#VALUE!</v>
      </c>
      <c r="AFW36" s="826" t="e">
        <f>IF(AFX31="Штраф 50%","",MID(AFP$4,AFS36,AFV36))</f>
        <v>#VALUE!</v>
      </c>
      <c r="AFX36" s="829"/>
      <c r="AGC36" s="1464"/>
      <c r="AGD36" s="306"/>
      <c r="AGE36" s="836" t="e">
        <f>SEARCH(" ",AGB$4,AGG35+1)+1</f>
        <v>#VALUE!</v>
      </c>
      <c r="AGF36" s="306" t="s">
        <v>8432</v>
      </c>
      <c r="AGG36" s="306" t="e">
        <f>SEARCH(AGF36,AGB$4,AGE36)</f>
        <v>#VALUE!</v>
      </c>
      <c r="AGH36" s="306" t="e">
        <f>AGG36-AGE36</f>
        <v>#VALUE!</v>
      </c>
      <c r="AGI36" s="826" t="e">
        <f>IF(AGJ31="Штраф 50%","",MID(AGB$4,AGE36,AGH36))</f>
        <v>#VALUE!</v>
      </c>
      <c r="AGJ36" s="829"/>
      <c r="AGO36" s="1464"/>
      <c r="AGP36" s="306"/>
      <c r="AGQ36" s="836" t="e">
        <f>SEARCH(" ",AGN$4,AGS35+1)+1</f>
        <v>#VALUE!</v>
      </c>
      <c r="AGR36" s="306" t="s">
        <v>8432</v>
      </c>
      <c r="AGS36" s="306" t="e">
        <f>SEARCH(AGR36,AGN$4,AGQ36)</f>
        <v>#VALUE!</v>
      </c>
      <c r="AGT36" s="306" t="e">
        <f>AGS36-AGQ36</f>
        <v>#VALUE!</v>
      </c>
      <c r="AGU36" s="826" t="e">
        <f>IF(AGV31="Штраф 50%","",MID(AGN$4,AGQ36,AGT36))</f>
        <v>#VALUE!</v>
      </c>
      <c r="AGV36" s="829"/>
      <c r="AHA36" s="1464"/>
      <c r="AHB36" s="306"/>
      <c r="AHC36" s="836" t="e">
        <f>SEARCH(" ",AGZ$4,AHE35+1)+1</f>
        <v>#VALUE!</v>
      </c>
      <c r="AHD36" s="306" t="s">
        <v>8432</v>
      </c>
      <c r="AHE36" s="306" t="e">
        <f>SEARCH(AHD36,AGZ$4,AHC36)</f>
        <v>#VALUE!</v>
      </c>
      <c r="AHF36" s="306" t="e">
        <f>AHE36-AHC36</f>
        <v>#VALUE!</v>
      </c>
      <c r="AHG36" s="826" t="e">
        <f>IF(AHH31="Штраф 50%","",MID(AGZ$4,AHC36,AHF36))</f>
        <v>#VALUE!</v>
      </c>
      <c r="AHH36" s="829"/>
    </row>
    <row r="37" spans="1:893" ht="14.4" customHeight="1" thickTop="1" thickBot="1" x14ac:dyDescent="0.35">
      <c r="A37" s="116"/>
      <c r="B37" s="116"/>
      <c r="C37" s="116"/>
      <c r="D37" s="116"/>
      <c r="E37" s="116"/>
      <c r="F37" s="116"/>
      <c r="G37" s="116"/>
      <c r="H37" s="116"/>
      <c r="I37" s="116"/>
      <c r="J37" s="116"/>
      <c r="K37" s="116"/>
      <c r="L37" s="116"/>
      <c r="M37" s="116"/>
      <c r="N37" s="116"/>
      <c r="O37" s="116"/>
      <c r="P37" s="116"/>
      <c r="Q37" s="116"/>
      <c r="R37" s="116"/>
      <c r="S37" s="116"/>
      <c r="T37" s="116"/>
      <c r="U37" s="116"/>
      <c r="V37" s="116"/>
      <c r="W37" s="116"/>
      <c r="X37" s="116"/>
      <c r="Y37" s="116"/>
      <c r="Z37" s="116"/>
      <c r="AA37" s="116"/>
      <c r="AB37" s="116"/>
      <c r="AC37" s="116"/>
      <c r="AD37" s="116"/>
      <c r="AE37" s="116"/>
      <c r="AF37" s="116"/>
      <c r="AG37" s="116"/>
      <c r="AH37" s="116"/>
      <c r="AI37" s="116"/>
      <c r="AJ37" s="116"/>
      <c r="AK37" s="116"/>
      <c r="AL37" s="116"/>
      <c r="AM37" s="116"/>
      <c r="AN37" s="116"/>
      <c r="AO37" s="116"/>
      <c r="AP37" s="116"/>
      <c r="AQ37" s="116"/>
      <c r="AR37" s="116"/>
      <c r="AS37" s="116"/>
      <c r="AT37" s="116"/>
      <c r="AU37" s="116"/>
      <c r="AV37" s="116"/>
      <c r="AW37" s="116"/>
      <c r="AX37" s="116"/>
      <c r="AY37" s="116"/>
      <c r="AZ37" s="116"/>
      <c r="BA37" s="116"/>
      <c r="BB37" s="116"/>
      <c r="BC37" s="116"/>
      <c r="BD37" s="116"/>
      <c r="BE37" s="116"/>
      <c r="BF37" s="116"/>
      <c r="BG37" s="116"/>
      <c r="BH37" s="116"/>
      <c r="BI37" s="116"/>
      <c r="BJ37" s="116"/>
      <c r="BK37" s="116"/>
      <c r="BL37" s="116"/>
      <c r="BM37" s="116"/>
      <c r="BN37" s="116"/>
      <c r="BO37" s="116"/>
      <c r="BP37" s="116"/>
      <c r="BQ37" s="116"/>
      <c r="BR37" s="116"/>
      <c r="BS37" s="116"/>
      <c r="BT37" s="116"/>
      <c r="BU37" s="116"/>
      <c r="BV37" s="116"/>
      <c r="BW37" s="116"/>
      <c r="BX37" s="116"/>
      <c r="BY37" s="116"/>
      <c r="BZ37" s="116"/>
      <c r="CA37" s="116"/>
      <c r="CB37" s="116"/>
      <c r="CC37" s="116"/>
      <c r="CD37" s="116"/>
      <c r="CE37" s="116"/>
      <c r="CF37" s="116"/>
      <c r="CG37" s="116"/>
      <c r="CH37" s="116"/>
      <c r="CI37" s="116"/>
      <c r="CJ37" s="116"/>
      <c r="CK37" s="116"/>
      <c r="CL37" s="116"/>
      <c r="CM37" s="116"/>
      <c r="CN37" s="116"/>
      <c r="CO37" s="116"/>
      <c r="CP37" s="116"/>
      <c r="CQ37" s="116"/>
      <c r="CR37" s="116"/>
      <c r="CS37" s="116"/>
      <c r="CT37" s="116"/>
      <c r="CU37" s="116"/>
      <c r="CV37" s="116"/>
      <c r="CW37" s="116"/>
      <c r="CX37" s="116"/>
      <c r="CY37" s="116"/>
      <c r="CZ37" s="116"/>
      <c r="DA37" s="116"/>
      <c r="DB37" s="116"/>
      <c r="DC37" s="116"/>
      <c r="DD37" s="116"/>
      <c r="DE37" s="116"/>
      <c r="DF37" s="116"/>
      <c r="DG37" s="116"/>
      <c r="DH37" s="116"/>
      <c r="DI37" s="116"/>
      <c r="DJ37" s="116"/>
      <c r="DK37" s="116"/>
      <c r="DL37" s="116"/>
      <c r="DM37" s="116"/>
      <c r="DN37" s="116"/>
      <c r="DO37" s="116"/>
      <c r="DP37" s="116"/>
      <c r="DQ37" s="116"/>
      <c r="DT37" t="s">
        <v>8345</v>
      </c>
      <c r="DU37" s="821" t="s">
        <v>8276</v>
      </c>
      <c r="DV37" s="1465"/>
      <c r="DW37" s="583"/>
      <c r="DX37" s="837"/>
      <c r="DY37" s="583"/>
      <c r="DZ37" s="583"/>
      <c r="EA37" s="583"/>
      <c r="EB37" s="831" t="e">
        <f>VALUE(CONCATENATE(EB35,",",EB36))</f>
        <v>#VALUE!</v>
      </c>
      <c r="EC37" s="832" t="str">
        <f>IF(EC31="Штраф 50%","",IF(OR(DY34=" в размере",DY31=" в размере"),EB37,""))</f>
        <v/>
      </c>
      <c r="NK37" s="1465"/>
      <c r="NL37" s="583"/>
      <c r="NM37" s="837"/>
      <c r="NN37" s="583"/>
      <c r="NO37" s="583"/>
      <c r="NP37" s="583"/>
      <c r="NQ37" s="831" t="e">
        <f>VALUE(CONCATENATE(NQ35,",",NQ36))</f>
        <v>#VALUE!</v>
      </c>
      <c r="NR37" s="832" t="str">
        <f>IF(NR31="Штраф 50%","",IF(OR(NN34=" в размере",NN31=" в размере"),NQ37,""))</f>
        <v/>
      </c>
      <c r="OC37" s="1472"/>
      <c r="OD37" s="946" t="str">
        <f t="shared" si="131"/>
        <v>$$$$</v>
      </c>
      <c r="OE37" s="947" t="e">
        <f t="shared" si="145"/>
        <v>#VALUE!</v>
      </c>
      <c r="OF37" s="947"/>
      <c r="OG37" s="920"/>
      <c r="OH37" s="920"/>
      <c r="OI37" s="947"/>
      <c r="OJ37" s="947"/>
      <c r="OK37" s="947"/>
      <c r="OL37" s="1474"/>
      <c r="OY37" s="116"/>
      <c r="OZ37" s="959"/>
      <c r="PA37" s="1210"/>
      <c r="PB37" s="959"/>
      <c r="PC37" s="116"/>
      <c r="PD37" s="1000"/>
      <c r="PF37" s="1209"/>
      <c r="PG37" s="1208"/>
      <c r="PH37" s="1209"/>
      <c r="PI37" s="5"/>
      <c r="PJ37" s="1073"/>
      <c r="PK37" s="99"/>
      <c r="PL37" s="920"/>
      <c r="PM37" s="995"/>
      <c r="PN37" s="920"/>
      <c r="PO37" s="254"/>
      <c r="PP37" s="871"/>
      <c r="PQ37" t="str">
        <f t="shared" si="133"/>
        <v>$$$$</v>
      </c>
      <c r="PR37" s="937" t="e">
        <f t="shared" si="146"/>
        <v>#VALUE!</v>
      </c>
      <c r="PS37" s="5"/>
      <c r="PV37" s="937"/>
      <c r="PX37" s="5"/>
      <c r="PY37" s="1470"/>
      <c r="PZ37" t="str">
        <f t="shared" si="135"/>
        <v>$$$$</v>
      </c>
      <c r="QA37" s="937" t="e">
        <f t="shared" si="147"/>
        <v>#VALUE!</v>
      </c>
      <c r="QB37" s="5"/>
      <c r="QC37" s="264"/>
      <c r="QE37" s="937"/>
      <c r="QF37" s="264"/>
      <c r="QG37" s="5"/>
      <c r="QH37" s="1470"/>
      <c r="QI37" t="str">
        <f t="shared" si="137"/>
        <v>$$$$</v>
      </c>
      <c r="QJ37" s="937" t="e">
        <f t="shared" si="148"/>
        <v>#VALUE!</v>
      </c>
      <c r="QK37" s="5"/>
      <c r="QL37" s="264"/>
      <c r="QN37" s="937"/>
      <c r="QO37" s="264"/>
      <c r="QP37" s="5"/>
      <c r="QQ37" s="1470"/>
      <c r="QR37" t="str">
        <f t="shared" si="139"/>
        <v>$$$$</v>
      </c>
      <c r="QS37" s="937" t="e">
        <f t="shared" si="149"/>
        <v>#VALUE!</v>
      </c>
      <c r="QT37" s="5"/>
      <c r="QU37" s="264"/>
      <c r="QW37" s="937"/>
      <c r="QX37" s="264"/>
      <c r="QY37" s="5"/>
      <c r="QZ37" s="1470"/>
      <c r="RA37" s="1098" t="s">
        <v>5580</v>
      </c>
      <c r="RB37" s="1099" t="str">
        <f>IFERROR(QZ51,"")</f>
        <v/>
      </c>
      <c r="SQ37" s="979"/>
      <c r="SY37" s="1465"/>
      <c r="SZ37" s="583"/>
      <c r="TA37" s="837"/>
      <c r="TB37" s="583"/>
      <c r="TC37" s="583"/>
      <c r="TD37" s="583"/>
      <c r="TE37" s="831" t="e">
        <f>VALUE(CONCATENATE(TE35,",",TE36))</f>
        <v>#VALUE!</v>
      </c>
      <c r="TF37" s="832" t="str">
        <f>IF(OR(TF31="Штраф 50%",TF31=""),"",TE37)</f>
        <v/>
      </c>
      <c r="TK37" s="1475">
        <v>9</v>
      </c>
      <c r="TL37" s="1030" t="s">
        <v>8433</v>
      </c>
      <c r="TM37" s="406" t="e">
        <f>SEARCH($TJ$14,TJ$4,TO33)+LEN($TJ$14)</f>
        <v>#VALUE!</v>
      </c>
      <c r="TN37" s="406" t="str">
        <f>IF(TO37=IFERROR(SEARCH(".",TJ$4,TM37),99999),".",
IF(TO37=IFERROR(SEARCH(",",TJ$4,TM37),99999),",",
IF(TO37=IFERROR(SEARCH(" за период",TJ$4,TM37),999999)," за период",
IF(TO37=IFERROR(SEARCH(" в размере",TJ$4,TM37),99999)," в размере",
IF(TO37=IFERROR(SEARCH(" и ",TJ$4,TM37),99999)," и ",
IF(TO37=IFERROR(SEARCH(")",TJ$4,TM37),99999),")",
))))))</f>
        <v>.</v>
      </c>
      <c r="TO37" s="406">
        <f>IFERROR(MIN(IFERROR(SEARCH(".",TJ$4,TM37),99999),IFERROR(SEARCH(",",TJ$4,TM37),99999),IFERROR(SEARCH(" за период",TJ$4,TM37),999999),IFERROR(SEARCH(" в размере",TJ$4,TM37),99999),IFERROR(SEARCH(" и ",TJ$4,TM37),99999),IFERROR(SEARCH(")",TJ$4,TM37),99999)),"ОШИБКА")</f>
        <v>99999</v>
      </c>
      <c r="TP37" s="406" t="e">
        <f>TO37-TM37</f>
        <v>#VALUE!</v>
      </c>
      <c r="TQ37" s="873" t="e">
        <f>MID(TJ$4,TM37,TP37)</f>
        <v>#VALUE!</v>
      </c>
      <c r="TR37" s="825" t="str">
        <f>IFERROR(INDEX($DU:$DU,MATCH(MID(TJ$4,TM37,TP37),$DT:$DT,0),1),"")</f>
        <v/>
      </c>
      <c r="TW37" s="1465"/>
      <c r="TX37" s="583"/>
      <c r="TY37" s="837"/>
      <c r="TZ37" s="583"/>
      <c r="UA37" s="583"/>
      <c r="UB37" s="583"/>
      <c r="UC37" s="831" t="e">
        <f>VALUE(CONCATENATE(UC35,",",UC36))</f>
        <v>#VALUE!</v>
      </c>
      <c r="UD37" s="832" t="str">
        <f>IF(OR(UD31="Штраф 50%",UD31=""),"",UC37)</f>
        <v/>
      </c>
      <c r="UI37" s="1475">
        <v>9</v>
      </c>
      <c r="UJ37" s="1030" t="s">
        <v>8433</v>
      </c>
      <c r="UK37" s="406" t="e">
        <f>SEARCH(UH$14,UH$4,UM33)+LEN(UH$14)</f>
        <v>#VALUE!</v>
      </c>
      <c r="UL37" s="406" t="str">
        <f>IF(UM37=IFERROR(SEARCH(".",UH$4,UK37),99999),".",
IF(UM37=IFERROR(SEARCH(",",UH$4,UK37),99999),",",
IF(UM37=IFERROR(SEARCH(" за период",UH$4,UK37),999999)," за период",
IF(UM37=IFERROR(SEARCH(" в размере",UH$4,UK37),99999)," в размере",
IF(UM37=IFERROR(SEARCH(" и ",UH$4,UK37),99999)," и ",
IF(UM37=IFERROR(SEARCH(")",UH$4,UK37),99999),")",
))))))</f>
        <v>.</v>
      </c>
      <c r="UM37" s="406">
        <f>IFERROR(MIN(IFERROR(SEARCH(".",UH$4,UK37),99999),IFERROR(SEARCH(",",UH$4,UK37),99999),IFERROR(SEARCH(" за период",UH$4,UK37),999999),IFERROR(SEARCH(" в размере",UH$4,UK37),99999),IFERROR(SEARCH(" и ",UH$4,UK37),99999),IFERROR(SEARCH(")",UH$4,UK37),99999)),"ОШИБКА")</f>
        <v>99999</v>
      </c>
      <c r="UN37" s="406" t="e">
        <f>UM37-UK37</f>
        <v>#VALUE!</v>
      </c>
      <c r="UO37" s="873" t="e">
        <f>MID(UH$4,UK37,UN37)</f>
        <v>#VALUE!</v>
      </c>
      <c r="UP37" s="825" t="str">
        <f>IFERROR(INDEX($DU:$DU,MATCH(MID(UH$4,UK37,UN37),$DT:$DT,0),1),"")</f>
        <v/>
      </c>
      <c r="UU37" s="1465"/>
      <c r="UV37" s="583"/>
      <c r="UW37" s="837"/>
      <c r="UX37" s="583"/>
      <c r="UY37" s="583"/>
      <c r="UZ37" s="583"/>
      <c r="VA37" s="831" t="e">
        <f>VALUE(CONCATENATE(VA35,",",VA36))</f>
        <v>#VALUE!</v>
      </c>
      <c r="VB37" s="832" t="str">
        <f>IF(OR(VB31="Штраф 50%",VB31=""),"",VA37)</f>
        <v/>
      </c>
      <c r="VG37" s="1475">
        <v>9</v>
      </c>
      <c r="VH37" s="1030" t="s">
        <v>8433</v>
      </c>
      <c r="VI37" s="406" t="e">
        <f>SEARCH(VF$14,VF$4,VK33)+LEN(VF$14)</f>
        <v>#VALUE!</v>
      </c>
      <c r="VJ37" s="406" t="str">
        <f>IF(VK37=IFERROR(SEARCH(".",VF$4,VI37),99999),".",
IF(VK37=IFERROR(SEARCH(",",VF$4,VI37),99999),",",
IF(VK37=IFERROR(SEARCH(" за период",VF$4,VI37),999999)," за период",
IF(VK37=IFERROR(SEARCH(" в размере",VF$4,VI37),99999)," в размере",
IF(VK37=IFERROR(SEARCH(" и ",VF$4,VI37),99999)," и ",
IF(VK37=IFERROR(SEARCH(")",VF$4,VI37),99999),")",
))))))</f>
        <v>.</v>
      </c>
      <c r="VK37" s="406">
        <f>IFERROR(MIN(IFERROR(SEARCH(".",VF$4,VI37),99999),IFERROR(SEARCH(",",VF$4,VI37),99999),IFERROR(SEARCH(" за период",VF$4,VI37),999999),IFERROR(SEARCH(" в размере",VF$4,VI37),99999),IFERROR(SEARCH(" и ",VF$4,VI37),99999),IFERROR(SEARCH(")",VF$4,VI37),99999)),"ОШИБКА")</f>
        <v>99999</v>
      </c>
      <c r="VL37" s="406" t="e">
        <f>VK37-VI37</f>
        <v>#VALUE!</v>
      </c>
      <c r="VM37" s="873" t="e">
        <f>MID(VF$4,VI37,VL37)</f>
        <v>#VALUE!</v>
      </c>
      <c r="VN37" s="825" t="str">
        <f>IFERROR(INDEX($DU:$DU,MATCH(MID(VF$4,VI37,VL37),$DT:$DT,0),1),"")</f>
        <v/>
      </c>
      <c r="VS37" s="1465"/>
      <c r="VT37" s="583"/>
      <c r="VU37" s="837"/>
      <c r="VV37" s="583"/>
      <c r="VW37" s="583"/>
      <c r="VX37" s="583"/>
      <c r="VY37" s="831" t="e">
        <f>VALUE(CONCATENATE(VY35,",",VY36))</f>
        <v>#VALUE!</v>
      </c>
      <c r="VZ37" s="832" t="str">
        <f>IF(OR(VZ31="Штраф 50%",VZ31=""),"",VY37)</f>
        <v/>
      </c>
      <c r="WE37" s="1475">
        <v>9</v>
      </c>
      <c r="WF37" s="1030" t="s">
        <v>8433</v>
      </c>
      <c r="WG37" s="406" t="e">
        <f>SEARCH($TJ$14,WD$4,WI33)+LEN($TJ$14)</f>
        <v>#VALUE!</v>
      </c>
      <c r="WH37" s="406" t="str">
        <f>IF(WI37=IFERROR(SEARCH(".",WD$4,WG37),99999),".",
IF(WI37=IFERROR(SEARCH(",",WD$4,WG37),99999),",",
IF(WI37=IFERROR(SEARCH(" за период",WD$4,WG37),999999)," за период",
IF(WI37=IFERROR(SEARCH(" в размере",WD$4,WG37),99999)," в размере",
IF(WI37=IFERROR(SEARCH(" и ",WD$4,WG37),99999)," и ",
IF(WI37=IFERROR(SEARCH(")",WD$4,WG37),99999),")",
))))))</f>
        <v>.</v>
      </c>
      <c r="WI37" s="406">
        <f>IFERROR(MIN(IFERROR(SEARCH(".",WD$4,WG37),99999),IFERROR(SEARCH(",",WD$4,WG37),99999),IFERROR(SEARCH(" за период",WD$4,WG37),999999),IFERROR(SEARCH(" в размере",WD$4,WG37),99999),IFERROR(SEARCH(" и ",WD$4,WG37),99999),IFERROR(SEARCH(")",WD$4,WG37),99999)),"ОШИБКА")</f>
        <v>99999</v>
      </c>
      <c r="WJ37" s="406" t="e">
        <f>WI37-WG37</f>
        <v>#VALUE!</v>
      </c>
      <c r="WK37" s="873" t="e">
        <f>MID(WD$4,WG37,WJ37)</f>
        <v>#VALUE!</v>
      </c>
      <c r="WL37" s="825" t="str">
        <f>IFERROR(INDEX($DU:$DU,MATCH(MID(WD$4,WG37,WJ37),$DT:$DT,0),1),"")</f>
        <v/>
      </c>
      <c r="WQ37" s="1465"/>
      <c r="WR37" s="583"/>
      <c r="WS37" s="837"/>
      <c r="WT37" s="583"/>
      <c r="WU37" s="583"/>
      <c r="WV37" s="583"/>
      <c r="WW37" s="831" t="e">
        <f>VALUE(CONCATENATE(WW35,",",WW36))</f>
        <v>#VALUE!</v>
      </c>
      <c r="WX37" s="832" t="str">
        <f>IF(OR(WX31="Штраф 50%",WX31=""),"",WW37)</f>
        <v/>
      </c>
      <c r="XC37" s="1475">
        <v>9</v>
      </c>
      <c r="XD37" s="1030" t="s">
        <v>8433</v>
      </c>
      <c r="XE37" s="406" t="e">
        <f>SEARCH($TJ$14,XB$4,XG33)+LEN($TJ$14)</f>
        <v>#VALUE!</v>
      </c>
      <c r="XF37" s="406" t="str">
        <f>IF(XG37=IFERROR(SEARCH(".",XB$4,XE37),99999),".",
IF(XG37=IFERROR(SEARCH(",",XB$4,XE37),99999),",",
IF(XG37=IFERROR(SEARCH(" за период",XB$4,XE37),999999)," за период",
IF(XG37=IFERROR(SEARCH(" в размере",XB$4,XE37),99999)," в размере",
IF(XG37=IFERROR(SEARCH(" и ",XB$4,XE37),99999)," и ",
IF(XG37=IFERROR(SEARCH(")",XB$4,XE37),99999),")",
))))))</f>
        <v>.</v>
      </c>
      <c r="XG37" s="406">
        <f>IFERROR(MIN(IFERROR(SEARCH(".",XB$4,XE37),99999),IFERROR(SEARCH(",",XB$4,XE37),99999),IFERROR(SEARCH(" за период",XB$4,XE37),999999),IFERROR(SEARCH(" в размере",XB$4,XE37),99999),IFERROR(SEARCH(" и ",XB$4,XE37),99999),IFERROR(SEARCH(")",XB$4,XE37),99999)),"ОШИБКА")</f>
        <v>99999</v>
      </c>
      <c r="XH37" s="406" t="e">
        <f>XG37-XE37</f>
        <v>#VALUE!</v>
      </c>
      <c r="XI37" s="873" t="e">
        <f>MID(XB$4,XE37,XH37)</f>
        <v>#VALUE!</v>
      </c>
      <c r="XJ37" s="825" t="str">
        <f>IFERROR(INDEX($DU:$DU,MATCH(MID(XB$4,XE37,XH37),$DT:$DT,0),1),"")</f>
        <v/>
      </c>
      <c r="YG37" s="1465"/>
      <c r="YH37" s="583"/>
      <c r="YI37" s="837"/>
      <c r="YJ37" s="583"/>
      <c r="YK37" s="583"/>
      <c r="YL37" s="583"/>
      <c r="YM37" s="831" t="e">
        <f>VALUE(CONCATENATE(YM35,",",YM36))</f>
        <v>#VALUE!</v>
      </c>
      <c r="YN37" s="832" t="str">
        <f>IF(YN31="Штраф 50%","",IF(OR(YJ34=" в размере",YJ31=" в размере"),YM37,""))</f>
        <v/>
      </c>
      <c r="YS37" s="1465"/>
      <c r="YT37" s="583"/>
      <c r="YU37" s="837"/>
      <c r="YV37" s="583"/>
      <c r="YW37" s="583"/>
      <c r="YX37" s="583"/>
      <c r="YY37" s="831" t="e">
        <f>VALUE(CONCATENATE(YY35,",",YY36))</f>
        <v>#VALUE!</v>
      </c>
      <c r="YZ37" s="832" t="str">
        <f>IF(YZ31="Штраф 50%","",IF(OR(YV34=" в размере",YV31=" в размере"),YY37,""))</f>
        <v/>
      </c>
      <c r="ZE37" s="1465"/>
      <c r="ZF37" s="583"/>
      <c r="ZG37" s="837"/>
      <c r="ZH37" s="583"/>
      <c r="ZI37" s="583"/>
      <c r="ZJ37" s="583"/>
      <c r="ZK37" s="831" t="e">
        <f>VALUE(CONCATENATE(ZK35,",",ZK36))</f>
        <v>#VALUE!</v>
      </c>
      <c r="ZL37" s="832" t="str">
        <f>IF(ZL31="Штраф 50%","",IF(OR(ZH34=" в размере",ZH31=" в размере"),ZK37,""))</f>
        <v/>
      </c>
      <c r="ZQ37" s="1465"/>
      <c r="ZR37" s="583"/>
      <c r="ZS37" s="837"/>
      <c r="ZT37" s="583"/>
      <c r="ZU37" s="583"/>
      <c r="ZV37" s="583"/>
      <c r="ZW37" s="831" t="e">
        <f>VALUE(CONCATENATE(ZW35,",",ZW36))</f>
        <v>#VALUE!</v>
      </c>
      <c r="ZX37" s="832" t="str">
        <f>IF(ZX31="Штраф 50%","",IF(OR(ZT34=" в размере",ZT31=" в размере"),ZW37,""))</f>
        <v/>
      </c>
      <c r="AAC37" s="1465"/>
      <c r="AAD37" s="583"/>
      <c r="AAE37" s="837"/>
      <c r="AAF37" s="583"/>
      <c r="AAG37" s="583"/>
      <c r="AAH37" s="583"/>
      <c r="AAI37" s="831" t="e">
        <f>VALUE(CONCATENATE(AAI35,",",AAI36))</f>
        <v>#VALUE!</v>
      </c>
      <c r="AAJ37" s="832" t="str">
        <f>IF(AAJ31="Штраф 50%","",IF(OR(AAF34=" в размере",AAF31=" в размере"),AAI37,""))</f>
        <v/>
      </c>
      <c r="AAV37" t="str">
        <f t="shared" si="141"/>
        <v>$$$$</v>
      </c>
      <c r="AAW37" s="947" t="e">
        <f t="shared" si="150"/>
        <v>#VALUE!</v>
      </c>
      <c r="AAX37" s="5"/>
      <c r="AAY37" s="5"/>
      <c r="AAZ37" s="5"/>
      <c r="ABA37" s="1487"/>
      <c r="ADF37" s="5"/>
      <c r="ADG37" s="1075"/>
      <c r="ADQ37" s="1075"/>
      <c r="ADR37" s="1081" t="str">
        <f>IFERROR(ADQ7,"")</f>
        <v/>
      </c>
      <c r="AEJ37" s="961"/>
      <c r="AEK37" s="961"/>
      <c r="AEL37" s="961"/>
      <c r="AEX37" s="1070"/>
      <c r="AFA37" s="1070"/>
      <c r="AFE37" s="1465"/>
      <c r="AFF37" s="583"/>
      <c r="AFG37" s="837"/>
      <c r="AFH37" s="583"/>
      <c r="AFI37" s="583"/>
      <c r="AFJ37" s="583"/>
      <c r="AFK37" s="831" t="e">
        <f>VALUE(CONCATENATE(AFK35,",",AFK36))</f>
        <v>#VALUE!</v>
      </c>
      <c r="AFL37" s="832" t="str">
        <f>IF(AFL31="Штраф 50%","",IF(OR(AFH34=" в размере",AFH31=" в размере"),AFK37,""))</f>
        <v/>
      </c>
      <c r="AFQ37" s="1465"/>
      <c r="AFR37" s="583"/>
      <c r="AFS37" s="837"/>
      <c r="AFT37" s="583"/>
      <c r="AFU37" s="583"/>
      <c r="AFV37" s="583"/>
      <c r="AFW37" s="831" t="e">
        <f>VALUE(CONCATENATE(AFW35,",",AFW36))</f>
        <v>#VALUE!</v>
      </c>
      <c r="AFX37" s="832" t="str">
        <f>IF(AFX31="Штраф 50%","",IF(OR(AFT34=" в размере",AFT31=" в размере"),AFW37,""))</f>
        <v/>
      </c>
      <c r="AGC37" s="1465"/>
      <c r="AGD37" s="583"/>
      <c r="AGE37" s="837"/>
      <c r="AGF37" s="583"/>
      <c r="AGG37" s="583"/>
      <c r="AGH37" s="583"/>
      <c r="AGI37" s="831" t="e">
        <f>VALUE(CONCATENATE(AGI35,",",AGI36))</f>
        <v>#VALUE!</v>
      </c>
      <c r="AGJ37" s="832" t="str">
        <f>IF(AGJ31="Штраф 50%","",IF(OR(AGF34=" в размере",AGF31=" в размере"),AGI37,""))</f>
        <v/>
      </c>
      <c r="AGO37" s="1465"/>
      <c r="AGP37" s="583"/>
      <c r="AGQ37" s="837"/>
      <c r="AGR37" s="583"/>
      <c r="AGS37" s="583"/>
      <c r="AGT37" s="583"/>
      <c r="AGU37" s="831" t="e">
        <f>VALUE(CONCATENATE(AGU35,",",AGU36))</f>
        <v>#VALUE!</v>
      </c>
      <c r="AGV37" s="832" t="str">
        <f>IF(AGV31="Штраф 50%","",IF(OR(AGR34=" в размере",AGR31=" в размере"),AGU37,""))</f>
        <v/>
      </c>
      <c r="AHA37" s="1465"/>
      <c r="AHB37" s="583"/>
      <c r="AHC37" s="837"/>
      <c r="AHD37" s="583"/>
      <c r="AHE37" s="583"/>
      <c r="AHF37" s="583"/>
      <c r="AHG37" s="831" t="e">
        <f>VALUE(CONCATENATE(AHG35,",",AHG36))</f>
        <v>#VALUE!</v>
      </c>
      <c r="AHH37" s="832" t="str">
        <f>IF(AHH31="Штраф 50%","",IF(OR(AHD34=" в размере",AHD31=" в размере"),AHG37,""))</f>
        <v/>
      </c>
    </row>
    <row r="38" spans="1:893" ht="14.4" customHeight="1" thickTop="1" x14ac:dyDescent="0.3">
      <c r="A38" s="116"/>
      <c r="B38" s="116"/>
      <c r="C38" s="116"/>
      <c r="D38" s="116"/>
      <c r="E38" s="116"/>
      <c r="F38" s="116"/>
      <c r="G38" s="116"/>
      <c r="H38" s="116"/>
      <c r="I38" s="116"/>
      <c r="J38" s="116"/>
      <c r="K38" s="116"/>
      <c r="L38" s="116"/>
      <c r="M38" s="116"/>
      <c r="N38" s="116"/>
      <c r="O38" s="116"/>
      <c r="P38" s="116"/>
      <c r="Q38" s="116"/>
      <c r="R38" s="116"/>
      <c r="S38" s="116"/>
      <c r="T38" s="116"/>
      <c r="U38" s="116"/>
      <c r="V38" s="116"/>
      <c r="W38" s="116"/>
      <c r="X38" s="116"/>
      <c r="Y38" s="116"/>
      <c r="Z38" s="116"/>
      <c r="AA38" s="116"/>
      <c r="AB38" s="116"/>
      <c r="AC38" s="116"/>
      <c r="AD38" s="116"/>
      <c r="AE38" s="116"/>
      <c r="AF38" s="116"/>
      <c r="AG38" s="116"/>
      <c r="AH38" s="116"/>
      <c r="AI38" s="116"/>
      <c r="AJ38" s="116"/>
      <c r="AK38" s="116"/>
      <c r="AL38" s="116"/>
      <c r="AM38" s="116"/>
      <c r="AN38" s="116"/>
      <c r="AO38" s="116"/>
      <c r="AP38" s="116"/>
      <c r="AQ38" s="116"/>
      <c r="AR38" s="116"/>
      <c r="AS38" s="116"/>
      <c r="AT38" s="116"/>
      <c r="AU38" s="116"/>
      <c r="AV38" s="116"/>
      <c r="AW38" s="116"/>
      <c r="AX38" s="116"/>
      <c r="AY38" s="116"/>
      <c r="AZ38" s="116"/>
      <c r="BA38" s="116"/>
      <c r="BB38" s="116"/>
      <c r="BC38" s="116"/>
      <c r="BD38" s="116"/>
      <c r="BE38" s="116"/>
      <c r="BF38" s="116"/>
      <c r="BG38" s="116"/>
      <c r="BH38" s="116"/>
      <c r="BI38" s="116"/>
      <c r="BJ38" s="116"/>
      <c r="BK38" s="116"/>
      <c r="BL38" s="116"/>
      <c r="BM38" s="116"/>
      <c r="BN38" s="116"/>
      <c r="BO38" s="116"/>
      <c r="BP38" s="116"/>
      <c r="BQ38" s="116"/>
      <c r="BR38" s="116"/>
      <c r="BS38" s="116"/>
      <c r="BT38" s="116"/>
      <c r="BU38" s="116"/>
      <c r="BV38" s="116"/>
      <c r="BW38" s="116"/>
      <c r="BX38" s="116"/>
      <c r="BY38" s="116"/>
      <c r="BZ38" s="116"/>
      <c r="CA38" s="116"/>
      <c r="CB38" s="116"/>
      <c r="CC38" s="116"/>
      <c r="CD38" s="116"/>
      <c r="CE38" s="116"/>
      <c r="CF38" s="116"/>
      <c r="CG38" s="116"/>
      <c r="CH38" s="116"/>
      <c r="CI38" s="116"/>
      <c r="CJ38" s="116"/>
      <c r="CK38" s="116"/>
      <c r="CL38" s="116"/>
      <c r="CM38" s="116"/>
      <c r="CN38" s="116"/>
      <c r="CO38" s="116"/>
      <c r="CP38" s="116"/>
      <c r="CQ38" s="116"/>
      <c r="CR38" s="116"/>
      <c r="CS38" s="116"/>
      <c r="CT38" s="116"/>
      <c r="CU38" s="116"/>
      <c r="CV38" s="116"/>
      <c r="CW38" s="116"/>
      <c r="CX38" s="116"/>
      <c r="CY38" s="116"/>
      <c r="CZ38" s="116"/>
      <c r="DA38" s="116"/>
      <c r="DB38" s="116"/>
      <c r="DC38" s="116"/>
      <c r="DD38" s="116"/>
      <c r="DE38" s="116"/>
      <c r="DF38" s="116"/>
      <c r="DG38" s="116"/>
      <c r="DH38" s="116"/>
      <c r="DI38" s="116"/>
      <c r="DJ38" s="116"/>
      <c r="DK38" s="116"/>
      <c r="DL38" s="116"/>
      <c r="DM38" s="116"/>
      <c r="DN38" s="116"/>
      <c r="DO38" s="116"/>
      <c r="DP38" s="116"/>
      <c r="DQ38" s="116"/>
      <c r="DT38" t="s">
        <v>8319</v>
      </c>
      <c r="DU38" s="431" t="s">
        <v>8320</v>
      </c>
      <c r="DV38" s="1463">
        <v>6</v>
      </c>
      <c r="DW38" s="824" t="s">
        <v>8433</v>
      </c>
      <c r="DX38" s="838" t="e">
        <f>SEARCH(DS$4,$C$3,DZ31)+LEN(DS$4)</f>
        <v>#VALUE!</v>
      </c>
      <c r="DY38" s="406" t="str">
        <f>IF(DZ38=IFERROR(SEARCH(".",C$3,DX38),99999),".",
IF(DZ38=IFERROR(SEARCH(",",C$3,DX38),99999),",",
IF(DZ38=IFERROR(SEARCH(" за период",C$3,DX38),999999)," за период",
IF(DZ38=IFERROR(SEARCH(" в размере",C$3,DX38),99999)," в размере",
))))</f>
        <v>.</v>
      </c>
      <c r="DZ38" s="406">
        <f>IFERROR(MIN(IFERROR(SEARCH(".",$C$3,DX38),99999),IFERROR(SEARCH(",",$C$3,DX38),99999),IFERROR(SEARCH(" за период",$C$3,DX38),999999),IFERROR(SEARCH(" в размере",$C$3,DX38),99999)),"ОШИБКА")</f>
        <v>99999</v>
      </c>
      <c r="EA38" s="406" t="e">
        <f>DZ38-DX38</f>
        <v>#VALUE!</v>
      </c>
      <c r="EB38" s="824" t="e">
        <f>MID($C$3,DX38,EA38)</f>
        <v>#VALUE!</v>
      </c>
      <c r="EC38" s="825" t="str">
        <f>IFERROR(INDEX(DU:DU,MATCH(MID($C$3,DX38,EA38),DT:DT,0),1),"")</f>
        <v/>
      </c>
      <c r="ED38" s="754"/>
      <c r="NK38" s="1463">
        <v>6</v>
      </c>
      <c r="NL38" s="824" t="s">
        <v>8433</v>
      </c>
      <c r="NM38" s="838" t="e">
        <f>SEARCH(NH$4,NJ$4,NO31)+LEN(NH$4)</f>
        <v>#VALUE!</v>
      </c>
      <c r="NN38" s="406" t="str">
        <f>IF(NO38=IFERROR(SEARCH(".",NJ$4,NM38),99999),".",
IF(NO38=IFERROR(SEARCH(",",NJ$4,NM38),99999),",",
IF(NO38=IFERROR(SEARCH(" за период",NJ$4,NM38),999999)," за период",
IF(NO38=IFERROR(SEARCH(" в размере",NJ$4,NM38),99999)," в размере",
))))</f>
        <v>.</v>
      </c>
      <c r="NO38" s="406">
        <f>IFERROR(MIN(IFERROR(SEARCH(".",NJ$4,NM38),99999),IFERROR(SEARCH(",",NJ$4,NM38),99999),IFERROR(SEARCH(" за период",NJ$4,NM38),999999),IFERROR(SEARCH(" в размере",NJ$4,NM38),99999)),"ОШИБКА")</f>
        <v>99999</v>
      </c>
      <c r="NP38" s="406" t="e">
        <f>NO38-NM38</f>
        <v>#VALUE!</v>
      </c>
      <c r="NQ38" s="824" t="e">
        <f>MID(NJ$4,NM38,NP38)</f>
        <v>#VALUE!</v>
      </c>
      <c r="NR38" s="825" t="str">
        <f>IFERROR(INDEX($DU:$DU,MATCH(MID(NJ$4,NM38,NP38),$DT:$DT,0),1),"")</f>
        <v/>
      </c>
      <c r="NS38" s="754"/>
      <c r="NT38" s="754"/>
      <c r="OC38" s="1472"/>
      <c r="OD38" s="946" t="str">
        <f t="shared" si="131"/>
        <v>$$$$</v>
      </c>
      <c r="OE38" s="947" t="e">
        <f t="shared" si="145"/>
        <v>#VALUE!</v>
      </c>
      <c r="OF38" s="947"/>
      <c r="OG38" s="920"/>
      <c r="OH38" s="920"/>
      <c r="OI38" s="947"/>
      <c r="OJ38" s="947"/>
      <c r="OK38" s="947"/>
      <c r="OL38" s="1474"/>
      <c r="OY38" s="116"/>
      <c r="OZ38" s="959"/>
      <c r="PA38" s="1210"/>
      <c r="PB38" s="959"/>
      <c r="PC38" s="116"/>
      <c r="PD38" s="1000"/>
      <c r="PF38" s="1209"/>
      <c r="PG38" s="1208"/>
      <c r="PH38" s="1209"/>
      <c r="PJ38" s="1073"/>
      <c r="PK38" s="99"/>
      <c r="PL38" s="920"/>
      <c r="PM38" s="995"/>
      <c r="PN38" s="920"/>
      <c r="PO38" s="99"/>
      <c r="PP38" s="871"/>
      <c r="PQ38" t="str">
        <f t="shared" si="133"/>
        <v>$$$$</v>
      </c>
      <c r="PR38" s="937" t="e">
        <f t="shared" si="146"/>
        <v>#VALUE!</v>
      </c>
      <c r="PS38" s="5"/>
      <c r="PV38" s="937"/>
      <c r="PY38" s="1470"/>
      <c r="PZ38" t="str">
        <f t="shared" si="135"/>
        <v>$$$$</v>
      </c>
      <c r="QA38" s="937" t="e">
        <f t="shared" si="147"/>
        <v>#VALUE!</v>
      </c>
      <c r="QB38" s="5"/>
      <c r="QC38" s="264"/>
      <c r="QE38" s="937"/>
      <c r="QF38" s="264"/>
      <c r="QH38" s="1470"/>
      <c r="QI38" t="str">
        <f t="shared" si="137"/>
        <v>$$$$</v>
      </c>
      <c r="QJ38" s="937" t="e">
        <f t="shared" si="148"/>
        <v>#VALUE!</v>
      </c>
      <c r="QK38" s="5"/>
      <c r="QL38" s="264"/>
      <c r="QN38" s="937"/>
      <c r="QO38" s="264"/>
      <c r="QQ38" s="1470"/>
      <c r="QR38" t="str">
        <f t="shared" si="139"/>
        <v>$$$$</v>
      </c>
      <c r="QS38" s="937" t="e">
        <f t="shared" si="149"/>
        <v>#VALUE!</v>
      </c>
      <c r="QT38" s="5"/>
      <c r="QU38" s="264"/>
      <c r="QW38" s="937"/>
      <c r="QX38" s="264"/>
      <c r="QZ38" s="1470"/>
      <c r="SQ38" s="979"/>
      <c r="SY38" s="1463">
        <v>6</v>
      </c>
      <c r="SZ38" s="824" t="s">
        <v>8433</v>
      </c>
      <c r="TA38" s="838" t="e">
        <f>SEARCH(SV$4,$SQ$3,TC31)+LEN(SV$4)</f>
        <v>#VALUE!</v>
      </c>
      <c r="TB38" s="406" t="str">
        <f>IF(TC38=IFERROR(SEARCH(".",$SQ$3,TA38),99999),".",
IF(TC38=IFERROR(SEARCH(",",$SQ$3,TA38),99999),",",
IF(TC38=IFERROR(SEARCH(" за период",$SQ$3,TA38),999999)," за период",
IF(TC38=IFERROR(SEARCH(" в размере",$SQ$3,TA38),99999)," в размере",
))))</f>
        <v>.</v>
      </c>
      <c r="TC38" s="406">
        <f>IFERROR(MIN(IFERROR(SEARCH(".",$SQ$3,TA38),99999),IFERROR(SEARCH(",",$SQ$3,TA38),99999),IFERROR(SEARCH(" за период",$SQ$3,TA38),999999),IFERROR(SEARCH(" в размере",$SQ$3,TA38),99999)),"ОШИБКА")</f>
        <v>99999</v>
      </c>
      <c r="TD38" s="406" t="e">
        <f>TC38-TA38</f>
        <v>#VALUE!</v>
      </c>
      <c r="TE38" s="824" t="e">
        <f>MID($SQ$3,TA38,TD38)</f>
        <v>#VALUE!</v>
      </c>
      <c r="TF38" s="825" t="str">
        <f>IFERROR(INDEX($DU:$DU,MATCH(MID($SQ$3,TA38,TD38),$DT:$DT,0),1),"")</f>
        <v/>
      </c>
      <c r="TG38" s="754"/>
      <c r="TK38" s="1476"/>
      <c r="TL38" s="1031" t="s">
        <v>8249</v>
      </c>
      <c r="TM38" s="836">
        <f>IFERROR(MIN(IFERROR(SEARCH(", ",TJ$4,TO33)+LEN(", "),99999),IFERROR(SEARCH("и ",TJ$4,TO33)+LEN("и "),99999)),"ОШИБКА")</f>
        <v>99999</v>
      </c>
      <c r="TN38" s="306" t="s">
        <v>8431</v>
      </c>
      <c r="TO38" s="306" t="e">
        <f>SEARCH(TN38,TJ$4,TM38)</f>
        <v>#VALUE!</v>
      </c>
      <c r="TP38" s="306" t="e">
        <f>TO38-TM38</f>
        <v>#VALUE!</v>
      </c>
      <c r="TQ38" s="826" t="e">
        <f>IF(TR37="Штраф 50%","",MID(TJ$4,TM38,TP38))</f>
        <v>#VALUE!</v>
      </c>
      <c r="TR38" s="828" t="str">
        <f>IF(TN37=" за период",TQ38,"")</f>
        <v/>
      </c>
      <c r="TS38" s="754"/>
      <c r="TW38" s="1463">
        <v>6</v>
      </c>
      <c r="TX38" s="824" t="s">
        <v>8433</v>
      </c>
      <c r="TY38" s="838" t="e">
        <f>SEARCH(TT$4,$SQ$4,UA31)+LEN(TT$4)</f>
        <v>#VALUE!</v>
      </c>
      <c r="TZ38" s="406" t="str">
        <f>IF(UA38=IFERROR(SEARCH(".",$SQ$4,TY38),99999),".",
IF(UA38=IFERROR(SEARCH(",",$SQ$4,TY38),99999),",",
IF(UA38=IFERROR(SEARCH(" за период",$SQ$4,TY38),999999)," за период",
IF(UA38=IFERROR(SEARCH(" в размере",$SQ$4,TY38),99999)," в размере",
))))</f>
        <v>.</v>
      </c>
      <c r="UA38" s="406">
        <f>IFERROR(MIN(IFERROR(SEARCH(".",$SQ$4,TY38),99999),IFERROR(SEARCH(",",$SQ$4,TY38),99999),IFERROR(SEARCH(" за период",$SQ$4,TY38),999999),IFERROR(SEARCH(" в размере",$SQ$4,TY38),99999)),"ОШИБКА")</f>
        <v>99999</v>
      </c>
      <c r="UB38" s="406" t="e">
        <f>UA38-TY38</f>
        <v>#VALUE!</v>
      </c>
      <c r="UC38" s="824" t="e">
        <f>MID($SQ$4,TY38,UB38)</f>
        <v>#VALUE!</v>
      </c>
      <c r="UD38" s="825" t="str">
        <f>IFERROR(INDEX($DU:$DU,MATCH(MID($SQ$4,TY38,UB38),$DT:$DT,0),1),"")</f>
        <v/>
      </c>
      <c r="UE38" s="754"/>
      <c r="UI38" s="1476"/>
      <c r="UJ38" s="1031" t="s">
        <v>8249</v>
      </c>
      <c r="UK38" s="836">
        <f>IFERROR(MIN(IFERROR(SEARCH(", ",UH$4,UM33)+LEN(", "),99999),IFERROR(SEARCH("и ",UH$4,UM33)+LEN("и "),99999)),"ОШИБКА")</f>
        <v>99999</v>
      </c>
      <c r="UL38" s="306" t="s">
        <v>8431</v>
      </c>
      <c r="UM38" s="306" t="e">
        <f>SEARCH(UL38,UH$4,UK38)</f>
        <v>#VALUE!</v>
      </c>
      <c r="UN38" s="306" t="e">
        <f>UM38-UK38</f>
        <v>#VALUE!</v>
      </c>
      <c r="UO38" s="826" t="e">
        <f>IF(UP37="Штраф 50%","",MID(UH$4,UK38,UN38))</f>
        <v>#VALUE!</v>
      </c>
      <c r="UP38" s="828" t="str">
        <f>IF(UL37=" за период",UO38,"")</f>
        <v/>
      </c>
      <c r="UQ38" s="754"/>
      <c r="UU38" s="1463">
        <v>6</v>
      </c>
      <c r="UV38" s="824" t="s">
        <v>8433</v>
      </c>
      <c r="UW38" s="838" t="e">
        <f>SEARCH(UR$4,$SQ$5,UY31)+LEN(UR$4)</f>
        <v>#VALUE!</v>
      </c>
      <c r="UX38" s="406" t="str">
        <f>IF(UY38=IFERROR(SEARCH(".",$SQ$5,UW38),99999),".",
IF(UY38=IFERROR(SEARCH(",",$SQ$5,UW38),99999),",",
IF(UY38=IFERROR(SEARCH(" за период",$SQ$5,UW38),999999)," за период",
IF(UY38=IFERROR(SEARCH(" в размере",$SQ$5,UW38),99999)," в размере",
))))</f>
        <v>.</v>
      </c>
      <c r="UY38" s="406">
        <f>IFERROR(MIN(IFERROR(SEARCH(".",$SQ$5,UW38),99999),IFERROR(SEARCH(",",$SQ$5,UW38),99999),IFERROR(SEARCH(" за период",$SQ$5,UW38),999999),IFERROR(SEARCH(" в размере",$SQ$5,UW38),99999)),"ОШИБКА")</f>
        <v>99999</v>
      </c>
      <c r="UZ38" s="406" t="e">
        <f>UY38-UW38</f>
        <v>#VALUE!</v>
      </c>
      <c r="VA38" s="824" t="e">
        <f>MID($SQ$5,UW38,UZ38)</f>
        <v>#VALUE!</v>
      </c>
      <c r="VB38" s="825" t="str">
        <f>IFERROR(INDEX($DU:$DU,MATCH(MID($SQ$5,UW38,UZ38),$DT:$DT,0),1),"")</f>
        <v/>
      </c>
      <c r="VC38" s="754"/>
      <c r="VG38" s="1476"/>
      <c r="VH38" s="1031" t="s">
        <v>8249</v>
      </c>
      <c r="VI38" s="836">
        <f>IFERROR(MIN(IFERROR(SEARCH(", ",VF$4,VK33)+LEN(", "),99999),IFERROR(SEARCH("и ",VF$4,VK33)+LEN("и "),99999)),"ОШИБКА")</f>
        <v>99999</v>
      </c>
      <c r="VJ38" s="306" t="s">
        <v>8431</v>
      </c>
      <c r="VK38" s="306" t="e">
        <f>SEARCH(VJ38,VF$4,VI38)</f>
        <v>#VALUE!</v>
      </c>
      <c r="VL38" s="306" t="e">
        <f>VK38-VI38</f>
        <v>#VALUE!</v>
      </c>
      <c r="VM38" s="826" t="e">
        <f>IF(VN37="Штраф 50%","",MID(VF$4,VI38,VL38))</f>
        <v>#VALUE!</v>
      </c>
      <c r="VN38" s="828" t="str">
        <f>IF(VJ37=" за период",VM38,"")</f>
        <v/>
      </c>
      <c r="VO38" s="754"/>
      <c r="VS38" s="1463">
        <v>6</v>
      </c>
      <c r="VT38" s="824" t="s">
        <v>8433</v>
      </c>
      <c r="VU38" s="838" t="e">
        <f>SEARCH(VP$4,$SQ$6,VW31)+LEN(VP$4)</f>
        <v>#VALUE!</v>
      </c>
      <c r="VV38" s="406" t="str">
        <f>IF(VW38=IFERROR(SEARCH(".",$SQ$6,VU38),99999),".",
IF(VW38=IFERROR(SEARCH(",",$SQ$6,VU38),99999),",",
IF(VW38=IFERROR(SEARCH(" за период",$SQ$6,VU38),999999)," за период",
IF(VW38=IFERROR(SEARCH(" в размере",$SQ$6,VU38),99999)," в размере",
))))</f>
        <v>.</v>
      </c>
      <c r="VW38" s="406">
        <f>IFERROR(MIN(IFERROR(SEARCH(".",$SQ$6,VU38),99999),IFERROR(SEARCH(",",$SQ$6,VU38),99999),IFERROR(SEARCH(" за период",$SQ$6,VU38),999999),IFERROR(SEARCH(" в размере",$SQ$6,VU38),99999)),"ОШИБКА")</f>
        <v>99999</v>
      </c>
      <c r="VX38" s="406" t="e">
        <f>VW38-VU38</f>
        <v>#VALUE!</v>
      </c>
      <c r="VY38" s="824" t="e">
        <f>MID($SQ$6,VU38,VX38)</f>
        <v>#VALUE!</v>
      </c>
      <c r="VZ38" s="825" t="str">
        <f>IFERROR(INDEX($DU:$DU,MATCH(MID($SQ$6,VU38,VX38),$DT:$DT,0),1),"")</f>
        <v/>
      </c>
      <c r="WA38" s="754"/>
      <c r="WE38" s="1476"/>
      <c r="WF38" s="1031" t="s">
        <v>8249</v>
      </c>
      <c r="WG38" s="836">
        <f>IFERROR(MIN(IFERROR(SEARCH(", ",WD$4,WI33)+LEN(", "),99999),IFERROR(SEARCH("и ",WD$4,WI33)+LEN("и "),99999)),"ОШИБКА")</f>
        <v>99999</v>
      </c>
      <c r="WH38" s="306" t="s">
        <v>8431</v>
      </c>
      <c r="WI38" s="306" t="e">
        <f>SEARCH(WH38,WD$4,WG38)</f>
        <v>#VALUE!</v>
      </c>
      <c r="WJ38" s="306" t="e">
        <f>WI38-WG38</f>
        <v>#VALUE!</v>
      </c>
      <c r="WK38" s="826" t="e">
        <f>IF(WL37="Штраф 50%","",MID(WD$4,WG38,WJ38))</f>
        <v>#VALUE!</v>
      </c>
      <c r="WL38" s="828" t="str">
        <f>IF(WH37=" за период",WK38,"")</f>
        <v/>
      </c>
      <c r="WM38" s="754"/>
      <c r="WQ38" s="1463">
        <v>6</v>
      </c>
      <c r="WR38" s="824" t="s">
        <v>8433</v>
      </c>
      <c r="WS38" s="838" t="e">
        <f>SEARCH(WN$4,$SQ$7,WU31)+LEN(WN$4)</f>
        <v>#VALUE!</v>
      </c>
      <c r="WT38" s="406" t="str">
        <f>IF(WU38=IFERROR(SEARCH(".",$SQ$7,WS38),99999),".",
IF(WU38=IFERROR(SEARCH(",",$SQ$7,WS38),99999),",",
IF(WU38=IFERROR(SEARCH(" за период",$SQ$7,WS38),999999)," за период",
IF(WU38=IFERROR(SEARCH(" в размере",$SQ$7,WS38),99999)," в размере",
))))</f>
        <v>.</v>
      </c>
      <c r="WU38" s="406">
        <f>IFERROR(MIN(IFERROR(SEARCH(".",$SQ$7,WS38),99999),IFERROR(SEARCH(",",$SQ$7,WS38),99999),IFERROR(SEARCH(" за период",$SQ$7,WS38),999999),IFERROR(SEARCH(" в размере",$SQ$7,WS38),99999)),"ОШИБКА")</f>
        <v>99999</v>
      </c>
      <c r="WV38" s="406" t="e">
        <f>WU38-WS38</f>
        <v>#VALUE!</v>
      </c>
      <c r="WW38" s="824" t="e">
        <f>MID($SQ$7,WS38,WV38)</f>
        <v>#VALUE!</v>
      </c>
      <c r="WX38" s="825" t="str">
        <f>IFERROR(INDEX($DU:$DU,MATCH(MID($SQ$7,WS38,WV38),$DT:$DT,0),1),"")</f>
        <v/>
      </c>
      <c r="WY38" s="754"/>
      <c r="XC38" s="1476"/>
      <c r="XD38" s="1031" t="s">
        <v>8249</v>
      </c>
      <c r="XE38" s="836">
        <f>IFERROR(MIN(IFERROR(SEARCH(", ",XB$4,XG33)+LEN(", "),99999),IFERROR(SEARCH("и ",XB$4,XG33)+LEN("и "),99999)),"ОШИБКА")</f>
        <v>99999</v>
      </c>
      <c r="XF38" s="306" t="s">
        <v>8431</v>
      </c>
      <c r="XG38" s="306" t="e">
        <f>SEARCH(XF38,XB$4,XE38)</f>
        <v>#VALUE!</v>
      </c>
      <c r="XH38" s="306" t="e">
        <f>XG38-XE38</f>
        <v>#VALUE!</v>
      </c>
      <c r="XI38" s="826" t="e">
        <f>IF(XJ37="Штраф 50%","",MID(XB$4,XE38,XH38))</f>
        <v>#VALUE!</v>
      </c>
      <c r="XJ38" s="828" t="str">
        <f>IF(XF37=" за период",XI38,"")</f>
        <v/>
      </c>
      <c r="XK38" s="754"/>
      <c r="YG38" s="1463">
        <v>6</v>
      </c>
      <c r="YH38" s="824" t="s">
        <v>8433</v>
      </c>
      <c r="YI38" s="838" t="e">
        <f>SEARCH(YD$4,$XU$3,YK31)+LEN(YD$4)</f>
        <v>#VALUE!</v>
      </c>
      <c r="YJ38" s="406" t="str">
        <f>IF(YK38=IFERROR(SEARCH(".",$XU$3,YI38),99999),".",
IF(YK38=IFERROR(SEARCH(",",$XU$3,YI38),99999),",",
IF(YK38=IFERROR(SEARCH(" за период",$XU$3,YI38),999999)," за период",
IF(YK38=IFERROR(SEARCH(" в размере",$XU$3,YI38),99999)," в размере",
))))</f>
        <v>.</v>
      </c>
      <c r="YK38" s="406">
        <f>IFERROR(MIN(IFERROR(SEARCH(".",$XU$3,YI38),99999),IFERROR(SEARCH(",",$XU$3,YI38),99999),IFERROR(SEARCH(" за период",$XU$3,YI38),999999),IFERROR(SEARCH(" в размере",$XU$3,YI38),99999)),"ОШИБКА")</f>
        <v>99999</v>
      </c>
      <c r="YL38" s="406" t="e">
        <f>YK38-YI38</f>
        <v>#VALUE!</v>
      </c>
      <c r="YM38" s="824" t="e">
        <f>MID($XU$3,YI38,YL38)</f>
        <v>#VALUE!</v>
      </c>
      <c r="YN38" s="825" t="str">
        <f>IFERROR(INDEX($DU:$DU,MATCH(MID($XU$3,YI38,YL38),$DT:$DT,0),1),"")</f>
        <v/>
      </c>
      <c r="YO38" s="754"/>
      <c r="YS38" s="1463">
        <v>6</v>
      </c>
      <c r="YT38" s="824" t="s">
        <v>8433</v>
      </c>
      <c r="YU38" s="838" t="e">
        <f>SEARCH(YP$4,$XU$4,YW31)+LEN(YP$4)</f>
        <v>#VALUE!</v>
      </c>
      <c r="YV38" s="406" t="str">
        <f>IF(YW38=IFERROR(SEARCH(".",$XU$4,YU38),99999),".",
IF(YW38=IFERROR(SEARCH(",",$XU$4,YU38),99999),",",
IF(YW38=IFERROR(SEARCH(" за период",$XU$4,YU38),999999)," за период",
IF(YW38=IFERROR(SEARCH(" в размере",$XU$4,YU38),99999)," в размере",
))))</f>
        <v>.</v>
      </c>
      <c r="YW38" s="406">
        <f>IFERROR(MIN(IFERROR(SEARCH(".",$XU$4,YU38),99999),IFERROR(SEARCH(",",$XU$4,YU38),99999),IFERROR(SEARCH(" за период",$XU$4,YU38),999999),IFERROR(SEARCH(" в размере",$XU$4,YU38),99999)),"ОШИБКА")</f>
        <v>99999</v>
      </c>
      <c r="YX38" s="406" t="e">
        <f>YW38-YU38</f>
        <v>#VALUE!</v>
      </c>
      <c r="YY38" s="824" t="e">
        <f>MID($XU$4,YU38,YX38)</f>
        <v>#VALUE!</v>
      </c>
      <c r="YZ38" s="825" t="str">
        <f>IFERROR(INDEX($DU:$DU,MATCH(MID($XU$4,YU38,YX38),$DT:$DT,0),1),"")</f>
        <v/>
      </c>
      <c r="ZA38" s="754"/>
      <c r="ZE38" s="1463">
        <v>6</v>
      </c>
      <c r="ZF38" s="824" t="s">
        <v>8433</v>
      </c>
      <c r="ZG38" s="838" t="e">
        <f>SEARCH(ZB$4,$XU$5,ZI31)+LEN(ZB$4)</f>
        <v>#VALUE!</v>
      </c>
      <c r="ZH38" s="406" t="str">
        <f>IF(ZI38=IFERROR(SEARCH(".",$XU$5,ZG38),99999),".",
IF(ZI38=IFERROR(SEARCH(",",$XU$5,ZG38),99999),",",
IF(ZI38=IFERROR(SEARCH(" за период",$XU$5,ZG38),999999)," за период",
IF(ZI38=IFERROR(SEARCH(" в размере",$XU$5,ZG38),99999)," в размере",
))))</f>
        <v>.</v>
      </c>
      <c r="ZI38" s="406">
        <f>IFERROR(MIN(IFERROR(SEARCH(".",$XU$5,ZG38),99999),IFERROR(SEARCH(",",$XU$5,ZG38),99999),IFERROR(SEARCH(" за период",$XU$5,ZG38),999999),IFERROR(SEARCH(" в размере",$XU$5,ZG38),99999)),"ОШИБКА")</f>
        <v>99999</v>
      </c>
      <c r="ZJ38" s="406" t="e">
        <f>ZI38-ZG38</f>
        <v>#VALUE!</v>
      </c>
      <c r="ZK38" s="824" t="e">
        <f>MID($XU$5,ZG38,ZJ38)</f>
        <v>#VALUE!</v>
      </c>
      <c r="ZL38" s="825" t="str">
        <f>IFERROR(INDEX($DU:$DU,MATCH(MID($XU$5,ZG38,ZJ38),$DT:$DT,0),1),"")</f>
        <v/>
      </c>
      <c r="ZM38" s="754"/>
      <c r="ZQ38" s="1463">
        <v>6</v>
      </c>
      <c r="ZR38" s="824" t="s">
        <v>8433</v>
      </c>
      <c r="ZS38" s="838" t="e">
        <f>SEARCH(ZN$4,$XU$6,ZU31)+LEN(ZN$4)</f>
        <v>#VALUE!</v>
      </c>
      <c r="ZT38" s="406" t="str">
        <f>IF(ZU38=IFERROR(SEARCH(".",$XU$6,ZS38),99999),".",
IF(ZU38=IFERROR(SEARCH(",",$XU$6,ZS38),99999),",",
IF(ZU38=IFERROR(SEARCH(" за период",$XU$6,ZS38),999999)," за период",
IF(ZU38=IFERROR(SEARCH(" в размере",$XU$6,ZS38),99999)," в размере",
))))</f>
        <v>.</v>
      </c>
      <c r="ZU38" s="406">
        <f>IFERROR(MIN(IFERROR(SEARCH(".",$XU$6,ZS38),99999),IFERROR(SEARCH(",",$XU$6,ZS38),99999),IFERROR(SEARCH(" за период",$XU$6,ZS38),999999),IFERROR(SEARCH(" в размере",$XU$6,ZS38),99999)),"ОШИБКА")</f>
        <v>99999</v>
      </c>
      <c r="ZV38" s="406" t="e">
        <f>ZU38-ZS38</f>
        <v>#VALUE!</v>
      </c>
      <c r="ZW38" s="824" t="e">
        <f>MID($XU$6,ZS38,ZV38)</f>
        <v>#VALUE!</v>
      </c>
      <c r="ZX38" s="825" t="str">
        <f>IFERROR(INDEX($DU:$DU,MATCH(MID($XU$6,ZS38,ZV38),$DT:$DT,0),1),"")</f>
        <v/>
      </c>
      <c r="ZY38" s="754"/>
      <c r="AAC38" s="1463">
        <v>6</v>
      </c>
      <c r="AAD38" s="824" t="s">
        <v>8433</v>
      </c>
      <c r="AAE38" s="838" t="e">
        <f>SEARCH(ZZ$4,$XU$7,AAG31)+LEN(ZZ$4)</f>
        <v>#VALUE!</v>
      </c>
      <c r="AAF38" s="406" t="str">
        <f>IF(AAG38=IFERROR(SEARCH(".",$XU$7,AAE38),99999),".",
IF(AAG38=IFERROR(SEARCH(",",$XU$7,AAE38),99999),",",
IF(AAG38=IFERROR(SEARCH(" за период",$XU$7,AAE38),999999)," за период",
IF(AAG38=IFERROR(SEARCH(" в размере",$XU$7,AAE38),99999)," в размере",
))))</f>
        <v>.</v>
      </c>
      <c r="AAG38" s="406">
        <f>IFERROR(MIN(IFERROR(SEARCH(".",$XU$7,AAE38),99999),IFERROR(SEARCH(",",$XU$7,AAE38),99999),IFERROR(SEARCH(" за период",$XU$7,AAE38),999999),IFERROR(SEARCH(" в размере",$XU$7,AAE38),99999)),"ОШИБКА")</f>
        <v>99999</v>
      </c>
      <c r="AAH38" s="406" t="e">
        <f>AAG38-AAE38</f>
        <v>#VALUE!</v>
      </c>
      <c r="AAI38" s="824" t="e">
        <f>MID($XU$7,AAE38,AAH38)</f>
        <v>#VALUE!</v>
      </c>
      <c r="AAJ38" s="825" t="str">
        <f>IFERROR(INDEX($DU:$DU,MATCH(MID($XU$7,AAE38,AAH38),$DT:$DT,0),1),"")</f>
        <v/>
      </c>
      <c r="AAK38" s="754"/>
      <c r="AAL38" s="754"/>
      <c r="AAM38" s="754"/>
      <c r="AAV38" t="str">
        <f t="shared" si="141"/>
        <v>$$$$</v>
      </c>
      <c r="AAW38" s="947" t="e">
        <f t="shared" si="150"/>
        <v>#VALUE!</v>
      </c>
      <c r="AAX38" s="5"/>
      <c r="AAY38" s="5"/>
      <c r="ABA38" s="1487"/>
      <c r="ADG38" s="1075"/>
      <c r="ADQ38" s="1075"/>
      <c r="AEJ38" s="961"/>
      <c r="AEK38" s="961"/>
      <c r="AEL38" s="961"/>
      <c r="AEX38" s="1070"/>
      <c r="AFA38" s="1070"/>
      <c r="AFE38" s="1463">
        <v>6</v>
      </c>
      <c r="AFF38" s="824" t="s">
        <v>8433</v>
      </c>
      <c r="AFG38" s="838" t="e">
        <f>SEARCH(AFB$4,AFD$4,AFI31)+LEN(AFB$4)</f>
        <v>#VALUE!</v>
      </c>
      <c r="AFH38" s="406" t="str">
        <f>IF(AFI38=IFERROR(SEARCH(".",AFD$4,AFG38),99999),".",
IF(AFI38=IFERROR(SEARCH(",",AFD$4,AFG38),99999),",",
IF(AFI38=IFERROR(SEARCH(" за период",AFD$4,AFG38),999999)," за период",
IF(AFI38=IFERROR(SEARCH(" в размере",AFD$4,AFG38),99999)," в размере",
))))</f>
        <v>.</v>
      </c>
      <c r="AFI38" s="406">
        <f>IFERROR(MIN(IFERROR(SEARCH(".",AFD$4,AFG38),99999),IFERROR(SEARCH(",",AFD$4,AFG38),99999),IFERROR(SEARCH(" за период",AFD$4,AFG38),999999),IFERROR(SEARCH(" в размере",AFD$4,AFG38),99999)),"ОШИБКА")</f>
        <v>99999</v>
      </c>
      <c r="AFJ38" s="406" t="e">
        <f>AFI38-AFG38</f>
        <v>#VALUE!</v>
      </c>
      <c r="AFK38" s="824" t="e">
        <f>MID(AFD$4,AFG38,AFJ38)</f>
        <v>#VALUE!</v>
      </c>
      <c r="AFL38" s="825" t="str">
        <f>IFERROR(INDEX($DU:$DU,MATCH(MID(AFD$4,AFG38,AFJ38),$DT:$DT,0),1),"")</f>
        <v/>
      </c>
      <c r="AFM38" s="754"/>
      <c r="AFQ38" s="1463">
        <v>6</v>
      </c>
      <c r="AFR38" s="824" t="s">
        <v>8433</v>
      </c>
      <c r="AFS38" s="838" t="e">
        <f>SEARCH(AFN$4,AFP$4,AFU31)+LEN(AFN$4)</f>
        <v>#VALUE!</v>
      </c>
      <c r="AFT38" s="406" t="str">
        <f>IF(AFU38=IFERROR(SEARCH(".",AFP$4,AFS38),99999),".",
IF(AFU38=IFERROR(SEARCH(",",AFP$4,AFS38),99999),",",
IF(AFU38=IFERROR(SEARCH(" за период",AFP$4,AFS38),999999)," за период",
IF(AFU38=IFERROR(SEARCH(" в размере",AFP$4,AFS38),99999)," в размере",
))))</f>
        <v>.</v>
      </c>
      <c r="AFU38" s="406">
        <f>IFERROR(MIN(IFERROR(SEARCH(".",AFP$4,AFS38),99999),IFERROR(SEARCH(",",AFP$4,AFS38),99999),IFERROR(SEARCH(" за период",AFP$4,AFS38),999999),IFERROR(SEARCH(" в размере",AFP$4,AFS38),99999)),"ОШИБКА")</f>
        <v>99999</v>
      </c>
      <c r="AFV38" s="406" t="e">
        <f>AFU38-AFS38</f>
        <v>#VALUE!</v>
      </c>
      <c r="AFW38" s="824" t="e">
        <f>MID(AFP$4,AFS38,AFV38)</f>
        <v>#VALUE!</v>
      </c>
      <c r="AFX38" s="825" t="str">
        <f>IFERROR(INDEX($DU:$DU,MATCH(MID(AFP$4,AFS38,AFV38),$DT:$DT,0),1),"")</f>
        <v/>
      </c>
      <c r="AFY38" s="754"/>
      <c r="AGC38" s="1463">
        <v>6</v>
      </c>
      <c r="AGD38" s="824" t="s">
        <v>8433</v>
      </c>
      <c r="AGE38" s="838" t="e">
        <f>SEARCH(AFZ$4,AGB$4,AGG31)+LEN(AFZ$4)</f>
        <v>#VALUE!</v>
      </c>
      <c r="AGF38" s="406" t="str">
        <f>IF(AGG38=IFERROR(SEARCH(".",AGB$4,AGE38),99999),".",
IF(AGG38=IFERROR(SEARCH(",",AGB$4,AGE38),99999),",",
IF(AGG38=IFERROR(SEARCH(" за период",AGB$4,AGE38),999999)," за период",
IF(AGG38=IFERROR(SEARCH(" в размере",AGB$4,AGE38),99999)," в размере",
))))</f>
        <v>.</v>
      </c>
      <c r="AGG38" s="406">
        <f>IFERROR(MIN(IFERROR(SEARCH(".",AGB$4,AGE38),99999),IFERROR(SEARCH(",",AGB$4,AGE38),99999),IFERROR(SEARCH(" за период",AGB$4,AGE38),999999),IFERROR(SEARCH(" в размере",AGB$4,AGE38),99999)),"ОШИБКА")</f>
        <v>99999</v>
      </c>
      <c r="AGH38" s="406" t="e">
        <f>AGG38-AGE38</f>
        <v>#VALUE!</v>
      </c>
      <c r="AGI38" s="824" t="e">
        <f>MID(AGB$4,AGE38,AGH38)</f>
        <v>#VALUE!</v>
      </c>
      <c r="AGJ38" s="825" t="str">
        <f>IFERROR(INDEX($DU:$DU,MATCH(MID(AGB$4,AGE38,AGH38),$DT:$DT,0),1),"")</f>
        <v/>
      </c>
      <c r="AGK38" s="754"/>
      <c r="AGO38" s="1463">
        <v>6</v>
      </c>
      <c r="AGP38" s="824" t="s">
        <v>8433</v>
      </c>
      <c r="AGQ38" s="838" t="e">
        <f>SEARCH(AGL$4,AGN$4,AGS31)+LEN(AGL$4)</f>
        <v>#VALUE!</v>
      </c>
      <c r="AGR38" s="406" t="str">
        <f>IF(AGS38=IFERROR(SEARCH(".",AGN$4,AGQ38),99999),".",
IF(AGS38=IFERROR(SEARCH(",",AGN$4,AGQ38),99999),",",
IF(AGS38=IFERROR(SEARCH(" за период",AGN$4,AGQ38),999999)," за период",
IF(AGS38=IFERROR(SEARCH(" в размере",AGN$4,AGQ38),99999)," в размере",
))))</f>
        <v>.</v>
      </c>
      <c r="AGS38" s="406">
        <f>IFERROR(MIN(IFERROR(SEARCH(".",AGN$4,AGQ38),99999),IFERROR(SEARCH(",",AGN$4,AGQ38),99999),IFERROR(SEARCH(" за период",AGN$4,AGQ38),999999),IFERROR(SEARCH(" в размере",AGN$4,AGQ38),99999)),"ОШИБКА")</f>
        <v>99999</v>
      </c>
      <c r="AGT38" s="406" t="e">
        <f>AGS38-AGQ38</f>
        <v>#VALUE!</v>
      </c>
      <c r="AGU38" s="824" t="e">
        <f>MID(AGN$4,AGQ38,AGT38)</f>
        <v>#VALUE!</v>
      </c>
      <c r="AGV38" s="825" t="str">
        <f>IFERROR(INDEX($DU:$DU,MATCH(MID(AGN$4,AGQ38,AGT38),$DT:$DT,0),1),"")</f>
        <v/>
      </c>
      <c r="AGW38" s="754"/>
      <c r="AHA38" s="1463">
        <v>6</v>
      </c>
      <c r="AHB38" s="824" t="s">
        <v>8433</v>
      </c>
      <c r="AHC38" s="838" t="e">
        <f>SEARCH(AGX$4,AGZ$4,AHE31)+LEN(AGX$4)</f>
        <v>#VALUE!</v>
      </c>
      <c r="AHD38" s="406" t="str">
        <f>IF(AHE38=IFERROR(SEARCH(".",AGZ$4,AHC38),99999),".",
IF(AHE38=IFERROR(SEARCH(",",AGZ$4,AHC38),99999),",",
IF(AHE38=IFERROR(SEARCH(" за период",AGZ$4,AHC38),999999)," за период",
IF(AHE38=IFERROR(SEARCH(" в размере",AGZ$4,AHC38),99999)," в размере",
))))</f>
        <v>.</v>
      </c>
      <c r="AHE38" s="406">
        <f>IFERROR(MIN(IFERROR(SEARCH(".",AGZ$4,AHC38),99999),IFERROR(SEARCH(",",AGZ$4,AHC38),99999),IFERROR(SEARCH(" за период",AGZ$4,AHC38),999999),IFERROR(SEARCH(" в размере",AGZ$4,AHC38),99999)),"ОШИБКА")</f>
        <v>99999</v>
      </c>
      <c r="AHF38" s="406" t="e">
        <f>AHE38-AHC38</f>
        <v>#VALUE!</v>
      </c>
      <c r="AHG38" s="824" t="e">
        <f>MID(AGZ$4,AHC38,AHF38)</f>
        <v>#VALUE!</v>
      </c>
      <c r="AHH38" s="825" t="str">
        <f>IFERROR(INDEX($DU:$DU,MATCH(MID(AGZ$4,AHC38,AHF38),$DT:$DT,0),1),"")</f>
        <v/>
      </c>
      <c r="AHI38" s="754"/>
    </row>
    <row r="39" spans="1:893" ht="14.4" customHeight="1" x14ac:dyDescent="0.3">
      <c r="A39" s="116"/>
      <c r="B39" s="116"/>
      <c r="C39" s="116"/>
      <c r="D39" s="116"/>
      <c r="E39" s="116"/>
      <c r="F39" s="116"/>
      <c r="G39" s="116"/>
      <c r="H39" s="116"/>
      <c r="I39" s="116"/>
      <c r="J39" s="116"/>
      <c r="K39" s="116"/>
      <c r="L39" s="116"/>
      <c r="M39" s="116"/>
      <c r="N39" s="116"/>
      <c r="O39" s="116"/>
      <c r="P39" s="116"/>
      <c r="Q39" s="116"/>
      <c r="R39" s="116"/>
      <c r="S39" s="116"/>
      <c r="T39" s="116"/>
      <c r="U39" s="116"/>
      <c r="V39" s="116"/>
      <c r="W39" s="116"/>
      <c r="X39" s="116"/>
      <c r="Y39" s="116"/>
      <c r="Z39" s="116"/>
      <c r="AA39" s="116"/>
      <c r="AB39" s="116"/>
      <c r="AC39" s="116"/>
      <c r="AD39" s="116"/>
      <c r="AE39" s="116"/>
      <c r="AF39" s="116"/>
      <c r="AG39" s="116"/>
      <c r="AH39" s="116"/>
      <c r="AI39" s="116"/>
      <c r="AJ39" s="116"/>
      <c r="AK39" s="116"/>
      <c r="AL39" s="116"/>
      <c r="AM39" s="116"/>
      <c r="AN39" s="116"/>
      <c r="AO39" s="116"/>
      <c r="AP39" s="116"/>
      <c r="AQ39" s="116"/>
      <c r="AR39" s="116"/>
      <c r="AS39" s="116"/>
      <c r="AT39" s="116"/>
      <c r="AU39" s="116"/>
      <c r="AV39" s="116"/>
      <c r="AW39" s="116"/>
      <c r="AX39" s="116"/>
      <c r="AY39" s="116"/>
      <c r="AZ39" s="116"/>
      <c r="BA39" s="116"/>
      <c r="BB39" s="116"/>
      <c r="BC39" s="116"/>
      <c r="BD39" s="116"/>
      <c r="BE39" s="116"/>
      <c r="BF39" s="116"/>
      <c r="BG39" s="116"/>
      <c r="BH39" s="116"/>
      <c r="BI39" s="116"/>
      <c r="BJ39" s="116"/>
      <c r="BK39" s="116"/>
      <c r="BL39" s="116"/>
      <c r="BM39" s="116"/>
      <c r="BN39" s="116"/>
      <c r="BO39" s="116"/>
      <c r="BP39" s="116"/>
      <c r="BQ39" s="116"/>
      <c r="BR39" s="116"/>
      <c r="BS39" s="116"/>
      <c r="BT39" s="116"/>
      <c r="BU39" s="116"/>
      <c r="BV39" s="116"/>
      <c r="BW39" s="116"/>
      <c r="BX39" s="116"/>
      <c r="BY39" s="116"/>
      <c r="BZ39" s="116"/>
      <c r="CA39" s="116"/>
      <c r="CB39" s="116"/>
      <c r="CC39" s="116"/>
      <c r="CD39" s="116"/>
      <c r="CE39" s="116"/>
      <c r="CF39" s="116"/>
      <c r="CG39" s="116"/>
      <c r="CH39" s="116"/>
      <c r="CI39" s="116"/>
      <c r="CJ39" s="116"/>
      <c r="CK39" s="116"/>
      <c r="CL39" s="116"/>
      <c r="CM39" s="116"/>
      <c r="CN39" s="116"/>
      <c r="CO39" s="116"/>
      <c r="CP39" s="116"/>
      <c r="CQ39" s="116"/>
      <c r="CR39" s="116"/>
      <c r="CS39" s="116"/>
      <c r="CT39" s="116"/>
      <c r="CU39" s="116"/>
      <c r="CV39" s="116"/>
      <c r="CW39" s="116"/>
      <c r="CX39" s="116"/>
      <c r="CY39" s="116"/>
      <c r="CZ39" s="116"/>
      <c r="DA39" s="116"/>
      <c r="DB39" s="116"/>
      <c r="DC39" s="116"/>
      <c r="DD39" s="116"/>
      <c r="DE39" s="116"/>
      <c r="DF39" s="116"/>
      <c r="DG39" s="116"/>
      <c r="DH39" s="116"/>
      <c r="DI39" s="116"/>
      <c r="DJ39" s="116"/>
      <c r="DK39" s="116"/>
      <c r="DL39" s="116"/>
      <c r="DM39" s="116"/>
      <c r="DN39" s="116"/>
      <c r="DO39" s="116"/>
      <c r="DP39" s="116"/>
      <c r="DQ39" s="116"/>
      <c r="DT39" t="s">
        <v>8501</v>
      </c>
      <c r="DU39" s="884" t="s">
        <v>8502</v>
      </c>
      <c r="DV39" s="1464"/>
      <c r="DW39" s="826" t="s">
        <v>8435</v>
      </c>
      <c r="DX39" s="836" t="str">
        <f>IF(DY38=" за период",SEARCH(" за период",$C$3,DZ38)+LEN(" за период")+3,"НЕТ")</f>
        <v>НЕТ</v>
      </c>
      <c r="DY39" s="306" t="s">
        <v>8434</v>
      </c>
      <c r="DZ39" s="306" t="e">
        <f>SEARCH(DY39,$C$3,DX39)</f>
        <v>#VALUE!</v>
      </c>
      <c r="EA39" s="306" t="e">
        <f>DZ39-DX39</f>
        <v>#VALUE!</v>
      </c>
      <c r="EB39" s="827" t="e">
        <f>DATEVALUE(MID($C$3,DX39,EA39))</f>
        <v>#VALUE!</v>
      </c>
      <c r="EC39" s="828" t="str">
        <f>IF(DY38=" за период",EB39,"")</f>
        <v/>
      </c>
      <c r="NK39" s="1464"/>
      <c r="NL39" s="826" t="s">
        <v>8435</v>
      </c>
      <c r="NM39" s="836" t="str">
        <f>IF(NN38=" за период",SEARCH(" за период",NJ$4,NO38)+LEN(" за период")+3,"НЕТ")</f>
        <v>НЕТ</v>
      </c>
      <c r="NN39" s="306" t="s">
        <v>8434</v>
      </c>
      <c r="NO39" s="306" t="e">
        <f>SEARCH(NN39,NJ$4,NM39)</f>
        <v>#VALUE!</v>
      </c>
      <c r="NP39" s="306" t="e">
        <f>NO39-NM39</f>
        <v>#VALUE!</v>
      </c>
      <c r="NQ39" s="827" t="e">
        <f>DATEVALUE(MID(NJ$4,NM39,NP39))</f>
        <v>#VALUE!</v>
      </c>
      <c r="NR39" s="828" t="str">
        <f>IF(NN38=" за период",NQ39,"")</f>
        <v/>
      </c>
      <c r="OC39" s="1472">
        <v>4</v>
      </c>
      <c r="OD39" s="946" t="str">
        <f t="shared" si="131"/>
        <v xml:space="preserve">осмотр </v>
      </c>
      <c r="OE39" s="947" t="e">
        <f t="shared" ref="OE39:OE50" si="151">SEARCH(OD39,$E$4,OJ$27)</f>
        <v>#VALUE!</v>
      </c>
      <c r="OF39" s="947">
        <f>MIN(IFERROR(OE39,99999),IFERROR(OE40,99999),IFERROR(OE41,99999),IFERROR(OE42,99999),IFERROR(OE43,99999),IFERROR(OE44,99999),IFERROR(OE45,99999),IFERROR(OE46,99999),IFERROR(OE47,99999),IFERROR(OE48,99999),IFERROR(OE49,99999),IFERROR(OE50,99999))</f>
        <v>99999</v>
      </c>
      <c r="OG39" s="870" t="str">
        <f>CHAR(10)</f>
        <v xml:space="preserve">
</v>
      </c>
      <c r="OH39" s="334">
        <f>LEN(MID($E$4,1,OF39))-LEN(IF(ISERROR(FIND(" ",MID($E$4,1,OF39))),MID($E$4,1,OF39),RIGHT(MID($E$4,1,OF39),LEN(MID($E$4,1,OF39))-FIND("~",SUBSTITUTE(MID($E$4,1,OF39),OG39,"~",LEN(MID($E$4,1,OF39))-LEN(SUBSTITUTE(MID($E$4,1,OF39),OG39,"")))))))+1</f>
        <v>5367</v>
      </c>
      <c r="OI39" s="870" t="str">
        <f>CHAR(10)</f>
        <v xml:space="preserve">
</v>
      </c>
      <c r="OJ39" s="947" t="e">
        <f>SEARCH(OI39,$E$4,OH39)</f>
        <v>#VALUE!</v>
      </c>
      <c r="OK39" s="854" t="e">
        <f>OJ39-OH39</f>
        <v>#VALUE!</v>
      </c>
      <c r="OL39" s="1474" t="e">
        <f>CLEAN(MID($E$4,OH39,OK39))</f>
        <v>#VALUE!</v>
      </c>
      <c r="OY39" s="116"/>
      <c r="OZ39" s="959"/>
      <c r="PA39" s="1210"/>
      <c r="PB39" s="959"/>
      <c r="PC39" s="116"/>
      <c r="PD39" s="1000"/>
      <c r="PF39" s="1209"/>
      <c r="PG39" s="1208"/>
      <c r="PH39" s="1209"/>
      <c r="PJ39" s="1073"/>
      <c r="PK39" s="99"/>
      <c r="PL39" s="920"/>
      <c r="PM39" s="995"/>
      <c r="PN39" s="920"/>
      <c r="PO39" s="99"/>
      <c r="PP39" s="871"/>
      <c r="PQ39" t="str">
        <f t="shared" si="133"/>
        <v xml:space="preserve">без учета износа составила </v>
      </c>
      <c r="PR39" s="937" t="e">
        <f t="shared" ref="PR39:PR50" si="152">SEARCH(PQ39,$OX$6)</f>
        <v>#VALUE!</v>
      </c>
      <c r="PS39" s="859" t="str">
        <f>IF(ISERROR(PR39),
IF(ISERROR(PR40),
IF(ISERROR(PR41),
IF(ISERROR(PR42),
"ОШИБКА",
PQ42),
PQ41),
PQ40),
PQ39)</f>
        <v>ОШИБКА</v>
      </c>
      <c r="PT39" s="937" t="e">
        <f>SEARCH(PS39,$OX$6)+LEN(PS39)</f>
        <v>#VALUE!</v>
      </c>
      <c r="PU39" s="935" t="s">
        <v>8431</v>
      </c>
      <c r="PV39" s="937" t="e">
        <f>SEARCH(PU39,$OX$6,PT39)</f>
        <v>#VALUE!</v>
      </c>
      <c r="PW39" s="264" t="e">
        <f>PV39-PT39</f>
        <v>#VALUE!</v>
      </c>
      <c r="PX39" t="e">
        <f>MID($OX$6,PT39,PW39)</f>
        <v>#VALUE!</v>
      </c>
      <c r="PY39" s="1470" t="e">
        <f>VALUE(CONCATENATE(PX39,",",PX40))</f>
        <v>#VALUE!</v>
      </c>
      <c r="PZ39" t="str">
        <f t="shared" si="135"/>
        <v xml:space="preserve">с учетом износа составила </v>
      </c>
      <c r="QA39" s="937" t="e">
        <f t="shared" ref="QA39:QA50" si="153">SEARCH(PZ39,$OX$6)</f>
        <v>#VALUE!</v>
      </c>
      <c r="QB39" s="859" t="str">
        <f>IF(ISERROR(QA39),
IF(ISERROR(QA40),
IF(ISERROR(QA41),
IF(ISERROR(QA42),
"ОШИБКА",
PZ42),
PZ41),
PZ40),
PZ39)</f>
        <v>ОШИБКА</v>
      </c>
      <c r="QC39" s="937" t="e">
        <f>SEARCH(QB39,$OX$6)+LEN(QB39)</f>
        <v>#VALUE!</v>
      </c>
      <c r="QD39" s="935" t="s">
        <v>8431</v>
      </c>
      <c r="QE39" s="937" t="e">
        <f>SEARCH(QD39,$OX$6,QC39)</f>
        <v>#VALUE!</v>
      </c>
      <c r="QF39" s="264" t="e">
        <f>QE39-QC39</f>
        <v>#VALUE!</v>
      </c>
      <c r="QG39" t="e">
        <f>MID($OX$6,QC39,QF39)</f>
        <v>#VALUE!</v>
      </c>
      <c r="QH39" s="1470" t="e">
        <f>VALUE(CONCATENATE(QG39,",",QG40))</f>
        <v>#VALUE!</v>
      </c>
      <c r="QI39" t="str">
        <f t="shared" si="137"/>
        <v xml:space="preserve">средняя рыночная стоимость Транспортного средства до повреждения по состоянию на дату ДТП составляла </v>
      </c>
      <c r="QJ39" s="937" t="e">
        <f t="shared" ref="QJ39:QJ50" si="154">SEARCH(QI39,$OX$6)</f>
        <v>#VALUE!</v>
      </c>
      <c r="QK39" s="859" t="str">
        <f>IF(ISERROR(QJ39),
IF(ISERROR(QJ40),
IF(ISERROR(QJ41),
IF(ISERROR(QJ42),
"ОШИБКА",
QI42),
QI41),
QI40),
QI39)</f>
        <v>ОШИБКА</v>
      </c>
      <c r="QL39" s="937" t="e">
        <f>SEARCH(QK39,$OX$6)+LEN(QK39)</f>
        <v>#VALUE!</v>
      </c>
      <c r="QM39" s="935" t="s">
        <v>8431</v>
      </c>
      <c r="QN39" s="937" t="e">
        <f>SEARCH(QM39,$OX$6,QL39)</f>
        <v>#VALUE!</v>
      </c>
      <c r="QO39" s="264" t="e">
        <f>QN39-QL39</f>
        <v>#VALUE!</v>
      </c>
      <c r="QP39" t="e">
        <f>MID($OX$6,QL39,QO39)</f>
        <v>#VALUE!</v>
      </c>
      <c r="QQ39" s="1470" t="e">
        <f>VALUE(CONCATENATE(QP39,",",QP40))</f>
        <v>#VALUE!</v>
      </c>
      <c r="QR39" t="str">
        <f t="shared" si="139"/>
        <v xml:space="preserve">стоимость годных остатков поврежденного Транспортного средства составила </v>
      </c>
      <c r="QS39" s="937" t="e">
        <f t="shared" ref="QS39:QS50" si="155">SEARCH(QR39,$OX$6)</f>
        <v>#VALUE!</v>
      </c>
      <c r="QT39" s="859" t="str">
        <f>IF(ISERROR(QS39),
IF(ISERROR(QS40),
IF(ISERROR(QS41),
IF(ISERROR(QS42),
"ОШИБКА",
QR42),
QR41),
QR40),
QR39)</f>
        <v>ОШИБКА</v>
      </c>
      <c r="QU39" s="937" t="e">
        <f>SEARCH(QT39,$OX$6)+LEN(QT39)</f>
        <v>#VALUE!</v>
      </c>
      <c r="QV39" s="935" t="s">
        <v>8431</v>
      </c>
      <c r="QW39" s="937" t="e">
        <f>SEARCH(QV39,$OX$6,QU39)</f>
        <v>#VALUE!</v>
      </c>
      <c r="QX39" s="264" t="e">
        <f>QW39-QU39</f>
        <v>#VALUE!</v>
      </c>
      <c r="QY39" t="e">
        <f>MID($OX$6,QU39,QX39)</f>
        <v>#VALUE!</v>
      </c>
      <c r="QZ39" s="1470" t="e">
        <f>VALUE(CONCATENATE(QY39,",",QY40))</f>
        <v>#VALUE!</v>
      </c>
      <c r="SY39" s="1464"/>
      <c r="SZ39" s="826" t="s">
        <v>8435</v>
      </c>
      <c r="TA39" s="836" t="str">
        <f>IF(TB38=" за период",SEARCH(" за период",$SQ$3,TC38)+LEN(" за период")+3,"НЕТ")</f>
        <v>НЕТ</v>
      </c>
      <c r="TB39" s="306" t="s">
        <v>8434</v>
      </c>
      <c r="TC39" s="306" t="e">
        <f>SEARCH(TB39,$SQ$3,TA39)</f>
        <v>#VALUE!</v>
      </c>
      <c r="TD39" s="306" t="e">
        <f>TC39-TA39</f>
        <v>#VALUE!</v>
      </c>
      <c r="TE39" s="827" t="e">
        <f>DATEVALUE(MID($SQ$3,TA39,TD39))</f>
        <v>#VALUE!</v>
      </c>
      <c r="TF39" s="828" t="str">
        <f>IF(TB38=" за период",TE39,"")</f>
        <v/>
      </c>
      <c r="TK39" s="1476"/>
      <c r="TL39" s="592"/>
      <c r="TM39" s="836" t="e">
        <f>SEARCH(" ",TJ$4,TO38+1)+1</f>
        <v>#VALUE!</v>
      </c>
      <c r="TN39" s="306" t="s">
        <v>8432</v>
      </c>
      <c r="TO39" s="306" t="e">
        <f>SEARCH(TN39,TJ$4,TM39)</f>
        <v>#VALUE!</v>
      </c>
      <c r="TP39" s="306" t="e">
        <f>TO39-TM39</f>
        <v>#VALUE!</v>
      </c>
      <c r="TQ39" s="826" t="e">
        <f>IF(TR37="Штраф 50%","",MID(TJ$4,TM39,TP39))</f>
        <v>#VALUE!</v>
      </c>
      <c r="TR39" s="828" t="str">
        <f>IF(TN37=" за период",TQ39,"")</f>
        <v/>
      </c>
      <c r="TW39" s="1464"/>
      <c r="TX39" s="826" t="s">
        <v>8435</v>
      </c>
      <c r="TY39" s="836" t="str">
        <f>IF(TZ38=" за период",SEARCH(" за период",$SQ$4,UA38)+LEN(" за период")+3,"НЕТ")</f>
        <v>НЕТ</v>
      </c>
      <c r="TZ39" s="306" t="s">
        <v>8434</v>
      </c>
      <c r="UA39" s="306" t="e">
        <f>SEARCH(TZ39,$SQ$4,TY39)</f>
        <v>#VALUE!</v>
      </c>
      <c r="UB39" s="306" t="e">
        <f>UA39-TY39</f>
        <v>#VALUE!</v>
      </c>
      <c r="UC39" s="827" t="e">
        <f>DATEVALUE(MID($SQ$4,TY39,UB39))</f>
        <v>#VALUE!</v>
      </c>
      <c r="UD39" s="828" t="str">
        <f>IF(TZ38=" за период",UC39,"")</f>
        <v/>
      </c>
      <c r="UI39" s="1476"/>
      <c r="UJ39" s="592"/>
      <c r="UK39" s="836" t="e">
        <f>SEARCH(" ",UH$4,UM38+1)+1</f>
        <v>#VALUE!</v>
      </c>
      <c r="UL39" s="306" t="s">
        <v>8432</v>
      </c>
      <c r="UM39" s="306" t="e">
        <f>SEARCH(UL39,UH$4,UK39)</f>
        <v>#VALUE!</v>
      </c>
      <c r="UN39" s="306" t="e">
        <f>UM39-UK39</f>
        <v>#VALUE!</v>
      </c>
      <c r="UO39" s="826" t="e">
        <f>IF(UP37="Штраф 50%","",MID(UH$4,UK39,UN39))</f>
        <v>#VALUE!</v>
      </c>
      <c r="UP39" s="828" t="str">
        <f>IF(UL37=" за период",UO39,"")</f>
        <v/>
      </c>
      <c r="UU39" s="1464"/>
      <c r="UV39" s="826" t="s">
        <v>8435</v>
      </c>
      <c r="UW39" s="836" t="str">
        <f>IF(UX38=" за период",SEARCH(" за период",$SQ$5,UY38)+LEN(" за период")+3,"НЕТ")</f>
        <v>НЕТ</v>
      </c>
      <c r="UX39" s="306" t="s">
        <v>8434</v>
      </c>
      <c r="UY39" s="306" t="e">
        <f>SEARCH(UX39,$SQ$5,UW39)</f>
        <v>#VALUE!</v>
      </c>
      <c r="UZ39" s="306" t="e">
        <f>UY39-UW39</f>
        <v>#VALUE!</v>
      </c>
      <c r="VA39" s="827" t="e">
        <f>DATEVALUE(MID($SQ$5,UW39,UZ39))</f>
        <v>#VALUE!</v>
      </c>
      <c r="VB39" s="828" t="str">
        <f>IF(UX38=" за период",VA39,"")</f>
        <v/>
      </c>
      <c r="VG39" s="1476"/>
      <c r="VH39" s="592"/>
      <c r="VI39" s="836" t="e">
        <f>SEARCH(" ",VF$4,VK38+1)+1</f>
        <v>#VALUE!</v>
      </c>
      <c r="VJ39" s="306" t="s">
        <v>8432</v>
      </c>
      <c r="VK39" s="306" t="e">
        <f>SEARCH(VJ39,VF$4,VI39)</f>
        <v>#VALUE!</v>
      </c>
      <c r="VL39" s="306" t="e">
        <f>VK39-VI39</f>
        <v>#VALUE!</v>
      </c>
      <c r="VM39" s="826" t="e">
        <f>IF(VN37="Штраф 50%","",MID(VF$4,VI39,VL39))</f>
        <v>#VALUE!</v>
      </c>
      <c r="VN39" s="828" t="str">
        <f>IF(VJ37=" за период",VM39,"")</f>
        <v/>
      </c>
      <c r="VS39" s="1464"/>
      <c r="VT39" s="826" t="s">
        <v>8435</v>
      </c>
      <c r="VU39" s="836" t="str">
        <f>IF(VV38=" за период",SEARCH(" за период",$SQ$6,VW38)+LEN(" за период")+3,"НЕТ")</f>
        <v>НЕТ</v>
      </c>
      <c r="VV39" s="306" t="s">
        <v>8434</v>
      </c>
      <c r="VW39" s="306" t="e">
        <f>SEARCH(VV39,$SQ$6,VU39)</f>
        <v>#VALUE!</v>
      </c>
      <c r="VX39" s="306" t="e">
        <f>VW39-VU39</f>
        <v>#VALUE!</v>
      </c>
      <c r="VY39" s="827" t="e">
        <f>DATEVALUE(MID($SQ$6,VU39,VX39))</f>
        <v>#VALUE!</v>
      </c>
      <c r="VZ39" s="828" t="str">
        <f>IF(VV38=" за период",VY39,"")</f>
        <v/>
      </c>
      <c r="WE39" s="1476"/>
      <c r="WF39" s="592"/>
      <c r="WG39" s="836" t="e">
        <f>SEARCH(" ",WD$4,WI38+1)+1</f>
        <v>#VALUE!</v>
      </c>
      <c r="WH39" s="306" t="s">
        <v>8432</v>
      </c>
      <c r="WI39" s="306" t="e">
        <f>SEARCH(WH39,WD$4,WG39)</f>
        <v>#VALUE!</v>
      </c>
      <c r="WJ39" s="306" t="e">
        <f>WI39-WG39</f>
        <v>#VALUE!</v>
      </c>
      <c r="WK39" s="826" t="e">
        <f>IF(WL37="Штраф 50%","",MID(WD$4,WG39,WJ39))</f>
        <v>#VALUE!</v>
      </c>
      <c r="WL39" s="828" t="str">
        <f>IF(WH37=" за период",WK39,"")</f>
        <v/>
      </c>
      <c r="WQ39" s="1464"/>
      <c r="WR39" s="826" t="s">
        <v>8435</v>
      </c>
      <c r="WS39" s="836" t="str">
        <f>IF(WT38=" за период",SEARCH(" за период",$SQ$7,WU38)+LEN(" за период")+3,"НЕТ")</f>
        <v>НЕТ</v>
      </c>
      <c r="WT39" s="306" t="s">
        <v>8434</v>
      </c>
      <c r="WU39" s="306" t="e">
        <f>SEARCH(WT39,$SQ$7,WS39)</f>
        <v>#VALUE!</v>
      </c>
      <c r="WV39" s="306" t="e">
        <f>WU39-WS39</f>
        <v>#VALUE!</v>
      </c>
      <c r="WW39" s="827" t="e">
        <f>DATEVALUE(MID($SQ$7,WS39,WV39))</f>
        <v>#VALUE!</v>
      </c>
      <c r="WX39" s="828" t="str">
        <f>IF(WT38=" за период",WW39,"")</f>
        <v/>
      </c>
      <c r="XC39" s="1476"/>
      <c r="XD39" s="592"/>
      <c r="XE39" s="836" t="e">
        <f>SEARCH(" ",XB$4,XG38+1)+1</f>
        <v>#VALUE!</v>
      </c>
      <c r="XF39" s="306" t="s">
        <v>8432</v>
      </c>
      <c r="XG39" s="306" t="e">
        <f>SEARCH(XF39,XB$4,XE39)</f>
        <v>#VALUE!</v>
      </c>
      <c r="XH39" s="306" t="e">
        <f>XG39-XE39</f>
        <v>#VALUE!</v>
      </c>
      <c r="XI39" s="826" t="e">
        <f>IF(XJ37="Штраф 50%","",MID(XB$4,XE39,XH39))</f>
        <v>#VALUE!</v>
      </c>
      <c r="XJ39" s="828" t="str">
        <f>IF(XF37=" за период",XI39,"")</f>
        <v/>
      </c>
      <c r="YG39" s="1464"/>
      <c r="YH39" s="826" t="s">
        <v>8435</v>
      </c>
      <c r="YI39" s="836" t="str">
        <f>IF(YJ38=" за период",SEARCH(" за период",$XU$3,YK38)+LEN(" за период")+3,"НЕТ")</f>
        <v>НЕТ</v>
      </c>
      <c r="YJ39" s="306" t="s">
        <v>8434</v>
      </c>
      <c r="YK39" s="306" t="e">
        <f>SEARCH(YJ39,$XU$3,YI39)</f>
        <v>#VALUE!</v>
      </c>
      <c r="YL39" s="306" t="e">
        <f>YK39-YI39</f>
        <v>#VALUE!</v>
      </c>
      <c r="YM39" s="827" t="e">
        <f>DATEVALUE(MID($XU$3,YI39,YL39))</f>
        <v>#VALUE!</v>
      </c>
      <c r="YN39" s="828" t="str">
        <f>IF(YJ38=" за период",YM39,"")</f>
        <v/>
      </c>
      <c r="YS39" s="1464"/>
      <c r="YT39" s="826" t="s">
        <v>8435</v>
      </c>
      <c r="YU39" s="836" t="str">
        <f>IF(YV38=" за период",SEARCH(" за период",$XU$4,YW38)+LEN(" за период")+3,"НЕТ")</f>
        <v>НЕТ</v>
      </c>
      <c r="YV39" s="306" t="s">
        <v>8434</v>
      </c>
      <c r="YW39" s="306" t="e">
        <f>SEARCH(YV39,$XU$4,YU39)</f>
        <v>#VALUE!</v>
      </c>
      <c r="YX39" s="306" t="e">
        <f>YW39-YU39</f>
        <v>#VALUE!</v>
      </c>
      <c r="YY39" s="827" t="e">
        <f>DATEVALUE(MID($XU$4,YU39,YX39))</f>
        <v>#VALUE!</v>
      </c>
      <c r="YZ39" s="828" t="str">
        <f>IF(YV38=" за период",YY39,"")</f>
        <v/>
      </c>
      <c r="ZE39" s="1464"/>
      <c r="ZF39" s="826" t="s">
        <v>8435</v>
      </c>
      <c r="ZG39" s="836" t="str">
        <f>IF(ZH38=" за период",SEARCH(" за период",$XU$5,ZI38)+LEN(" за период")+3,"НЕТ")</f>
        <v>НЕТ</v>
      </c>
      <c r="ZH39" s="306" t="s">
        <v>8434</v>
      </c>
      <c r="ZI39" s="306" t="e">
        <f>SEARCH(ZH39,$XU$5,ZG39)</f>
        <v>#VALUE!</v>
      </c>
      <c r="ZJ39" s="306" t="e">
        <f>ZI39-ZG39</f>
        <v>#VALUE!</v>
      </c>
      <c r="ZK39" s="827" t="e">
        <f>DATEVALUE(MID($XU$5,ZG39,ZJ39))</f>
        <v>#VALUE!</v>
      </c>
      <c r="ZL39" s="828" t="str">
        <f>IF(ZH38=" за период",ZK39,"")</f>
        <v/>
      </c>
      <c r="ZQ39" s="1464"/>
      <c r="ZR39" s="826" t="s">
        <v>8435</v>
      </c>
      <c r="ZS39" s="836" t="str">
        <f>IF(ZT38=" за период",SEARCH(" за период",$XU$6,ZU38)+LEN(" за период")+3,"НЕТ")</f>
        <v>НЕТ</v>
      </c>
      <c r="ZT39" s="306" t="s">
        <v>8434</v>
      </c>
      <c r="ZU39" s="306" t="e">
        <f>SEARCH(ZT39,$XU$6,ZS39)</f>
        <v>#VALUE!</v>
      </c>
      <c r="ZV39" s="306" t="e">
        <f>ZU39-ZS39</f>
        <v>#VALUE!</v>
      </c>
      <c r="ZW39" s="827" t="e">
        <f>DATEVALUE(MID($XU$6,ZS39,ZV39))</f>
        <v>#VALUE!</v>
      </c>
      <c r="ZX39" s="828" t="str">
        <f>IF(ZT38=" за период",ZW39,"")</f>
        <v/>
      </c>
      <c r="AAC39" s="1464"/>
      <c r="AAD39" s="826" t="s">
        <v>8435</v>
      </c>
      <c r="AAE39" s="836" t="str">
        <f>IF(AAF38=" за период",SEARCH(" за период",$XU$7,AAG38)+LEN(" за период")+3,"НЕТ")</f>
        <v>НЕТ</v>
      </c>
      <c r="AAF39" s="306" t="s">
        <v>8434</v>
      </c>
      <c r="AAG39" s="306" t="e">
        <f>SEARCH(AAF39,$XU$7,AAE39)</f>
        <v>#VALUE!</v>
      </c>
      <c r="AAH39" s="306" t="e">
        <f>AAG39-AAE39</f>
        <v>#VALUE!</v>
      </c>
      <c r="AAI39" s="827" t="e">
        <f>DATEVALUE(MID($XU$7,AAE39,AAH39))</f>
        <v>#VALUE!</v>
      </c>
      <c r="AAJ39" s="828" t="str">
        <f>IF(AAF38=" за период",AAI39,"")</f>
        <v/>
      </c>
      <c r="AAV39" t="str">
        <f t="shared" si="141"/>
        <v xml:space="preserve">не позднее </v>
      </c>
      <c r="AAW39" s="947" t="e">
        <f t="shared" ref="AAW39:AAW50" si="156">SEARCH(AAV39,$AAU$6)</f>
        <v>#VALUE!</v>
      </c>
      <c r="AAX39" s="859" t="str">
        <f>IF(ISERROR(AAW39),
IF(ISERROR(AAW40),
IF(ISERROR(AAW41),
IF(ISERROR(AAW42),
"ОШИБКА",
AAV42),
AAV41),
AAV40),
AAV39)</f>
        <v>ОШИБКА</v>
      </c>
      <c r="AAY39" s="947" t="e">
        <f>SEARCH(AAX39,$AAU$6)+LEN(AAX39)</f>
        <v>#VALUE!</v>
      </c>
      <c r="AAZ39">
        <v>10</v>
      </c>
      <c r="ABA39" s="1487" t="e">
        <f>MID($AAU$6,AAY39,AAZ39)</f>
        <v>#VALUE!</v>
      </c>
      <c r="AEJ39" s="961"/>
      <c r="AEK39" s="961"/>
      <c r="AEL39" s="961"/>
      <c r="AFE39" s="1464"/>
      <c r="AFF39" s="826" t="s">
        <v>8435</v>
      </c>
      <c r="AFG39" s="836" t="str">
        <f>IF(AFH38=" за период",SEARCH(" за период",AFD$4,AFI38)+LEN(" за период")+3,"НЕТ")</f>
        <v>НЕТ</v>
      </c>
      <c r="AFH39" s="306" t="s">
        <v>8434</v>
      </c>
      <c r="AFI39" s="306" t="e">
        <f>SEARCH(AFH39,AFD$4,AFG39)</f>
        <v>#VALUE!</v>
      </c>
      <c r="AFJ39" s="306" t="e">
        <f>AFI39-AFG39</f>
        <v>#VALUE!</v>
      </c>
      <c r="AFK39" s="827" t="e">
        <f>DATEVALUE(MID(AFD$4,AFG39,AFJ39))</f>
        <v>#VALUE!</v>
      </c>
      <c r="AFL39" s="828" t="str">
        <f>IF(AFH38=" за период",AFK39,"")</f>
        <v/>
      </c>
      <c r="AFQ39" s="1464"/>
      <c r="AFR39" s="826" t="s">
        <v>8435</v>
      </c>
      <c r="AFS39" s="836" t="str">
        <f>IF(AFT38=" за период",SEARCH(" за период",AFP$4,AFU38)+LEN(" за период")+3,"НЕТ")</f>
        <v>НЕТ</v>
      </c>
      <c r="AFT39" s="306" t="s">
        <v>8434</v>
      </c>
      <c r="AFU39" s="306" t="e">
        <f>SEARCH(AFT39,AFP$4,AFS39)</f>
        <v>#VALUE!</v>
      </c>
      <c r="AFV39" s="306" t="e">
        <f>AFU39-AFS39</f>
        <v>#VALUE!</v>
      </c>
      <c r="AFW39" s="827" t="e">
        <f>DATEVALUE(MID(AFP$4,AFS39,AFV39))</f>
        <v>#VALUE!</v>
      </c>
      <c r="AFX39" s="828" t="str">
        <f>IF(AFT38=" за период",AFW39,"")</f>
        <v/>
      </c>
      <c r="AGC39" s="1464"/>
      <c r="AGD39" s="826" t="s">
        <v>8435</v>
      </c>
      <c r="AGE39" s="836" t="str">
        <f>IF(AGF38=" за период",SEARCH(" за период",AGB$4,AGG38)+LEN(" за период")+3,"НЕТ")</f>
        <v>НЕТ</v>
      </c>
      <c r="AGF39" s="306" t="s">
        <v>8434</v>
      </c>
      <c r="AGG39" s="306" t="e">
        <f>SEARCH(AGF39,AGB$4,AGE39)</f>
        <v>#VALUE!</v>
      </c>
      <c r="AGH39" s="306" t="e">
        <f>AGG39-AGE39</f>
        <v>#VALUE!</v>
      </c>
      <c r="AGI39" s="827" t="e">
        <f>DATEVALUE(MID(AGB$4,AGE39,AGH39))</f>
        <v>#VALUE!</v>
      </c>
      <c r="AGJ39" s="828" t="str">
        <f>IF(AGF38=" за период",AGI39,"")</f>
        <v/>
      </c>
      <c r="AGO39" s="1464"/>
      <c r="AGP39" s="826" t="s">
        <v>8435</v>
      </c>
      <c r="AGQ39" s="836" t="str">
        <f>IF(AGR38=" за период",SEARCH(" за период",AGN$4,AGS38)+LEN(" за период")+3,"НЕТ")</f>
        <v>НЕТ</v>
      </c>
      <c r="AGR39" s="306" t="s">
        <v>8434</v>
      </c>
      <c r="AGS39" s="306" t="e">
        <f>SEARCH(AGR39,AGN$4,AGQ39)</f>
        <v>#VALUE!</v>
      </c>
      <c r="AGT39" s="306" t="e">
        <f>AGS39-AGQ39</f>
        <v>#VALUE!</v>
      </c>
      <c r="AGU39" s="827" t="e">
        <f>DATEVALUE(MID(AGN$4,AGQ39,AGT39))</f>
        <v>#VALUE!</v>
      </c>
      <c r="AGV39" s="828" t="str">
        <f>IF(AGR38=" за период",AGU39,"")</f>
        <v/>
      </c>
      <c r="AHA39" s="1464"/>
      <c r="AHB39" s="826" t="s">
        <v>8435</v>
      </c>
      <c r="AHC39" s="836" t="str">
        <f>IF(AHD38=" за период",SEARCH(" за период",AGZ$4,AHE38)+LEN(" за период")+3,"НЕТ")</f>
        <v>НЕТ</v>
      </c>
      <c r="AHD39" s="306" t="s">
        <v>8434</v>
      </c>
      <c r="AHE39" s="306" t="e">
        <f>SEARCH(AHD39,AGZ$4,AHC39)</f>
        <v>#VALUE!</v>
      </c>
      <c r="AHF39" s="306" t="e">
        <f>AHE39-AHC39</f>
        <v>#VALUE!</v>
      </c>
      <c r="AHG39" s="827" t="e">
        <f>DATEVALUE(MID(AGZ$4,AHC39,AHF39))</f>
        <v>#VALUE!</v>
      </c>
      <c r="AHH39" s="828" t="str">
        <f>IF(AHD38=" за период",AHG39,"")</f>
        <v/>
      </c>
    </row>
    <row r="40" spans="1:893" ht="14.4" customHeight="1" thickBot="1" x14ac:dyDescent="0.35">
      <c r="A40" s="116"/>
      <c r="B40" s="116"/>
      <c r="C40" s="116"/>
      <c r="D40" s="116"/>
      <c r="E40" s="116"/>
      <c r="F40" s="116"/>
      <c r="G40" s="116"/>
      <c r="H40" s="116"/>
      <c r="I40" s="116"/>
      <c r="J40" s="116"/>
      <c r="K40" s="116"/>
      <c r="L40" s="116"/>
      <c r="M40" s="116"/>
      <c r="N40" s="116"/>
      <c r="O40" s="116"/>
      <c r="P40" s="116"/>
      <c r="Q40" s="116"/>
      <c r="R40" s="116"/>
      <c r="S40" s="116"/>
      <c r="T40" s="116"/>
      <c r="U40" s="116"/>
      <c r="V40" s="116"/>
      <c r="W40" s="116"/>
      <c r="X40" s="116"/>
      <c r="Y40" s="116"/>
      <c r="Z40" s="116"/>
      <c r="AA40" s="116"/>
      <c r="AB40" s="116"/>
      <c r="AC40" s="116"/>
      <c r="AD40" s="116"/>
      <c r="AE40" s="116"/>
      <c r="AF40" s="116"/>
      <c r="AG40" s="116"/>
      <c r="AH40" s="116"/>
      <c r="AI40" s="116"/>
      <c r="AJ40" s="116"/>
      <c r="AK40" s="116"/>
      <c r="AL40" s="116"/>
      <c r="AM40" s="116"/>
      <c r="AN40" s="116"/>
      <c r="AO40" s="116"/>
      <c r="AP40" s="116"/>
      <c r="AQ40" s="116"/>
      <c r="AR40" s="116"/>
      <c r="AS40" s="116"/>
      <c r="AT40" s="116"/>
      <c r="AU40" s="116"/>
      <c r="AV40" s="116"/>
      <c r="AW40" s="116"/>
      <c r="AX40" s="116"/>
      <c r="AY40" s="116"/>
      <c r="AZ40" s="116"/>
      <c r="BA40" s="116"/>
      <c r="BB40" s="116"/>
      <c r="BC40" s="116"/>
      <c r="BD40" s="116"/>
      <c r="BE40" s="116"/>
      <c r="BF40" s="116"/>
      <c r="BG40" s="116"/>
      <c r="BH40" s="116"/>
      <c r="BI40" s="116"/>
      <c r="BJ40" s="116"/>
      <c r="BK40" s="116"/>
      <c r="BL40" s="116"/>
      <c r="BM40" s="116"/>
      <c r="BN40" s="116"/>
      <c r="BO40" s="116"/>
      <c r="BP40" s="116"/>
      <c r="BQ40" s="116"/>
      <c r="BR40" s="116"/>
      <c r="BS40" s="116"/>
      <c r="BT40" s="116"/>
      <c r="BU40" s="116"/>
      <c r="BV40" s="116"/>
      <c r="BW40" s="116"/>
      <c r="BX40" s="116"/>
      <c r="BY40" s="116"/>
      <c r="BZ40" s="116"/>
      <c r="CA40" s="116"/>
      <c r="CB40" s="116"/>
      <c r="CC40" s="116"/>
      <c r="CD40" s="116"/>
      <c r="CE40" s="116"/>
      <c r="CF40" s="116"/>
      <c r="CG40" s="116"/>
      <c r="CH40" s="116"/>
      <c r="CI40" s="116"/>
      <c r="CJ40" s="116"/>
      <c r="CK40" s="116"/>
      <c r="CL40" s="116"/>
      <c r="CM40" s="116"/>
      <c r="CN40" s="116"/>
      <c r="CO40" s="116"/>
      <c r="CP40" s="116"/>
      <c r="CQ40" s="116"/>
      <c r="CR40" s="116"/>
      <c r="CS40" s="116"/>
      <c r="CT40" s="116"/>
      <c r="CU40" s="116"/>
      <c r="CV40" s="116"/>
      <c r="CW40" s="116"/>
      <c r="CX40" s="116"/>
      <c r="CY40" s="116"/>
      <c r="CZ40" s="116"/>
      <c r="DA40" s="116"/>
      <c r="DB40" s="116"/>
      <c r="DC40" s="116"/>
      <c r="DD40" s="116"/>
      <c r="DE40" s="116"/>
      <c r="DF40" s="116"/>
      <c r="DG40" s="116"/>
      <c r="DH40" s="116"/>
      <c r="DI40" s="116"/>
      <c r="DJ40" s="116"/>
      <c r="DK40" s="116"/>
      <c r="DL40" s="116"/>
      <c r="DM40" s="116"/>
      <c r="DN40" s="116"/>
      <c r="DO40" s="116"/>
      <c r="DP40" s="116"/>
      <c r="DQ40" s="116"/>
      <c r="DT40" t="s">
        <v>1644</v>
      </c>
      <c r="DU40" s="821" t="s">
        <v>4395</v>
      </c>
      <c r="DV40" s="1464"/>
      <c r="DW40" s="826" t="s">
        <v>8436</v>
      </c>
      <c r="DX40" s="836" t="e">
        <f>SEARCH(" ",$C$3,DZ39+1)+1</f>
        <v>#VALUE!</v>
      </c>
      <c r="DY40" s="306"/>
      <c r="DZ40" s="306" t="e">
        <f>DX40+EA40</f>
        <v>#VALUE!</v>
      </c>
      <c r="EA40" s="306">
        <v>10</v>
      </c>
      <c r="EB40" s="827" t="e">
        <f>DATEVALUE(MID($C$3,DX40,EA40))</f>
        <v>#VALUE!</v>
      </c>
      <c r="EC40" s="828" t="str">
        <f>IF(DY38=" за период",EB40,"")</f>
        <v/>
      </c>
      <c r="NK40" s="1464"/>
      <c r="NL40" s="826" t="s">
        <v>8436</v>
      </c>
      <c r="NM40" s="836" t="e">
        <f>SEARCH(" ",NJ$4,NO39+1)+1</f>
        <v>#VALUE!</v>
      </c>
      <c r="NN40" s="306"/>
      <c r="NO40" s="306" t="e">
        <f>NM40+NP40</f>
        <v>#VALUE!</v>
      </c>
      <c r="NP40" s="306">
        <v>10</v>
      </c>
      <c r="NQ40" s="827" t="e">
        <f>DATEVALUE(MID(NJ$4,NM40,NP40))</f>
        <v>#VALUE!</v>
      </c>
      <c r="NR40" s="828" t="str">
        <f>IF(NN38=" за период",NQ40,"")</f>
        <v/>
      </c>
      <c r="OC40" s="1472"/>
      <c r="OD40" s="946" t="str">
        <f t="shared" si="131"/>
        <v>$$$$</v>
      </c>
      <c r="OE40" s="947" t="e">
        <f t="shared" si="151"/>
        <v>#VALUE!</v>
      </c>
      <c r="OF40" s="947"/>
      <c r="OG40" s="920"/>
      <c r="OH40" s="920"/>
      <c r="OI40" s="947"/>
      <c r="OJ40" s="947"/>
      <c r="OK40" s="947"/>
      <c r="OL40" s="1474"/>
      <c r="OY40" s="116"/>
      <c r="OZ40" s="959"/>
      <c r="PA40" s="1210"/>
      <c r="PB40" s="959"/>
      <c r="PC40" s="116"/>
      <c r="PD40" s="1000"/>
      <c r="PF40" s="1209"/>
      <c r="PG40" s="1208"/>
      <c r="PH40" s="1209"/>
      <c r="PJ40" s="1073"/>
      <c r="PK40" s="99"/>
      <c r="PL40" s="920"/>
      <c r="PM40" s="995"/>
      <c r="PN40" s="920"/>
      <c r="PO40" s="99"/>
      <c r="PP40" s="871"/>
      <c r="PQ40" t="str">
        <f t="shared" si="133"/>
        <v xml:space="preserve">без учета износа составляет </v>
      </c>
      <c r="PR40" s="937" t="e">
        <f t="shared" si="152"/>
        <v>#VALUE!</v>
      </c>
      <c r="PT40" s="264" t="e">
        <f>SEARCH(" ",$OX$6,PV39+1)+1</f>
        <v>#VALUE!</v>
      </c>
      <c r="PU40" t="s">
        <v>8432</v>
      </c>
      <c r="PV40" s="937" t="e">
        <f>SEARCH(PU40,$OX$6,PT40)</f>
        <v>#VALUE!</v>
      </c>
      <c r="PW40" s="264" t="e">
        <f>PV40-PT40</f>
        <v>#VALUE!</v>
      </c>
      <c r="PX40" t="e">
        <f>MID($OX$6,PT40,PW40)</f>
        <v>#VALUE!</v>
      </c>
      <c r="PY40" s="1470"/>
      <c r="PZ40" t="str">
        <f t="shared" si="135"/>
        <v xml:space="preserve">с учетом износа – </v>
      </c>
      <c r="QA40" s="937" t="e">
        <f t="shared" si="153"/>
        <v>#VALUE!</v>
      </c>
      <c r="QC40" s="264" t="e">
        <f>SEARCH(" ",$OX$6,QE39+1)+1</f>
        <v>#VALUE!</v>
      </c>
      <c r="QD40" t="s">
        <v>8432</v>
      </c>
      <c r="QE40" s="937" t="e">
        <f>SEARCH(QD40,$OX$6,QC40)</f>
        <v>#VALUE!</v>
      </c>
      <c r="QF40" s="264" t="e">
        <f>QE40-QC40</f>
        <v>#VALUE!</v>
      </c>
      <c r="QG40" t="e">
        <f>MID($OX$6,QC40,QF40)</f>
        <v>#VALUE!</v>
      </c>
      <c r="QH40" s="1470"/>
      <c r="QI40" t="str">
        <f t="shared" si="137"/>
        <v xml:space="preserve">Рыночная стоимость Транспортного средства Заявителя на дату ДТП составляет </v>
      </c>
      <c r="QJ40" s="937" t="e">
        <f t="shared" si="154"/>
        <v>#VALUE!</v>
      </c>
      <c r="QL40" s="264" t="e">
        <f>SEARCH(" ",$OX$6,QN39+1)+1</f>
        <v>#VALUE!</v>
      </c>
      <c r="QM40" t="s">
        <v>8432</v>
      </c>
      <c r="QN40" s="937" t="e">
        <f>SEARCH(QM40,$OX$6,QL40)</f>
        <v>#VALUE!</v>
      </c>
      <c r="QO40" s="264" t="e">
        <f>QN40-QL40</f>
        <v>#VALUE!</v>
      </c>
      <c r="QP40" t="e">
        <f>MID($OX$6,QL40,QO40)</f>
        <v>#VALUE!</v>
      </c>
      <c r="QQ40" s="1470"/>
      <c r="QR40" t="str">
        <f t="shared" si="139"/>
        <v xml:space="preserve">стоимость годных остатков – </v>
      </c>
      <c r="QS40" s="937" t="e">
        <f t="shared" si="155"/>
        <v>#VALUE!</v>
      </c>
      <c r="QU40" s="264" t="e">
        <f>SEARCH(" ",$OX$6,QW39+1)+1</f>
        <v>#VALUE!</v>
      </c>
      <c r="QV40" t="s">
        <v>8432</v>
      </c>
      <c r="QW40" s="937" t="e">
        <f>SEARCH(QV40,$OX$6,QU40)</f>
        <v>#VALUE!</v>
      </c>
      <c r="QX40" s="264" t="e">
        <f>QW40-QU40</f>
        <v>#VALUE!</v>
      </c>
      <c r="QY40" t="e">
        <f>MID($OX$6,QU40,QX40)</f>
        <v>#VALUE!</v>
      </c>
      <c r="QZ40" s="1470"/>
      <c r="SY40" s="1464"/>
      <c r="SZ40" s="826" t="s">
        <v>8436</v>
      </c>
      <c r="TA40" s="836" t="e">
        <f>SEARCH(" ",$SQ$3,TC39+1)+1</f>
        <v>#VALUE!</v>
      </c>
      <c r="TB40" s="306"/>
      <c r="TC40" s="306" t="e">
        <f>TA40+TD40</f>
        <v>#VALUE!</v>
      </c>
      <c r="TD40" s="306">
        <v>10</v>
      </c>
      <c r="TE40" s="827" t="e">
        <f>DATEVALUE(MID($SQ$3,TA40,TD40))</f>
        <v>#VALUE!</v>
      </c>
      <c r="TF40" s="828" t="str">
        <f>IF(TB38=" за период",TE40,"")</f>
        <v/>
      </c>
      <c r="TK40" s="1477"/>
      <c r="TL40" s="1032"/>
      <c r="TM40" s="1033"/>
      <c r="TN40" s="403"/>
      <c r="TO40" s="403"/>
      <c r="TP40" s="403"/>
      <c r="TQ40" s="1034" t="e">
        <f>VALUE(CONCATENATE(TQ38,",",TQ39))</f>
        <v>#VALUE!</v>
      </c>
      <c r="TR40" s="832" t="str">
        <f>IFERROR(IF(TR37="Штраф 50%","",TQ40),"")</f>
        <v/>
      </c>
      <c r="TW40" s="1464"/>
      <c r="TX40" s="826" t="s">
        <v>8436</v>
      </c>
      <c r="TY40" s="836" t="e">
        <f>SEARCH(" ",$SQ$4,UA39+1)+1</f>
        <v>#VALUE!</v>
      </c>
      <c r="TZ40" s="306"/>
      <c r="UA40" s="306" t="e">
        <f>TY40+UB40</f>
        <v>#VALUE!</v>
      </c>
      <c r="UB40" s="306">
        <v>10</v>
      </c>
      <c r="UC40" s="827" t="e">
        <f>DATEVALUE(MID($SQ$4,TY40,UB40))</f>
        <v>#VALUE!</v>
      </c>
      <c r="UD40" s="828" t="str">
        <f>IF(TZ38=" за период",UC40,"")</f>
        <v/>
      </c>
      <c r="UI40" s="1477"/>
      <c r="UJ40" s="1032"/>
      <c r="UK40" s="1033"/>
      <c r="UL40" s="403"/>
      <c r="UM40" s="403"/>
      <c r="UN40" s="403"/>
      <c r="UO40" s="1034" t="e">
        <f>VALUE(CONCATENATE(UO38,",",UO39))</f>
        <v>#VALUE!</v>
      </c>
      <c r="UP40" s="832" t="str">
        <f>IFERROR(IF(UP37="Штраф 50%","",UO40),"")</f>
        <v/>
      </c>
      <c r="UU40" s="1464"/>
      <c r="UV40" s="826" t="s">
        <v>8436</v>
      </c>
      <c r="UW40" s="836" t="e">
        <f>SEARCH(" ",$SQ$5,UY39+1)+1</f>
        <v>#VALUE!</v>
      </c>
      <c r="UX40" s="306"/>
      <c r="UY40" s="306" t="e">
        <f>UW40+UZ40</f>
        <v>#VALUE!</v>
      </c>
      <c r="UZ40" s="306">
        <v>10</v>
      </c>
      <c r="VA40" s="827" t="e">
        <f>DATEVALUE(MID($SQ$5,UW40,UZ40))</f>
        <v>#VALUE!</v>
      </c>
      <c r="VB40" s="828" t="str">
        <f>IF(UX38=" за период",VA40,"")</f>
        <v/>
      </c>
      <c r="VG40" s="1477"/>
      <c r="VH40" s="1032"/>
      <c r="VI40" s="1033"/>
      <c r="VJ40" s="403"/>
      <c r="VK40" s="403"/>
      <c r="VL40" s="403"/>
      <c r="VM40" s="1034" t="e">
        <f>VALUE(CONCATENATE(VM38,",",VM39))</f>
        <v>#VALUE!</v>
      </c>
      <c r="VN40" s="832" t="str">
        <f>IFERROR(IF(VN37="Штраф 50%","",VM40),"")</f>
        <v/>
      </c>
      <c r="VS40" s="1464"/>
      <c r="VT40" s="826" t="s">
        <v>8436</v>
      </c>
      <c r="VU40" s="836" t="e">
        <f>SEARCH(" ",$SQ$6,VW39+1)+1</f>
        <v>#VALUE!</v>
      </c>
      <c r="VV40" s="306"/>
      <c r="VW40" s="306" t="e">
        <f>VU40+VX40</f>
        <v>#VALUE!</v>
      </c>
      <c r="VX40" s="306">
        <v>10</v>
      </c>
      <c r="VY40" s="827" t="e">
        <f>DATEVALUE(MID($SQ$6,VU40,VX40))</f>
        <v>#VALUE!</v>
      </c>
      <c r="VZ40" s="828" t="str">
        <f>IF(VV38=" за период",VY40,"")</f>
        <v/>
      </c>
      <c r="WE40" s="1477"/>
      <c r="WF40" s="1032"/>
      <c r="WG40" s="1033"/>
      <c r="WH40" s="403"/>
      <c r="WI40" s="403"/>
      <c r="WJ40" s="403"/>
      <c r="WK40" s="1034" t="e">
        <f>VALUE(CONCATENATE(WK38,",",WK39))</f>
        <v>#VALUE!</v>
      </c>
      <c r="WL40" s="832" t="str">
        <f>IFERROR(IF(WL37="Штраф 50%","",WK40),"")</f>
        <v/>
      </c>
      <c r="WQ40" s="1464"/>
      <c r="WR40" s="826" t="s">
        <v>8436</v>
      </c>
      <c r="WS40" s="836" t="e">
        <f>SEARCH(" ",$SQ$7,WU39+1)+1</f>
        <v>#VALUE!</v>
      </c>
      <c r="WT40" s="306"/>
      <c r="WU40" s="306" t="e">
        <f>WS40+WV40</f>
        <v>#VALUE!</v>
      </c>
      <c r="WV40" s="306">
        <v>10</v>
      </c>
      <c r="WW40" s="827" t="e">
        <f>DATEVALUE(MID($SQ$7,WS40,WV40))</f>
        <v>#VALUE!</v>
      </c>
      <c r="WX40" s="828" t="str">
        <f>IF(WT38=" за период",WW40,"")</f>
        <v/>
      </c>
      <c r="XC40" s="1477"/>
      <c r="XD40" s="1032"/>
      <c r="XE40" s="1033"/>
      <c r="XF40" s="403"/>
      <c r="XG40" s="403"/>
      <c r="XH40" s="403"/>
      <c r="XI40" s="1034" t="e">
        <f>VALUE(CONCATENATE(XI38,",",XI39))</f>
        <v>#VALUE!</v>
      </c>
      <c r="XJ40" s="832" t="str">
        <f>IFERROR(IF(XJ37="Штраф 50%","",XI40),"")</f>
        <v/>
      </c>
      <c r="YG40" s="1464"/>
      <c r="YH40" s="826" t="s">
        <v>8436</v>
      </c>
      <c r="YI40" s="836" t="e">
        <f>SEARCH(" ",$XU$3,YK39+1)+1</f>
        <v>#VALUE!</v>
      </c>
      <c r="YJ40" s="306"/>
      <c r="YK40" s="306" t="e">
        <f>YI40+YL40</f>
        <v>#VALUE!</v>
      </c>
      <c r="YL40" s="306">
        <v>10</v>
      </c>
      <c r="YM40" s="827" t="e">
        <f>DATEVALUE(MID($XU$3,YI40,YL40))</f>
        <v>#VALUE!</v>
      </c>
      <c r="YN40" s="828" t="str">
        <f>IF(YJ38=" за период",YM40,"")</f>
        <v/>
      </c>
      <c r="YS40" s="1464"/>
      <c r="YT40" s="826" t="s">
        <v>8436</v>
      </c>
      <c r="YU40" s="836" t="e">
        <f>SEARCH(" ",$XU$4,YW39+1)+1</f>
        <v>#VALUE!</v>
      </c>
      <c r="YV40" s="306"/>
      <c r="YW40" s="306" t="e">
        <f>YU40+YX40</f>
        <v>#VALUE!</v>
      </c>
      <c r="YX40" s="306">
        <v>10</v>
      </c>
      <c r="YY40" s="827" t="e">
        <f>DATEVALUE(MID($XU$4,YU40,YX40))</f>
        <v>#VALUE!</v>
      </c>
      <c r="YZ40" s="828" t="str">
        <f>IF(YV38=" за период",YY40,"")</f>
        <v/>
      </c>
      <c r="ZE40" s="1464"/>
      <c r="ZF40" s="826" t="s">
        <v>8436</v>
      </c>
      <c r="ZG40" s="836" t="e">
        <f>SEARCH(" ",$XU$5,ZI39+1)+1</f>
        <v>#VALUE!</v>
      </c>
      <c r="ZH40" s="306"/>
      <c r="ZI40" s="306" t="e">
        <f>ZG40+ZJ40</f>
        <v>#VALUE!</v>
      </c>
      <c r="ZJ40" s="306">
        <v>10</v>
      </c>
      <c r="ZK40" s="827" t="e">
        <f>DATEVALUE(MID($XU$5,ZG40,ZJ40))</f>
        <v>#VALUE!</v>
      </c>
      <c r="ZL40" s="828" t="str">
        <f>IF(ZH38=" за период",ZK40,"")</f>
        <v/>
      </c>
      <c r="ZQ40" s="1464"/>
      <c r="ZR40" s="826" t="s">
        <v>8436</v>
      </c>
      <c r="ZS40" s="836" t="e">
        <f>SEARCH(" ",$XU$6,ZU39+1)+1</f>
        <v>#VALUE!</v>
      </c>
      <c r="ZT40" s="306"/>
      <c r="ZU40" s="306" t="e">
        <f>ZS40+ZV40</f>
        <v>#VALUE!</v>
      </c>
      <c r="ZV40" s="306">
        <v>10</v>
      </c>
      <c r="ZW40" s="827" t="e">
        <f>DATEVALUE(MID($XU$6,ZS40,ZV40))</f>
        <v>#VALUE!</v>
      </c>
      <c r="ZX40" s="828" t="str">
        <f>IF(ZT38=" за период",ZW40,"")</f>
        <v/>
      </c>
      <c r="AAC40" s="1464"/>
      <c r="AAD40" s="826" t="s">
        <v>8436</v>
      </c>
      <c r="AAE40" s="836" t="e">
        <f>SEARCH(" ",$XU$7,AAG39+1)+1</f>
        <v>#VALUE!</v>
      </c>
      <c r="AAF40" s="306"/>
      <c r="AAG40" s="306" t="e">
        <f>AAE40+AAH40</f>
        <v>#VALUE!</v>
      </c>
      <c r="AAH40" s="306">
        <v>10</v>
      </c>
      <c r="AAI40" s="827" t="e">
        <f>DATEVALUE(MID($XU$7,AAE40,AAH40))</f>
        <v>#VALUE!</v>
      </c>
      <c r="AAJ40" s="828" t="str">
        <f>IF(AAF38=" за период",AAI40,"")</f>
        <v/>
      </c>
      <c r="AAV40" t="str">
        <f t="shared" si="141"/>
        <v>$$$$</v>
      </c>
      <c r="AAW40" s="947" t="e">
        <f t="shared" si="156"/>
        <v>#VALUE!</v>
      </c>
      <c r="ABA40" s="1487"/>
      <c r="AEJ40" s="961"/>
      <c r="AEK40" s="961"/>
      <c r="AEL40" s="961"/>
      <c r="AFE40" s="1464"/>
      <c r="AFF40" s="826" t="s">
        <v>8436</v>
      </c>
      <c r="AFG40" s="836" t="e">
        <f>SEARCH(" ",AFD$4,AFI39+1)+1</f>
        <v>#VALUE!</v>
      </c>
      <c r="AFH40" s="306"/>
      <c r="AFI40" s="306" t="e">
        <f>AFG40+AFJ40</f>
        <v>#VALUE!</v>
      </c>
      <c r="AFJ40" s="306">
        <v>10</v>
      </c>
      <c r="AFK40" s="827" t="e">
        <f>DATEVALUE(MID(AFD$4,AFG40,AFJ40))</f>
        <v>#VALUE!</v>
      </c>
      <c r="AFL40" s="828" t="str">
        <f>IF(AFH38=" за период",AFK40,"")</f>
        <v/>
      </c>
      <c r="AFQ40" s="1464"/>
      <c r="AFR40" s="826" t="s">
        <v>8436</v>
      </c>
      <c r="AFS40" s="836" t="e">
        <f>SEARCH(" ",AFP$4,AFU39+1)+1</f>
        <v>#VALUE!</v>
      </c>
      <c r="AFT40" s="306"/>
      <c r="AFU40" s="306" t="e">
        <f>AFS40+AFV40</f>
        <v>#VALUE!</v>
      </c>
      <c r="AFV40" s="306">
        <v>10</v>
      </c>
      <c r="AFW40" s="827" t="e">
        <f>DATEVALUE(MID(AFP$4,AFS40,AFV40))</f>
        <v>#VALUE!</v>
      </c>
      <c r="AFX40" s="828" t="str">
        <f>IF(AFT38=" за период",AFW40,"")</f>
        <v/>
      </c>
      <c r="AGC40" s="1464"/>
      <c r="AGD40" s="826" t="s">
        <v>8436</v>
      </c>
      <c r="AGE40" s="836" t="e">
        <f>SEARCH(" ",AGB$4,AGG39+1)+1</f>
        <v>#VALUE!</v>
      </c>
      <c r="AGF40" s="306"/>
      <c r="AGG40" s="306" t="e">
        <f>AGE40+AGH40</f>
        <v>#VALUE!</v>
      </c>
      <c r="AGH40" s="306">
        <v>10</v>
      </c>
      <c r="AGI40" s="827" t="e">
        <f>DATEVALUE(MID(AGB$4,AGE40,AGH40))</f>
        <v>#VALUE!</v>
      </c>
      <c r="AGJ40" s="828" t="str">
        <f>IF(AGF38=" за период",AGI40,"")</f>
        <v/>
      </c>
      <c r="AGO40" s="1464"/>
      <c r="AGP40" s="826" t="s">
        <v>8436</v>
      </c>
      <c r="AGQ40" s="836" t="e">
        <f>SEARCH(" ",AGN$4,AGS39+1)+1</f>
        <v>#VALUE!</v>
      </c>
      <c r="AGR40" s="306"/>
      <c r="AGS40" s="306" t="e">
        <f>AGQ40+AGT40</f>
        <v>#VALUE!</v>
      </c>
      <c r="AGT40" s="306">
        <v>10</v>
      </c>
      <c r="AGU40" s="827" t="e">
        <f>DATEVALUE(MID(AGN$4,AGQ40,AGT40))</f>
        <v>#VALUE!</v>
      </c>
      <c r="AGV40" s="828" t="str">
        <f>IF(AGR38=" за период",AGU40,"")</f>
        <v/>
      </c>
      <c r="AHA40" s="1464"/>
      <c r="AHB40" s="826" t="s">
        <v>8436</v>
      </c>
      <c r="AHC40" s="836" t="e">
        <f>SEARCH(" ",AGZ$4,AHE39+1)+1</f>
        <v>#VALUE!</v>
      </c>
      <c r="AHD40" s="306"/>
      <c r="AHE40" s="306" t="e">
        <f>AHC40+AHF40</f>
        <v>#VALUE!</v>
      </c>
      <c r="AHF40" s="306">
        <v>10</v>
      </c>
      <c r="AHG40" s="827" t="e">
        <f>DATEVALUE(MID(AGZ$4,AHC40,AHF40))</f>
        <v>#VALUE!</v>
      </c>
      <c r="AHH40" s="828" t="str">
        <f>IF(AHD38=" за период",AHG40,"")</f>
        <v/>
      </c>
    </row>
    <row r="41" spans="1:893" ht="14.4" customHeight="1" thickTop="1" x14ac:dyDescent="0.3">
      <c r="A41" s="116"/>
      <c r="B41" s="116"/>
      <c r="C41" s="116"/>
      <c r="D41" s="116"/>
      <c r="E41" s="116"/>
      <c r="F41" s="116"/>
      <c r="G41" s="116"/>
      <c r="H41" s="116"/>
      <c r="I41" s="116"/>
      <c r="J41" s="116"/>
      <c r="K41" s="116"/>
      <c r="L41" s="116"/>
      <c r="M41" s="116"/>
      <c r="N41" s="116"/>
      <c r="O41" s="116"/>
      <c r="P41" s="116"/>
      <c r="Q41" s="116"/>
      <c r="R41" s="116"/>
      <c r="S41" s="116"/>
      <c r="T41" s="116"/>
      <c r="U41" s="116"/>
      <c r="V41" s="116"/>
      <c r="W41" s="116"/>
      <c r="X41" s="116"/>
      <c r="Y41" s="116"/>
      <c r="Z41" s="116"/>
      <c r="AA41" s="116"/>
      <c r="AB41" s="116"/>
      <c r="AC41" s="116"/>
      <c r="AD41" s="116"/>
      <c r="AE41" s="116"/>
      <c r="AF41" s="116"/>
      <c r="AG41" s="116"/>
      <c r="AH41" s="116"/>
      <c r="AI41" s="116"/>
      <c r="AJ41" s="116"/>
      <c r="AK41" s="116"/>
      <c r="AL41" s="116"/>
      <c r="AM41" s="116"/>
      <c r="AN41" s="116"/>
      <c r="AO41" s="116"/>
      <c r="AP41" s="116"/>
      <c r="AQ41" s="116"/>
      <c r="AR41" s="116"/>
      <c r="AS41" s="116"/>
      <c r="AT41" s="116"/>
      <c r="AU41" s="116"/>
      <c r="AV41" s="116"/>
      <c r="AW41" s="116"/>
      <c r="AX41" s="116"/>
      <c r="AY41" s="116"/>
      <c r="AZ41" s="116"/>
      <c r="BA41" s="116"/>
      <c r="BB41" s="116"/>
      <c r="BC41" s="116"/>
      <c r="BD41" s="116"/>
      <c r="BE41" s="116"/>
      <c r="BF41" s="116"/>
      <c r="BG41" s="116"/>
      <c r="BH41" s="116"/>
      <c r="BI41" s="116"/>
      <c r="BJ41" s="116"/>
      <c r="BK41" s="116"/>
      <c r="BL41" s="116"/>
      <c r="BM41" s="116"/>
      <c r="BN41" s="116"/>
      <c r="BO41" s="116"/>
      <c r="BP41" s="116"/>
      <c r="BQ41" s="116"/>
      <c r="BR41" s="116"/>
      <c r="BS41" s="116"/>
      <c r="BT41" s="116"/>
      <c r="BU41" s="116"/>
      <c r="BV41" s="116"/>
      <c r="BW41" s="116"/>
      <c r="BX41" s="116"/>
      <c r="BY41" s="116"/>
      <c r="BZ41" s="116"/>
      <c r="CA41" s="116"/>
      <c r="CB41" s="116"/>
      <c r="CC41" s="116"/>
      <c r="CD41" s="116"/>
      <c r="CE41" s="116"/>
      <c r="CF41" s="116"/>
      <c r="CG41" s="116"/>
      <c r="CH41" s="116"/>
      <c r="CI41" s="116"/>
      <c r="CJ41" s="116"/>
      <c r="CK41" s="116"/>
      <c r="CL41" s="116"/>
      <c r="CM41" s="116"/>
      <c r="CN41" s="116"/>
      <c r="CO41" s="116"/>
      <c r="CP41" s="116"/>
      <c r="CQ41" s="116"/>
      <c r="CR41" s="116"/>
      <c r="CS41" s="116"/>
      <c r="CT41" s="116"/>
      <c r="CU41" s="116"/>
      <c r="CV41" s="116"/>
      <c r="CW41" s="116"/>
      <c r="CX41" s="116"/>
      <c r="CY41" s="116"/>
      <c r="CZ41" s="116"/>
      <c r="DA41" s="116"/>
      <c r="DB41" s="116"/>
      <c r="DC41" s="116"/>
      <c r="DD41" s="116"/>
      <c r="DE41" s="116"/>
      <c r="DF41" s="116"/>
      <c r="DG41" s="116"/>
      <c r="DH41" s="116"/>
      <c r="DI41" s="116"/>
      <c r="DJ41" s="116"/>
      <c r="DK41" s="116"/>
      <c r="DL41" s="116"/>
      <c r="DM41" s="116"/>
      <c r="DN41" s="116"/>
      <c r="DO41" s="116"/>
      <c r="DP41" s="116"/>
      <c r="DQ41" s="116"/>
      <c r="DT41" t="s">
        <v>674</v>
      </c>
      <c r="DU41" s="821" t="s">
        <v>1246</v>
      </c>
      <c r="DV41" s="1464"/>
      <c r="DW41" s="826"/>
      <c r="DX41" s="836"/>
      <c r="DY41" s="306" t="str">
        <f>IF(DZ41=IFERROR(SEARCH(".",C$3,DZ40),99999),".",
IF(DZ41=IFERROR(SEARCH(",",C$3,DZ40),99999),",",
IF(DZ41=IFERROR(SEARCH(" за период",C$3,DZ40),999999)," за период",
IF(DZ41=IFERROR(SEARCH(" в размере",C$3,DZ40),99999)," в размере",
))))</f>
        <v>.</v>
      </c>
      <c r="DZ41" s="306">
        <f>MIN(
IFERROR(SEARCH(".",$C$3,DZ40),99999),
IFERROR(SEARCH(",",$C$3,DZ40),99999),
IFERROR(SEARCH(" в размере",$C$3,DZ40),99999))</f>
        <v>99999</v>
      </c>
      <c r="EA41" s="306"/>
      <c r="EB41" s="827"/>
      <c r="EC41" s="829"/>
      <c r="NK41" s="1464"/>
      <c r="NL41" s="826"/>
      <c r="NM41" s="836"/>
      <c r="NN41" s="306" t="str">
        <f>IF(NO41=IFERROR(SEARCH(".",NJ$4,NO40),99999),".",
IF(NO41=IFERROR(SEARCH(",",NJ$4,NO40),99999),",",
IF(NO41=IFERROR(SEARCH(" за период",NJ$4,NO40),999999)," за период",
IF(NO41=IFERROR(SEARCH(" в размере",NJ$4,NO40),99999)," в размере",
))))</f>
        <v>.</v>
      </c>
      <c r="NO41" s="306">
        <f>MIN(
IFERROR(SEARCH(".",NJ$4,NO40),99999),
IFERROR(SEARCH(",",NJ$4,NO40),99999),
IFERROR(SEARCH(" в размере",NJ$4,NO40),99999))</f>
        <v>99999</v>
      </c>
      <c r="NP41" s="306"/>
      <c r="NQ41" s="827"/>
      <c r="NR41" s="829"/>
      <c r="OC41" s="1472"/>
      <c r="OD41" s="946" t="str">
        <f t="shared" si="131"/>
        <v>$$$$</v>
      </c>
      <c r="OE41" s="947" t="e">
        <f t="shared" si="151"/>
        <v>#VALUE!</v>
      </c>
      <c r="OF41" s="947"/>
      <c r="OG41" s="920"/>
      <c r="OH41" s="920"/>
      <c r="OI41" s="947"/>
      <c r="OJ41" s="947"/>
      <c r="OK41" s="947"/>
      <c r="OL41" s="1474"/>
      <c r="OY41" s="116"/>
      <c r="OZ41" s="959"/>
      <c r="PA41" s="1210"/>
      <c r="PB41" s="959"/>
      <c r="PC41" s="116"/>
      <c r="PD41" s="1000"/>
      <c r="PF41" s="1209"/>
      <c r="PG41" s="1208"/>
      <c r="PH41" s="1209"/>
      <c r="PI41" s="5"/>
      <c r="PJ41" s="1073"/>
      <c r="PK41" s="99"/>
      <c r="PL41" s="920"/>
      <c r="PM41" s="995"/>
      <c r="PN41" s="920"/>
      <c r="PO41" s="254"/>
      <c r="PP41" s="871"/>
      <c r="PQ41" t="str">
        <f t="shared" si="133"/>
        <v xml:space="preserve">без учета износа составляет – </v>
      </c>
      <c r="PR41" s="937" t="e">
        <f t="shared" si="152"/>
        <v>#VALUE!</v>
      </c>
      <c r="PS41" s="5"/>
      <c r="PV41" s="937"/>
      <c r="PX41" s="5"/>
      <c r="PY41" s="1470"/>
      <c r="PZ41" t="str">
        <f t="shared" si="135"/>
        <v xml:space="preserve">с учетом износа </v>
      </c>
      <c r="QA41" s="937" t="e">
        <f t="shared" si="153"/>
        <v>#VALUE!</v>
      </c>
      <c r="QB41" s="5"/>
      <c r="QC41" s="264"/>
      <c r="QE41" s="937"/>
      <c r="QF41" s="264"/>
      <c r="QG41" s="5"/>
      <c r="QH41" s="1470"/>
      <c r="QI41" t="str">
        <f t="shared" si="137"/>
        <v>$$$$</v>
      </c>
      <c r="QJ41" s="937" t="e">
        <f t="shared" si="154"/>
        <v>#VALUE!</v>
      </c>
      <c r="QK41" s="5"/>
      <c r="QL41" s="264"/>
      <c r="QN41" s="937"/>
      <c r="QO41" s="264"/>
      <c r="QP41" s="5"/>
      <c r="QQ41" s="1470"/>
      <c r="QR41" t="str">
        <f t="shared" si="139"/>
        <v>$$$$</v>
      </c>
      <c r="QS41" s="937" t="e">
        <f t="shared" si="155"/>
        <v>#VALUE!</v>
      </c>
      <c r="QT41" s="5"/>
      <c r="QU41" s="264"/>
      <c r="QW41" s="937"/>
      <c r="QX41" s="264"/>
      <c r="QY41" s="5"/>
      <c r="QZ41" s="1470"/>
      <c r="SQ41" s="979"/>
      <c r="SY41" s="1464"/>
      <c r="SZ41" s="826"/>
      <c r="TA41" s="836"/>
      <c r="TB41" s="306" t="str">
        <f>IF(TC41=IFERROR(SEARCH(".",$SQ$3,TC40),99999),".",
IF(TC41=IFERROR(SEARCH(",",$SQ$3,TC40),99999),",",
IF(TC41=IFERROR(SEARCH(" за период",$SQ$3,TC40),999999)," за период",
IF(TC41=IFERROR(SEARCH(" в размере",$SQ$3,TC40),99999)," в размере",
))))</f>
        <v>.</v>
      </c>
      <c r="TC41" s="306">
        <f>MIN(
IFERROR(SEARCH(".",$SQ$3,TC40),99999),
IFERROR(SEARCH(",",$SQ$3,TC40),99999),
IFERROR(SEARCH(" в размере",$SQ$3,TC40),99999))</f>
        <v>99999</v>
      </c>
      <c r="TD41" s="306"/>
      <c r="TE41" s="827"/>
      <c r="TF41" s="829"/>
      <c r="TK41" s="1475">
        <v>10</v>
      </c>
      <c r="TL41" s="1030" t="s">
        <v>8433</v>
      </c>
      <c r="TM41" s="406" t="e">
        <f>SEARCH($TJ$14,TJ$4,TO37)+LEN($TJ$14)</f>
        <v>#VALUE!</v>
      </c>
      <c r="TN41" s="406" t="str">
        <f>IF(TO41=IFERROR(SEARCH(".",TJ$4,TM41),99999),".",
IF(TO41=IFERROR(SEARCH(",",TJ$4,TM41),99999),",",
IF(TO41=IFERROR(SEARCH(" за период",TJ$4,TM41),999999)," за период",
IF(TO41=IFERROR(SEARCH(" в размере",TJ$4,TM41),99999)," в размере",
IF(TO41=IFERROR(SEARCH(" и ",TJ$4,TM41),99999)," и ",
IF(TO41=IFERROR(SEARCH(")",TJ$4,TM41),99999),")",
))))))</f>
        <v>.</v>
      </c>
      <c r="TO41" s="406">
        <f>IFERROR(MIN(IFERROR(SEARCH(".",TJ$4,TM41),99999),IFERROR(SEARCH(",",TJ$4,TM41),99999),IFERROR(SEARCH(" за период",TJ$4,TM41),999999),IFERROR(SEARCH(" в размере",TJ$4,TM41),99999),IFERROR(SEARCH(" и ",TJ$4,TM41),99999),IFERROR(SEARCH(")",TJ$4,TM41),99999)),"ОШИБКА")</f>
        <v>99999</v>
      </c>
      <c r="TP41" s="406" t="e">
        <f>TO41-TM41</f>
        <v>#VALUE!</v>
      </c>
      <c r="TQ41" s="873" t="e">
        <f>MID(TJ$4,TM41,TP41)</f>
        <v>#VALUE!</v>
      </c>
      <c r="TR41" s="825" t="str">
        <f>IFERROR(INDEX($DU:$DU,MATCH(MID(TJ$4,TM41,TP41),$DT:$DT,0),1),"")</f>
        <v/>
      </c>
      <c r="TW41" s="1464"/>
      <c r="TX41" s="826"/>
      <c r="TY41" s="836"/>
      <c r="TZ41" s="306" t="str">
        <f>IF(UA41=IFERROR(SEARCH(".",$SQ$4,UA40),99999),".",
IF(UA41=IFERROR(SEARCH(",",$SQ$4,UA40),99999),",",
IF(UA41=IFERROR(SEARCH(" за период",$SQ$4,UA40),999999)," за период",
IF(UA41=IFERROR(SEARCH(" в размере",$SQ$4,UA40),99999)," в размере",
))))</f>
        <v>.</v>
      </c>
      <c r="UA41" s="306">
        <f>MIN(
IFERROR(SEARCH(".",$SQ$4,UA40),99999),
IFERROR(SEARCH(",",$SQ$4,UA40),99999),
IFERROR(SEARCH(" в размере",$SQ$4,UA40),99999))</f>
        <v>99999</v>
      </c>
      <c r="UB41" s="306"/>
      <c r="UC41" s="827"/>
      <c r="UD41" s="829"/>
      <c r="UI41" s="1475">
        <v>10</v>
      </c>
      <c r="UJ41" s="1030" t="s">
        <v>8433</v>
      </c>
      <c r="UK41" s="406" t="e">
        <f>SEARCH(UH$14,UH$4,UM37)+LEN(UH$14)</f>
        <v>#VALUE!</v>
      </c>
      <c r="UL41" s="406" t="str">
        <f>IF(UM41=IFERROR(SEARCH(".",UH$4,UK41),99999),".",
IF(UM41=IFERROR(SEARCH(",",UH$4,UK41),99999),",",
IF(UM41=IFERROR(SEARCH(" за период",UH$4,UK41),999999)," за период",
IF(UM41=IFERROR(SEARCH(" в размере",UH$4,UK41),99999)," в размере",
IF(UM41=IFERROR(SEARCH(" и ",UH$4,UK41),99999)," и ",
IF(UM41=IFERROR(SEARCH(")",UH$4,UK41),99999),")",
))))))</f>
        <v>.</v>
      </c>
      <c r="UM41" s="406">
        <f>IFERROR(MIN(IFERROR(SEARCH(".",UH$4,UK41),99999),IFERROR(SEARCH(",",UH$4,UK41),99999),IFERROR(SEARCH(" за период",UH$4,UK41),999999),IFERROR(SEARCH(" в размере",UH$4,UK41),99999),IFERROR(SEARCH(" и ",UH$4,UK41),99999),IFERROR(SEARCH(")",UH$4,UK41),99999)),"ОШИБКА")</f>
        <v>99999</v>
      </c>
      <c r="UN41" s="406" t="e">
        <f>UM41-UK41</f>
        <v>#VALUE!</v>
      </c>
      <c r="UO41" s="873" t="e">
        <f>MID(UH$4,UK41,UN41)</f>
        <v>#VALUE!</v>
      </c>
      <c r="UP41" s="825" t="str">
        <f>IFERROR(INDEX($DU:$DU,MATCH(MID(UH$4,UK41,UN41),$DT:$DT,0),1),"")</f>
        <v/>
      </c>
      <c r="UU41" s="1464"/>
      <c r="UV41" s="826"/>
      <c r="UW41" s="836"/>
      <c r="UX41" s="306" t="str">
        <f>IF(UY41=IFERROR(SEARCH(".",$SQ$5,UY40),99999),".",
IF(UY41=IFERROR(SEARCH(",",$SQ$5,UY40),99999),",",
IF(UY41=IFERROR(SEARCH(" за период",$SQ$5,UY40),999999)," за период",
IF(UY41=IFERROR(SEARCH(" в размере",$SQ$5,UY40),99999)," в размере",
))))</f>
        <v>.</v>
      </c>
      <c r="UY41" s="306">
        <f>MIN(
IFERROR(SEARCH(".",$SQ$5,UY40),99999),
IFERROR(SEARCH(",",$SQ$5,UY40),99999),
IFERROR(SEARCH(" в размере",$SQ$5,UY40),99999))</f>
        <v>99999</v>
      </c>
      <c r="UZ41" s="306"/>
      <c r="VA41" s="827"/>
      <c r="VB41" s="829"/>
      <c r="VG41" s="1475">
        <v>10</v>
      </c>
      <c r="VH41" s="1030" t="s">
        <v>8433</v>
      </c>
      <c r="VI41" s="406" t="e">
        <f>SEARCH(VF$14,VF$4,VK37)+LEN(VF$14)</f>
        <v>#VALUE!</v>
      </c>
      <c r="VJ41" s="406" t="str">
        <f>IF(VK41=IFERROR(SEARCH(".",VF$4,VI41),99999),".",
IF(VK41=IFERROR(SEARCH(",",VF$4,VI41),99999),",",
IF(VK41=IFERROR(SEARCH(" за период",VF$4,VI41),999999)," за период",
IF(VK41=IFERROR(SEARCH(" в размере",VF$4,VI41),99999)," в размере",
IF(VK41=IFERROR(SEARCH(" и ",VF$4,VI41),99999)," и ",
IF(VK41=IFERROR(SEARCH(")",VF$4,VI41),99999),")",
))))))</f>
        <v>.</v>
      </c>
      <c r="VK41" s="406">
        <f>IFERROR(MIN(IFERROR(SEARCH(".",VF$4,VI41),99999),IFERROR(SEARCH(",",VF$4,VI41),99999),IFERROR(SEARCH(" за период",VF$4,VI41),999999),IFERROR(SEARCH(" в размере",VF$4,VI41),99999),IFERROR(SEARCH(" и ",VF$4,VI41),99999),IFERROR(SEARCH(")",VF$4,VI41),99999)),"ОШИБКА")</f>
        <v>99999</v>
      </c>
      <c r="VL41" s="406" t="e">
        <f>VK41-VI41</f>
        <v>#VALUE!</v>
      </c>
      <c r="VM41" s="873" t="e">
        <f>MID(VF$4,VI41,VL41)</f>
        <v>#VALUE!</v>
      </c>
      <c r="VN41" s="825" t="str">
        <f>IFERROR(INDEX($DU:$DU,MATCH(MID(VF$4,VI41,VL41),$DT:$DT,0),1),"")</f>
        <v/>
      </c>
      <c r="VS41" s="1464"/>
      <c r="VT41" s="826"/>
      <c r="VU41" s="836"/>
      <c r="VV41" s="306" t="str">
        <f>IF(VW41=IFERROR(SEARCH(".",$SQ$6,VW40),99999),".",
IF(VW41=IFERROR(SEARCH(",",$SQ$6,VW40),99999),",",
IF(VW41=IFERROR(SEARCH(" за период",$SQ$6,VW40),999999)," за период",
IF(VW41=IFERROR(SEARCH(" в размере",$SQ$6,VW40),99999)," в размере",
))))</f>
        <v>.</v>
      </c>
      <c r="VW41" s="306">
        <f>MIN(
IFERROR(SEARCH(".",$SQ$6,VW40),99999),
IFERROR(SEARCH(",",$SQ$6,VW40),99999),
IFERROR(SEARCH(" в размере",$SQ$6,VW40),99999))</f>
        <v>99999</v>
      </c>
      <c r="VX41" s="306"/>
      <c r="VY41" s="827"/>
      <c r="VZ41" s="829"/>
      <c r="WE41" s="1475">
        <v>10</v>
      </c>
      <c r="WF41" s="1030" t="s">
        <v>8433</v>
      </c>
      <c r="WG41" s="406" t="e">
        <f>SEARCH($TJ$14,WD$4,WI37)+LEN($TJ$14)</f>
        <v>#VALUE!</v>
      </c>
      <c r="WH41" s="406" t="str">
        <f>IF(WI41=IFERROR(SEARCH(".",WD$4,WG41),99999),".",
IF(WI41=IFERROR(SEARCH(",",WD$4,WG41),99999),",",
IF(WI41=IFERROR(SEARCH(" за период",WD$4,WG41),999999)," за период",
IF(WI41=IFERROR(SEARCH(" в размере",WD$4,WG41),99999)," в размере",
IF(WI41=IFERROR(SEARCH(" и ",WD$4,WG41),99999)," и ",
IF(WI41=IFERROR(SEARCH(")",WD$4,WG41),99999),")",
))))))</f>
        <v>.</v>
      </c>
      <c r="WI41" s="406">
        <f>IFERROR(MIN(IFERROR(SEARCH(".",WD$4,WG41),99999),IFERROR(SEARCH(",",WD$4,WG41),99999),IFERROR(SEARCH(" за период",WD$4,WG41),999999),IFERROR(SEARCH(" в размере",WD$4,WG41),99999),IFERROR(SEARCH(" и ",WD$4,WG41),99999),IFERROR(SEARCH(")",WD$4,WG41),99999)),"ОШИБКА")</f>
        <v>99999</v>
      </c>
      <c r="WJ41" s="406" t="e">
        <f>WI41-WG41</f>
        <v>#VALUE!</v>
      </c>
      <c r="WK41" s="873" t="e">
        <f>MID(WD$4,WG41,WJ41)</f>
        <v>#VALUE!</v>
      </c>
      <c r="WL41" s="825" t="str">
        <f>IFERROR(INDEX($DU:$DU,MATCH(MID(WD$4,WG41,WJ41),$DT:$DT,0),1),"")</f>
        <v/>
      </c>
      <c r="WQ41" s="1464"/>
      <c r="WR41" s="826"/>
      <c r="WS41" s="836"/>
      <c r="WT41" s="306" t="str">
        <f>IF(WU41=IFERROR(SEARCH(".",$SQ$7,WU40),99999),".",
IF(WU41=IFERROR(SEARCH(",",$SQ$7,WU40),99999),",",
IF(WU41=IFERROR(SEARCH(" за период",$SQ$7,WU40),999999)," за период",
IF(WU41=IFERROR(SEARCH(" в размере",$SQ$7,WU40),99999)," в размере",
))))</f>
        <v>.</v>
      </c>
      <c r="WU41" s="306">
        <f>MIN(
IFERROR(SEARCH(".",$SQ$7,WU40),99999),
IFERROR(SEARCH(",",$SQ$7,WU40),99999),
IFERROR(SEARCH(" в размере",$SQ$7,WU40),99999))</f>
        <v>99999</v>
      </c>
      <c r="WV41" s="306"/>
      <c r="WW41" s="827"/>
      <c r="WX41" s="829"/>
      <c r="XC41" s="1475">
        <v>10</v>
      </c>
      <c r="XD41" s="1030" t="s">
        <v>8433</v>
      </c>
      <c r="XE41" s="406" t="e">
        <f>SEARCH($TJ$14,XB$4,XG37)+LEN($TJ$14)</f>
        <v>#VALUE!</v>
      </c>
      <c r="XF41" s="406" t="str">
        <f>IF(XG41=IFERROR(SEARCH(".",XB$4,XE41),99999),".",
IF(XG41=IFERROR(SEARCH(",",XB$4,XE41),99999),",",
IF(XG41=IFERROR(SEARCH(" за период",XB$4,XE41),999999)," за период",
IF(XG41=IFERROR(SEARCH(" в размере",XB$4,XE41),99999)," в размере",
IF(XG41=IFERROR(SEARCH(" и ",XB$4,XE41),99999)," и ",
IF(XG41=IFERROR(SEARCH(")",XB$4,XE41),99999),")",
))))))</f>
        <v>.</v>
      </c>
      <c r="XG41" s="406">
        <f>IFERROR(MIN(IFERROR(SEARCH(".",XB$4,XE41),99999),IFERROR(SEARCH(",",XB$4,XE41),99999),IFERROR(SEARCH(" за период",XB$4,XE41),999999),IFERROR(SEARCH(" в размере",XB$4,XE41),99999),IFERROR(SEARCH(" и ",XB$4,XE41),99999),IFERROR(SEARCH(")",XB$4,XE41),99999)),"ОШИБКА")</f>
        <v>99999</v>
      </c>
      <c r="XH41" s="406" t="e">
        <f>XG41-XE41</f>
        <v>#VALUE!</v>
      </c>
      <c r="XI41" s="873" t="e">
        <f>MID(XB$4,XE41,XH41)</f>
        <v>#VALUE!</v>
      </c>
      <c r="XJ41" s="825" t="str">
        <f>IFERROR(INDEX($DU:$DU,MATCH(MID(XB$4,XE41,XH41),$DT:$DT,0),1),"")</f>
        <v/>
      </c>
      <c r="YG41" s="1464"/>
      <c r="YH41" s="826"/>
      <c r="YI41" s="836"/>
      <c r="YJ41" s="306" t="str">
        <f>IF(YK41=IFERROR(SEARCH(".",$XU$3,YK40),99999),".",
IF(YK41=IFERROR(SEARCH(",",$XU$3,YK40),99999),",",
IF(YK41=IFERROR(SEARCH(" за период",$XU$3,YK40),999999)," за период",
IF(YK41=IFERROR(SEARCH(" в размере",$XU$3,YK40),99999)," в размере",
))))</f>
        <v>.</v>
      </c>
      <c r="YK41" s="306">
        <f>MIN(
IFERROR(SEARCH(".",$XU$3,YK40),99999),
IFERROR(SEARCH(",",$XU$3,YK40),99999),
IFERROR(SEARCH(" в размере",$XU$3,YK40),99999))</f>
        <v>99999</v>
      </c>
      <c r="YL41" s="306"/>
      <c r="YM41" s="827"/>
      <c r="YN41" s="829"/>
      <c r="YS41" s="1464"/>
      <c r="YT41" s="826"/>
      <c r="YU41" s="836"/>
      <c r="YV41" s="306" t="str">
        <f>IF(YW41=IFERROR(SEARCH(".",$XU$4,YW40),99999),".",
IF(YW41=IFERROR(SEARCH(",",$XU$4,YW40),99999),",",
IF(YW41=IFERROR(SEARCH(" за период",$XU$4,YW40),999999)," за период",
IF(YW41=IFERROR(SEARCH(" в размере",$XU$4,YW40),99999)," в размере",
))))</f>
        <v>.</v>
      </c>
      <c r="YW41" s="306">
        <f>MIN(
IFERROR(SEARCH(".",$XU$4,YW40),99999),
IFERROR(SEARCH(",",$XU$4,YW40),99999),
IFERROR(SEARCH(" в размере",$XU$4,YW40),99999))</f>
        <v>99999</v>
      </c>
      <c r="YX41" s="306"/>
      <c r="YY41" s="827"/>
      <c r="YZ41" s="829"/>
      <c r="ZE41" s="1464"/>
      <c r="ZF41" s="826"/>
      <c r="ZG41" s="836"/>
      <c r="ZH41" s="306" t="str">
        <f>IF(ZI41=IFERROR(SEARCH(".",$XU$5,ZI40),99999),".",
IF(ZI41=IFERROR(SEARCH(",",$XU$5,ZI40),99999),",",
IF(ZI41=IFERROR(SEARCH(" за период",$XU$5,ZI40),999999)," за период",
IF(ZI41=IFERROR(SEARCH(" в размере",$XU$5,ZI40),99999)," в размере",
))))</f>
        <v>.</v>
      </c>
      <c r="ZI41" s="306">
        <f>MIN(
IFERROR(SEARCH(".",$XU$5,ZI40),99999),
IFERROR(SEARCH(",",$XU$5,ZI40),99999),
IFERROR(SEARCH(" в размере",$XU$5,ZI40),99999))</f>
        <v>99999</v>
      </c>
      <c r="ZJ41" s="306"/>
      <c r="ZK41" s="827"/>
      <c r="ZL41" s="829"/>
      <c r="ZQ41" s="1464"/>
      <c r="ZR41" s="826"/>
      <c r="ZS41" s="836"/>
      <c r="ZT41" s="306" t="str">
        <f>IF(ZU41=IFERROR(SEARCH(".",$XU$6,ZU40),99999),".",
IF(ZU41=IFERROR(SEARCH(",",$XU$6,ZU40),99999),",",
IF(ZU41=IFERROR(SEARCH(" за период",$XU$6,ZU40),999999)," за период",
IF(ZU41=IFERROR(SEARCH(" в размере",$XU$6,ZU40),99999)," в размере",
))))</f>
        <v>.</v>
      </c>
      <c r="ZU41" s="306">
        <f>MIN(
IFERROR(SEARCH(".",$XU$6,ZU40),99999),
IFERROR(SEARCH(",",$XU$6,ZU40),99999),
IFERROR(SEARCH(" в размере",$XU$6,ZU40),99999))</f>
        <v>99999</v>
      </c>
      <c r="ZV41" s="306"/>
      <c r="ZW41" s="827"/>
      <c r="ZX41" s="829"/>
      <c r="AAC41" s="1464"/>
      <c r="AAD41" s="826"/>
      <c r="AAE41" s="836"/>
      <c r="AAF41" s="306" t="str">
        <f>IF(AAG41=IFERROR(SEARCH(".",$XU$7,AAG40),99999),".",
IF(AAG41=IFERROR(SEARCH(",",$XU$7,AAG40),99999),",",
IF(AAG41=IFERROR(SEARCH(" за период",$XU$7,AAG40),999999)," за период",
IF(AAG41=IFERROR(SEARCH(" в размере",$XU$7,AAG40),99999)," в размере",
))))</f>
        <v>.</v>
      </c>
      <c r="AAG41" s="306">
        <f>MIN(
IFERROR(SEARCH(".",$XU$7,AAG40),99999),
IFERROR(SEARCH(",",$XU$7,AAG40),99999),
IFERROR(SEARCH(" в размере",$XU$7,AAG40),99999))</f>
        <v>99999</v>
      </c>
      <c r="AAH41" s="306"/>
      <c r="AAI41" s="827"/>
      <c r="AAJ41" s="829"/>
      <c r="AAV41" t="str">
        <f t="shared" si="141"/>
        <v>$$$$</v>
      </c>
      <c r="AAW41" s="947" t="e">
        <f t="shared" si="156"/>
        <v>#VALUE!</v>
      </c>
      <c r="AAX41" s="5"/>
      <c r="AAY41" s="5"/>
      <c r="AAZ41" s="5"/>
      <c r="ABA41" s="1487"/>
      <c r="ADF41" s="5"/>
      <c r="ADG41" s="1075"/>
      <c r="ADQ41" s="1075"/>
      <c r="AEJ41" s="961"/>
      <c r="AEK41" s="961"/>
      <c r="AEL41" s="961"/>
      <c r="AEX41" s="1070"/>
      <c r="AFA41" s="1070"/>
      <c r="AFE41" s="1464"/>
      <c r="AFF41" s="826"/>
      <c r="AFG41" s="836"/>
      <c r="AFH41" s="306" t="str">
        <f>IF(AFI41=IFERROR(SEARCH(".",AFD$4,AFI40),99999),".",
IF(AFI41=IFERROR(SEARCH(",",AFD$4,AFI40),99999),",",
IF(AFI41=IFERROR(SEARCH(" за период",AFD$4,AFI40),999999)," за период",
IF(AFI41=IFERROR(SEARCH(" в размере",AFD$4,AFI40),99999)," в размере",
))))</f>
        <v>.</v>
      </c>
      <c r="AFI41" s="306">
        <f>MIN(
IFERROR(SEARCH(".",AFD$4,AFI40),99999),
IFERROR(SEARCH(",",AFD$4,AFI40),99999),
IFERROR(SEARCH(" в размере",AFD$4,AFI40),99999))</f>
        <v>99999</v>
      </c>
      <c r="AFJ41" s="306"/>
      <c r="AFK41" s="827"/>
      <c r="AFL41" s="829"/>
      <c r="AFQ41" s="1464"/>
      <c r="AFR41" s="826"/>
      <c r="AFS41" s="836"/>
      <c r="AFT41" s="306" t="str">
        <f>IF(AFU41=IFERROR(SEARCH(".",AFP$4,AFU40),99999),".",
IF(AFU41=IFERROR(SEARCH(",",AFP$4,AFU40),99999),",",
IF(AFU41=IFERROR(SEARCH(" за период",AFP$4,AFU40),999999)," за период",
IF(AFU41=IFERROR(SEARCH(" в размере",AFP$4,AFU40),99999)," в размере",
))))</f>
        <v>.</v>
      </c>
      <c r="AFU41" s="306">
        <f>MIN(
IFERROR(SEARCH(".",AFP$4,AFU40),99999),
IFERROR(SEARCH(",",AFP$4,AFU40),99999),
IFERROR(SEARCH(" в размере",AFP$4,AFU40),99999))</f>
        <v>99999</v>
      </c>
      <c r="AFV41" s="306"/>
      <c r="AFW41" s="827"/>
      <c r="AFX41" s="829"/>
      <c r="AGC41" s="1464"/>
      <c r="AGD41" s="826"/>
      <c r="AGE41" s="836"/>
      <c r="AGF41" s="306" t="str">
        <f>IF(AGG41=IFERROR(SEARCH(".",AGB$4,AGG40),99999),".",
IF(AGG41=IFERROR(SEARCH(",",AGB$4,AGG40),99999),",",
IF(AGG41=IFERROR(SEARCH(" за период",AGB$4,AGG40),999999)," за период",
IF(AGG41=IFERROR(SEARCH(" в размере",AGB$4,AGG40),99999)," в размере",
))))</f>
        <v>.</v>
      </c>
      <c r="AGG41" s="306">
        <f>MIN(
IFERROR(SEARCH(".",AGB$4,AGG40),99999),
IFERROR(SEARCH(",",AGB$4,AGG40),99999),
IFERROR(SEARCH(" в размере",AGB$4,AGG40),99999))</f>
        <v>99999</v>
      </c>
      <c r="AGH41" s="306"/>
      <c r="AGI41" s="827"/>
      <c r="AGJ41" s="829"/>
      <c r="AGO41" s="1464"/>
      <c r="AGP41" s="826"/>
      <c r="AGQ41" s="836"/>
      <c r="AGR41" s="306" t="str">
        <f>IF(AGS41=IFERROR(SEARCH(".",AGN$4,AGS40),99999),".",
IF(AGS41=IFERROR(SEARCH(",",AGN$4,AGS40),99999),",",
IF(AGS41=IFERROR(SEARCH(" за период",AGN$4,AGS40),999999)," за период",
IF(AGS41=IFERROR(SEARCH(" в размере",AGN$4,AGS40),99999)," в размере",
))))</f>
        <v>.</v>
      </c>
      <c r="AGS41" s="306">
        <f>MIN(
IFERROR(SEARCH(".",AGN$4,AGS40),99999),
IFERROR(SEARCH(",",AGN$4,AGS40),99999),
IFERROR(SEARCH(" в размере",AGN$4,AGS40),99999))</f>
        <v>99999</v>
      </c>
      <c r="AGT41" s="306"/>
      <c r="AGU41" s="827"/>
      <c r="AGV41" s="829"/>
      <c r="AHA41" s="1464"/>
      <c r="AHB41" s="826"/>
      <c r="AHC41" s="836"/>
      <c r="AHD41" s="306" t="str">
        <f>IF(AHE41=IFERROR(SEARCH(".",AGZ$4,AHE40),99999),".",
IF(AHE41=IFERROR(SEARCH(",",AGZ$4,AHE40),99999),",",
IF(AHE41=IFERROR(SEARCH(" за период",AGZ$4,AHE40),999999)," за период",
IF(AHE41=IFERROR(SEARCH(" в размере",AGZ$4,AHE40),99999)," в размере",
))))</f>
        <v>.</v>
      </c>
      <c r="AHE41" s="306">
        <f>MIN(
IFERROR(SEARCH(".",AGZ$4,AHE40),99999),
IFERROR(SEARCH(",",AGZ$4,AHE40),99999),
IFERROR(SEARCH(" в размере",AGZ$4,AHE40),99999))</f>
        <v>99999</v>
      </c>
      <c r="AHF41" s="306"/>
      <c r="AHG41" s="827"/>
      <c r="AHH41" s="829"/>
    </row>
    <row r="42" spans="1:893" ht="14.4" customHeight="1" x14ac:dyDescent="0.3">
      <c r="A42" s="116"/>
      <c r="B42" s="116"/>
      <c r="C42" s="116"/>
      <c r="D42" s="116"/>
      <c r="E42" s="116"/>
      <c r="F42" s="116"/>
      <c r="G42" s="116"/>
      <c r="H42" s="116"/>
      <c r="I42" s="116"/>
      <c r="J42" s="116"/>
      <c r="K42" s="116"/>
      <c r="L42" s="116"/>
      <c r="M42" s="116"/>
      <c r="N42" s="116"/>
      <c r="O42" s="116"/>
      <c r="P42" s="116"/>
      <c r="Q42" s="116"/>
      <c r="R42" s="116"/>
      <c r="S42" s="116"/>
      <c r="T42" s="116"/>
      <c r="U42" s="116"/>
      <c r="V42" s="116"/>
      <c r="W42" s="116"/>
      <c r="X42" s="116"/>
      <c r="Y42" s="116"/>
      <c r="Z42" s="116"/>
      <c r="AA42" s="116"/>
      <c r="AB42" s="116"/>
      <c r="AC42" s="116"/>
      <c r="AD42" s="116"/>
      <c r="AE42" s="116"/>
      <c r="AF42" s="116"/>
      <c r="AG42" s="116"/>
      <c r="AH42" s="116"/>
      <c r="AI42" s="116"/>
      <c r="AJ42" s="116"/>
      <c r="AK42" s="116"/>
      <c r="AL42" s="116"/>
      <c r="AM42" s="116"/>
      <c r="AN42" s="116"/>
      <c r="AO42" s="116"/>
      <c r="AP42" s="116"/>
      <c r="AQ42" s="116"/>
      <c r="AR42" s="116"/>
      <c r="AS42" s="116"/>
      <c r="AT42" s="116"/>
      <c r="AU42" s="116"/>
      <c r="AV42" s="116"/>
      <c r="AW42" s="116"/>
      <c r="AX42" s="116"/>
      <c r="AY42" s="116"/>
      <c r="AZ42" s="116"/>
      <c r="BA42" s="116"/>
      <c r="BB42" s="116"/>
      <c r="BC42" s="116"/>
      <c r="BD42" s="116"/>
      <c r="BE42" s="116"/>
      <c r="BF42" s="116"/>
      <c r="BG42" s="116"/>
      <c r="BH42" s="116"/>
      <c r="BI42" s="116"/>
      <c r="BJ42" s="116"/>
      <c r="BK42" s="116"/>
      <c r="BL42" s="116"/>
      <c r="BM42" s="116"/>
      <c r="BN42" s="116"/>
      <c r="BO42" s="116"/>
      <c r="BP42" s="116"/>
      <c r="BQ42" s="116"/>
      <c r="BR42" s="116"/>
      <c r="BS42" s="116"/>
      <c r="BT42" s="116"/>
      <c r="BU42" s="116"/>
      <c r="BV42" s="116"/>
      <c r="BW42" s="116"/>
      <c r="BX42" s="116"/>
      <c r="BY42" s="116"/>
      <c r="BZ42" s="116"/>
      <c r="CA42" s="116"/>
      <c r="CB42" s="116"/>
      <c r="CC42" s="116"/>
      <c r="CD42" s="116"/>
      <c r="CE42" s="116"/>
      <c r="CF42" s="116"/>
      <c r="CG42" s="116"/>
      <c r="CH42" s="116"/>
      <c r="CI42" s="116"/>
      <c r="CJ42" s="116"/>
      <c r="CK42" s="116"/>
      <c r="CL42" s="116"/>
      <c r="CM42" s="116"/>
      <c r="CN42" s="116"/>
      <c r="CO42" s="116"/>
      <c r="CP42" s="116"/>
      <c r="CQ42" s="116"/>
      <c r="CR42" s="116"/>
      <c r="CS42" s="116"/>
      <c r="CT42" s="116"/>
      <c r="CU42" s="116"/>
      <c r="CV42" s="116"/>
      <c r="CW42" s="116"/>
      <c r="CX42" s="116"/>
      <c r="CY42" s="116"/>
      <c r="CZ42" s="116"/>
      <c r="DA42" s="116"/>
      <c r="DB42" s="116"/>
      <c r="DC42" s="116"/>
      <c r="DD42" s="116"/>
      <c r="DE42" s="116"/>
      <c r="DF42" s="116"/>
      <c r="DG42" s="116"/>
      <c r="DH42" s="116"/>
      <c r="DI42" s="116"/>
      <c r="DJ42" s="116"/>
      <c r="DK42" s="116"/>
      <c r="DL42" s="116"/>
      <c r="DM42" s="116"/>
      <c r="DN42" s="116"/>
      <c r="DO42" s="116"/>
      <c r="DP42" s="116"/>
      <c r="DQ42" s="116"/>
      <c r="DT42" t="s">
        <v>3144</v>
      </c>
      <c r="DU42" s="821" t="s">
        <v>604</v>
      </c>
      <c r="DV42" s="1464"/>
      <c r="DW42" s="830" t="s">
        <v>8249</v>
      </c>
      <c r="DX42" s="836" t="str">
        <f>IF(OR(DY41=" в размере",DY38=" в размере"),SEARCH(" в размере",$C$3,DZ38)+LEN(" в размере")+1,"НЕТ")</f>
        <v>НЕТ</v>
      </c>
      <c r="DY42" s="306" t="s">
        <v>8431</v>
      </c>
      <c r="DZ42" s="306" t="e">
        <f>SEARCH(DY42,$C$3,DX42)</f>
        <v>#VALUE!</v>
      </c>
      <c r="EA42" s="306" t="e">
        <f>DZ42-DX42</f>
        <v>#VALUE!</v>
      </c>
      <c r="EB42" s="826" t="e">
        <f>IF(EC38="Штраф 50%","",MID($C$3,DX42,EA42))</f>
        <v>#VALUE!</v>
      </c>
      <c r="EC42" s="829"/>
      <c r="NK42" s="1464"/>
      <c r="NL42" s="830" t="s">
        <v>8249</v>
      </c>
      <c r="NM42" s="836" t="e">
        <f>SEARCH(" в размере",NJ$4,NO38)+LEN(" в размере")+1</f>
        <v>#VALUE!</v>
      </c>
      <c r="NN42" s="306" t="s">
        <v>8431</v>
      </c>
      <c r="NO42" s="306" t="e">
        <f>SEARCH(NN42,NJ$4,NM42)</f>
        <v>#VALUE!</v>
      </c>
      <c r="NP42" s="306" t="e">
        <f>NO42-NM42</f>
        <v>#VALUE!</v>
      </c>
      <c r="NQ42" s="826" t="e">
        <f>IF(NR38="Штраф 50%","",MID(NJ$4,NM42,NP42))</f>
        <v>#VALUE!</v>
      </c>
      <c r="NR42" s="829"/>
      <c r="OC42" s="1472"/>
      <c r="OD42" s="946" t="str">
        <f t="shared" si="131"/>
        <v>$$$$</v>
      </c>
      <c r="OE42" s="947" t="e">
        <f t="shared" si="151"/>
        <v>#VALUE!</v>
      </c>
      <c r="OF42" s="947"/>
      <c r="OG42" s="920"/>
      <c r="OH42" s="920"/>
      <c r="OI42" s="947"/>
      <c r="OJ42" s="947"/>
      <c r="OK42" s="947"/>
      <c r="OL42" s="1474"/>
      <c r="OY42" s="116"/>
      <c r="OZ42" s="959"/>
      <c r="PA42" s="1210"/>
      <c r="PB42" s="959"/>
      <c r="PC42" s="116"/>
      <c r="PD42" s="1000"/>
      <c r="PF42" s="1209"/>
      <c r="PG42" s="1208"/>
      <c r="PH42" s="1209"/>
      <c r="PI42" s="5"/>
      <c r="PJ42" s="1073"/>
      <c r="PK42" s="99"/>
      <c r="PL42" s="920"/>
      <c r="PM42" s="995"/>
      <c r="PN42" s="920"/>
      <c r="PO42" s="254"/>
      <c r="PP42" s="871"/>
      <c r="PQ42" t="str">
        <f t="shared" si="133"/>
        <v>$$$$</v>
      </c>
      <c r="PR42" s="937" t="e">
        <f t="shared" si="152"/>
        <v>#VALUE!</v>
      </c>
      <c r="PS42" s="5"/>
      <c r="PV42" s="937"/>
      <c r="PX42" s="5"/>
      <c r="PY42" s="1470"/>
      <c r="PZ42" t="str">
        <f t="shared" si="135"/>
        <v>$$$$</v>
      </c>
      <c r="QA42" s="937" t="e">
        <f t="shared" si="153"/>
        <v>#VALUE!</v>
      </c>
      <c r="QB42" s="5"/>
      <c r="QC42" s="264"/>
      <c r="QE42" s="937"/>
      <c r="QF42" s="264"/>
      <c r="QG42" s="5"/>
      <c r="QH42" s="1470"/>
      <c r="QI42" t="str">
        <f t="shared" si="137"/>
        <v>$$$$</v>
      </c>
      <c r="QJ42" s="937" t="e">
        <f t="shared" si="154"/>
        <v>#VALUE!</v>
      </c>
      <c r="QK42" s="5"/>
      <c r="QL42" s="264"/>
      <c r="QN42" s="937"/>
      <c r="QO42" s="264"/>
      <c r="QP42" s="5"/>
      <c r="QQ42" s="1470"/>
      <c r="QR42" t="str">
        <f t="shared" si="139"/>
        <v>$$$$</v>
      </c>
      <c r="QS42" s="937" t="e">
        <f t="shared" si="155"/>
        <v>#VALUE!</v>
      </c>
      <c r="QT42" s="5"/>
      <c r="QU42" s="264"/>
      <c r="QW42" s="937"/>
      <c r="QX42" s="264"/>
      <c r="QY42" s="5"/>
      <c r="QZ42" s="1470"/>
      <c r="SQ42" s="979"/>
      <c r="SY42" s="1464"/>
      <c r="SZ42" s="830" t="s">
        <v>8249</v>
      </c>
      <c r="TA42" s="836" t="e">
        <f>IF(NOT(ISERROR(SEARCH("НДФЛ",SX$4))),MIN(SEARCH("в размере ",SX$4,TC38)+LEN("в размере "),SEARCH("исходя из суммы ",SX$4,TC38)+LEN("исходя из суммы ")),SEARCH(" в размере",SX$4,TC38)+LEN(" в размере")+1)</f>
        <v>#VALUE!</v>
      </c>
      <c r="TB42" s="306" t="s">
        <v>8431</v>
      </c>
      <c r="TC42" s="306" t="e">
        <f>SEARCH(TB42,$SQ$3,TA42)</f>
        <v>#VALUE!</v>
      </c>
      <c r="TD42" s="306" t="e">
        <f>TC42-TA42</f>
        <v>#VALUE!</v>
      </c>
      <c r="TE42" s="826" t="e">
        <f>IF(TF38="Штраф 50%","",MID($SQ$3,TA42,TD42))</f>
        <v>#VALUE!</v>
      </c>
      <c r="TF42" s="829"/>
      <c r="TK42" s="1476"/>
      <c r="TL42" s="1031" t="s">
        <v>8249</v>
      </c>
      <c r="TM42" s="836">
        <f>IFERROR(MIN(IFERROR(SEARCH(", ",TJ$4,TO37)+LEN(", "),99999),IFERROR(SEARCH("и ",TJ$4,TO37)+LEN("и "),99999)),"ОШИБКА")</f>
        <v>99999</v>
      </c>
      <c r="TN42" s="306" t="s">
        <v>8431</v>
      </c>
      <c r="TO42" s="306" t="e">
        <f>SEARCH(TN42,TJ$4,TM42)</f>
        <v>#VALUE!</v>
      </c>
      <c r="TP42" s="306" t="e">
        <f>TO42-TM42</f>
        <v>#VALUE!</v>
      </c>
      <c r="TQ42" s="826" t="e">
        <f>IF(TR41="Штраф 50%","",MID(TJ$4,TM42,TP42))</f>
        <v>#VALUE!</v>
      </c>
      <c r="TR42" s="828" t="str">
        <f>IF(TN41=" за период",TQ42,"")</f>
        <v/>
      </c>
      <c r="TW42" s="1464"/>
      <c r="TX42" s="830" t="s">
        <v>8249</v>
      </c>
      <c r="TY42" s="836" t="e">
        <f>IF(NOT(ISERROR(SEARCH("НДФЛ",TV$4))),MIN(SEARCH("в размере ",TV$4,UA38)+LEN("в размере "),SEARCH("исходя из суммы ",TV$4,UA38)+LEN("исходя из суммы ")),SEARCH(" в размере",TV$4,UA38)+LEN(" в размере")+1)</f>
        <v>#VALUE!</v>
      </c>
      <c r="TZ42" s="306" t="s">
        <v>8431</v>
      </c>
      <c r="UA42" s="306" t="e">
        <f>SEARCH(TZ42,$SQ$4,TY42)</f>
        <v>#VALUE!</v>
      </c>
      <c r="UB42" s="306" t="e">
        <f>UA42-TY42</f>
        <v>#VALUE!</v>
      </c>
      <c r="UC42" s="826" t="e">
        <f>IF(UD38="Штраф 50%","",MID($SQ$4,TY42,UB42))</f>
        <v>#VALUE!</v>
      </c>
      <c r="UD42" s="829"/>
      <c r="UI42" s="1476"/>
      <c r="UJ42" s="1031" t="s">
        <v>8249</v>
      </c>
      <c r="UK42" s="836">
        <f>IFERROR(MIN(IFERROR(SEARCH(", ",UH$4,UM37)+LEN(", "),99999),IFERROR(SEARCH("и ",UH$4,UM37)+LEN("и "),99999)),"ОШИБКА")</f>
        <v>99999</v>
      </c>
      <c r="UL42" s="306" t="s">
        <v>8431</v>
      </c>
      <c r="UM42" s="306" t="e">
        <f>SEARCH(UL42,UH$4,UK42)</f>
        <v>#VALUE!</v>
      </c>
      <c r="UN42" s="306" t="e">
        <f>UM42-UK42</f>
        <v>#VALUE!</v>
      </c>
      <c r="UO42" s="826" t="e">
        <f>IF(UP41="Штраф 50%","",MID(UH$4,UK42,UN42))</f>
        <v>#VALUE!</v>
      </c>
      <c r="UP42" s="828" t="str">
        <f>IF(UL41=" за период",UO42,"")</f>
        <v/>
      </c>
      <c r="UU42" s="1464"/>
      <c r="UV42" s="830" t="s">
        <v>8249</v>
      </c>
      <c r="UW42" s="836" t="e">
        <f>IF(NOT(ISERROR(SEARCH("НДФЛ",UT$4))),MIN(SEARCH("в размере ",UT$4,UY38)+LEN("в размере "),SEARCH("исходя из суммы ",UT$4,UY38)+LEN("исходя из суммы ")),SEARCH(" в размере",UT$4,UY38)+LEN(" в размере")+1)</f>
        <v>#VALUE!</v>
      </c>
      <c r="UX42" s="306" t="s">
        <v>8431</v>
      </c>
      <c r="UY42" s="306" t="e">
        <f>SEARCH(UX42,$SQ$5,UW42)</f>
        <v>#VALUE!</v>
      </c>
      <c r="UZ42" s="306" t="e">
        <f>UY42-UW42</f>
        <v>#VALUE!</v>
      </c>
      <c r="VA42" s="826" t="e">
        <f>IF(VB38="Штраф 50%","",MID($SQ$5,UW42,UZ42))</f>
        <v>#VALUE!</v>
      </c>
      <c r="VB42" s="829"/>
      <c r="VG42" s="1476"/>
      <c r="VH42" s="1031" t="s">
        <v>8249</v>
      </c>
      <c r="VI42" s="836">
        <f>IFERROR(MIN(IFERROR(SEARCH(", ",VF$4,VK37)+LEN(", "),99999),IFERROR(SEARCH("и ",VF$4,VK37)+LEN("и "),99999)),"ОШИБКА")</f>
        <v>99999</v>
      </c>
      <c r="VJ42" s="306" t="s">
        <v>8431</v>
      </c>
      <c r="VK42" s="306" t="e">
        <f>SEARCH(VJ42,VF$4,VI42)</f>
        <v>#VALUE!</v>
      </c>
      <c r="VL42" s="306" t="e">
        <f>VK42-VI42</f>
        <v>#VALUE!</v>
      </c>
      <c r="VM42" s="826" t="e">
        <f>IF(VN41="Штраф 50%","",MID(VF$4,VI42,VL42))</f>
        <v>#VALUE!</v>
      </c>
      <c r="VN42" s="828" t="str">
        <f>IF(VJ41=" за период",VM42,"")</f>
        <v/>
      </c>
      <c r="VS42" s="1464"/>
      <c r="VT42" s="830" t="s">
        <v>8249</v>
      </c>
      <c r="VU42" s="836" t="e">
        <f>IF(NOT(ISERROR(SEARCH("НДФЛ",VR$4))),MIN(SEARCH("в размере ",VR$4,VW38)+LEN("в размере "),SEARCH("исходя из суммы ",VR$4,VW38)+LEN("исходя из суммы ")),SEARCH(" в размере",VR$4,VW38)+LEN(" в размере")+1)</f>
        <v>#VALUE!</v>
      </c>
      <c r="VV42" s="306" t="s">
        <v>8431</v>
      </c>
      <c r="VW42" s="306" t="e">
        <f>SEARCH(VV42,$SQ$6,VU42)</f>
        <v>#VALUE!</v>
      </c>
      <c r="VX42" s="306" t="e">
        <f>VW42-VU42</f>
        <v>#VALUE!</v>
      </c>
      <c r="VY42" s="826" t="e">
        <f>IF(VZ38="Штраф 50%","",MID($SQ$6,VU42,VX42))</f>
        <v>#VALUE!</v>
      </c>
      <c r="VZ42" s="829"/>
      <c r="WE42" s="1476"/>
      <c r="WF42" s="1031" t="s">
        <v>8249</v>
      </c>
      <c r="WG42" s="836">
        <f>IFERROR(MIN(IFERROR(SEARCH(", ",WD$4,WI37)+LEN(", "),99999),IFERROR(SEARCH("и ",WD$4,WI37)+LEN("и "),99999)),"ОШИБКА")</f>
        <v>99999</v>
      </c>
      <c r="WH42" s="306" t="s">
        <v>8431</v>
      </c>
      <c r="WI42" s="306" t="e">
        <f>SEARCH(WH42,WD$4,WG42)</f>
        <v>#VALUE!</v>
      </c>
      <c r="WJ42" s="306" t="e">
        <f>WI42-WG42</f>
        <v>#VALUE!</v>
      </c>
      <c r="WK42" s="826" t="e">
        <f>IF(WL41="Штраф 50%","",MID(WD$4,WG42,WJ42))</f>
        <v>#VALUE!</v>
      </c>
      <c r="WL42" s="828" t="str">
        <f>IF(WH41=" за период",WK42,"")</f>
        <v/>
      </c>
      <c r="WQ42" s="1464"/>
      <c r="WR42" s="830" t="s">
        <v>8249</v>
      </c>
      <c r="WS42" s="836" t="e">
        <f>IF(NOT(ISERROR(SEARCH("НДФЛ",WP$4))),MIN(SEARCH("в размере ",WP$4,WU38)+LEN("в размере "),SEARCH("исходя из суммы ",WP$4,WU38)+LEN("исходя из суммы ")),SEARCH(" в размере",WP$4,WU38)+LEN(" в размере")+1)</f>
        <v>#VALUE!</v>
      </c>
      <c r="WT42" s="306" t="s">
        <v>8431</v>
      </c>
      <c r="WU42" s="306" t="e">
        <f>SEARCH(WT42,$SQ$7,WS42)</f>
        <v>#VALUE!</v>
      </c>
      <c r="WV42" s="306" t="e">
        <f>WU42-WS42</f>
        <v>#VALUE!</v>
      </c>
      <c r="WW42" s="826" t="e">
        <f>IF(WX38="Штраф 50%","",MID($SQ$7,WS42,WV42))</f>
        <v>#VALUE!</v>
      </c>
      <c r="WX42" s="829"/>
      <c r="XC42" s="1476"/>
      <c r="XD42" s="1031" t="s">
        <v>8249</v>
      </c>
      <c r="XE42" s="836">
        <f>IFERROR(MIN(IFERROR(SEARCH(", ",XB$4,XG37)+LEN(", "),99999),IFERROR(SEARCH("и ",XB$4,XG37)+LEN("и "),99999)),"ОШИБКА")</f>
        <v>99999</v>
      </c>
      <c r="XF42" s="306" t="s">
        <v>8431</v>
      </c>
      <c r="XG42" s="306" t="e">
        <f>SEARCH(XF42,XB$4,XE42)</f>
        <v>#VALUE!</v>
      </c>
      <c r="XH42" s="306" t="e">
        <f>XG42-XE42</f>
        <v>#VALUE!</v>
      </c>
      <c r="XI42" s="826" t="e">
        <f>IF(XJ41="Штраф 50%","",MID(XB$4,XE42,XH42))</f>
        <v>#VALUE!</v>
      </c>
      <c r="XJ42" s="828" t="str">
        <f>IF(XF41=" за период",XI42,"")</f>
        <v/>
      </c>
      <c r="YG42" s="1464"/>
      <c r="YH42" s="830" t="s">
        <v>8249</v>
      </c>
      <c r="YI42" s="836" t="str">
        <f>IF(OR(YJ41=" в размере",YJ38=" в размере"),SEARCH(" в размере",$XU$3,YK38)+LEN(" в размере")+1,"НЕТ")</f>
        <v>НЕТ</v>
      </c>
      <c r="YJ42" s="306" t="s">
        <v>8431</v>
      </c>
      <c r="YK42" s="306" t="e">
        <f>SEARCH(YJ42,$XU$3,YI42)</f>
        <v>#VALUE!</v>
      </c>
      <c r="YL42" s="306" t="e">
        <f>YK42-YI42</f>
        <v>#VALUE!</v>
      </c>
      <c r="YM42" s="826" t="e">
        <f>IF(YN38="Штраф 50%","",MID($XU$3,YI42,YL42))</f>
        <v>#VALUE!</v>
      </c>
      <c r="YN42" s="829"/>
      <c r="YS42" s="1464"/>
      <c r="YT42" s="830" t="s">
        <v>8249</v>
      </c>
      <c r="YU42" s="836" t="e">
        <f>SEARCH(" в размере",$XU$4,YW38)+LEN(" в размере")+1</f>
        <v>#VALUE!</v>
      </c>
      <c r="YV42" s="306" t="s">
        <v>8431</v>
      </c>
      <c r="YW42" s="306" t="e">
        <f>SEARCH(YV42,$XU$4,YU42)</f>
        <v>#VALUE!</v>
      </c>
      <c r="YX42" s="306" t="e">
        <f>YW42-YU42</f>
        <v>#VALUE!</v>
      </c>
      <c r="YY42" s="826" t="e">
        <f>IF(YZ38="Штраф 50%","",MID($XU$4,YU42,YX42))</f>
        <v>#VALUE!</v>
      </c>
      <c r="YZ42" s="829"/>
      <c r="ZE42" s="1464"/>
      <c r="ZF42" s="830" t="s">
        <v>8249</v>
      </c>
      <c r="ZG42" s="836" t="e">
        <f>SEARCH(" в размере",$XU$5,ZI38)+LEN(" в размере")+1</f>
        <v>#VALUE!</v>
      </c>
      <c r="ZH42" s="306" t="s">
        <v>8431</v>
      </c>
      <c r="ZI42" s="306" t="e">
        <f>SEARCH(ZH42,$XU$5,ZG42)</f>
        <v>#VALUE!</v>
      </c>
      <c r="ZJ42" s="306" t="e">
        <f>ZI42-ZG42</f>
        <v>#VALUE!</v>
      </c>
      <c r="ZK42" s="826" t="e">
        <f>IF(ZL38="Штраф 50%","",MID($XU$5,ZG42,ZJ42))</f>
        <v>#VALUE!</v>
      </c>
      <c r="ZL42" s="829"/>
      <c r="ZQ42" s="1464"/>
      <c r="ZR42" s="830" t="s">
        <v>8249</v>
      </c>
      <c r="ZS42" s="836" t="e">
        <f>SEARCH(" в размере",$XU$6,ZU38)+LEN(" в размере")+1</f>
        <v>#VALUE!</v>
      </c>
      <c r="ZT42" s="306" t="s">
        <v>8431</v>
      </c>
      <c r="ZU42" s="306" t="e">
        <f>SEARCH(ZT42,$XU$6,ZS42)</f>
        <v>#VALUE!</v>
      </c>
      <c r="ZV42" s="306" t="e">
        <f>ZU42-ZS42</f>
        <v>#VALUE!</v>
      </c>
      <c r="ZW42" s="826" t="e">
        <f>IF(ZX38="Штраф 50%","",MID($XU$6,ZS42,ZV42))</f>
        <v>#VALUE!</v>
      </c>
      <c r="ZX42" s="829"/>
      <c r="AAC42" s="1464"/>
      <c r="AAD42" s="830" t="s">
        <v>8249</v>
      </c>
      <c r="AAE42" s="836" t="e">
        <f>SEARCH(" в размере",$XU$7,AAG38)+LEN(" в размере")+1</f>
        <v>#VALUE!</v>
      </c>
      <c r="AAF42" s="306" t="s">
        <v>8431</v>
      </c>
      <c r="AAG42" s="306" t="e">
        <f>SEARCH(AAF42,$XU$7,AAE42)</f>
        <v>#VALUE!</v>
      </c>
      <c r="AAH42" s="306" t="e">
        <f>AAG42-AAE42</f>
        <v>#VALUE!</v>
      </c>
      <c r="AAI42" s="826" t="e">
        <f>IF(AAJ38="Штраф 50%","",MID($XU$7,AAE42,AAH42))</f>
        <v>#VALUE!</v>
      </c>
      <c r="AAJ42" s="829"/>
      <c r="AAV42" t="str">
        <f t="shared" si="141"/>
        <v>$$$$</v>
      </c>
      <c r="AAW42" s="947" t="e">
        <f t="shared" si="156"/>
        <v>#VALUE!</v>
      </c>
      <c r="AAX42" s="5"/>
      <c r="AAY42" s="5"/>
      <c r="AAZ42" s="5"/>
      <c r="ABA42" s="1487"/>
      <c r="ADF42" s="5"/>
      <c r="ADG42" s="1075"/>
      <c r="ADQ42" s="1075"/>
      <c r="AEJ42" s="961"/>
      <c r="AEK42" s="961"/>
      <c r="AEL42" s="961"/>
      <c r="AEX42" s="1070"/>
      <c r="AFA42" s="1070"/>
      <c r="AFE42" s="1464"/>
      <c r="AFF42" s="830" t="s">
        <v>8249</v>
      </c>
      <c r="AFG42" s="836" t="e">
        <f>SEARCH(" в размере",AFD$4,AFI38)+LEN(" в размере")+1</f>
        <v>#VALUE!</v>
      </c>
      <c r="AFH42" s="306" t="s">
        <v>8431</v>
      </c>
      <c r="AFI42" s="306" t="e">
        <f>SEARCH(AFH42,AFD$4,AFG42)</f>
        <v>#VALUE!</v>
      </c>
      <c r="AFJ42" s="306" t="e">
        <f>AFI42-AFG42</f>
        <v>#VALUE!</v>
      </c>
      <c r="AFK42" s="826" t="e">
        <f>IF(AFL38="Штраф 50%","",MID(AFD$4,AFG42,AFJ42))</f>
        <v>#VALUE!</v>
      </c>
      <c r="AFL42" s="829"/>
      <c r="AFQ42" s="1464"/>
      <c r="AFR42" s="830" t="s">
        <v>8249</v>
      </c>
      <c r="AFS42" s="836" t="e">
        <f>SEARCH(" в размере",AFP$4,AFU38)+LEN(" в размере")+1</f>
        <v>#VALUE!</v>
      </c>
      <c r="AFT42" s="306" t="s">
        <v>8431</v>
      </c>
      <c r="AFU42" s="306" t="e">
        <f>SEARCH(AFT42,AFP$4,AFS42)</f>
        <v>#VALUE!</v>
      </c>
      <c r="AFV42" s="306" t="e">
        <f>AFU42-AFS42</f>
        <v>#VALUE!</v>
      </c>
      <c r="AFW42" s="826" t="e">
        <f>IF(AFX38="Штраф 50%","",MID(AFP$4,AFS42,AFV42))</f>
        <v>#VALUE!</v>
      </c>
      <c r="AFX42" s="829"/>
      <c r="AGC42" s="1464"/>
      <c r="AGD42" s="830" t="s">
        <v>8249</v>
      </c>
      <c r="AGE42" s="836" t="e">
        <f>SEARCH(" в размере",AGB$4,AGG38)+LEN(" в размере")+1</f>
        <v>#VALUE!</v>
      </c>
      <c r="AGF42" s="306" t="s">
        <v>8431</v>
      </c>
      <c r="AGG42" s="306" t="e">
        <f>SEARCH(AGF42,AGB$4,AGE42)</f>
        <v>#VALUE!</v>
      </c>
      <c r="AGH42" s="306" t="e">
        <f>AGG42-AGE42</f>
        <v>#VALUE!</v>
      </c>
      <c r="AGI42" s="826" t="e">
        <f>IF(AGJ38="Штраф 50%","",MID(AGB$4,AGE42,AGH42))</f>
        <v>#VALUE!</v>
      </c>
      <c r="AGJ42" s="829"/>
      <c r="AGO42" s="1464"/>
      <c r="AGP42" s="830" t="s">
        <v>8249</v>
      </c>
      <c r="AGQ42" s="836" t="e">
        <f>SEARCH(" в размере",AGN$4,AGS38)+LEN(" в размере")+1</f>
        <v>#VALUE!</v>
      </c>
      <c r="AGR42" s="306" t="s">
        <v>8431</v>
      </c>
      <c r="AGS42" s="306" t="e">
        <f>SEARCH(AGR42,AGN$4,AGQ42)</f>
        <v>#VALUE!</v>
      </c>
      <c r="AGT42" s="306" t="e">
        <f>AGS42-AGQ42</f>
        <v>#VALUE!</v>
      </c>
      <c r="AGU42" s="826" t="e">
        <f>IF(AGV38="Штраф 50%","",MID(AGN$4,AGQ42,AGT42))</f>
        <v>#VALUE!</v>
      </c>
      <c r="AGV42" s="829"/>
      <c r="AHA42" s="1464"/>
      <c r="AHB42" s="830" t="s">
        <v>8249</v>
      </c>
      <c r="AHC42" s="836" t="e">
        <f>SEARCH(" в размере",AGZ$4,AHE38)+LEN(" в размере")+1</f>
        <v>#VALUE!</v>
      </c>
      <c r="AHD42" s="306" t="s">
        <v>8431</v>
      </c>
      <c r="AHE42" s="306" t="e">
        <f>SEARCH(AHD42,AGZ$4,AHC42)</f>
        <v>#VALUE!</v>
      </c>
      <c r="AHF42" s="306" t="e">
        <f>AHE42-AHC42</f>
        <v>#VALUE!</v>
      </c>
      <c r="AHG42" s="826" t="e">
        <f>IF(AHH38="Штраф 50%","",MID(AGZ$4,AHC42,AHF42))</f>
        <v>#VALUE!</v>
      </c>
      <c r="AHH42" s="829"/>
    </row>
    <row r="43" spans="1:893" ht="14.4" customHeight="1" x14ac:dyDescent="0.3">
      <c r="A43" s="116"/>
      <c r="B43" s="116"/>
      <c r="C43" s="116"/>
      <c r="D43" s="116"/>
      <c r="E43" s="116"/>
      <c r="F43" s="116"/>
      <c r="G43" s="116"/>
      <c r="H43" s="116"/>
      <c r="I43" s="116"/>
      <c r="J43" s="116"/>
      <c r="K43" s="116"/>
      <c r="L43" s="116"/>
      <c r="M43" s="116"/>
      <c r="N43" s="116"/>
      <c r="O43" s="116"/>
      <c r="P43" s="116"/>
      <c r="Q43" s="116"/>
      <c r="R43" s="116"/>
      <c r="S43" s="116"/>
      <c r="T43" s="116"/>
      <c r="U43" s="116"/>
      <c r="V43" s="116"/>
      <c r="W43" s="116"/>
      <c r="X43" s="116"/>
      <c r="Y43" s="116"/>
      <c r="Z43" s="116"/>
      <c r="AA43" s="116"/>
      <c r="AB43" s="116"/>
      <c r="AC43" s="116"/>
      <c r="AD43" s="116"/>
      <c r="AE43" s="116"/>
      <c r="AF43" s="116"/>
      <c r="AG43" s="116"/>
      <c r="AH43" s="116"/>
      <c r="AI43" s="116"/>
      <c r="AJ43" s="116"/>
      <c r="AK43" s="116"/>
      <c r="AL43" s="116"/>
      <c r="AM43" s="116"/>
      <c r="AN43" s="116"/>
      <c r="AO43" s="116"/>
      <c r="AP43" s="116"/>
      <c r="AQ43" s="116"/>
      <c r="AR43" s="116"/>
      <c r="AS43" s="116"/>
      <c r="AT43" s="116"/>
      <c r="AU43" s="116"/>
      <c r="AV43" s="116"/>
      <c r="AW43" s="116"/>
      <c r="AX43" s="116"/>
      <c r="AY43" s="116"/>
      <c r="AZ43" s="116"/>
      <c r="BA43" s="116"/>
      <c r="BB43" s="116"/>
      <c r="BC43" s="116"/>
      <c r="BD43" s="116"/>
      <c r="BE43" s="116"/>
      <c r="BF43" s="116"/>
      <c r="BG43" s="116"/>
      <c r="BH43" s="116"/>
      <c r="BI43" s="116"/>
      <c r="BJ43" s="116"/>
      <c r="BK43" s="116"/>
      <c r="BL43" s="116"/>
      <c r="BM43" s="116"/>
      <c r="BN43" s="116"/>
      <c r="BO43" s="116"/>
      <c r="BP43" s="116"/>
      <c r="BQ43" s="116"/>
      <c r="BR43" s="116"/>
      <c r="BS43" s="116"/>
      <c r="BT43" s="116"/>
      <c r="BU43" s="116"/>
      <c r="BV43" s="116"/>
      <c r="BW43" s="116"/>
      <c r="BX43" s="116"/>
      <c r="BY43" s="116"/>
      <c r="BZ43" s="116"/>
      <c r="CA43" s="116"/>
      <c r="CB43" s="116"/>
      <c r="CC43" s="116"/>
      <c r="CD43" s="116"/>
      <c r="CE43" s="116"/>
      <c r="CF43" s="116"/>
      <c r="CG43" s="116"/>
      <c r="CH43" s="116"/>
      <c r="CI43" s="116"/>
      <c r="CJ43" s="116"/>
      <c r="CK43" s="116"/>
      <c r="CL43" s="116"/>
      <c r="CM43" s="116"/>
      <c r="CN43" s="116"/>
      <c r="CO43" s="116"/>
      <c r="CP43" s="116"/>
      <c r="CQ43" s="116"/>
      <c r="CR43" s="116"/>
      <c r="CS43" s="116"/>
      <c r="CT43" s="116"/>
      <c r="CU43" s="116"/>
      <c r="CV43" s="116"/>
      <c r="CW43" s="116"/>
      <c r="CX43" s="116"/>
      <c r="CY43" s="116"/>
      <c r="CZ43" s="116"/>
      <c r="DA43" s="116"/>
      <c r="DB43" s="116"/>
      <c r="DC43" s="116"/>
      <c r="DD43" s="116"/>
      <c r="DE43" s="116"/>
      <c r="DF43" s="116"/>
      <c r="DG43" s="116"/>
      <c r="DH43" s="116"/>
      <c r="DI43" s="116"/>
      <c r="DJ43" s="116"/>
      <c r="DK43" s="116"/>
      <c r="DL43" s="116"/>
      <c r="DM43" s="116"/>
      <c r="DN43" s="116"/>
      <c r="DO43" s="116"/>
      <c r="DP43" s="116"/>
      <c r="DQ43" s="116"/>
      <c r="DT43" t="s">
        <v>604</v>
      </c>
      <c r="DU43" s="821" t="s">
        <v>604</v>
      </c>
      <c r="DV43" s="1464"/>
      <c r="DW43" s="306"/>
      <c r="DX43" s="836" t="e">
        <f>SEARCH(" ",$C$3,DZ42+1)+1</f>
        <v>#VALUE!</v>
      </c>
      <c r="DY43" s="306" t="s">
        <v>8432</v>
      </c>
      <c r="DZ43" s="306" t="e">
        <f>SEARCH(DY43,$C$3,DX43)</f>
        <v>#VALUE!</v>
      </c>
      <c r="EA43" s="306" t="e">
        <f>DZ43-DX43</f>
        <v>#VALUE!</v>
      </c>
      <c r="EB43" s="826" t="e">
        <f>IF(EC38="Штраф 50%","",MID($C$3,DX43,EA43))</f>
        <v>#VALUE!</v>
      </c>
      <c r="EC43" s="829"/>
      <c r="NK43" s="1464"/>
      <c r="NL43" s="306"/>
      <c r="NM43" s="836" t="e">
        <f>SEARCH(" ",NJ$4,NO42+1)+1</f>
        <v>#VALUE!</v>
      </c>
      <c r="NN43" s="306" t="s">
        <v>8432</v>
      </c>
      <c r="NO43" s="306" t="e">
        <f>SEARCH(NN43,NJ$4,NM43)</f>
        <v>#VALUE!</v>
      </c>
      <c r="NP43" s="306" t="e">
        <f>NO43-NM43</f>
        <v>#VALUE!</v>
      </c>
      <c r="NQ43" s="826" t="e">
        <f>IF(NR38="Штраф 50%","",MID(NJ$4,NM43,NP43))</f>
        <v>#VALUE!</v>
      </c>
      <c r="NR43" s="829"/>
      <c r="OC43" s="1472"/>
      <c r="OD43" s="946" t="str">
        <f t="shared" si="131"/>
        <v>$$$$</v>
      </c>
      <c r="OE43" s="947" t="e">
        <f t="shared" si="151"/>
        <v>#VALUE!</v>
      </c>
      <c r="OF43" s="947"/>
      <c r="OG43" s="920"/>
      <c r="OH43" s="920"/>
      <c r="OI43" s="947"/>
      <c r="OJ43" s="947"/>
      <c r="OK43" s="947"/>
      <c r="OL43" s="1474"/>
      <c r="OY43" s="116"/>
      <c r="OZ43" s="959"/>
      <c r="PA43" s="1210"/>
      <c r="PB43" s="959"/>
      <c r="PC43" s="116"/>
      <c r="PD43" s="1000"/>
      <c r="PF43" s="1209"/>
      <c r="PG43" s="1208"/>
      <c r="PH43" s="1209"/>
      <c r="PI43" s="5"/>
      <c r="PJ43" s="1073"/>
      <c r="PK43" s="99"/>
      <c r="PL43" s="920"/>
      <c r="PM43" s="995"/>
      <c r="PN43" s="920"/>
      <c r="PO43" s="254"/>
      <c r="PP43" s="871"/>
      <c r="PQ43" t="str">
        <f t="shared" si="133"/>
        <v>$$$$</v>
      </c>
      <c r="PR43" s="937" t="e">
        <f t="shared" si="152"/>
        <v>#VALUE!</v>
      </c>
      <c r="PS43" s="5"/>
      <c r="PV43" s="937"/>
      <c r="PX43" s="5"/>
      <c r="PY43" s="1470"/>
      <c r="PZ43" t="str">
        <f t="shared" si="135"/>
        <v>$$$$</v>
      </c>
      <c r="QA43" s="937" t="e">
        <f t="shared" si="153"/>
        <v>#VALUE!</v>
      </c>
      <c r="QB43" s="5"/>
      <c r="QC43" s="264"/>
      <c r="QE43" s="937"/>
      <c r="QF43" s="264"/>
      <c r="QG43" s="5"/>
      <c r="QH43" s="1470"/>
      <c r="QI43" t="str">
        <f t="shared" si="137"/>
        <v>$$$$</v>
      </c>
      <c r="QJ43" s="937" t="e">
        <f t="shared" si="154"/>
        <v>#VALUE!</v>
      </c>
      <c r="QK43" s="5"/>
      <c r="QL43" s="264"/>
      <c r="QN43" s="937"/>
      <c r="QO43" s="264"/>
      <c r="QP43" s="5"/>
      <c r="QQ43" s="1470"/>
      <c r="QR43" t="str">
        <f t="shared" si="139"/>
        <v>$$$$</v>
      </c>
      <c r="QS43" s="937" t="e">
        <f t="shared" si="155"/>
        <v>#VALUE!</v>
      </c>
      <c r="QT43" s="5"/>
      <c r="QU43" s="264"/>
      <c r="QW43" s="937"/>
      <c r="QX43" s="264"/>
      <c r="QY43" s="5"/>
      <c r="QZ43" s="1470"/>
      <c r="SQ43" s="979"/>
      <c r="SY43" s="1464"/>
      <c r="SZ43" s="306"/>
      <c r="TA43" s="836" t="e">
        <f>SEARCH(" ",$SQ$3,TC42+1)+1</f>
        <v>#VALUE!</v>
      </c>
      <c r="TB43" s="306" t="s">
        <v>8432</v>
      </c>
      <c r="TC43" s="306" t="e">
        <f>SEARCH(TB43,$SQ$3,TA43)</f>
        <v>#VALUE!</v>
      </c>
      <c r="TD43" s="306" t="e">
        <f>TC43-TA43</f>
        <v>#VALUE!</v>
      </c>
      <c r="TE43" s="826" t="e">
        <f>IF(TF38="Штраф 50%","",MID($SQ$3,TA43,TD43))</f>
        <v>#VALUE!</v>
      </c>
      <c r="TF43" s="829"/>
      <c r="TK43" s="1476"/>
      <c r="TL43" s="592"/>
      <c r="TM43" s="836" t="e">
        <f>SEARCH(" ",TJ$4,TO42+1)+1</f>
        <v>#VALUE!</v>
      </c>
      <c r="TN43" s="306" t="s">
        <v>8432</v>
      </c>
      <c r="TO43" s="306" t="e">
        <f>SEARCH(TN43,TJ$4,TM43)</f>
        <v>#VALUE!</v>
      </c>
      <c r="TP43" s="306" t="e">
        <f>TO43-TM43</f>
        <v>#VALUE!</v>
      </c>
      <c r="TQ43" s="826" t="e">
        <f>IF(TR41="Штраф 50%","",MID(TJ$4,TM43,TP43))</f>
        <v>#VALUE!</v>
      </c>
      <c r="TR43" s="828" t="str">
        <f>IF(TN41=" за период",TQ43,"")</f>
        <v/>
      </c>
      <c r="TW43" s="1464"/>
      <c r="TX43" s="306"/>
      <c r="TY43" s="836" t="e">
        <f>SEARCH(" ",$SQ$4,UA42+1)+1</f>
        <v>#VALUE!</v>
      </c>
      <c r="TZ43" s="306" t="s">
        <v>8432</v>
      </c>
      <c r="UA43" s="306" t="e">
        <f>SEARCH(TZ43,$SQ$4,TY43)</f>
        <v>#VALUE!</v>
      </c>
      <c r="UB43" s="306" t="e">
        <f>UA43-TY43</f>
        <v>#VALUE!</v>
      </c>
      <c r="UC43" s="826" t="e">
        <f>IF(UD38="Штраф 50%","",MID($SQ$4,TY43,UB43))</f>
        <v>#VALUE!</v>
      </c>
      <c r="UD43" s="829"/>
      <c r="UI43" s="1476"/>
      <c r="UJ43" s="592"/>
      <c r="UK43" s="836" t="e">
        <f>SEARCH(" ",UH$4,UM42+1)+1</f>
        <v>#VALUE!</v>
      </c>
      <c r="UL43" s="306" t="s">
        <v>8432</v>
      </c>
      <c r="UM43" s="306" t="e">
        <f>SEARCH(UL43,UH$4,UK43)</f>
        <v>#VALUE!</v>
      </c>
      <c r="UN43" s="306" t="e">
        <f>UM43-UK43</f>
        <v>#VALUE!</v>
      </c>
      <c r="UO43" s="826" t="e">
        <f>IF(UP41="Штраф 50%","",MID(UH$4,UK43,UN43))</f>
        <v>#VALUE!</v>
      </c>
      <c r="UP43" s="828" t="str">
        <f>IF(UL41=" за период",UO43,"")</f>
        <v/>
      </c>
      <c r="UU43" s="1464"/>
      <c r="UV43" s="306"/>
      <c r="UW43" s="836" t="e">
        <f>SEARCH(" ",$SQ$5,UY42+1)+1</f>
        <v>#VALUE!</v>
      </c>
      <c r="UX43" s="306" t="s">
        <v>8432</v>
      </c>
      <c r="UY43" s="306" t="e">
        <f>SEARCH(UX43,$SQ$5,UW43)</f>
        <v>#VALUE!</v>
      </c>
      <c r="UZ43" s="306" t="e">
        <f>UY43-UW43</f>
        <v>#VALUE!</v>
      </c>
      <c r="VA43" s="826" t="e">
        <f>IF(VB38="Штраф 50%","",MID($SQ$5,UW43,UZ43))</f>
        <v>#VALUE!</v>
      </c>
      <c r="VB43" s="829"/>
      <c r="VG43" s="1476"/>
      <c r="VH43" s="592"/>
      <c r="VI43" s="836" t="e">
        <f>SEARCH(" ",VF$4,VK42+1)+1</f>
        <v>#VALUE!</v>
      </c>
      <c r="VJ43" s="306" t="s">
        <v>8432</v>
      </c>
      <c r="VK43" s="306" t="e">
        <f>SEARCH(VJ43,VF$4,VI43)</f>
        <v>#VALUE!</v>
      </c>
      <c r="VL43" s="306" t="e">
        <f>VK43-VI43</f>
        <v>#VALUE!</v>
      </c>
      <c r="VM43" s="826" t="e">
        <f>IF(VN41="Штраф 50%","",MID(VF$4,VI43,VL43))</f>
        <v>#VALUE!</v>
      </c>
      <c r="VN43" s="828" t="str">
        <f>IF(VJ41=" за период",VM43,"")</f>
        <v/>
      </c>
      <c r="VS43" s="1464"/>
      <c r="VT43" s="306"/>
      <c r="VU43" s="836" t="e">
        <f>SEARCH(" ",$SQ$6,VW42+1)+1</f>
        <v>#VALUE!</v>
      </c>
      <c r="VV43" s="306" t="s">
        <v>8432</v>
      </c>
      <c r="VW43" s="306" t="e">
        <f>SEARCH(VV43,$SQ$6,VU43)</f>
        <v>#VALUE!</v>
      </c>
      <c r="VX43" s="306" t="e">
        <f>VW43-VU43</f>
        <v>#VALUE!</v>
      </c>
      <c r="VY43" s="826" t="e">
        <f>IF(VZ38="Штраф 50%","",MID($SQ$6,VU43,VX43))</f>
        <v>#VALUE!</v>
      </c>
      <c r="VZ43" s="829"/>
      <c r="WE43" s="1476"/>
      <c r="WF43" s="592"/>
      <c r="WG43" s="836" t="e">
        <f>SEARCH(" ",WD$4,WI42+1)+1</f>
        <v>#VALUE!</v>
      </c>
      <c r="WH43" s="306" t="s">
        <v>8432</v>
      </c>
      <c r="WI43" s="306" t="e">
        <f>SEARCH(WH43,WD$4,WG43)</f>
        <v>#VALUE!</v>
      </c>
      <c r="WJ43" s="306" t="e">
        <f>WI43-WG43</f>
        <v>#VALUE!</v>
      </c>
      <c r="WK43" s="826" t="e">
        <f>IF(WL41="Штраф 50%","",MID(WD$4,WG43,WJ43))</f>
        <v>#VALUE!</v>
      </c>
      <c r="WL43" s="828" t="str">
        <f>IF(WH41=" за период",WK43,"")</f>
        <v/>
      </c>
      <c r="WQ43" s="1464"/>
      <c r="WR43" s="306"/>
      <c r="WS43" s="836" t="e">
        <f>SEARCH(" ",$SQ$7,WU42+1)+1</f>
        <v>#VALUE!</v>
      </c>
      <c r="WT43" s="306" t="s">
        <v>8432</v>
      </c>
      <c r="WU43" s="306" t="e">
        <f>SEARCH(WT43,$SQ$7,WS43)</f>
        <v>#VALUE!</v>
      </c>
      <c r="WV43" s="306" t="e">
        <f>WU43-WS43</f>
        <v>#VALUE!</v>
      </c>
      <c r="WW43" s="826" t="e">
        <f>IF(WX38="Штраф 50%","",MID($SQ$7,WS43,WV43))</f>
        <v>#VALUE!</v>
      </c>
      <c r="WX43" s="829"/>
      <c r="XC43" s="1476"/>
      <c r="XD43" s="592"/>
      <c r="XE43" s="836" t="e">
        <f>SEARCH(" ",XB$4,XG42+1)+1</f>
        <v>#VALUE!</v>
      </c>
      <c r="XF43" s="306" t="s">
        <v>8432</v>
      </c>
      <c r="XG43" s="306" t="e">
        <f>SEARCH(XF43,XB$4,XE43)</f>
        <v>#VALUE!</v>
      </c>
      <c r="XH43" s="306" t="e">
        <f>XG43-XE43</f>
        <v>#VALUE!</v>
      </c>
      <c r="XI43" s="826" t="e">
        <f>IF(XJ41="Штраф 50%","",MID(XB$4,XE43,XH43))</f>
        <v>#VALUE!</v>
      </c>
      <c r="XJ43" s="828" t="str">
        <f>IF(XF41=" за период",XI43,"")</f>
        <v/>
      </c>
      <c r="YG43" s="1464"/>
      <c r="YH43" s="306"/>
      <c r="YI43" s="836" t="e">
        <f>SEARCH(" ",$XU$3,YK42+1)+1</f>
        <v>#VALUE!</v>
      </c>
      <c r="YJ43" s="306" t="s">
        <v>8432</v>
      </c>
      <c r="YK43" s="306" t="e">
        <f>SEARCH(YJ43,$XU$3,YI43)</f>
        <v>#VALUE!</v>
      </c>
      <c r="YL43" s="306" t="e">
        <f>YK43-YI43</f>
        <v>#VALUE!</v>
      </c>
      <c r="YM43" s="826" t="e">
        <f>IF(YN38="Штраф 50%","",MID($XU$3,YI43,YL43))</f>
        <v>#VALUE!</v>
      </c>
      <c r="YN43" s="829"/>
      <c r="YS43" s="1464"/>
      <c r="YT43" s="306"/>
      <c r="YU43" s="836" t="e">
        <f>SEARCH(" ",$XU$4,YW42+1)+1</f>
        <v>#VALUE!</v>
      </c>
      <c r="YV43" s="306" t="s">
        <v>8432</v>
      </c>
      <c r="YW43" s="306" t="e">
        <f>SEARCH(YV43,$XU$4,YU43)</f>
        <v>#VALUE!</v>
      </c>
      <c r="YX43" s="306" t="e">
        <f>YW43-YU43</f>
        <v>#VALUE!</v>
      </c>
      <c r="YY43" s="826" t="e">
        <f>IF(YZ38="Штраф 50%","",MID($XU$4,YU43,YX43))</f>
        <v>#VALUE!</v>
      </c>
      <c r="YZ43" s="829"/>
      <c r="ZE43" s="1464"/>
      <c r="ZF43" s="306"/>
      <c r="ZG43" s="836" t="e">
        <f>SEARCH(" ",$XU$5,ZI42+1)+1</f>
        <v>#VALUE!</v>
      </c>
      <c r="ZH43" s="306" t="s">
        <v>8432</v>
      </c>
      <c r="ZI43" s="306" t="e">
        <f>SEARCH(ZH43,$XU$5,ZG43)</f>
        <v>#VALUE!</v>
      </c>
      <c r="ZJ43" s="306" t="e">
        <f>ZI43-ZG43</f>
        <v>#VALUE!</v>
      </c>
      <c r="ZK43" s="826" t="e">
        <f>IF(ZL38="Штраф 50%","",MID($XU$5,ZG43,ZJ43))</f>
        <v>#VALUE!</v>
      </c>
      <c r="ZL43" s="829"/>
      <c r="ZQ43" s="1464"/>
      <c r="ZR43" s="306"/>
      <c r="ZS43" s="836" t="e">
        <f>SEARCH(" ",$XU$6,ZU42+1)+1</f>
        <v>#VALUE!</v>
      </c>
      <c r="ZT43" s="306" t="s">
        <v>8432</v>
      </c>
      <c r="ZU43" s="306" t="e">
        <f>SEARCH(ZT43,$XU$6,ZS43)</f>
        <v>#VALUE!</v>
      </c>
      <c r="ZV43" s="306" t="e">
        <f>ZU43-ZS43</f>
        <v>#VALUE!</v>
      </c>
      <c r="ZW43" s="826" t="e">
        <f>IF(ZX38="Штраф 50%","",MID($XU$6,ZS43,ZV43))</f>
        <v>#VALUE!</v>
      </c>
      <c r="ZX43" s="829"/>
      <c r="AAC43" s="1464"/>
      <c r="AAD43" s="306"/>
      <c r="AAE43" s="836" t="e">
        <f>SEARCH(" ",$XU$7,AAG42+1)+1</f>
        <v>#VALUE!</v>
      </c>
      <c r="AAF43" s="306" t="s">
        <v>8432</v>
      </c>
      <c r="AAG43" s="306" t="e">
        <f>SEARCH(AAF43,$XU$7,AAE43)</f>
        <v>#VALUE!</v>
      </c>
      <c r="AAH43" s="306" t="e">
        <f>AAG43-AAE43</f>
        <v>#VALUE!</v>
      </c>
      <c r="AAI43" s="826" t="e">
        <f>IF(AAJ38="Штраф 50%","",MID($XU$7,AAE43,AAH43))</f>
        <v>#VALUE!</v>
      </c>
      <c r="AAJ43" s="829"/>
      <c r="AAV43" t="str">
        <f t="shared" si="141"/>
        <v>$$$$</v>
      </c>
      <c r="AAW43" s="947" t="e">
        <f t="shared" si="156"/>
        <v>#VALUE!</v>
      </c>
      <c r="AAX43" s="5"/>
      <c r="AAY43" s="5"/>
      <c r="AAZ43" s="5"/>
      <c r="ABA43" s="1487"/>
      <c r="ADF43" s="5"/>
      <c r="ADG43" s="1075"/>
      <c r="ADQ43" s="1075"/>
      <c r="AEJ43" s="961"/>
      <c r="AEK43" s="961"/>
      <c r="AEL43" s="961"/>
      <c r="AEX43" s="1070"/>
      <c r="AFA43" s="1070"/>
      <c r="AFE43" s="1464"/>
      <c r="AFF43" s="306"/>
      <c r="AFG43" s="836" t="e">
        <f>SEARCH(" ",AFD$4,AFI42+1)+1</f>
        <v>#VALUE!</v>
      </c>
      <c r="AFH43" s="306" t="s">
        <v>8432</v>
      </c>
      <c r="AFI43" s="306" t="e">
        <f>SEARCH(AFH43,AFD$4,AFG43)</f>
        <v>#VALUE!</v>
      </c>
      <c r="AFJ43" s="306" t="e">
        <f>AFI43-AFG43</f>
        <v>#VALUE!</v>
      </c>
      <c r="AFK43" s="826" t="e">
        <f>IF(AFL38="Штраф 50%","",MID(AFD$4,AFG43,AFJ43))</f>
        <v>#VALUE!</v>
      </c>
      <c r="AFL43" s="829"/>
      <c r="AFQ43" s="1464"/>
      <c r="AFR43" s="306"/>
      <c r="AFS43" s="836" t="e">
        <f>SEARCH(" ",AFP$4,AFU42+1)+1</f>
        <v>#VALUE!</v>
      </c>
      <c r="AFT43" s="306" t="s">
        <v>8432</v>
      </c>
      <c r="AFU43" s="306" t="e">
        <f>SEARCH(AFT43,AFP$4,AFS43)</f>
        <v>#VALUE!</v>
      </c>
      <c r="AFV43" s="306" t="e">
        <f>AFU43-AFS43</f>
        <v>#VALUE!</v>
      </c>
      <c r="AFW43" s="826" t="e">
        <f>IF(AFX38="Штраф 50%","",MID(AFP$4,AFS43,AFV43))</f>
        <v>#VALUE!</v>
      </c>
      <c r="AFX43" s="829"/>
      <c r="AGC43" s="1464"/>
      <c r="AGD43" s="306"/>
      <c r="AGE43" s="836" t="e">
        <f>SEARCH(" ",AGB$4,AGG42+1)+1</f>
        <v>#VALUE!</v>
      </c>
      <c r="AGF43" s="306" t="s">
        <v>8432</v>
      </c>
      <c r="AGG43" s="306" t="e">
        <f>SEARCH(AGF43,AGB$4,AGE43)</f>
        <v>#VALUE!</v>
      </c>
      <c r="AGH43" s="306" t="e">
        <f>AGG43-AGE43</f>
        <v>#VALUE!</v>
      </c>
      <c r="AGI43" s="826" t="e">
        <f>IF(AGJ38="Штраф 50%","",MID(AGB$4,AGE43,AGH43))</f>
        <v>#VALUE!</v>
      </c>
      <c r="AGJ43" s="829"/>
      <c r="AGO43" s="1464"/>
      <c r="AGP43" s="306"/>
      <c r="AGQ43" s="836" t="e">
        <f>SEARCH(" ",AGN$4,AGS42+1)+1</f>
        <v>#VALUE!</v>
      </c>
      <c r="AGR43" s="306" t="s">
        <v>8432</v>
      </c>
      <c r="AGS43" s="306" t="e">
        <f>SEARCH(AGR43,AGN$4,AGQ43)</f>
        <v>#VALUE!</v>
      </c>
      <c r="AGT43" s="306" t="e">
        <f>AGS43-AGQ43</f>
        <v>#VALUE!</v>
      </c>
      <c r="AGU43" s="826" t="e">
        <f>IF(AGV38="Штраф 50%","",MID(AGN$4,AGQ43,AGT43))</f>
        <v>#VALUE!</v>
      </c>
      <c r="AGV43" s="829"/>
      <c r="AHA43" s="1464"/>
      <c r="AHB43" s="306"/>
      <c r="AHC43" s="836" t="e">
        <f>SEARCH(" ",AGZ$4,AHE42+1)+1</f>
        <v>#VALUE!</v>
      </c>
      <c r="AHD43" s="306" t="s">
        <v>8432</v>
      </c>
      <c r="AHE43" s="306" t="e">
        <f>SEARCH(AHD43,AGZ$4,AHC43)</f>
        <v>#VALUE!</v>
      </c>
      <c r="AHF43" s="306" t="e">
        <f>AHE43-AHC43</f>
        <v>#VALUE!</v>
      </c>
      <c r="AHG43" s="826" t="e">
        <f>IF(AHH38="Штраф 50%","",MID(AGZ$4,AHC43,AHF43))</f>
        <v>#VALUE!</v>
      </c>
      <c r="AHH43" s="829"/>
    </row>
    <row r="44" spans="1:893" ht="14.4" customHeight="1" thickBot="1" x14ac:dyDescent="0.35">
      <c r="A44" s="116"/>
      <c r="B44" s="116"/>
      <c r="C44" s="116"/>
      <c r="D44" s="116"/>
      <c r="E44" s="116"/>
      <c r="F44" s="116"/>
      <c r="G44" s="116"/>
      <c r="H44" s="116"/>
      <c r="I44" s="116"/>
      <c r="J44" s="116"/>
      <c r="K44" s="116"/>
      <c r="L44" s="116"/>
      <c r="M44" s="116"/>
      <c r="N44" s="116"/>
      <c r="O44" s="116"/>
      <c r="P44" s="116"/>
      <c r="Q44" s="116"/>
      <c r="R44" s="116"/>
      <c r="S44" s="116"/>
      <c r="T44" s="116"/>
      <c r="U44" s="116"/>
      <c r="V44" s="116"/>
      <c r="W44" s="116"/>
      <c r="X44" s="116"/>
      <c r="Y44" s="116"/>
      <c r="Z44" s="116"/>
      <c r="AA44" s="116"/>
      <c r="AB44" s="116"/>
      <c r="AC44" s="116"/>
      <c r="AD44" s="116"/>
      <c r="AE44" s="116"/>
      <c r="AF44" s="116"/>
      <c r="AG44" s="116"/>
      <c r="AH44" s="116"/>
      <c r="AI44" s="116"/>
      <c r="AJ44" s="116"/>
      <c r="AK44" s="116"/>
      <c r="AL44" s="116"/>
      <c r="AM44" s="116"/>
      <c r="AN44" s="116"/>
      <c r="AO44" s="116"/>
      <c r="AP44" s="116"/>
      <c r="AQ44" s="116"/>
      <c r="AR44" s="116"/>
      <c r="AS44" s="116"/>
      <c r="AT44" s="116"/>
      <c r="AU44" s="116"/>
      <c r="AV44" s="116"/>
      <c r="AW44" s="116"/>
      <c r="AX44" s="116"/>
      <c r="AY44" s="116"/>
      <c r="AZ44" s="116"/>
      <c r="BA44" s="116"/>
      <c r="BB44" s="116"/>
      <c r="BC44" s="116"/>
      <c r="BD44" s="116"/>
      <c r="BE44" s="116"/>
      <c r="BF44" s="116"/>
      <c r="BG44" s="116"/>
      <c r="BH44" s="116"/>
      <c r="BI44" s="116"/>
      <c r="BJ44" s="116"/>
      <c r="BK44" s="116"/>
      <c r="BL44" s="116"/>
      <c r="BM44" s="116"/>
      <c r="BN44" s="116"/>
      <c r="BO44" s="116"/>
      <c r="BP44" s="116"/>
      <c r="BQ44" s="116"/>
      <c r="BR44" s="116"/>
      <c r="BS44" s="116"/>
      <c r="BT44" s="116"/>
      <c r="BU44" s="116"/>
      <c r="BV44" s="116"/>
      <c r="BW44" s="116"/>
      <c r="BX44" s="116"/>
      <c r="BY44" s="116"/>
      <c r="BZ44" s="116"/>
      <c r="CA44" s="116"/>
      <c r="CB44" s="116"/>
      <c r="CC44" s="116"/>
      <c r="CD44" s="116"/>
      <c r="CE44" s="116"/>
      <c r="CF44" s="116"/>
      <c r="CG44" s="116"/>
      <c r="CH44" s="116"/>
      <c r="CI44" s="116"/>
      <c r="CJ44" s="116"/>
      <c r="CK44" s="116"/>
      <c r="CL44" s="116"/>
      <c r="CM44" s="116"/>
      <c r="CN44" s="116"/>
      <c r="CO44" s="116"/>
      <c r="CP44" s="116"/>
      <c r="CQ44" s="116"/>
      <c r="CR44" s="116"/>
      <c r="CS44" s="116"/>
      <c r="CT44" s="116"/>
      <c r="CU44" s="116"/>
      <c r="CV44" s="116"/>
      <c r="CW44" s="116"/>
      <c r="CX44" s="116"/>
      <c r="CY44" s="116"/>
      <c r="CZ44" s="116"/>
      <c r="DA44" s="116"/>
      <c r="DB44" s="116"/>
      <c r="DC44" s="116"/>
      <c r="DD44" s="116"/>
      <c r="DE44" s="116"/>
      <c r="DF44" s="116"/>
      <c r="DG44" s="116"/>
      <c r="DH44" s="116"/>
      <c r="DI44" s="116"/>
      <c r="DJ44" s="116"/>
      <c r="DK44" s="116"/>
      <c r="DL44" s="116"/>
      <c r="DM44" s="116"/>
      <c r="DN44" s="116"/>
      <c r="DO44" s="116"/>
      <c r="DP44" s="116"/>
      <c r="DQ44" s="116"/>
      <c r="DT44" t="s">
        <v>8538</v>
      </c>
      <c r="DU44" s="821" t="s">
        <v>456</v>
      </c>
      <c r="DV44" s="1465"/>
      <c r="DW44" s="583"/>
      <c r="DX44" s="837"/>
      <c r="DY44" s="583"/>
      <c r="DZ44" s="583"/>
      <c r="EA44" s="583"/>
      <c r="EB44" s="831" t="e">
        <f>VALUE(CONCATENATE(EB42,",",EB43))</f>
        <v>#VALUE!</v>
      </c>
      <c r="EC44" s="832" t="str">
        <f>IF(EC38="Штраф 50%","",IF(OR(DY41=" в размере",DY38=" в размере"),EB44,""))</f>
        <v/>
      </c>
      <c r="NK44" s="1465"/>
      <c r="NL44" s="583"/>
      <c r="NM44" s="837"/>
      <c r="NN44" s="583"/>
      <c r="NO44" s="583"/>
      <c r="NP44" s="583"/>
      <c r="NQ44" s="831" t="e">
        <f>VALUE(CONCATENATE(NQ42,",",NQ43))</f>
        <v>#VALUE!</v>
      </c>
      <c r="NR44" s="832" t="str">
        <f>IF(NR38="Штраф 50%","",IF(OR(NN41=" в размере",NN38=" в размере"),NQ44,""))</f>
        <v/>
      </c>
      <c r="OC44" s="1472"/>
      <c r="OD44" s="946" t="str">
        <f t="shared" si="131"/>
        <v>$$$$</v>
      </c>
      <c r="OE44" s="947" t="e">
        <f t="shared" si="151"/>
        <v>#VALUE!</v>
      </c>
      <c r="OF44" s="947"/>
      <c r="OG44" s="920"/>
      <c r="OH44" s="920"/>
      <c r="OI44" s="947"/>
      <c r="OJ44" s="947"/>
      <c r="OK44" s="947"/>
      <c r="OL44" s="1474"/>
      <c r="OY44" s="116"/>
      <c r="OZ44" s="959"/>
      <c r="PA44" s="1210"/>
      <c r="PB44" s="959"/>
      <c r="PC44" s="116"/>
      <c r="PD44" s="1000"/>
      <c r="PF44" s="1209"/>
      <c r="PG44" s="1208"/>
      <c r="PH44" s="1209"/>
      <c r="PI44" s="5"/>
      <c r="PJ44" s="1073"/>
      <c r="PK44" s="99"/>
      <c r="PL44" s="920"/>
      <c r="PM44" s="995"/>
      <c r="PN44" s="920"/>
      <c r="PO44" s="254"/>
      <c r="PP44" s="871"/>
      <c r="PQ44" t="str">
        <f t="shared" si="133"/>
        <v>$$$$</v>
      </c>
      <c r="PR44" s="937" t="e">
        <f t="shared" si="152"/>
        <v>#VALUE!</v>
      </c>
      <c r="PS44" s="5"/>
      <c r="PV44" s="937"/>
      <c r="PX44" s="5"/>
      <c r="PY44" s="1470"/>
      <c r="PZ44" t="str">
        <f t="shared" si="135"/>
        <v>$$$$</v>
      </c>
      <c r="QA44" s="937" t="e">
        <f t="shared" si="153"/>
        <v>#VALUE!</v>
      </c>
      <c r="QB44" s="5"/>
      <c r="QC44" s="264"/>
      <c r="QE44" s="937"/>
      <c r="QF44" s="264"/>
      <c r="QG44" s="5"/>
      <c r="QH44" s="1470"/>
      <c r="QI44" t="str">
        <f t="shared" si="137"/>
        <v>$$$$</v>
      </c>
      <c r="QJ44" s="937" t="e">
        <f t="shared" si="154"/>
        <v>#VALUE!</v>
      </c>
      <c r="QK44" s="5"/>
      <c r="QL44" s="264"/>
      <c r="QN44" s="937"/>
      <c r="QO44" s="264"/>
      <c r="QP44" s="5"/>
      <c r="QQ44" s="1470"/>
      <c r="QR44" t="str">
        <f t="shared" si="139"/>
        <v>$$$$</v>
      </c>
      <c r="QS44" s="937" t="e">
        <f t="shared" si="155"/>
        <v>#VALUE!</v>
      </c>
      <c r="QT44" s="5"/>
      <c r="QU44" s="264"/>
      <c r="QW44" s="937"/>
      <c r="QX44" s="264"/>
      <c r="QY44" s="5"/>
      <c r="QZ44" s="1470"/>
      <c r="SQ44" s="979"/>
      <c r="SY44" s="1465"/>
      <c r="SZ44" s="583"/>
      <c r="TA44" s="837"/>
      <c r="TB44" s="583"/>
      <c r="TC44" s="583"/>
      <c r="TD44" s="583"/>
      <c r="TE44" s="831" t="e">
        <f>VALUE(CONCATENATE(TE42,",",TE43))</f>
        <v>#VALUE!</v>
      </c>
      <c r="TF44" s="832" t="str">
        <f>IF(OR(TF38="Штраф 50%",TF38=""),"",TE44)</f>
        <v/>
      </c>
      <c r="TK44" s="1477"/>
      <c r="TL44" s="1032"/>
      <c r="TM44" s="1033"/>
      <c r="TN44" s="403"/>
      <c r="TO44" s="403"/>
      <c r="TP44" s="403"/>
      <c r="TQ44" s="1034" t="e">
        <f>VALUE(CONCATENATE(TQ42,",",TQ43))</f>
        <v>#VALUE!</v>
      </c>
      <c r="TR44" s="832" t="str">
        <f>IFERROR(IF(TR41="Штраф 50%","",TQ44),"")</f>
        <v/>
      </c>
      <c r="TW44" s="1465"/>
      <c r="TX44" s="583"/>
      <c r="TY44" s="837"/>
      <c r="TZ44" s="583"/>
      <c r="UA44" s="583"/>
      <c r="UB44" s="583"/>
      <c r="UC44" s="831" t="e">
        <f>VALUE(CONCATENATE(UC42,",",UC43))</f>
        <v>#VALUE!</v>
      </c>
      <c r="UD44" s="832" t="str">
        <f>IF(OR(UD38="Штраф 50%",UD38=""),"",UC44)</f>
        <v/>
      </c>
      <c r="UI44" s="1477"/>
      <c r="UJ44" s="1032"/>
      <c r="UK44" s="1033"/>
      <c r="UL44" s="403"/>
      <c r="UM44" s="403"/>
      <c r="UN44" s="403"/>
      <c r="UO44" s="1034" t="e">
        <f>VALUE(CONCATENATE(UO42,",",UO43))</f>
        <v>#VALUE!</v>
      </c>
      <c r="UP44" s="832" t="str">
        <f>IFERROR(IF(UP41="Штраф 50%","",UO44),"")</f>
        <v/>
      </c>
      <c r="UU44" s="1465"/>
      <c r="UV44" s="583"/>
      <c r="UW44" s="837"/>
      <c r="UX44" s="583"/>
      <c r="UY44" s="583"/>
      <c r="UZ44" s="583"/>
      <c r="VA44" s="831" t="e">
        <f>VALUE(CONCATENATE(VA42,",",VA43))</f>
        <v>#VALUE!</v>
      </c>
      <c r="VB44" s="832" t="str">
        <f>IF(OR(VB38="Штраф 50%",VB38=""),"",VA44)</f>
        <v/>
      </c>
      <c r="VG44" s="1477"/>
      <c r="VH44" s="1032"/>
      <c r="VI44" s="1033"/>
      <c r="VJ44" s="403"/>
      <c r="VK44" s="403"/>
      <c r="VL44" s="403"/>
      <c r="VM44" s="1034" t="e">
        <f>VALUE(CONCATENATE(VM42,",",VM43))</f>
        <v>#VALUE!</v>
      </c>
      <c r="VN44" s="832" t="str">
        <f>IFERROR(IF(VN41="Штраф 50%","",VM44),"")</f>
        <v/>
      </c>
      <c r="VS44" s="1465"/>
      <c r="VT44" s="583"/>
      <c r="VU44" s="837"/>
      <c r="VV44" s="583"/>
      <c r="VW44" s="583"/>
      <c r="VX44" s="583"/>
      <c r="VY44" s="831" t="e">
        <f>VALUE(CONCATENATE(VY42,",",VY43))</f>
        <v>#VALUE!</v>
      </c>
      <c r="VZ44" s="832" t="str">
        <f>IF(OR(VZ38="Штраф 50%",VZ38=""),"",VY44)</f>
        <v/>
      </c>
      <c r="WE44" s="1477"/>
      <c r="WF44" s="1032"/>
      <c r="WG44" s="1033"/>
      <c r="WH44" s="403"/>
      <c r="WI44" s="403"/>
      <c r="WJ44" s="403"/>
      <c r="WK44" s="1034" t="e">
        <f>VALUE(CONCATENATE(WK42,",",WK43))</f>
        <v>#VALUE!</v>
      </c>
      <c r="WL44" s="832" t="str">
        <f>IFERROR(IF(WL41="Штраф 50%","",WK44),"")</f>
        <v/>
      </c>
      <c r="WQ44" s="1465"/>
      <c r="WR44" s="583"/>
      <c r="WS44" s="837"/>
      <c r="WT44" s="583"/>
      <c r="WU44" s="583"/>
      <c r="WV44" s="583"/>
      <c r="WW44" s="831" t="e">
        <f>VALUE(CONCATENATE(WW42,",",WW43))</f>
        <v>#VALUE!</v>
      </c>
      <c r="WX44" s="832" t="str">
        <f>IF(OR(WX38="Штраф 50%",WX38=""),"",WW44)</f>
        <v/>
      </c>
      <c r="XC44" s="1477"/>
      <c r="XD44" s="1032"/>
      <c r="XE44" s="1033"/>
      <c r="XF44" s="403"/>
      <c r="XG44" s="403"/>
      <c r="XH44" s="403"/>
      <c r="XI44" s="1034" t="e">
        <f>VALUE(CONCATENATE(XI42,",",XI43))</f>
        <v>#VALUE!</v>
      </c>
      <c r="XJ44" s="832" t="str">
        <f>IFERROR(IF(XJ41="Штраф 50%","",XI44),"")</f>
        <v/>
      </c>
      <c r="YG44" s="1465"/>
      <c r="YH44" s="583"/>
      <c r="YI44" s="837"/>
      <c r="YJ44" s="583"/>
      <c r="YK44" s="583"/>
      <c r="YL44" s="583"/>
      <c r="YM44" s="831" t="e">
        <f>VALUE(CONCATENATE(YM42,",",YM43))</f>
        <v>#VALUE!</v>
      </c>
      <c r="YN44" s="832" t="str">
        <f>IF(YN38="Штраф 50%","",IF(OR(YJ41=" в размере",YJ38=" в размере"),YM44,""))</f>
        <v/>
      </c>
      <c r="YS44" s="1465"/>
      <c r="YT44" s="583"/>
      <c r="YU44" s="837"/>
      <c r="YV44" s="583"/>
      <c r="YW44" s="583"/>
      <c r="YX44" s="583"/>
      <c r="YY44" s="831" t="e">
        <f>VALUE(CONCATENATE(YY42,",",YY43))</f>
        <v>#VALUE!</v>
      </c>
      <c r="YZ44" s="832" t="str">
        <f>IF(YZ38="Штраф 50%","",IF(OR(YV41=" в размере",YV38=" в размере"),YY44,""))</f>
        <v/>
      </c>
      <c r="ZE44" s="1465"/>
      <c r="ZF44" s="583"/>
      <c r="ZG44" s="837"/>
      <c r="ZH44" s="583"/>
      <c r="ZI44" s="583"/>
      <c r="ZJ44" s="583"/>
      <c r="ZK44" s="831" t="e">
        <f>VALUE(CONCATENATE(ZK42,",",ZK43))</f>
        <v>#VALUE!</v>
      </c>
      <c r="ZL44" s="832" t="str">
        <f>IF(ZL38="Штраф 50%","",IF(OR(ZH41=" в размере",ZH38=" в размере"),ZK44,""))</f>
        <v/>
      </c>
      <c r="ZQ44" s="1465"/>
      <c r="ZR44" s="583"/>
      <c r="ZS44" s="837"/>
      <c r="ZT44" s="583"/>
      <c r="ZU44" s="583"/>
      <c r="ZV44" s="583"/>
      <c r="ZW44" s="831" t="e">
        <f>VALUE(CONCATENATE(ZW42,",",ZW43))</f>
        <v>#VALUE!</v>
      </c>
      <c r="ZX44" s="832" t="str">
        <f>IF(ZX38="Штраф 50%","",IF(OR(ZT41=" в размере",ZT38=" в размере"),ZW44,""))</f>
        <v/>
      </c>
      <c r="AAC44" s="1465"/>
      <c r="AAD44" s="583"/>
      <c r="AAE44" s="837"/>
      <c r="AAF44" s="583"/>
      <c r="AAG44" s="583"/>
      <c r="AAH44" s="583"/>
      <c r="AAI44" s="831" t="e">
        <f>VALUE(CONCATENATE(AAI42,",",AAI43))</f>
        <v>#VALUE!</v>
      </c>
      <c r="AAJ44" s="832" t="str">
        <f>IF(AAJ38="Штраф 50%","",IF(OR(AAF41=" в размере",AAF38=" в размере"),AAI44,""))</f>
        <v/>
      </c>
      <c r="AAV44" t="str">
        <f t="shared" si="141"/>
        <v>$$$$</v>
      </c>
      <c r="AAW44" s="947" t="e">
        <f t="shared" si="156"/>
        <v>#VALUE!</v>
      </c>
      <c r="AAX44" s="5"/>
      <c r="AAY44" s="5"/>
      <c r="AAZ44" s="5"/>
      <c r="ABA44" s="1487"/>
      <c r="ADF44" s="5"/>
      <c r="ADG44" s="1075"/>
      <c r="ADQ44" s="1075"/>
      <c r="AEJ44" s="961"/>
      <c r="AEK44" s="961"/>
      <c r="AEL44" s="961"/>
      <c r="AEX44" s="1070"/>
      <c r="AFA44" s="1070"/>
      <c r="AFE44" s="1465"/>
      <c r="AFF44" s="583"/>
      <c r="AFG44" s="837"/>
      <c r="AFH44" s="583"/>
      <c r="AFI44" s="583"/>
      <c r="AFJ44" s="583"/>
      <c r="AFK44" s="831" t="e">
        <f>VALUE(CONCATENATE(AFK42,",",AFK43))</f>
        <v>#VALUE!</v>
      </c>
      <c r="AFL44" s="832" t="str">
        <f>IF(AFL38="Штраф 50%","",IF(OR(AFH41=" в размере",AFH38=" в размере"),AFK44,""))</f>
        <v/>
      </c>
      <c r="AFQ44" s="1465"/>
      <c r="AFR44" s="583"/>
      <c r="AFS44" s="837"/>
      <c r="AFT44" s="583"/>
      <c r="AFU44" s="583"/>
      <c r="AFV44" s="583"/>
      <c r="AFW44" s="831" t="e">
        <f>VALUE(CONCATENATE(AFW42,",",AFW43))</f>
        <v>#VALUE!</v>
      </c>
      <c r="AFX44" s="832" t="str">
        <f>IF(AFX38="Штраф 50%","",IF(OR(AFT41=" в размере",AFT38=" в размере"),AFW44,""))</f>
        <v/>
      </c>
      <c r="AGC44" s="1465"/>
      <c r="AGD44" s="583"/>
      <c r="AGE44" s="837"/>
      <c r="AGF44" s="583"/>
      <c r="AGG44" s="583"/>
      <c r="AGH44" s="583"/>
      <c r="AGI44" s="831" t="e">
        <f>VALUE(CONCATENATE(AGI42,",",AGI43))</f>
        <v>#VALUE!</v>
      </c>
      <c r="AGJ44" s="832" t="str">
        <f>IF(AGJ38="Штраф 50%","",IF(OR(AGF41=" в размере",AGF38=" в размере"),AGI44,""))</f>
        <v/>
      </c>
      <c r="AGO44" s="1465"/>
      <c r="AGP44" s="583"/>
      <c r="AGQ44" s="837"/>
      <c r="AGR44" s="583"/>
      <c r="AGS44" s="583"/>
      <c r="AGT44" s="583"/>
      <c r="AGU44" s="831" t="e">
        <f>VALUE(CONCATENATE(AGU42,",",AGU43))</f>
        <v>#VALUE!</v>
      </c>
      <c r="AGV44" s="832" t="str">
        <f>IF(AGV38="Штраф 50%","",IF(OR(AGR41=" в размере",AGR38=" в размере"),AGU44,""))</f>
        <v/>
      </c>
      <c r="AHA44" s="1465"/>
      <c r="AHB44" s="583"/>
      <c r="AHC44" s="837"/>
      <c r="AHD44" s="583"/>
      <c r="AHE44" s="583"/>
      <c r="AHF44" s="583"/>
      <c r="AHG44" s="831" t="e">
        <f>VALUE(CONCATENATE(AHG42,",",AHG43))</f>
        <v>#VALUE!</v>
      </c>
      <c r="AHH44" s="832" t="str">
        <f>IF(AHH38="Штраф 50%","",IF(OR(AHD41=" в размере",AHD38=" в размере"),AHG44,""))</f>
        <v/>
      </c>
    </row>
    <row r="45" spans="1:893" ht="14.4" customHeight="1" thickTop="1" x14ac:dyDescent="0.3">
      <c r="A45" s="116"/>
      <c r="B45" s="116"/>
      <c r="C45" s="116"/>
      <c r="D45" s="116"/>
      <c r="E45" s="116"/>
      <c r="F45" s="116"/>
      <c r="G45" s="116"/>
      <c r="H45" s="116"/>
      <c r="I45" s="116"/>
      <c r="J45" s="116"/>
      <c r="K45" s="116"/>
      <c r="L45" s="116"/>
      <c r="M45" s="116"/>
      <c r="N45" s="116"/>
      <c r="O45" s="116"/>
      <c r="P45" s="116"/>
      <c r="Q45" s="116"/>
      <c r="R45" s="116"/>
      <c r="S45" s="116"/>
      <c r="T45" s="116"/>
      <c r="U45" s="116"/>
      <c r="V45" s="116"/>
      <c r="W45" s="116"/>
      <c r="X45" s="116"/>
      <c r="Y45" s="116"/>
      <c r="Z45" s="116"/>
      <c r="AA45" s="116"/>
      <c r="AB45" s="116"/>
      <c r="AC45" s="116"/>
      <c r="AD45" s="116"/>
      <c r="AE45" s="116"/>
      <c r="AF45" s="116"/>
      <c r="AG45" s="116"/>
      <c r="AH45" s="116"/>
      <c r="AI45" s="116"/>
      <c r="AJ45" s="116"/>
      <c r="AK45" s="116"/>
      <c r="AL45" s="116"/>
      <c r="AM45" s="116"/>
      <c r="AN45" s="116"/>
      <c r="AO45" s="116"/>
      <c r="AP45" s="116"/>
      <c r="AQ45" s="116"/>
      <c r="AR45" s="116"/>
      <c r="AS45" s="116"/>
      <c r="AT45" s="116"/>
      <c r="AU45" s="116"/>
      <c r="AV45" s="116"/>
      <c r="AW45" s="116"/>
      <c r="AX45" s="116"/>
      <c r="AY45" s="116"/>
      <c r="AZ45" s="116"/>
      <c r="BA45" s="116"/>
      <c r="BB45" s="116"/>
      <c r="BC45" s="116"/>
      <c r="BD45" s="116"/>
      <c r="BE45" s="116"/>
      <c r="BF45" s="116"/>
      <c r="BG45" s="116"/>
      <c r="BH45" s="116"/>
      <c r="BI45" s="116"/>
      <c r="BJ45" s="116"/>
      <c r="BK45" s="116"/>
      <c r="BL45" s="116"/>
      <c r="BM45" s="116"/>
      <c r="BN45" s="116"/>
      <c r="BO45" s="116"/>
      <c r="BP45" s="116"/>
      <c r="BQ45" s="116"/>
      <c r="BR45" s="116"/>
      <c r="BS45" s="116"/>
      <c r="BT45" s="116"/>
      <c r="BU45" s="116"/>
      <c r="BV45" s="116"/>
      <c r="BW45" s="116"/>
      <c r="BX45" s="116"/>
      <c r="BY45" s="116"/>
      <c r="BZ45" s="116"/>
      <c r="CA45" s="116"/>
      <c r="CB45" s="116"/>
      <c r="CC45" s="116"/>
      <c r="CD45" s="116"/>
      <c r="CE45" s="116"/>
      <c r="CF45" s="116"/>
      <c r="CG45" s="116"/>
      <c r="CH45" s="116"/>
      <c r="CI45" s="116"/>
      <c r="CJ45" s="116"/>
      <c r="CK45" s="116"/>
      <c r="CL45" s="116"/>
      <c r="CM45" s="116"/>
      <c r="CN45" s="116"/>
      <c r="CO45" s="116"/>
      <c r="CP45" s="116"/>
      <c r="CQ45" s="116"/>
      <c r="CR45" s="116"/>
      <c r="CS45" s="116"/>
      <c r="CT45" s="116"/>
      <c r="CU45" s="116"/>
      <c r="CV45" s="116"/>
      <c r="CW45" s="116"/>
      <c r="CX45" s="116"/>
      <c r="CY45" s="116"/>
      <c r="CZ45" s="116"/>
      <c r="DA45" s="116"/>
      <c r="DB45" s="116"/>
      <c r="DC45" s="116"/>
      <c r="DD45" s="116"/>
      <c r="DE45" s="116"/>
      <c r="DF45" s="116"/>
      <c r="DG45" s="116"/>
      <c r="DH45" s="116"/>
      <c r="DI45" s="116"/>
      <c r="DJ45" s="116"/>
      <c r="DK45" s="116"/>
      <c r="DL45" s="116"/>
      <c r="DM45" s="116"/>
      <c r="DN45" s="116"/>
      <c r="DO45" s="116"/>
      <c r="DP45" s="116"/>
      <c r="DQ45" s="116"/>
      <c r="DT45" t="s">
        <v>3131</v>
      </c>
      <c r="DU45" s="821" t="s">
        <v>456</v>
      </c>
      <c r="DV45" s="1463">
        <v>7</v>
      </c>
      <c r="DW45" s="824" t="s">
        <v>8433</v>
      </c>
      <c r="DX45" s="838" t="e">
        <f>SEARCH(DS$4,$C$3,DZ38)+LEN(DS$4)</f>
        <v>#VALUE!</v>
      </c>
      <c r="DY45" s="406" t="str">
        <f>IF(DZ45=IFERROR(SEARCH(".",C$3,DX45),99999),".",
IF(DZ45=IFERROR(SEARCH(",",C$3,DX45),99999),",",
IF(DZ45=IFERROR(SEARCH(" за период",C$3,DX45),999999)," за период",
IF(DZ45=IFERROR(SEARCH(" в размере",C$3,DX45),99999)," в размере",
))))</f>
        <v>.</v>
      </c>
      <c r="DZ45" s="406">
        <f>IFERROR(MIN(IFERROR(SEARCH(".",$C$3,DX45),99999),IFERROR(SEARCH(",",$C$3,DX45),99999),IFERROR(SEARCH(" за период",$C$3,DX45),999999),IFERROR(SEARCH(" в размере",$C$3,DX45),99999)),"ОШИБКА")</f>
        <v>99999</v>
      </c>
      <c r="EA45" s="406" t="e">
        <f>DZ45-DX45</f>
        <v>#VALUE!</v>
      </c>
      <c r="EB45" s="824" t="e">
        <f>MID($C$3,DX45,EA45)</f>
        <v>#VALUE!</v>
      </c>
      <c r="EC45" s="825" t="str">
        <f>IFERROR(INDEX(DU:DU,MATCH(MID($C$3,DX45,EA45),DT:DT,0),1),"")</f>
        <v/>
      </c>
      <c r="ED45" s="754"/>
      <c r="NK45" s="1463">
        <v>7</v>
      </c>
      <c r="NL45" s="824" t="s">
        <v>8433</v>
      </c>
      <c r="NM45" s="838" t="e">
        <f>SEARCH(NH$4,NJ$4,NO38)+LEN(NH$4)</f>
        <v>#VALUE!</v>
      </c>
      <c r="NN45" s="406" t="str">
        <f>IF(NO45=IFERROR(SEARCH(".",NJ$4,NM45),99999),".",
IF(NO45=IFERROR(SEARCH(",",NJ$4,NM45),99999),",",
IF(NO45=IFERROR(SEARCH(" за период",NJ$4,NM45),999999)," за период",
IF(NO45=IFERROR(SEARCH(" в размере",NJ$4,NM45),99999)," в размере",
))))</f>
        <v>.</v>
      </c>
      <c r="NO45" s="406">
        <f>IFERROR(MIN(IFERROR(SEARCH(".",NJ$4,NM45),99999),IFERROR(SEARCH(",",NJ$4,NM45),99999),IFERROR(SEARCH(" за период",NJ$4,NM45),999999),IFERROR(SEARCH(" в размере",NJ$4,NM45),99999)),"ОШИБКА")</f>
        <v>99999</v>
      </c>
      <c r="NP45" s="406" t="e">
        <f>NO45-NM45</f>
        <v>#VALUE!</v>
      </c>
      <c r="NQ45" s="824" t="e">
        <f>MID(NJ$4,NM45,NP45)</f>
        <v>#VALUE!</v>
      </c>
      <c r="NR45" s="825" t="str">
        <f>IFERROR(INDEX($DU:$DU,MATCH(MID(NJ$4,NM45,NP45),$DT:$DT,0),1),"")</f>
        <v/>
      </c>
      <c r="NS45" s="754"/>
      <c r="NT45" s="754"/>
      <c r="OC45" s="1472"/>
      <c r="OD45" s="946" t="str">
        <f t="shared" si="131"/>
        <v>$$$$</v>
      </c>
      <c r="OE45" s="947" t="e">
        <f t="shared" si="151"/>
        <v>#VALUE!</v>
      </c>
      <c r="OF45" s="947"/>
      <c r="OG45" s="920"/>
      <c r="OH45" s="920"/>
      <c r="OI45" s="947"/>
      <c r="OJ45" s="947"/>
      <c r="OK45" s="947"/>
      <c r="OL45" s="1474"/>
      <c r="OY45" s="116"/>
      <c r="OZ45" s="959"/>
      <c r="PA45" s="1210"/>
      <c r="PB45" s="959"/>
      <c r="PC45" s="116"/>
      <c r="PD45" s="1000"/>
      <c r="PF45" s="1209"/>
      <c r="PG45" s="1208"/>
      <c r="PH45" s="1209"/>
      <c r="PI45" s="5"/>
      <c r="PJ45" s="1073"/>
      <c r="PK45" s="99"/>
      <c r="PL45" s="920"/>
      <c r="PM45" s="995"/>
      <c r="PN45" s="920"/>
      <c r="PO45" s="254"/>
      <c r="PP45" s="871"/>
      <c r="PQ45" t="str">
        <f t="shared" si="133"/>
        <v>$$$$</v>
      </c>
      <c r="PR45" s="937" t="e">
        <f t="shared" si="152"/>
        <v>#VALUE!</v>
      </c>
      <c r="PS45" s="5"/>
      <c r="PV45" s="937"/>
      <c r="PX45" s="5"/>
      <c r="PY45" s="1470"/>
      <c r="PZ45" t="str">
        <f t="shared" si="135"/>
        <v>$$$$</v>
      </c>
      <c r="QA45" s="937" t="e">
        <f t="shared" si="153"/>
        <v>#VALUE!</v>
      </c>
      <c r="QB45" s="5"/>
      <c r="QC45" s="264"/>
      <c r="QE45" s="937"/>
      <c r="QF45" s="264"/>
      <c r="QG45" s="5"/>
      <c r="QH45" s="1470"/>
      <c r="QI45" t="str">
        <f t="shared" si="137"/>
        <v>$$$$</v>
      </c>
      <c r="QJ45" s="937" t="e">
        <f t="shared" si="154"/>
        <v>#VALUE!</v>
      </c>
      <c r="QK45" s="5"/>
      <c r="QL45" s="264"/>
      <c r="QN45" s="937"/>
      <c r="QO45" s="264"/>
      <c r="QP45" s="5"/>
      <c r="QQ45" s="1470"/>
      <c r="QR45" t="str">
        <f t="shared" si="139"/>
        <v>$$$$</v>
      </c>
      <c r="QS45" s="937" t="e">
        <f t="shared" si="155"/>
        <v>#VALUE!</v>
      </c>
      <c r="QT45" s="5"/>
      <c r="QU45" s="264"/>
      <c r="QW45" s="937"/>
      <c r="QX45" s="264"/>
      <c r="QY45" s="5"/>
      <c r="QZ45" s="1470"/>
      <c r="SQ45" s="979"/>
      <c r="SY45" s="1463">
        <v>7</v>
      </c>
      <c r="SZ45" s="824" t="s">
        <v>8433</v>
      </c>
      <c r="TA45" s="838" t="e">
        <f>SEARCH(SV$4,$SQ$3,TC38)+LEN(SV$4)</f>
        <v>#VALUE!</v>
      </c>
      <c r="TB45" s="406" t="str">
        <f>IF(TC45=IFERROR(SEARCH(".",$SQ$3,TA45),99999),".",
IF(TC45=IFERROR(SEARCH(",",$SQ$3,TA45),99999),",",
IF(TC45=IFERROR(SEARCH(" за период",$SQ$3,TA45),999999)," за период",
IF(TC45=IFERROR(SEARCH(" в размере",$SQ$3,TA45),99999)," в размере",
))))</f>
        <v>.</v>
      </c>
      <c r="TC45" s="406">
        <f>IFERROR(MIN(IFERROR(SEARCH(".",$SQ$3,TA45),99999),IFERROR(SEARCH(",",$SQ$3,TA45),99999),IFERROR(SEARCH(" за период",$SQ$3,TA45),999999),IFERROR(SEARCH(" в размере",$SQ$3,TA45),99999)),"ОШИБКА")</f>
        <v>99999</v>
      </c>
      <c r="TD45" s="406" t="e">
        <f>TC45-TA45</f>
        <v>#VALUE!</v>
      </c>
      <c r="TE45" s="824" t="e">
        <f>MID($SQ$3,TA45,TD45)</f>
        <v>#VALUE!</v>
      </c>
      <c r="TF45" s="825" t="str">
        <f>IFERROR(INDEX($DU:$DU,MATCH(MID($SQ$3,TA45,TD45),$DT:$DT,0),1),"")</f>
        <v/>
      </c>
      <c r="TG45" s="754"/>
      <c r="TK45" s="1475">
        <v>11</v>
      </c>
      <c r="TL45" s="1030" t="s">
        <v>8433</v>
      </c>
      <c r="TM45" s="406" t="e">
        <f>SEARCH($TJ$14,TJ$4,TO41)+LEN($TJ$14)</f>
        <v>#VALUE!</v>
      </c>
      <c r="TN45" s="406" t="str">
        <f>IF(TO45=IFERROR(SEARCH(".",TJ$4,TM45),99999),".",
IF(TO45=IFERROR(SEARCH(",",TJ$4,TM45),99999),",",
IF(TO45=IFERROR(SEARCH(" за период",TJ$4,TM45),999999)," за период",
IF(TO45=IFERROR(SEARCH(" в размере",TJ$4,TM45),99999)," в размере",
IF(TO45=IFERROR(SEARCH(" и ",TJ$4,TM45),99999)," и ",
IF(TO45=IFERROR(SEARCH(")",TJ$4,TM45),99999),")",
))))))</f>
        <v>.</v>
      </c>
      <c r="TO45" s="406">
        <f>IFERROR(MIN(IFERROR(SEARCH(".",TJ$4,TM45),99999),IFERROR(SEARCH(",",TJ$4,TM45),99999),IFERROR(SEARCH(" за период",TJ$4,TM45),999999),IFERROR(SEARCH(" в размере",TJ$4,TM45),99999),IFERROR(SEARCH(" и ",TJ$4,TM45),99999),IFERROR(SEARCH(")",TJ$4,TM45),99999)),"ОШИБКА")</f>
        <v>99999</v>
      </c>
      <c r="TP45" s="406" t="e">
        <f>TO45-TM45</f>
        <v>#VALUE!</v>
      </c>
      <c r="TQ45" s="873" t="e">
        <f>MID(TJ$4,TM45,TP45)</f>
        <v>#VALUE!</v>
      </c>
      <c r="TR45" s="825" t="str">
        <f>IFERROR(INDEX($DU:$DU,MATCH(MID(TJ$4,TM45,TP45),$DT:$DT,0),1),"")</f>
        <v/>
      </c>
      <c r="TS45" s="754"/>
      <c r="TW45" s="1463">
        <v>7</v>
      </c>
      <c r="TX45" s="824" t="s">
        <v>8433</v>
      </c>
      <c r="TY45" s="838" t="e">
        <f>SEARCH(TT$4,$SQ$4,UA38)+LEN(TT$4)</f>
        <v>#VALUE!</v>
      </c>
      <c r="TZ45" s="406" t="str">
        <f>IF(UA45=IFERROR(SEARCH(".",$SQ$4,TY45),99999),".",
IF(UA45=IFERROR(SEARCH(",",$SQ$4,TY45),99999),",",
IF(UA45=IFERROR(SEARCH(" за период",$SQ$4,TY45),999999)," за период",
IF(UA45=IFERROR(SEARCH(" в размере",$SQ$4,TY45),99999)," в размере",
))))</f>
        <v>.</v>
      </c>
      <c r="UA45" s="406">
        <f>IFERROR(MIN(IFERROR(SEARCH(".",$SQ$4,TY45),99999),IFERROR(SEARCH(",",$SQ$4,TY45),99999),IFERROR(SEARCH(" за период",$SQ$4,TY45),999999),IFERROR(SEARCH(" в размере",$SQ$4,TY45),99999)),"ОШИБКА")</f>
        <v>99999</v>
      </c>
      <c r="UB45" s="406" t="e">
        <f>UA45-TY45</f>
        <v>#VALUE!</v>
      </c>
      <c r="UC45" s="824" t="e">
        <f>MID($SQ$4,TY45,UB45)</f>
        <v>#VALUE!</v>
      </c>
      <c r="UD45" s="825" t="str">
        <f>IFERROR(INDEX($DU:$DU,MATCH(MID($SQ$4,TY45,UB45),$DT:$DT,0),1),"")</f>
        <v/>
      </c>
      <c r="UE45" s="754"/>
      <c r="UI45" s="1475">
        <v>11</v>
      </c>
      <c r="UJ45" s="1030" t="s">
        <v>8433</v>
      </c>
      <c r="UK45" s="406" t="e">
        <f>SEARCH(UH$14,UH$4,UM41)+LEN(UH$14)</f>
        <v>#VALUE!</v>
      </c>
      <c r="UL45" s="406" t="str">
        <f>IF(UM45=IFERROR(SEARCH(".",UH$4,UK45),99999),".",
IF(UM45=IFERROR(SEARCH(",",UH$4,UK45),99999),",",
IF(UM45=IFERROR(SEARCH(" за период",UH$4,UK45),999999)," за период",
IF(UM45=IFERROR(SEARCH(" в размере",UH$4,UK45),99999)," в размере",
IF(UM45=IFERROR(SEARCH(" и ",UH$4,UK45),99999)," и ",
IF(UM45=IFERROR(SEARCH(")",UH$4,UK45),99999),")",
))))))</f>
        <v>.</v>
      </c>
      <c r="UM45" s="406">
        <f>IFERROR(MIN(IFERROR(SEARCH(".",UH$4,UK45),99999),IFERROR(SEARCH(",",UH$4,UK45),99999),IFERROR(SEARCH(" за период",UH$4,UK45),999999),IFERROR(SEARCH(" в размере",UH$4,UK45),99999),IFERROR(SEARCH(" и ",UH$4,UK45),99999),IFERROR(SEARCH(")",UH$4,UK45),99999)),"ОШИБКА")</f>
        <v>99999</v>
      </c>
      <c r="UN45" s="406" t="e">
        <f>UM45-UK45</f>
        <v>#VALUE!</v>
      </c>
      <c r="UO45" s="873" t="e">
        <f>MID(UH$4,UK45,UN45)</f>
        <v>#VALUE!</v>
      </c>
      <c r="UP45" s="825" t="str">
        <f>IFERROR(INDEX($DU:$DU,MATCH(MID(UH$4,UK45,UN45),$DT:$DT,0),1),"")</f>
        <v/>
      </c>
      <c r="UQ45" s="754"/>
      <c r="UU45" s="1463">
        <v>7</v>
      </c>
      <c r="UV45" s="824" t="s">
        <v>8433</v>
      </c>
      <c r="UW45" s="838" t="e">
        <f>SEARCH(UR$4,$SQ$5,UY38)+LEN(UR$4)</f>
        <v>#VALUE!</v>
      </c>
      <c r="UX45" s="406" t="str">
        <f>IF(UY45=IFERROR(SEARCH(".",$SQ$5,UW45),99999),".",
IF(UY45=IFERROR(SEARCH(",",$SQ$5,UW45),99999),",",
IF(UY45=IFERROR(SEARCH(" за период",$SQ$5,UW45),999999)," за период",
IF(UY45=IFERROR(SEARCH(" в размере",$SQ$5,UW45),99999)," в размере",
))))</f>
        <v>.</v>
      </c>
      <c r="UY45" s="406">
        <f>IFERROR(MIN(IFERROR(SEARCH(".",$SQ$5,UW45),99999),IFERROR(SEARCH(",",$SQ$5,UW45),99999),IFERROR(SEARCH(" за период",$SQ$5,UW45),999999),IFERROR(SEARCH(" в размере",$SQ$5,UW45),99999)),"ОШИБКА")</f>
        <v>99999</v>
      </c>
      <c r="UZ45" s="406" t="e">
        <f>UY45-UW45</f>
        <v>#VALUE!</v>
      </c>
      <c r="VA45" s="824" t="e">
        <f>MID($SQ$5,UW45,UZ45)</f>
        <v>#VALUE!</v>
      </c>
      <c r="VB45" s="825" t="str">
        <f>IFERROR(INDEX($DU:$DU,MATCH(MID($SQ$5,UW45,UZ45),$DT:$DT,0),1),"")</f>
        <v/>
      </c>
      <c r="VC45" s="754"/>
      <c r="VG45" s="1475">
        <v>11</v>
      </c>
      <c r="VH45" s="1030" t="s">
        <v>8433</v>
      </c>
      <c r="VI45" s="406" t="e">
        <f>SEARCH(VF$14,VF$4,VK41)+LEN(VF$14)</f>
        <v>#VALUE!</v>
      </c>
      <c r="VJ45" s="406" t="str">
        <f>IF(VK45=IFERROR(SEARCH(".",VF$4,VI45),99999),".",
IF(VK45=IFERROR(SEARCH(",",VF$4,VI45),99999),",",
IF(VK45=IFERROR(SEARCH(" за период",VF$4,VI45),999999)," за период",
IF(VK45=IFERROR(SEARCH(" в размере",VF$4,VI45),99999)," в размере",
IF(VK45=IFERROR(SEARCH(" и ",VF$4,VI45),99999)," и ",
IF(VK45=IFERROR(SEARCH(")",VF$4,VI45),99999),")",
))))))</f>
        <v>.</v>
      </c>
      <c r="VK45" s="406">
        <f>IFERROR(MIN(IFERROR(SEARCH(".",VF$4,VI45),99999),IFERROR(SEARCH(",",VF$4,VI45),99999),IFERROR(SEARCH(" за период",VF$4,VI45),999999),IFERROR(SEARCH(" в размере",VF$4,VI45),99999),IFERROR(SEARCH(" и ",VF$4,VI45),99999),IFERROR(SEARCH(")",VF$4,VI45),99999)),"ОШИБКА")</f>
        <v>99999</v>
      </c>
      <c r="VL45" s="406" t="e">
        <f>VK45-VI45</f>
        <v>#VALUE!</v>
      </c>
      <c r="VM45" s="873" t="e">
        <f>MID(VF$4,VI45,VL45)</f>
        <v>#VALUE!</v>
      </c>
      <c r="VN45" s="825" t="str">
        <f>IFERROR(INDEX($DU:$DU,MATCH(MID(VF$4,VI45,VL45),$DT:$DT,0),1),"")</f>
        <v/>
      </c>
      <c r="VO45" s="754"/>
      <c r="VS45" s="1463">
        <v>7</v>
      </c>
      <c r="VT45" s="824" t="s">
        <v>8433</v>
      </c>
      <c r="VU45" s="838" t="e">
        <f>SEARCH(VP$4,$SQ$6,VW38)+LEN(VP$4)</f>
        <v>#VALUE!</v>
      </c>
      <c r="VV45" s="406" t="str">
        <f>IF(VW45=IFERROR(SEARCH(".",$SQ$6,VU45),99999),".",
IF(VW45=IFERROR(SEARCH(",",$SQ$6,VU45),99999),",",
IF(VW45=IFERROR(SEARCH(" за период",$SQ$6,VU45),999999)," за период",
IF(VW45=IFERROR(SEARCH(" в размере",$SQ$6,VU45),99999)," в размере",
))))</f>
        <v>.</v>
      </c>
      <c r="VW45" s="406">
        <f>IFERROR(MIN(IFERROR(SEARCH(".",$SQ$6,VU45),99999),IFERROR(SEARCH(",",$SQ$6,VU45),99999),IFERROR(SEARCH(" за период",$SQ$6,VU45),999999),IFERROR(SEARCH(" в размере",$SQ$6,VU45),99999)),"ОШИБКА")</f>
        <v>99999</v>
      </c>
      <c r="VX45" s="406" t="e">
        <f>VW45-VU45</f>
        <v>#VALUE!</v>
      </c>
      <c r="VY45" s="824" t="e">
        <f>MID($SQ$6,VU45,VX45)</f>
        <v>#VALUE!</v>
      </c>
      <c r="VZ45" s="825" t="str">
        <f>IFERROR(INDEX($DU:$DU,MATCH(MID($SQ$6,VU45,VX45),$DT:$DT,0),1),"")</f>
        <v/>
      </c>
      <c r="WA45" s="754"/>
      <c r="WE45" s="1475">
        <v>11</v>
      </c>
      <c r="WF45" s="1030" t="s">
        <v>8433</v>
      </c>
      <c r="WG45" s="406" t="e">
        <f>SEARCH($TJ$14,WD$4,WI41)+LEN($TJ$14)</f>
        <v>#VALUE!</v>
      </c>
      <c r="WH45" s="406" t="str">
        <f>IF(WI45=IFERROR(SEARCH(".",WD$4,WG45),99999),".",
IF(WI45=IFERROR(SEARCH(",",WD$4,WG45),99999),",",
IF(WI45=IFERROR(SEARCH(" за период",WD$4,WG45),999999)," за период",
IF(WI45=IFERROR(SEARCH(" в размере",WD$4,WG45),99999)," в размере",
IF(WI45=IFERROR(SEARCH(" и ",WD$4,WG45),99999)," и ",
IF(WI45=IFERROR(SEARCH(")",WD$4,WG45),99999),")",
))))))</f>
        <v>.</v>
      </c>
      <c r="WI45" s="406">
        <f>IFERROR(MIN(IFERROR(SEARCH(".",WD$4,WG45),99999),IFERROR(SEARCH(",",WD$4,WG45),99999),IFERROR(SEARCH(" за период",WD$4,WG45),999999),IFERROR(SEARCH(" в размере",WD$4,WG45),99999),IFERROR(SEARCH(" и ",WD$4,WG45),99999),IFERROR(SEARCH(")",WD$4,WG45),99999)),"ОШИБКА")</f>
        <v>99999</v>
      </c>
      <c r="WJ45" s="406" t="e">
        <f>WI45-WG45</f>
        <v>#VALUE!</v>
      </c>
      <c r="WK45" s="873" t="e">
        <f>MID(WD$4,WG45,WJ45)</f>
        <v>#VALUE!</v>
      </c>
      <c r="WL45" s="825" t="str">
        <f>IFERROR(INDEX($DU:$DU,MATCH(MID(WD$4,WG45,WJ45),$DT:$DT,0),1),"")</f>
        <v/>
      </c>
      <c r="WM45" s="754"/>
      <c r="WQ45" s="1463">
        <v>7</v>
      </c>
      <c r="WR45" s="824" t="s">
        <v>8433</v>
      </c>
      <c r="WS45" s="838" t="e">
        <f>SEARCH(WN$4,$SQ$7,WU38)+LEN(WN$4)</f>
        <v>#VALUE!</v>
      </c>
      <c r="WT45" s="406" t="str">
        <f>IF(WU45=IFERROR(SEARCH(".",$SQ$7,WS45),99999),".",
IF(WU45=IFERROR(SEARCH(",",$SQ$7,WS45),99999),",",
IF(WU45=IFERROR(SEARCH(" за период",$SQ$7,WS45),999999)," за период",
IF(WU45=IFERROR(SEARCH(" в размере",$SQ$7,WS45),99999)," в размере",
))))</f>
        <v>.</v>
      </c>
      <c r="WU45" s="406">
        <f>IFERROR(MIN(IFERROR(SEARCH(".",$SQ$7,WS45),99999),IFERROR(SEARCH(",",$SQ$7,WS45),99999),IFERROR(SEARCH(" за период",$SQ$7,WS45),999999),IFERROR(SEARCH(" в размере",$SQ$7,WS45),99999)),"ОШИБКА")</f>
        <v>99999</v>
      </c>
      <c r="WV45" s="406" t="e">
        <f>WU45-WS45</f>
        <v>#VALUE!</v>
      </c>
      <c r="WW45" s="824" t="e">
        <f>MID($SQ$7,WS45,WV45)</f>
        <v>#VALUE!</v>
      </c>
      <c r="WX45" s="825" t="str">
        <f>IFERROR(INDEX($DU:$DU,MATCH(MID($SQ$7,WS45,WV45),$DT:$DT,0),1),"")</f>
        <v/>
      </c>
      <c r="WY45" s="754"/>
      <c r="XC45" s="1475">
        <v>11</v>
      </c>
      <c r="XD45" s="1030" t="s">
        <v>8433</v>
      </c>
      <c r="XE45" s="406" t="e">
        <f>SEARCH($TJ$14,XB$4,XG41)+LEN($TJ$14)</f>
        <v>#VALUE!</v>
      </c>
      <c r="XF45" s="406" t="str">
        <f>IF(XG45=IFERROR(SEARCH(".",XB$4,XE45),99999),".",
IF(XG45=IFERROR(SEARCH(",",XB$4,XE45),99999),",",
IF(XG45=IFERROR(SEARCH(" за период",XB$4,XE45),999999)," за период",
IF(XG45=IFERROR(SEARCH(" в размере",XB$4,XE45),99999)," в размере",
IF(XG45=IFERROR(SEARCH(" и ",XB$4,XE45),99999)," и ",
IF(XG45=IFERROR(SEARCH(")",XB$4,XE45),99999),")",
))))))</f>
        <v>.</v>
      </c>
      <c r="XG45" s="406">
        <f>IFERROR(MIN(IFERROR(SEARCH(".",XB$4,XE45),99999),IFERROR(SEARCH(",",XB$4,XE45),99999),IFERROR(SEARCH(" за период",XB$4,XE45),999999),IFERROR(SEARCH(" в размере",XB$4,XE45),99999),IFERROR(SEARCH(" и ",XB$4,XE45),99999),IFERROR(SEARCH(")",XB$4,XE45),99999)),"ОШИБКА")</f>
        <v>99999</v>
      </c>
      <c r="XH45" s="406" t="e">
        <f>XG45-XE45</f>
        <v>#VALUE!</v>
      </c>
      <c r="XI45" s="873" t="e">
        <f>MID(XB$4,XE45,XH45)</f>
        <v>#VALUE!</v>
      </c>
      <c r="XJ45" s="825" t="str">
        <f>IFERROR(INDEX($DU:$DU,MATCH(MID(XB$4,XE45,XH45),$DT:$DT,0),1),"")</f>
        <v/>
      </c>
      <c r="XK45" s="754"/>
      <c r="YG45" s="1463">
        <v>7</v>
      </c>
      <c r="YH45" s="824" t="s">
        <v>8433</v>
      </c>
      <c r="YI45" s="838" t="e">
        <f>SEARCH(YD$4,$XU$3,YK38)+LEN(YD$4)</f>
        <v>#VALUE!</v>
      </c>
      <c r="YJ45" s="406" t="str">
        <f>IF(YK45=IFERROR(SEARCH(".",$XU$3,YI45),99999),".",
IF(YK45=IFERROR(SEARCH(",",$XU$3,YI45),99999),",",
IF(YK45=IFERROR(SEARCH(" за период",$XU$3,YI45),999999)," за период",
IF(YK45=IFERROR(SEARCH(" в размере",$XU$3,YI45),99999)," в размере",
))))</f>
        <v>.</v>
      </c>
      <c r="YK45" s="406">
        <f>IFERROR(MIN(IFERROR(SEARCH(".",$XU$3,YI45),99999),IFERROR(SEARCH(",",$XU$3,YI45),99999),IFERROR(SEARCH(" за период",$XU$3,YI45),999999),IFERROR(SEARCH(" в размере",$XU$3,YI45),99999)),"ОШИБКА")</f>
        <v>99999</v>
      </c>
      <c r="YL45" s="406" t="e">
        <f>YK45-YI45</f>
        <v>#VALUE!</v>
      </c>
      <c r="YM45" s="824" t="e">
        <f>MID($XU$3,YI45,YL45)</f>
        <v>#VALUE!</v>
      </c>
      <c r="YN45" s="825" t="str">
        <f>IFERROR(INDEX($DU:$DU,MATCH(MID($XU$3,YI45,YL45),$DT:$DT,0),1),"")</f>
        <v/>
      </c>
      <c r="YO45" s="754"/>
      <c r="YS45" s="1463">
        <v>7</v>
      </c>
      <c r="YT45" s="824" t="s">
        <v>8433</v>
      </c>
      <c r="YU45" s="838" t="e">
        <f>SEARCH(YP$4,$XU$4,YW38)+LEN(YP$4)</f>
        <v>#VALUE!</v>
      </c>
      <c r="YV45" s="406" t="str">
        <f>IF(YW45=IFERROR(SEARCH(".",$XU$4,YU45),99999),".",
IF(YW45=IFERROR(SEARCH(",",$XU$4,YU45),99999),",",
IF(YW45=IFERROR(SEARCH(" за период",$XU$4,YU45),999999)," за период",
IF(YW45=IFERROR(SEARCH(" в размере",$XU$4,YU45),99999)," в размере",
))))</f>
        <v>.</v>
      </c>
      <c r="YW45" s="406">
        <f>IFERROR(MIN(IFERROR(SEARCH(".",$XU$4,YU45),99999),IFERROR(SEARCH(",",$XU$4,YU45),99999),IFERROR(SEARCH(" за период",$XU$4,YU45),999999),IFERROR(SEARCH(" в размере",$XU$4,YU45),99999)),"ОШИБКА")</f>
        <v>99999</v>
      </c>
      <c r="YX45" s="406" t="e">
        <f>YW45-YU45</f>
        <v>#VALUE!</v>
      </c>
      <c r="YY45" s="824" t="e">
        <f>MID($XU$4,YU45,YX45)</f>
        <v>#VALUE!</v>
      </c>
      <c r="YZ45" s="825" t="str">
        <f>IFERROR(INDEX($DU:$DU,MATCH(MID($XU$4,YU45,YX45),$DT:$DT,0),1),"")</f>
        <v/>
      </c>
      <c r="ZA45" s="754"/>
      <c r="ZE45" s="1463">
        <v>7</v>
      </c>
      <c r="ZF45" s="824" t="s">
        <v>8433</v>
      </c>
      <c r="ZG45" s="838" t="e">
        <f>SEARCH(ZB$4,$XU$5,ZI38)+LEN(ZB$4)</f>
        <v>#VALUE!</v>
      </c>
      <c r="ZH45" s="406" t="str">
        <f>IF(ZI45=IFERROR(SEARCH(".",$XU$5,ZG45),99999),".",
IF(ZI45=IFERROR(SEARCH(",",$XU$5,ZG45),99999),",",
IF(ZI45=IFERROR(SEARCH(" за период",$XU$5,ZG45),999999)," за период",
IF(ZI45=IFERROR(SEARCH(" в размере",$XU$5,ZG45),99999)," в размере",
))))</f>
        <v>.</v>
      </c>
      <c r="ZI45" s="406">
        <f>IFERROR(MIN(IFERROR(SEARCH(".",$XU$5,ZG45),99999),IFERROR(SEARCH(",",$XU$5,ZG45),99999),IFERROR(SEARCH(" за период",$XU$5,ZG45),999999),IFERROR(SEARCH(" в размере",$XU$5,ZG45),99999)),"ОШИБКА")</f>
        <v>99999</v>
      </c>
      <c r="ZJ45" s="406" t="e">
        <f>ZI45-ZG45</f>
        <v>#VALUE!</v>
      </c>
      <c r="ZK45" s="824" t="e">
        <f>MID($XU$5,ZG45,ZJ45)</f>
        <v>#VALUE!</v>
      </c>
      <c r="ZL45" s="825" t="str">
        <f>IFERROR(INDEX($DU:$DU,MATCH(MID($XU$5,ZG45,ZJ45),$DT:$DT,0),1),"")</f>
        <v/>
      </c>
      <c r="ZM45" s="754"/>
      <c r="ZQ45" s="1463">
        <v>7</v>
      </c>
      <c r="ZR45" s="824" t="s">
        <v>8433</v>
      </c>
      <c r="ZS45" s="838" t="e">
        <f>SEARCH(ZN$4,$XU$6,ZU38)+LEN(ZN$4)</f>
        <v>#VALUE!</v>
      </c>
      <c r="ZT45" s="406" t="str">
        <f>IF(ZU45=IFERROR(SEARCH(".",$XU$6,ZS45),99999),".",
IF(ZU45=IFERROR(SEARCH(",",$XU$6,ZS45),99999),",",
IF(ZU45=IFERROR(SEARCH(" за период",$XU$6,ZS45),999999)," за период",
IF(ZU45=IFERROR(SEARCH(" в размере",$XU$6,ZS45),99999)," в размере",
))))</f>
        <v>.</v>
      </c>
      <c r="ZU45" s="406">
        <f>IFERROR(MIN(IFERROR(SEARCH(".",$XU$6,ZS45),99999),IFERROR(SEARCH(",",$XU$6,ZS45),99999),IFERROR(SEARCH(" за период",$XU$6,ZS45),999999),IFERROR(SEARCH(" в размере",$XU$6,ZS45),99999)),"ОШИБКА")</f>
        <v>99999</v>
      </c>
      <c r="ZV45" s="406" t="e">
        <f>ZU45-ZS45</f>
        <v>#VALUE!</v>
      </c>
      <c r="ZW45" s="824" t="e">
        <f>MID($XU$6,ZS45,ZV45)</f>
        <v>#VALUE!</v>
      </c>
      <c r="ZX45" s="825" t="str">
        <f>IFERROR(INDEX($DU:$DU,MATCH(MID($XU$6,ZS45,ZV45),$DT:$DT,0),1),"")</f>
        <v/>
      </c>
      <c r="ZY45" s="754"/>
      <c r="AAC45" s="1463">
        <v>7</v>
      </c>
      <c r="AAD45" s="824" t="s">
        <v>8433</v>
      </c>
      <c r="AAE45" s="838" t="e">
        <f>SEARCH(ZZ$4,$XU$7,AAG38)+LEN(ZZ$4)</f>
        <v>#VALUE!</v>
      </c>
      <c r="AAF45" s="406" t="str">
        <f>IF(AAG45=IFERROR(SEARCH(".",$XU$7,AAE45),99999),".",
IF(AAG45=IFERROR(SEARCH(",",$XU$7,AAE45),99999),",",
IF(AAG45=IFERROR(SEARCH(" за период",$XU$7,AAE45),999999)," за период",
IF(AAG45=IFERROR(SEARCH(" в размере",$XU$7,AAE45),99999)," в размере",
))))</f>
        <v>.</v>
      </c>
      <c r="AAG45" s="406">
        <f>IFERROR(MIN(IFERROR(SEARCH(".",$XU$7,AAE45),99999),IFERROR(SEARCH(",",$XU$7,AAE45),99999),IFERROR(SEARCH(" за период",$XU$7,AAE45),999999),IFERROR(SEARCH(" в размере",$XU$7,AAE45),99999)),"ОШИБКА")</f>
        <v>99999</v>
      </c>
      <c r="AAH45" s="406" t="e">
        <f>AAG45-AAE45</f>
        <v>#VALUE!</v>
      </c>
      <c r="AAI45" s="824" t="e">
        <f>MID($XU$7,AAE45,AAH45)</f>
        <v>#VALUE!</v>
      </c>
      <c r="AAJ45" s="825" t="str">
        <f>IFERROR(INDEX($DU:$DU,MATCH(MID($XU$7,AAE45,AAH45),$DT:$DT,0),1),"")</f>
        <v/>
      </c>
      <c r="AAK45" s="754"/>
      <c r="AAL45" s="754"/>
      <c r="AAM45" s="754"/>
      <c r="AAV45" t="str">
        <f t="shared" si="141"/>
        <v>$$$$</v>
      </c>
      <c r="AAW45" s="947" t="e">
        <f t="shared" si="156"/>
        <v>#VALUE!</v>
      </c>
      <c r="AAX45" s="5"/>
      <c r="AAY45" s="5"/>
      <c r="AAZ45" s="5"/>
      <c r="ABA45" s="1487"/>
      <c r="ADF45" s="5"/>
      <c r="ADG45" s="1075"/>
      <c r="ADQ45" s="1075"/>
      <c r="AEJ45" s="961"/>
      <c r="AEK45" s="961"/>
      <c r="AEL45" s="961"/>
      <c r="AEX45" s="1070"/>
      <c r="AFA45" s="1070"/>
      <c r="AFE45" s="1463">
        <v>7</v>
      </c>
      <c r="AFF45" s="824" t="s">
        <v>8433</v>
      </c>
      <c r="AFG45" s="838" t="e">
        <f>SEARCH(AFB$4,AFD$4,AFI38)+LEN(AFB$4)</f>
        <v>#VALUE!</v>
      </c>
      <c r="AFH45" s="406" t="str">
        <f>IF(AFI45=IFERROR(SEARCH(".",AFD$4,AFG45),99999),".",
IF(AFI45=IFERROR(SEARCH(",",AFD$4,AFG45),99999),",",
IF(AFI45=IFERROR(SEARCH(" за период",AFD$4,AFG45),999999)," за период",
IF(AFI45=IFERROR(SEARCH(" в размере",AFD$4,AFG45),99999)," в размере",
))))</f>
        <v>.</v>
      </c>
      <c r="AFI45" s="406">
        <f>IFERROR(MIN(IFERROR(SEARCH(".",AFD$4,AFG45),99999),IFERROR(SEARCH(",",AFD$4,AFG45),99999),IFERROR(SEARCH(" за период",AFD$4,AFG45),999999),IFERROR(SEARCH(" в размере",AFD$4,AFG45),99999)),"ОШИБКА")</f>
        <v>99999</v>
      </c>
      <c r="AFJ45" s="406" t="e">
        <f>AFI45-AFG45</f>
        <v>#VALUE!</v>
      </c>
      <c r="AFK45" s="824" t="e">
        <f>MID(AFD$4,AFG45,AFJ45)</f>
        <v>#VALUE!</v>
      </c>
      <c r="AFL45" s="825" t="str">
        <f>IFERROR(INDEX($DU:$DU,MATCH(MID(AFD$4,AFG45,AFJ45),$DT:$DT,0),1),"")</f>
        <v/>
      </c>
      <c r="AFM45" s="754"/>
      <c r="AFQ45" s="1463">
        <v>7</v>
      </c>
      <c r="AFR45" s="824" t="s">
        <v>8433</v>
      </c>
      <c r="AFS45" s="838" t="e">
        <f>SEARCH(AFN$4,AFP$4,AFU38)+LEN(AFN$4)</f>
        <v>#VALUE!</v>
      </c>
      <c r="AFT45" s="406" t="str">
        <f>IF(AFU45=IFERROR(SEARCH(".",AFP$4,AFS45),99999),".",
IF(AFU45=IFERROR(SEARCH(",",AFP$4,AFS45),99999),",",
IF(AFU45=IFERROR(SEARCH(" за период",AFP$4,AFS45),999999)," за период",
IF(AFU45=IFERROR(SEARCH(" в размере",AFP$4,AFS45),99999)," в размере",
))))</f>
        <v>.</v>
      </c>
      <c r="AFU45" s="406">
        <f>IFERROR(MIN(IFERROR(SEARCH(".",AFP$4,AFS45),99999),IFERROR(SEARCH(",",AFP$4,AFS45),99999),IFERROR(SEARCH(" за период",AFP$4,AFS45),999999),IFERROR(SEARCH(" в размере",AFP$4,AFS45),99999)),"ОШИБКА")</f>
        <v>99999</v>
      </c>
      <c r="AFV45" s="406" t="e">
        <f>AFU45-AFS45</f>
        <v>#VALUE!</v>
      </c>
      <c r="AFW45" s="824" t="e">
        <f>MID(AFP$4,AFS45,AFV45)</f>
        <v>#VALUE!</v>
      </c>
      <c r="AFX45" s="825" t="str">
        <f>IFERROR(INDEX($DU:$DU,MATCH(MID(AFP$4,AFS45,AFV45),$DT:$DT,0),1),"")</f>
        <v/>
      </c>
      <c r="AFY45" s="754"/>
      <c r="AGC45" s="1463">
        <v>7</v>
      </c>
      <c r="AGD45" s="824" t="s">
        <v>8433</v>
      </c>
      <c r="AGE45" s="838" t="e">
        <f>SEARCH(AFZ$4,AGB$4,AGG38)+LEN(AFZ$4)</f>
        <v>#VALUE!</v>
      </c>
      <c r="AGF45" s="406" t="str">
        <f>IF(AGG45=IFERROR(SEARCH(".",AGB$4,AGE45),99999),".",
IF(AGG45=IFERROR(SEARCH(",",AGB$4,AGE45),99999),",",
IF(AGG45=IFERROR(SEARCH(" за период",AGB$4,AGE45),999999)," за период",
IF(AGG45=IFERROR(SEARCH(" в размере",AGB$4,AGE45),99999)," в размере",
))))</f>
        <v>.</v>
      </c>
      <c r="AGG45" s="406">
        <f>IFERROR(MIN(IFERROR(SEARCH(".",AGB$4,AGE45),99999),IFERROR(SEARCH(",",AGB$4,AGE45),99999),IFERROR(SEARCH(" за период",AGB$4,AGE45),999999),IFERROR(SEARCH(" в размере",AGB$4,AGE45),99999)),"ОШИБКА")</f>
        <v>99999</v>
      </c>
      <c r="AGH45" s="406" t="e">
        <f>AGG45-AGE45</f>
        <v>#VALUE!</v>
      </c>
      <c r="AGI45" s="824" t="e">
        <f>MID(AGB$4,AGE45,AGH45)</f>
        <v>#VALUE!</v>
      </c>
      <c r="AGJ45" s="825" t="str">
        <f>IFERROR(INDEX($DU:$DU,MATCH(MID(AGB$4,AGE45,AGH45),$DT:$DT,0),1),"")</f>
        <v/>
      </c>
      <c r="AGK45" s="754"/>
      <c r="AGO45" s="1463">
        <v>7</v>
      </c>
      <c r="AGP45" s="824" t="s">
        <v>8433</v>
      </c>
      <c r="AGQ45" s="838" t="e">
        <f>SEARCH(AGL$4,AGN$4,AGS38)+LEN(AGL$4)</f>
        <v>#VALUE!</v>
      </c>
      <c r="AGR45" s="406" t="str">
        <f>IF(AGS45=IFERROR(SEARCH(".",AGN$4,AGQ45),99999),".",
IF(AGS45=IFERROR(SEARCH(",",AGN$4,AGQ45),99999),",",
IF(AGS45=IFERROR(SEARCH(" за период",AGN$4,AGQ45),999999)," за период",
IF(AGS45=IFERROR(SEARCH(" в размере",AGN$4,AGQ45),99999)," в размере",
))))</f>
        <v>.</v>
      </c>
      <c r="AGS45" s="406">
        <f>IFERROR(MIN(IFERROR(SEARCH(".",AGN$4,AGQ45),99999),IFERROR(SEARCH(",",AGN$4,AGQ45),99999),IFERROR(SEARCH(" за период",AGN$4,AGQ45),999999),IFERROR(SEARCH(" в размере",AGN$4,AGQ45),99999)),"ОШИБКА")</f>
        <v>99999</v>
      </c>
      <c r="AGT45" s="406" t="e">
        <f>AGS45-AGQ45</f>
        <v>#VALUE!</v>
      </c>
      <c r="AGU45" s="824" t="e">
        <f>MID(AGN$4,AGQ45,AGT45)</f>
        <v>#VALUE!</v>
      </c>
      <c r="AGV45" s="825" t="str">
        <f>IFERROR(INDEX($DU:$DU,MATCH(MID(AGN$4,AGQ45,AGT45),$DT:$DT,0),1),"")</f>
        <v/>
      </c>
      <c r="AGW45" s="754"/>
      <c r="AHA45" s="1463">
        <v>7</v>
      </c>
      <c r="AHB45" s="824" t="s">
        <v>8433</v>
      </c>
      <c r="AHC45" s="838" t="e">
        <f>SEARCH(AGX$4,AGZ$4,AHE38)+LEN(AGX$4)</f>
        <v>#VALUE!</v>
      </c>
      <c r="AHD45" s="406" t="str">
        <f>IF(AHE45=IFERROR(SEARCH(".",AGZ$4,AHC45),99999),".",
IF(AHE45=IFERROR(SEARCH(",",AGZ$4,AHC45),99999),",",
IF(AHE45=IFERROR(SEARCH(" за период",AGZ$4,AHC45),999999)," за период",
IF(AHE45=IFERROR(SEARCH(" в размере",AGZ$4,AHC45),99999)," в размере",
))))</f>
        <v>.</v>
      </c>
      <c r="AHE45" s="406">
        <f>IFERROR(MIN(IFERROR(SEARCH(".",AGZ$4,AHC45),99999),IFERROR(SEARCH(",",AGZ$4,AHC45),99999),IFERROR(SEARCH(" за период",AGZ$4,AHC45),999999),IFERROR(SEARCH(" в размере",AGZ$4,AHC45),99999)),"ОШИБКА")</f>
        <v>99999</v>
      </c>
      <c r="AHF45" s="406" t="e">
        <f>AHE45-AHC45</f>
        <v>#VALUE!</v>
      </c>
      <c r="AHG45" s="824" t="e">
        <f>MID(AGZ$4,AHC45,AHF45)</f>
        <v>#VALUE!</v>
      </c>
      <c r="AHH45" s="825" t="str">
        <f>IFERROR(INDEX($DU:$DU,MATCH(MID(AGZ$4,AHC45,AHF45),$DT:$DT,0),1),"")</f>
        <v/>
      </c>
      <c r="AHI45" s="754"/>
    </row>
    <row r="46" spans="1:893" ht="14.4" customHeight="1" x14ac:dyDescent="0.3">
      <c r="A46" s="116"/>
      <c r="B46" s="116"/>
      <c r="C46" s="116"/>
      <c r="D46" s="116"/>
      <c r="E46" s="116"/>
      <c r="F46" s="116"/>
      <c r="G46" s="116"/>
      <c r="H46" s="116"/>
      <c r="I46" s="116"/>
      <c r="J46" s="116"/>
      <c r="K46" s="116"/>
      <c r="L46" s="116"/>
      <c r="M46" s="116"/>
      <c r="N46" s="116"/>
      <c r="O46" s="116"/>
      <c r="P46" s="116"/>
      <c r="Q46" s="116"/>
      <c r="R46" s="116"/>
      <c r="S46" s="116"/>
      <c r="T46" s="116"/>
      <c r="U46" s="116"/>
      <c r="V46" s="116"/>
      <c r="W46" s="116"/>
      <c r="X46" s="116"/>
      <c r="Y46" s="116"/>
      <c r="Z46" s="116"/>
      <c r="AA46" s="116"/>
      <c r="AB46" s="116"/>
      <c r="AC46" s="116"/>
      <c r="AD46" s="116"/>
      <c r="AE46" s="116"/>
      <c r="AF46" s="116"/>
      <c r="AG46" s="116"/>
      <c r="AH46" s="116"/>
      <c r="AI46" s="116"/>
      <c r="AJ46" s="116"/>
      <c r="AK46" s="116"/>
      <c r="AL46" s="116"/>
      <c r="AM46" s="116"/>
      <c r="AN46" s="116"/>
      <c r="AO46" s="116"/>
      <c r="AP46" s="116"/>
      <c r="AQ46" s="116"/>
      <c r="AR46" s="116"/>
      <c r="AS46" s="116"/>
      <c r="AT46" s="116"/>
      <c r="AU46" s="116"/>
      <c r="AV46" s="116"/>
      <c r="AW46" s="116"/>
      <c r="AX46" s="116"/>
      <c r="AY46" s="116"/>
      <c r="AZ46" s="116"/>
      <c r="BA46" s="116"/>
      <c r="BB46" s="116"/>
      <c r="BC46" s="116"/>
      <c r="BD46" s="116"/>
      <c r="BE46" s="116"/>
      <c r="BF46" s="116"/>
      <c r="BG46" s="116"/>
      <c r="BH46" s="116"/>
      <c r="BI46" s="116"/>
      <c r="BJ46" s="116"/>
      <c r="BK46" s="116"/>
      <c r="BL46" s="116"/>
      <c r="BM46" s="116"/>
      <c r="BN46" s="116"/>
      <c r="BO46" s="116"/>
      <c r="BP46" s="116"/>
      <c r="BQ46" s="116"/>
      <c r="BR46" s="116"/>
      <c r="BS46" s="116"/>
      <c r="BT46" s="116"/>
      <c r="BU46" s="116"/>
      <c r="BV46" s="116"/>
      <c r="BW46" s="116"/>
      <c r="BX46" s="116"/>
      <c r="BY46" s="116"/>
      <c r="BZ46" s="116"/>
      <c r="CA46" s="116"/>
      <c r="CB46" s="116"/>
      <c r="CC46" s="116"/>
      <c r="CD46" s="116"/>
      <c r="CE46" s="116"/>
      <c r="CF46" s="116"/>
      <c r="CG46" s="116"/>
      <c r="CH46" s="116"/>
      <c r="CI46" s="116"/>
      <c r="CJ46" s="116"/>
      <c r="CK46" s="116"/>
      <c r="CL46" s="116"/>
      <c r="CM46" s="116"/>
      <c r="CN46" s="116"/>
      <c r="CO46" s="116"/>
      <c r="CP46" s="116"/>
      <c r="CQ46" s="116"/>
      <c r="CR46" s="116"/>
      <c r="CS46" s="116"/>
      <c r="CT46" s="116"/>
      <c r="CU46" s="116"/>
      <c r="CV46" s="116"/>
      <c r="CW46" s="116"/>
      <c r="CX46" s="116"/>
      <c r="CY46" s="116"/>
      <c r="CZ46" s="116"/>
      <c r="DA46" s="116"/>
      <c r="DB46" s="116"/>
      <c r="DC46" s="116"/>
      <c r="DD46" s="116"/>
      <c r="DE46" s="116"/>
      <c r="DF46" s="116"/>
      <c r="DG46" s="116"/>
      <c r="DH46" s="116"/>
      <c r="DI46" s="116"/>
      <c r="DJ46" s="116"/>
      <c r="DK46" s="116"/>
      <c r="DL46" s="116"/>
      <c r="DM46" s="116"/>
      <c r="DN46" s="116"/>
      <c r="DO46" s="116"/>
      <c r="DP46" s="116"/>
      <c r="DQ46" s="116"/>
      <c r="DT46" t="s">
        <v>8549</v>
      </c>
      <c r="DU46" s="821" t="s">
        <v>1246</v>
      </c>
      <c r="DV46" s="1464"/>
      <c r="DW46" s="826" t="s">
        <v>8435</v>
      </c>
      <c r="DX46" s="836" t="str">
        <f>IF(DY45=" за период",SEARCH(" за период",$C$3,DZ45)+LEN(" за период")+3,"НЕТ")</f>
        <v>НЕТ</v>
      </c>
      <c r="DY46" s="306" t="s">
        <v>8434</v>
      </c>
      <c r="DZ46" s="306" t="e">
        <f>SEARCH(DY46,$C$3,DX46)</f>
        <v>#VALUE!</v>
      </c>
      <c r="EA46" s="306" t="e">
        <f>DZ46-DX46</f>
        <v>#VALUE!</v>
      </c>
      <c r="EB46" s="827" t="e">
        <f>DATEVALUE(MID($C$3,DX46,EA46))</f>
        <v>#VALUE!</v>
      </c>
      <c r="EC46" s="828" t="str">
        <f>IF(DY45=" за период",EB46,"")</f>
        <v/>
      </c>
      <c r="NK46" s="1464"/>
      <c r="NL46" s="826" t="s">
        <v>8435</v>
      </c>
      <c r="NM46" s="836" t="str">
        <f>IF(NN45=" за период",SEARCH(" за период",NJ$4,NO45)+LEN(" за период")+3,"НЕТ")</f>
        <v>НЕТ</v>
      </c>
      <c r="NN46" s="306" t="s">
        <v>8434</v>
      </c>
      <c r="NO46" s="306" t="e">
        <f>SEARCH(NN46,NJ$4,NM46)</f>
        <v>#VALUE!</v>
      </c>
      <c r="NP46" s="306" t="e">
        <f>NO46-NM46</f>
        <v>#VALUE!</v>
      </c>
      <c r="NQ46" s="827" t="e">
        <f>DATEVALUE(MID(NJ$4,NM46,NP46))</f>
        <v>#VALUE!</v>
      </c>
      <c r="NR46" s="828" t="str">
        <f>IF(NN45=" за период",NQ46,"")</f>
        <v/>
      </c>
      <c r="OC46" s="1472"/>
      <c r="OD46" s="946" t="str">
        <f t="shared" si="131"/>
        <v>$$$$</v>
      </c>
      <c r="OE46" s="947" t="e">
        <f t="shared" si="151"/>
        <v>#VALUE!</v>
      </c>
      <c r="OF46" s="947"/>
      <c r="OG46" s="920"/>
      <c r="OH46" s="920"/>
      <c r="OI46" s="947"/>
      <c r="OJ46" s="947"/>
      <c r="OK46" s="947"/>
      <c r="OL46" s="1474"/>
      <c r="OY46" s="116"/>
      <c r="OZ46" s="959"/>
      <c r="PA46" s="1210"/>
      <c r="PB46" s="959"/>
      <c r="PC46" s="116"/>
      <c r="PD46" s="1000"/>
      <c r="PF46" s="1209"/>
      <c r="PG46" s="1208"/>
      <c r="PH46" s="1209"/>
      <c r="PI46" s="5"/>
      <c r="PJ46" s="1073"/>
      <c r="PK46" s="99"/>
      <c r="PL46" s="920"/>
      <c r="PM46" s="995"/>
      <c r="PN46" s="920"/>
      <c r="PO46" s="254"/>
      <c r="PP46" s="871"/>
      <c r="PQ46" t="str">
        <f t="shared" si="133"/>
        <v>$$$$</v>
      </c>
      <c r="PR46" s="937" t="e">
        <f t="shared" si="152"/>
        <v>#VALUE!</v>
      </c>
      <c r="PS46" s="5"/>
      <c r="PV46" s="937"/>
      <c r="PX46" s="5"/>
      <c r="PY46" s="1470"/>
      <c r="PZ46" t="str">
        <f t="shared" si="135"/>
        <v>$$$$</v>
      </c>
      <c r="QA46" s="937" t="e">
        <f t="shared" si="153"/>
        <v>#VALUE!</v>
      </c>
      <c r="QB46" s="5"/>
      <c r="QC46" s="264"/>
      <c r="QE46" s="937"/>
      <c r="QF46" s="264"/>
      <c r="QG46" s="5"/>
      <c r="QH46" s="1470"/>
      <c r="QI46" t="str">
        <f t="shared" si="137"/>
        <v>$$$$</v>
      </c>
      <c r="QJ46" s="937" t="e">
        <f t="shared" si="154"/>
        <v>#VALUE!</v>
      </c>
      <c r="QK46" s="5"/>
      <c r="QL46" s="264"/>
      <c r="QN46" s="937"/>
      <c r="QO46" s="264"/>
      <c r="QP46" s="5"/>
      <c r="QQ46" s="1470"/>
      <c r="QR46" t="str">
        <f t="shared" si="139"/>
        <v>$$$$</v>
      </c>
      <c r="QS46" s="937" t="e">
        <f t="shared" si="155"/>
        <v>#VALUE!</v>
      </c>
      <c r="QT46" s="5"/>
      <c r="QU46" s="264"/>
      <c r="QW46" s="937"/>
      <c r="QX46" s="264"/>
      <c r="QY46" s="5"/>
      <c r="QZ46" s="1470"/>
      <c r="SQ46" s="979"/>
      <c r="SY46" s="1464"/>
      <c r="SZ46" s="826" t="s">
        <v>8435</v>
      </c>
      <c r="TA46" s="836" t="str">
        <f>IF(TB45=" за период",SEARCH(" за период",$SQ$3,TC45)+LEN(" за период")+3,"НЕТ")</f>
        <v>НЕТ</v>
      </c>
      <c r="TB46" s="306" t="s">
        <v>8434</v>
      </c>
      <c r="TC46" s="306" t="e">
        <f>SEARCH(TB46,$SQ$3,TA46)</f>
        <v>#VALUE!</v>
      </c>
      <c r="TD46" s="306" t="e">
        <f>TC46-TA46</f>
        <v>#VALUE!</v>
      </c>
      <c r="TE46" s="827" t="e">
        <f>DATEVALUE(MID($SQ$3,TA46,TD46))</f>
        <v>#VALUE!</v>
      </c>
      <c r="TF46" s="828" t="str">
        <f>IF(TB45=" за период",TE46,"")</f>
        <v/>
      </c>
      <c r="TK46" s="1476"/>
      <c r="TL46" s="1031" t="s">
        <v>8249</v>
      </c>
      <c r="TM46" s="836">
        <f>IFERROR(MIN(IFERROR(SEARCH(", ",TJ$4,TO41)+LEN(", "),99999),IFERROR(SEARCH("и ",TJ$4,TO41)+LEN("и "),99999)),"ОШИБКА")</f>
        <v>99999</v>
      </c>
      <c r="TN46" s="306" t="s">
        <v>8431</v>
      </c>
      <c r="TO46" s="306" t="e">
        <f>SEARCH(TN46,TJ$4,TM46)</f>
        <v>#VALUE!</v>
      </c>
      <c r="TP46" s="306" t="e">
        <f>TO46-TM46</f>
        <v>#VALUE!</v>
      </c>
      <c r="TQ46" s="826" t="e">
        <f>IF(TR45="Штраф 50%","",MID(TJ$4,TM46,TP46))</f>
        <v>#VALUE!</v>
      </c>
      <c r="TR46" s="828" t="str">
        <f>IF(TN45=" за период",TQ46,"")</f>
        <v/>
      </c>
      <c r="TW46" s="1464"/>
      <c r="TX46" s="826" t="s">
        <v>8435</v>
      </c>
      <c r="TY46" s="836" t="str">
        <f>IF(TZ45=" за период",SEARCH(" за период",$SQ$4,UA45)+LEN(" за период")+3,"НЕТ")</f>
        <v>НЕТ</v>
      </c>
      <c r="TZ46" s="306" t="s">
        <v>8434</v>
      </c>
      <c r="UA46" s="306" t="e">
        <f>SEARCH(TZ46,$SQ$4,TY46)</f>
        <v>#VALUE!</v>
      </c>
      <c r="UB46" s="306" t="e">
        <f>UA46-TY46</f>
        <v>#VALUE!</v>
      </c>
      <c r="UC46" s="827" t="e">
        <f>DATEVALUE(MID($SQ$4,TY46,UB46))</f>
        <v>#VALUE!</v>
      </c>
      <c r="UD46" s="828" t="str">
        <f>IF(TZ45=" за период",UC46,"")</f>
        <v/>
      </c>
      <c r="UI46" s="1476"/>
      <c r="UJ46" s="1031" t="s">
        <v>8249</v>
      </c>
      <c r="UK46" s="836">
        <f>IFERROR(MIN(IFERROR(SEARCH(", ",UH$4,UM41)+LEN(", "),99999),IFERROR(SEARCH("и ",UH$4,UM41)+LEN("и "),99999)),"ОШИБКА")</f>
        <v>99999</v>
      </c>
      <c r="UL46" s="306" t="s">
        <v>8431</v>
      </c>
      <c r="UM46" s="306" t="e">
        <f>SEARCH(UL46,UH$4,UK46)</f>
        <v>#VALUE!</v>
      </c>
      <c r="UN46" s="306" t="e">
        <f>UM46-UK46</f>
        <v>#VALUE!</v>
      </c>
      <c r="UO46" s="826" t="e">
        <f>IF(UP45="Штраф 50%","",MID(UH$4,UK46,UN46))</f>
        <v>#VALUE!</v>
      </c>
      <c r="UP46" s="828" t="str">
        <f>IF(UL45=" за период",UO46,"")</f>
        <v/>
      </c>
      <c r="UU46" s="1464"/>
      <c r="UV46" s="826" t="s">
        <v>8435</v>
      </c>
      <c r="UW46" s="836" t="str">
        <f>IF(UX45=" за период",SEARCH(" за период",$SQ$5,UY45)+LEN(" за период")+3,"НЕТ")</f>
        <v>НЕТ</v>
      </c>
      <c r="UX46" s="306" t="s">
        <v>8434</v>
      </c>
      <c r="UY46" s="306" t="e">
        <f>SEARCH(UX46,$SQ$5,UW46)</f>
        <v>#VALUE!</v>
      </c>
      <c r="UZ46" s="306" t="e">
        <f>UY46-UW46</f>
        <v>#VALUE!</v>
      </c>
      <c r="VA46" s="827" t="e">
        <f>DATEVALUE(MID($SQ$5,UW46,UZ46))</f>
        <v>#VALUE!</v>
      </c>
      <c r="VB46" s="828" t="str">
        <f>IF(UX45=" за период",VA46,"")</f>
        <v/>
      </c>
      <c r="VG46" s="1476"/>
      <c r="VH46" s="1031" t="s">
        <v>8249</v>
      </c>
      <c r="VI46" s="836">
        <f>IFERROR(MIN(IFERROR(SEARCH(", ",VF$4,VK41)+LEN(", "),99999),IFERROR(SEARCH("и ",VF$4,VK41)+LEN("и "),99999)),"ОШИБКА")</f>
        <v>99999</v>
      </c>
      <c r="VJ46" s="306" t="s">
        <v>8431</v>
      </c>
      <c r="VK46" s="306" t="e">
        <f>SEARCH(VJ46,VF$4,VI46)</f>
        <v>#VALUE!</v>
      </c>
      <c r="VL46" s="306" t="e">
        <f>VK46-VI46</f>
        <v>#VALUE!</v>
      </c>
      <c r="VM46" s="826" t="e">
        <f>IF(VN45="Штраф 50%","",MID(VF$4,VI46,VL46))</f>
        <v>#VALUE!</v>
      </c>
      <c r="VN46" s="828" t="str">
        <f>IF(VJ45=" за период",VM46,"")</f>
        <v/>
      </c>
      <c r="VS46" s="1464"/>
      <c r="VT46" s="826" t="s">
        <v>8435</v>
      </c>
      <c r="VU46" s="836" t="str">
        <f>IF(VV45=" за период",SEARCH(" за период",$SQ$6,VW45)+LEN(" за период")+3,"НЕТ")</f>
        <v>НЕТ</v>
      </c>
      <c r="VV46" s="306" t="s">
        <v>8434</v>
      </c>
      <c r="VW46" s="306" t="e">
        <f>SEARCH(VV46,$SQ$6,VU46)</f>
        <v>#VALUE!</v>
      </c>
      <c r="VX46" s="306" t="e">
        <f>VW46-VU46</f>
        <v>#VALUE!</v>
      </c>
      <c r="VY46" s="827" t="e">
        <f>DATEVALUE(MID($SQ$6,VU46,VX46))</f>
        <v>#VALUE!</v>
      </c>
      <c r="VZ46" s="828" t="str">
        <f>IF(VV45=" за период",VY46,"")</f>
        <v/>
      </c>
      <c r="WE46" s="1476"/>
      <c r="WF46" s="1031" t="s">
        <v>8249</v>
      </c>
      <c r="WG46" s="836">
        <f>IFERROR(MIN(IFERROR(SEARCH(", ",WD$4,WI41)+LEN(", "),99999),IFERROR(SEARCH("и ",WD$4,WI41)+LEN("и "),99999)),"ОШИБКА")</f>
        <v>99999</v>
      </c>
      <c r="WH46" s="306" t="s">
        <v>8431</v>
      </c>
      <c r="WI46" s="306" t="e">
        <f>SEARCH(WH46,WD$4,WG46)</f>
        <v>#VALUE!</v>
      </c>
      <c r="WJ46" s="306" t="e">
        <f>WI46-WG46</f>
        <v>#VALUE!</v>
      </c>
      <c r="WK46" s="826" t="e">
        <f>IF(WL45="Штраф 50%","",MID(WD$4,WG46,WJ46))</f>
        <v>#VALUE!</v>
      </c>
      <c r="WL46" s="828" t="str">
        <f>IF(WH45=" за период",WK46,"")</f>
        <v/>
      </c>
      <c r="WQ46" s="1464"/>
      <c r="WR46" s="826" t="s">
        <v>8435</v>
      </c>
      <c r="WS46" s="836" t="str">
        <f>IF(WT45=" за период",SEARCH(" за период",$SQ$7,WU45)+LEN(" за период")+3,"НЕТ")</f>
        <v>НЕТ</v>
      </c>
      <c r="WT46" s="306" t="s">
        <v>8434</v>
      </c>
      <c r="WU46" s="306" t="e">
        <f>SEARCH(WT46,$SQ$7,WS46)</f>
        <v>#VALUE!</v>
      </c>
      <c r="WV46" s="306" t="e">
        <f>WU46-WS46</f>
        <v>#VALUE!</v>
      </c>
      <c r="WW46" s="827" t="e">
        <f>DATEVALUE(MID($SQ$7,WS46,WV46))</f>
        <v>#VALUE!</v>
      </c>
      <c r="WX46" s="828" t="str">
        <f>IF(WT45=" за период",WW46,"")</f>
        <v/>
      </c>
      <c r="XC46" s="1476"/>
      <c r="XD46" s="1031" t="s">
        <v>8249</v>
      </c>
      <c r="XE46" s="836">
        <f>IFERROR(MIN(IFERROR(SEARCH(", ",XB$4,XG41)+LEN(", "),99999),IFERROR(SEARCH("и ",XB$4,XG41)+LEN("и "),99999)),"ОШИБКА")</f>
        <v>99999</v>
      </c>
      <c r="XF46" s="306" t="s">
        <v>8431</v>
      </c>
      <c r="XG46" s="306" t="e">
        <f>SEARCH(XF46,XB$4,XE46)</f>
        <v>#VALUE!</v>
      </c>
      <c r="XH46" s="306" t="e">
        <f>XG46-XE46</f>
        <v>#VALUE!</v>
      </c>
      <c r="XI46" s="826" t="e">
        <f>IF(XJ45="Штраф 50%","",MID(XB$4,XE46,XH46))</f>
        <v>#VALUE!</v>
      </c>
      <c r="XJ46" s="828" t="str">
        <f>IF(XF45=" за период",XI46,"")</f>
        <v/>
      </c>
      <c r="YG46" s="1464"/>
      <c r="YH46" s="826" t="s">
        <v>8435</v>
      </c>
      <c r="YI46" s="836" t="str">
        <f>IF(YJ45=" за период",SEARCH(" за период",$XU$3,YK45)+LEN(" за период")+3,"НЕТ")</f>
        <v>НЕТ</v>
      </c>
      <c r="YJ46" s="306" t="s">
        <v>8434</v>
      </c>
      <c r="YK46" s="306" t="e">
        <f>SEARCH(YJ46,$XU$3,YI46)</f>
        <v>#VALUE!</v>
      </c>
      <c r="YL46" s="306" t="e">
        <f>YK46-YI46</f>
        <v>#VALUE!</v>
      </c>
      <c r="YM46" s="827" t="e">
        <f>DATEVALUE(MID($XU$3,YI46,YL46))</f>
        <v>#VALUE!</v>
      </c>
      <c r="YN46" s="828" t="str">
        <f>IF(YJ45=" за период",YM46,"")</f>
        <v/>
      </c>
      <c r="YS46" s="1464"/>
      <c r="YT46" s="826" t="s">
        <v>8435</v>
      </c>
      <c r="YU46" s="836" t="str">
        <f>IF(YV45=" за период",SEARCH(" за период",$XU$4,YW45)+LEN(" за период")+3,"НЕТ")</f>
        <v>НЕТ</v>
      </c>
      <c r="YV46" s="306" t="s">
        <v>8434</v>
      </c>
      <c r="YW46" s="306" t="e">
        <f>SEARCH(YV46,$XU$4,YU46)</f>
        <v>#VALUE!</v>
      </c>
      <c r="YX46" s="306" t="e">
        <f>YW46-YU46</f>
        <v>#VALUE!</v>
      </c>
      <c r="YY46" s="827" t="e">
        <f>DATEVALUE(MID($XU$4,YU46,YX46))</f>
        <v>#VALUE!</v>
      </c>
      <c r="YZ46" s="828" t="str">
        <f>IF(YV45=" за период",YY46,"")</f>
        <v/>
      </c>
      <c r="ZE46" s="1464"/>
      <c r="ZF46" s="826" t="s">
        <v>8435</v>
      </c>
      <c r="ZG46" s="836" t="str">
        <f>IF(ZH45=" за период",SEARCH(" за период",$XU$5,ZI45)+LEN(" за период")+3,"НЕТ")</f>
        <v>НЕТ</v>
      </c>
      <c r="ZH46" s="306" t="s">
        <v>8434</v>
      </c>
      <c r="ZI46" s="306" t="e">
        <f>SEARCH(ZH46,$XU$5,ZG46)</f>
        <v>#VALUE!</v>
      </c>
      <c r="ZJ46" s="306" t="e">
        <f>ZI46-ZG46</f>
        <v>#VALUE!</v>
      </c>
      <c r="ZK46" s="827" t="e">
        <f>DATEVALUE(MID($XU$5,ZG46,ZJ46))</f>
        <v>#VALUE!</v>
      </c>
      <c r="ZL46" s="828" t="str">
        <f>IF(ZH45=" за период",ZK46,"")</f>
        <v/>
      </c>
      <c r="ZQ46" s="1464"/>
      <c r="ZR46" s="826" t="s">
        <v>8435</v>
      </c>
      <c r="ZS46" s="836" t="str">
        <f>IF(ZT45=" за период",SEARCH(" за период",$XU$6,ZU45)+LEN(" за период")+3,"НЕТ")</f>
        <v>НЕТ</v>
      </c>
      <c r="ZT46" s="306" t="s">
        <v>8434</v>
      </c>
      <c r="ZU46" s="306" t="e">
        <f>SEARCH(ZT46,$XU$6,ZS46)</f>
        <v>#VALUE!</v>
      </c>
      <c r="ZV46" s="306" t="e">
        <f>ZU46-ZS46</f>
        <v>#VALUE!</v>
      </c>
      <c r="ZW46" s="827" t="e">
        <f>DATEVALUE(MID($XU$6,ZS46,ZV46))</f>
        <v>#VALUE!</v>
      </c>
      <c r="ZX46" s="828" t="str">
        <f>IF(ZT45=" за период",ZW46,"")</f>
        <v/>
      </c>
      <c r="AAC46" s="1464"/>
      <c r="AAD46" s="826" t="s">
        <v>8435</v>
      </c>
      <c r="AAE46" s="836" t="str">
        <f>IF(AAF45=" за период",SEARCH(" за период",$XU$7,AAG45)+LEN(" за период")+3,"НЕТ")</f>
        <v>НЕТ</v>
      </c>
      <c r="AAF46" s="306" t="s">
        <v>8434</v>
      </c>
      <c r="AAG46" s="306" t="e">
        <f>SEARCH(AAF46,$XU$7,AAE46)</f>
        <v>#VALUE!</v>
      </c>
      <c r="AAH46" s="306" t="e">
        <f>AAG46-AAE46</f>
        <v>#VALUE!</v>
      </c>
      <c r="AAI46" s="827" t="e">
        <f>DATEVALUE(MID($XU$7,AAE46,AAH46))</f>
        <v>#VALUE!</v>
      </c>
      <c r="AAJ46" s="828" t="str">
        <f>IF(AAF45=" за период",AAI46,"")</f>
        <v/>
      </c>
      <c r="AAV46" t="str">
        <f t="shared" si="141"/>
        <v>$$$$</v>
      </c>
      <c r="AAW46" s="947" t="e">
        <f t="shared" si="156"/>
        <v>#VALUE!</v>
      </c>
      <c r="AAX46" s="5"/>
      <c r="AAY46" s="5"/>
      <c r="AAZ46" s="5"/>
      <c r="ABA46" s="1487"/>
      <c r="ADF46" s="5"/>
      <c r="ADG46" s="1075"/>
      <c r="ADQ46" s="1075"/>
      <c r="AEJ46" s="961"/>
      <c r="AEK46" s="961"/>
      <c r="AEL46" s="961"/>
      <c r="AEX46" s="1070"/>
      <c r="AFA46" s="1070"/>
      <c r="AFE46" s="1464"/>
      <c r="AFF46" s="826" t="s">
        <v>8435</v>
      </c>
      <c r="AFG46" s="836" t="str">
        <f>IF(AFH45=" за период",SEARCH(" за период",AFD$4,AFI45)+LEN(" за период")+3,"НЕТ")</f>
        <v>НЕТ</v>
      </c>
      <c r="AFH46" s="306" t="s">
        <v>8434</v>
      </c>
      <c r="AFI46" s="306" t="e">
        <f>SEARCH(AFH46,AFD$4,AFG46)</f>
        <v>#VALUE!</v>
      </c>
      <c r="AFJ46" s="306" t="e">
        <f>AFI46-AFG46</f>
        <v>#VALUE!</v>
      </c>
      <c r="AFK46" s="827" t="e">
        <f>DATEVALUE(MID(AFD$4,AFG46,AFJ46))</f>
        <v>#VALUE!</v>
      </c>
      <c r="AFL46" s="828" t="str">
        <f>IF(AFH45=" за период",AFK46,"")</f>
        <v/>
      </c>
      <c r="AFQ46" s="1464"/>
      <c r="AFR46" s="826" t="s">
        <v>8435</v>
      </c>
      <c r="AFS46" s="836" t="str">
        <f>IF(AFT45=" за период",SEARCH(" за период",AFP$4,AFU45)+LEN(" за период")+3,"НЕТ")</f>
        <v>НЕТ</v>
      </c>
      <c r="AFT46" s="306" t="s">
        <v>8434</v>
      </c>
      <c r="AFU46" s="306" t="e">
        <f>SEARCH(AFT46,AFP$4,AFS46)</f>
        <v>#VALUE!</v>
      </c>
      <c r="AFV46" s="306" t="e">
        <f>AFU46-AFS46</f>
        <v>#VALUE!</v>
      </c>
      <c r="AFW46" s="827" t="e">
        <f>DATEVALUE(MID(AFP$4,AFS46,AFV46))</f>
        <v>#VALUE!</v>
      </c>
      <c r="AFX46" s="828" t="str">
        <f>IF(AFT45=" за период",AFW46,"")</f>
        <v/>
      </c>
      <c r="AGC46" s="1464"/>
      <c r="AGD46" s="826" t="s">
        <v>8435</v>
      </c>
      <c r="AGE46" s="836" t="str">
        <f>IF(AGF45=" за период",SEARCH(" за период",AGB$4,AGG45)+LEN(" за период")+3,"НЕТ")</f>
        <v>НЕТ</v>
      </c>
      <c r="AGF46" s="306" t="s">
        <v>8434</v>
      </c>
      <c r="AGG46" s="306" t="e">
        <f>SEARCH(AGF46,AGB$4,AGE46)</f>
        <v>#VALUE!</v>
      </c>
      <c r="AGH46" s="306" t="e">
        <f>AGG46-AGE46</f>
        <v>#VALUE!</v>
      </c>
      <c r="AGI46" s="827" t="e">
        <f>DATEVALUE(MID(AGB$4,AGE46,AGH46))</f>
        <v>#VALUE!</v>
      </c>
      <c r="AGJ46" s="828" t="str">
        <f>IF(AGF45=" за период",AGI46,"")</f>
        <v/>
      </c>
      <c r="AGO46" s="1464"/>
      <c r="AGP46" s="826" t="s">
        <v>8435</v>
      </c>
      <c r="AGQ46" s="836" t="str">
        <f>IF(AGR45=" за период",SEARCH(" за период",AGN$4,AGS45)+LEN(" за период")+3,"НЕТ")</f>
        <v>НЕТ</v>
      </c>
      <c r="AGR46" s="306" t="s">
        <v>8434</v>
      </c>
      <c r="AGS46" s="306" t="e">
        <f>SEARCH(AGR46,AGN$4,AGQ46)</f>
        <v>#VALUE!</v>
      </c>
      <c r="AGT46" s="306" t="e">
        <f>AGS46-AGQ46</f>
        <v>#VALUE!</v>
      </c>
      <c r="AGU46" s="827" t="e">
        <f>DATEVALUE(MID(AGN$4,AGQ46,AGT46))</f>
        <v>#VALUE!</v>
      </c>
      <c r="AGV46" s="828" t="str">
        <f>IF(AGR45=" за период",AGU46,"")</f>
        <v/>
      </c>
      <c r="AHA46" s="1464"/>
      <c r="AHB46" s="826" t="s">
        <v>8435</v>
      </c>
      <c r="AHC46" s="836" t="str">
        <f>IF(AHD45=" за период",SEARCH(" за период",AGZ$4,AHE45)+LEN(" за период")+3,"НЕТ")</f>
        <v>НЕТ</v>
      </c>
      <c r="AHD46" s="306" t="s">
        <v>8434</v>
      </c>
      <c r="AHE46" s="306" t="e">
        <f>SEARCH(AHD46,AGZ$4,AHC46)</f>
        <v>#VALUE!</v>
      </c>
      <c r="AHF46" s="306" t="e">
        <f>AHE46-AHC46</f>
        <v>#VALUE!</v>
      </c>
      <c r="AHG46" s="827" t="e">
        <f>DATEVALUE(MID(AGZ$4,AHC46,AHF46))</f>
        <v>#VALUE!</v>
      </c>
      <c r="AHH46" s="828" t="str">
        <f>IF(AHD45=" за период",AHG46,"")</f>
        <v/>
      </c>
    </row>
    <row r="47" spans="1:893" ht="14.4" customHeight="1" x14ac:dyDescent="0.3">
      <c r="A47" s="116"/>
      <c r="B47" s="116"/>
      <c r="C47" s="116"/>
      <c r="D47" s="116"/>
      <c r="E47" s="116"/>
      <c r="F47" s="116"/>
      <c r="G47" s="116"/>
      <c r="H47" s="116"/>
      <c r="I47" s="116"/>
      <c r="J47" s="116"/>
      <c r="K47" s="116"/>
      <c r="L47" s="116"/>
      <c r="M47" s="116"/>
      <c r="N47" s="116"/>
      <c r="O47" s="116"/>
      <c r="P47" s="116"/>
      <c r="Q47" s="116"/>
      <c r="R47" s="116"/>
      <c r="S47" s="116"/>
      <c r="T47" s="116"/>
      <c r="U47" s="116"/>
      <c r="V47" s="116"/>
      <c r="W47" s="116"/>
      <c r="X47" s="116"/>
      <c r="Y47" s="116"/>
      <c r="Z47" s="116"/>
      <c r="AA47" s="116"/>
      <c r="AB47" s="116"/>
      <c r="AC47" s="116"/>
      <c r="AD47" s="116"/>
      <c r="AE47" s="116"/>
      <c r="AF47" s="116"/>
      <c r="AG47" s="116"/>
      <c r="AH47" s="116"/>
      <c r="AI47" s="116"/>
      <c r="AJ47" s="116"/>
      <c r="AK47" s="116"/>
      <c r="AL47" s="116"/>
      <c r="AM47" s="116"/>
      <c r="AN47" s="116"/>
      <c r="AO47" s="116"/>
      <c r="AP47" s="116"/>
      <c r="AQ47" s="116"/>
      <c r="AR47" s="116"/>
      <c r="AS47" s="116"/>
      <c r="AT47" s="116"/>
      <c r="AU47" s="116"/>
      <c r="AV47" s="116"/>
      <c r="AW47" s="116"/>
      <c r="AX47" s="116"/>
      <c r="AY47" s="116"/>
      <c r="AZ47" s="116"/>
      <c r="BA47" s="116"/>
      <c r="BB47" s="116"/>
      <c r="BC47" s="116"/>
      <c r="BD47" s="116"/>
      <c r="BE47" s="116"/>
      <c r="BF47" s="116"/>
      <c r="BG47" s="116"/>
      <c r="BH47" s="116"/>
      <c r="BI47" s="116"/>
      <c r="BJ47" s="116"/>
      <c r="BK47" s="116"/>
      <c r="BL47" s="116"/>
      <c r="BM47" s="116"/>
      <c r="BN47" s="116"/>
      <c r="BO47" s="116"/>
      <c r="BP47" s="116"/>
      <c r="BQ47" s="116"/>
      <c r="BR47" s="116"/>
      <c r="BS47" s="116"/>
      <c r="BT47" s="116"/>
      <c r="BU47" s="116"/>
      <c r="BV47" s="116"/>
      <c r="BW47" s="116"/>
      <c r="BX47" s="116"/>
      <c r="BY47" s="116"/>
      <c r="BZ47" s="116"/>
      <c r="CA47" s="116"/>
      <c r="CB47" s="116"/>
      <c r="CC47" s="116"/>
      <c r="CD47" s="116"/>
      <c r="CE47" s="116"/>
      <c r="CF47" s="116"/>
      <c r="CG47" s="116"/>
      <c r="CH47" s="116"/>
      <c r="CI47" s="116"/>
      <c r="CJ47" s="116"/>
      <c r="CK47" s="116"/>
      <c r="CL47" s="116"/>
      <c r="CM47" s="116"/>
      <c r="CN47" s="116"/>
      <c r="CO47" s="116"/>
      <c r="CP47" s="116"/>
      <c r="CQ47" s="116"/>
      <c r="CR47" s="116"/>
      <c r="CS47" s="116"/>
      <c r="CT47" s="116"/>
      <c r="CU47" s="116"/>
      <c r="CV47" s="116"/>
      <c r="CW47" s="116"/>
      <c r="CX47" s="116"/>
      <c r="CY47" s="116"/>
      <c r="CZ47" s="116"/>
      <c r="DA47" s="116"/>
      <c r="DB47" s="116"/>
      <c r="DC47" s="116"/>
      <c r="DD47" s="116"/>
      <c r="DE47" s="116"/>
      <c r="DF47" s="116"/>
      <c r="DG47" s="116"/>
      <c r="DH47" s="116"/>
      <c r="DI47" s="116"/>
      <c r="DJ47" s="116"/>
      <c r="DK47" s="116"/>
      <c r="DL47" s="116"/>
      <c r="DM47" s="116"/>
      <c r="DN47" s="116"/>
      <c r="DO47" s="116"/>
      <c r="DP47" s="116"/>
      <c r="DQ47" s="116"/>
      <c r="DT47" t="s">
        <v>8550</v>
      </c>
      <c r="DU47" s="821" t="s">
        <v>456</v>
      </c>
      <c r="DV47" s="1464"/>
      <c r="DW47" s="826" t="s">
        <v>8436</v>
      </c>
      <c r="DX47" s="836" t="e">
        <f>SEARCH(" ",$C$3,DZ46+1)+1</f>
        <v>#VALUE!</v>
      </c>
      <c r="DY47" s="306"/>
      <c r="DZ47" s="306" t="e">
        <f>DX47+EA47</f>
        <v>#VALUE!</v>
      </c>
      <c r="EA47" s="306">
        <v>10</v>
      </c>
      <c r="EB47" s="827" t="e">
        <f>DATEVALUE(MID($C$3,DX47,EA47))</f>
        <v>#VALUE!</v>
      </c>
      <c r="EC47" s="828" t="str">
        <f>IF(DY45=" за период",EB47,"")</f>
        <v/>
      </c>
      <c r="NK47" s="1464"/>
      <c r="NL47" s="826" t="s">
        <v>8436</v>
      </c>
      <c r="NM47" s="836" t="e">
        <f>SEARCH(" ",NJ$4,NO46+1)+1</f>
        <v>#VALUE!</v>
      </c>
      <c r="NN47" s="306"/>
      <c r="NO47" s="306" t="e">
        <f>NM47+NP47</f>
        <v>#VALUE!</v>
      </c>
      <c r="NP47" s="306">
        <v>10</v>
      </c>
      <c r="NQ47" s="827" t="e">
        <f>DATEVALUE(MID(NJ$4,NM47,NP47))</f>
        <v>#VALUE!</v>
      </c>
      <c r="NR47" s="828" t="str">
        <f>IF(NN45=" за период",NQ47,"")</f>
        <v/>
      </c>
      <c r="OC47" s="1472"/>
      <c r="OD47" s="946" t="str">
        <f t="shared" si="131"/>
        <v>$$$$</v>
      </c>
      <c r="OE47" s="947" t="e">
        <f t="shared" si="151"/>
        <v>#VALUE!</v>
      </c>
      <c r="OF47" s="947"/>
      <c r="OG47" s="920"/>
      <c r="OH47" s="920"/>
      <c r="OI47" s="947"/>
      <c r="OJ47" s="947"/>
      <c r="OK47" s="947"/>
      <c r="OL47" s="1474"/>
      <c r="OY47" s="116"/>
      <c r="OZ47" s="959"/>
      <c r="PA47" s="1210"/>
      <c r="PB47" s="959"/>
      <c r="PC47" s="116"/>
      <c r="PD47" s="1000"/>
      <c r="PF47" s="1209"/>
      <c r="PG47" s="1208"/>
      <c r="PH47" s="1209"/>
      <c r="PI47" s="5"/>
      <c r="PJ47" s="1073"/>
      <c r="PK47" s="99"/>
      <c r="PL47" s="920"/>
      <c r="PM47" s="995"/>
      <c r="PN47" s="920"/>
      <c r="PO47" s="254"/>
      <c r="PP47" s="871"/>
      <c r="PQ47" t="str">
        <f t="shared" si="133"/>
        <v>$$$$</v>
      </c>
      <c r="PR47" s="937" t="e">
        <f t="shared" si="152"/>
        <v>#VALUE!</v>
      </c>
      <c r="PS47" s="5"/>
      <c r="PV47" s="937"/>
      <c r="PX47" s="5"/>
      <c r="PY47" s="1470"/>
      <c r="PZ47" t="str">
        <f t="shared" si="135"/>
        <v>$$$$</v>
      </c>
      <c r="QA47" s="937" t="e">
        <f t="shared" si="153"/>
        <v>#VALUE!</v>
      </c>
      <c r="QB47" s="5"/>
      <c r="QC47" s="264"/>
      <c r="QE47" s="937"/>
      <c r="QF47" s="264"/>
      <c r="QG47" s="5"/>
      <c r="QH47" s="1470"/>
      <c r="QI47" t="str">
        <f t="shared" si="137"/>
        <v>$$$$</v>
      </c>
      <c r="QJ47" s="937" t="e">
        <f t="shared" si="154"/>
        <v>#VALUE!</v>
      </c>
      <c r="QK47" s="5"/>
      <c r="QL47" s="264"/>
      <c r="QN47" s="937"/>
      <c r="QO47" s="264"/>
      <c r="QP47" s="5"/>
      <c r="QQ47" s="1470"/>
      <c r="QR47" t="str">
        <f t="shared" si="139"/>
        <v>$$$$</v>
      </c>
      <c r="QS47" s="937" t="e">
        <f t="shared" si="155"/>
        <v>#VALUE!</v>
      </c>
      <c r="QT47" s="5"/>
      <c r="QU47" s="264"/>
      <c r="QW47" s="937"/>
      <c r="QX47" s="264"/>
      <c r="QY47" s="5"/>
      <c r="QZ47" s="1470"/>
      <c r="SQ47" s="979"/>
      <c r="SY47" s="1464"/>
      <c r="SZ47" s="826" t="s">
        <v>8436</v>
      </c>
      <c r="TA47" s="836" t="e">
        <f>SEARCH(" ",$SQ$3,TC46+1)+1</f>
        <v>#VALUE!</v>
      </c>
      <c r="TB47" s="306"/>
      <c r="TC47" s="306" t="e">
        <f>TA47+TD47</f>
        <v>#VALUE!</v>
      </c>
      <c r="TD47" s="306">
        <v>10</v>
      </c>
      <c r="TE47" s="827" t="e">
        <f>DATEVALUE(MID($SQ$3,TA47,TD47))</f>
        <v>#VALUE!</v>
      </c>
      <c r="TF47" s="828" t="str">
        <f>IF(TB45=" за период",TE47,"")</f>
        <v/>
      </c>
      <c r="TK47" s="1476"/>
      <c r="TL47" s="592"/>
      <c r="TM47" s="836" t="e">
        <f>SEARCH(" ",TJ$4,TO46+1)+1</f>
        <v>#VALUE!</v>
      </c>
      <c r="TN47" s="306" t="s">
        <v>8432</v>
      </c>
      <c r="TO47" s="306" t="e">
        <f>SEARCH(TN47,TJ$4,TM47)</f>
        <v>#VALUE!</v>
      </c>
      <c r="TP47" s="306" t="e">
        <f>TO47-TM47</f>
        <v>#VALUE!</v>
      </c>
      <c r="TQ47" s="826" t="e">
        <f>IF(TR45="Штраф 50%","",MID(TJ$4,TM47,TP47))</f>
        <v>#VALUE!</v>
      </c>
      <c r="TR47" s="828" t="str">
        <f>IF(TN45=" за период",TQ47,"")</f>
        <v/>
      </c>
      <c r="TW47" s="1464"/>
      <c r="TX47" s="826" t="s">
        <v>8436</v>
      </c>
      <c r="TY47" s="836" t="e">
        <f>SEARCH(" ",$SQ$4,UA46+1)+1</f>
        <v>#VALUE!</v>
      </c>
      <c r="TZ47" s="306"/>
      <c r="UA47" s="306" t="e">
        <f>TY47+UB47</f>
        <v>#VALUE!</v>
      </c>
      <c r="UB47" s="306">
        <v>10</v>
      </c>
      <c r="UC47" s="827" t="e">
        <f>DATEVALUE(MID($SQ$4,TY47,UB47))</f>
        <v>#VALUE!</v>
      </c>
      <c r="UD47" s="828" t="str">
        <f>IF(TZ45=" за период",UC47,"")</f>
        <v/>
      </c>
      <c r="UI47" s="1476"/>
      <c r="UJ47" s="592"/>
      <c r="UK47" s="836" t="e">
        <f>SEARCH(" ",UH$4,UM46+1)+1</f>
        <v>#VALUE!</v>
      </c>
      <c r="UL47" s="306" t="s">
        <v>8432</v>
      </c>
      <c r="UM47" s="306" t="e">
        <f>SEARCH(UL47,UH$4,UK47)</f>
        <v>#VALUE!</v>
      </c>
      <c r="UN47" s="306" t="e">
        <f>UM47-UK47</f>
        <v>#VALUE!</v>
      </c>
      <c r="UO47" s="826" t="e">
        <f>IF(UP45="Штраф 50%","",MID(UH$4,UK47,UN47))</f>
        <v>#VALUE!</v>
      </c>
      <c r="UP47" s="828" t="str">
        <f>IF(UL45=" за период",UO47,"")</f>
        <v/>
      </c>
      <c r="UU47" s="1464"/>
      <c r="UV47" s="826" t="s">
        <v>8436</v>
      </c>
      <c r="UW47" s="836" t="e">
        <f>SEARCH(" ",$SQ$5,UY46+1)+1</f>
        <v>#VALUE!</v>
      </c>
      <c r="UX47" s="306"/>
      <c r="UY47" s="306" t="e">
        <f>UW47+UZ47</f>
        <v>#VALUE!</v>
      </c>
      <c r="UZ47" s="306">
        <v>10</v>
      </c>
      <c r="VA47" s="827" t="e">
        <f>DATEVALUE(MID($SQ$5,UW47,UZ47))</f>
        <v>#VALUE!</v>
      </c>
      <c r="VB47" s="828" t="str">
        <f>IF(UX45=" за период",VA47,"")</f>
        <v/>
      </c>
      <c r="VG47" s="1476"/>
      <c r="VH47" s="592"/>
      <c r="VI47" s="836" t="e">
        <f>SEARCH(" ",VF$4,VK46+1)+1</f>
        <v>#VALUE!</v>
      </c>
      <c r="VJ47" s="306" t="s">
        <v>8432</v>
      </c>
      <c r="VK47" s="306" t="e">
        <f>SEARCH(VJ47,VF$4,VI47)</f>
        <v>#VALUE!</v>
      </c>
      <c r="VL47" s="306" t="e">
        <f>VK47-VI47</f>
        <v>#VALUE!</v>
      </c>
      <c r="VM47" s="826" t="e">
        <f>IF(VN45="Штраф 50%","",MID(VF$4,VI47,VL47))</f>
        <v>#VALUE!</v>
      </c>
      <c r="VN47" s="828" t="str">
        <f>IF(VJ45=" за период",VM47,"")</f>
        <v/>
      </c>
      <c r="VS47" s="1464"/>
      <c r="VT47" s="826" t="s">
        <v>8436</v>
      </c>
      <c r="VU47" s="836" t="e">
        <f>SEARCH(" ",$SQ$6,VW46+1)+1</f>
        <v>#VALUE!</v>
      </c>
      <c r="VV47" s="306"/>
      <c r="VW47" s="306" t="e">
        <f>VU47+VX47</f>
        <v>#VALUE!</v>
      </c>
      <c r="VX47" s="306">
        <v>10</v>
      </c>
      <c r="VY47" s="827" t="e">
        <f>DATEVALUE(MID($SQ$6,VU47,VX47))</f>
        <v>#VALUE!</v>
      </c>
      <c r="VZ47" s="828" t="str">
        <f>IF(VV45=" за период",VY47,"")</f>
        <v/>
      </c>
      <c r="WE47" s="1476"/>
      <c r="WF47" s="592"/>
      <c r="WG47" s="836" t="e">
        <f>SEARCH(" ",WD$4,WI46+1)+1</f>
        <v>#VALUE!</v>
      </c>
      <c r="WH47" s="306" t="s">
        <v>8432</v>
      </c>
      <c r="WI47" s="306" t="e">
        <f>SEARCH(WH47,WD$4,WG47)</f>
        <v>#VALUE!</v>
      </c>
      <c r="WJ47" s="306" t="e">
        <f>WI47-WG47</f>
        <v>#VALUE!</v>
      </c>
      <c r="WK47" s="826" t="e">
        <f>IF(WL45="Штраф 50%","",MID(WD$4,WG47,WJ47))</f>
        <v>#VALUE!</v>
      </c>
      <c r="WL47" s="828" t="str">
        <f>IF(WH45=" за период",WK47,"")</f>
        <v/>
      </c>
      <c r="WQ47" s="1464"/>
      <c r="WR47" s="826" t="s">
        <v>8436</v>
      </c>
      <c r="WS47" s="836" t="e">
        <f>SEARCH(" ",$SQ$7,WU46+1)+1</f>
        <v>#VALUE!</v>
      </c>
      <c r="WT47" s="306"/>
      <c r="WU47" s="306" t="e">
        <f>WS47+WV47</f>
        <v>#VALUE!</v>
      </c>
      <c r="WV47" s="306">
        <v>10</v>
      </c>
      <c r="WW47" s="827" t="e">
        <f>DATEVALUE(MID($SQ$7,WS47,WV47))</f>
        <v>#VALUE!</v>
      </c>
      <c r="WX47" s="828" t="str">
        <f>IF(WT45=" за период",WW47,"")</f>
        <v/>
      </c>
      <c r="XC47" s="1476"/>
      <c r="XD47" s="592"/>
      <c r="XE47" s="836" t="e">
        <f>SEARCH(" ",XB$4,XG46+1)+1</f>
        <v>#VALUE!</v>
      </c>
      <c r="XF47" s="306" t="s">
        <v>8432</v>
      </c>
      <c r="XG47" s="306" t="e">
        <f>SEARCH(XF47,XB$4,XE47)</f>
        <v>#VALUE!</v>
      </c>
      <c r="XH47" s="306" t="e">
        <f>XG47-XE47</f>
        <v>#VALUE!</v>
      </c>
      <c r="XI47" s="826" t="e">
        <f>IF(XJ45="Штраф 50%","",MID(XB$4,XE47,XH47))</f>
        <v>#VALUE!</v>
      </c>
      <c r="XJ47" s="828" t="str">
        <f>IF(XF45=" за период",XI47,"")</f>
        <v/>
      </c>
      <c r="YG47" s="1464"/>
      <c r="YH47" s="826" t="s">
        <v>8436</v>
      </c>
      <c r="YI47" s="836" t="e">
        <f>SEARCH(" ",$XU$3,YK46+1)+1</f>
        <v>#VALUE!</v>
      </c>
      <c r="YJ47" s="306"/>
      <c r="YK47" s="306" t="e">
        <f>YI47+YL47</f>
        <v>#VALUE!</v>
      </c>
      <c r="YL47" s="306">
        <v>10</v>
      </c>
      <c r="YM47" s="827" t="e">
        <f>DATEVALUE(MID($XU$3,YI47,YL47))</f>
        <v>#VALUE!</v>
      </c>
      <c r="YN47" s="828" t="str">
        <f>IF(YJ45=" за период",YM47,"")</f>
        <v/>
      </c>
      <c r="YS47" s="1464"/>
      <c r="YT47" s="826" t="s">
        <v>8436</v>
      </c>
      <c r="YU47" s="836" t="e">
        <f>SEARCH(" ",$XU$4,YW46+1)+1</f>
        <v>#VALUE!</v>
      </c>
      <c r="YV47" s="306"/>
      <c r="YW47" s="306" t="e">
        <f>YU47+YX47</f>
        <v>#VALUE!</v>
      </c>
      <c r="YX47" s="306">
        <v>10</v>
      </c>
      <c r="YY47" s="827" t="e">
        <f>DATEVALUE(MID($XU$4,YU47,YX47))</f>
        <v>#VALUE!</v>
      </c>
      <c r="YZ47" s="828" t="str">
        <f>IF(YV45=" за период",YY47,"")</f>
        <v/>
      </c>
      <c r="ZE47" s="1464"/>
      <c r="ZF47" s="826" t="s">
        <v>8436</v>
      </c>
      <c r="ZG47" s="836" t="e">
        <f>SEARCH(" ",$XU$5,ZI46+1)+1</f>
        <v>#VALUE!</v>
      </c>
      <c r="ZH47" s="306"/>
      <c r="ZI47" s="306" t="e">
        <f>ZG47+ZJ47</f>
        <v>#VALUE!</v>
      </c>
      <c r="ZJ47" s="306">
        <v>10</v>
      </c>
      <c r="ZK47" s="827" t="e">
        <f>DATEVALUE(MID($XU$5,ZG47,ZJ47))</f>
        <v>#VALUE!</v>
      </c>
      <c r="ZL47" s="828" t="str">
        <f>IF(ZH45=" за период",ZK47,"")</f>
        <v/>
      </c>
      <c r="ZQ47" s="1464"/>
      <c r="ZR47" s="826" t="s">
        <v>8436</v>
      </c>
      <c r="ZS47" s="836" t="e">
        <f>SEARCH(" ",$XU$6,ZU46+1)+1</f>
        <v>#VALUE!</v>
      </c>
      <c r="ZT47" s="306"/>
      <c r="ZU47" s="306" t="e">
        <f>ZS47+ZV47</f>
        <v>#VALUE!</v>
      </c>
      <c r="ZV47" s="306">
        <v>10</v>
      </c>
      <c r="ZW47" s="827" t="e">
        <f>DATEVALUE(MID($XU$6,ZS47,ZV47))</f>
        <v>#VALUE!</v>
      </c>
      <c r="ZX47" s="828" t="str">
        <f>IF(ZT45=" за период",ZW47,"")</f>
        <v/>
      </c>
      <c r="AAC47" s="1464"/>
      <c r="AAD47" s="826" t="s">
        <v>8436</v>
      </c>
      <c r="AAE47" s="836" t="e">
        <f>SEARCH(" ",$XU$7,AAG46+1)+1</f>
        <v>#VALUE!</v>
      </c>
      <c r="AAF47" s="306"/>
      <c r="AAG47" s="306" t="e">
        <f>AAE47+AAH47</f>
        <v>#VALUE!</v>
      </c>
      <c r="AAH47" s="306">
        <v>10</v>
      </c>
      <c r="AAI47" s="827" t="e">
        <f>DATEVALUE(MID($XU$7,AAE47,AAH47))</f>
        <v>#VALUE!</v>
      </c>
      <c r="AAJ47" s="828" t="str">
        <f>IF(AAF45=" за период",AAI47,"")</f>
        <v/>
      </c>
      <c r="AAV47" t="str">
        <f t="shared" si="141"/>
        <v>$$$$</v>
      </c>
      <c r="AAW47" s="947" t="e">
        <f t="shared" si="156"/>
        <v>#VALUE!</v>
      </c>
      <c r="AAX47" s="5"/>
      <c r="AAY47" s="5"/>
      <c r="AAZ47" s="5"/>
      <c r="ABA47" s="1487"/>
      <c r="ADF47" s="5"/>
      <c r="ADG47" s="1075"/>
      <c r="ADQ47" s="1075"/>
      <c r="AEJ47" s="961"/>
      <c r="AEK47" s="961"/>
      <c r="AEL47" s="961"/>
      <c r="AEX47" s="1070"/>
      <c r="AFA47" s="1070"/>
      <c r="AFE47" s="1464"/>
      <c r="AFF47" s="826" t="s">
        <v>8436</v>
      </c>
      <c r="AFG47" s="836" t="e">
        <f>SEARCH(" ",AFD$4,AFI46+1)+1</f>
        <v>#VALUE!</v>
      </c>
      <c r="AFH47" s="306"/>
      <c r="AFI47" s="306" t="e">
        <f>AFG47+AFJ47</f>
        <v>#VALUE!</v>
      </c>
      <c r="AFJ47" s="306">
        <v>10</v>
      </c>
      <c r="AFK47" s="827" t="e">
        <f>DATEVALUE(MID(AFD$4,AFG47,AFJ47))</f>
        <v>#VALUE!</v>
      </c>
      <c r="AFL47" s="828" t="str">
        <f>IF(AFH45=" за период",AFK47,"")</f>
        <v/>
      </c>
      <c r="AFQ47" s="1464"/>
      <c r="AFR47" s="826" t="s">
        <v>8436</v>
      </c>
      <c r="AFS47" s="836" t="e">
        <f>SEARCH(" ",AFP$4,AFU46+1)+1</f>
        <v>#VALUE!</v>
      </c>
      <c r="AFT47" s="306"/>
      <c r="AFU47" s="306" t="e">
        <f>AFS47+AFV47</f>
        <v>#VALUE!</v>
      </c>
      <c r="AFV47" s="306">
        <v>10</v>
      </c>
      <c r="AFW47" s="827" t="e">
        <f>DATEVALUE(MID(AFP$4,AFS47,AFV47))</f>
        <v>#VALUE!</v>
      </c>
      <c r="AFX47" s="828" t="str">
        <f>IF(AFT45=" за период",AFW47,"")</f>
        <v/>
      </c>
      <c r="AGC47" s="1464"/>
      <c r="AGD47" s="826" t="s">
        <v>8436</v>
      </c>
      <c r="AGE47" s="836" t="e">
        <f>SEARCH(" ",AGB$4,AGG46+1)+1</f>
        <v>#VALUE!</v>
      </c>
      <c r="AGF47" s="306"/>
      <c r="AGG47" s="306" t="e">
        <f>AGE47+AGH47</f>
        <v>#VALUE!</v>
      </c>
      <c r="AGH47" s="306">
        <v>10</v>
      </c>
      <c r="AGI47" s="827" t="e">
        <f>DATEVALUE(MID(AGB$4,AGE47,AGH47))</f>
        <v>#VALUE!</v>
      </c>
      <c r="AGJ47" s="828" t="str">
        <f>IF(AGF45=" за период",AGI47,"")</f>
        <v/>
      </c>
      <c r="AGO47" s="1464"/>
      <c r="AGP47" s="826" t="s">
        <v>8436</v>
      </c>
      <c r="AGQ47" s="836" t="e">
        <f>SEARCH(" ",AGN$4,AGS46+1)+1</f>
        <v>#VALUE!</v>
      </c>
      <c r="AGR47" s="306"/>
      <c r="AGS47" s="306" t="e">
        <f>AGQ47+AGT47</f>
        <v>#VALUE!</v>
      </c>
      <c r="AGT47" s="306">
        <v>10</v>
      </c>
      <c r="AGU47" s="827" t="e">
        <f>DATEVALUE(MID(AGN$4,AGQ47,AGT47))</f>
        <v>#VALUE!</v>
      </c>
      <c r="AGV47" s="828" t="str">
        <f>IF(AGR45=" за период",AGU47,"")</f>
        <v/>
      </c>
      <c r="AHA47" s="1464"/>
      <c r="AHB47" s="826" t="s">
        <v>8436</v>
      </c>
      <c r="AHC47" s="836" t="e">
        <f>SEARCH(" ",AGZ$4,AHE46+1)+1</f>
        <v>#VALUE!</v>
      </c>
      <c r="AHD47" s="306"/>
      <c r="AHE47" s="306" t="e">
        <f>AHC47+AHF47</f>
        <v>#VALUE!</v>
      </c>
      <c r="AHF47" s="306">
        <v>10</v>
      </c>
      <c r="AHG47" s="827" t="e">
        <f>DATEVALUE(MID(AGZ$4,AHC47,AHF47))</f>
        <v>#VALUE!</v>
      </c>
      <c r="AHH47" s="828" t="str">
        <f>IF(AHD45=" за период",AHG47,"")</f>
        <v/>
      </c>
    </row>
    <row r="48" spans="1:893" ht="14.4" customHeight="1" thickBot="1" x14ac:dyDescent="0.35">
      <c r="A48" s="116"/>
      <c r="B48" s="116"/>
      <c r="C48" s="116"/>
      <c r="D48" s="116"/>
      <c r="E48" s="116"/>
      <c r="F48" s="116"/>
      <c r="G48" s="116"/>
      <c r="H48" s="116"/>
      <c r="I48" s="116"/>
      <c r="J48" s="116"/>
      <c r="K48" s="116"/>
      <c r="L48" s="116"/>
      <c r="M48" s="116"/>
      <c r="N48" s="116"/>
      <c r="O48" s="116"/>
      <c r="P48" s="116"/>
      <c r="Q48" s="116"/>
      <c r="R48" s="116"/>
      <c r="S48" s="116"/>
      <c r="T48" s="116"/>
      <c r="U48" s="116"/>
      <c r="V48" s="116"/>
      <c r="W48" s="116"/>
      <c r="X48" s="116"/>
      <c r="Y48" s="116"/>
      <c r="Z48" s="116"/>
      <c r="AA48" s="116"/>
      <c r="AB48" s="116"/>
      <c r="AC48" s="116"/>
      <c r="AD48" s="116"/>
      <c r="AE48" s="116"/>
      <c r="AF48" s="116"/>
      <c r="AG48" s="116"/>
      <c r="AH48" s="116"/>
      <c r="AI48" s="116"/>
      <c r="AJ48" s="116"/>
      <c r="AK48" s="116"/>
      <c r="AL48" s="116"/>
      <c r="AM48" s="116"/>
      <c r="AN48" s="116"/>
      <c r="AO48" s="116"/>
      <c r="AP48" s="116"/>
      <c r="AQ48" s="116"/>
      <c r="AR48" s="116"/>
      <c r="AS48" s="116"/>
      <c r="AT48" s="116"/>
      <c r="AU48" s="116"/>
      <c r="AV48" s="116"/>
      <c r="AW48" s="116"/>
      <c r="AX48" s="116"/>
      <c r="AY48" s="116"/>
      <c r="AZ48" s="116"/>
      <c r="BA48" s="116"/>
      <c r="BB48" s="116"/>
      <c r="BC48" s="116"/>
      <c r="BD48" s="116"/>
      <c r="BE48" s="116"/>
      <c r="BF48" s="116"/>
      <c r="BG48" s="116"/>
      <c r="BH48" s="116"/>
      <c r="BI48" s="116"/>
      <c r="BJ48" s="116"/>
      <c r="BK48" s="116"/>
      <c r="BL48" s="116"/>
      <c r="BM48" s="116"/>
      <c r="BN48" s="116"/>
      <c r="BO48" s="116"/>
      <c r="BP48" s="116"/>
      <c r="BQ48" s="116"/>
      <c r="BR48" s="116"/>
      <c r="BS48" s="116"/>
      <c r="BT48" s="116"/>
      <c r="BU48" s="116"/>
      <c r="BV48" s="116"/>
      <c r="BW48" s="116"/>
      <c r="BX48" s="116"/>
      <c r="BY48" s="116"/>
      <c r="BZ48" s="116"/>
      <c r="CA48" s="116"/>
      <c r="CB48" s="116"/>
      <c r="CC48" s="116"/>
      <c r="CD48" s="116"/>
      <c r="CE48" s="116"/>
      <c r="CF48" s="116"/>
      <c r="CG48" s="116"/>
      <c r="CH48" s="116"/>
      <c r="CI48" s="116"/>
      <c r="CJ48" s="116"/>
      <c r="CK48" s="116"/>
      <c r="CL48" s="116"/>
      <c r="CM48" s="116"/>
      <c r="CN48" s="116"/>
      <c r="CO48" s="116"/>
      <c r="CP48" s="116"/>
      <c r="CQ48" s="116"/>
      <c r="CR48" s="116"/>
      <c r="CS48" s="116"/>
      <c r="CT48" s="116"/>
      <c r="CU48" s="116"/>
      <c r="CV48" s="116"/>
      <c r="CW48" s="116"/>
      <c r="CX48" s="116"/>
      <c r="CY48" s="116"/>
      <c r="CZ48" s="116"/>
      <c r="DA48" s="116"/>
      <c r="DB48" s="116"/>
      <c r="DC48" s="116"/>
      <c r="DD48" s="116"/>
      <c r="DE48" s="116"/>
      <c r="DF48" s="116"/>
      <c r="DG48" s="116"/>
      <c r="DH48" s="116"/>
      <c r="DI48" s="116"/>
      <c r="DJ48" s="116"/>
      <c r="DK48" s="116"/>
      <c r="DL48" s="116"/>
      <c r="DM48" s="116"/>
      <c r="DN48" s="116"/>
      <c r="DO48" s="116"/>
      <c r="DP48" s="116"/>
      <c r="DQ48" s="116"/>
      <c r="DT48" t="s">
        <v>8554</v>
      </c>
      <c r="DU48" s="821" t="s">
        <v>8555</v>
      </c>
      <c r="DV48" s="1464"/>
      <c r="DW48" s="826"/>
      <c r="DX48" s="836"/>
      <c r="DY48" s="306" t="str">
        <f>IF(DZ48=IFERROR(SEARCH(".",C$3,DZ47),99999),".",
IF(DZ48=IFERROR(SEARCH(",",C$3,DZ47),99999),",",
IF(DZ48=IFERROR(SEARCH(" за период",C$3,DZ47),999999)," за период",
IF(DZ48=IFERROR(SEARCH(" в размере",C$3,DZ47),99999)," в размере",
))))</f>
        <v>.</v>
      </c>
      <c r="DZ48" s="306">
        <f>MIN(
IFERROR(SEARCH(".",$C$3,DZ47),99999),
IFERROR(SEARCH(",",$C$3,DZ47),99999),
IFERROR(SEARCH(" в размере",$C$3,DZ47),99999))</f>
        <v>99999</v>
      </c>
      <c r="EA48" s="306"/>
      <c r="EB48" s="827"/>
      <c r="EC48" s="829"/>
      <c r="NK48" s="1464"/>
      <c r="NL48" s="826"/>
      <c r="NM48" s="836"/>
      <c r="NN48" s="306" t="str">
        <f>IF(NO48=IFERROR(SEARCH(".",NJ$4,NO47),99999),".",
IF(NO48=IFERROR(SEARCH(",",NJ$4,NO47),99999),",",
IF(NO48=IFERROR(SEARCH(" за период",NJ$4,NO47),999999)," за период",
IF(NO48=IFERROR(SEARCH(" в размере",NJ$4,NO47),99999)," в размере",
))))</f>
        <v>.</v>
      </c>
      <c r="NO48" s="306">
        <f>MIN(
IFERROR(SEARCH(".",NJ$4,NO47),99999),
IFERROR(SEARCH(",",NJ$4,NO47),99999),
IFERROR(SEARCH(" в размере",NJ$4,NO47),99999))</f>
        <v>99999</v>
      </c>
      <c r="NP48" s="306"/>
      <c r="NQ48" s="827"/>
      <c r="NR48" s="829"/>
      <c r="OC48" s="1472"/>
      <c r="OD48" s="946" t="str">
        <f t="shared" si="131"/>
        <v>$$$$</v>
      </c>
      <c r="OE48" s="947" t="e">
        <f t="shared" si="151"/>
        <v>#VALUE!</v>
      </c>
      <c r="OF48" s="947"/>
      <c r="OG48" s="920"/>
      <c r="OH48" s="920"/>
      <c r="OI48" s="947"/>
      <c r="OJ48" s="947"/>
      <c r="OK48" s="947"/>
      <c r="OL48" s="1474"/>
      <c r="OY48" s="116"/>
      <c r="OZ48" s="959"/>
      <c r="PA48" s="1210"/>
      <c r="PB48" s="959"/>
      <c r="PC48" s="116"/>
      <c r="PD48" s="1000"/>
      <c r="PF48" s="1209"/>
      <c r="PG48" s="1208"/>
      <c r="PH48" s="1209"/>
      <c r="PI48" s="5"/>
      <c r="PJ48" s="1073"/>
      <c r="PK48" s="99"/>
      <c r="PL48" s="920"/>
      <c r="PM48" s="995"/>
      <c r="PN48" s="920"/>
      <c r="PO48" s="254"/>
      <c r="PP48" s="871"/>
      <c r="PQ48" t="str">
        <f t="shared" si="133"/>
        <v>$$$$</v>
      </c>
      <c r="PR48" s="937" t="e">
        <f t="shared" si="152"/>
        <v>#VALUE!</v>
      </c>
      <c r="PS48" s="5"/>
      <c r="PV48" s="937"/>
      <c r="PX48" s="5"/>
      <c r="PY48" s="1470"/>
      <c r="PZ48" t="str">
        <f t="shared" si="135"/>
        <v>$$$$</v>
      </c>
      <c r="QA48" s="937" t="e">
        <f t="shared" si="153"/>
        <v>#VALUE!</v>
      </c>
      <c r="QB48" s="5"/>
      <c r="QC48" s="264"/>
      <c r="QE48" s="937"/>
      <c r="QF48" s="264"/>
      <c r="QG48" s="5"/>
      <c r="QH48" s="1470"/>
      <c r="QI48" t="str">
        <f t="shared" si="137"/>
        <v>$$$$</v>
      </c>
      <c r="QJ48" s="937" t="e">
        <f t="shared" si="154"/>
        <v>#VALUE!</v>
      </c>
      <c r="QK48" s="5"/>
      <c r="QL48" s="264"/>
      <c r="QN48" s="937"/>
      <c r="QO48" s="264"/>
      <c r="QP48" s="5"/>
      <c r="QQ48" s="1470"/>
      <c r="QR48" t="str">
        <f t="shared" si="139"/>
        <v>$$$$</v>
      </c>
      <c r="QS48" s="937" t="e">
        <f t="shared" si="155"/>
        <v>#VALUE!</v>
      </c>
      <c r="QT48" s="5"/>
      <c r="QU48" s="264"/>
      <c r="QW48" s="937"/>
      <c r="QX48" s="264"/>
      <c r="QY48" s="5"/>
      <c r="QZ48" s="1470"/>
      <c r="SQ48" s="979"/>
      <c r="SY48" s="1464"/>
      <c r="SZ48" s="826"/>
      <c r="TA48" s="836"/>
      <c r="TB48" s="306" t="str">
        <f>IF(TC48=IFERROR(SEARCH(".",$SQ$3,TC47),99999),".",
IF(TC48=IFERROR(SEARCH(",",$SQ$3,TC47),99999),",",
IF(TC48=IFERROR(SEARCH(" за период",$SQ$3,TC47),999999)," за период",
IF(TC48=IFERROR(SEARCH(" в размере",$SQ$3,TC47),99999)," в размере",
))))</f>
        <v>.</v>
      </c>
      <c r="TC48" s="306">
        <f>MIN(
IFERROR(SEARCH(".",$SQ$3,TC47),99999),
IFERROR(SEARCH(",",$SQ$3,TC47),99999),
IFERROR(SEARCH(" в размере",$SQ$3,TC47),99999))</f>
        <v>99999</v>
      </c>
      <c r="TD48" s="306"/>
      <c r="TE48" s="827"/>
      <c r="TF48" s="829"/>
      <c r="TK48" s="1477"/>
      <c r="TL48" s="1032"/>
      <c r="TM48" s="1033"/>
      <c r="TN48" s="403"/>
      <c r="TO48" s="403"/>
      <c r="TP48" s="403"/>
      <c r="TQ48" s="1034" t="e">
        <f>VALUE(CONCATENATE(TQ46,",",TQ47))</f>
        <v>#VALUE!</v>
      </c>
      <c r="TR48" s="832" t="str">
        <f>IFERROR(IF(TR45="Штраф 50%","",TQ48),"")</f>
        <v/>
      </c>
      <c r="TW48" s="1464"/>
      <c r="TX48" s="826"/>
      <c r="TY48" s="836"/>
      <c r="TZ48" s="306" t="str">
        <f>IF(UA48=IFERROR(SEARCH(".",$SQ$4,UA47),99999),".",
IF(UA48=IFERROR(SEARCH(",",$SQ$4,UA47),99999),",",
IF(UA48=IFERROR(SEARCH(" за период",$SQ$4,UA47),999999)," за период",
IF(UA48=IFERROR(SEARCH(" в размере",$SQ$4,UA47),99999)," в размере",
))))</f>
        <v>.</v>
      </c>
      <c r="UA48" s="306">
        <f>MIN(
IFERROR(SEARCH(".",$SQ$4,UA47),99999),
IFERROR(SEARCH(",",$SQ$4,UA47),99999),
IFERROR(SEARCH(" в размере",$SQ$4,UA47),99999))</f>
        <v>99999</v>
      </c>
      <c r="UB48" s="306"/>
      <c r="UC48" s="827"/>
      <c r="UD48" s="829"/>
      <c r="UI48" s="1477"/>
      <c r="UJ48" s="1032"/>
      <c r="UK48" s="1033"/>
      <c r="UL48" s="403"/>
      <c r="UM48" s="403"/>
      <c r="UN48" s="403"/>
      <c r="UO48" s="1034" t="e">
        <f>VALUE(CONCATENATE(UO46,",",UO47))</f>
        <v>#VALUE!</v>
      </c>
      <c r="UP48" s="832" t="str">
        <f>IFERROR(IF(UP45="Штраф 50%","",UO48),"")</f>
        <v/>
      </c>
      <c r="UU48" s="1464"/>
      <c r="UV48" s="826"/>
      <c r="UW48" s="836"/>
      <c r="UX48" s="306" t="str">
        <f>IF(UY48=IFERROR(SEARCH(".",$SQ$5,UY47),99999),".",
IF(UY48=IFERROR(SEARCH(",",$SQ$5,UY47),99999),",",
IF(UY48=IFERROR(SEARCH(" за период",$SQ$5,UY47),999999)," за период",
IF(UY48=IFERROR(SEARCH(" в размере",$SQ$5,UY47),99999)," в размере",
))))</f>
        <v>.</v>
      </c>
      <c r="UY48" s="306">
        <f>MIN(
IFERROR(SEARCH(".",$SQ$5,UY47),99999),
IFERROR(SEARCH(",",$SQ$5,UY47),99999),
IFERROR(SEARCH(" в размере",$SQ$5,UY47),99999))</f>
        <v>99999</v>
      </c>
      <c r="UZ48" s="306"/>
      <c r="VA48" s="827"/>
      <c r="VB48" s="829"/>
      <c r="VG48" s="1477"/>
      <c r="VH48" s="1032"/>
      <c r="VI48" s="1033"/>
      <c r="VJ48" s="403"/>
      <c r="VK48" s="403"/>
      <c r="VL48" s="403"/>
      <c r="VM48" s="1034" t="e">
        <f>VALUE(CONCATENATE(VM46,",",VM47))</f>
        <v>#VALUE!</v>
      </c>
      <c r="VN48" s="832" t="str">
        <f>IFERROR(IF(VN45="Штраф 50%","",VM48),"")</f>
        <v/>
      </c>
      <c r="VS48" s="1464"/>
      <c r="VT48" s="826"/>
      <c r="VU48" s="836"/>
      <c r="VV48" s="306" t="str">
        <f>IF(VW48=IFERROR(SEARCH(".",$SQ$6,VW47),99999),".",
IF(VW48=IFERROR(SEARCH(",",$SQ$6,VW47),99999),",",
IF(VW48=IFERROR(SEARCH(" за период",$SQ$6,VW47),999999)," за период",
IF(VW48=IFERROR(SEARCH(" в размере",$SQ$6,VW47),99999)," в размере",
))))</f>
        <v>.</v>
      </c>
      <c r="VW48" s="306">
        <f>MIN(
IFERROR(SEARCH(".",$SQ$6,VW47),99999),
IFERROR(SEARCH(",",$SQ$6,VW47),99999),
IFERROR(SEARCH(" в размере",$SQ$6,VW47),99999))</f>
        <v>99999</v>
      </c>
      <c r="VX48" s="306"/>
      <c r="VY48" s="827"/>
      <c r="VZ48" s="829"/>
      <c r="WE48" s="1477"/>
      <c r="WF48" s="1032"/>
      <c r="WG48" s="1033"/>
      <c r="WH48" s="403"/>
      <c r="WI48" s="403"/>
      <c r="WJ48" s="403"/>
      <c r="WK48" s="1034" t="e">
        <f>VALUE(CONCATENATE(WK46,",",WK47))</f>
        <v>#VALUE!</v>
      </c>
      <c r="WL48" s="832" t="str">
        <f>IFERROR(IF(WL45="Штраф 50%","",WK48),"")</f>
        <v/>
      </c>
      <c r="WQ48" s="1464"/>
      <c r="WR48" s="826"/>
      <c r="WS48" s="836"/>
      <c r="WT48" s="306" t="str">
        <f>IF(WU48=IFERROR(SEARCH(".",$SQ$7,WU47),99999),".",
IF(WU48=IFERROR(SEARCH(",",$SQ$7,WU47),99999),",",
IF(WU48=IFERROR(SEARCH(" за период",$SQ$7,WU47),999999)," за период",
IF(WU48=IFERROR(SEARCH(" в размере",$SQ$7,WU47),99999)," в размере",
))))</f>
        <v>.</v>
      </c>
      <c r="WU48" s="306">
        <f>MIN(
IFERROR(SEARCH(".",$SQ$7,WU47),99999),
IFERROR(SEARCH(",",$SQ$7,WU47),99999),
IFERROR(SEARCH(" в размере",$SQ$7,WU47),99999))</f>
        <v>99999</v>
      </c>
      <c r="WV48" s="306"/>
      <c r="WW48" s="827"/>
      <c r="WX48" s="829"/>
      <c r="XC48" s="1477"/>
      <c r="XD48" s="1032"/>
      <c r="XE48" s="1033"/>
      <c r="XF48" s="403"/>
      <c r="XG48" s="403"/>
      <c r="XH48" s="403"/>
      <c r="XI48" s="1034" t="e">
        <f>VALUE(CONCATENATE(XI46,",",XI47))</f>
        <v>#VALUE!</v>
      </c>
      <c r="XJ48" s="832" t="str">
        <f>IFERROR(IF(XJ45="Штраф 50%","",XI48),"")</f>
        <v/>
      </c>
      <c r="YG48" s="1464"/>
      <c r="YH48" s="826"/>
      <c r="YI48" s="836"/>
      <c r="YJ48" s="306" t="str">
        <f>IF(YK48=IFERROR(SEARCH(".",$XU$3,YK47),99999),".",
IF(YK48=IFERROR(SEARCH(",",$XU$3,YK47),99999),",",
IF(YK48=IFERROR(SEARCH(" за период",$XU$3,YK47),999999)," за период",
IF(YK48=IFERROR(SEARCH(" в размере",$XU$3,YK47),99999)," в размере",
))))</f>
        <v>.</v>
      </c>
      <c r="YK48" s="306">
        <f>MIN(
IFERROR(SEARCH(".",$XU$3,YK47),99999),
IFERROR(SEARCH(",",$XU$3,YK47),99999),
IFERROR(SEARCH(" в размере",$XU$3,YK47),99999))</f>
        <v>99999</v>
      </c>
      <c r="YL48" s="306"/>
      <c r="YM48" s="827"/>
      <c r="YN48" s="829"/>
      <c r="YS48" s="1464"/>
      <c r="YT48" s="826"/>
      <c r="YU48" s="836"/>
      <c r="YV48" s="306" t="str">
        <f>IF(YW48=IFERROR(SEARCH(".",$XU$4,YW47),99999),".",
IF(YW48=IFERROR(SEARCH(",",$XU$4,YW47),99999),",",
IF(YW48=IFERROR(SEARCH(" за период",$XU$4,YW47),999999)," за период",
IF(YW48=IFERROR(SEARCH(" в размере",$XU$4,YW47),99999)," в размере",
))))</f>
        <v>.</v>
      </c>
      <c r="YW48" s="306">
        <f>MIN(
IFERROR(SEARCH(".",$XU$4,YW47),99999),
IFERROR(SEARCH(",",$XU$4,YW47),99999),
IFERROR(SEARCH(" в размере",$XU$4,YW47),99999))</f>
        <v>99999</v>
      </c>
      <c r="YX48" s="306"/>
      <c r="YY48" s="827"/>
      <c r="YZ48" s="829"/>
      <c r="ZE48" s="1464"/>
      <c r="ZF48" s="826"/>
      <c r="ZG48" s="836"/>
      <c r="ZH48" s="306" t="str">
        <f>IF(ZI48=IFERROR(SEARCH(".",$XU$5,ZI47),99999),".",
IF(ZI48=IFERROR(SEARCH(",",$XU$5,ZI47),99999),",",
IF(ZI48=IFERROR(SEARCH(" за период",$XU$5,ZI47),999999)," за период",
IF(ZI48=IFERROR(SEARCH(" в размере",$XU$5,ZI47),99999)," в размере",
))))</f>
        <v>.</v>
      </c>
      <c r="ZI48" s="306">
        <f>MIN(
IFERROR(SEARCH(".",$XU$5,ZI47),99999),
IFERROR(SEARCH(",",$XU$5,ZI47),99999),
IFERROR(SEARCH(" в размере",$XU$5,ZI47),99999))</f>
        <v>99999</v>
      </c>
      <c r="ZJ48" s="306"/>
      <c r="ZK48" s="827"/>
      <c r="ZL48" s="829"/>
      <c r="ZQ48" s="1464"/>
      <c r="ZR48" s="826"/>
      <c r="ZS48" s="836"/>
      <c r="ZT48" s="306" t="str">
        <f>IF(ZU48=IFERROR(SEARCH(".",$XU$6,ZU47),99999),".",
IF(ZU48=IFERROR(SEARCH(",",$XU$6,ZU47),99999),",",
IF(ZU48=IFERROR(SEARCH(" за период",$XU$6,ZU47),999999)," за период",
IF(ZU48=IFERROR(SEARCH(" в размере",$XU$6,ZU47),99999)," в размере",
))))</f>
        <v>.</v>
      </c>
      <c r="ZU48" s="306">
        <f>MIN(
IFERROR(SEARCH(".",$XU$6,ZU47),99999),
IFERROR(SEARCH(",",$XU$6,ZU47),99999),
IFERROR(SEARCH(" в размере",$XU$6,ZU47),99999))</f>
        <v>99999</v>
      </c>
      <c r="ZV48" s="306"/>
      <c r="ZW48" s="827"/>
      <c r="ZX48" s="829"/>
      <c r="AAC48" s="1464"/>
      <c r="AAD48" s="826"/>
      <c r="AAE48" s="836"/>
      <c r="AAF48" s="306" t="str">
        <f>IF(AAG48=IFERROR(SEARCH(".",$XU$7,AAG47),99999),".",
IF(AAG48=IFERROR(SEARCH(",",$XU$7,AAG47),99999),",",
IF(AAG48=IFERROR(SEARCH(" за период",$XU$7,AAG47),999999)," за период",
IF(AAG48=IFERROR(SEARCH(" в размере",$XU$7,AAG47),99999)," в размере",
))))</f>
        <v>.</v>
      </c>
      <c r="AAG48" s="306">
        <f>MIN(
IFERROR(SEARCH(".",$XU$7,AAG47),99999),
IFERROR(SEARCH(",",$XU$7,AAG47),99999),
IFERROR(SEARCH(" в размере",$XU$7,AAG47),99999))</f>
        <v>99999</v>
      </c>
      <c r="AAH48" s="306"/>
      <c r="AAI48" s="827"/>
      <c r="AAJ48" s="829"/>
      <c r="AAV48" t="str">
        <f t="shared" si="141"/>
        <v>$$$$</v>
      </c>
      <c r="AAW48" s="947" t="e">
        <f t="shared" si="156"/>
        <v>#VALUE!</v>
      </c>
      <c r="AAX48" s="5"/>
      <c r="AAY48" s="5"/>
      <c r="AAZ48" s="5"/>
      <c r="ABA48" s="1487"/>
      <c r="ADF48" s="5"/>
      <c r="ADG48" s="1075"/>
      <c r="ADQ48" s="1075"/>
      <c r="AEJ48" s="961"/>
      <c r="AEK48" s="961"/>
      <c r="AEL48" s="961"/>
      <c r="AEX48" s="1070"/>
      <c r="AFA48" s="1070"/>
      <c r="AFE48" s="1464"/>
      <c r="AFF48" s="826"/>
      <c r="AFG48" s="836"/>
      <c r="AFH48" s="306" t="str">
        <f>IF(AFI48=IFERROR(SEARCH(".",AFD$4,AFI47),99999),".",
IF(AFI48=IFERROR(SEARCH(",",AFD$4,AFI47),99999),",",
IF(AFI48=IFERROR(SEARCH(" за период",AFD$4,AFI47),999999)," за период",
IF(AFI48=IFERROR(SEARCH(" в размере",AFD$4,AFI47),99999)," в размере",
))))</f>
        <v>.</v>
      </c>
      <c r="AFI48" s="306">
        <f>MIN(
IFERROR(SEARCH(".",AFD$4,AFI47),99999),
IFERROR(SEARCH(",",AFD$4,AFI47),99999),
IFERROR(SEARCH(" в размере",AFD$4,AFI47),99999))</f>
        <v>99999</v>
      </c>
      <c r="AFJ48" s="306"/>
      <c r="AFK48" s="827"/>
      <c r="AFL48" s="829"/>
      <c r="AFQ48" s="1464"/>
      <c r="AFR48" s="826"/>
      <c r="AFS48" s="836"/>
      <c r="AFT48" s="306" t="str">
        <f>IF(AFU48=IFERROR(SEARCH(".",AFP$4,AFU47),99999),".",
IF(AFU48=IFERROR(SEARCH(",",AFP$4,AFU47),99999),",",
IF(AFU48=IFERROR(SEARCH(" за период",AFP$4,AFU47),999999)," за период",
IF(AFU48=IFERROR(SEARCH(" в размере",AFP$4,AFU47),99999)," в размере",
))))</f>
        <v>.</v>
      </c>
      <c r="AFU48" s="306">
        <f>MIN(
IFERROR(SEARCH(".",AFP$4,AFU47),99999),
IFERROR(SEARCH(",",AFP$4,AFU47),99999),
IFERROR(SEARCH(" в размере",AFP$4,AFU47),99999))</f>
        <v>99999</v>
      </c>
      <c r="AFV48" s="306"/>
      <c r="AFW48" s="827"/>
      <c r="AFX48" s="829"/>
      <c r="AGC48" s="1464"/>
      <c r="AGD48" s="826"/>
      <c r="AGE48" s="836"/>
      <c r="AGF48" s="306" t="str">
        <f>IF(AGG48=IFERROR(SEARCH(".",AGB$4,AGG47),99999),".",
IF(AGG48=IFERROR(SEARCH(",",AGB$4,AGG47),99999),",",
IF(AGG48=IFERROR(SEARCH(" за период",AGB$4,AGG47),999999)," за период",
IF(AGG48=IFERROR(SEARCH(" в размере",AGB$4,AGG47),99999)," в размере",
))))</f>
        <v>.</v>
      </c>
      <c r="AGG48" s="306">
        <f>MIN(
IFERROR(SEARCH(".",AGB$4,AGG47),99999),
IFERROR(SEARCH(",",AGB$4,AGG47),99999),
IFERROR(SEARCH(" в размере",AGB$4,AGG47),99999))</f>
        <v>99999</v>
      </c>
      <c r="AGH48" s="306"/>
      <c r="AGI48" s="827"/>
      <c r="AGJ48" s="829"/>
      <c r="AGO48" s="1464"/>
      <c r="AGP48" s="826"/>
      <c r="AGQ48" s="836"/>
      <c r="AGR48" s="306" t="str">
        <f>IF(AGS48=IFERROR(SEARCH(".",AGN$4,AGS47),99999),".",
IF(AGS48=IFERROR(SEARCH(",",AGN$4,AGS47),99999),",",
IF(AGS48=IFERROR(SEARCH(" за период",AGN$4,AGS47),999999)," за период",
IF(AGS48=IFERROR(SEARCH(" в размере",AGN$4,AGS47),99999)," в размере",
))))</f>
        <v>.</v>
      </c>
      <c r="AGS48" s="306">
        <f>MIN(
IFERROR(SEARCH(".",AGN$4,AGS47),99999),
IFERROR(SEARCH(",",AGN$4,AGS47),99999),
IFERROR(SEARCH(" в размере",AGN$4,AGS47),99999))</f>
        <v>99999</v>
      </c>
      <c r="AGT48" s="306"/>
      <c r="AGU48" s="827"/>
      <c r="AGV48" s="829"/>
      <c r="AHA48" s="1464"/>
      <c r="AHB48" s="826"/>
      <c r="AHC48" s="836"/>
      <c r="AHD48" s="306" t="str">
        <f>IF(AHE48=IFERROR(SEARCH(".",AGZ$4,AHE47),99999),".",
IF(AHE48=IFERROR(SEARCH(",",AGZ$4,AHE47),99999),",",
IF(AHE48=IFERROR(SEARCH(" за период",AGZ$4,AHE47),999999)," за период",
IF(AHE48=IFERROR(SEARCH(" в размере",AGZ$4,AHE47),99999)," в размере",
))))</f>
        <v>.</v>
      </c>
      <c r="AHE48" s="306">
        <f>MIN(
IFERROR(SEARCH(".",AGZ$4,AHE47),99999),
IFERROR(SEARCH(",",AGZ$4,AHE47),99999),
IFERROR(SEARCH(" в размере",AGZ$4,AHE47),99999))</f>
        <v>99999</v>
      </c>
      <c r="AHF48" s="306"/>
      <c r="AHG48" s="827"/>
      <c r="AHH48" s="829"/>
    </row>
    <row r="49" spans="1:893" ht="14.4" customHeight="1" thickTop="1" x14ac:dyDescent="0.3">
      <c r="A49" s="116"/>
      <c r="B49" s="116"/>
      <c r="C49" s="116"/>
      <c r="D49" s="116"/>
      <c r="E49" s="116"/>
      <c r="F49" s="116"/>
      <c r="G49" s="116"/>
      <c r="H49" s="116"/>
      <c r="I49" s="116"/>
      <c r="J49" s="116"/>
      <c r="K49" s="116"/>
      <c r="L49" s="116"/>
      <c r="M49" s="116"/>
      <c r="N49" s="116"/>
      <c r="O49" s="116"/>
      <c r="P49" s="116"/>
      <c r="Q49" s="116"/>
      <c r="R49" s="116"/>
      <c r="S49" s="116"/>
      <c r="T49" s="116"/>
      <c r="U49" s="116"/>
      <c r="V49" s="116"/>
      <c r="W49" s="116"/>
      <c r="X49" s="116"/>
      <c r="Y49" s="116"/>
      <c r="Z49" s="116"/>
      <c r="AA49" s="116"/>
      <c r="AB49" s="116"/>
      <c r="AC49" s="116"/>
      <c r="AD49" s="116"/>
      <c r="AE49" s="116"/>
      <c r="AF49" s="116"/>
      <c r="AG49" s="116"/>
      <c r="AH49" s="116"/>
      <c r="AI49" s="116"/>
      <c r="AJ49" s="116"/>
      <c r="AK49" s="116"/>
      <c r="AL49" s="116"/>
      <c r="AM49" s="116"/>
      <c r="AN49" s="116"/>
      <c r="AO49" s="116"/>
      <c r="AP49" s="116"/>
      <c r="AQ49" s="116"/>
      <c r="AR49" s="116"/>
      <c r="AS49" s="116"/>
      <c r="AT49" s="116"/>
      <c r="AU49" s="116"/>
      <c r="AV49" s="116"/>
      <c r="AW49" s="116"/>
      <c r="AX49" s="116"/>
      <c r="AY49" s="116"/>
      <c r="AZ49" s="116"/>
      <c r="BA49" s="116"/>
      <c r="BB49" s="116"/>
      <c r="BC49" s="116"/>
      <c r="BD49" s="116"/>
      <c r="BE49" s="116"/>
      <c r="BF49" s="116"/>
      <c r="BG49" s="116"/>
      <c r="BH49" s="116"/>
      <c r="BI49" s="116"/>
      <c r="BJ49" s="116"/>
      <c r="BK49" s="116"/>
      <c r="BL49" s="116"/>
      <c r="BM49" s="116"/>
      <c r="BN49" s="116"/>
      <c r="BO49" s="116"/>
      <c r="BP49" s="116"/>
      <c r="BQ49" s="116"/>
      <c r="BR49" s="116"/>
      <c r="BS49" s="116"/>
      <c r="BT49" s="116"/>
      <c r="BU49" s="116"/>
      <c r="BV49" s="116"/>
      <c r="BW49" s="116"/>
      <c r="BX49" s="116"/>
      <c r="BY49" s="116"/>
      <c r="BZ49" s="116"/>
      <c r="CA49" s="116"/>
      <c r="CB49" s="116"/>
      <c r="CC49" s="116"/>
      <c r="CD49" s="116"/>
      <c r="CE49" s="116"/>
      <c r="CF49" s="116"/>
      <c r="CG49" s="116"/>
      <c r="CH49" s="116"/>
      <c r="CI49" s="116"/>
      <c r="CJ49" s="116"/>
      <c r="CK49" s="116"/>
      <c r="CL49" s="116"/>
      <c r="CM49" s="116"/>
      <c r="CN49" s="116"/>
      <c r="CO49" s="116"/>
      <c r="CP49" s="116"/>
      <c r="CQ49" s="116"/>
      <c r="CR49" s="116"/>
      <c r="CS49" s="116"/>
      <c r="CT49" s="116"/>
      <c r="CU49" s="116"/>
      <c r="CV49" s="116"/>
      <c r="CW49" s="116"/>
      <c r="CX49" s="116"/>
      <c r="CY49" s="116"/>
      <c r="CZ49" s="116"/>
      <c r="DA49" s="116"/>
      <c r="DB49" s="116"/>
      <c r="DC49" s="116"/>
      <c r="DD49" s="116"/>
      <c r="DE49" s="116"/>
      <c r="DF49" s="116"/>
      <c r="DG49" s="116"/>
      <c r="DH49" s="116"/>
      <c r="DI49" s="116"/>
      <c r="DJ49" s="116"/>
      <c r="DK49" s="116"/>
      <c r="DL49" s="116"/>
      <c r="DM49" s="116"/>
      <c r="DN49" s="116"/>
      <c r="DO49" s="116"/>
      <c r="DP49" s="116"/>
      <c r="DQ49" s="116"/>
      <c r="DT49" t="s">
        <v>782</v>
      </c>
      <c r="DU49" s="821" t="s">
        <v>456</v>
      </c>
      <c r="DV49" s="1464"/>
      <c r="DW49" s="830" t="s">
        <v>8249</v>
      </c>
      <c r="DX49" s="836" t="str">
        <f>IF(OR(DY48=" в размере",DY45=" в размере"),SEARCH(" в размере",$C$3,DZ45)+LEN(" в размере")+1,"НЕТ")</f>
        <v>НЕТ</v>
      </c>
      <c r="DY49" s="306" t="s">
        <v>8431</v>
      </c>
      <c r="DZ49" s="306" t="e">
        <f>SEARCH(DY49,$C$3,DX49)</f>
        <v>#VALUE!</v>
      </c>
      <c r="EA49" s="306" t="e">
        <f>DZ49-DX49</f>
        <v>#VALUE!</v>
      </c>
      <c r="EB49" s="826" t="e">
        <f>IF(EC45="Штраф 50%","",MID($C$3,DX49,EA49))</f>
        <v>#VALUE!</v>
      </c>
      <c r="EC49" s="829"/>
      <c r="NK49" s="1464"/>
      <c r="NL49" s="830" t="s">
        <v>8249</v>
      </c>
      <c r="NM49" s="836" t="e">
        <f>SEARCH(" в размере",NJ$4,NO45)+LEN(" в размере")+1</f>
        <v>#VALUE!</v>
      </c>
      <c r="NN49" s="306" t="s">
        <v>8431</v>
      </c>
      <c r="NO49" s="306" t="e">
        <f>SEARCH(NN49,NJ$4,NM49)</f>
        <v>#VALUE!</v>
      </c>
      <c r="NP49" s="306" t="e">
        <f>NO49-NM49</f>
        <v>#VALUE!</v>
      </c>
      <c r="NQ49" s="826" t="e">
        <f>IF(NR45="Штраф 50%","",MID(NJ$4,NM49,NP49))</f>
        <v>#VALUE!</v>
      </c>
      <c r="NR49" s="829"/>
      <c r="OC49" s="1472"/>
      <c r="OD49" s="946" t="str">
        <f t="shared" si="131"/>
        <v>$$$$</v>
      </c>
      <c r="OE49" s="947" t="e">
        <f t="shared" si="151"/>
        <v>#VALUE!</v>
      </c>
      <c r="OF49" s="947"/>
      <c r="OG49" s="920"/>
      <c r="OH49" s="920"/>
      <c r="OI49" s="947"/>
      <c r="OJ49" s="947"/>
      <c r="OK49" s="947"/>
      <c r="OL49" s="1474"/>
      <c r="OY49" s="116"/>
      <c r="OZ49" s="959"/>
      <c r="PA49" s="1210"/>
      <c r="PB49" s="959"/>
      <c r="PC49" s="116"/>
      <c r="PD49" s="1000"/>
      <c r="PF49" s="1209"/>
      <c r="PG49" s="1208"/>
      <c r="PH49" s="1209"/>
      <c r="PI49" s="5"/>
      <c r="PJ49" s="1073"/>
      <c r="PK49" s="99"/>
      <c r="PL49" s="920"/>
      <c r="PM49" s="995"/>
      <c r="PN49" s="920"/>
      <c r="PO49" s="254"/>
      <c r="PP49" s="871"/>
      <c r="PQ49" t="str">
        <f t="shared" si="133"/>
        <v>$$$$</v>
      </c>
      <c r="PR49" s="937" t="e">
        <f t="shared" si="152"/>
        <v>#VALUE!</v>
      </c>
      <c r="PS49" s="5"/>
      <c r="PV49" s="937"/>
      <c r="PX49" s="5"/>
      <c r="PY49" s="1470"/>
      <c r="PZ49" t="str">
        <f t="shared" si="135"/>
        <v>$$$$</v>
      </c>
      <c r="QA49" s="937" t="e">
        <f t="shared" si="153"/>
        <v>#VALUE!</v>
      </c>
      <c r="QB49" s="5"/>
      <c r="QC49" s="264"/>
      <c r="QE49" s="937"/>
      <c r="QF49" s="264"/>
      <c r="QG49" s="5"/>
      <c r="QH49" s="1470"/>
      <c r="QI49" t="str">
        <f t="shared" si="137"/>
        <v>$$$$</v>
      </c>
      <c r="QJ49" s="937" t="e">
        <f t="shared" si="154"/>
        <v>#VALUE!</v>
      </c>
      <c r="QK49" s="5"/>
      <c r="QL49" s="264"/>
      <c r="QN49" s="937"/>
      <c r="QO49" s="264"/>
      <c r="QP49" s="5"/>
      <c r="QQ49" s="1470"/>
      <c r="QR49" t="str">
        <f t="shared" si="139"/>
        <v>$$$$</v>
      </c>
      <c r="QS49" s="937" t="e">
        <f t="shared" si="155"/>
        <v>#VALUE!</v>
      </c>
      <c r="QT49" s="5"/>
      <c r="QU49" s="264"/>
      <c r="QW49" s="937"/>
      <c r="QX49" s="264"/>
      <c r="QY49" s="5"/>
      <c r="QZ49" s="1470"/>
      <c r="SQ49" s="979"/>
      <c r="SY49" s="1464"/>
      <c r="SZ49" s="830" t="s">
        <v>8249</v>
      </c>
      <c r="TA49" s="836" t="e">
        <f>IF(NOT(ISERROR(SEARCH("НДФЛ",SX$4))),MIN(SEARCH("в размере ",SX$4,TC45)+LEN("в размере "),SEARCH("исходя из суммы ",SX$4,TC45)+LEN("исходя из суммы ")),SEARCH(" в размере",SX$4,TC45)+LEN(" в размере")+1)</f>
        <v>#VALUE!</v>
      </c>
      <c r="TB49" s="306" t="s">
        <v>8431</v>
      </c>
      <c r="TC49" s="306" t="e">
        <f>SEARCH(TB49,$SQ$3,TA49)</f>
        <v>#VALUE!</v>
      </c>
      <c r="TD49" s="306" t="e">
        <f>TC49-TA49</f>
        <v>#VALUE!</v>
      </c>
      <c r="TE49" s="826" t="e">
        <f>IF(TF45="Штраф 50%","",MID($SQ$3,TA49,TD49))</f>
        <v>#VALUE!</v>
      </c>
      <c r="TF49" s="829"/>
      <c r="TK49" s="1475">
        <v>12</v>
      </c>
      <c r="TL49" s="1030" t="s">
        <v>8433</v>
      </c>
      <c r="TM49" s="406" t="e">
        <f>SEARCH($TJ$14,TJ$4,TO45)+LEN($TJ$14)</f>
        <v>#VALUE!</v>
      </c>
      <c r="TN49" s="406" t="str">
        <f>IF(TO49=IFERROR(SEARCH(".",TJ$4,TM49),99999),".",
IF(TO49=IFERROR(SEARCH(",",TJ$4,TM49),99999),",",
IF(TO49=IFERROR(SEARCH(" за период",TJ$4,TM49),999999)," за период",
IF(TO49=IFERROR(SEARCH(" в размере",TJ$4,TM49),99999)," в размере",
IF(TO49=IFERROR(SEARCH(" и ",TJ$4,TM49),99999)," и ",
IF(TO49=IFERROR(SEARCH(")",TJ$4,TM49),99999),")",
))))))</f>
        <v>.</v>
      </c>
      <c r="TO49" s="406">
        <f>IFERROR(MIN(IFERROR(SEARCH(".",TJ$4,TM49),99999),IFERROR(SEARCH(",",TJ$4,TM49),99999),IFERROR(SEARCH(" за период",TJ$4,TM49),999999),IFERROR(SEARCH(" в размере",TJ$4,TM49),99999),IFERROR(SEARCH(" и ",TJ$4,TM49),99999),IFERROR(SEARCH(")",TJ$4,TM49),99999)),"ОШИБКА")</f>
        <v>99999</v>
      </c>
      <c r="TP49" s="406" t="e">
        <f>TO49-TM49</f>
        <v>#VALUE!</v>
      </c>
      <c r="TQ49" s="873" t="e">
        <f>MID(TJ$4,TM49,TP49)</f>
        <v>#VALUE!</v>
      </c>
      <c r="TR49" s="825" t="str">
        <f>IFERROR(INDEX($DU:$DU,MATCH(MID(TJ$4,TM49,TP49),$DT:$DT,0),1),"")</f>
        <v/>
      </c>
      <c r="TW49" s="1464"/>
      <c r="TX49" s="830" t="s">
        <v>8249</v>
      </c>
      <c r="TY49" s="836" t="e">
        <f>IF(NOT(ISERROR(SEARCH("НДФЛ",TV$4))),MIN(SEARCH("в размере ",TV$4,UA45)+LEN("в размере "),SEARCH("исходя из суммы ",TV$4,UA45)+LEN("исходя из суммы ")),SEARCH(" в размере",TV$4,UA45)+LEN(" в размере")+1)</f>
        <v>#VALUE!</v>
      </c>
      <c r="TZ49" s="306" t="s">
        <v>8431</v>
      </c>
      <c r="UA49" s="306" t="e">
        <f>SEARCH(TZ49,$SQ$4,TY49)</f>
        <v>#VALUE!</v>
      </c>
      <c r="UB49" s="306" t="e">
        <f>UA49-TY49</f>
        <v>#VALUE!</v>
      </c>
      <c r="UC49" s="826" t="e">
        <f>IF(UD45="Штраф 50%","",MID($SQ$4,TY49,UB49))</f>
        <v>#VALUE!</v>
      </c>
      <c r="UD49" s="829"/>
      <c r="UI49" s="1475">
        <v>12</v>
      </c>
      <c r="UJ49" s="1030" t="s">
        <v>8433</v>
      </c>
      <c r="UK49" s="406" t="e">
        <f>SEARCH(UH$14,UH$4,UM45)+LEN(UH$14)</f>
        <v>#VALUE!</v>
      </c>
      <c r="UL49" s="406" t="str">
        <f>IF(UM49=IFERROR(SEARCH(".",UH$4,UK49),99999),".",
IF(UM49=IFERROR(SEARCH(",",UH$4,UK49),99999),",",
IF(UM49=IFERROR(SEARCH(" за период",UH$4,UK49),999999)," за период",
IF(UM49=IFERROR(SEARCH(" в размере",UH$4,UK49),99999)," в размере",
IF(UM49=IFERROR(SEARCH(" и ",UH$4,UK49),99999)," и ",
IF(UM49=IFERROR(SEARCH(")",UH$4,UK49),99999),")",
))))))</f>
        <v>.</v>
      </c>
      <c r="UM49" s="406">
        <f>IFERROR(MIN(IFERROR(SEARCH(".",UH$4,UK49),99999),IFERROR(SEARCH(",",UH$4,UK49),99999),IFERROR(SEARCH(" за период",UH$4,UK49),999999),IFERROR(SEARCH(" в размере",UH$4,UK49),99999),IFERROR(SEARCH(" и ",UH$4,UK49),99999),IFERROR(SEARCH(")",UH$4,UK49),99999)),"ОШИБКА")</f>
        <v>99999</v>
      </c>
      <c r="UN49" s="406" t="e">
        <f>UM49-UK49</f>
        <v>#VALUE!</v>
      </c>
      <c r="UO49" s="873" t="e">
        <f>MID(UH$4,UK49,UN49)</f>
        <v>#VALUE!</v>
      </c>
      <c r="UP49" s="825" t="str">
        <f>IFERROR(INDEX($DU:$DU,MATCH(MID(UH$4,UK49,UN49),$DT:$DT,0),1),"")</f>
        <v/>
      </c>
      <c r="UU49" s="1464"/>
      <c r="UV49" s="830" t="s">
        <v>8249</v>
      </c>
      <c r="UW49" s="836" t="e">
        <f>IF(NOT(ISERROR(SEARCH("НДФЛ",UT$4))),MIN(SEARCH("в размере ",UT$4,UY45)+LEN("в размере "),SEARCH("исходя из суммы ",UT$4,UY45)+LEN("исходя из суммы ")),SEARCH(" в размере",UT$4,UY45)+LEN(" в размере")+1)</f>
        <v>#VALUE!</v>
      </c>
      <c r="UX49" s="306" t="s">
        <v>8431</v>
      </c>
      <c r="UY49" s="306" t="e">
        <f>SEARCH(UX49,$SQ$5,UW49)</f>
        <v>#VALUE!</v>
      </c>
      <c r="UZ49" s="306" t="e">
        <f>UY49-UW49</f>
        <v>#VALUE!</v>
      </c>
      <c r="VA49" s="826" t="e">
        <f>IF(VB45="Штраф 50%","",MID($SQ$5,UW49,UZ49))</f>
        <v>#VALUE!</v>
      </c>
      <c r="VB49" s="829"/>
      <c r="VG49" s="1475">
        <v>12</v>
      </c>
      <c r="VH49" s="1030" t="s">
        <v>8433</v>
      </c>
      <c r="VI49" s="406" t="e">
        <f>SEARCH(VF$14,VF$4,VK45)+LEN(VF$14)</f>
        <v>#VALUE!</v>
      </c>
      <c r="VJ49" s="406" t="str">
        <f>IF(VK49=IFERROR(SEARCH(".",VF$4,VI49),99999),".",
IF(VK49=IFERROR(SEARCH(",",VF$4,VI49),99999),",",
IF(VK49=IFERROR(SEARCH(" за период",VF$4,VI49),999999)," за период",
IF(VK49=IFERROR(SEARCH(" в размере",VF$4,VI49),99999)," в размере",
IF(VK49=IFERROR(SEARCH(" и ",VF$4,VI49),99999)," и ",
IF(VK49=IFERROR(SEARCH(")",VF$4,VI49),99999),")",
))))))</f>
        <v>.</v>
      </c>
      <c r="VK49" s="406">
        <f>IFERROR(MIN(IFERROR(SEARCH(".",VF$4,VI49),99999),IFERROR(SEARCH(",",VF$4,VI49),99999),IFERROR(SEARCH(" за период",VF$4,VI49),999999),IFERROR(SEARCH(" в размере",VF$4,VI49),99999),IFERROR(SEARCH(" и ",VF$4,VI49),99999),IFERROR(SEARCH(")",VF$4,VI49),99999)),"ОШИБКА")</f>
        <v>99999</v>
      </c>
      <c r="VL49" s="406" t="e">
        <f>VK49-VI49</f>
        <v>#VALUE!</v>
      </c>
      <c r="VM49" s="873" t="e">
        <f>MID(VF$4,VI49,VL49)</f>
        <v>#VALUE!</v>
      </c>
      <c r="VN49" s="825" t="str">
        <f>IFERROR(INDEX($DU:$DU,MATCH(MID(VF$4,VI49,VL49),$DT:$DT,0),1),"")</f>
        <v/>
      </c>
      <c r="VS49" s="1464"/>
      <c r="VT49" s="830" t="s">
        <v>8249</v>
      </c>
      <c r="VU49" s="836" t="e">
        <f>IF(NOT(ISERROR(SEARCH("НДФЛ",VR$4))),MIN(SEARCH("в размере ",VR$4,VW45)+LEN("в размере "),SEARCH("исходя из суммы ",VR$4,VW45)+LEN("исходя из суммы ")),SEARCH(" в размере",VR$4,VW45)+LEN(" в размере")+1)</f>
        <v>#VALUE!</v>
      </c>
      <c r="VV49" s="306" t="s">
        <v>8431</v>
      </c>
      <c r="VW49" s="306" t="e">
        <f>SEARCH(VV49,$SQ$6,VU49)</f>
        <v>#VALUE!</v>
      </c>
      <c r="VX49" s="306" t="e">
        <f>VW49-VU49</f>
        <v>#VALUE!</v>
      </c>
      <c r="VY49" s="826" t="e">
        <f>IF(VZ45="Штраф 50%","",MID($SQ$6,VU49,VX49))</f>
        <v>#VALUE!</v>
      </c>
      <c r="VZ49" s="829"/>
      <c r="WE49" s="1475">
        <v>12</v>
      </c>
      <c r="WF49" s="1030" t="s">
        <v>8433</v>
      </c>
      <c r="WG49" s="406" t="e">
        <f>SEARCH($TJ$14,WD$4,WI45)+LEN($TJ$14)</f>
        <v>#VALUE!</v>
      </c>
      <c r="WH49" s="406" t="str">
        <f>IF(WI49=IFERROR(SEARCH(".",WD$4,WG49),99999),".",
IF(WI49=IFERROR(SEARCH(",",WD$4,WG49),99999),",",
IF(WI49=IFERROR(SEARCH(" за период",WD$4,WG49),999999)," за период",
IF(WI49=IFERROR(SEARCH(" в размере",WD$4,WG49),99999)," в размере",
IF(WI49=IFERROR(SEARCH(" и ",WD$4,WG49),99999)," и ",
IF(WI49=IFERROR(SEARCH(")",WD$4,WG49),99999),")",
))))))</f>
        <v>.</v>
      </c>
      <c r="WI49" s="406">
        <f>IFERROR(MIN(IFERROR(SEARCH(".",WD$4,WG49),99999),IFERROR(SEARCH(",",WD$4,WG49),99999),IFERROR(SEARCH(" за период",WD$4,WG49),999999),IFERROR(SEARCH(" в размере",WD$4,WG49),99999),IFERROR(SEARCH(" и ",WD$4,WG49),99999),IFERROR(SEARCH(")",WD$4,WG49),99999)),"ОШИБКА")</f>
        <v>99999</v>
      </c>
      <c r="WJ49" s="406" t="e">
        <f>WI49-WG49</f>
        <v>#VALUE!</v>
      </c>
      <c r="WK49" s="873" t="e">
        <f>MID(WD$4,WG49,WJ49)</f>
        <v>#VALUE!</v>
      </c>
      <c r="WL49" s="825" t="str">
        <f>IFERROR(INDEX($DU:$DU,MATCH(MID(WD$4,WG49,WJ49),$DT:$DT,0),1),"")</f>
        <v/>
      </c>
      <c r="WQ49" s="1464"/>
      <c r="WR49" s="830" t="s">
        <v>8249</v>
      </c>
      <c r="WS49" s="836" t="e">
        <f>IF(NOT(ISERROR(SEARCH("НДФЛ",WP$4))),MIN(SEARCH("в размере ",WP$4,WU45)+LEN("в размере "),SEARCH("исходя из суммы ",WP$4,WU45)+LEN("исходя из суммы ")),SEARCH(" в размере",WP$4,WU45)+LEN(" в размере")+1)</f>
        <v>#VALUE!</v>
      </c>
      <c r="WT49" s="306" t="s">
        <v>8431</v>
      </c>
      <c r="WU49" s="306" t="e">
        <f>SEARCH(WT49,$SQ$7,WS49)</f>
        <v>#VALUE!</v>
      </c>
      <c r="WV49" s="306" t="e">
        <f>WU49-WS49</f>
        <v>#VALUE!</v>
      </c>
      <c r="WW49" s="826" t="e">
        <f>IF(WX45="Штраф 50%","",MID($SQ$7,WS49,WV49))</f>
        <v>#VALUE!</v>
      </c>
      <c r="WX49" s="829"/>
      <c r="XC49" s="1475">
        <v>12</v>
      </c>
      <c r="XD49" s="1030" t="s">
        <v>8433</v>
      </c>
      <c r="XE49" s="406" t="e">
        <f>SEARCH($TJ$14,XB$4,XG45)+LEN($TJ$14)</f>
        <v>#VALUE!</v>
      </c>
      <c r="XF49" s="406" t="str">
        <f>IF(XG49=IFERROR(SEARCH(".",XB$4,XE49),99999),".",
IF(XG49=IFERROR(SEARCH(",",XB$4,XE49),99999),",",
IF(XG49=IFERROR(SEARCH(" за период",XB$4,XE49),999999)," за период",
IF(XG49=IFERROR(SEARCH(" в размере",XB$4,XE49),99999)," в размере",
IF(XG49=IFERROR(SEARCH(" и ",XB$4,XE49),99999)," и ",
IF(XG49=IFERROR(SEARCH(")",XB$4,XE49),99999),")",
))))))</f>
        <v>.</v>
      </c>
      <c r="XG49" s="406">
        <f>IFERROR(MIN(IFERROR(SEARCH(".",XB$4,XE49),99999),IFERROR(SEARCH(",",XB$4,XE49),99999),IFERROR(SEARCH(" за период",XB$4,XE49),999999),IFERROR(SEARCH(" в размере",XB$4,XE49),99999),IFERROR(SEARCH(" и ",XB$4,XE49),99999),IFERROR(SEARCH(")",XB$4,XE49),99999)),"ОШИБКА")</f>
        <v>99999</v>
      </c>
      <c r="XH49" s="406" t="e">
        <f>XG49-XE49</f>
        <v>#VALUE!</v>
      </c>
      <c r="XI49" s="873" t="e">
        <f>MID(XB$4,XE49,XH49)</f>
        <v>#VALUE!</v>
      </c>
      <c r="XJ49" s="825" t="str">
        <f>IFERROR(INDEX($DU:$DU,MATCH(MID(XB$4,XE49,XH49),$DT:$DT,0),1),"")</f>
        <v/>
      </c>
      <c r="YG49" s="1464"/>
      <c r="YH49" s="830" t="s">
        <v>8249</v>
      </c>
      <c r="YI49" s="836" t="str">
        <f>IF(OR(YJ48=" в размере",YJ45=" в размере"),SEARCH(" в размере",$XU$3,YK45)+LEN(" в размере")+1,"НЕТ")</f>
        <v>НЕТ</v>
      </c>
      <c r="YJ49" s="306" t="s">
        <v>8431</v>
      </c>
      <c r="YK49" s="306" t="e">
        <f>SEARCH(YJ49,$XU$3,YI49)</f>
        <v>#VALUE!</v>
      </c>
      <c r="YL49" s="306" t="e">
        <f>YK49-YI49</f>
        <v>#VALUE!</v>
      </c>
      <c r="YM49" s="826" t="e">
        <f>IF(YN45="Штраф 50%","",MID($XU$3,YI49,YL49))</f>
        <v>#VALUE!</v>
      </c>
      <c r="YN49" s="829"/>
      <c r="YS49" s="1464"/>
      <c r="YT49" s="830" t="s">
        <v>8249</v>
      </c>
      <c r="YU49" s="836" t="e">
        <f>SEARCH(" в размере",$XU$4,YW45)+LEN(" в размере")+1</f>
        <v>#VALUE!</v>
      </c>
      <c r="YV49" s="306" t="s">
        <v>8431</v>
      </c>
      <c r="YW49" s="306" t="e">
        <f>SEARCH(YV49,$XU$4,YU49)</f>
        <v>#VALUE!</v>
      </c>
      <c r="YX49" s="306" t="e">
        <f>YW49-YU49</f>
        <v>#VALUE!</v>
      </c>
      <c r="YY49" s="826" t="e">
        <f>IF(YZ45="Штраф 50%","",MID($XU$4,YU49,YX49))</f>
        <v>#VALUE!</v>
      </c>
      <c r="YZ49" s="829"/>
      <c r="ZE49" s="1464"/>
      <c r="ZF49" s="830" t="s">
        <v>8249</v>
      </c>
      <c r="ZG49" s="836" t="e">
        <f>SEARCH(" в размере",$XU$5,ZI45)+LEN(" в размере")+1</f>
        <v>#VALUE!</v>
      </c>
      <c r="ZH49" s="306" t="s">
        <v>8431</v>
      </c>
      <c r="ZI49" s="306" t="e">
        <f>SEARCH(ZH49,$XU$5,ZG49)</f>
        <v>#VALUE!</v>
      </c>
      <c r="ZJ49" s="306" t="e">
        <f>ZI49-ZG49</f>
        <v>#VALUE!</v>
      </c>
      <c r="ZK49" s="826" t="e">
        <f>IF(ZL45="Штраф 50%","",MID($XU$5,ZG49,ZJ49))</f>
        <v>#VALUE!</v>
      </c>
      <c r="ZL49" s="829"/>
      <c r="ZQ49" s="1464"/>
      <c r="ZR49" s="830" t="s">
        <v>8249</v>
      </c>
      <c r="ZS49" s="836" t="e">
        <f>SEARCH(" в размере",$XU$6,ZU45)+LEN(" в размере")+1</f>
        <v>#VALUE!</v>
      </c>
      <c r="ZT49" s="306" t="s">
        <v>8431</v>
      </c>
      <c r="ZU49" s="306" t="e">
        <f>SEARCH(ZT49,$XU$6,ZS49)</f>
        <v>#VALUE!</v>
      </c>
      <c r="ZV49" s="306" t="e">
        <f>ZU49-ZS49</f>
        <v>#VALUE!</v>
      </c>
      <c r="ZW49" s="826" t="e">
        <f>IF(ZX45="Штраф 50%","",MID($XU$6,ZS49,ZV49))</f>
        <v>#VALUE!</v>
      </c>
      <c r="ZX49" s="829"/>
      <c r="AAC49" s="1464"/>
      <c r="AAD49" s="830" t="s">
        <v>8249</v>
      </c>
      <c r="AAE49" s="836" t="e">
        <f>SEARCH(" в размере",$XU$7,AAG45)+LEN(" в размере")+1</f>
        <v>#VALUE!</v>
      </c>
      <c r="AAF49" s="306" t="s">
        <v>8431</v>
      </c>
      <c r="AAG49" s="306" t="e">
        <f>SEARCH(AAF49,$XU$7,AAE49)</f>
        <v>#VALUE!</v>
      </c>
      <c r="AAH49" s="306" t="e">
        <f>AAG49-AAE49</f>
        <v>#VALUE!</v>
      </c>
      <c r="AAI49" s="826" t="e">
        <f>IF(AAJ45="Штраф 50%","",MID($XU$7,AAE49,AAH49))</f>
        <v>#VALUE!</v>
      </c>
      <c r="AAJ49" s="829"/>
      <c r="AAV49" t="str">
        <f t="shared" si="141"/>
        <v>$$$$</v>
      </c>
      <c r="AAW49" s="947" t="e">
        <f t="shared" si="156"/>
        <v>#VALUE!</v>
      </c>
      <c r="AAX49" s="5"/>
      <c r="AAY49" s="5"/>
      <c r="AAZ49" s="5"/>
      <c r="ABA49" s="1487"/>
      <c r="ADF49" s="5"/>
      <c r="ADG49" s="1075"/>
      <c r="ADQ49" s="1075"/>
      <c r="AEJ49" s="961"/>
      <c r="AEK49" s="961"/>
      <c r="AEL49" s="961"/>
      <c r="AEX49" s="1070"/>
      <c r="AFA49" s="1070"/>
      <c r="AFE49" s="1464"/>
      <c r="AFF49" s="830" t="s">
        <v>8249</v>
      </c>
      <c r="AFG49" s="836" t="e">
        <f>SEARCH(" в размере",AFD$4,AFI45)+LEN(" в размере")+1</f>
        <v>#VALUE!</v>
      </c>
      <c r="AFH49" s="306" t="s">
        <v>8431</v>
      </c>
      <c r="AFI49" s="306" t="e">
        <f>SEARCH(AFH49,AFD$4,AFG49)</f>
        <v>#VALUE!</v>
      </c>
      <c r="AFJ49" s="306" t="e">
        <f>AFI49-AFG49</f>
        <v>#VALUE!</v>
      </c>
      <c r="AFK49" s="826" t="e">
        <f>IF(AFL45="Штраф 50%","",MID(AFD$4,AFG49,AFJ49))</f>
        <v>#VALUE!</v>
      </c>
      <c r="AFL49" s="829"/>
      <c r="AFQ49" s="1464"/>
      <c r="AFR49" s="830" t="s">
        <v>8249</v>
      </c>
      <c r="AFS49" s="836" t="e">
        <f>SEARCH(" в размере",AFP$4,AFU45)+LEN(" в размере")+1</f>
        <v>#VALUE!</v>
      </c>
      <c r="AFT49" s="306" t="s">
        <v>8431</v>
      </c>
      <c r="AFU49" s="306" t="e">
        <f>SEARCH(AFT49,AFP$4,AFS49)</f>
        <v>#VALUE!</v>
      </c>
      <c r="AFV49" s="306" t="e">
        <f>AFU49-AFS49</f>
        <v>#VALUE!</v>
      </c>
      <c r="AFW49" s="826" t="e">
        <f>IF(AFX45="Штраф 50%","",MID(AFP$4,AFS49,AFV49))</f>
        <v>#VALUE!</v>
      </c>
      <c r="AFX49" s="829"/>
      <c r="AGC49" s="1464"/>
      <c r="AGD49" s="830" t="s">
        <v>8249</v>
      </c>
      <c r="AGE49" s="836" t="e">
        <f>SEARCH(" в размере",AGB$4,AGG45)+LEN(" в размере")+1</f>
        <v>#VALUE!</v>
      </c>
      <c r="AGF49" s="306" t="s">
        <v>8431</v>
      </c>
      <c r="AGG49" s="306" t="e">
        <f>SEARCH(AGF49,AGB$4,AGE49)</f>
        <v>#VALUE!</v>
      </c>
      <c r="AGH49" s="306" t="e">
        <f>AGG49-AGE49</f>
        <v>#VALUE!</v>
      </c>
      <c r="AGI49" s="826" t="e">
        <f>IF(AGJ45="Штраф 50%","",MID(AGB$4,AGE49,AGH49))</f>
        <v>#VALUE!</v>
      </c>
      <c r="AGJ49" s="829"/>
      <c r="AGO49" s="1464"/>
      <c r="AGP49" s="830" t="s">
        <v>8249</v>
      </c>
      <c r="AGQ49" s="836" t="e">
        <f>SEARCH(" в размере",AGN$4,AGS45)+LEN(" в размере")+1</f>
        <v>#VALUE!</v>
      </c>
      <c r="AGR49" s="306" t="s">
        <v>8431</v>
      </c>
      <c r="AGS49" s="306" t="e">
        <f>SEARCH(AGR49,AGN$4,AGQ49)</f>
        <v>#VALUE!</v>
      </c>
      <c r="AGT49" s="306" t="e">
        <f>AGS49-AGQ49</f>
        <v>#VALUE!</v>
      </c>
      <c r="AGU49" s="826" t="e">
        <f>IF(AGV45="Штраф 50%","",MID(AGN$4,AGQ49,AGT49))</f>
        <v>#VALUE!</v>
      </c>
      <c r="AGV49" s="829"/>
      <c r="AHA49" s="1464"/>
      <c r="AHB49" s="830" t="s">
        <v>8249</v>
      </c>
      <c r="AHC49" s="836" t="e">
        <f>SEARCH(" в размере",AGZ$4,AHE45)+LEN(" в размере")+1</f>
        <v>#VALUE!</v>
      </c>
      <c r="AHD49" s="306" t="s">
        <v>8431</v>
      </c>
      <c r="AHE49" s="306" t="e">
        <f>SEARCH(AHD49,AGZ$4,AHC49)</f>
        <v>#VALUE!</v>
      </c>
      <c r="AHF49" s="306" t="e">
        <f>AHE49-AHC49</f>
        <v>#VALUE!</v>
      </c>
      <c r="AHG49" s="826" t="e">
        <f>IF(AHH45="Штраф 50%","",MID(AGZ$4,AHC49,AHF49))</f>
        <v>#VALUE!</v>
      </c>
      <c r="AHH49" s="829"/>
    </row>
    <row r="50" spans="1:893" ht="14.4" customHeight="1" x14ac:dyDescent="0.3">
      <c r="A50" s="116"/>
      <c r="B50" s="116"/>
      <c r="C50" s="116"/>
      <c r="D50" s="116"/>
      <c r="E50" s="116"/>
      <c r="F50" s="116"/>
      <c r="G50" s="116"/>
      <c r="H50" s="116"/>
      <c r="I50" s="116"/>
      <c r="J50" s="116"/>
      <c r="K50" s="116"/>
      <c r="L50" s="116"/>
      <c r="M50" s="116"/>
      <c r="N50" s="116"/>
      <c r="O50" s="116"/>
      <c r="P50" s="116"/>
      <c r="Q50" s="116"/>
      <c r="R50" s="116"/>
      <c r="S50" s="116"/>
      <c r="T50" s="116"/>
      <c r="U50" s="116"/>
      <c r="V50" s="116"/>
      <c r="W50" s="116"/>
      <c r="X50" s="116"/>
      <c r="Y50" s="116"/>
      <c r="Z50" s="116"/>
      <c r="AA50" s="116"/>
      <c r="AB50" s="116"/>
      <c r="AC50" s="116"/>
      <c r="AD50" s="116"/>
      <c r="AE50" s="116"/>
      <c r="AF50" s="116"/>
      <c r="AG50" s="116"/>
      <c r="AH50" s="116"/>
      <c r="AI50" s="116"/>
      <c r="AJ50" s="116"/>
      <c r="AK50" s="116"/>
      <c r="AL50" s="116"/>
      <c r="AM50" s="116"/>
      <c r="AN50" s="116"/>
      <c r="AO50" s="116"/>
      <c r="AP50" s="116"/>
      <c r="AQ50" s="116"/>
      <c r="AR50" s="116"/>
      <c r="AS50" s="116"/>
      <c r="AT50" s="116"/>
      <c r="AU50" s="116"/>
      <c r="AV50" s="116"/>
      <c r="AW50" s="116"/>
      <c r="AX50" s="116"/>
      <c r="AY50" s="116"/>
      <c r="AZ50" s="116"/>
      <c r="BA50" s="116"/>
      <c r="BB50" s="116"/>
      <c r="BC50" s="116"/>
      <c r="BD50" s="116"/>
      <c r="BE50" s="116"/>
      <c r="BF50" s="116"/>
      <c r="BG50" s="116"/>
      <c r="BH50" s="116"/>
      <c r="BI50" s="116"/>
      <c r="BJ50" s="116"/>
      <c r="BK50" s="116"/>
      <c r="BL50" s="116"/>
      <c r="BM50" s="116"/>
      <c r="BN50" s="116"/>
      <c r="BO50" s="116"/>
      <c r="BP50" s="116"/>
      <c r="BQ50" s="116"/>
      <c r="BR50" s="116"/>
      <c r="BS50" s="116"/>
      <c r="BT50" s="116"/>
      <c r="BU50" s="116"/>
      <c r="BV50" s="116"/>
      <c r="BW50" s="116"/>
      <c r="BX50" s="116"/>
      <c r="BY50" s="116"/>
      <c r="BZ50" s="116"/>
      <c r="CA50" s="116"/>
      <c r="CB50" s="116"/>
      <c r="CC50" s="116"/>
      <c r="CD50" s="116"/>
      <c r="CE50" s="116"/>
      <c r="CF50" s="116"/>
      <c r="CG50" s="116"/>
      <c r="CH50" s="116"/>
      <c r="CI50" s="116"/>
      <c r="CJ50" s="116"/>
      <c r="CK50" s="116"/>
      <c r="CL50" s="116"/>
      <c r="CM50" s="116"/>
      <c r="CN50" s="116"/>
      <c r="CO50" s="116"/>
      <c r="CP50" s="116"/>
      <c r="CQ50" s="116"/>
      <c r="CR50" s="116"/>
      <c r="CS50" s="116"/>
      <c r="CT50" s="116"/>
      <c r="CU50" s="116"/>
      <c r="CV50" s="116"/>
      <c r="CW50" s="116"/>
      <c r="CX50" s="116"/>
      <c r="CY50" s="116"/>
      <c r="CZ50" s="116"/>
      <c r="DA50" s="116"/>
      <c r="DB50" s="116"/>
      <c r="DC50" s="116"/>
      <c r="DD50" s="116"/>
      <c r="DE50" s="116"/>
      <c r="DF50" s="116"/>
      <c r="DG50" s="116"/>
      <c r="DH50" s="116"/>
      <c r="DI50" s="116"/>
      <c r="DJ50" s="116"/>
      <c r="DK50" s="116"/>
      <c r="DL50" s="116"/>
      <c r="DM50" s="116"/>
      <c r="DN50" s="116"/>
      <c r="DO50" s="116"/>
      <c r="DP50" s="116"/>
      <c r="DQ50" s="116"/>
      <c r="DT50" t="s">
        <v>8557</v>
      </c>
      <c r="DU50" s="821" t="s">
        <v>8558</v>
      </c>
      <c r="DV50" s="1464"/>
      <c r="DW50" s="306"/>
      <c r="DX50" s="836" t="e">
        <f>SEARCH(" ",$C$3,DZ49+1)+1</f>
        <v>#VALUE!</v>
      </c>
      <c r="DY50" s="306" t="s">
        <v>8432</v>
      </c>
      <c r="DZ50" s="306" t="e">
        <f>SEARCH(DY50,$C$3,DX50)</f>
        <v>#VALUE!</v>
      </c>
      <c r="EA50" s="306" t="e">
        <f>DZ50-DX50</f>
        <v>#VALUE!</v>
      </c>
      <c r="EB50" s="826" t="e">
        <f>IF(EC45="Штраф 50%","",MID($C$3,DX50,EA50))</f>
        <v>#VALUE!</v>
      </c>
      <c r="EC50" s="829"/>
      <c r="NK50" s="1464"/>
      <c r="NL50" s="306"/>
      <c r="NM50" s="836" t="e">
        <f>SEARCH(" ",NJ$4,NO49+1)+1</f>
        <v>#VALUE!</v>
      </c>
      <c r="NN50" s="306" t="s">
        <v>8432</v>
      </c>
      <c r="NO50" s="306" t="e">
        <f>SEARCH(NN50,NJ$4,NM50)</f>
        <v>#VALUE!</v>
      </c>
      <c r="NP50" s="306" t="e">
        <f>NO50-NM50</f>
        <v>#VALUE!</v>
      </c>
      <c r="NQ50" s="826" t="e">
        <f>IF(NR45="Штраф 50%","",MID(NJ$4,NM50,NP50))</f>
        <v>#VALUE!</v>
      </c>
      <c r="NR50" s="829"/>
      <c r="OC50" s="1472"/>
      <c r="OD50" s="946" t="str">
        <f t="shared" si="131"/>
        <v>$$$$</v>
      </c>
      <c r="OE50" s="947" t="e">
        <f t="shared" si="151"/>
        <v>#VALUE!</v>
      </c>
      <c r="OF50" s="947"/>
      <c r="OG50" s="920"/>
      <c r="OH50" s="920"/>
      <c r="OI50" s="947"/>
      <c r="OJ50" s="947"/>
      <c r="OK50" s="947"/>
      <c r="OL50" s="1474"/>
      <c r="OY50" s="116"/>
      <c r="OZ50" s="959"/>
      <c r="PA50" s="1210"/>
      <c r="PB50" s="959"/>
      <c r="PC50" s="116"/>
      <c r="PD50" s="1000"/>
      <c r="PF50" s="1209"/>
      <c r="PG50" s="1208"/>
      <c r="PH50" s="1209"/>
      <c r="PJ50" s="1073"/>
      <c r="PK50" s="99"/>
      <c r="PL50" s="920"/>
      <c r="PM50" s="995"/>
      <c r="PN50" s="920"/>
      <c r="PO50" s="99"/>
      <c r="PP50" s="871"/>
      <c r="PQ50" t="str">
        <f t="shared" si="133"/>
        <v>$$$$</v>
      </c>
      <c r="PR50" s="937" t="e">
        <f t="shared" si="152"/>
        <v>#VALUE!</v>
      </c>
      <c r="PS50" s="5"/>
      <c r="PV50" s="937"/>
      <c r="PY50" s="1470"/>
      <c r="PZ50" t="str">
        <f t="shared" si="135"/>
        <v>$$$$</v>
      </c>
      <c r="QA50" s="937" t="e">
        <f t="shared" si="153"/>
        <v>#VALUE!</v>
      </c>
      <c r="QB50" s="5"/>
      <c r="QC50" s="264"/>
      <c r="QE50" s="937"/>
      <c r="QF50" s="264"/>
      <c r="QH50" s="1470"/>
      <c r="QI50" t="str">
        <f t="shared" si="137"/>
        <v>$$$$</v>
      </c>
      <c r="QJ50" s="937" t="e">
        <f t="shared" si="154"/>
        <v>#VALUE!</v>
      </c>
      <c r="QK50" s="5"/>
      <c r="QL50" s="264"/>
      <c r="QN50" s="937"/>
      <c r="QO50" s="264"/>
      <c r="QQ50" s="1470"/>
      <c r="QR50" t="str">
        <f t="shared" si="139"/>
        <v>$$$$</v>
      </c>
      <c r="QS50" s="937" t="e">
        <f t="shared" si="155"/>
        <v>#VALUE!</v>
      </c>
      <c r="QT50" s="5"/>
      <c r="QU50" s="264"/>
      <c r="QW50" s="937"/>
      <c r="QX50" s="264"/>
      <c r="QZ50" s="1470"/>
      <c r="SQ50" s="979"/>
      <c r="SY50" s="1464"/>
      <c r="SZ50" s="306"/>
      <c r="TA50" s="836" t="e">
        <f>SEARCH(" ",$SQ$3,TC49+1)+1</f>
        <v>#VALUE!</v>
      </c>
      <c r="TB50" s="306" t="s">
        <v>8432</v>
      </c>
      <c r="TC50" s="306" t="e">
        <f>SEARCH(TB50,$SQ$3,TA50)</f>
        <v>#VALUE!</v>
      </c>
      <c r="TD50" s="306" t="e">
        <f>TC50-TA50</f>
        <v>#VALUE!</v>
      </c>
      <c r="TE50" s="826" t="e">
        <f>IF(TF45="Штраф 50%","",MID($SQ$3,TA50,TD50))</f>
        <v>#VALUE!</v>
      </c>
      <c r="TF50" s="829"/>
      <c r="TK50" s="1476"/>
      <c r="TL50" s="1031" t="s">
        <v>8249</v>
      </c>
      <c r="TM50" s="836">
        <f>IFERROR(MIN(IFERROR(SEARCH(", ",TJ$4,TO45)+LEN(", "),99999),IFERROR(SEARCH("и ",TJ$4,TO45)+LEN("и "),99999)),"ОШИБКА")</f>
        <v>99999</v>
      </c>
      <c r="TN50" s="306" t="s">
        <v>8431</v>
      </c>
      <c r="TO50" s="306" t="e">
        <f>SEARCH(TN50,TJ$4,TM50)</f>
        <v>#VALUE!</v>
      </c>
      <c r="TP50" s="306" t="e">
        <f>TO50-TM50</f>
        <v>#VALUE!</v>
      </c>
      <c r="TQ50" s="826" t="e">
        <f>IF(TR49="Штраф 50%","",MID(TJ$4,TM50,TP50))</f>
        <v>#VALUE!</v>
      </c>
      <c r="TR50" s="828" t="str">
        <f>IF(TN49=" за период",TQ50,"")</f>
        <v/>
      </c>
      <c r="TW50" s="1464"/>
      <c r="TX50" s="306"/>
      <c r="TY50" s="836" t="e">
        <f>SEARCH(" ",$SQ$4,UA49+1)+1</f>
        <v>#VALUE!</v>
      </c>
      <c r="TZ50" s="306" t="s">
        <v>8432</v>
      </c>
      <c r="UA50" s="306" t="e">
        <f>SEARCH(TZ50,$SQ$4,TY50)</f>
        <v>#VALUE!</v>
      </c>
      <c r="UB50" s="306" t="e">
        <f>UA50-TY50</f>
        <v>#VALUE!</v>
      </c>
      <c r="UC50" s="826" t="e">
        <f>IF(UD45="Штраф 50%","",MID($SQ$4,TY50,UB50))</f>
        <v>#VALUE!</v>
      </c>
      <c r="UD50" s="829"/>
      <c r="UI50" s="1476"/>
      <c r="UJ50" s="1031" t="s">
        <v>8249</v>
      </c>
      <c r="UK50" s="836">
        <f>IFERROR(MIN(IFERROR(SEARCH(", ",UH$4,UM45)+LEN(", "),99999),IFERROR(SEARCH("и ",UH$4,UM45)+LEN("и "),99999)),"ОШИБКА")</f>
        <v>99999</v>
      </c>
      <c r="UL50" s="306" t="s">
        <v>8431</v>
      </c>
      <c r="UM50" s="306" t="e">
        <f>SEARCH(UL50,UH$4,UK50)</f>
        <v>#VALUE!</v>
      </c>
      <c r="UN50" s="306" t="e">
        <f>UM50-UK50</f>
        <v>#VALUE!</v>
      </c>
      <c r="UO50" s="826" t="e">
        <f>IF(UP49="Штраф 50%","",MID(UH$4,UK50,UN50))</f>
        <v>#VALUE!</v>
      </c>
      <c r="UP50" s="828" t="str">
        <f>IF(UL49=" за период",UO50,"")</f>
        <v/>
      </c>
      <c r="UU50" s="1464"/>
      <c r="UV50" s="306"/>
      <c r="UW50" s="836" t="e">
        <f>SEARCH(" ",$SQ$5,UY49+1)+1</f>
        <v>#VALUE!</v>
      </c>
      <c r="UX50" s="306" t="s">
        <v>8432</v>
      </c>
      <c r="UY50" s="306" t="e">
        <f>SEARCH(UX50,$SQ$5,UW50)</f>
        <v>#VALUE!</v>
      </c>
      <c r="UZ50" s="306" t="e">
        <f>UY50-UW50</f>
        <v>#VALUE!</v>
      </c>
      <c r="VA50" s="826" t="e">
        <f>IF(VB45="Штраф 50%","",MID($SQ$5,UW50,UZ50))</f>
        <v>#VALUE!</v>
      </c>
      <c r="VB50" s="829"/>
      <c r="VG50" s="1476"/>
      <c r="VH50" s="1031" t="s">
        <v>8249</v>
      </c>
      <c r="VI50" s="836">
        <f>IFERROR(MIN(IFERROR(SEARCH(", ",VF$4,VK45)+LEN(", "),99999),IFERROR(SEARCH("и ",VF$4,VK45)+LEN("и "),99999)),"ОШИБКА")</f>
        <v>99999</v>
      </c>
      <c r="VJ50" s="306" t="s">
        <v>8431</v>
      </c>
      <c r="VK50" s="306" t="e">
        <f>SEARCH(VJ50,VF$4,VI50)</f>
        <v>#VALUE!</v>
      </c>
      <c r="VL50" s="306" t="e">
        <f>VK50-VI50</f>
        <v>#VALUE!</v>
      </c>
      <c r="VM50" s="826" t="e">
        <f>IF(VN49="Штраф 50%","",MID(VF$4,VI50,VL50))</f>
        <v>#VALUE!</v>
      </c>
      <c r="VN50" s="828" t="str">
        <f>IF(VJ49=" за период",VM50,"")</f>
        <v/>
      </c>
      <c r="VS50" s="1464"/>
      <c r="VT50" s="306"/>
      <c r="VU50" s="836" t="e">
        <f>SEARCH(" ",$SQ$6,VW49+1)+1</f>
        <v>#VALUE!</v>
      </c>
      <c r="VV50" s="306" t="s">
        <v>8432</v>
      </c>
      <c r="VW50" s="306" t="e">
        <f>SEARCH(VV50,$SQ$6,VU50)</f>
        <v>#VALUE!</v>
      </c>
      <c r="VX50" s="306" t="e">
        <f>VW50-VU50</f>
        <v>#VALUE!</v>
      </c>
      <c r="VY50" s="826" t="e">
        <f>IF(VZ45="Штраф 50%","",MID($SQ$6,VU50,VX50))</f>
        <v>#VALUE!</v>
      </c>
      <c r="VZ50" s="829"/>
      <c r="WE50" s="1476"/>
      <c r="WF50" s="1031" t="s">
        <v>8249</v>
      </c>
      <c r="WG50" s="836">
        <f>IFERROR(MIN(IFERROR(SEARCH(", ",WD$4,WI45)+LEN(", "),99999),IFERROR(SEARCH("и ",WD$4,WI45)+LEN("и "),99999)),"ОШИБКА")</f>
        <v>99999</v>
      </c>
      <c r="WH50" s="306" t="s">
        <v>8431</v>
      </c>
      <c r="WI50" s="306" t="e">
        <f>SEARCH(WH50,WD$4,WG50)</f>
        <v>#VALUE!</v>
      </c>
      <c r="WJ50" s="306" t="e">
        <f>WI50-WG50</f>
        <v>#VALUE!</v>
      </c>
      <c r="WK50" s="826" t="e">
        <f>IF(WL49="Штраф 50%","",MID(WD$4,WG50,WJ50))</f>
        <v>#VALUE!</v>
      </c>
      <c r="WL50" s="828" t="str">
        <f>IF(WH49=" за период",WK50,"")</f>
        <v/>
      </c>
      <c r="WQ50" s="1464"/>
      <c r="WR50" s="306"/>
      <c r="WS50" s="836" t="e">
        <f>SEARCH(" ",$SQ$7,WU49+1)+1</f>
        <v>#VALUE!</v>
      </c>
      <c r="WT50" s="306" t="s">
        <v>8432</v>
      </c>
      <c r="WU50" s="306" t="e">
        <f>SEARCH(WT50,$SQ$7,WS50)</f>
        <v>#VALUE!</v>
      </c>
      <c r="WV50" s="306" t="e">
        <f>WU50-WS50</f>
        <v>#VALUE!</v>
      </c>
      <c r="WW50" s="826" t="e">
        <f>IF(WX45="Штраф 50%","",MID($SQ$7,WS50,WV50))</f>
        <v>#VALUE!</v>
      </c>
      <c r="WX50" s="829"/>
      <c r="XC50" s="1476"/>
      <c r="XD50" s="1031" t="s">
        <v>8249</v>
      </c>
      <c r="XE50" s="836">
        <f>IFERROR(MIN(IFERROR(SEARCH(", ",XB$4,XG45)+LEN(", "),99999),IFERROR(SEARCH("и ",XB$4,XG45)+LEN("и "),99999)),"ОШИБКА")</f>
        <v>99999</v>
      </c>
      <c r="XF50" s="306" t="s">
        <v>8431</v>
      </c>
      <c r="XG50" s="306" t="e">
        <f>SEARCH(XF50,XB$4,XE50)</f>
        <v>#VALUE!</v>
      </c>
      <c r="XH50" s="306" t="e">
        <f>XG50-XE50</f>
        <v>#VALUE!</v>
      </c>
      <c r="XI50" s="826" t="e">
        <f>IF(XJ49="Штраф 50%","",MID(XB$4,XE50,XH50))</f>
        <v>#VALUE!</v>
      </c>
      <c r="XJ50" s="828" t="str">
        <f>IF(XF49=" за период",XI50,"")</f>
        <v/>
      </c>
      <c r="YG50" s="1464"/>
      <c r="YH50" s="306"/>
      <c r="YI50" s="836" t="e">
        <f>SEARCH(" ",$XU$3,YK49+1)+1</f>
        <v>#VALUE!</v>
      </c>
      <c r="YJ50" s="306" t="s">
        <v>8432</v>
      </c>
      <c r="YK50" s="306" t="e">
        <f>SEARCH(YJ50,$XU$3,YI50)</f>
        <v>#VALUE!</v>
      </c>
      <c r="YL50" s="306" t="e">
        <f>YK50-YI50</f>
        <v>#VALUE!</v>
      </c>
      <c r="YM50" s="826" t="e">
        <f>IF(YN45="Штраф 50%","",MID($XU$3,YI50,YL50))</f>
        <v>#VALUE!</v>
      </c>
      <c r="YN50" s="829"/>
      <c r="YS50" s="1464"/>
      <c r="YT50" s="306"/>
      <c r="YU50" s="836" t="e">
        <f>SEARCH(" ",$XU$4,YW49+1)+1</f>
        <v>#VALUE!</v>
      </c>
      <c r="YV50" s="306" t="s">
        <v>8432</v>
      </c>
      <c r="YW50" s="306" t="e">
        <f>SEARCH(YV50,$XU$4,YU50)</f>
        <v>#VALUE!</v>
      </c>
      <c r="YX50" s="306" t="e">
        <f>YW50-YU50</f>
        <v>#VALUE!</v>
      </c>
      <c r="YY50" s="826" t="e">
        <f>IF(YZ45="Штраф 50%","",MID($XU$4,YU50,YX50))</f>
        <v>#VALUE!</v>
      </c>
      <c r="YZ50" s="829"/>
      <c r="ZE50" s="1464"/>
      <c r="ZF50" s="306"/>
      <c r="ZG50" s="836" t="e">
        <f>SEARCH(" ",$XU$5,ZI49+1)+1</f>
        <v>#VALUE!</v>
      </c>
      <c r="ZH50" s="306" t="s">
        <v>8432</v>
      </c>
      <c r="ZI50" s="306" t="e">
        <f>SEARCH(ZH50,$XU$5,ZG50)</f>
        <v>#VALUE!</v>
      </c>
      <c r="ZJ50" s="306" t="e">
        <f>ZI50-ZG50</f>
        <v>#VALUE!</v>
      </c>
      <c r="ZK50" s="826" t="e">
        <f>IF(ZL45="Штраф 50%","",MID($XU$5,ZG50,ZJ50))</f>
        <v>#VALUE!</v>
      </c>
      <c r="ZL50" s="829"/>
      <c r="ZQ50" s="1464"/>
      <c r="ZR50" s="306"/>
      <c r="ZS50" s="836" t="e">
        <f>SEARCH(" ",$XU$6,ZU49+1)+1</f>
        <v>#VALUE!</v>
      </c>
      <c r="ZT50" s="306" t="s">
        <v>8432</v>
      </c>
      <c r="ZU50" s="306" t="e">
        <f>SEARCH(ZT50,$XU$6,ZS50)</f>
        <v>#VALUE!</v>
      </c>
      <c r="ZV50" s="306" t="e">
        <f>ZU50-ZS50</f>
        <v>#VALUE!</v>
      </c>
      <c r="ZW50" s="826" t="e">
        <f>IF(ZX45="Штраф 50%","",MID($XU$6,ZS50,ZV50))</f>
        <v>#VALUE!</v>
      </c>
      <c r="ZX50" s="829"/>
      <c r="AAC50" s="1464"/>
      <c r="AAD50" s="306"/>
      <c r="AAE50" s="836" t="e">
        <f>SEARCH(" ",$XU$7,AAG49+1)+1</f>
        <v>#VALUE!</v>
      </c>
      <c r="AAF50" s="306" t="s">
        <v>8432</v>
      </c>
      <c r="AAG50" s="306" t="e">
        <f>SEARCH(AAF50,$XU$7,AAE50)</f>
        <v>#VALUE!</v>
      </c>
      <c r="AAH50" s="306" t="e">
        <f>AAG50-AAE50</f>
        <v>#VALUE!</v>
      </c>
      <c r="AAI50" s="826" t="e">
        <f>IF(AAJ45="Штраф 50%","",MID($XU$7,AAE50,AAH50))</f>
        <v>#VALUE!</v>
      </c>
      <c r="AAJ50" s="829"/>
      <c r="AAV50" t="str">
        <f t="shared" si="141"/>
        <v>$$$$</v>
      </c>
      <c r="AAW50" s="947" t="e">
        <f t="shared" si="156"/>
        <v>#VALUE!</v>
      </c>
      <c r="AAX50" s="5"/>
      <c r="AAY50" s="5"/>
      <c r="ABA50" s="1487"/>
      <c r="ADG50" s="1075"/>
      <c r="ADQ50" s="1075"/>
      <c r="AEJ50" s="961"/>
      <c r="AEK50" s="961"/>
      <c r="AEL50" s="961"/>
      <c r="AEX50" s="1070"/>
      <c r="AFA50" s="1070"/>
      <c r="AFE50" s="1464"/>
      <c r="AFF50" s="306"/>
      <c r="AFG50" s="836" t="e">
        <f>SEARCH(" ",AFD$4,AFI49+1)+1</f>
        <v>#VALUE!</v>
      </c>
      <c r="AFH50" s="306" t="s">
        <v>8432</v>
      </c>
      <c r="AFI50" s="306" t="e">
        <f>SEARCH(AFH50,AFD$4,AFG50)</f>
        <v>#VALUE!</v>
      </c>
      <c r="AFJ50" s="306" t="e">
        <f>AFI50-AFG50</f>
        <v>#VALUE!</v>
      </c>
      <c r="AFK50" s="826" t="e">
        <f>IF(AFL45="Штраф 50%","",MID(AFD$4,AFG50,AFJ50))</f>
        <v>#VALUE!</v>
      </c>
      <c r="AFL50" s="829"/>
      <c r="AFQ50" s="1464"/>
      <c r="AFR50" s="306"/>
      <c r="AFS50" s="836" t="e">
        <f>SEARCH(" ",AFP$4,AFU49+1)+1</f>
        <v>#VALUE!</v>
      </c>
      <c r="AFT50" s="306" t="s">
        <v>8432</v>
      </c>
      <c r="AFU50" s="306" t="e">
        <f>SEARCH(AFT50,AFP$4,AFS50)</f>
        <v>#VALUE!</v>
      </c>
      <c r="AFV50" s="306" t="e">
        <f>AFU50-AFS50</f>
        <v>#VALUE!</v>
      </c>
      <c r="AFW50" s="826" t="e">
        <f>IF(AFX45="Штраф 50%","",MID(AFP$4,AFS50,AFV50))</f>
        <v>#VALUE!</v>
      </c>
      <c r="AFX50" s="829"/>
      <c r="AGC50" s="1464"/>
      <c r="AGD50" s="306"/>
      <c r="AGE50" s="836" t="e">
        <f>SEARCH(" ",AGB$4,AGG49+1)+1</f>
        <v>#VALUE!</v>
      </c>
      <c r="AGF50" s="306" t="s">
        <v>8432</v>
      </c>
      <c r="AGG50" s="306" t="e">
        <f>SEARCH(AGF50,AGB$4,AGE50)</f>
        <v>#VALUE!</v>
      </c>
      <c r="AGH50" s="306" t="e">
        <f>AGG50-AGE50</f>
        <v>#VALUE!</v>
      </c>
      <c r="AGI50" s="826" t="e">
        <f>IF(AGJ45="Штраф 50%","",MID(AGB$4,AGE50,AGH50))</f>
        <v>#VALUE!</v>
      </c>
      <c r="AGJ50" s="829"/>
      <c r="AGO50" s="1464"/>
      <c r="AGP50" s="306"/>
      <c r="AGQ50" s="836" t="e">
        <f>SEARCH(" ",AGN$4,AGS49+1)+1</f>
        <v>#VALUE!</v>
      </c>
      <c r="AGR50" s="306" t="s">
        <v>8432</v>
      </c>
      <c r="AGS50" s="306" t="e">
        <f>SEARCH(AGR50,AGN$4,AGQ50)</f>
        <v>#VALUE!</v>
      </c>
      <c r="AGT50" s="306" t="e">
        <f>AGS50-AGQ50</f>
        <v>#VALUE!</v>
      </c>
      <c r="AGU50" s="826" t="e">
        <f>IF(AGV45="Штраф 50%","",MID(AGN$4,AGQ50,AGT50))</f>
        <v>#VALUE!</v>
      </c>
      <c r="AGV50" s="829"/>
      <c r="AHA50" s="1464"/>
      <c r="AHB50" s="306"/>
      <c r="AHC50" s="836" t="e">
        <f>SEARCH(" ",AGZ$4,AHE49+1)+1</f>
        <v>#VALUE!</v>
      </c>
      <c r="AHD50" s="306" t="s">
        <v>8432</v>
      </c>
      <c r="AHE50" s="306" t="e">
        <f>SEARCH(AHD50,AGZ$4,AHC50)</f>
        <v>#VALUE!</v>
      </c>
      <c r="AHF50" s="306" t="e">
        <f>AHE50-AHC50</f>
        <v>#VALUE!</v>
      </c>
      <c r="AHG50" s="826" t="e">
        <f>IF(AHH45="Штраф 50%","",MID(AGZ$4,AHC50,AHF50))</f>
        <v>#VALUE!</v>
      </c>
      <c r="AHH50" s="829"/>
    </row>
    <row r="51" spans="1:893" ht="14.4" customHeight="1" thickBot="1" x14ac:dyDescent="0.35">
      <c r="A51" s="116"/>
      <c r="B51" s="116"/>
      <c r="C51" s="116"/>
      <c r="D51" s="116"/>
      <c r="E51" s="116"/>
      <c r="F51" s="116"/>
      <c r="G51" s="116"/>
      <c r="H51" s="116"/>
      <c r="I51" s="116"/>
      <c r="J51" s="116"/>
      <c r="K51" s="116"/>
      <c r="L51" s="116"/>
      <c r="M51" s="116"/>
      <c r="N51" s="116"/>
      <c r="O51" s="116"/>
      <c r="P51" s="116"/>
      <c r="Q51" s="116"/>
      <c r="R51" s="116"/>
      <c r="S51" s="116"/>
      <c r="T51" s="116"/>
      <c r="U51" s="116"/>
      <c r="V51" s="116"/>
      <c r="W51" s="116"/>
      <c r="X51" s="116"/>
      <c r="Y51" s="116"/>
      <c r="Z51" s="116"/>
      <c r="AA51" s="116"/>
      <c r="AB51" s="116"/>
      <c r="AC51" s="116"/>
      <c r="AD51" s="116"/>
      <c r="AE51" s="116"/>
      <c r="AF51" s="116"/>
      <c r="AG51" s="116"/>
      <c r="AH51" s="116"/>
      <c r="AI51" s="116"/>
      <c r="AJ51" s="116"/>
      <c r="AK51" s="116"/>
      <c r="AL51" s="116"/>
      <c r="AM51" s="116"/>
      <c r="AN51" s="116"/>
      <c r="AO51" s="116"/>
      <c r="AP51" s="116"/>
      <c r="AQ51" s="116"/>
      <c r="AR51" s="116"/>
      <c r="AS51" s="116"/>
      <c r="AT51" s="116"/>
      <c r="AU51" s="116"/>
      <c r="AV51" s="116"/>
      <c r="AW51" s="116"/>
      <c r="AX51" s="116"/>
      <c r="AY51" s="116"/>
      <c r="AZ51" s="116"/>
      <c r="BA51" s="116"/>
      <c r="BB51" s="116"/>
      <c r="BC51" s="116"/>
      <c r="BD51" s="116"/>
      <c r="BE51" s="116"/>
      <c r="BF51" s="116"/>
      <c r="BG51" s="116"/>
      <c r="BH51" s="116"/>
      <c r="BI51" s="116"/>
      <c r="BJ51" s="116"/>
      <c r="BK51" s="116"/>
      <c r="BL51" s="116"/>
      <c r="BM51" s="116"/>
      <c r="BN51" s="116"/>
      <c r="BO51" s="116"/>
      <c r="BP51" s="116"/>
      <c r="BQ51" s="116"/>
      <c r="BR51" s="116"/>
      <c r="BS51" s="116"/>
      <c r="BT51" s="116"/>
      <c r="BU51" s="116"/>
      <c r="BV51" s="116"/>
      <c r="BW51" s="116"/>
      <c r="BX51" s="116"/>
      <c r="BY51" s="116"/>
      <c r="BZ51" s="116"/>
      <c r="CA51" s="116"/>
      <c r="CB51" s="116"/>
      <c r="CC51" s="116"/>
      <c r="CD51" s="116"/>
      <c r="CE51" s="116"/>
      <c r="CF51" s="116"/>
      <c r="CG51" s="116"/>
      <c r="CH51" s="116"/>
      <c r="CI51" s="116"/>
      <c r="CJ51" s="116"/>
      <c r="CK51" s="116"/>
      <c r="CL51" s="116"/>
      <c r="CM51" s="116"/>
      <c r="CN51" s="116"/>
      <c r="CO51" s="116"/>
      <c r="CP51" s="116"/>
      <c r="CQ51" s="116"/>
      <c r="CR51" s="116"/>
      <c r="CS51" s="116"/>
      <c r="CT51" s="116"/>
      <c r="CU51" s="116"/>
      <c r="CV51" s="116"/>
      <c r="CW51" s="116"/>
      <c r="CX51" s="116"/>
      <c r="CY51" s="116"/>
      <c r="CZ51" s="116"/>
      <c r="DA51" s="116"/>
      <c r="DB51" s="116"/>
      <c r="DC51" s="116"/>
      <c r="DD51" s="116"/>
      <c r="DE51" s="116"/>
      <c r="DF51" s="116"/>
      <c r="DG51" s="116"/>
      <c r="DH51" s="116"/>
      <c r="DI51" s="116"/>
      <c r="DJ51" s="116"/>
      <c r="DK51" s="116"/>
      <c r="DL51" s="116"/>
      <c r="DM51" s="116"/>
      <c r="DN51" s="116"/>
      <c r="DO51" s="116"/>
      <c r="DP51" s="116"/>
      <c r="DQ51" s="116"/>
      <c r="DT51" t="s">
        <v>8559</v>
      </c>
      <c r="DU51" s="821" t="s">
        <v>8558</v>
      </c>
      <c r="DV51" s="1465"/>
      <c r="DW51" s="583"/>
      <c r="DX51" s="837"/>
      <c r="DY51" s="583"/>
      <c r="DZ51" s="583"/>
      <c r="EA51" s="583"/>
      <c r="EB51" s="831" t="e">
        <f>VALUE(CONCATENATE(EB49,",",EB50))</f>
        <v>#VALUE!</v>
      </c>
      <c r="EC51" s="832" t="str">
        <f>IF(EC45="Штраф 50%","",IF(OR(DY48=" в размере",DY45=" в размере"),EB51,""))</f>
        <v/>
      </c>
      <c r="NK51" s="1465"/>
      <c r="NL51" s="583"/>
      <c r="NM51" s="837"/>
      <c r="NN51" s="583"/>
      <c r="NO51" s="583"/>
      <c r="NP51" s="583"/>
      <c r="NQ51" s="831" t="e">
        <f>VALUE(CONCATENATE(NQ49,",",NQ50))</f>
        <v>#VALUE!</v>
      </c>
      <c r="NR51" s="832" t="str">
        <f>IF(NR45="Штраф 50%","",IF(OR(NN48=" в размере",NN45=" в размере"),NQ51,""))</f>
        <v/>
      </c>
      <c r="OC51" s="1472">
        <v>5</v>
      </c>
      <c r="OD51" s="946" t="str">
        <f t="shared" si="131"/>
        <v xml:space="preserve">осмотр </v>
      </c>
      <c r="OE51" s="947" t="e">
        <f t="shared" ref="OE51:OE62" si="157">SEARCH(OD51,$E$4,OJ$39)</f>
        <v>#VALUE!</v>
      </c>
      <c r="OF51" s="947">
        <f>MIN(IFERROR(OE51,99999),IFERROR(OE52,99999),IFERROR(OE53,99999),IFERROR(OE54,99999),IFERROR(OE55,99999),IFERROR(OE56,99999),IFERROR(OE57,99999),IFERROR(OE58,99999),IFERROR(OE59,99999),IFERROR(OE60,99999),IFERROR(OE61,99999),IFERROR(OE62,99999))</f>
        <v>99999</v>
      </c>
      <c r="OG51" s="870" t="str">
        <f>CHAR(10)</f>
        <v xml:space="preserve">
</v>
      </c>
      <c r="OH51" s="334">
        <f>LEN(MID($E$4,1,OF51))-LEN(IF(ISERROR(FIND(" ",MID($E$4,1,OF51))),MID($E$4,1,OF51),RIGHT(MID($E$4,1,OF51),LEN(MID($E$4,1,OF51))-FIND("~",SUBSTITUTE(MID($E$4,1,OF51),OG51,"~",LEN(MID($E$4,1,OF51))-LEN(SUBSTITUTE(MID($E$4,1,OF51),OG51,"")))))))+1</f>
        <v>5367</v>
      </c>
      <c r="OI51" s="870" t="str">
        <f>CHAR(10)</f>
        <v xml:space="preserve">
</v>
      </c>
      <c r="OJ51" s="947" t="e">
        <f>SEARCH(OI51,$E$4,OH51)</f>
        <v>#VALUE!</v>
      </c>
      <c r="OK51" s="854" t="e">
        <f>OJ51-OH51</f>
        <v>#VALUE!</v>
      </c>
      <c r="OL51" s="1497" t="e">
        <f>CLEAN(MID($E$4,OH51,OK51))</f>
        <v>#VALUE!</v>
      </c>
      <c r="OY51" s="116"/>
      <c r="OZ51" s="959"/>
      <c r="PA51" s="1210"/>
      <c r="PB51" s="959"/>
      <c r="PC51" s="116"/>
      <c r="PD51" s="1000"/>
      <c r="PF51" s="1209"/>
      <c r="PG51" s="1208"/>
      <c r="PH51" s="1209"/>
      <c r="PJ51" s="1073"/>
      <c r="PK51" s="99"/>
      <c r="PL51" s="920"/>
      <c r="PM51" s="995"/>
      <c r="PN51" s="920"/>
      <c r="PO51" s="99"/>
      <c r="PP51" s="871"/>
      <c r="PQ51" t="str">
        <f t="shared" si="133"/>
        <v xml:space="preserve">без учета износа составила </v>
      </c>
      <c r="PR51" s="937" t="e">
        <f t="shared" ref="PR51:PR62" si="158">SEARCH(PQ51,$OX$7)</f>
        <v>#VALUE!</v>
      </c>
      <c r="PS51" s="859" t="str">
        <f>IF(ISERROR(PR51),
IF(ISERROR(PR52),
IF(ISERROR(PR53),
IF(ISERROR(PR54),
"ОШИБКА",
PQ54),
PQ53),
PQ52),
PQ51)</f>
        <v>ОШИБКА</v>
      </c>
      <c r="PT51" s="937" t="e">
        <f>SEARCH(PS51,$OX$7)+LEN(PS51)</f>
        <v>#VALUE!</v>
      </c>
      <c r="PU51" s="935" t="s">
        <v>8431</v>
      </c>
      <c r="PV51" s="937" t="e">
        <f>SEARCH(PU51,$OX$7,PT51)</f>
        <v>#VALUE!</v>
      </c>
      <c r="PW51" s="264" t="e">
        <f>PV51-PT51</f>
        <v>#VALUE!</v>
      </c>
      <c r="PX51" t="e">
        <f>MID($OX$7,PT51,PW51)</f>
        <v>#VALUE!</v>
      </c>
      <c r="PY51" s="1470" t="e">
        <f>VALUE(CONCATENATE(PX51,",",PX52))</f>
        <v>#VALUE!</v>
      </c>
      <c r="PZ51" t="str">
        <f t="shared" si="135"/>
        <v xml:space="preserve">с учетом износа составила </v>
      </c>
      <c r="QA51" s="937" t="e">
        <f t="shared" ref="QA51:QA62" si="159">SEARCH(PZ51,$OX$7)</f>
        <v>#VALUE!</v>
      </c>
      <c r="QB51" s="859" t="str">
        <f>IF(ISERROR(QA51),
IF(ISERROR(QA52),
IF(ISERROR(QA53),
IF(ISERROR(QA54),
"ОШИБКА",
PZ54),
PZ53),
PZ52),
PZ51)</f>
        <v>ОШИБКА</v>
      </c>
      <c r="QC51" s="937" t="e">
        <f>SEARCH(QB51,$OX$7)+LEN(QB51)</f>
        <v>#VALUE!</v>
      </c>
      <c r="QD51" s="935" t="s">
        <v>8431</v>
      </c>
      <c r="QE51" s="937" t="e">
        <f>SEARCH(QD51,$OX$7,QC51)</f>
        <v>#VALUE!</v>
      </c>
      <c r="QF51" s="264" t="e">
        <f>QE51-QC51</f>
        <v>#VALUE!</v>
      </c>
      <c r="QG51" t="e">
        <f>MID($OX$7,QC51,QF51)</f>
        <v>#VALUE!</v>
      </c>
      <c r="QH51" s="1470" t="e">
        <f>VALUE(CONCATENATE(QG51,",",QG52))</f>
        <v>#VALUE!</v>
      </c>
      <c r="QI51" t="str">
        <f t="shared" si="137"/>
        <v xml:space="preserve">средняя рыночная стоимость Транспортного средства до повреждения по состоянию на дату ДТП составляла </v>
      </c>
      <c r="QJ51" s="937" t="e">
        <f t="shared" ref="QJ51:QJ62" si="160">SEARCH(QI51,$OX$7)</f>
        <v>#VALUE!</v>
      </c>
      <c r="QK51" s="859" t="str">
        <f>IF(ISERROR(QJ51),
IF(ISERROR(QJ52),
IF(ISERROR(QJ53),
IF(ISERROR(QJ54),
"ОШИБКА",
QI54),
QI53),
QI52),
QI51)</f>
        <v>ОШИБКА</v>
      </c>
      <c r="QL51" s="937" t="e">
        <f>SEARCH(QK51,$OX$7)+LEN(QK51)</f>
        <v>#VALUE!</v>
      </c>
      <c r="QM51" s="935" t="s">
        <v>8431</v>
      </c>
      <c r="QN51" s="937" t="e">
        <f>SEARCH(QM51,$OX$7,QL51)</f>
        <v>#VALUE!</v>
      </c>
      <c r="QO51" s="264" t="e">
        <f>QN51-QL51</f>
        <v>#VALUE!</v>
      </c>
      <c r="QP51" t="e">
        <f>MID($OX$7,QL51,QO51)</f>
        <v>#VALUE!</v>
      </c>
      <c r="QQ51" s="1470" t="e">
        <f>VALUE(CONCATENATE(QP51,",",QP52))</f>
        <v>#VALUE!</v>
      </c>
      <c r="QR51" t="str">
        <f t="shared" si="139"/>
        <v xml:space="preserve">стоимость годных остатков поврежденного Транспортного средства составила </v>
      </c>
      <c r="QS51" s="937" t="e">
        <f t="shared" ref="QS51:QS62" si="161">SEARCH(QR51,$OX$7)</f>
        <v>#VALUE!</v>
      </c>
      <c r="QT51" s="859" t="str">
        <f>IF(ISERROR(QS51),
IF(ISERROR(QS52),
IF(ISERROR(QS53),
IF(ISERROR(QS54),
"ОШИБКА",
QR54),
QR53),
QR52),
QR51)</f>
        <v>ОШИБКА</v>
      </c>
      <c r="QU51" s="937" t="e">
        <f>SEARCH(QT51,$OX$7)+LEN(QT51)</f>
        <v>#VALUE!</v>
      </c>
      <c r="QV51" s="935" t="s">
        <v>8431</v>
      </c>
      <c r="QW51" s="937" t="e">
        <f>SEARCH(QV51,$OX$7,QU51)</f>
        <v>#VALUE!</v>
      </c>
      <c r="QX51" s="264" t="e">
        <f>QW51-QU51</f>
        <v>#VALUE!</v>
      </c>
      <c r="QY51" t="e">
        <f>MID($OX$7,QU51,QX51)</f>
        <v>#VALUE!</v>
      </c>
      <c r="QZ51" s="1470" t="e">
        <f>VALUE(CONCATENATE(QY51,",",QY52))</f>
        <v>#VALUE!</v>
      </c>
      <c r="SY51" s="1465"/>
      <c r="SZ51" s="583"/>
      <c r="TA51" s="837"/>
      <c r="TB51" s="583"/>
      <c r="TC51" s="583"/>
      <c r="TD51" s="583"/>
      <c r="TE51" s="831" t="e">
        <f>VALUE(CONCATENATE(TE49,",",TE50))</f>
        <v>#VALUE!</v>
      </c>
      <c r="TF51" s="832" t="str">
        <f>IF(OR(TF45="Штраф 50%",TF45=""),"",TE51)</f>
        <v/>
      </c>
      <c r="TK51" s="1476"/>
      <c r="TL51" s="592"/>
      <c r="TM51" s="836" t="e">
        <f>SEARCH(" ",TJ$4,TO50+1)+1</f>
        <v>#VALUE!</v>
      </c>
      <c r="TN51" s="306" t="s">
        <v>8432</v>
      </c>
      <c r="TO51" s="306" t="e">
        <f>SEARCH(TN51,TJ$4,TM51)</f>
        <v>#VALUE!</v>
      </c>
      <c r="TP51" s="306" t="e">
        <f>TO51-TM51</f>
        <v>#VALUE!</v>
      </c>
      <c r="TQ51" s="826" t="e">
        <f>IF(TR49="Штраф 50%","",MID(TJ$4,TM51,TP51))</f>
        <v>#VALUE!</v>
      </c>
      <c r="TR51" s="828" t="str">
        <f>IF(TN49=" за период",TQ51,"")</f>
        <v/>
      </c>
      <c r="TW51" s="1465"/>
      <c r="TX51" s="583"/>
      <c r="TY51" s="837"/>
      <c r="TZ51" s="583"/>
      <c r="UA51" s="583"/>
      <c r="UB51" s="583"/>
      <c r="UC51" s="831" t="e">
        <f>VALUE(CONCATENATE(UC49,",",UC50))</f>
        <v>#VALUE!</v>
      </c>
      <c r="UD51" s="832" t="str">
        <f>IF(OR(UD45="Штраф 50%",UD45=""),"",UC51)</f>
        <v/>
      </c>
      <c r="UI51" s="1476"/>
      <c r="UJ51" s="592"/>
      <c r="UK51" s="836" t="e">
        <f>SEARCH(" ",UH$4,UM50+1)+1</f>
        <v>#VALUE!</v>
      </c>
      <c r="UL51" s="306" t="s">
        <v>8432</v>
      </c>
      <c r="UM51" s="306" t="e">
        <f>SEARCH(UL51,UH$4,UK51)</f>
        <v>#VALUE!</v>
      </c>
      <c r="UN51" s="306" t="e">
        <f>UM51-UK51</f>
        <v>#VALUE!</v>
      </c>
      <c r="UO51" s="826" t="e">
        <f>IF(UP49="Штраф 50%","",MID(UH$4,UK51,UN51))</f>
        <v>#VALUE!</v>
      </c>
      <c r="UP51" s="828" t="str">
        <f>IF(UL49=" за период",UO51,"")</f>
        <v/>
      </c>
      <c r="UU51" s="1465"/>
      <c r="UV51" s="583"/>
      <c r="UW51" s="837"/>
      <c r="UX51" s="583"/>
      <c r="UY51" s="583"/>
      <c r="UZ51" s="583"/>
      <c r="VA51" s="831" t="e">
        <f>VALUE(CONCATENATE(VA49,",",VA50))</f>
        <v>#VALUE!</v>
      </c>
      <c r="VB51" s="832" t="str">
        <f>IF(OR(VB45="Штраф 50%",VB45=""),"",VA51)</f>
        <v/>
      </c>
      <c r="VG51" s="1476"/>
      <c r="VH51" s="592"/>
      <c r="VI51" s="836" t="e">
        <f>SEARCH(" ",VF$4,VK50+1)+1</f>
        <v>#VALUE!</v>
      </c>
      <c r="VJ51" s="306" t="s">
        <v>8432</v>
      </c>
      <c r="VK51" s="306" t="e">
        <f>SEARCH(VJ51,VF$4,VI51)</f>
        <v>#VALUE!</v>
      </c>
      <c r="VL51" s="306" t="e">
        <f>VK51-VI51</f>
        <v>#VALUE!</v>
      </c>
      <c r="VM51" s="826" t="e">
        <f>IF(VN49="Штраф 50%","",MID(VF$4,VI51,VL51))</f>
        <v>#VALUE!</v>
      </c>
      <c r="VN51" s="828" t="str">
        <f>IF(VJ49=" за период",VM51,"")</f>
        <v/>
      </c>
      <c r="VS51" s="1465"/>
      <c r="VT51" s="583"/>
      <c r="VU51" s="837"/>
      <c r="VV51" s="583"/>
      <c r="VW51" s="583"/>
      <c r="VX51" s="583"/>
      <c r="VY51" s="831" t="e">
        <f>VALUE(CONCATENATE(VY49,",",VY50))</f>
        <v>#VALUE!</v>
      </c>
      <c r="VZ51" s="832" t="str">
        <f>IF(OR(VZ45="Штраф 50%",VZ45=""),"",VY51)</f>
        <v/>
      </c>
      <c r="WE51" s="1476"/>
      <c r="WF51" s="592"/>
      <c r="WG51" s="836" t="e">
        <f>SEARCH(" ",WD$4,WI50+1)+1</f>
        <v>#VALUE!</v>
      </c>
      <c r="WH51" s="306" t="s">
        <v>8432</v>
      </c>
      <c r="WI51" s="306" t="e">
        <f>SEARCH(WH51,WD$4,WG51)</f>
        <v>#VALUE!</v>
      </c>
      <c r="WJ51" s="306" t="e">
        <f>WI51-WG51</f>
        <v>#VALUE!</v>
      </c>
      <c r="WK51" s="826" t="e">
        <f>IF(WL49="Штраф 50%","",MID(WD$4,WG51,WJ51))</f>
        <v>#VALUE!</v>
      </c>
      <c r="WL51" s="828" t="str">
        <f>IF(WH49=" за период",WK51,"")</f>
        <v/>
      </c>
      <c r="WQ51" s="1465"/>
      <c r="WR51" s="583"/>
      <c r="WS51" s="837"/>
      <c r="WT51" s="583"/>
      <c r="WU51" s="583"/>
      <c r="WV51" s="583"/>
      <c r="WW51" s="831" t="e">
        <f>VALUE(CONCATENATE(WW49,",",WW50))</f>
        <v>#VALUE!</v>
      </c>
      <c r="WX51" s="832" t="str">
        <f>IF(OR(WX45="Штраф 50%",WX45=""),"",WW51)</f>
        <v/>
      </c>
      <c r="XC51" s="1476"/>
      <c r="XD51" s="592"/>
      <c r="XE51" s="836" t="e">
        <f>SEARCH(" ",XB$4,XG50+1)+1</f>
        <v>#VALUE!</v>
      </c>
      <c r="XF51" s="306" t="s">
        <v>8432</v>
      </c>
      <c r="XG51" s="306" t="e">
        <f>SEARCH(XF51,XB$4,XE51)</f>
        <v>#VALUE!</v>
      </c>
      <c r="XH51" s="306" t="e">
        <f>XG51-XE51</f>
        <v>#VALUE!</v>
      </c>
      <c r="XI51" s="826" t="e">
        <f>IF(XJ49="Штраф 50%","",MID(XB$4,XE51,XH51))</f>
        <v>#VALUE!</v>
      </c>
      <c r="XJ51" s="828" t="str">
        <f>IF(XF49=" за период",XI51,"")</f>
        <v/>
      </c>
      <c r="YG51" s="1465"/>
      <c r="YH51" s="583"/>
      <c r="YI51" s="837"/>
      <c r="YJ51" s="583"/>
      <c r="YK51" s="583"/>
      <c r="YL51" s="583"/>
      <c r="YM51" s="831" t="e">
        <f>VALUE(CONCATENATE(YM49,",",YM50))</f>
        <v>#VALUE!</v>
      </c>
      <c r="YN51" s="832" t="str">
        <f>IF(YN45="Штраф 50%","",IF(OR(YJ48=" в размере",YJ45=" в размере"),YM51,""))</f>
        <v/>
      </c>
      <c r="YS51" s="1465"/>
      <c r="YT51" s="583"/>
      <c r="YU51" s="837"/>
      <c r="YV51" s="583"/>
      <c r="YW51" s="583"/>
      <c r="YX51" s="583"/>
      <c r="YY51" s="831" t="e">
        <f>VALUE(CONCATENATE(YY49,",",YY50))</f>
        <v>#VALUE!</v>
      </c>
      <c r="YZ51" s="832" t="str">
        <f>IF(YZ45="Штраф 50%","",IF(OR(YV48=" в размере",YV45=" в размере"),YY51,""))</f>
        <v/>
      </c>
      <c r="ZE51" s="1465"/>
      <c r="ZF51" s="583"/>
      <c r="ZG51" s="837"/>
      <c r="ZH51" s="583"/>
      <c r="ZI51" s="583"/>
      <c r="ZJ51" s="583"/>
      <c r="ZK51" s="831" t="e">
        <f>VALUE(CONCATENATE(ZK49,",",ZK50))</f>
        <v>#VALUE!</v>
      </c>
      <c r="ZL51" s="832" t="str">
        <f>IF(ZL45="Штраф 50%","",IF(OR(ZH48=" в размере",ZH45=" в размере"),ZK51,""))</f>
        <v/>
      </c>
      <c r="ZQ51" s="1465"/>
      <c r="ZR51" s="583"/>
      <c r="ZS51" s="837"/>
      <c r="ZT51" s="583"/>
      <c r="ZU51" s="583"/>
      <c r="ZV51" s="583"/>
      <c r="ZW51" s="831" t="e">
        <f>VALUE(CONCATENATE(ZW49,",",ZW50))</f>
        <v>#VALUE!</v>
      </c>
      <c r="ZX51" s="832" t="str">
        <f>IF(ZX45="Штраф 50%","",IF(OR(ZT48=" в размере",ZT45=" в размере"),ZW51,""))</f>
        <v/>
      </c>
      <c r="AAC51" s="1465"/>
      <c r="AAD51" s="583"/>
      <c r="AAE51" s="837"/>
      <c r="AAF51" s="583"/>
      <c r="AAG51" s="583"/>
      <c r="AAH51" s="583"/>
      <c r="AAI51" s="831" t="e">
        <f>VALUE(CONCATENATE(AAI49,",",AAI50))</f>
        <v>#VALUE!</v>
      </c>
      <c r="AAJ51" s="832" t="str">
        <f>IF(AAJ45="Штраф 50%","",IF(OR(AAF48=" в размере",AAF45=" в размере"),AAI51,""))</f>
        <v/>
      </c>
      <c r="AAV51" t="str">
        <f t="shared" si="141"/>
        <v xml:space="preserve">не позднее </v>
      </c>
      <c r="AAW51" s="947" t="e">
        <f>SEARCH(AAV51,#REF!)</f>
        <v>#REF!</v>
      </c>
      <c r="AAX51" s="859" t="str">
        <f>IF(ISERROR(AAW51),
IF(ISERROR(AAW52),
IF(ISERROR(AAW53),
IF(ISERROR(AAW54),
"ОШИБКА",
AAV54),
AAV53),
AAV52),
AAV51)</f>
        <v>ОШИБКА</v>
      </c>
      <c r="AAY51" s="947" t="e">
        <f>SEARCH(AAX51,#REF!)+LEN(AAX51)</f>
        <v>#REF!</v>
      </c>
      <c r="AAZ51">
        <v>10</v>
      </c>
      <c r="ABA51" s="1487" t="e">
        <f>MID(#REF!,AAY51,AAZ51)</f>
        <v>#REF!</v>
      </c>
      <c r="AEJ51" s="959"/>
      <c r="AEK51" s="959"/>
      <c r="AEL51" s="959"/>
      <c r="AFE51" s="1465"/>
      <c r="AFF51" s="583"/>
      <c r="AFG51" s="837"/>
      <c r="AFH51" s="583"/>
      <c r="AFI51" s="583"/>
      <c r="AFJ51" s="583"/>
      <c r="AFK51" s="831" t="e">
        <f>VALUE(CONCATENATE(AFK49,",",AFK50))</f>
        <v>#VALUE!</v>
      </c>
      <c r="AFL51" s="832" t="str">
        <f>IF(AFL45="Штраф 50%","",IF(OR(AFH48=" в размере",AFH45=" в размере"),AFK51,""))</f>
        <v/>
      </c>
      <c r="AFQ51" s="1465"/>
      <c r="AFR51" s="583"/>
      <c r="AFS51" s="837"/>
      <c r="AFT51" s="583"/>
      <c r="AFU51" s="583"/>
      <c r="AFV51" s="583"/>
      <c r="AFW51" s="831" t="e">
        <f>VALUE(CONCATENATE(AFW49,",",AFW50))</f>
        <v>#VALUE!</v>
      </c>
      <c r="AFX51" s="832" t="str">
        <f>IF(AFX45="Штраф 50%","",IF(OR(AFT48=" в размере",AFT45=" в размере"),AFW51,""))</f>
        <v/>
      </c>
      <c r="AGC51" s="1465"/>
      <c r="AGD51" s="583"/>
      <c r="AGE51" s="837"/>
      <c r="AGF51" s="583"/>
      <c r="AGG51" s="583"/>
      <c r="AGH51" s="583"/>
      <c r="AGI51" s="831" t="e">
        <f>VALUE(CONCATENATE(AGI49,",",AGI50))</f>
        <v>#VALUE!</v>
      </c>
      <c r="AGJ51" s="832" t="str">
        <f>IF(AGJ45="Штраф 50%","",IF(OR(AGF48=" в размере",AGF45=" в размере"),AGI51,""))</f>
        <v/>
      </c>
      <c r="AGO51" s="1465"/>
      <c r="AGP51" s="583"/>
      <c r="AGQ51" s="837"/>
      <c r="AGR51" s="583"/>
      <c r="AGS51" s="583"/>
      <c r="AGT51" s="583"/>
      <c r="AGU51" s="831" t="e">
        <f>VALUE(CONCATENATE(AGU49,",",AGU50))</f>
        <v>#VALUE!</v>
      </c>
      <c r="AGV51" s="832" t="str">
        <f>IF(AGV45="Штраф 50%","",IF(OR(AGR48=" в размере",AGR45=" в размере"),AGU51,""))</f>
        <v/>
      </c>
      <c r="AHA51" s="1465"/>
      <c r="AHB51" s="583"/>
      <c r="AHC51" s="837"/>
      <c r="AHD51" s="583"/>
      <c r="AHE51" s="583"/>
      <c r="AHF51" s="583"/>
      <c r="AHG51" s="831" t="e">
        <f>VALUE(CONCATENATE(AHG49,",",AHG50))</f>
        <v>#VALUE!</v>
      </c>
      <c r="AHH51" s="832" t="str">
        <f>IF(AHH45="Штраф 50%","",IF(OR(AHD48=" в размере",AHD45=" в размере"),AHG51,""))</f>
        <v/>
      </c>
    </row>
    <row r="52" spans="1:893" ht="14.4" customHeight="1" thickTop="1" thickBot="1" x14ac:dyDescent="0.35">
      <c r="A52" s="116"/>
      <c r="B52" s="116"/>
      <c r="C52" s="116"/>
      <c r="D52" s="116"/>
      <c r="E52" s="116"/>
      <c r="F52" s="116"/>
      <c r="G52" s="116"/>
      <c r="H52" s="116"/>
      <c r="I52" s="116"/>
      <c r="J52" s="116"/>
      <c r="K52" s="116"/>
      <c r="L52" s="116"/>
      <c r="M52" s="116"/>
      <c r="N52" s="116"/>
      <c r="O52" s="116"/>
      <c r="P52" s="116"/>
      <c r="Q52" s="116"/>
      <c r="R52" s="116"/>
      <c r="S52" s="116"/>
      <c r="T52" s="116"/>
      <c r="U52" s="116"/>
      <c r="V52" s="116"/>
      <c r="W52" s="116"/>
      <c r="X52" s="116"/>
      <c r="Y52" s="116"/>
      <c r="Z52" s="116"/>
      <c r="AA52" s="116"/>
      <c r="AB52" s="116"/>
      <c r="AC52" s="116"/>
      <c r="AD52" s="116"/>
      <c r="AE52" s="116"/>
      <c r="AF52" s="116"/>
      <c r="AG52" s="116"/>
      <c r="AH52" s="116"/>
      <c r="AI52" s="116"/>
      <c r="AJ52" s="116"/>
      <c r="AK52" s="116"/>
      <c r="AL52" s="116"/>
      <c r="AM52" s="116"/>
      <c r="AN52" s="116"/>
      <c r="AO52" s="116"/>
      <c r="AP52" s="116"/>
      <c r="AQ52" s="116"/>
      <c r="AR52" s="116"/>
      <c r="AS52" s="116"/>
      <c r="AT52" s="116"/>
      <c r="AU52" s="116"/>
      <c r="AV52" s="116"/>
      <c r="AW52" s="116"/>
      <c r="AX52" s="116"/>
      <c r="AY52" s="116"/>
      <c r="AZ52" s="116"/>
      <c r="BA52" s="116"/>
      <c r="BB52" s="116"/>
      <c r="BC52" s="116"/>
      <c r="BD52" s="116"/>
      <c r="BE52" s="116"/>
      <c r="BF52" s="116"/>
      <c r="BG52" s="116"/>
      <c r="BH52" s="116"/>
      <c r="BI52" s="116"/>
      <c r="BJ52" s="116"/>
      <c r="BK52" s="116"/>
      <c r="BL52" s="116"/>
      <c r="BM52" s="116"/>
      <c r="BN52" s="116"/>
      <c r="BO52" s="116"/>
      <c r="BP52" s="116"/>
      <c r="BQ52" s="116"/>
      <c r="BR52" s="116"/>
      <c r="BS52" s="116"/>
      <c r="BT52" s="116"/>
      <c r="BU52" s="116"/>
      <c r="BV52" s="116"/>
      <c r="BW52" s="116"/>
      <c r="BX52" s="116"/>
      <c r="BY52" s="116"/>
      <c r="BZ52" s="116"/>
      <c r="CA52" s="116"/>
      <c r="CB52" s="116"/>
      <c r="CC52" s="116"/>
      <c r="CD52" s="116"/>
      <c r="CE52" s="116"/>
      <c r="CF52" s="116"/>
      <c r="CG52" s="116"/>
      <c r="CH52" s="116"/>
      <c r="CI52" s="116"/>
      <c r="CJ52" s="116"/>
      <c r="CK52" s="116"/>
      <c r="CL52" s="116"/>
      <c r="CM52" s="116"/>
      <c r="CN52" s="116"/>
      <c r="CO52" s="116"/>
      <c r="CP52" s="116"/>
      <c r="CQ52" s="116"/>
      <c r="CR52" s="116"/>
      <c r="CS52" s="116"/>
      <c r="CT52" s="116"/>
      <c r="CU52" s="116"/>
      <c r="CV52" s="116"/>
      <c r="CW52" s="116"/>
      <c r="CX52" s="116"/>
      <c r="CY52" s="116"/>
      <c r="CZ52" s="116"/>
      <c r="DA52" s="116"/>
      <c r="DB52" s="116"/>
      <c r="DC52" s="116"/>
      <c r="DD52" s="116"/>
      <c r="DE52" s="116"/>
      <c r="DF52" s="116"/>
      <c r="DG52" s="116"/>
      <c r="DH52" s="116"/>
      <c r="DI52" s="116"/>
      <c r="DJ52" s="116"/>
      <c r="DK52" s="116"/>
      <c r="DL52" s="116"/>
      <c r="DM52" s="116"/>
      <c r="DN52" s="116"/>
      <c r="DO52" s="116"/>
      <c r="DP52" s="116"/>
      <c r="DQ52" s="116"/>
      <c r="DT52" t="s">
        <v>8562</v>
      </c>
      <c r="DU52" s="821" t="s">
        <v>8563</v>
      </c>
      <c r="DV52" s="1463">
        <v>8</v>
      </c>
      <c r="DW52" s="824" t="s">
        <v>8433</v>
      </c>
      <c r="DX52" s="838" t="e">
        <f>SEARCH(DS$4,$C$3,DZ45)+LEN(DS$4)</f>
        <v>#VALUE!</v>
      </c>
      <c r="DY52" s="406" t="str">
        <f>IF(DZ52=IFERROR(SEARCH(".",C$3,DX52),99999),".",
IF(DZ52=IFERROR(SEARCH(",",C$3,DX52),99999),",",
IF(DZ52=IFERROR(SEARCH(" за период",C$3,DX52),999999)," за период",
IF(DZ52=IFERROR(SEARCH(" в размере",C$3,DX52),99999)," в размере",
))))</f>
        <v>.</v>
      </c>
      <c r="DZ52" s="406">
        <f>IFERROR(MIN(IFERROR(SEARCH(".",$C$3,DX52),99999),IFERROR(SEARCH(",",$C$3,DX52),99999),IFERROR(SEARCH(" за период",$C$3,DX52),999999),IFERROR(SEARCH(" в размере",$C$3,DX52),99999)),"ОШИБКА")</f>
        <v>99999</v>
      </c>
      <c r="EA52" s="406" t="e">
        <f>DZ52-DX52</f>
        <v>#VALUE!</v>
      </c>
      <c r="EB52" s="824" t="e">
        <f>MID($C$3,DX52,EA52)</f>
        <v>#VALUE!</v>
      </c>
      <c r="EC52" s="825" t="str">
        <f>IFERROR(INDEX(DU:DU,MATCH(MID($C$3,DX52,EA52),DT:DT,0),1),"")</f>
        <v/>
      </c>
      <c r="ED52" s="754"/>
      <c r="NK52" s="1463">
        <v>8</v>
      </c>
      <c r="NL52" s="824" t="s">
        <v>8433</v>
      </c>
      <c r="NM52" s="838" t="e">
        <f>SEARCH(NH$4,NJ$4,NO45)+LEN(NH$4)</f>
        <v>#VALUE!</v>
      </c>
      <c r="NN52" s="406" t="str">
        <f>IF(NO52=IFERROR(SEARCH(".",NJ$4,NM52),99999),".",
IF(NO52=IFERROR(SEARCH(",",NJ$4,NM52),99999),",",
IF(NO52=IFERROR(SEARCH(" за период",NJ$4,NM52),999999)," за период",
IF(NO52=IFERROR(SEARCH(" в размере",NJ$4,NM52),99999)," в размере",
))))</f>
        <v>.</v>
      </c>
      <c r="NO52" s="406">
        <f>IFERROR(MIN(IFERROR(SEARCH(".",NJ$4,NM52),99999),IFERROR(SEARCH(",",NJ$4,NM52),99999),IFERROR(SEARCH(" за период",NJ$4,NM52),999999),IFERROR(SEARCH(" в размере",NJ$4,NM52),99999)),"ОШИБКА")</f>
        <v>99999</v>
      </c>
      <c r="NP52" s="406" t="e">
        <f>NO52-NM52</f>
        <v>#VALUE!</v>
      </c>
      <c r="NQ52" s="824" t="e">
        <f>MID(NJ$4,NM52,NP52)</f>
        <v>#VALUE!</v>
      </c>
      <c r="NR52" s="825" t="str">
        <f>IFERROR(INDEX($DU:$DU,MATCH(MID(NJ$4,NM52,NP52),$DT:$DT,0),1),"")</f>
        <v/>
      </c>
      <c r="NS52" s="754"/>
      <c r="NT52" s="754"/>
      <c r="OC52" s="1472"/>
      <c r="OD52" s="946" t="str">
        <f t="shared" si="131"/>
        <v>$$$$</v>
      </c>
      <c r="OE52" s="947" t="e">
        <f t="shared" si="157"/>
        <v>#VALUE!</v>
      </c>
      <c r="OF52" s="947"/>
      <c r="OG52" s="920"/>
      <c r="OH52" s="920"/>
      <c r="OI52" s="947"/>
      <c r="OJ52" s="947"/>
      <c r="OK52" s="947"/>
      <c r="OL52" s="1497"/>
      <c r="OY52" s="116"/>
      <c r="OZ52" s="959"/>
      <c r="PA52" s="1210"/>
      <c r="PB52" s="959"/>
      <c r="PC52" s="116"/>
      <c r="PD52" s="1000"/>
      <c r="PF52" s="1209"/>
      <c r="PG52" s="1208"/>
      <c r="PH52" s="1209"/>
      <c r="PJ52" s="1073"/>
      <c r="PK52" s="99"/>
      <c r="PL52" s="920"/>
      <c r="PM52" s="995"/>
      <c r="PN52" s="920"/>
      <c r="PO52" s="99"/>
      <c r="PP52" s="871"/>
      <c r="PQ52" t="str">
        <f t="shared" si="133"/>
        <v xml:space="preserve">без учета износа составляет </v>
      </c>
      <c r="PR52" s="937" t="e">
        <f t="shared" si="158"/>
        <v>#VALUE!</v>
      </c>
      <c r="PT52" s="264" t="e">
        <f>SEARCH(" ",$OX$7,PV51+1)+1</f>
        <v>#VALUE!</v>
      </c>
      <c r="PU52" t="s">
        <v>8432</v>
      </c>
      <c r="PV52" s="937" t="e">
        <f>SEARCH(PU52,$OX$7,PT52)</f>
        <v>#VALUE!</v>
      </c>
      <c r="PW52" s="264" t="e">
        <f>PV52-PT52</f>
        <v>#VALUE!</v>
      </c>
      <c r="PX52" t="e">
        <f>MID($OX$7,PT52,PW52)</f>
        <v>#VALUE!</v>
      </c>
      <c r="PY52" s="1470"/>
      <c r="PZ52" t="str">
        <f t="shared" si="135"/>
        <v xml:space="preserve">с учетом износа – </v>
      </c>
      <c r="QA52" s="937" t="e">
        <f t="shared" si="159"/>
        <v>#VALUE!</v>
      </c>
      <c r="QC52" s="264" t="e">
        <f>SEARCH(" ",$OX$7,QE51+1)+1</f>
        <v>#VALUE!</v>
      </c>
      <c r="QD52" t="s">
        <v>8432</v>
      </c>
      <c r="QE52" s="937" t="e">
        <f>SEARCH(QD52,$OX$7,QC52)</f>
        <v>#VALUE!</v>
      </c>
      <c r="QF52" s="264" t="e">
        <f>QE52-QC52</f>
        <v>#VALUE!</v>
      </c>
      <c r="QG52" t="e">
        <f>MID($OX$7,QC52,QF52)</f>
        <v>#VALUE!</v>
      </c>
      <c r="QH52" s="1470"/>
      <c r="QI52" t="str">
        <f t="shared" si="137"/>
        <v xml:space="preserve">Рыночная стоимость Транспортного средства Заявителя на дату ДТП составляет </v>
      </c>
      <c r="QJ52" s="937" t="e">
        <f t="shared" si="160"/>
        <v>#VALUE!</v>
      </c>
      <c r="QL52" s="264" t="e">
        <f>SEARCH(" ",$OX$7,QN51+1)+1</f>
        <v>#VALUE!</v>
      </c>
      <c r="QM52" t="s">
        <v>8432</v>
      </c>
      <c r="QN52" s="937" t="e">
        <f>SEARCH(QM52,$OX$7,QL52)</f>
        <v>#VALUE!</v>
      </c>
      <c r="QO52" s="264" t="e">
        <f>QN52-QL52</f>
        <v>#VALUE!</v>
      </c>
      <c r="QP52" t="e">
        <f>MID($OX$7,QL52,QO52)</f>
        <v>#VALUE!</v>
      </c>
      <c r="QQ52" s="1470"/>
      <c r="QR52" t="str">
        <f t="shared" si="139"/>
        <v xml:space="preserve">стоимость годных остатков – </v>
      </c>
      <c r="QS52" s="937" t="e">
        <f t="shared" si="161"/>
        <v>#VALUE!</v>
      </c>
      <c r="QU52" s="264" t="e">
        <f>SEARCH(" ",$OX$7,QW51+1)+1</f>
        <v>#VALUE!</v>
      </c>
      <c r="QV52" t="s">
        <v>8432</v>
      </c>
      <c r="QW52" s="937" t="e">
        <f>SEARCH(QV52,$OX$7,QU52)</f>
        <v>#VALUE!</v>
      </c>
      <c r="QX52" s="264" t="e">
        <f>QW52-QU52</f>
        <v>#VALUE!</v>
      </c>
      <c r="QY52" t="e">
        <f>MID($OX$7,QU52,QX52)</f>
        <v>#VALUE!</v>
      </c>
      <c r="QZ52" s="1470"/>
      <c r="SQ52" s="116"/>
      <c r="SY52" s="1463">
        <v>8</v>
      </c>
      <c r="SZ52" s="824" t="s">
        <v>8433</v>
      </c>
      <c r="TA52" s="838" t="e">
        <f>SEARCH(SV$4,$SQ$3,TC45)+LEN(SV$4)</f>
        <v>#VALUE!</v>
      </c>
      <c r="TB52" s="406" t="str">
        <f>IF(TC52=IFERROR(SEARCH(".",$SQ$3,TA52),99999),".",
IF(TC52=IFERROR(SEARCH(",",$SQ$3,TA52),99999),",",
IF(TC52=IFERROR(SEARCH(" за период",$SQ$3,TA52),999999)," за период",
IF(TC52=IFERROR(SEARCH(" в размере",$SQ$3,TA52),99999)," в размере",
))))</f>
        <v>.</v>
      </c>
      <c r="TC52" s="406">
        <f>IFERROR(MIN(IFERROR(SEARCH(".",$SQ$3,TA52),99999),IFERROR(SEARCH(",",$SQ$3,TA52),99999),IFERROR(SEARCH(" за период",$SQ$3,TA52),999999),IFERROR(SEARCH(" в размере",$SQ$3,TA52),99999)),"ОШИБКА")</f>
        <v>99999</v>
      </c>
      <c r="TD52" s="406" t="e">
        <f>TC52-TA52</f>
        <v>#VALUE!</v>
      </c>
      <c r="TE52" s="824" t="e">
        <f>MID($SQ$3,TA52,TD52)</f>
        <v>#VALUE!</v>
      </c>
      <c r="TF52" s="825" t="str">
        <f>IFERROR(INDEX($DU:$DU,MATCH(MID($SQ$3,TA52,TD52),$DT:$DT,0),1),"")</f>
        <v/>
      </c>
      <c r="TG52" s="754"/>
      <c r="TK52" s="1477"/>
      <c r="TL52" s="1032"/>
      <c r="TM52" s="1033"/>
      <c r="TN52" s="403"/>
      <c r="TO52" s="403"/>
      <c r="TP52" s="403"/>
      <c r="TQ52" s="1034" t="e">
        <f>VALUE(CONCATENATE(TQ50,",",TQ51))</f>
        <v>#VALUE!</v>
      </c>
      <c r="TR52" s="832" t="str">
        <f>IFERROR(IF(TR49="Штраф 50%","",TQ52),"")</f>
        <v/>
      </c>
      <c r="TS52" s="754"/>
      <c r="TW52" s="1463">
        <v>8</v>
      </c>
      <c r="TX52" s="824" t="s">
        <v>8433</v>
      </c>
      <c r="TY52" s="838" t="e">
        <f>SEARCH(TT$4,$SQ$4,UA45)+LEN(TT$4)</f>
        <v>#VALUE!</v>
      </c>
      <c r="TZ52" s="406" t="str">
        <f>IF(UA52=IFERROR(SEARCH(".",$SQ$4,TY52),99999),".",
IF(UA52=IFERROR(SEARCH(",",$SQ$4,TY52),99999),",",
IF(UA52=IFERROR(SEARCH(" за период",$SQ$4,TY52),999999)," за период",
IF(UA52=IFERROR(SEARCH(" в размере",$SQ$4,TY52),99999)," в размере",
))))</f>
        <v>.</v>
      </c>
      <c r="UA52" s="406">
        <f>IFERROR(MIN(IFERROR(SEARCH(".",$SQ$4,TY52),99999),IFERROR(SEARCH(",",$SQ$4,TY52),99999),IFERROR(SEARCH(" за период",$SQ$4,TY52),999999),IFERROR(SEARCH(" в размере",$SQ$4,TY52),99999)),"ОШИБКА")</f>
        <v>99999</v>
      </c>
      <c r="UB52" s="406" t="e">
        <f>UA52-TY52</f>
        <v>#VALUE!</v>
      </c>
      <c r="UC52" s="824" t="e">
        <f>MID($SQ$4,TY52,UB52)</f>
        <v>#VALUE!</v>
      </c>
      <c r="UD52" s="825" t="str">
        <f>IFERROR(INDEX($DU:$DU,MATCH(MID($SQ$4,TY52,UB52),$DT:$DT,0),1),"")</f>
        <v/>
      </c>
      <c r="UE52" s="754"/>
      <c r="UI52" s="1477"/>
      <c r="UJ52" s="1032"/>
      <c r="UK52" s="1033"/>
      <c r="UL52" s="403"/>
      <c r="UM52" s="403"/>
      <c r="UN52" s="403"/>
      <c r="UO52" s="1034" t="e">
        <f>VALUE(CONCATENATE(UO50,",",UO51))</f>
        <v>#VALUE!</v>
      </c>
      <c r="UP52" s="832" t="str">
        <f>IFERROR(IF(UP49="Штраф 50%","",UO52),"")</f>
        <v/>
      </c>
      <c r="UQ52" s="754"/>
      <c r="UU52" s="1463">
        <v>8</v>
      </c>
      <c r="UV52" s="824" t="s">
        <v>8433</v>
      </c>
      <c r="UW52" s="838" t="e">
        <f>SEARCH(UR$4,$SQ$5,UY45)+LEN(UR$4)</f>
        <v>#VALUE!</v>
      </c>
      <c r="UX52" s="406" t="str">
        <f>IF(UY52=IFERROR(SEARCH(".",$SQ$5,UW52),99999),".",
IF(UY52=IFERROR(SEARCH(",",$SQ$5,UW52),99999),",",
IF(UY52=IFERROR(SEARCH(" за период",$SQ$5,UW52),999999)," за период",
IF(UY52=IFERROR(SEARCH(" в размере",$SQ$5,UW52),99999)," в размере",
))))</f>
        <v>.</v>
      </c>
      <c r="UY52" s="406">
        <f>IFERROR(MIN(IFERROR(SEARCH(".",$SQ$5,UW52),99999),IFERROR(SEARCH(",",$SQ$5,UW52),99999),IFERROR(SEARCH(" за период",$SQ$5,UW52),999999),IFERROR(SEARCH(" в размере",$SQ$5,UW52),99999)),"ОШИБКА")</f>
        <v>99999</v>
      </c>
      <c r="UZ52" s="406" t="e">
        <f>UY52-UW52</f>
        <v>#VALUE!</v>
      </c>
      <c r="VA52" s="824" t="e">
        <f>MID($SQ$5,UW52,UZ52)</f>
        <v>#VALUE!</v>
      </c>
      <c r="VB52" s="825" t="str">
        <f>IFERROR(INDEX($DU:$DU,MATCH(MID($SQ$5,UW52,UZ52),$DT:$DT,0),1),"")</f>
        <v/>
      </c>
      <c r="VC52" s="754"/>
      <c r="VG52" s="1477"/>
      <c r="VH52" s="1032"/>
      <c r="VI52" s="1033"/>
      <c r="VJ52" s="403"/>
      <c r="VK52" s="403"/>
      <c r="VL52" s="403"/>
      <c r="VM52" s="1034" t="e">
        <f>VALUE(CONCATENATE(VM50,",",VM51))</f>
        <v>#VALUE!</v>
      </c>
      <c r="VN52" s="832" t="str">
        <f>IFERROR(IF(VN49="Штраф 50%","",VM52),"")</f>
        <v/>
      </c>
      <c r="VO52" s="754"/>
      <c r="VS52" s="1463">
        <v>8</v>
      </c>
      <c r="VT52" s="824" t="s">
        <v>8433</v>
      </c>
      <c r="VU52" s="838" t="e">
        <f>SEARCH(VP$4,$SQ$6,VW45)+LEN(VP$4)</f>
        <v>#VALUE!</v>
      </c>
      <c r="VV52" s="406" t="str">
        <f>IF(VW52=IFERROR(SEARCH(".",$SQ$6,VU52),99999),".",
IF(VW52=IFERROR(SEARCH(",",$SQ$6,VU52),99999),",",
IF(VW52=IFERROR(SEARCH(" за период",$SQ$6,VU52),999999)," за период",
IF(VW52=IFERROR(SEARCH(" в размере",$SQ$6,VU52),99999)," в размере",
))))</f>
        <v>.</v>
      </c>
      <c r="VW52" s="406">
        <f>IFERROR(MIN(IFERROR(SEARCH(".",$SQ$6,VU52),99999),IFERROR(SEARCH(",",$SQ$6,VU52),99999),IFERROR(SEARCH(" за период",$SQ$6,VU52),999999),IFERROR(SEARCH(" в размере",$SQ$6,VU52),99999)),"ОШИБКА")</f>
        <v>99999</v>
      </c>
      <c r="VX52" s="406" t="e">
        <f>VW52-VU52</f>
        <v>#VALUE!</v>
      </c>
      <c r="VY52" s="824" t="e">
        <f>MID($SQ$6,VU52,VX52)</f>
        <v>#VALUE!</v>
      </c>
      <c r="VZ52" s="825" t="str">
        <f>IFERROR(INDEX($DU:$DU,MATCH(MID($SQ$6,VU52,VX52),$DT:$DT,0),1),"")</f>
        <v/>
      </c>
      <c r="WA52" s="754"/>
      <c r="WE52" s="1477"/>
      <c r="WF52" s="1032"/>
      <c r="WG52" s="1033"/>
      <c r="WH52" s="403"/>
      <c r="WI52" s="403"/>
      <c r="WJ52" s="403"/>
      <c r="WK52" s="1034" t="e">
        <f>VALUE(CONCATENATE(WK50,",",WK51))</f>
        <v>#VALUE!</v>
      </c>
      <c r="WL52" s="832" t="str">
        <f>IFERROR(IF(WL49="Штраф 50%","",WK52),"")</f>
        <v/>
      </c>
      <c r="WM52" s="754"/>
      <c r="WQ52" s="1463">
        <v>8</v>
      </c>
      <c r="WR52" s="824" t="s">
        <v>8433</v>
      </c>
      <c r="WS52" s="838" t="e">
        <f>SEARCH(WN$4,$SQ$7,WU45)+LEN(WN$4)</f>
        <v>#VALUE!</v>
      </c>
      <c r="WT52" s="406" t="str">
        <f>IF(WU52=IFERROR(SEARCH(".",$SQ$7,WS52),99999),".",
IF(WU52=IFERROR(SEARCH(",",$SQ$7,WS52),99999),",",
IF(WU52=IFERROR(SEARCH(" за период",$SQ$7,WS52),999999)," за период",
IF(WU52=IFERROR(SEARCH(" в размере",$SQ$7,WS52),99999)," в размере",
))))</f>
        <v>.</v>
      </c>
      <c r="WU52" s="406">
        <f>IFERROR(MIN(IFERROR(SEARCH(".",$SQ$7,WS52),99999),IFERROR(SEARCH(",",$SQ$7,WS52),99999),IFERROR(SEARCH(" за период",$SQ$7,WS52),999999),IFERROR(SEARCH(" в размере",$SQ$7,WS52),99999)),"ОШИБКА")</f>
        <v>99999</v>
      </c>
      <c r="WV52" s="406" t="e">
        <f>WU52-WS52</f>
        <v>#VALUE!</v>
      </c>
      <c r="WW52" s="824" t="e">
        <f>MID($SQ$7,WS52,WV52)</f>
        <v>#VALUE!</v>
      </c>
      <c r="WX52" s="825" t="str">
        <f>IFERROR(INDEX($DU:$DU,MATCH(MID($SQ$7,WS52,WV52),$DT:$DT,0),1),"")</f>
        <v/>
      </c>
      <c r="WY52" s="754"/>
      <c r="XC52" s="1477"/>
      <c r="XD52" s="1032"/>
      <c r="XE52" s="1033"/>
      <c r="XF52" s="403"/>
      <c r="XG52" s="403"/>
      <c r="XH52" s="403"/>
      <c r="XI52" s="1034" t="e">
        <f>VALUE(CONCATENATE(XI50,",",XI51))</f>
        <v>#VALUE!</v>
      </c>
      <c r="XJ52" s="832" t="str">
        <f>IFERROR(IF(XJ49="Штраф 50%","",XI52),"")</f>
        <v/>
      </c>
      <c r="XK52" s="754"/>
      <c r="YG52" s="1463">
        <v>8</v>
      </c>
      <c r="YH52" s="824" t="s">
        <v>8433</v>
      </c>
      <c r="YI52" s="838" t="e">
        <f>SEARCH(YD$4,$XU$3,YK45)+LEN(YD$4)</f>
        <v>#VALUE!</v>
      </c>
      <c r="YJ52" s="406" t="str">
        <f>IF(YK52=IFERROR(SEARCH(".",$XU$3,YI52),99999),".",
IF(YK52=IFERROR(SEARCH(",",$XU$3,YI52),99999),",",
IF(YK52=IFERROR(SEARCH(" за период",$XU$3,YI52),999999)," за период",
IF(YK52=IFERROR(SEARCH(" в размере",$XU$3,YI52),99999)," в размере",
))))</f>
        <v>.</v>
      </c>
      <c r="YK52" s="406">
        <f>IFERROR(MIN(IFERROR(SEARCH(".",$XU$3,YI52),99999),IFERROR(SEARCH(",",$XU$3,YI52),99999),IFERROR(SEARCH(" за период",$XU$3,YI52),999999),IFERROR(SEARCH(" в размере",$XU$3,YI52),99999)),"ОШИБКА")</f>
        <v>99999</v>
      </c>
      <c r="YL52" s="406" t="e">
        <f>YK52-YI52</f>
        <v>#VALUE!</v>
      </c>
      <c r="YM52" s="824" t="e">
        <f>MID($XU$3,YI52,YL52)</f>
        <v>#VALUE!</v>
      </c>
      <c r="YN52" s="825" t="str">
        <f>IFERROR(INDEX($DU:$DU,MATCH(MID($XU$3,YI52,YL52),$DT:$DT,0),1),"")</f>
        <v/>
      </c>
      <c r="YO52" s="754"/>
      <c r="YS52" s="1463">
        <v>8</v>
      </c>
      <c r="YT52" s="824" t="s">
        <v>8433</v>
      </c>
      <c r="YU52" s="838" t="e">
        <f>SEARCH(YP$4,$XU$4,YW45)+LEN(YP$4)</f>
        <v>#VALUE!</v>
      </c>
      <c r="YV52" s="406" t="str">
        <f>IF(YW52=IFERROR(SEARCH(".",$XU$4,YU52),99999),".",
IF(YW52=IFERROR(SEARCH(",",$XU$4,YU52),99999),",",
IF(YW52=IFERROR(SEARCH(" за период",$XU$4,YU52),999999)," за период",
IF(YW52=IFERROR(SEARCH(" в размере",$XU$4,YU52),99999)," в размере",
))))</f>
        <v>.</v>
      </c>
      <c r="YW52" s="406">
        <f>IFERROR(MIN(IFERROR(SEARCH(".",$XU$4,YU52),99999),IFERROR(SEARCH(",",$XU$4,YU52),99999),IFERROR(SEARCH(" за период",$XU$4,YU52),999999),IFERROR(SEARCH(" в размере",$XU$4,YU52),99999)),"ОШИБКА")</f>
        <v>99999</v>
      </c>
      <c r="YX52" s="406" t="e">
        <f>YW52-YU52</f>
        <v>#VALUE!</v>
      </c>
      <c r="YY52" s="824" t="e">
        <f>MID($XU$4,YU52,YX52)</f>
        <v>#VALUE!</v>
      </c>
      <c r="YZ52" s="825" t="str">
        <f>IFERROR(INDEX($DU:$DU,MATCH(MID($XU$4,YU52,YX52),$DT:$DT,0),1),"")</f>
        <v/>
      </c>
      <c r="ZA52" s="754"/>
      <c r="ZE52" s="1463">
        <v>8</v>
      </c>
      <c r="ZF52" s="824" t="s">
        <v>8433</v>
      </c>
      <c r="ZG52" s="838" t="e">
        <f>SEARCH(ZB$4,$XU$5,ZI45)+LEN(ZB$4)</f>
        <v>#VALUE!</v>
      </c>
      <c r="ZH52" s="406" t="str">
        <f>IF(ZI52=IFERROR(SEARCH(".",$XU$5,ZG52),99999),".",
IF(ZI52=IFERROR(SEARCH(",",$XU$5,ZG52),99999),",",
IF(ZI52=IFERROR(SEARCH(" за период",$XU$5,ZG52),999999)," за период",
IF(ZI52=IFERROR(SEARCH(" в размере",$XU$5,ZG52),99999)," в размере",
))))</f>
        <v>.</v>
      </c>
      <c r="ZI52" s="406">
        <f>IFERROR(MIN(IFERROR(SEARCH(".",$XU$5,ZG52),99999),IFERROR(SEARCH(",",$XU$5,ZG52),99999),IFERROR(SEARCH(" за период",$XU$5,ZG52),999999),IFERROR(SEARCH(" в размере",$XU$5,ZG52),99999)),"ОШИБКА")</f>
        <v>99999</v>
      </c>
      <c r="ZJ52" s="406" t="e">
        <f>ZI52-ZG52</f>
        <v>#VALUE!</v>
      </c>
      <c r="ZK52" s="824" t="e">
        <f>MID($XU$5,ZG52,ZJ52)</f>
        <v>#VALUE!</v>
      </c>
      <c r="ZL52" s="825" t="str">
        <f>IFERROR(INDEX($DU:$DU,MATCH(MID($XU$5,ZG52,ZJ52),$DT:$DT,0),1),"")</f>
        <v/>
      </c>
      <c r="ZM52" s="754"/>
      <c r="ZQ52" s="1463">
        <v>8</v>
      </c>
      <c r="ZR52" s="824" t="s">
        <v>8433</v>
      </c>
      <c r="ZS52" s="838" t="e">
        <f>SEARCH(ZN$4,$XU$6,ZU45)+LEN(ZN$4)</f>
        <v>#VALUE!</v>
      </c>
      <c r="ZT52" s="406" t="str">
        <f>IF(ZU52=IFERROR(SEARCH(".",$XU$6,ZS52),99999),".",
IF(ZU52=IFERROR(SEARCH(",",$XU$6,ZS52),99999),",",
IF(ZU52=IFERROR(SEARCH(" за период",$XU$6,ZS52),999999)," за период",
IF(ZU52=IFERROR(SEARCH(" в размере",$XU$6,ZS52),99999)," в размере",
))))</f>
        <v>.</v>
      </c>
      <c r="ZU52" s="406">
        <f>IFERROR(MIN(IFERROR(SEARCH(".",$XU$6,ZS52),99999),IFERROR(SEARCH(",",$XU$6,ZS52),99999),IFERROR(SEARCH(" за период",$XU$6,ZS52),999999),IFERROR(SEARCH(" в размере",$XU$6,ZS52),99999)),"ОШИБКА")</f>
        <v>99999</v>
      </c>
      <c r="ZV52" s="406" t="e">
        <f>ZU52-ZS52</f>
        <v>#VALUE!</v>
      </c>
      <c r="ZW52" s="824" t="e">
        <f>MID($XU$6,ZS52,ZV52)</f>
        <v>#VALUE!</v>
      </c>
      <c r="ZX52" s="825" t="str">
        <f>IFERROR(INDEX($DU:$DU,MATCH(MID($XU$6,ZS52,ZV52),$DT:$DT,0),1),"")</f>
        <v/>
      </c>
      <c r="ZY52" s="754"/>
      <c r="AAC52" s="1463">
        <v>8</v>
      </c>
      <c r="AAD52" s="824" t="s">
        <v>8433</v>
      </c>
      <c r="AAE52" s="838" t="e">
        <f>SEARCH(ZZ$4,$XU$7,AAG45)+LEN(ZZ$4)</f>
        <v>#VALUE!</v>
      </c>
      <c r="AAF52" s="406" t="str">
        <f>IF(AAG52=IFERROR(SEARCH(".",$XU$7,AAE52),99999),".",
IF(AAG52=IFERROR(SEARCH(",",$XU$7,AAE52),99999),",",
IF(AAG52=IFERROR(SEARCH(" за период",$XU$7,AAE52),999999)," за период",
IF(AAG52=IFERROR(SEARCH(" в размере",$XU$7,AAE52),99999)," в размере",
))))</f>
        <v>.</v>
      </c>
      <c r="AAG52" s="406">
        <f>IFERROR(MIN(IFERROR(SEARCH(".",$XU$7,AAE52),99999),IFERROR(SEARCH(",",$XU$7,AAE52),99999),IFERROR(SEARCH(" за период",$XU$7,AAE52),999999),IFERROR(SEARCH(" в размере",$XU$7,AAE52),99999)),"ОШИБКА")</f>
        <v>99999</v>
      </c>
      <c r="AAH52" s="406" t="e">
        <f>AAG52-AAE52</f>
        <v>#VALUE!</v>
      </c>
      <c r="AAI52" s="824" t="e">
        <f>MID($XU$7,AAE52,AAH52)</f>
        <v>#VALUE!</v>
      </c>
      <c r="AAJ52" s="825" t="str">
        <f>IFERROR(INDEX($DU:$DU,MATCH(MID($XU$7,AAE52,AAH52),$DT:$DT,0),1),"")</f>
        <v/>
      </c>
      <c r="AAK52" s="754"/>
      <c r="AAL52" s="754"/>
      <c r="AAM52" s="754"/>
      <c r="AAV52" t="str">
        <f t="shared" si="141"/>
        <v>$$$$</v>
      </c>
      <c r="AAW52" s="947" t="e">
        <f>SEARCH(AAV52,#REF!)</f>
        <v>#REF!</v>
      </c>
      <c r="ABA52" s="1487"/>
      <c r="ADG52" s="1075"/>
      <c r="ADQ52" s="1075"/>
      <c r="AEJ52" s="959"/>
      <c r="AEK52" s="959"/>
      <c r="AEL52" s="959"/>
      <c r="AEX52" s="1070"/>
      <c r="AFA52" s="1070"/>
      <c r="AFE52" s="1463">
        <v>8</v>
      </c>
      <c r="AFF52" s="824" t="s">
        <v>8433</v>
      </c>
      <c r="AFG52" s="838" t="e">
        <f>SEARCH(AFB$4,AFD$4,AFI45)+LEN(AFB$4)</f>
        <v>#VALUE!</v>
      </c>
      <c r="AFH52" s="406" t="str">
        <f>IF(AFI52=IFERROR(SEARCH(".",AFD$4,AFG52),99999),".",
IF(AFI52=IFERROR(SEARCH(",",AFD$4,AFG52),99999),",",
IF(AFI52=IFERROR(SEARCH(" за период",AFD$4,AFG52),999999)," за период",
IF(AFI52=IFERROR(SEARCH(" в размере",AFD$4,AFG52),99999)," в размере",
))))</f>
        <v>.</v>
      </c>
      <c r="AFI52" s="406">
        <f>IFERROR(MIN(IFERROR(SEARCH(".",AFD$4,AFG52),99999),IFERROR(SEARCH(",",AFD$4,AFG52),99999),IFERROR(SEARCH(" за период",AFD$4,AFG52),999999),IFERROR(SEARCH(" в размере",AFD$4,AFG52),99999)),"ОШИБКА")</f>
        <v>99999</v>
      </c>
      <c r="AFJ52" s="406" t="e">
        <f>AFI52-AFG52</f>
        <v>#VALUE!</v>
      </c>
      <c r="AFK52" s="824" t="e">
        <f>MID(AFD$4,AFG52,AFJ52)</f>
        <v>#VALUE!</v>
      </c>
      <c r="AFL52" s="825" t="str">
        <f>IFERROR(INDEX($DU:$DU,MATCH(MID(AFD$4,AFG52,AFJ52),$DT:$DT,0),1),"")</f>
        <v/>
      </c>
      <c r="AFM52" s="754"/>
      <c r="AFQ52" s="1463">
        <v>8</v>
      </c>
      <c r="AFR52" s="824" t="s">
        <v>8433</v>
      </c>
      <c r="AFS52" s="838" t="e">
        <f>SEARCH(AFN$4,AFP$4,AFU45)+LEN(AFN$4)</f>
        <v>#VALUE!</v>
      </c>
      <c r="AFT52" s="406" t="str">
        <f>IF(AFU52=IFERROR(SEARCH(".",AFP$4,AFS52),99999),".",
IF(AFU52=IFERROR(SEARCH(",",AFP$4,AFS52),99999),",",
IF(AFU52=IFERROR(SEARCH(" за период",AFP$4,AFS52),999999)," за период",
IF(AFU52=IFERROR(SEARCH(" в размере",AFP$4,AFS52),99999)," в размере",
))))</f>
        <v>.</v>
      </c>
      <c r="AFU52" s="406">
        <f>IFERROR(MIN(IFERROR(SEARCH(".",AFP$4,AFS52),99999),IFERROR(SEARCH(",",AFP$4,AFS52),99999),IFERROR(SEARCH(" за период",AFP$4,AFS52),999999),IFERROR(SEARCH(" в размере",AFP$4,AFS52),99999)),"ОШИБКА")</f>
        <v>99999</v>
      </c>
      <c r="AFV52" s="406" t="e">
        <f>AFU52-AFS52</f>
        <v>#VALUE!</v>
      </c>
      <c r="AFW52" s="824" t="e">
        <f>MID(AFP$4,AFS52,AFV52)</f>
        <v>#VALUE!</v>
      </c>
      <c r="AFX52" s="825" t="str">
        <f>IFERROR(INDEX($DU:$DU,MATCH(MID(AFP$4,AFS52,AFV52),$DT:$DT,0),1),"")</f>
        <v/>
      </c>
      <c r="AFY52" s="754"/>
      <c r="AGC52" s="1463">
        <v>8</v>
      </c>
      <c r="AGD52" s="824" t="s">
        <v>8433</v>
      </c>
      <c r="AGE52" s="838" t="e">
        <f>SEARCH(AFZ$4,AGB$4,AGG45)+LEN(AFZ$4)</f>
        <v>#VALUE!</v>
      </c>
      <c r="AGF52" s="406" t="str">
        <f>IF(AGG52=IFERROR(SEARCH(".",AGB$4,AGE52),99999),".",
IF(AGG52=IFERROR(SEARCH(",",AGB$4,AGE52),99999),",",
IF(AGG52=IFERROR(SEARCH(" за период",AGB$4,AGE52),999999)," за период",
IF(AGG52=IFERROR(SEARCH(" в размере",AGB$4,AGE52),99999)," в размере",
))))</f>
        <v>.</v>
      </c>
      <c r="AGG52" s="406">
        <f>IFERROR(MIN(IFERROR(SEARCH(".",AGB$4,AGE52),99999),IFERROR(SEARCH(",",AGB$4,AGE52),99999),IFERROR(SEARCH(" за период",AGB$4,AGE52),999999),IFERROR(SEARCH(" в размере",AGB$4,AGE52),99999)),"ОШИБКА")</f>
        <v>99999</v>
      </c>
      <c r="AGH52" s="406" t="e">
        <f>AGG52-AGE52</f>
        <v>#VALUE!</v>
      </c>
      <c r="AGI52" s="824" t="e">
        <f>MID(AGB$4,AGE52,AGH52)</f>
        <v>#VALUE!</v>
      </c>
      <c r="AGJ52" s="825" t="str">
        <f>IFERROR(INDEX($DU:$DU,MATCH(MID(AGB$4,AGE52,AGH52),$DT:$DT,0),1),"")</f>
        <v/>
      </c>
      <c r="AGK52" s="754"/>
      <c r="AGO52" s="1463">
        <v>8</v>
      </c>
      <c r="AGP52" s="824" t="s">
        <v>8433</v>
      </c>
      <c r="AGQ52" s="838" t="e">
        <f>SEARCH(AGL$4,AGN$4,AGS45)+LEN(AGL$4)</f>
        <v>#VALUE!</v>
      </c>
      <c r="AGR52" s="406" t="str">
        <f>IF(AGS52=IFERROR(SEARCH(".",AGN$4,AGQ52),99999),".",
IF(AGS52=IFERROR(SEARCH(",",AGN$4,AGQ52),99999),",",
IF(AGS52=IFERROR(SEARCH(" за период",AGN$4,AGQ52),999999)," за период",
IF(AGS52=IFERROR(SEARCH(" в размере",AGN$4,AGQ52),99999)," в размере",
))))</f>
        <v>.</v>
      </c>
      <c r="AGS52" s="406">
        <f>IFERROR(MIN(IFERROR(SEARCH(".",AGN$4,AGQ52),99999),IFERROR(SEARCH(",",AGN$4,AGQ52),99999),IFERROR(SEARCH(" за период",AGN$4,AGQ52),999999),IFERROR(SEARCH(" в размере",AGN$4,AGQ52),99999)),"ОШИБКА")</f>
        <v>99999</v>
      </c>
      <c r="AGT52" s="406" t="e">
        <f>AGS52-AGQ52</f>
        <v>#VALUE!</v>
      </c>
      <c r="AGU52" s="824" t="e">
        <f>MID(AGN$4,AGQ52,AGT52)</f>
        <v>#VALUE!</v>
      </c>
      <c r="AGV52" s="825" t="str">
        <f>IFERROR(INDEX($DU:$DU,MATCH(MID(AGN$4,AGQ52,AGT52),$DT:$DT,0),1),"")</f>
        <v/>
      </c>
      <c r="AGW52" s="754"/>
      <c r="AHA52" s="1463">
        <v>8</v>
      </c>
      <c r="AHB52" s="824" t="s">
        <v>8433</v>
      </c>
      <c r="AHC52" s="838" t="e">
        <f>SEARCH(AGX$4,AGZ$4,AHE45)+LEN(AGX$4)</f>
        <v>#VALUE!</v>
      </c>
      <c r="AHD52" s="406" t="str">
        <f>IF(AHE52=IFERROR(SEARCH(".",AGZ$4,AHC52),99999),".",
IF(AHE52=IFERROR(SEARCH(",",AGZ$4,AHC52),99999),",",
IF(AHE52=IFERROR(SEARCH(" за период",AGZ$4,AHC52),999999)," за период",
IF(AHE52=IFERROR(SEARCH(" в размере",AGZ$4,AHC52),99999)," в размере",
))))</f>
        <v>.</v>
      </c>
      <c r="AHE52" s="406">
        <f>IFERROR(MIN(IFERROR(SEARCH(".",AGZ$4,AHC52),99999),IFERROR(SEARCH(",",AGZ$4,AHC52),99999),IFERROR(SEARCH(" за период",AGZ$4,AHC52),999999),IFERROR(SEARCH(" в размере",AGZ$4,AHC52),99999)),"ОШИБКА")</f>
        <v>99999</v>
      </c>
      <c r="AHF52" s="406" t="e">
        <f>AHE52-AHC52</f>
        <v>#VALUE!</v>
      </c>
      <c r="AHG52" s="824" t="e">
        <f>MID(AGZ$4,AHC52,AHF52)</f>
        <v>#VALUE!</v>
      </c>
      <c r="AHH52" s="825" t="str">
        <f>IFERROR(INDEX($DU:$DU,MATCH(MID(AGZ$4,AHC52,AHF52),$DT:$DT,0),1),"")</f>
        <v/>
      </c>
      <c r="AHI52" s="754"/>
    </row>
    <row r="53" spans="1:893" ht="14.4" customHeight="1" thickTop="1" x14ac:dyDescent="0.3">
      <c r="A53" s="116"/>
      <c r="B53" s="116"/>
      <c r="C53" s="116"/>
      <c r="D53" s="116"/>
      <c r="E53" s="116"/>
      <c r="F53" s="116"/>
      <c r="G53" s="116"/>
      <c r="H53" s="116"/>
      <c r="I53" s="116"/>
      <c r="J53" s="116"/>
      <c r="K53" s="116"/>
      <c r="L53" s="116"/>
      <c r="M53" s="116"/>
      <c r="N53" s="116"/>
      <c r="O53" s="116"/>
      <c r="P53" s="116"/>
      <c r="Q53" s="116"/>
      <c r="R53" s="116"/>
      <c r="S53" s="116"/>
      <c r="T53" s="116"/>
      <c r="U53" s="116"/>
      <c r="V53" s="116"/>
      <c r="W53" s="116"/>
      <c r="X53" s="116"/>
      <c r="Y53" s="116"/>
      <c r="Z53" s="116"/>
      <c r="AA53" s="116"/>
      <c r="AB53" s="116"/>
      <c r="AC53" s="116"/>
      <c r="AD53" s="116"/>
      <c r="AE53" s="116"/>
      <c r="AF53" s="116"/>
      <c r="AG53" s="116"/>
      <c r="AH53" s="116"/>
      <c r="AI53" s="116"/>
      <c r="AJ53" s="116"/>
      <c r="AK53" s="116"/>
      <c r="AL53" s="116"/>
      <c r="AM53" s="116"/>
      <c r="AN53" s="116"/>
      <c r="AO53" s="116"/>
      <c r="AP53" s="116"/>
      <c r="AQ53" s="116"/>
      <c r="AR53" s="116"/>
      <c r="AS53" s="116"/>
      <c r="AT53" s="116"/>
      <c r="AU53" s="116"/>
      <c r="AV53" s="116"/>
      <c r="AW53" s="116"/>
      <c r="AX53" s="116"/>
      <c r="AY53" s="116"/>
      <c r="AZ53" s="116"/>
      <c r="BA53" s="116"/>
      <c r="BB53" s="116"/>
      <c r="BC53" s="116"/>
      <c r="BD53" s="116"/>
      <c r="BE53" s="116"/>
      <c r="BF53" s="116"/>
      <c r="BG53" s="116"/>
      <c r="BH53" s="116"/>
      <c r="BI53" s="116"/>
      <c r="BJ53" s="116"/>
      <c r="BK53" s="116"/>
      <c r="BL53" s="116"/>
      <c r="BM53" s="116"/>
      <c r="BN53" s="116"/>
      <c r="BO53" s="116"/>
      <c r="BP53" s="116"/>
      <c r="BQ53" s="116"/>
      <c r="BR53" s="116"/>
      <c r="BS53" s="116"/>
      <c r="BT53" s="116"/>
      <c r="BU53" s="116"/>
      <c r="BV53" s="116"/>
      <c r="BW53" s="116"/>
      <c r="BX53" s="116"/>
      <c r="BY53" s="116"/>
      <c r="BZ53" s="116"/>
      <c r="CA53" s="116"/>
      <c r="CB53" s="116"/>
      <c r="CC53" s="116"/>
      <c r="CD53" s="116"/>
      <c r="CE53" s="116"/>
      <c r="CF53" s="116"/>
      <c r="CG53" s="116"/>
      <c r="CH53" s="116"/>
      <c r="CI53" s="116"/>
      <c r="CJ53" s="116"/>
      <c r="CK53" s="116"/>
      <c r="CL53" s="116"/>
      <c r="CM53" s="116"/>
      <c r="CN53" s="116"/>
      <c r="CO53" s="116"/>
      <c r="CP53" s="116"/>
      <c r="CQ53" s="116"/>
      <c r="CR53" s="116"/>
      <c r="CS53" s="116"/>
      <c r="CT53" s="116"/>
      <c r="CU53" s="116"/>
      <c r="CV53" s="116"/>
      <c r="CW53" s="116"/>
      <c r="CX53" s="116"/>
      <c r="CY53" s="116"/>
      <c r="CZ53" s="116"/>
      <c r="DA53" s="116"/>
      <c r="DB53" s="116"/>
      <c r="DC53" s="116"/>
      <c r="DD53" s="116"/>
      <c r="DE53" s="116"/>
      <c r="DF53" s="116"/>
      <c r="DG53" s="116"/>
      <c r="DH53" s="116"/>
      <c r="DI53" s="116"/>
      <c r="DJ53" s="116"/>
      <c r="DK53" s="116"/>
      <c r="DL53" s="116"/>
      <c r="DM53" s="116"/>
      <c r="DN53" s="116"/>
      <c r="DO53" s="116"/>
      <c r="DP53" s="116"/>
      <c r="DQ53" s="116"/>
      <c r="DT53" t="s">
        <v>8632</v>
      </c>
      <c r="DU53" s="821" t="s">
        <v>1246</v>
      </c>
      <c r="DV53" s="1464"/>
      <c r="DW53" s="826" t="s">
        <v>8435</v>
      </c>
      <c r="DX53" s="836" t="str">
        <f>IF(DY52=" за период",SEARCH(" за период",$C$3,DZ52)+LEN(" за период")+3,"НЕТ")</f>
        <v>НЕТ</v>
      </c>
      <c r="DY53" s="306" t="s">
        <v>8434</v>
      </c>
      <c r="DZ53" s="306" t="e">
        <f>SEARCH(DY53,$C$3,DX53)</f>
        <v>#VALUE!</v>
      </c>
      <c r="EA53" s="306" t="e">
        <f>DZ53-DX53</f>
        <v>#VALUE!</v>
      </c>
      <c r="EB53" s="827" t="e">
        <f>DATEVALUE(MID($C$3,DX53,EA53))</f>
        <v>#VALUE!</v>
      </c>
      <c r="EC53" s="828" t="str">
        <f>IF(DY52=" за период",EB53,"")</f>
        <v/>
      </c>
      <c r="NK53" s="1464"/>
      <c r="NL53" s="826" t="s">
        <v>8435</v>
      </c>
      <c r="NM53" s="836" t="str">
        <f>IF(NN52=" за период",SEARCH(" за период",NJ$4,NO52)+LEN(" за период")+3,"НЕТ")</f>
        <v>НЕТ</v>
      </c>
      <c r="NN53" s="306" t="s">
        <v>8434</v>
      </c>
      <c r="NO53" s="306" t="e">
        <f>SEARCH(NN53,NJ$4,NM53)</f>
        <v>#VALUE!</v>
      </c>
      <c r="NP53" s="306" t="e">
        <f>NO53-NM53</f>
        <v>#VALUE!</v>
      </c>
      <c r="NQ53" s="827" t="e">
        <f>DATEVALUE(MID(NJ$4,NM53,NP53))</f>
        <v>#VALUE!</v>
      </c>
      <c r="NR53" s="828" t="str">
        <f>IF(NN52=" за период",NQ53,"")</f>
        <v/>
      </c>
      <c r="OC53" s="1472"/>
      <c r="OD53" s="946" t="str">
        <f t="shared" si="131"/>
        <v>$$$$</v>
      </c>
      <c r="OE53" s="947" t="e">
        <f t="shared" si="157"/>
        <v>#VALUE!</v>
      </c>
      <c r="OF53" s="947"/>
      <c r="OG53" s="920"/>
      <c r="OH53" s="920"/>
      <c r="OI53" s="947"/>
      <c r="OJ53" s="947"/>
      <c r="OK53" s="947"/>
      <c r="OL53" s="1497"/>
      <c r="OY53" s="116"/>
      <c r="OZ53" s="959"/>
      <c r="PA53" s="1210"/>
      <c r="PB53" s="959"/>
      <c r="PC53" s="116"/>
      <c r="PD53" s="1000"/>
      <c r="PF53" s="1209"/>
      <c r="PG53" s="1208"/>
      <c r="PH53" s="1209"/>
      <c r="PI53" s="5"/>
      <c r="PJ53" s="1073"/>
      <c r="PK53" s="99"/>
      <c r="PL53" s="920"/>
      <c r="PM53" s="995"/>
      <c r="PN53" s="920"/>
      <c r="PO53" s="254"/>
      <c r="PP53" s="871"/>
      <c r="PQ53" t="str">
        <f t="shared" si="133"/>
        <v xml:space="preserve">без учета износа составляет – </v>
      </c>
      <c r="PR53" s="937" t="e">
        <f t="shared" si="158"/>
        <v>#VALUE!</v>
      </c>
      <c r="PS53" s="5"/>
      <c r="PV53" s="937"/>
      <c r="PX53" s="5"/>
      <c r="PY53" s="1470"/>
      <c r="PZ53" t="str">
        <f t="shared" si="135"/>
        <v xml:space="preserve">с учетом износа </v>
      </c>
      <c r="QA53" s="937" t="e">
        <f t="shared" si="159"/>
        <v>#VALUE!</v>
      </c>
      <c r="QB53" s="5"/>
      <c r="QC53" s="264"/>
      <c r="QE53" s="937"/>
      <c r="QF53" s="264"/>
      <c r="QG53" s="5"/>
      <c r="QH53" s="1470"/>
      <c r="QI53" t="str">
        <f t="shared" si="137"/>
        <v>$$$$</v>
      </c>
      <c r="QJ53" s="937" t="e">
        <f t="shared" si="160"/>
        <v>#VALUE!</v>
      </c>
      <c r="QK53" s="5"/>
      <c r="QL53" s="264"/>
      <c r="QN53" s="937"/>
      <c r="QO53" s="264"/>
      <c r="QP53" s="5"/>
      <c r="QQ53" s="1470"/>
      <c r="QR53" t="str">
        <f t="shared" si="139"/>
        <v>$$$$</v>
      </c>
      <c r="QS53" s="937" t="e">
        <f t="shared" si="161"/>
        <v>#VALUE!</v>
      </c>
      <c r="QT53" s="5"/>
      <c r="QU53" s="264"/>
      <c r="QW53" s="937"/>
      <c r="QX53" s="264"/>
      <c r="QY53" s="5"/>
      <c r="QZ53" s="1470"/>
      <c r="SQ53" s="116"/>
      <c r="SY53" s="1464"/>
      <c r="SZ53" s="826" t="s">
        <v>8435</v>
      </c>
      <c r="TA53" s="836" t="str">
        <f>IF(TB52=" за период",SEARCH(" за период",$SQ$3,TC52)+LEN(" за период")+3,"НЕТ")</f>
        <v>НЕТ</v>
      </c>
      <c r="TB53" s="306" t="s">
        <v>8434</v>
      </c>
      <c r="TC53" s="306" t="e">
        <f>SEARCH(TB53,$SQ$3,TA53)</f>
        <v>#VALUE!</v>
      </c>
      <c r="TD53" s="306" t="e">
        <f>TC53-TA53</f>
        <v>#VALUE!</v>
      </c>
      <c r="TE53" s="827" t="e">
        <f>DATEVALUE(MID($SQ$3,TA53,TD53))</f>
        <v>#VALUE!</v>
      </c>
      <c r="TF53" s="828" t="str">
        <f>IF(TB52=" за период",TE53,"")</f>
        <v/>
      </c>
      <c r="TK53" s="1475">
        <v>13</v>
      </c>
      <c r="TL53" s="1030" t="s">
        <v>8433</v>
      </c>
      <c r="TM53" s="406" t="e">
        <f>SEARCH($TJ$14,TJ$4,TO49)+LEN($TJ$14)</f>
        <v>#VALUE!</v>
      </c>
      <c r="TN53" s="406" t="str">
        <f>IF(TO53=IFERROR(SEARCH(".",TJ$4,TM53),99999),".",
IF(TO53=IFERROR(SEARCH(",",TJ$4,TM53),99999),",",
IF(TO53=IFERROR(SEARCH(" за период",TJ$4,TM53),999999)," за период",
IF(TO53=IFERROR(SEARCH(" в размере",TJ$4,TM53),99999)," в размере",
IF(TO53=IFERROR(SEARCH(" и ",TJ$4,TM53),99999)," и ",
IF(TO53=IFERROR(SEARCH(")",TJ$4,TM53),99999),")",
))))))</f>
        <v>.</v>
      </c>
      <c r="TO53" s="406">
        <f>IFERROR(MIN(IFERROR(SEARCH(".",TJ$4,TM53),99999),IFERROR(SEARCH(",",TJ$4,TM53),99999),IFERROR(SEARCH(" за период",TJ$4,TM53),999999),IFERROR(SEARCH(" в размере",TJ$4,TM53),99999),IFERROR(SEARCH(" и ",TJ$4,TM53),99999),IFERROR(SEARCH(")",TJ$4,TM53),99999)),"ОШИБКА")</f>
        <v>99999</v>
      </c>
      <c r="TP53" s="406" t="e">
        <f>TO53-TM53</f>
        <v>#VALUE!</v>
      </c>
      <c r="TQ53" s="873" t="e">
        <f>MID(TJ$4,TM53,TP53)</f>
        <v>#VALUE!</v>
      </c>
      <c r="TR53" s="825" t="str">
        <f>IFERROR(INDEX($DU:$DU,MATCH(MID(TJ$4,TM53,TP53),$DT:$DT,0),1),"")</f>
        <v/>
      </c>
      <c r="TW53" s="1464"/>
      <c r="TX53" s="826" t="s">
        <v>8435</v>
      </c>
      <c r="TY53" s="836" t="str">
        <f>IF(TZ52=" за период",SEARCH(" за период",$SQ$4,UA52)+LEN(" за период")+3,"НЕТ")</f>
        <v>НЕТ</v>
      </c>
      <c r="TZ53" s="306" t="s">
        <v>8434</v>
      </c>
      <c r="UA53" s="306" t="e">
        <f>SEARCH(TZ53,$SQ$4,TY53)</f>
        <v>#VALUE!</v>
      </c>
      <c r="UB53" s="306" t="e">
        <f>UA53-TY53</f>
        <v>#VALUE!</v>
      </c>
      <c r="UC53" s="827" t="e">
        <f>DATEVALUE(MID($SQ$4,TY53,UB53))</f>
        <v>#VALUE!</v>
      </c>
      <c r="UD53" s="828" t="str">
        <f>IF(TZ52=" за период",UC53,"")</f>
        <v/>
      </c>
      <c r="UI53" s="1475">
        <v>13</v>
      </c>
      <c r="UJ53" s="1030" t="s">
        <v>8433</v>
      </c>
      <c r="UK53" s="406" t="e">
        <f>SEARCH(UH$14,UH$4,UM49)+LEN(UH$14)</f>
        <v>#VALUE!</v>
      </c>
      <c r="UL53" s="406" t="str">
        <f>IF(UM53=IFERROR(SEARCH(".",UH$4,UK53),99999),".",
IF(UM53=IFERROR(SEARCH(",",UH$4,UK53),99999),",",
IF(UM53=IFERROR(SEARCH(" за период",UH$4,UK53),999999)," за период",
IF(UM53=IFERROR(SEARCH(" в размере",UH$4,UK53),99999)," в размере",
IF(UM53=IFERROR(SEARCH(" и ",UH$4,UK53),99999)," и ",
IF(UM53=IFERROR(SEARCH(")",UH$4,UK53),99999),")",
))))))</f>
        <v>.</v>
      </c>
      <c r="UM53" s="406">
        <f>IFERROR(MIN(IFERROR(SEARCH(".",UH$4,UK53),99999),IFERROR(SEARCH(",",UH$4,UK53),99999),IFERROR(SEARCH(" за период",UH$4,UK53),999999),IFERROR(SEARCH(" в размере",UH$4,UK53),99999),IFERROR(SEARCH(" и ",UH$4,UK53),99999),IFERROR(SEARCH(")",UH$4,UK53),99999)),"ОШИБКА")</f>
        <v>99999</v>
      </c>
      <c r="UN53" s="406" t="e">
        <f>UM53-UK53</f>
        <v>#VALUE!</v>
      </c>
      <c r="UO53" s="873" t="e">
        <f>MID(UH$4,UK53,UN53)</f>
        <v>#VALUE!</v>
      </c>
      <c r="UP53" s="825" t="str">
        <f>IFERROR(INDEX($DU:$DU,MATCH(MID(UH$4,UK53,UN53),$DT:$DT,0),1),"")</f>
        <v/>
      </c>
      <c r="UU53" s="1464"/>
      <c r="UV53" s="826" t="s">
        <v>8435</v>
      </c>
      <c r="UW53" s="836" t="str">
        <f>IF(UX52=" за период",SEARCH(" за период",$SQ$5,UY52)+LEN(" за период")+3,"НЕТ")</f>
        <v>НЕТ</v>
      </c>
      <c r="UX53" s="306" t="s">
        <v>8434</v>
      </c>
      <c r="UY53" s="306" t="e">
        <f>SEARCH(UX53,$SQ$5,UW53)</f>
        <v>#VALUE!</v>
      </c>
      <c r="UZ53" s="306" t="e">
        <f>UY53-UW53</f>
        <v>#VALUE!</v>
      </c>
      <c r="VA53" s="827" t="e">
        <f>DATEVALUE(MID($SQ$5,UW53,UZ53))</f>
        <v>#VALUE!</v>
      </c>
      <c r="VB53" s="828" t="str">
        <f>IF(UX52=" за период",VA53,"")</f>
        <v/>
      </c>
      <c r="VG53" s="1475">
        <v>13</v>
      </c>
      <c r="VH53" s="1030" t="s">
        <v>8433</v>
      </c>
      <c r="VI53" s="406" t="e">
        <f>SEARCH(VF$14,VF$4,VK49)+LEN(VF$14)</f>
        <v>#VALUE!</v>
      </c>
      <c r="VJ53" s="406" t="str">
        <f>IF(VK53=IFERROR(SEARCH(".",VF$4,VI53),99999),".",
IF(VK53=IFERROR(SEARCH(",",VF$4,VI53),99999),",",
IF(VK53=IFERROR(SEARCH(" за период",VF$4,VI53),999999)," за период",
IF(VK53=IFERROR(SEARCH(" в размере",VF$4,VI53),99999)," в размере",
IF(VK53=IFERROR(SEARCH(" и ",VF$4,VI53),99999)," и ",
IF(VK53=IFERROR(SEARCH(")",VF$4,VI53),99999),")",
))))))</f>
        <v>.</v>
      </c>
      <c r="VK53" s="406">
        <f>IFERROR(MIN(IFERROR(SEARCH(".",VF$4,VI53),99999),IFERROR(SEARCH(",",VF$4,VI53),99999),IFERROR(SEARCH(" за период",VF$4,VI53),999999),IFERROR(SEARCH(" в размере",VF$4,VI53),99999),IFERROR(SEARCH(" и ",VF$4,VI53),99999),IFERROR(SEARCH(")",VF$4,VI53),99999)),"ОШИБКА")</f>
        <v>99999</v>
      </c>
      <c r="VL53" s="406" t="e">
        <f>VK53-VI53</f>
        <v>#VALUE!</v>
      </c>
      <c r="VM53" s="873" t="e">
        <f>MID(VF$4,VI53,VL53)</f>
        <v>#VALUE!</v>
      </c>
      <c r="VN53" s="825" t="str">
        <f>IFERROR(INDEX($DU:$DU,MATCH(MID(VF$4,VI53,VL53),$DT:$DT,0),1),"")</f>
        <v/>
      </c>
      <c r="VS53" s="1464"/>
      <c r="VT53" s="826" t="s">
        <v>8435</v>
      </c>
      <c r="VU53" s="836" t="str">
        <f>IF(VV52=" за период",SEARCH(" за период",$SQ$6,VW52)+LEN(" за период")+3,"НЕТ")</f>
        <v>НЕТ</v>
      </c>
      <c r="VV53" s="306" t="s">
        <v>8434</v>
      </c>
      <c r="VW53" s="306" t="e">
        <f>SEARCH(VV53,$SQ$6,VU53)</f>
        <v>#VALUE!</v>
      </c>
      <c r="VX53" s="306" t="e">
        <f>VW53-VU53</f>
        <v>#VALUE!</v>
      </c>
      <c r="VY53" s="827" t="e">
        <f>DATEVALUE(MID($SQ$6,VU53,VX53))</f>
        <v>#VALUE!</v>
      </c>
      <c r="VZ53" s="828" t="str">
        <f>IF(VV52=" за период",VY53,"")</f>
        <v/>
      </c>
      <c r="WE53" s="1475">
        <v>13</v>
      </c>
      <c r="WF53" s="1030" t="s">
        <v>8433</v>
      </c>
      <c r="WG53" s="406" t="e">
        <f>SEARCH($TJ$14,WD$4,WI49)+LEN($TJ$14)</f>
        <v>#VALUE!</v>
      </c>
      <c r="WH53" s="406" t="str">
        <f>IF(WI53=IFERROR(SEARCH(".",WD$4,WG53),99999),".",
IF(WI53=IFERROR(SEARCH(",",WD$4,WG53),99999),",",
IF(WI53=IFERROR(SEARCH(" за период",WD$4,WG53),999999)," за период",
IF(WI53=IFERROR(SEARCH(" в размере",WD$4,WG53),99999)," в размере",
IF(WI53=IFERROR(SEARCH(" и ",WD$4,WG53),99999)," и ",
IF(WI53=IFERROR(SEARCH(")",WD$4,WG53),99999),")",
))))))</f>
        <v>.</v>
      </c>
      <c r="WI53" s="406">
        <f>IFERROR(MIN(IFERROR(SEARCH(".",WD$4,WG53),99999),IFERROR(SEARCH(",",WD$4,WG53),99999),IFERROR(SEARCH(" за период",WD$4,WG53),999999),IFERROR(SEARCH(" в размере",WD$4,WG53),99999),IFERROR(SEARCH(" и ",WD$4,WG53),99999),IFERROR(SEARCH(")",WD$4,WG53),99999)),"ОШИБКА")</f>
        <v>99999</v>
      </c>
      <c r="WJ53" s="406" t="e">
        <f>WI53-WG53</f>
        <v>#VALUE!</v>
      </c>
      <c r="WK53" s="873" t="e">
        <f>MID(WD$4,WG53,WJ53)</f>
        <v>#VALUE!</v>
      </c>
      <c r="WL53" s="825" t="str">
        <f>IFERROR(INDEX($DU:$DU,MATCH(MID(WD$4,WG53,WJ53),$DT:$DT,0),1),"")</f>
        <v/>
      </c>
      <c r="WQ53" s="1464"/>
      <c r="WR53" s="826" t="s">
        <v>8435</v>
      </c>
      <c r="WS53" s="836" t="str">
        <f>IF(WT52=" за период",SEARCH(" за период",$SQ$7,WU52)+LEN(" за период")+3,"НЕТ")</f>
        <v>НЕТ</v>
      </c>
      <c r="WT53" s="306" t="s">
        <v>8434</v>
      </c>
      <c r="WU53" s="306" t="e">
        <f>SEARCH(WT53,$SQ$7,WS53)</f>
        <v>#VALUE!</v>
      </c>
      <c r="WV53" s="306" t="e">
        <f>WU53-WS53</f>
        <v>#VALUE!</v>
      </c>
      <c r="WW53" s="827" t="e">
        <f>DATEVALUE(MID($SQ$7,WS53,WV53))</f>
        <v>#VALUE!</v>
      </c>
      <c r="WX53" s="828" t="str">
        <f>IF(WT52=" за период",WW53,"")</f>
        <v/>
      </c>
      <c r="XC53" s="1475">
        <v>13</v>
      </c>
      <c r="XD53" s="1030" t="s">
        <v>8433</v>
      </c>
      <c r="XE53" s="406" t="e">
        <f>SEARCH($TJ$14,XB$4,XG49)+LEN($TJ$14)</f>
        <v>#VALUE!</v>
      </c>
      <c r="XF53" s="406" t="str">
        <f>IF(XG53=IFERROR(SEARCH(".",XB$4,XE53),99999),".",
IF(XG53=IFERROR(SEARCH(",",XB$4,XE53),99999),",",
IF(XG53=IFERROR(SEARCH(" за период",XB$4,XE53),999999)," за период",
IF(XG53=IFERROR(SEARCH(" в размере",XB$4,XE53),99999)," в размере",
IF(XG53=IFERROR(SEARCH(" и ",XB$4,XE53),99999)," и ",
IF(XG53=IFERROR(SEARCH(")",XB$4,XE53),99999),")",
))))))</f>
        <v>.</v>
      </c>
      <c r="XG53" s="406">
        <f>IFERROR(MIN(IFERROR(SEARCH(".",XB$4,XE53),99999),IFERROR(SEARCH(",",XB$4,XE53),99999),IFERROR(SEARCH(" за период",XB$4,XE53),999999),IFERROR(SEARCH(" в размере",XB$4,XE53),99999),IFERROR(SEARCH(" и ",XB$4,XE53),99999),IFERROR(SEARCH(")",XB$4,XE53),99999)),"ОШИБКА")</f>
        <v>99999</v>
      </c>
      <c r="XH53" s="406" t="e">
        <f>XG53-XE53</f>
        <v>#VALUE!</v>
      </c>
      <c r="XI53" s="873" t="e">
        <f>MID(XB$4,XE53,XH53)</f>
        <v>#VALUE!</v>
      </c>
      <c r="XJ53" s="825" t="str">
        <f>IFERROR(INDEX($DU:$DU,MATCH(MID(XB$4,XE53,XH53),$DT:$DT,0),1),"")</f>
        <v/>
      </c>
      <c r="YG53" s="1464"/>
      <c r="YH53" s="826" t="s">
        <v>8435</v>
      </c>
      <c r="YI53" s="836" t="str">
        <f>IF(YJ52=" за период",SEARCH(" за период",$XU$3,YK52)+LEN(" за период")+3,"НЕТ")</f>
        <v>НЕТ</v>
      </c>
      <c r="YJ53" s="306" t="s">
        <v>8434</v>
      </c>
      <c r="YK53" s="306" t="e">
        <f>SEARCH(YJ53,$XU$3,YI53)</f>
        <v>#VALUE!</v>
      </c>
      <c r="YL53" s="306" t="e">
        <f>YK53-YI53</f>
        <v>#VALUE!</v>
      </c>
      <c r="YM53" s="827" t="e">
        <f>DATEVALUE(MID($XU$3,YI53,YL53))</f>
        <v>#VALUE!</v>
      </c>
      <c r="YN53" s="828" t="str">
        <f>IF(YJ52=" за период",YM53,"")</f>
        <v/>
      </c>
      <c r="YS53" s="1464"/>
      <c r="YT53" s="826" t="s">
        <v>8435</v>
      </c>
      <c r="YU53" s="836" t="str">
        <f>IF(YV52=" за период",SEARCH(" за период",$XU$4,YW52)+LEN(" за период")+3,"НЕТ")</f>
        <v>НЕТ</v>
      </c>
      <c r="YV53" s="306" t="s">
        <v>8434</v>
      </c>
      <c r="YW53" s="306" t="e">
        <f>SEARCH(YV53,$XU$4,YU53)</f>
        <v>#VALUE!</v>
      </c>
      <c r="YX53" s="306" t="e">
        <f>YW53-YU53</f>
        <v>#VALUE!</v>
      </c>
      <c r="YY53" s="827" t="e">
        <f>DATEVALUE(MID($XU$4,YU53,YX53))</f>
        <v>#VALUE!</v>
      </c>
      <c r="YZ53" s="828" t="str">
        <f>IF(YV52=" за период",YY53,"")</f>
        <v/>
      </c>
      <c r="ZE53" s="1464"/>
      <c r="ZF53" s="826" t="s">
        <v>8435</v>
      </c>
      <c r="ZG53" s="836" t="str">
        <f>IF(ZH52=" за период",SEARCH(" за период",$XU$5,ZI52)+LEN(" за период")+3,"НЕТ")</f>
        <v>НЕТ</v>
      </c>
      <c r="ZH53" s="306" t="s">
        <v>8434</v>
      </c>
      <c r="ZI53" s="306" t="e">
        <f>SEARCH(ZH53,$XU$5,ZG53)</f>
        <v>#VALUE!</v>
      </c>
      <c r="ZJ53" s="306" t="e">
        <f>ZI53-ZG53</f>
        <v>#VALUE!</v>
      </c>
      <c r="ZK53" s="827" t="e">
        <f>DATEVALUE(MID($XU$5,ZG53,ZJ53))</f>
        <v>#VALUE!</v>
      </c>
      <c r="ZL53" s="828" t="str">
        <f>IF(ZH52=" за период",ZK53,"")</f>
        <v/>
      </c>
      <c r="ZQ53" s="1464"/>
      <c r="ZR53" s="826" t="s">
        <v>8435</v>
      </c>
      <c r="ZS53" s="836" t="str">
        <f>IF(ZT52=" за период",SEARCH(" за период",$XU$6,ZU52)+LEN(" за период")+3,"НЕТ")</f>
        <v>НЕТ</v>
      </c>
      <c r="ZT53" s="306" t="s">
        <v>8434</v>
      </c>
      <c r="ZU53" s="306" t="e">
        <f>SEARCH(ZT53,$XU$6,ZS53)</f>
        <v>#VALUE!</v>
      </c>
      <c r="ZV53" s="306" t="e">
        <f>ZU53-ZS53</f>
        <v>#VALUE!</v>
      </c>
      <c r="ZW53" s="827" t="e">
        <f>DATEVALUE(MID($XU$6,ZS53,ZV53))</f>
        <v>#VALUE!</v>
      </c>
      <c r="ZX53" s="828" t="str">
        <f>IF(ZT52=" за период",ZW53,"")</f>
        <v/>
      </c>
      <c r="AAC53" s="1464"/>
      <c r="AAD53" s="826" t="s">
        <v>8435</v>
      </c>
      <c r="AAE53" s="836" t="str">
        <f>IF(AAF52=" за период",SEARCH(" за период",$XU$7,AAG52)+LEN(" за период")+3,"НЕТ")</f>
        <v>НЕТ</v>
      </c>
      <c r="AAF53" s="306" t="s">
        <v>8434</v>
      </c>
      <c r="AAG53" s="306" t="e">
        <f>SEARCH(AAF53,$XU$7,AAE53)</f>
        <v>#VALUE!</v>
      </c>
      <c r="AAH53" s="306" t="e">
        <f>AAG53-AAE53</f>
        <v>#VALUE!</v>
      </c>
      <c r="AAI53" s="827" t="e">
        <f>DATEVALUE(MID($XU$7,AAE53,AAH53))</f>
        <v>#VALUE!</v>
      </c>
      <c r="AAJ53" s="828" t="str">
        <f>IF(AAF52=" за период",AAI53,"")</f>
        <v/>
      </c>
      <c r="AAV53" t="str">
        <f t="shared" si="141"/>
        <v>$$$$</v>
      </c>
      <c r="AAW53" s="947" t="e">
        <f>SEARCH(AAV53,#REF!)</f>
        <v>#REF!</v>
      </c>
      <c r="AAX53" s="5"/>
      <c r="AAY53" s="5"/>
      <c r="AAZ53" s="5"/>
      <c r="ABA53" s="1487"/>
      <c r="ADF53" s="5"/>
      <c r="ADG53" s="1075"/>
      <c r="ADQ53" s="1075"/>
      <c r="AEJ53" s="959"/>
      <c r="AEK53" s="959"/>
      <c r="AEL53" s="959"/>
      <c r="AEX53" s="1070"/>
      <c r="AFA53" s="1070"/>
      <c r="AFE53" s="1464"/>
      <c r="AFF53" s="826" t="s">
        <v>8435</v>
      </c>
      <c r="AFG53" s="836" t="str">
        <f>IF(AFH52=" за период",SEARCH(" за период",AFD$4,AFI52)+LEN(" за период")+3,"НЕТ")</f>
        <v>НЕТ</v>
      </c>
      <c r="AFH53" s="306" t="s">
        <v>8434</v>
      </c>
      <c r="AFI53" s="306" t="e">
        <f>SEARCH(AFH53,AFD$4,AFG53)</f>
        <v>#VALUE!</v>
      </c>
      <c r="AFJ53" s="306" t="e">
        <f>AFI53-AFG53</f>
        <v>#VALUE!</v>
      </c>
      <c r="AFK53" s="827" t="e">
        <f>DATEVALUE(MID(AFD$4,AFG53,AFJ53))</f>
        <v>#VALUE!</v>
      </c>
      <c r="AFL53" s="828" t="str">
        <f>IF(AFH52=" за период",AFK53,"")</f>
        <v/>
      </c>
      <c r="AFQ53" s="1464"/>
      <c r="AFR53" s="826" t="s">
        <v>8435</v>
      </c>
      <c r="AFS53" s="836" t="str">
        <f>IF(AFT52=" за период",SEARCH(" за период",AFP$4,AFU52)+LEN(" за период")+3,"НЕТ")</f>
        <v>НЕТ</v>
      </c>
      <c r="AFT53" s="306" t="s">
        <v>8434</v>
      </c>
      <c r="AFU53" s="306" t="e">
        <f>SEARCH(AFT53,AFP$4,AFS53)</f>
        <v>#VALUE!</v>
      </c>
      <c r="AFV53" s="306" t="e">
        <f>AFU53-AFS53</f>
        <v>#VALUE!</v>
      </c>
      <c r="AFW53" s="827" t="e">
        <f>DATEVALUE(MID(AFP$4,AFS53,AFV53))</f>
        <v>#VALUE!</v>
      </c>
      <c r="AFX53" s="828" t="str">
        <f>IF(AFT52=" за период",AFW53,"")</f>
        <v/>
      </c>
      <c r="AGC53" s="1464"/>
      <c r="AGD53" s="826" t="s">
        <v>8435</v>
      </c>
      <c r="AGE53" s="836" t="str">
        <f>IF(AGF52=" за период",SEARCH(" за период",AGB$4,AGG52)+LEN(" за период")+3,"НЕТ")</f>
        <v>НЕТ</v>
      </c>
      <c r="AGF53" s="306" t="s">
        <v>8434</v>
      </c>
      <c r="AGG53" s="306" t="e">
        <f>SEARCH(AGF53,AGB$4,AGE53)</f>
        <v>#VALUE!</v>
      </c>
      <c r="AGH53" s="306" t="e">
        <f>AGG53-AGE53</f>
        <v>#VALUE!</v>
      </c>
      <c r="AGI53" s="827" t="e">
        <f>DATEVALUE(MID(AGB$4,AGE53,AGH53))</f>
        <v>#VALUE!</v>
      </c>
      <c r="AGJ53" s="828" t="str">
        <f>IF(AGF52=" за период",AGI53,"")</f>
        <v/>
      </c>
      <c r="AGO53" s="1464"/>
      <c r="AGP53" s="826" t="s">
        <v>8435</v>
      </c>
      <c r="AGQ53" s="836" t="str">
        <f>IF(AGR52=" за период",SEARCH(" за период",AGN$4,AGS52)+LEN(" за период")+3,"НЕТ")</f>
        <v>НЕТ</v>
      </c>
      <c r="AGR53" s="306" t="s">
        <v>8434</v>
      </c>
      <c r="AGS53" s="306" t="e">
        <f>SEARCH(AGR53,AGN$4,AGQ53)</f>
        <v>#VALUE!</v>
      </c>
      <c r="AGT53" s="306" t="e">
        <f>AGS53-AGQ53</f>
        <v>#VALUE!</v>
      </c>
      <c r="AGU53" s="827" t="e">
        <f>DATEVALUE(MID(AGN$4,AGQ53,AGT53))</f>
        <v>#VALUE!</v>
      </c>
      <c r="AGV53" s="828" t="str">
        <f>IF(AGR52=" за период",AGU53,"")</f>
        <v/>
      </c>
      <c r="AHA53" s="1464"/>
      <c r="AHB53" s="826" t="s">
        <v>8435</v>
      </c>
      <c r="AHC53" s="836" t="str">
        <f>IF(AHD52=" за период",SEARCH(" за период",AGZ$4,AHE52)+LEN(" за период")+3,"НЕТ")</f>
        <v>НЕТ</v>
      </c>
      <c r="AHD53" s="306" t="s">
        <v>8434</v>
      </c>
      <c r="AHE53" s="306" t="e">
        <f>SEARCH(AHD53,AGZ$4,AHC53)</f>
        <v>#VALUE!</v>
      </c>
      <c r="AHF53" s="306" t="e">
        <f>AHE53-AHC53</f>
        <v>#VALUE!</v>
      </c>
      <c r="AHG53" s="827" t="e">
        <f>DATEVALUE(MID(AGZ$4,AHC53,AHF53))</f>
        <v>#VALUE!</v>
      </c>
      <c r="AHH53" s="828" t="str">
        <f>IF(AHD52=" за период",AHG53,"")</f>
        <v/>
      </c>
    </row>
    <row r="54" spans="1:893" ht="14.4" customHeight="1" x14ac:dyDescent="0.3">
      <c r="A54" s="116"/>
      <c r="B54" s="116"/>
      <c r="C54" s="116"/>
      <c r="D54" s="116"/>
      <c r="E54" s="116"/>
      <c r="F54" s="116"/>
      <c r="G54" s="116"/>
      <c r="H54" s="116"/>
      <c r="I54" s="116"/>
      <c r="J54" s="116"/>
      <c r="K54" s="116"/>
      <c r="L54" s="116"/>
      <c r="M54" s="116"/>
      <c r="N54" s="116"/>
      <c r="O54" s="116"/>
      <c r="P54" s="116"/>
      <c r="Q54" s="116"/>
      <c r="R54" s="116"/>
      <c r="S54" s="116"/>
      <c r="T54" s="116"/>
      <c r="U54" s="116"/>
      <c r="V54" s="116"/>
      <c r="W54" s="116"/>
      <c r="X54" s="116"/>
      <c r="Y54" s="116"/>
      <c r="Z54" s="116"/>
      <c r="AA54" s="116"/>
      <c r="AB54" s="116"/>
      <c r="AC54" s="116"/>
      <c r="AD54" s="116"/>
      <c r="AE54" s="116"/>
      <c r="AF54" s="116"/>
      <c r="AG54" s="116"/>
      <c r="AH54" s="116"/>
      <c r="AI54" s="116"/>
      <c r="AJ54" s="116"/>
      <c r="AK54" s="116"/>
      <c r="AL54" s="116"/>
      <c r="AM54" s="116"/>
      <c r="AN54" s="116"/>
      <c r="AO54" s="116"/>
      <c r="AP54" s="116"/>
      <c r="AQ54" s="116"/>
      <c r="AR54" s="116"/>
      <c r="AS54" s="116"/>
      <c r="AT54" s="116"/>
      <c r="AU54" s="116"/>
      <c r="AV54" s="116"/>
      <c r="AW54" s="116"/>
      <c r="AX54" s="116"/>
      <c r="AY54" s="116"/>
      <c r="AZ54" s="116"/>
      <c r="BA54" s="116"/>
      <c r="BB54" s="116"/>
      <c r="BC54" s="116"/>
      <c r="BD54" s="116"/>
      <c r="BE54" s="116"/>
      <c r="BF54" s="116"/>
      <c r="BG54" s="116"/>
      <c r="BH54" s="116"/>
      <c r="BI54" s="116"/>
      <c r="BJ54" s="116"/>
      <c r="BK54" s="116"/>
      <c r="BL54" s="116"/>
      <c r="BM54" s="116"/>
      <c r="BN54" s="116"/>
      <c r="BO54" s="116"/>
      <c r="BP54" s="116"/>
      <c r="BQ54" s="116"/>
      <c r="BR54" s="116"/>
      <c r="BS54" s="116"/>
      <c r="BT54" s="116"/>
      <c r="BU54" s="116"/>
      <c r="BV54" s="116"/>
      <c r="BW54" s="116"/>
      <c r="BX54" s="116"/>
      <c r="BY54" s="116"/>
      <c r="BZ54" s="116"/>
      <c r="CA54" s="116"/>
      <c r="CB54" s="116"/>
      <c r="CC54" s="116"/>
      <c r="CD54" s="116"/>
      <c r="CE54" s="116"/>
      <c r="CF54" s="116"/>
      <c r="CG54" s="116"/>
      <c r="CH54" s="116"/>
      <c r="CI54" s="116"/>
      <c r="CJ54" s="116"/>
      <c r="CK54" s="116"/>
      <c r="CL54" s="116"/>
      <c r="CM54" s="116"/>
      <c r="CN54" s="116"/>
      <c r="CO54" s="116"/>
      <c r="CP54" s="116"/>
      <c r="CQ54" s="116"/>
      <c r="CR54" s="116"/>
      <c r="CS54" s="116"/>
      <c r="CT54" s="116"/>
      <c r="CU54" s="116"/>
      <c r="CV54" s="116"/>
      <c r="CW54" s="116"/>
      <c r="CX54" s="116"/>
      <c r="CY54" s="116"/>
      <c r="CZ54" s="116"/>
      <c r="DA54" s="116"/>
      <c r="DB54" s="116"/>
      <c r="DC54" s="116"/>
      <c r="DD54" s="116"/>
      <c r="DE54" s="116"/>
      <c r="DF54" s="116"/>
      <c r="DG54" s="116"/>
      <c r="DH54" s="116"/>
      <c r="DI54" s="116"/>
      <c r="DJ54" s="116"/>
      <c r="DK54" s="116"/>
      <c r="DL54" s="116"/>
      <c r="DM54" s="116"/>
      <c r="DN54" s="116"/>
      <c r="DO54" s="116"/>
      <c r="DP54" s="116"/>
      <c r="DQ54" s="116"/>
      <c r="DT54" t="s">
        <v>8633</v>
      </c>
      <c r="DU54" s="821" t="s">
        <v>456</v>
      </c>
      <c r="DV54" s="1464"/>
      <c r="DW54" s="826" t="s">
        <v>8436</v>
      </c>
      <c r="DX54" s="836" t="e">
        <f>SEARCH(" ",$C$3,DZ53+1)+1</f>
        <v>#VALUE!</v>
      </c>
      <c r="DY54" s="306"/>
      <c r="DZ54" s="306" t="e">
        <f>DX54+EA54</f>
        <v>#VALUE!</v>
      </c>
      <c r="EA54" s="306">
        <v>10</v>
      </c>
      <c r="EB54" s="827" t="e">
        <f>DATEVALUE(MID($C$3,DX54,EA54))</f>
        <v>#VALUE!</v>
      </c>
      <c r="EC54" s="828" t="str">
        <f>IF(DY52=" за период",EB54,"")</f>
        <v/>
      </c>
      <c r="NK54" s="1464"/>
      <c r="NL54" s="826" t="s">
        <v>8436</v>
      </c>
      <c r="NM54" s="836" t="e">
        <f>SEARCH(" ",NJ$4,NO53+1)+1</f>
        <v>#VALUE!</v>
      </c>
      <c r="NN54" s="306"/>
      <c r="NO54" s="306" t="e">
        <f>NM54+NP54</f>
        <v>#VALUE!</v>
      </c>
      <c r="NP54" s="306">
        <v>10</v>
      </c>
      <c r="NQ54" s="827" t="e">
        <f>DATEVALUE(MID(NJ$4,NM54,NP54))</f>
        <v>#VALUE!</v>
      </c>
      <c r="NR54" s="828" t="str">
        <f>IF(NN52=" за период",NQ54,"")</f>
        <v/>
      </c>
      <c r="OC54" s="1472"/>
      <c r="OD54" s="946" t="str">
        <f t="shared" si="131"/>
        <v>$$$$</v>
      </c>
      <c r="OE54" s="947" t="e">
        <f t="shared" si="157"/>
        <v>#VALUE!</v>
      </c>
      <c r="OL54" s="1497"/>
      <c r="OY54" s="116"/>
      <c r="OZ54" s="959"/>
      <c r="PA54" s="1210"/>
      <c r="PB54" s="959"/>
      <c r="PC54" s="116"/>
      <c r="PD54" s="1000"/>
      <c r="PF54" s="1209"/>
      <c r="PG54" s="1208"/>
      <c r="PH54" s="1209"/>
      <c r="PI54" s="5"/>
      <c r="PJ54" s="1073"/>
      <c r="PK54" s="99"/>
      <c r="PL54" s="920"/>
      <c r="PM54" s="995"/>
      <c r="PN54" s="920"/>
      <c r="PO54" s="254"/>
      <c r="PP54" s="871"/>
      <c r="PQ54" t="str">
        <f t="shared" si="133"/>
        <v>$$$$</v>
      </c>
      <c r="PR54" s="937" t="e">
        <f t="shared" si="158"/>
        <v>#VALUE!</v>
      </c>
      <c r="PS54" s="5"/>
      <c r="PV54" s="937"/>
      <c r="PX54" s="5"/>
      <c r="PY54" s="1470"/>
      <c r="PZ54" t="str">
        <f t="shared" si="135"/>
        <v>$$$$</v>
      </c>
      <c r="QA54" s="937" t="e">
        <f t="shared" si="159"/>
        <v>#VALUE!</v>
      </c>
      <c r="QB54" s="5"/>
      <c r="QC54" s="264"/>
      <c r="QE54" s="937"/>
      <c r="QF54" s="264"/>
      <c r="QG54" s="5"/>
      <c r="QH54" s="1470"/>
      <c r="QI54" t="str">
        <f t="shared" si="137"/>
        <v>$$$$</v>
      </c>
      <c r="QJ54" s="937" t="e">
        <f t="shared" si="160"/>
        <v>#VALUE!</v>
      </c>
      <c r="QK54" s="5"/>
      <c r="QL54" s="264"/>
      <c r="QN54" s="937"/>
      <c r="QO54" s="264"/>
      <c r="QP54" s="5"/>
      <c r="QQ54" s="1470"/>
      <c r="QR54" t="str">
        <f t="shared" si="139"/>
        <v>$$$$</v>
      </c>
      <c r="QS54" s="937" t="e">
        <f t="shared" si="161"/>
        <v>#VALUE!</v>
      </c>
      <c r="QT54" s="5"/>
      <c r="QU54" s="264"/>
      <c r="QW54" s="937"/>
      <c r="QX54" s="264"/>
      <c r="QY54" s="5"/>
      <c r="QZ54" s="1470"/>
      <c r="SQ54" s="116"/>
      <c r="SY54" s="1464"/>
      <c r="SZ54" s="826" t="s">
        <v>8436</v>
      </c>
      <c r="TA54" s="836" t="e">
        <f>SEARCH(" ",$SQ$3,TC53+1)+1</f>
        <v>#VALUE!</v>
      </c>
      <c r="TB54" s="306"/>
      <c r="TC54" s="306" t="e">
        <f>TA54+TD54</f>
        <v>#VALUE!</v>
      </c>
      <c r="TD54" s="306">
        <v>10</v>
      </c>
      <c r="TE54" s="827" t="e">
        <f>DATEVALUE(MID($SQ$3,TA54,TD54))</f>
        <v>#VALUE!</v>
      </c>
      <c r="TF54" s="828" t="str">
        <f>IF(TB52=" за период",TE54,"")</f>
        <v/>
      </c>
      <c r="TK54" s="1476"/>
      <c r="TL54" s="1031" t="s">
        <v>8249</v>
      </c>
      <c r="TM54" s="836">
        <f>IFERROR(MIN(IFERROR(SEARCH(", ",TJ$4,TO49)+LEN(", "),99999),IFERROR(SEARCH("и ",TJ$4,TO49)+LEN("и "),99999)),"ОШИБКА")</f>
        <v>99999</v>
      </c>
      <c r="TN54" s="306" t="s">
        <v>8431</v>
      </c>
      <c r="TO54" s="306" t="e">
        <f>SEARCH(TN54,TJ$4,TM54)</f>
        <v>#VALUE!</v>
      </c>
      <c r="TP54" s="306" t="e">
        <f>TO54-TM54</f>
        <v>#VALUE!</v>
      </c>
      <c r="TQ54" s="826" t="e">
        <f>IF(TR53="Штраф 50%","",MID(TJ$4,TM54,TP54))</f>
        <v>#VALUE!</v>
      </c>
      <c r="TR54" s="828" t="str">
        <f>IF(TN53=" за период",TQ54,"")</f>
        <v/>
      </c>
      <c r="TW54" s="1464"/>
      <c r="TX54" s="826" t="s">
        <v>8436</v>
      </c>
      <c r="TY54" s="836" t="e">
        <f>SEARCH(" ",$SQ$4,UA53+1)+1</f>
        <v>#VALUE!</v>
      </c>
      <c r="TZ54" s="306"/>
      <c r="UA54" s="306" t="e">
        <f>TY54+UB54</f>
        <v>#VALUE!</v>
      </c>
      <c r="UB54" s="306">
        <v>10</v>
      </c>
      <c r="UC54" s="827" t="e">
        <f>DATEVALUE(MID($SQ$4,TY54,UB54))</f>
        <v>#VALUE!</v>
      </c>
      <c r="UD54" s="828" t="str">
        <f>IF(TZ52=" за период",UC54,"")</f>
        <v/>
      </c>
      <c r="UI54" s="1476"/>
      <c r="UJ54" s="1031" t="s">
        <v>8249</v>
      </c>
      <c r="UK54" s="836">
        <f>IFERROR(MIN(IFERROR(SEARCH(", ",UH$4,UM49)+LEN(", "),99999),IFERROR(SEARCH("и ",UH$4,UM49)+LEN("и "),99999)),"ОШИБКА")</f>
        <v>99999</v>
      </c>
      <c r="UL54" s="306" t="s">
        <v>8431</v>
      </c>
      <c r="UM54" s="306" t="e">
        <f>SEARCH(UL54,UH$4,UK54)</f>
        <v>#VALUE!</v>
      </c>
      <c r="UN54" s="306" t="e">
        <f>UM54-UK54</f>
        <v>#VALUE!</v>
      </c>
      <c r="UO54" s="826" t="e">
        <f>IF(UP53="Штраф 50%","",MID(UH$4,UK54,UN54))</f>
        <v>#VALUE!</v>
      </c>
      <c r="UP54" s="828" t="str">
        <f>IF(UL53=" за период",UO54,"")</f>
        <v/>
      </c>
      <c r="UU54" s="1464"/>
      <c r="UV54" s="826" t="s">
        <v>8436</v>
      </c>
      <c r="UW54" s="836" t="e">
        <f>SEARCH(" ",$SQ$5,UY53+1)+1</f>
        <v>#VALUE!</v>
      </c>
      <c r="UX54" s="306"/>
      <c r="UY54" s="306" t="e">
        <f>UW54+UZ54</f>
        <v>#VALUE!</v>
      </c>
      <c r="UZ54" s="306">
        <v>10</v>
      </c>
      <c r="VA54" s="827" t="e">
        <f>DATEVALUE(MID($SQ$5,UW54,UZ54))</f>
        <v>#VALUE!</v>
      </c>
      <c r="VB54" s="828" t="str">
        <f>IF(UX52=" за период",VA54,"")</f>
        <v/>
      </c>
      <c r="VG54" s="1476"/>
      <c r="VH54" s="1031" t="s">
        <v>8249</v>
      </c>
      <c r="VI54" s="836">
        <f>IFERROR(MIN(IFERROR(SEARCH(", ",VF$4,VK49)+LEN(", "),99999),IFERROR(SEARCH("и ",VF$4,VK49)+LEN("и "),99999)),"ОШИБКА")</f>
        <v>99999</v>
      </c>
      <c r="VJ54" s="306" t="s">
        <v>8431</v>
      </c>
      <c r="VK54" s="306" t="e">
        <f>SEARCH(VJ54,VF$4,VI54)</f>
        <v>#VALUE!</v>
      </c>
      <c r="VL54" s="306" t="e">
        <f>VK54-VI54</f>
        <v>#VALUE!</v>
      </c>
      <c r="VM54" s="826" t="e">
        <f>IF(VN53="Штраф 50%","",MID(VF$4,VI54,VL54))</f>
        <v>#VALUE!</v>
      </c>
      <c r="VN54" s="828" t="str">
        <f>IF(VJ53=" за период",VM54,"")</f>
        <v/>
      </c>
      <c r="VS54" s="1464"/>
      <c r="VT54" s="826" t="s">
        <v>8436</v>
      </c>
      <c r="VU54" s="836" t="e">
        <f>SEARCH(" ",$SQ$6,VW53+1)+1</f>
        <v>#VALUE!</v>
      </c>
      <c r="VV54" s="306"/>
      <c r="VW54" s="306" t="e">
        <f>VU54+VX54</f>
        <v>#VALUE!</v>
      </c>
      <c r="VX54" s="306">
        <v>10</v>
      </c>
      <c r="VY54" s="827" t="e">
        <f>DATEVALUE(MID($SQ$6,VU54,VX54))</f>
        <v>#VALUE!</v>
      </c>
      <c r="VZ54" s="828" t="str">
        <f>IF(VV52=" за период",VY54,"")</f>
        <v/>
      </c>
      <c r="WE54" s="1476"/>
      <c r="WF54" s="1031" t="s">
        <v>8249</v>
      </c>
      <c r="WG54" s="836">
        <f>IFERROR(MIN(IFERROR(SEARCH(", ",WD$4,WI49)+LEN(", "),99999),IFERROR(SEARCH("и ",WD$4,WI49)+LEN("и "),99999)),"ОШИБКА")</f>
        <v>99999</v>
      </c>
      <c r="WH54" s="306" t="s">
        <v>8431</v>
      </c>
      <c r="WI54" s="306" t="e">
        <f>SEARCH(WH54,WD$4,WG54)</f>
        <v>#VALUE!</v>
      </c>
      <c r="WJ54" s="306" t="e">
        <f>WI54-WG54</f>
        <v>#VALUE!</v>
      </c>
      <c r="WK54" s="826" t="e">
        <f>IF(WL53="Штраф 50%","",MID(WD$4,WG54,WJ54))</f>
        <v>#VALUE!</v>
      </c>
      <c r="WL54" s="828" t="str">
        <f>IF(WH53=" за период",WK54,"")</f>
        <v/>
      </c>
      <c r="WQ54" s="1464"/>
      <c r="WR54" s="826" t="s">
        <v>8436</v>
      </c>
      <c r="WS54" s="836" t="e">
        <f>SEARCH(" ",$SQ$7,WU53+1)+1</f>
        <v>#VALUE!</v>
      </c>
      <c r="WT54" s="306"/>
      <c r="WU54" s="306" t="e">
        <f>WS54+WV54</f>
        <v>#VALUE!</v>
      </c>
      <c r="WV54" s="306">
        <v>10</v>
      </c>
      <c r="WW54" s="827" t="e">
        <f>DATEVALUE(MID($SQ$7,WS54,WV54))</f>
        <v>#VALUE!</v>
      </c>
      <c r="WX54" s="828" t="str">
        <f>IF(WT52=" за период",WW54,"")</f>
        <v/>
      </c>
      <c r="XC54" s="1476"/>
      <c r="XD54" s="1031" t="s">
        <v>8249</v>
      </c>
      <c r="XE54" s="836">
        <f>IFERROR(MIN(IFERROR(SEARCH(", ",XB$4,XG49)+LEN(", "),99999),IFERROR(SEARCH("и ",XB$4,XG49)+LEN("и "),99999)),"ОШИБКА")</f>
        <v>99999</v>
      </c>
      <c r="XF54" s="306" t="s">
        <v>8431</v>
      </c>
      <c r="XG54" s="306" t="e">
        <f>SEARCH(XF54,XB$4,XE54)</f>
        <v>#VALUE!</v>
      </c>
      <c r="XH54" s="306" t="e">
        <f>XG54-XE54</f>
        <v>#VALUE!</v>
      </c>
      <c r="XI54" s="826" t="e">
        <f>IF(XJ53="Штраф 50%","",MID(XB$4,XE54,XH54))</f>
        <v>#VALUE!</v>
      </c>
      <c r="XJ54" s="828" t="str">
        <f>IF(XF53=" за период",XI54,"")</f>
        <v/>
      </c>
      <c r="YG54" s="1464"/>
      <c r="YH54" s="826" t="s">
        <v>8436</v>
      </c>
      <c r="YI54" s="836" t="e">
        <f>SEARCH(" ",$XU$3,YK53+1)+1</f>
        <v>#VALUE!</v>
      </c>
      <c r="YJ54" s="306"/>
      <c r="YK54" s="306" t="e">
        <f>YI54+YL54</f>
        <v>#VALUE!</v>
      </c>
      <c r="YL54" s="306">
        <v>10</v>
      </c>
      <c r="YM54" s="827" t="e">
        <f>DATEVALUE(MID($XU$3,YI54,YL54))</f>
        <v>#VALUE!</v>
      </c>
      <c r="YN54" s="828" t="str">
        <f>IF(YJ52=" за период",YM54,"")</f>
        <v/>
      </c>
      <c r="YS54" s="1464"/>
      <c r="YT54" s="826" t="s">
        <v>8436</v>
      </c>
      <c r="YU54" s="836" t="e">
        <f>SEARCH(" ",$XU$4,YW53+1)+1</f>
        <v>#VALUE!</v>
      </c>
      <c r="YV54" s="306"/>
      <c r="YW54" s="306" t="e">
        <f>YU54+YX54</f>
        <v>#VALUE!</v>
      </c>
      <c r="YX54" s="306">
        <v>10</v>
      </c>
      <c r="YY54" s="827" t="e">
        <f>DATEVALUE(MID($XU$4,YU54,YX54))</f>
        <v>#VALUE!</v>
      </c>
      <c r="YZ54" s="828" t="str">
        <f>IF(YV52=" за период",YY54,"")</f>
        <v/>
      </c>
      <c r="ZE54" s="1464"/>
      <c r="ZF54" s="826" t="s">
        <v>8436</v>
      </c>
      <c r="ZG54" s="836" t="e">
        <f>SEARCH(" ",$XU$5,ZI53+1)+1</f>
        <v>#VALUE!</v>
      </c>
      <c r="ZH54" s="306"/>
      <c r="ZI54" s="306" t="e">
        <f>ZG54+ZJ54</f>
        <v>#VALUE!</v>
      </c>
      <c r="ZJ54" s="306">
        <v>10</v>
      </c>
      <c r="ZK54" s="827" t="e">
        <f>DATEVALUE(MID($XU$5,ZG54,ZJ54))</f>
        <v>#VALUE!</v>
      </c>
      <c r="ZL54" s="828" t="str">
        <f>IF(ZH52=" за период",ZK54,"")</f>
        <v/>
      </c>
      <c r="ZQ54" s="1464"/>
      <c r="ZR54" s="826" t="s">
        <v>8436</v>
      </c>
      <c r="ZS54" s="836" t="e">
        <f>SEARCH(" ",$XU$6,ZU53+1)+1</f>
        <v>#VALUE!</v>
      </c>
      <c r="ZT54" s="306"/>
      <c r="ZU54" s="306" t="e">
        <f>ZS54+ZV54</f>
        <v>#VALUE!</v>
      </c>
      <c r="ZV54" s="306">
        <v>10</v>
      </c>
      <c r="ZW54" s="827" t="e">
        <f>DATEVALUE(MID($XU$6,ZS54,ZV54))</f>
        <v>#VALUE!</v>
      </c>
      <c r="ZX54" s="828" t="str">
        <f>IF(ZT52=" за период",ZW54,"")</f>
        <v/>
      </c>
      <c r="AAC54" s="1464"/>
      <c r="AAD54" s="826" t="s">
        <v>8436</v>
      </c>
      <c r="AAE54" s="836" t="e">
        <f>SEARCH(" ",$XU$7,AAG53+1)+1</f>
        <v>#VALUE!</v>
      </c>
      <c r="AAF54" s="306"/>
      <c r="AAG54" s="306" t="e">
        <f>AAE54+AAH54</f>
        <v>#VALUE!</v>
      </c>
      <c r="AAH54" s="306">
        <v>10</v>
      </c>
      <c r="AAI54" s="827" t="e">
        <f>DATEVALUE(MID($XU$7,AAE54,AAH54))</f>
        <v>#VALUE!</v>
      </c>
      <c r="AAJ54" s="828" t="str">
        <f>IF(AAF52=" за период",AAI54,"")</f>
        <v/>
      </c>
      <c r="AAV54" t="str">
        <f t="shared" si="141"/>
        <v>$$$$</v>
      </c>
      <c r="AAW54" s="947" t="e">
        <f>SEARCH(AAV54,#REF!)</f>
        <v>#REF!</v>
      </c>
      <c r="AAX54" s="5"/>
      <c r="AAY54" s="5"/>
      <c r="AAZ54" s="5"/>
      <c r="ABA54" s="1487"/>
      <c r="ADF54" s="5"/>
      <c r="ADG54" s="1075"/>
      <c r="ADQ54" s="1075"/>
      <c r="AEJ54" s="959"/>
      <c r="AEK54" s="959"/>
      <c r="AEL54" s="959"/>
      <c r="AEX54" s="1070"/>
      <c r="AFA54" s="1070"/>
      <c r="AFE54" s="1464"/>
      <c r="AFF54" s="826" t="s">
        <v>8436</v>
      </c>
      <c r="AFG54" s="836" t="e">
        <f>SEARCH(" ",AFD$4,AFI53+1)+1</f>
        <v>#VALUE!</v>
      </c>
      <c r="AFH54" s="306"/>
      <c r="AFI54" s="306" t="e">
        <f>AFG54+AFJ54</f>
        <v>#VALUE!</v>
      </c>
      <c r="AFJ54" s="306">
        <v>10</v>
      </c>
      <c r="AFK54" s="827" t="e">
        <f>DATEVALUE(MID(AFD$4,AFG54,AFJ54))</f>
        <v>#VALUE!</v>
      </c>
      <c r="AFL54" s="828" t="str">
        <f>IF(AFH52=" за период",AFK54,"")</f>
        <v/>
      </c>
      <c r="AFQ54" s="1464"/>
      <c r="AFR54" s="826" t="s">
        <v>8436</v>
      </c>
      <c r="AFS54" s="836" t="e">
        <f>SEARCH(" ",AFP$4,AFU53+1)+1</f>
        <v>#VALUE!</v>
      </c>
      <c r="AFT54" s="306"/>
      <c r="AFU54" s="306" t="e">
        <f>AFS54+AFV54</f>
        <v>#VALUE!</v>
      </c>
      <c r="AFV54" s="306">
        <v>10</v>
      </c>
      <c r="AFW54" s="827" t="e">
        <f>DATEVALUE(MID(AFP$4,AFS54,AFV54))</f>
        <v>#VALUE!</v>
      </c>
      <c r="AFX54" s="828" t="str">
        <f>IF(AFT52=" за период",AFW54,"")</f>
        <v/>
      </c>
      <c r="AGC54" s="1464"/>
      <c r="AGD54" s="826" t="s">
        <v>8436</v>
      </c>
      <c r="AGE54" s="836" t="e">
        <f>SEARCH(" ",AGB$4,AGG53+1)+1</f>
        <v>#VALUE!</v>
      </c>
      <c r="AGF54" s="306"/>
      <c r="AGG54" s="306" t="e">
        <f>AGE54+AGH54</f>
        <v>#VALUE!</v>
      </c>
      <c r="AGH54" s="306">
        <v>10</v>
      </c>
      <c r="AGI54" s="827" t="e">
        <f>DATEVALUE(MID(AGB$4,AGE54,AGH54))</f>
        <v>#VALUE!</v>
      </c>
      <c r="AGJ54" s="828" t="str">
        <f>IF(AGF52=" за период",AGI54,"")</f>
        <v/>
      </c>
      <c r="AGO54" s="1464"/>
      <c r="AGP54" s="826" t="s">
        <v>8436</v>
      </c>
      <c r="AGQ54" s="836" t="e">
        <f>SEARCH(" ",AGN$4,AGS53+1)+1</f>
        <v>#VALUE!</v>
      </c>
      <c r="AGR54" s="306"/>
      <c r="AGS54" s="306" t="e">
        <f>AGQ54+AGT54</f>
        <v>#VALUE!</v>
      </c>
      <c r="AGT54" s="306">
        <v>10</v>
      </c>
      <c r="AGU54" s="827" t="e">
        <f>DATEVALUE(MID(AGN$4,AGQ54,AGT54))</f>
        <v>#VALUE!</v>
      </c>
      <c r="AGV54" s="828" t="str">
        <f>IF(AGR52=" за период",AGU54,"")</f>
        <v/>
      </c>
      <c r="AHA54" s="1464"/>
      <c r="AHB54" s="826" t="s">
        <v>8436</v>
      </c>
      <c r="AHC54" s="836" t="e">
        <f>SEARCH(" ",AGZ$4,AHE53+1)+1</f>
        <v>#VALUE!</v>
      </c>
      <c r="AHD54" s="306"/>
      <c r="AHE54" s="306" t="e">
        <f>AHC54+AHF54</f>
        <v>#VALUE!</v>
      </c>
      <c r="AHF54" s="306">
        <v>10</v>
      </c>
      <c r="AHG54" s="827" t="e">
        <f>DATEVALUE(MID(AGZ$4,AHC54,AHF54))</f>
        <v>#VALUE!</v>
      </c>
      <c r="AHH54" s="828" t="str">
        <f>IF(AHD52=" за период",AHG54,"")</f>
        <v/>
      </c>
    </row>
    <row r="55" spans="1:893" ht="14.4" customHeight="1" x14ac:dyDescent="0.3">
      <c r="A55" s="116"/>
      <c r="B55" s="116"/>
      <c r="C55" s="116"/>
      <c r="D55" s="116"/>
      <c r="E55" s="116"/>
      <c r="F55" s="116"/>
      <c r="G55" s="116"/>
      <c r="H55" s="116"/>
      <c r="I55" s="116"/>
      <c r="J55" s="116"/>
      <c r="K55" s="116"/>
      <c r="L55" s="116"/>
      <c r="M55" s="116"/>
      <c r="N55" s="116"/>
      <c r="O55" s="116"/>
      <c r="P55" s="116"/>
      <c r="Q55" s="116"/>
      <c r="R55" s="116"/>
      <c r="S55" s="116"/>
      <c r="T55" s="116"/>
      <c r="U55" s="116"/>
      <c r="V55" s="116"/>
      <c r="W55" s="116"/>
      <c r="X55" s="116"/>
      <c r="Y55" s="116"/>
      <c r="Z55" s="116"/>
      <c r="AA55" s="116"/>
      <c r="AB55" s="116"/>
      <c r="AC55" s="116"/>
      <c r="AD55" s="116"/>
      <c r="AE55" s="116"/>
      <c r="AF55" s="116"/>
      <c r="AG55" s="116"/>
      <c r="AH55" s="116"/>
      <c r="AI55" s="116"/>
      <c r="AJ55" s="116"/>
      <c r="AK55" s="116"/>
      <c r="AL55" s="116"/>
      <c r="AM55" s="116"/>
      <c r="AN55" s="116"/>
      <c r="AO55" s="116"/>
      <c r="AP55" s="116"/>
      <c r="AQ55" s="116"/>
      <c r="AR55" s="116"/>
      <c r="AS55" s="116"/>
      <c r="AT55" s="116"/>
      <c r="AU55" s="116"/>
      <c r="AV55" s="116"/>
      <c r="AW55" s="116"/>
      <c r="AX55" s="116"/>
      <c r="AY55" s="116"/>
      <c r="AZ55" s="116"/>
      <c r="BA55" s="116"/>
      <c r="BB55" s="116"/>
      <c r="BC55" s="116"/>
      <c r="BD55" s="116"/>
      <c r="BE55" s="116"/>
      <c r="BF55" s="116"/>
      <c r="BG55" s="116"/>
      <c r="BH55" s="116"/>
      <c r="BI55" s="116"/>
      <c r="BJ55" s="116"/>
      <c r="BK55" s="116"/>
      <c r="BL55" s="116"/>
      <c r="BM55" s="116"/>
      <c r="BN55" s="116"/>
      <c r="BO55" s="116"/>
      <c r="BP55" s="116"/>
      <c r="BQ55" s="116"/>
      <c r="BR55" s="116"/>
      <c r="BS55" s="116"/>
      <c r="BT55" s="116"/>
      <c r="BU55" s="116"/>
      <c r="BV55" s="116"/>
      <c r="BW55" s="116"/>
      <c r="BX55" s="116"/>
      <c r="BY55" s="116"/>
      <c r="BZ55" s="116"/>
      <c r="CA55" s="116"/>
      <c r="CB55" s="116"/>
      <c r="CC55" s="116"/>
      <c r="CD55" s="116"/>
      <c r="CE55" s="116"/>
      <c r="CF55" s="116"/>
      <c r="CG55" s="116"/>
      <c r="CH55" s="116"/>
      <c r="CI55" s="116"/>
      <c r="CJ55" s="116"/>
      <c r="CK55" s="116"/>
      <c r="CL55" s="116"/>
      <c r="CM55" s="116"/>
      <c r="CN55" s="116"/>
      <c r="CO55" s="116"/>
      <c r="CP55" s="116"/>
      <c r="CQ55" s="116"/>
      <c r="CR55" s="116"/>
      <c r="CS55" s="116"/>
      <c r="CT55" s="116"/>
      <c r="CU55" s="116"/>
      <c r="CV55" s="116"/>
      <c r="CW55" s="116"/>
      <c r="CX55" s="116"/>
      <c r="CY55" s="116"/>
      <c r="CZ55" s="116"/>
      <c r="DA55" s="116"/>
      <c r="DB55" s="116"/>
      <c r="DC55" s="116"/>
      <c r="DD55" s="116"/>
      <c r="DE55" s="116"/>
      <c r="DF55" s="116"/>
      <c r="DG55" s="116"/>
      <c r="DH55" s="116"/>
      <c r="DI55" s="116"/>
      <c r="DJ55" s="116"/>
      <c r="DK55" s="116"/>
      <c r="DL55" s="116"/>
      <c r="DM55" s="116"/>
      <c r="DN55" s="116"/>
      <c r="DO55" s="116"/>
      <c r="DP55" s="116"/>
      <c r="DQ55" s="116"/>
      <c r="DT55" t="s">
        <v>8634</v>
      </c>
      <c r="DU55" s="821" t="s">
        <v>103</v>
      </c>
      <c r="DV55" s="1464"/>
      <c r="DW55" s="826"/>
      <c r="DX55" s="836"/>
      <c r="DY55" s="306" t="str">
        <f>IF(DZ55=IFERROR(SEARCH(".",C$3,DZ54),99999),".",
IF(DZ55=IFERROR(SEARCH(",",C$3,DZ54),99999),",",
IF(DZ55=IFERROR(SEARCH(" за период",C$3,DZ54),999999)," за период",
IF(DZ55=IFERROR(SEARCH(" в размере",C$3,DZ54),99999)," в размере",
))))</f>
        <v>.</v>
      </c>
      <c r="DZ55" s="306">
        <f>MIN(
IFERROR(SEARCH(".",$C$3,DZ54),99999),
IFERROR(SEARCH(",",$C$3,DZ54),99999),
IFERROR(SEARCH(" в размере",$C$3,DZ54),99999))</f>
        <v>99999</v>
      </c>
      <c r="EA55" s="306"/>
      <c r="EB55" s="827"/>
      <c r="EC55" s="829"/>
      <c r="NK55" s="1464"/>
      <c r="NL55" s="826"/>
      <c r="NM55" s="836"/>
      <c r="NN55" s="306" t="str">
        <f>IF(NO55=IFERROR(SEARCH(".",NJ$4,NO54),99999),".",
IF(NO55=IFERROR(SEARCH(",",NJ$4,NO54),99999),",",
IF(NO55=IFERROR(SEARCH(" за период",NJ$4,NO54),999999)," за период",
IF(NO55=IFERROR(SEARCH(" в размере",NJ$4,NO54),99999)," в размере",
))))</f>
        <v>.</v>
      </c>
      <c r="NO55" s="306">
        <f>MIN(
IFERROR(SEARCH(".",NJ$4,NO54),99999),
IFERROR(SEARCH(",",NJ$4,NO54),99999),
IFERROR(SEARCH(" в размере",NJ$4,NO54),99999))</f>
        <v>99999</v>
      </c>
      <c r="NP55" s="306"/>
      <c r="NQ55" s="827"/>
      <c r="NR55" s="829"/>
      <c r="OC55" s="1472"/>
      <c r="OD55" s="946" t="str">
        <f t="shared" si="131"/>
        <v>$$$$</v>
      </c>
      <c r="OE55" s="947" t="e">
        <f t="shared" si="157"/>
        <v>#VALUE!</v>
      </c>
      <c r="OL55" s="1497"/>
      <c r="OY55" s="116"/>
      <c r="OZ55" s="959"/>
      <c r="PA55" s="1210"/>
      <c r="PB55" s="959"/>
      <c r="PC55" s="116"/>
      <c r="PD55" s="1000"/>
      <c r="PF55" s="1209"/>
      <c r="PG55" s="1208"/>
      <c r="PH55" s="1209"/>
      <c r="PI55" s="5"/>
      <c r="PJ55" s="1073"/>
      <c r="PK55" s="99"/>
      <c r="PL55" s="920"/>
      <c r="PM55" s="995"/>
      <c r="PN55" s="920"/>
      <c r="PO55" s="254"/>
      <c r="PP55" s="871"/>
      <c r="PQ55" t="str">
        <f t="shared" si="133"/>
        <v>$$$$</v>
      </c>
      <c r="PR55" s="937" t="e">
        <f t="shared" si="158"/>
        <v>#VALUE!</v>
      </c>
      <c r="PS55" s="5"/>
      <c r="PV55" s="937"/>
      <c r="PX55" s="5"/>
      <c r="PY55" s="1470"/>
      <c r="PZ55" t="str">
        <f t="shared" si="135"/>
        <v>$$$$</v>
      </c>
      <c r="QA55" s="937" t="e">
        <f t="shared" si="159"/>
        <v>#VALUE!</v>
      </c>
      <c r="QB55" s="5"/>
      <c r="QC55" s="264"/>
      <c r="QE55" s="937"/>
      <c r="QF55" s="264"/>
      <c r="QG55" s="5"/>
      <c r="QH55" s="1470"/>
      <c r="QI55" t="str">
        <f t="shared" si="137"/>
        <v>$$$$</v>
      </c>
      <c r="QJ55" s="937" t="e">
        <f t="shared" si="160"/>
        <v>#VALUE!</v>
      </c>
      <c r="QK55" s="5"/>
      <c r="QL55" s="264"/>
      <c r="QN55" s="937"/>
      <c r="QO55" s="264"/>
      <c r="QP55" s="5"/>
      <c r="QQ55" s="1470"/>
      <c r="QR55" t="str">
        <f t="shared" si="139"/>
        <v>$$$$</v>
      </c>
      <c r="QS55" s="937" t="e">
        <f t="shared" si="161"/>
        <v>#VALUE!</v>
      </c>
      <c r="QT55" s="5"/>
      <c r="QU55" s="264"/>
      <c r="QW55" s="937"/>
      <c r="QX55" s="264"/>
      <c r="QY55" s="5"/>
      <c r="QZ55" s="1470"/>
      <c r="SQ55" s="116"/>
      <c r="SY55" s="1464"/>
      <c r="SZ55" s="826"/>
      <c r="TA55" s="836"/>
      <c r="TB55" s="306" t="str">
        <f>IF(TC55=IFERROR(SEARCH(".",$SQ$3,TC54),99999),".",
IF(TC55=IFERROR(SEARCH(",",$SQ$3,TC54),99999),",",
IF(TC55=IFERROR(SEARCH(" за период",$SQ$3,TC54),999999)," за период",
IF(TC55=IFERROR(SEARCH(" в размере",$SQ$3,TC54),99999)," в размере",
))))</f>
        <v>.</v>
      </c>
      <c r="TC55" s="306">
        <f>MIN(
IFERROR(SEARCH(".",$SQ$3,TC54),99999),
IFERROR(SEARCH(",",$SQ$3,TC54),99999),
IFERROR(SEARCH(" в размере",$SQ$3,TC54),99999))</f>
        <v>99999</v>
      </c>
      <c r="TD55" s="306"/>
      <c r="TE55" s="827"/>
      <c r="TF55" s="829"/>
      <c r="TK55" s="1476"/>
      <c r="TL55" s="592"/>
      <c r="TM55" s="836" t="e">
        <f>SEARCH(" ",TJ$4,TO54+1)+1</f>
        <v>#VALUE!</v>
      </c>
      <c r="TN55" s="306" t="s">
        <v>8432</v>
      </c>
      <c r="TO55" s="306" t="e">
        <f>SEARCH(TN55,TJ$4,TM55)</f>
        <v>#VALUE!</v>
      </c>
      <c r="TP55" s="306" t="e">
        <f>TO55-TM55</f>
        <v>#VALUE!</v>
      </c>
      <c r="TQ55" s="826" t="e">
        <f>IF(TR53="Штраф 50%","",MID(TJ$4,TM55,TP55))</f>
        <v>#VALUE!</v>
      </c>
      <c r="TR55" s="828" t="str">
        <f>IF(TN53=" за период",TQ55,"")</f>
        <v/>
      </c>
      <c r="TW55" s="1464"/>
      <c r="TX55" s="826"/>
      <c r="TY55" s="836"/>
      <c r="TZ55" s="306" t="str">
        <f>IF(UA55=IFERROR(SEARCH(".",$SQ$4,UA54),99999),".",
IF(UA55=IFERROR(SEARCH(",",$SQ$4,UA54),99999),",",
IF(UA55=IFERROR(SEARCH(" за период",$SQ$4,UA54),999999)," за период",
IF(UA55=IFERROR(SEARCH(" в размере",$SQ$4,UA54),99999)," в размере",
))))</f>
        <v>.</v>
      </c>
      <c r="UA55" s="306">
        <f>MIN(
IFERROR(SEARCH(".",$SQ$4,UA54),99999),
IFERROR(SEARCH(",",$SQ$4,UA54),99999),
IFERROR(SEARCH(" в размере",$SQ$4,UA54),99999))</f>
        <v>99999</v>
      </c>
      <c r="UB55" s="306"/>
      <c r="UC55" s="827"/>
      <c r="UD55" s="829"/>
      <c r="UI55" s="1476"/>
      <c r="UJ55" s="592"/>
      <c r="UK55" s="836" t="e">
        <f>SEARCH(" ",UH$4,UM54+1)+1</f>
        <v>#VALUE!</v>
      </c>
      <c r="UL55" s="306" t="s">
        <v>8432</v>
      </c>
      <c r="UM55" s="306" t="e">
        <f>SEARCH(UL55,UH$4,UK55)</f>
        <v>#VALUE!</v>
      </c>
      <c r="UN55" s="306" t="e">
        <f>UM55-UK55</f>
        <v>#VALUE!</v>
      </c>
      <c r="UO55" s="826" t="e">
        <f>IF(UP53="Штраф 50%","",MID(UH$4,UK55,UN55))</f>
        <v>#VALUE!</v>
      </c>
      <c r="UP55" s="828" t="str">
        <f>IF(UL53=" за период",UO55,"")</f>
        <v/>
      </c>
      <c r="UU55" s="1464"/>
      <c r="UV55" s="826"/>
      <c r="UW55" s="836"/>
      <c r="UX55" s="306" t="str">
        <f>IF(UY55=IFERROR(SEARCH(".",$SQ$5,UY54),99999),".",
IF(UY55=IFERROR(SEARCH(",",$SQ$5,UY54),99999),",",
IF(UY55=IFERROR(SEARCH(" за период",$SQ$5,UY54),999999)," за период",
IF(UY55=IFERROR(SEARCH(" в размере",$SQ$5,UY54),99999)," в размере",
))))</f>
        <v>.</v>
      </c>
      <c r="UY55" s="306">
        <f>MIN(
IFERROR(SEARCH(".",$SQ$5,UY54),99999),
IFERROR(SEARCH(",",$SQ$5,UY54),99999),
IFERROR(SEARCH(" в размере",$SQ$5,UY54),99999))</f>
        <v>99999</v>
      </c>
      <c r="UZ55" s="306"/>
      <c r="VA55" s="827"/>
      <c r="VB55" s="829"/>
      <c r="VG55" s="1476"/>
      <c r="VH55" s="592"/>
      <c r="VI55" s="836" t="e">
        <f>SEARCH(" ",VF$4,VK54+1)+1</f>
        <v>#VALUE!</v>
      </c>
      <c r="VJ55" s="306" t="s">
        <v>8432</v>
      </c>
      <c r="VK55" s="306" t="e">
        <f>SEARCH(VJ55,VF$4,VI55)</f>
        <v>#VALUE!</v>
      </c>
      <c r="VL55" s="306" t="e">
        <f>VK55-VI55</f>
        <v>#VALUE!</v>
      </c>
      <c r="VM55" s="826" t="e">
        <f>IF(VN53="Штраф 50%","",MID(VF$4,VI55,VL55))</f>
        <v>#VALUE!</v>
      </c>
      <c r="VN55" s="828" t="str">
        <f>IF(VJ53=" за период",VM55,"")</f>
        <v/>
      </c>
      <c r="VS55" s="1464"/>
      <c r="VT55" s="826"/>
      <c r="VU55" s="836"/>
      <c r="VV55" s="306" t="str">
        <f>IF(VW55=IFERROR(SEARCH(".",$SQ$6,VW54),99999),".",
IF(VW55=IFERROR(SEARCH(",",$SQ$6,VW54),99999),",",
IF(VW55=IFERROR(SEARCH(" за период",$SQ$6,VW54),999999)," за период",
IF(VW55=IFERROR(SEARCH(" в размере",$SQ$6,VW54),99999)," в размере",
))))</f>
        <v>.</v>
      </c>
      <c r="VW55" s="306">
        <f>MIN(
IFERROR(SEARCH(".",$SQ$6,VW54),99999),
IFERROR(SEARCH(",",$SQ$6,VW54),99999),
IFERROR(SEARCH(" в размере",$SQ$6,VW54),99999))</f>
        <v>99999</v>
      </c>
      <c r="VX55" s="306"/>
      <c r="VY55" s="827"/>
      <c r="VZ55" s="829"/>
      <c r="WE55" s="1476"/>
      <c r="WF55" s="592"/>
      <c r="WG55" s="836" t="e">
        <f>SEARCH(" ",WD$4,WI54+1)+1</f>
        <v>#VALUE!</v>
      </c>
      <c r="WH55" s="306" t="s">
        <v>8432</v>
      </c>
      <c r="WI55" s="306" t="e">
        <f>SEARCH(WH55,WD$4,WG55)</f>
        <v>#VALUE!</v>
      </c>
      <c r="WJ55" s="306" t="e">
        <f>WI55-WG55</f>
        <v>#VALUE!</v>
      </c>
      <c r="WK55" s="826" t="e">
        <f>IF(WL53="Штраф 50%","",MID(WD$4,WG55,WJ55))</f>
        <v>#VALUE!</v>
      </c>
      <c r="WL55" s="828" t="str">
        <f>IF(WH53=" за период",WK55,"")</f>
        <v/>
      </c>
      <c r="WQ55" s="1464"/>
      <c r="WR55" s="826"/>
      <c r="WS55" s="836"/>
      <c r="WT55" s="306" t="str">
        <f>IF(WU55=IFERROR(SEARCH(".",$SQ$7,WU54),99999),".",
IF(WU55=IFERROR(SEARCH(",",$SQ$7,WU54),99999),",",
IF(WU55=IFERROR(SEARCH(" за период",$SQ$7,WU54),999999)," за период",
IF(WU55=IFERROR(SEARCH(" в размере",$SQ$7,WU54),99999)," в размере",
))))</f>
        <v>.</v>
      </c>
      <c r="WU55" s="306">
        <f>MIN(
IFERROR(SEARCH(".",$SQ$7,WU54),99999),
IFERROR(SEARCH(",",$SQ$7,WU54),99999),
IFERROR(SEARCH(" в размере",$SQ$7,WU54),99999))</f>
        <v>99999</v>
      </c>
      <c r="WV55" s="306"/>
      <c r="WW55" s="827"/>
      <c r="WX55" s="829"/>
      <c r="XC55" s="1476"/>
      <c r="XD55" s="592"/>
      <c r="XE55" s="836" t="e">
        <f>SEARCH(" ",XB$4,XG54+1)+1</f>
        <v>#VALUE!</v>
      </c>
      <c r="XF55" s="306" t="s">
        <v>8432</v>
      </c>
      <c r="XG55" s="306" t="e">
        <f>SEARCH(XF55,XB$4,XE55)</f>
        <v>#VALUE!</v>
      </c>
      <c r="XH55" s="306" t="e">
        <f>XG55-XE55</f>
        <v>#VALUE!</v>
      </c>
      <c r="XI55" s="826" t="e">
        <f>IF(XJ53="Штраф 50%","",MID(XB$4,XE55,XH55))</f>
        <v>#VALUE!</v>
      </c>
      <c r="XJ55" s="828" t="str">
        <f>IF(XF53=" за период",XI55,"")</f>
        <v/>
      </c>
      <c r="YG55" s="1464"/>
      <c r="YH55" s="826"/>
      <c r="YI55" s="836"/>
      <c r="YJ55" s="306" t="str">
        <f>IF(YK55=IFERROR(SEARCH(".",$XU$3,YK54),99999),".",
IF(YK55=IFERROR(SEARCH(",",$XU$3,YK54),99999),",",
IF(YK55=IFERROR(SEARCH(" за период",$XU$3,YK54),999999)," за период",
IF(YK55=IFERROR(SEARCH(" в размере",$XU$3,YK54),99999)," в размере",
))))</f>
        <v>.</v>
      </c>
      <c r="YK55" s="306">
        <f>MIN(
IFERROR(SEARCH(".",$XU$3,YK54),99999),
IFERROR(SEARCH(",",$XU$3,YK54),99999),
IFERROR(SEARCH(" в размере",$XU$3,YK54),99999))</f>
        <v>99999</v>
      </c>
      <c r="YL55" s="306"/>
      <c r="YM55" s="827"/>
      <c r="YN55" s="829"/>
      <c r="YS55" s="1464"/>
      <c r="YT55" s="826"/>
      <c r="YU55" s="836"/>
      <c r="YV55" s="306" t="str">
        <f>IF(YW55=IFERROR(SEARCH(".",$XU$4,YW54),99999),".",
IF(YW55=IFERROR(SEARCH(",",$XU$4,YW54),99999),",",
IF(YW55=IFERROR(SEARCH(" за период",$XU$4,YW54),999999)," за период",
IF(YW55=IFERROR(SEARCH(" в размере",$XU$4,YW54),99999)," в размере",
))))</f>
        <v>.</v>
      </c>
      <c r="YW55" s="306">
        <f>MIN(
IFERROR(SEARCH(".",$XU$4,YW54),99999),
IFERROR(SEARCH(",",$XU$4,YW54),99999),
IFERROR(SEARCH(" в размере",$XU$4,YW54),99999))</f>
        <v>99999</v>
      </c>
      <c r="YX55" s="306"/>
      <c r="YY55" s="827"/>
      <c r="YZ55" s="829"/>
      <c r="ZE55" s="1464"/>
      <c r="ZF55" s="826"/>
      <c r="ZG55" s="836"/>
      <c r="ZH55" s="306" t="str">
        <f>IF(ZI55=IFERROR(SEARCH(".",$XU$5,ZI54),99999),".",
IF(ZI55=IFERROR(SEARCH(",",$XU$5,ZI54),99999),",",
IF(ZI55=IFERROR(SEARCH(" за период",$XU$5,ZI54),999999)," за период",
IF(ZI55=IFERROR(SEARCH(" в размере",$XU$5,ZI54),99999)," в размере",
))))</f>
        <v>.</v>
      </c>
      <c r="ZI55" s="306">
        <f>MIN(
IFERROR(SEARCH(".",$XU$5,ZI54),99999),
IFERROR(SEARCH(",",$XU$5,ZI54),99999),
IFERROR(SEARCH(" в размере",$XU$5,ZI54),99999))</f>
        <v>99999</v>
      </c>
      <c r="ZJ55" s="306"/>
      <c r="ZK55" s="827"/>
      <c r="ZL55" s="829"/>
      <c r="ZQ55" s="1464"/>
      <c r="ZR55" s="826"/>
      <c r="ZS55" s="836"/>
      <c r="ZT55" s="306" t="str">
        <f>IF(ZU55=IFERROR(SEARCH(".",$XU$6,ZU54),99999),".",
IF(ZU55=IFERROR(SEARCH(",",$XU$6,ZU54),99999),",",
IF(ZU55=IFERROR(SEARCH(" за период",$XU$6,ZU54),999999)," за период",
IF(ZU55=IFERROR(SEARCH(" в размере",$XU$6,ZU54),99999)," в размере",
))))</f>
        <v>.</v>
      </c>
      <c r="ZU55" s="306">
        <f>MIN(
IFERROR(SEARCH(".",$XU$6,ZU54),99999),
IFERROR(SEARCH(",",$XU$6,ZU54),99999),
IFERROR(SEARCH(" в размере",$XU$6,ZU54),99999))</f>
        <v>99999</v>
      </c>
      <c r="ZV55" s="306"/>
      <c r="ZW55" s="827"/>
      <c r="ZX55" s="829"/>
      <c r="AAC55" s="1464"/>
      <c r="AAD55" s="826"/>
      <c r="AAE55" s="836"/>
      <c r="AAF55" s="306" t="str">
        <f>IF(AAG55=IFERROR(SEARCH(".",$XU$7,AAG54),99999),".",
IF(AAG55=IFERROR(SEARCH(",",$XU$7,AAG54),99999),",",
IF(AAG55=IFERROR(SEARCH(" за период",$XU$7,AAG54),999999)," за период",
IF(AAG55=IFERROR(SEARCH(" в размере",$XU$7,AAG54),99999)," в размере",
))))</f>
        <v>.</v>
      </c>
      <c r="AAG55" s="306">
        <f>MIN(
IFERROR(SEARCH(".",$XU$7,AAG54),99999),
IFERROR(SEARCH(",",$XU$7,AAG54),99999),
IFERROR(SEARCH(" в размере",$XU$7,AAG54),99999))</f>
        <v>99999</v>
      </c>
      <c r="AAH55" s="306"/>
      <c r="AAI55" s="827"/>
      <c r="AAJ55" s="829"/>
      <c r="AAV55" t="str">
        <f t="shared" si="141"/>
        <v>$$$$</v>
      </c>
      <c r="AAW55" s="947" t="e">
        <f>SEARCH(AAV55,#REF!)</f>
        <v>#REF!</v>
      </c>
      <c r="AAX55" s="5"/>
      <c r="AAY55" s="5"/>
      <c r="AAZ55" s="5"/>
      <c r="ABA55" s="1487"/>
      <c r="ADF55" s="5"/>
      <c r="ADG55" s="1075"/>
      <c r="ADQ55" s="1075"/>
      <c r="AEJ55" s="959"/>
      <c r="AEK55" s="959"/>
      <c r="AEL55" s="959"/>
      <c r="AEX55" s="1070"/>
      <c r="AFA55" s="1070"/>
      <c r="AFE55" s="1464"/>
      <c r="AFF55" s="826"/>
      <c r="AFG55" s="836"/>
      <c r="AFH55" s="306" t="str">
        <f>IF(AFI55=IFERROR(SEARCH(".",AFD$4,AFI54),99999),".",
IF(AFI55=IFERROR(SEARCH(",",AFD$4,AFI54),99999),",",
IF(AFI55=IFERROR(SEARCH(" за период",AFD$4,AFI54),999999)," за период",
IF(AFI55=IFERROR(SEARCH(" в размере",AFD$4,AFI54),99999)," в размере",
))))</f>
        <v>.</v>
      </c>
      <c r="AFI55" s="306">
        <f>MIN(
IFERROR(SEARCH(".",AFD$4,AFI54),99999),
IFERROR(SEARCH(",",AFD$4,AFI54),99999),
IFERROR(SEARCH(" в размере",AFD$4,AFI54),99999))</f>
        <v>99999</v>
      </c>
      <c r="AFJ55" s="306"/>
      <c r="AFK55" s="827"/>
      <c r="AFL55" s="829"/>
      <c r="AFQ55" s="1464"/>
      <c r="AFR55" s="826"/>
      <c r="AFS55" s="836"/>
      <c r="AFT55" s="306" t="str">
        <f>IF(AFU55=IFERROR(SEARCH(".",AFP$4,AFU54),99999),".",
IF(AFU55=IFERROR(SEARCH(",",AFP$4,AFU54),99999),",",
IF(AFU55=IFERROR(SEARCH(" за период",AFP$4,AFU54),999999)," за период",
IF(AFU55=IFERROR(SEARCH(" в размере",AFP$4,AFU54),99999)," в размере",
))))</f>
        <v>.</v>
      </c>
      <c r="AFU55" s="306">
        <f>MIN(
IFERROR(SEARCH(".",AFP$4,AFU54),99999),
IFERROR(SEARCH(",",AFP$4,AFU54),99999),
IFERROR(SEARCH(" в размере",AFP$4,AFU54),99999))</f>
        <v>99999</v>
      </c>
      <c r="AFV55" s="306"/>
      <c r="AFW55" s="827"/>
      <c r="AFX55" s="829"/>
      <c r="AGC55" s="1464"/>
      <c r="AGD55" s="826"/>
      <c r="AGE55" s="836"/>
      <c r="AGF55" s="306" t="str">
        <f>IF(AGG55=IFERROR(SEARCH(".",AGB$4,AGG54),99999),".",
IF(AGG55=IFERROR(SEARCH(",",AGB$4,AGG54),99999),",",
IF(AGG55=IFERROR(SEARCH(" за период",AGB$4,AGG54),999999)," за период",
IF(AGG55=IFERROR(SEARCH(" в размере",AGB$4,AGG54),99999)," в размере",
))))</f>
        <v>.</v>
      </c>
      <c r="AGG55" s="306">
        <f>MIN(
IFERROR(SEARCH(".",AGB$4,AGG54),99999),
IFERROR(SEARCH(",",AGB$4,AGG54),99999),
IFERROR(SEARCH(" в размере",AGB$4,AGG54),99999))</f>
        <v>99999</v>
      </c>
      <c r="AGH55" s="306"/>
      <c r="AGI55" s="827"/>
      <c r="AGJ55" s="829"/>
      <c r="AGO55" s="1464"/>
      <c r="AGP55" s="826"/>
      <c r="AGQ55" s="836"/>
      <c r="AGR55" s="306" t="str">
        <f>IF(AGS55=IFERROR(SEARCH(".",AGN$4,AGS54),99999),".",
IF(AGS55=IFERROR(SEARCH(",",AGN$4,AGS54),99999),",",
IF(AGS55=IFERROR(SEARCH(" за период",AGN$4,AGS54),999999)," за период",
IF(AGS55=IFERROR(SEARCH(" в размере",AGN$4,AGS54),99999)," в размере",
))))</f>
        <v>.</v>
      </c>
      <c r="AGS55" s="306">
        <f>MIN(
IFERROR(SEARCH(".",AGN$4,AGS54),99999),
IFERROR(SEARCH(",",AGN$4,AGS54),99999),
IFERROR(SEARCH(" в размере",AGN$4,AGS54),99999))</f>
        <v>99999</v>
      </c>
      <c r="AGT55" s="306"/>
      <c r="AGU55" s="827"/>
      <c r="AGV55" s="829"/>
      <c r="AHA55" s="1464"/>
      <c r="AHB55" s="826"/>
      <c r="AHC55" s="836"/>
      <c r="AHD55" s="306" t="str">
        <f>IF(AHE55=IFERROR(SEARCH(".",AGZ$4,AHE54),99999),".",
IF(AHE55=IFERROR(SEARCH(",",AGZ$4,AHE54),99999),",",
IF(AHE55=IFERROR(SEARCH(" за период",AGZ$4,AHE54),999999)," за период",
IF(AHE55=IFERROR(SEARCH(" в размере",AGZ$4,AHE54),99999)," в размере",
))))</f>
        <v>.</v>
      </c>
      <c r="AHE55" s="306">
        <f>MIN(
IFERROR(SEARCH(".",AGZ$4,AHE54),99999),
IFERROR(SEARCH(",",AGZ$4,AHE54),99999),
IFERROR(SEARCH(" в размере",AGZ$4,AHE54),99999))</f>
        <v>99999</v>
      </c>
      <c r="AHF55" s="306"/>
      <c r="AHG55" s="827"/>
      <c r="AHH55" s="829"/>
    </row>
    <row r="56" spans="1:893" ht="14.4" customHeight="1" thickBot="1" x14ac:dyDescent="0.35">
      <c r="A56" s="116"/>
      <c r="B56" s="116"/>
      <c r="C56" s="116"/>
      <c r="D56" s="116"/>
      <c r="E56" s="116"/>
      <c r="F56" s="116"/>
      <c r="G56" s="116"/>
      <c r="H56" s="116"/>
      <c r="I56" s="116"/>
      <c r="J56" s="116"/>
      <c r="K56" s="116"/>
      <c r="L56" s="116"/>
      <c r="M56" s="116"/>
      <c r="N56" s="116"/>
      <c r="O56" s="116"/>
      <c r="P56" s="116"/>
      <c r="Q56" s="116"/>
      <c r="R56" s="116"/>
      <c r="S56" s="116"/>
      <c r="T56" s="116"/>
      <c r="U56" s="116"/>
      <c r="V56" s="116"/>
      <c r="W56" s="116"/>
      <c r="X56" s="116"/>
      <c r="Y56" s="116"/>
      <c r="Z56" s="116"/>
      <c r="AA56" s="116"/>
      <c r="AB56" s="116"/>
      <c r="AC56" s="116"/>
      <c r="AD56" s="116"/>
      <c r="AE56" s="116"/>
      <c r="AF56" s="116"/>
      <c r="AG56" s="116"/>
      <c r="AH56" s="116"/>
      <c r="AI56" s="116"/>
      <c r="AJ56" s="116"/>
      <c r="AK56" s="116"/>
      <c r="AL56" s="116"/>
      <c r="AM56" s="116"/>
      <c r="AN56" s="116"/>
      <c r="AO56" s="116"/>
      <c r="AP56" s="116"/>
      <c r="AQ56" s="116"/>
      <c r="AR56" s="116"/>
      <c r="AS56" s="116"/>
      <c r="AT56" s="116"/>
      <c r="AU56" s="116"/>
      <c r="AV56" s="116"/>
      <c r="AW56" s="116"/>
      <c r="AX56" s="116"/>
      <c r="AY56" s="116"/>
      <c r="AZ56" s="116"/>
      <c r="BA56" s="116"/>
      <c r="BB56" s="116"/>
      <c r="BC56" s="116"/>
      <c r="BD56" s="116"/>
      <c r="BE56" s="116"/>
      <c r="BF56" s="116"/>
      <c r="BG56" s="116"/>
      <c r="BH56" s="116"/>
      <c r="BI56" s="116"/>
      <c r="BJ56" s="116"/>
      <c r="BK56" s="116"/>
      <c r="BL56" s="116"/>
      <c r="BM56" s="116"/>
      <c r="BN56" s="116"/>
      <c r="BO56" s="116"/>
      <c r="BP56" s="116"/>
      <c r="BQ56" s="116"/>
      <c r="BR56" s="116"/>
      <c r="BS56" s="116"/>
      <c r="BT56" s="116"/>
      <c r="BU56" s="116"/>
      <c r="BV56" s="116"/>
      <c r="BW56" s="116"/>
      <c r="BX56" s="116"/>
      <c r="BY56" s="116"/>
      <c r="BZ56" s="116"/>
      <c r="CA56" s="116"/>
      <c r="CB56" s="116"/>
      <c r="CC56" s="116"/>
      <c r="CD56" s="116"/>
      <c r="CE56" s="116"/>
      <c r="CF56" s="116"/>
      <c r="CG56" s="116"/>
      <c r="CH56" s="116"/>
      <c r="CI56" s="116"/>
      <c r="CJ56" s="116"/>
      <c r="CK56" s="116"/>
      <c r="CL56" s="116"/>
      <c r="CM56" s="116"/>
      <c r="CN56" s="116"/>
      <c r="CO56" s="116"/>
      <c r="CP56" s="116"/>
      <c r="CQ56" s="116"/>
      <c r="CR56" s="116"/>
      <c r="CS56" s="116"/>
      <c r="CT56" s="116"/>
      <c r="CU56" s="116"/>
      <c r="CV56" s="116"/>
      <c r="CW56" s="116"/>
      <c r="CX56" s="116"/>
      <c r="CY56" s="116"/>
      <c r="CZ56" s="116"/>
      <c r="DA56" s="116"/>
      <c r="DB56" s="116"/>
      <c r="DC56" s="116"/>
      <c r="DD56" s="116"/>
      <c r="DE56" s="116"/>
      <c r="DF56" s="116"/>
      <c r="DG56" s="116"/>
      <c r="DH56" s="116"/>
      <c r="DI56" s="116"/>
      <c r="DJ56" s="116"/>
      <c r="DK56" s="116"/>
      <c r="DL56" s="116"/>
      <c r="DM56" s="116"/>
      <c r="DN56" s="116"/>
      <c r="DO56" s="116"/>
      <c r="DP56" s="116"/>
      <c r="DQ56" s="116"/>
      <c r="DT56" t="s">
        <v>8665</v>
      </c>
      <c r="DU56" s="821" t="s">
        <v>1702</v>
      </c>
      <c r="DV56" s="1464"/>
      <c r="DW56" s="830" t="s">
        <v>8249</v>
      </c>
      <c r="DX56" s="836" t="str">
        <f>IF(OR(DY55=" в размере",DY52=" в размере"),SEARCH(" в размере",$C$3,DZ52)+LEN(" в размере")+1,"НЕТ")</f>
        <v>НЕТ</v>
      </c>
      <c r="DY56" s="306" t="s">
        <v>8431</v>
      </c>
      <c r="DZ56" s="306" t="e">
        <f>SEARCH(DY56,$C$3,DX56)</f>
        <v>#VALUE!</v>
      </c>
      <c r="EA56" s="306" t="e">
        <f>DZ56-DX56</f>
        <v>#VALUE!</v>
      </c>
      <c r="EB56" s="826" t="e">
        <f>IF(EC52="Штраф 50%","",MID($C$3,DX56,EA56))</f>
        <v>#VALUE!</v>
      </c>
      <c r="EC56" s="829"/>
      <c r="NK56" s="1464"/>
      <c r="NL56" s="830" t="s">
        <v>8249</v>
      </c>
      <c r="NM56" s="836" t="e">
        <f>SEARCH(" в размере",NJ$4,NO52)+LEN(" в размере")+1</f>
        <v>#VALUE!</v>
      </c>
      <c r="NN56" s="306" t="s">
        <v>8431</v>
      </c>
      <c r="NO56" s="306" t="e">
        <f>SEARCH(NN56,NJ$4,NM56)</f>
        <v>#VALUE!</v>
      </c>
      <c r="NP56" s="306" t="e">
        <f>NO56-NM56</f>
        <v>#VALUE!</v>
      </c>
      <c r="NQ56" s="826" t="e">
        <f>IF(NR52="Штраф 50%","",MID(NJ$4,NM56,NP56))</f>
        <v>#VALUE!</v>
      </c>
      <c r="NR56" s="829"/>
      <c r="OC56" s="1472"/>
      <c r="OD56" s="946" t="str">
        <f t="shared" si="131"/>
        <v>$$$$</v>
      </c>
      <c r="OE56" s="947" t="e">
        <f t="shared" si="157"/>
        <v>#VALUE!</v>
      </c>
      <c r="OF56" s="116"/>
      <c r="OG56" s="116"/>
      <c r="OH56" s="116"/>
      <c r="OI56" s="116"/>
      <c r="OJ56" s="116"/>
      <c r="OL56" s="1497"/>
      <c r="OY56" s="116"/>
      <c r="OZ56" s="959"/>
      <c r="PA56" s="1210"/>
      <c r="PB56" s="959"/>
      <c r="PC56" s="116"/>
      <c r="PD56" s="1000"/>
      <c r="PF56" s="1209"/>
      <c r="PG56" s="1208"/>
      <c r="PH56" s="1209"/>
      <c r="PI56" s="5"/>
      <c r="PJ56" s="1073"/>
      <c r="PK56" s="99"/>
      <c r="PL56" s="920"/>
      <c r="PM56" s="995"/>
      <c r="PN56" s="920"/>
      <c r="PO56" s="254"/>
      <c r="PP56" s="871"/>
      <c r="PQ56" t="str">
        <f t="shared" si="133"/>
        <v>$$$$</v>
      </c>
      <c r="PR56" s="937" t="e">
        <f t="shared" si="158"/>
        <v>#VALUE!</v>
      </c>
      <c r="PS56" s="5"/>
      <c r="PV56" s="937"/>
      <c r="PX56" s="5"/>
      <c r="PY56" s="1470"/>
      <c r="PZ56" t="str">
        <f t="shared" si="135"/>
        <v>$$$$</v>
      </c>
      <c r="QA56" s="937" t="e">
        <f t="shared" si="159"/>
        <v>#VALUE!</v>
      </c>
      <c r="QB56" s="5"/>
      <c r="QC56" s="264"/>
      <c r="QE56" s="937"/>
      <c r="QF56" s="264"/>
      <c r="QG56" s="5"/>
      <c r="QH56" s="1470"/>
      <c r="QI56" t="str">
        <f t="shared" si="137"/>
        <v>$$$$</v>
      </c>
      <c r="QJ56" s="937" t="e">
        <f t="shared" si="160"/>
        <v>#VALUE!</v>
      </c>
      <c r="QK56" s="5"/>
      <c r="QL56" s="264"/>
      <c r="QN56" s="937"/>
      <c r="QO56" s="264"/>
      <c r="QP56" s="5"/>
      <c r="QQ56" s="1470"/>
      <c r="QR56" t="str">
        <f t="shared" si="139"/>
        <v>$$$$</v>
      </c>
      <c r="QS56" s="937" t="e">
        <f t="shared" si="161"/>
        <v>#VALUE!</v>
      </c>
      <c r="QT56" s="5"/>
      <c r="QU56" s="264"/>
      <c r="QW56" s="937"/>
      <c r="QX56" s="264"/>
      <c r="QY56" s="5"/>
      <c r="QZ56" s="1470"/>
      <c r="SQ56" s="116"/>
      <c r="SY56" s="1464"/>
      <c r="SZ56" s="830" t="s">
        <v>8249</v>
      </c>
      <c r="TA56" s="836" t="e">
        <f>IF(NOT(ISERROR(SEARCH("НДФЛ",SX$4))),MIN(SEARCH("в размере ",SX$4,TC52)+LEN("в размере "),SEARCH("исходя из суммы ",SX$4,TC52)+LEN("исходя из суммы ")),SEARCH(" в размере",SX$4,TC52)+LEN(" в размере")+1)</f>
        <v>#VALUE!</v>
      </c>
      <c r="TB56" s="306" t="s">
        <v>8431</v>
      </c>
      <c r="TC56" s="306" t="e">
        <f>SEARCH(TB56,$SQ$3,TA56)</f>
        <v>#VALUE!</v>
      </c>
      <c r="TD56" s="306" t="e">
        <f>TC56-TA56</f>
        <v>#VALUE!</v>
      </c>
      <c r="TE56" s="826" t="e">
        <f>IF(TF52="Штраф 50%","",MID($SQ$3,TA56,TD56))</f>
        <v>#VALUE!</v>
      </c>
      <c r="TF56" s="829"/>
      <c r="TK56" s="1477"/>
      <c r="TL56" s="1032"/>
      <c r="TM56" s="1033"/>
      <c r="TN56" s="403"/>
      <c r="TO56" s="403"/>
      <c r="TP56" s="403"/>
      <c r="TQ56" s="1034" t="e">
        <f>VALUE(CONCATENATE(TQ54,",",TQ55))</f>
        <v>#VALUE!</v>
      </c>
      <c r="TR56" s="832" t="str">
        <f>IFERROR(IF(TR53="Штраф 50%","",TQ56),"")</f>
        <v/>
      </c>
      <c r="TW56" s="1464"/>
      <c r="TX56" s="830" t="s">
        <v>8249</v>
      </c>
      <c r="TY56" s="836" t="e">
        <f>IF(NOT(ISERROR(SEARCH("НДФЛ",TV$4))),MIN(SEARCH("в размере ",TV$4,UA52)+LEN("в размере "),SEARCH("исходя из суммы ",TV$4,UA52)+LEN("исходя из суммы ")),SEARCH(" в размере",TV$4,UA52)+LEN(" в размере")+1)</f>
        <v>#VALUE!</v>
      </c>
      <c r="TZ56" s="306" t="s">
        <v>8431</v>
      </c>
      <c r="UA56" s="306" t="e">
        <f>SEARCH(TZ56,$SQ$4,TY56)</f>
        <v>#VALUE!</v>
      </c>
      <c r="UB56" s="306" t="e">
        <f>UA56-TY56</f>
        <v>#VALUE!</v>
      </c>
      <c r="UC56" s="826" t="e">
        <f>IF(UD52="Штраф 50%","",MID($SQ$4,TY56,UB56))</f>
        <v>#VALUE!</v>
      </c>
      <c r="UD56" s="829"/>
      <c r="UI56" s="1477"/>
      <c r="UJ56" s="1032"/>
      <c r="UK56" s="1033"/>
      <c r="UL56" s="403"/>
      <c r="UM56" s="403"/>
      <c r="UN56" s="403"/>
      <c r="UO56" s="1034" t="e">
        <f>VALUE(CONCATENATE(UO54,",",UO55))</f>
        <v>#VALUE!</v>
      </c>
      <c r="UP56" s="832" t="str">
        <f>IFERROR(IF(UP53="Штраф 50%","",UO56),"")</f>
        <v/>
      </c>
      <c r="UU56" s="1464"/>
      <c r="UV56" s="830" t="s">
        <v>8249</v>
      </c>
      <c r="UW56" s="836" t="e">
        <f>IF(NOT(ISERROR(SEARCH("НДФЛ",UT$4))),MIN(SEARCH("в размере ",UT$4,UY52)+LEN("в размере "),SEARCH("исходя из суммы ",UT$4,UY52)+LEN("исходя из суммы ")),SEARCH(" в размере",UT$4,UY52)+LEN(" в размере")+1)</f>
        <v>#VALUE!</v>
      </c>
      <c r="UX56" s="306" t="s">
        <v>8431</v>
      </c>
      <c r="UY56" s="306" t="e">
        <f>SEARCH(UX56,$SQ$5,UW56)</f>
        <v>#VALUE!</v>
      </c>
      <c r="UZ56" s="306" t="e">
        <f>UY56-UW56</f>
        <v>#VALUE!</v>
      </c>
      <c r="VA56" s="826" t="e">
        <f>IF(VB52="Штраф 50%","",MID($SQ$5,UW56,UZ56))</f>
        <v>#VALUE!</v>
      </c>
      <c r="VB56" s="829"/>
      <c r="VG56" s="1477"/>
      <c r="VH56" s="1032"/>
      <c r="VI56" s="1033"/>
      <c r="VJ56" s="403"/>
      <c r="VK56" s="403"/>
      <c r="VL56" s="403"/>
      <c r="VM56" s="1034" t="e">
        <f>VALUE(CONCATENATE(VM54,",",VM55))</f>
        <v>#VALUE!</v>
      </c>
      <c r="VN56" s="832" t="str">
        <f>IFERROR(IF(VN53="Штраф 50%","",VM56),"")</f>
        <v/>
      </c>
      <c r="VS56" s="1464"/>
      <c r="VT56" s="830" t="s">
        <v>8249</v>
      </c>
      <c r="VU56" s="836" t="e">
        <f>IF(NOT(ISERROR(SEARCH("НДФЛ",VR$4))),MIN(SEARCH("в размере ",VR$4,VW52)+LEN("в размере "),SEARCH("исходя из суммы ",VR$4,VW52)+LEN("исходя из суммы ")),SEARCH(" в размере",VR$4,VW52)+LEN(" в размере")+1)</f>
        <v>#VALUE!</v>
      </c>
      <c r="VV56" s="306" t="s">
        <v>8431</v>
      </c>
      <c r="VW56" s="306" t="e">
        <f>SEARCH(VV56,$SQ$6,VU56)</f>
        <v>#VALUE!</v>
      </c>
      <c r="VX56" s="306" t="e">
        <f>VW56-VU56</f>
        <v>#VALUE!</v>
      </c>
      <c r="VY56" s="826" t="e">
        <f>IF(VZ52="Штраф 50%","",MID($SQ$6,VU56,VX56))</f>
        <v>#VALUE!</v>
      </c>
      <c r="VZ56" s="829"/>
      <c r="WE56" s="1477"/>
      <c r="WF56" s="1032"/>
      <c r="WG56" s="1033"/>
      <c r="WH56" s="403"/>
      <c r="WI56" s="403"/>
      <c r="WJ56" s="403"/>
      <c r="WK56" s="1034" t="e">
        <f>VALUE(CONCATENATE(WK54,",",WK55))</f>
        <v>#VALUE!</v>
      </c>
      <c r="WL56" s="832" t="str">
        <f>IFERROR(IF(WL53="Штраф 50%","",WK56),"")</f>
        <v/>
      </c>
      <c r="WQ56" s="1464"/>
      <c r="WR56" s="830" t="s">
        <v>8249</v>
      </c>
      <c r="WS56" s="836" t="e">
        <f>IF(NOT(ISERROR(SEARCH("НДФЛ",WP$4))),MIN(SEARCH("в размере ",WP$4,WU52)+LEN("в размере "),SEARCH("исходя из суммы ",WP$4,WU52)+LEN("исходя из суммы ")),SEARCH(" в размере",WP$4,WU52)+LEN(" в размере")+1)</f>
        <v>#VALUE!</v>
      </c>
      <c r="WT56" s="306" t="s">
        <v>8431</v>
      </c>
      <c r="WU56" s="306" t="e">
        <f>SEARCH(WT56,$SQ$7,WS56)</f>
        <v>#VALUE!</v>
      </c>
      <c r="WV56" s="306" t="e">
        <f>WU56-WS56</f>
        <v>#VALUE!</v>
      </c>
      <c r="WW56" s="826" t="e">
        <f>IF(WX52="Штраф 50%","",MID($SQ$7,WS56,WV56))</f>
        <v>#VALUE!</v>
      </c>
      <c r="WX56" s="829"/>
      <c r="XC56" s="1477"/>
      <c r="XD56" s="1032"/>
      <c r="XE56" s="1033"/>
      <c r="XF56" s="403"/>
      <c r="XG56" s="403"/>
      <c r="XH56" s="403"/>
      <c r="XI56" s="1034" t="e">
        <f>VALUE(CONCATENATE(XI54,",",XI55))</f>
        <v>#VALUE!</v>
      </c>
      <c r="XJ56" s="832" t="str">
        <f>IFERROR(IF(XJ53="Штраф 50%","",XI56),"")</f>
        <v/>
      </c>
      <c r="YG56" s="1464"/>
      <c r="YH56" s="830" t="s">
        <v>8249</v>
      </c>
      <c r="YI56" s="836" t="str">
        <f>IF(OR(YJ55=" в размере",YJ52=" в размере"),SEARCH(" в размере",$XU$3,YK52)+LEN(" в размере")+1,"НЕТ")</f>
        <v>НЕТ</v>
      </c>
      <c r="YJ56" s="306" t="s">
        <v>8431</v>
      </c>
      <c r="YK56" s="306" t="e">
        <f>SEARCH(YJ56,$XU$3,YI56)</f>
        <v>#VALUE!</v>
      </c>
      <c r="YL56" s="306" t="e">
        <f>YK56-YI56</f>
        <v>#VALUE!</v>
      </c>
      <c r="YM56" s="826" t="e">
        <f>IF(YN52="Штраф 50%","",MID($XU$3,YI56,YL56))</f>
        <v>#VALUE!</v>
      </c>
      <c r="YN56" s="829"/>
      <c r="YS56" s="1464"/>
      <c r="YT56" s="830" t="s">
        <v>8249</v>
      </c>
      <c r="YU56" s="836" t="e">
        <f>SEARCH(" в размере",$XU$4,YW52)+LEN(" в размере")+1</f>
        <v>#VALUE!</v>
      </c>
      <c r="YV56" s="306" t="s">
        <v>8431</v>
      </c>
      <c r="YW56" s="306" t="e">
        <f>SEARCH(YV56,$XU$4,YU56)</f>
        <v>#VALUE!</v>
      </c>
      <c r="YX56" s="306" t="e">
        <f>YW56-YU56</f>
        <v>#VALUE!</v>
      </c>
      <c r="YY56" s="826" t="e">
        <f>IF(YZ52="Штраф 50%","",MID($XU$4,YU56,YX56))</f>
        <v>#VALUE!</v>
      </c>
      <c r="YZ56" s="829"/>
      <c r="ZE56" s="1464"/>
      <c r="ZF56" s="830" t="s">
        <v>8249</v>
      </c>
      <c r="ZG56" s="836" t="e">
        <f>SEARCH(" в размере",$XU$5,ZI52)+LEN(" в размере")+1</f>
        <v>#VALUE!</v>
      </c>
      <c r="ZH56" s="306" t="s">
        <v>8431</v>
      </c>
      <c r="ZI56" s="306" t="e">
        <f>SEARCH(ZH56,$XU$5,ZG56)</f>
        <v>#VALUE!</v>
      </c>
      <c r="ZJ56" s="306" t="e">
        <f>ZI56-ZG56</f>
        <v>#VALUE!</v>
      </c>
      <c r="ZK56" s="826" t="e">
        <f>IF(ZL52="Штраф 50%","",MID($XU$5,ZG56,ZJ56))</f>
        <v>#VALUE!</v>
      </c>
      <c r="ZL56" s="829"/>
      <c r="ZQ56" s="1464"/>
      <c r="ZR56" s="830" t="s">
        <v>8249</v>
      </c>
      <c r="ZS56" s="836" t="e">
        <f>SEARCH(" в размере",$XU$6,ZU52)+LEN(" в размере")+1</f>
        <v>#VALUE!</v>
      </c>
      <c r="ZT56" s="306" t="s">
        <v>8431</v>
      </c>
      <c r="ZU56" s="306" t="e">
        <f>SEARCH(ZT56,$XU$6,ZS56)</f>
        <v>#VALUE!</v>
      </c>
      <c r="ZV56" s="306" t="e">
        <f>ZU56-ZS56</f>
        <v>#VALUE!</v>
      </c>
      <c r="ZW56" s="826" t="e">
        <f>IF(ZX52="Штраф 50%","",MID($XU$6,ZS56,ZV56))</f>
        <v>#VALUE!</v>
      </c>
      <c r="ZX56" s="829"/>
      <c r="AAC56" s="1464"/>
      <c r="AAD56" s="830" t="s">
        <v>8249</v>
      </c>
      <c r="AAE56" s="836" t="e">
        <f>SEARCH(" в размере",$XU$7,AAG52)+LEN(" в размере")+1</f>
        <v>#VALUE!</v>
      </c>
      <c r="AAF56" s="306" t="s">
        <v>8431</v>
      </c>
      <c r="AAG56" s="306" t="e">
        <f>SEARCH(AAF56,$XU$7,AAE56)</f>
        <v>#VALUE!</v>
      </c>
      <c r="AAH56" s="306" t="e">
        <f>AAG56-AAE56</f>
        <v>#VALUE!</v>
      </c>
      <c r="AAI56" s="826" t="e">
        <f>IF(AAJ52="Штраф 50%","",MID($XU$7,AAE56,AAH56))</f>
        <v>#VALUE!</v>
      </c>
      <c r="AAJ56" s="829"/>
      <c r="AAV56" t="str">
        <f t="shared" si="141"/>
        <v>$$$$</v>
      </c>
      <c r="AAW56" s="947" t="e">
        <f>SEARCH(AAV56,#REF!)</f>
        <v>#REF!</v>
      </c>
      <c r="AAX56" s="5"/>
      <c r="AAY56" s="5"/>
      <c r="AAZ56" s="5"/>
      <c r="ABA56" s="1487"/>
      <c r="ADF56" s="5"/>
      <c r="ADG56" s="1075"/>
      <c r="ADQ56" s="1075"/>
      <c r="AEJ56" s="959"/>
      <c r="AEK56" s="959"/>
      <c r="AEL56" s="959"/>
      <c r="AEX56" s="1070"/>
      <c r="AFA56" s="1070"/>
      <c r="AFE56" s="1464"/>
      <c r="AFF56" s="830" t="s">
        <v>8249</v>
      </c>
      <c r="AFG56" s="836" t="e">
        <f>SEARCH(" в размере",AFD$4,AFI52)+LEN(" в размере")+1</f>
        <v>#VALUE!</v>
      </c>
      <c r="AFH56" s="306" t="s">
        <v>8431</v>
      </c>
      <c r="AFI56" s="306" t="e">
        <f>SEARCH(AFH56,AFD$4,AFG56)</f>
        <v>#VALUE!</v>
      </c>
      <c r="AFJ56" s="306" t="e">
        <f>AFI56-AFG56</f>
        <v>#VALUE!</v>
      </c>
      <c r="AFK56" s="826" t="e">
        <f>IF(AFL52="Штраф 50%","",MID(AFD$4,AFG56,AFJ56))</f>
        <v>#VALUE!</v>
      </c>
      <c r="AFL56" s="829"/>
      <c r="AFQ56" s="1464"/>
      <c r="AFR56" s="830" t="s">
        <v>8249</v>
      </c>
      <c r="AFS56" s="836" t="e">
        <f>SEARCH(" в размере",AFP$4,AFU52)+LEN(" в размере")+1</f>
        <v>#VALUE!</v>
      </c>
      <c r="AFT56" s="306" t="s">
        <v>8431</v>
      </c>
      <c r="AFU56" s="306" t="e">
        <f>SEARCH(AFT56,AFP$4,AFS56)</f>
        <v>#VALUE!</v>
      </c>
      <c r="AFV56" s="306" t="e">
        <f>AFU56-AFS56</f>
        <v>#VALUE!</v>
      </c>
      <c r="AFW56" s="826" t="e">
        <f>IF(AFX52="Штраф 50%","",MID(AFP$4,AFS56,AFV56))</f>
        <v>#VALUE!</v>
      </c>
      <c r="AFX56" s="829"/>
      <c r="AGC56" s="1464"/>
      <c r="AGD56" s="830" t="s">
        <v>8249</v>
      </c>
      <c r="AGE56" s="836" t="e">
        <f>SEARCH(" в размере",AGB$4,AGG52)+LEN(" в размере")+1</f>
        <v>#VALUE!</v>
      </c>
      <c r="AGF56" s="306" t="s">
        <v>8431</v>
      </c>
      <c r="AGG56" s="306" t="e">
        <f>SEARCH(AGF56,AGB$4,AGE56)</f>
        <v>#VALUE!</v>
      </c>
      <c r="AGH56" s="306" t="e">
        <f>AGG56-AGE56</f>
        <v>#VALUE!</v>
      </c>
      <c r="AGI56" s="826" t="e">
        <f>IF(AGJ52="Штраф 50%","",MID(AGB$4,AGE56,AGH56))</f>
        <v>#VALUE!</v>
      </c>
      <c r="AGJ56" s="829"/>
      <c r="AGO56" s="1464"/>
      <c r="AGP56" s="830" t="s">
        <v>8249</v>
      </c>
      <c r="AGQ56" s="836" t="e">
        <f>SEARCH(" в размере",AGN$4,AGS52)+LEN(" в размере")+1</f>
        <v>#VALUE!</v>
      </c>
      <c r="AGR56" s="306" t="s">
        <v>8431</v>
      </c>
      <c r="AGS56" s="306" t="e">
        <f>SEARCH(AGR56,AGN$4,AGQ56)</f>
        <v>#VALUE!</v>
      </c>
      <c r="AGT56" s="306" t="e">
        <f>AGS56-AGQ56</f>
        <v>#VALUE!</v>
      </c>
      <c r="AGU56" s="826" t="e">
        <f>IF(AGV52="Штраф 50%","",MID(AGN$4,AGQ56,AGT56))</f>
        <v>#VALUE!</v>
      </c>
      <c r="AGV56" s="829"/>
      <c r="AHA56" s="1464"/>
      <c r="AHB56" s="830" t="s">
        <v>8249</v>
      </c>
      <c r="AHC56" s="836" t="e">
        <f>SEARCH(" в размере",AGZ$4,AHE52)+LEN(" в размере")+1</f>
        <v>#VALUE!</v>
      </c>
      <c r="AHD56" s="306" t="s">
        <v>8431</v>
      </c>
      <c r="AHE56" s="306" t="e">
        <f>SEARCH(AHD56,AGZ$4,AHC56)</f>
        <v>#VALUE!</v>
      </c>
      <c r="AHF56" s="306" t="e">
        <f>AHE56-AHC56</f>
        <v>#VALUE!</v>
      </c>
      <c r="AHG56" s="826" t="e">
        <f>IF(AHH52="Штраф 50%","",MID(AGZ$4,AHC56,AHF56))</f>
        <v>#VALUE!</v>
      </c>
      <c r="AHH56" s="829"/>
    </row>
    <row r="57" spans="1:893" ht="14.4" customHeight="1" thickTop="1" x14ac:dyDescent="0.3">
      <c r="A57" s="116"/>
      <c r="B57" s="116"/>
      <c r="C57" s="116"/>
      <c r="D57" s="116"/>
      <c r="E57" s="116"/>
      <c r="F57" s="116"/>
      <c r="G57" s="116"/>
      <c r="H57" s="116"/>
      <c r="I57" s="116"/>
      <c r="J57" s="116"/>
      <c r="K57" s="116"/>
      <c r="L57" s="116"/>
      <c r="M57" s="116"/>
      <c r="N57" s="116"/>
      <c r="O57" s="116"/>
      <c r="P57" s="116"/>
      <c r="Q57" s="116"/>
      <c r="R57" s="116"/>
      <c r="S57" s="116"/>
      <c r="T57" s="116"/>
      <c r="U57" s="116"/>
      <c r="V57" s="116"/>
      <c r="W57" s="116"/>
      <c r="X57" s="116"/>
      <c r="Y57" s="116"/>
      <c r="Z57" s="116"/>
      <c r="AA57" s="116"/>
      <c r="AB57" s="116"/>
      <c r="AC57" s="116"/>
      <c r="AD57" s="116"/>
      <c r="AE57" s="116"/>
      <c r="AF57" s="116"/>
      <c r="AG57" s="116"/>
      <c r="AH57" s="116"/>
      <c r="AI57" s="116"/>
      <c r="AJ57" s="116"/>
      <c r="AK57" s="116"/>
      <c r="AL57" s="116"/>
      <c r="AM57" s="116"/>
      <c r="AN57" s="116"/>
      <c r="AO57" s="116"/>
      <c r="AP57" s="116"/>
      <c r="AQ57" s="116"/>
      <c r="AR57" s="116"/>
      <c r="AS57" s="116"/>
      <c r="AT57" s="116"/>
      <c r="AU57" s="116"/>
      <c r="AV57" s="116"/>
      <c r="AW57" s="116"/>
      <c r="AX57" s="116"/>
      <c r="AY57" s="116"/>
      <c r="AZ57" s="116"/>
      <c r="BA57" s="116"/>
      <c r="BB57" s="116"/>
      <c r="BC57" s="116"/>
      <c r="BD57" s="116"/>
      <c r="BE57" s="116"/>
      <c r="BF57" s="116"/>
      <c r="BG57" s="116"/>
      <c r="BH57" s="116"/>
      <c r="BI57" s="116"/>
      <c r="BJ57" s="116"/>
      <c r="BK57" s="116"/>
      <c r="BL57" s="116"/>
      <c r="BM57" s="116"/>
      <c r="BN57" s="116"/>
      <c r="BO57" s="116"/>
      <c r="BP57" s="116"/>
      <c r="BQ57" s="116"/>
      <c r="BR57" s="116"/>
      <c r="BS57" s="116"/>
      <c r="BT57" s="116"/>
      <c r="BU57" s="116"/>
      <c r="BV57" s="116"/>
      <c r="BW57" s="116"/>
      <c r="BX57" s="116"/>
      <c r="BY57" s="116"/>
      <c r="BZ57" s="116"/>
      <c r="CA57" s="116"/>
      <c r="CB57" s="116"/>
      <c r="CC57" s="116"/>
      <c r="CD57" s="116"/>
      <c r="CE57" s="116"/>
      <c r="CF57" s="116"/>
      <c r="CG57" s="116"/>
      <c r="CH57" s="116"/>
      <c r="CI57" s="116"/>
      <c r="CJ57" s="116"/>
      <c r="CK57" s="116"/>
      <c r="CL57" s="116"/>
      <c r="CM57" s="116"/>
      <c r="CN57" s="116"/>
      <c r="CO57" s="116"/>
      <c r="CP57" s="116"/>
      <c r="CQ57" s="116"/>
      <c r="CR57" s="116"/>
      <c r="CS57" s="116"/>
      <c r="CT57" s="116"/>
      <c r="CU57" s="116"/>
      <c r="CV57" s="116"/>
      <c r="CW57" s="116"/>
      <c r="CX57" s="116"/>
      <c r="CY57" s="116"/>
      <c r="CZ57" s="116"/>
      <c r="DA57" s="116"/>
      <c r="DB57" s="116"/>
      <c r="DC57" s="116"/>
      <c r="DD57" s="116"/>
      <c r="DE57" s="116"/>
      <c r="DF57" s="116"/>
      <c r="DG57" s="116"/>
      <c r="DH57" s="116"/>
      <c r="DI57" s="116"/>
      <c r="DJ57" s="116"/>
      <c r="DK57" s="116"/>
      <c r="DL57" s="116"/>
      <c r="DM57" s="116"/>
      <c r="DN57" s="116"/>
      <c r="DO57" s="116"/>
      <c r="DP57" s="116"/>
      <c r="DQ57" s="116"/>
      <c r="DT57" t="s">
        <v>8721</v>
      </c>
      <c r="DU57" s="821" t="s">
        <v>456</v>
      </c>
      <c r="DV57" s="1464"/>
      <c r="DW57" s="306"/>
      <c r="DX57" s="836" t="e">
        <f>SEARCH(" ",$C$3,DZ56+1)+1</f>
        <v>#VALUE!</v>
      </c>
      <c r="DY57" s="306" t="s">
        <v>8432</v>
      </c>
      <c r="DZ57" s="306" t="e">
        <f>SEARCH(DY57,$C$3,DX57)</f>
        <v>#VALUE!</v>
      </c>
      <c r="EA57" s="306" t="e">
        <f>DZ57-DX57</f>
        <v>#VALUE!</v>
      </c>
      <c r="EB57" s="826" t="e">
        <f>IF(EC52="Штраф 50%","",MID($C$3,DX57,EA57))</f>
        <v>#VALUE!</v>
      </c>
      <c r="EC57" s="829"/>
      <c r="NK57" s="1464"/>
      <c r="NL57" s="306"/>
      <c r="NM57" s="836" t="e">
        <f>SEARCH(" ",NJ$4,NO56+1)+1</f>
        <v>#VALUE!</v>
      </c>
      <c r="NN57" s="306" t="s">
        <v>8432</v>
      </c>
      <c r="NO57" s="306" t="e">
        <f>SEARCH(NN57,NJ$4,NM57)</f>
        <v>#VALUE!</v>
      </c>
      <c r="NP57" s="306" t="e">
        <f>NO57-NM57</f>
        <v>#VALUE!</v>
      </c>
      <c r="NQ57" s="826" t="e">
        <f>IF(NR52="Штраф 50%","",MID(NJ$4,NM57,NP57))</f>
        <v>#VALUE!</v>
      </c>
      <c r="NR57" s="829"/>
      <c r="OD57" s="946" t="str">
        <f t="shared" si="131"/>
        <v>$$$$</v>
      </c>
      <c r="OE57" s="947" t="e">
        <f t="shared" si="157"/>
        <v>#VALUE!</v>
      </c>
      <c r="OF57" s="116"/>
      <c r="OG57" s="116"/>
      <c r="OH57" s="116"/>
      <c r="OI57" s="116"/>
      <c r="OJ57" s="116"/>
      <c r="OK57" s="116"/>
      <c r="OL57" s="1497"/>
      <c r="OY57" s="116"/>
      <c r="OZ57" s="959"/>
      <c r="PA57" s="1210"/>
      <c r="PB57" s="959"/>
      <c r="PC57" s="116"/>
      <c r="PD57" s="1000"/>
      <c r="PF57" s="1209"/>
      <c r="PG57" s="1208"/>
      <c r="PH57" s="1209"/>
      <c r="PI57" s="5"/>
      <c r="PJ57" s="1073"/>
      <c r="PK57" s="99"/>
      <c r="PL57" s="920"/>
      <c r="PM57" s="995"/>
      <c r="PN57" s="920"/>
      <c r="PO57" s="254"/>
      <c r="PP57" s="871"/>
      <c r="PQ57" t="str">
        <f t="shared" si="133"/>
        <v>$$$$</v>
      </c>
      <c r="PR57" s="937" t="e">
        <f t="shared" si="158"/>
        <v>#VALUE!</v>
      </c>
      <c r="PS57" s="5"/>
      <c r="PV57" s="937"/>
      <c r="PX57" s="5"/>
      <c r="PY57" s="1470"/>
      <c r="PZ57" t="str">
        <f t="shared" si="135"/>
        <v>$$$$</v>
      </c>
      <c r="QA57" s="937" t="e">
        <f t="shared" si="159"/>
        <v>#VALUE!</v>
      </c>
      <c r="QB57" s="5"/>
      <c r="QC57" s="264"/>
      <c r="QE57" s="937"/>
      <c r="QF57" s="264"/>
      <c r="QG57" s="5"/>
      <c r="QH57" s="1470"/>
      <c r="QI57" t="str">
        <f t="shared" si="137"/>
        <v>$$$$</v>
      </c>
      <c r="QJ57" s="937" t="e">
        <f t="shared" si="160"/>
        <v>#VALUE!</v>
      </c>
      <c r="QK57" s="5"/>
      <c r="QL57" s="264"/>
      <c r="QN57" s="937"/>
      <c r="QO57" s="264"/>
      <c r="QP57" s="5"/>
      <c r="QQ57" s="1470"/>
      <c r="QR57" t="str">
        <f t="shared" si="139"/>
        <v>$$$$</v>
      </c>
      <c r="QS57" s="937" t="e">
        <f t="shared" si="161"/>
        <v>#VALUE!</v>
      </c>
      <c r="QT57" s="5"/>
      <c r="QU57" s="264"/>
      <c r="QW57" s="937"/>
      <c r="QX57" s="264"/>
      <c r="QY57" s="5"/>
      <c r="QZ57" s="1470"/>
      <c r="SQ57" s="116"/>
      <c r="SY57" s="1464"/>
      <c r="SZ57" s="306"/>
      <c r="TA57" s="836" t="e">
        <f>SEARCH(" ",$SQ$3,TC56+1)+1</f>
        <v>#VALUE!</v>
      </c>
      <c r="TB57" s="306" t="s">
        <v>8432</v>
      </c>
      <c r="TC57" s="306" t="e">
        <f>SEARCH(TB57,$SQ$3,TA57)</f>
        <v>#VALUE!</v>
      </c>
      <c r="TD57" s="306" t="e">
        <f>TC57-TA57</f>
        <v>#VALUE!</v>
      </c>
      <c r="TE57" s="826" t="e">
        <f>IF(TF52="Штраф 50%","",MID($SQ$3,TA57,TD57))</f>
        <v>#VALUE!</v>
      </c>
      <c r="TF57" s="829"/>
      <c r="TK57" s="1475">
        <v>14</v>
      </c>
      <c r="TL57" s="1030" t="s">
        <v>8433</v>
      </c>
      <c r="TM57" s="406" t="e">
        <f>SEARCH($TJ$14,TJ$4,TO53)+LEN($TJ$14)</f>
        <v>#VALUE!</v>
      </c>
      <c r="TN57" s="406" t="str">
        <f>IF(TO57=IFERROR(SEARCH(".",TJ$4,TM57),99999),".",
IF(TO57=IFERROR(SEARCH(",",TJ$4,TM57),99999),",",
IF(TO57=IFERROR(SEARCH(" за период",TJ$4,TM57),999999)," за период",
IF(TO57=IFERROR(SEARCH(" в размере",TJ$4,TM57),99999)," в размере",
IF(TO57=IFERROR(SEARCH(" и ",TJ$4,TM57),99999)," и ",
IF(TO57=IFERROR(SEARCH(")",TJ$4,TM57),99999),")",
))))))</f>
        <v>.</v>
      </c>
      <c r="TO57" s="406">
        <f>IFERROR(MIN(IFERROR(SEARCH(".",TJ$4,TM57),99999),IFERROR(SEARCH(",",TJ$4,TM57),99999),IFERROR(SEARCH(" за период",TJ$4,TM57),999999),IFERROR(SEARCH(" в размере",TJ$4,TM57),99999),IFERROR(SEARCH(" и ",TJ$4,TM57),99999),IFERROR(SEARCH(")",TJ$4,TM57),99999)),"ОШИБКА")</f>
        <v>99999</v>
      </c>
      <c r="TP57" s="406" t="e">
        <f>TO57-TM57</f>
        <v>#VALUE!</v>
      </c>
      <c r="TQ57" s="873" t="e">
        <f>MID(TJ$4,TM57,TP57)</f>
        <v>#VALUE!</v>
      </c>
      <c r="TR57" s="825" t="str">
        <f>IFERROR(INDEX($DU:$DU,MATCH(MID(TJ$4,TM57,TP57),$DT:$DT,0),1),"")</f>
        <v/>
      </c>
      <c r="TW57" s="1464"/>
      <c r="TX57" s="306"/>
      <c r="TY57" s="836" t="e">
        <f>SEARCH(" ",$SQ$4,UA56+1)+1</f>
        <v>#VALUE!</v>
      </c>
      <c r="TZ57" s="306" t="s">
        <v>8432</v>
      </c>
      <c r="UA57" s="306" t="e">
        <f>SEARCH(TZ57,$SQ$4,TY57)</f>
        <v>#VALUE!</v>
      </c>
      <c r="UB57" s="306" t="e">
        <f>UA57-TY57</f>
        <v>#VALUE!</v>
      </c>
      <c r="UC57" s="826" t="e">
        <f>IF(UD52="Штраф 50%","",MID($SQ$4,TY57,UB57))</f>
        <v>#VALUE!</v>
      </c>
      <c r="UD57" s="829"/>
      <c r="UI57" s="1475">
        <v>14</v>
      </c>
      <c r="UJ57" s="1030" t="s">
        <v>8433</v>
      </c>
      <c r="UK57" s="406" t="e">
        <f>SEARCH(UH$14,UH$4,UM53)+LEN(UH$14)</f>
        <v>#VALUE!</v>
      </c>
      <c r="UL57" s="406" t="str">
        <f>IF(UM57=IFERROR(SEARCH(".",UH$4,UK57),99999),".",
IF(UM57=IFERROR(SEARCH(",",UH$4,UK57),99999),",",
IF(UM57=IFERROR(SEARCH(" за период",UH$4,UK57),999999)," за период",
IF(UM57=IFERROR(SEARCH(" в размере",UH$4,UK57),99999)," в размере",
IF(UM57=IFERROR(SEARCH(" и ",UH$4,UK57),99999)," и ",
IF(UM57=IFERROR(SEARCH(")",UH$4,UK57),99999),")",
))))))</f>
        <v>.</v>
      </c>
      <c r="UM57" s="406">
        <f>IFERROR(MIN(IFERROR(SEARCH(".",UH$4,UK57),99999),IFERROR(SEARCH(",",UH$4,UK57),99999),IFERROR(SEARCH(" за период",UH$4,UK57),999999),IFERROR(SEARCH(" в размере",UH$4,UK57),99999),IFERROR(SEARCH(" и ",UH$4,UK57),99999),IFERROR(SEARCH(")",UH$4,UK57),99999)),"ОШИБКА")</f>
        <v>99999</v>
      </c>
      <c r="UN57" s="406" t="e">
        <f>UM57-UK57</f>
        <v>#VALUE!</v>
      </c>
      <c r="UO57" s="873" t="e">
        <f>MID(UH$4,UK57,UN57)</f>
        <v>#VALUE!</v>
      </c>
      <c r="UP57" s="825" t="str">
        <f>IFERROR(INDEX($DU:$DU,MATCH(MID(UH$4,UK57,UN57),$DT:$DT,0),1),"")</f>
        <v/>
      </c>
      <c r="UU57" s="1464"/>
      <c r="UV57" s="306"/>
      <c r="UW57" s="836" t="e">
        <f>SEARCH(" ",$SQ$5,UY56+1)+1</f>
        <v>#VALUE!</v>
      </c>
      <c r="UX57" s="306" t="s">
        <v>8432</v>
      </c>
      <c r="UY57" s="306" t="e">
        <f>SEARCH(UX57,$SQ$5,UW57)</f>
        <v>#VALUE!</v>
      </c>
      <c r="UZ57" s="306" t="e">
        <f>UY57-UW57</f>
        <v>#VALUE!</v>
      </c>
      <c r="VA57" s="826" t="e">
        <f>IF(VB52="Штраф 50%","",MID($SQ$5,UW57,UZ57))</f>
        <v>#VALUE!</v>
      </c>
      <c r="VB57" s="829"/>
      <c r="VG57" s="1475">
        <v>14</v>
      </c>
      <c r="VH57" s="1030" t="s">
        <v>8433</v>
      </c>
      <c r="VI57" s="406" t="e">
        <f>SEARCH(VF$14,VF$4,VK53)+LEN(VF$14)</f>
        <v>#VALUE!</v>
      </c>
      <c r="VJ57" s="406" t="str">
        <f>IF(VK57=IFERROR(SEARCH(".",VF$4,VI57),99999),".",
IF(VK57=IFERROR(SEARCH(",",VF$4,VI57),99999),",",
IF(VK57=IFERROR(SEARCH(" за период",VF$4,VI57),999999)," за период",
IF(VK57=IFERROR(SEARCH(" в размере",VF$4,VI57),99999)," в размере",
IF(VK57=IFERROR(SEARCH(" и ",VF$4,VI57),99999)," и ",
IF(VK57=IFERROR(SEARCH(")",VF$4,VI57),99999),")",
))))))</f>
        <v>.</v>
      </c>
      <c r="VK57" s="406">
        <f>IFERROR(MIN(IFERROR(SEARCH(".",VF$4,VI57),99999),IFERROR(SEARCH(",",VF$4,VI57),99999),IFERROR(SEARCH(" за период",VF$4,VI57),999999),IFERROR(SEARCH(" в размере",VF$4,VI57),99999),IFERROR(SEARCH(" и ",VF$4,VI57),99999),IFERROR(SEARCH(")",VF$4,VI57),99999)),"ОШИБКА")</f>
        <v>99999</v>
      </c>
      <c r="VL57" s="406" t="e">
        <f>VK57-VI57</f>
        <v>#VALUE!</v>
      </c>
      <c r="VM57" s="873" t="e">
        <f>MID(VF$4,VI57,VL57)</f>
        <v>#VALUE!</v>
      </c>
      <c r="VN57" s="825" t="str">
        <f>IFERROR(INDEX($DU:$DU,MATCH(MID(VF$4,VI57,VL57),$DT:$DT,0),1),"")</f>
        <v/>
      </c>
      <c r="VS57" s="1464"/>
      <c r="VT57" s="306"/>
      <c r="VU57" s="836" t="e">
        <f>SEARCH(" ",$SQ$6,VW56+1)+1</f>
        <v>#VALUE!</v>
      </c>
      <c r="VV57" s="306" t="s">
        <v>8432</v>
      </c>
      <c r="VW57" s="306" t="e">
        <f>SEARCH(VV57,$SQ$6,VU57)</f>
        <v>#VALUE!</v>
      </c>
      <c r="VX57" s="306" t="e">
        <f>VW57-VU57</f>
        <v>#VALUE!</v>
      </c>
      <c r="VY57" s="826" t="e">
        <f>IF(VZ52="Штраф 50%","",MID($SQ$6,VU57,VX57))</f>
        <v>#VALUE!</v>
      </c>
      <c r="VZ57" s="829"/>
      <c r="WE57" s="1475">
        <v>14</v>
      </c>
      <c r="WF57" s="1030" t="s">
        <v>8433</v>
      </c>
      <c r="WG57" s="406" t="e">
        <f>SEARCH($TJ$14,WD$4,WI53)+LEN($TJ$14)</f>
        <v>#VALUE!</v>
      </c>
      <c r="WH57" s="406" t="str">
        <f>IF(WI57=IFERROR(SEARCH(".",WD$4,WG57),99999),".",
IF(WI57=IFERROR(SEARCH(",",WD$4,WG57),99999),",",
IF(WI57=IFERROR(SEARCH(" за период",WD$4,WG57),999999)," за период",
IF(WI57=IFERROR(SEARCH(" в размере",WD$4,WG57),99999)," в размере",
IF(WI57=IFERROR(SEARCH(" и ",WD$4,WG57),99999)," и ",
IF(WI57=IFERROR(SEARCH(")",WD$4,WG57),99999),")",
))))))</f>
        <v>.</v>
      </c>
      <c r="WI57" s="406">
        <f>IFERROR(MIN(IFERROR(SEARCH(".",WD$4,WG57),99999),IFERROR(SEARCH(",",WD$4,WG57),99999),IFERROR(SEARCH(" за период",WD$4,WG57),999999),IFERROR(SEARCH(" в размере",WD$4,WG57),99999),IFERROR(SEARCH(" и ",WD$4,WG57),99999),IFERROR(SEARCH(")",WD$4,WG57),99999)),"ОШИБКА")</f>
        <v>99999</v>
      </c>
      <c r="WJ57" s="406" t="e">
        <f>WI57-WG57</f>
        <v>#VALUE!</v>
      </c>
      <c r="WK57" s="873" t="e">
        <f>MID(WD$4,WG57,WJ57)</f>
        <v>#VALUE!</v>
      </c>
      <c r="WL57" s="825" t="str">
        <f>IFERROR(INDEX($DU:$DU,MATCH(MID(WD$4,WG57,WJ57),$DT:$DT,0),1),"")</f>
        <v/>
      </c>
      <c r="WQ57" s="1464"/>
      <c r="WR57" s="306"/>
      <c r="WS57" s="836" t="e">
        <f>SEARCH(" ",$SQ$7,WU56+1)+1</f>
        <v>#VALUE!</v>
      </c>
      <c r="WT57" s="306" t="s">
        <v>8432</v>
      </c>
      <c r="WU57" s="306" t="e">
        <f>SEARCH(WT57,$SQ$7,WS57)</f>
        <v>#VALUE!</v>
      </c>
      <c r="WV57" s="306" t="e">
        <f>WU57-WS57</f>
        <v>#VALUE!</v>
      </c>
      <c r="WW57" s="826" t="e">
        <f>IF(WX52="Штраф 50%","",MID($SQ$7,WS57,WV57))</f>
        <v>#VALUE!</v>
      </c>
      <c r="WX57" s="829"/>
      <c r="XC57" s="1475">
        <v>14</v>
      </c>
      <c r="XD57" s="1030" t="s">
        <v>8433</v>
      </c>
      <c r="XE57" s="406" t="e">
        <f>SEARCH($TJ$14,XB$4,XG53)+LEN($TJ$14)</f>
        <v>#VALUE!</v>
      </c>
      <c r="XF57" s="406" t="str">
        <f>IF(XG57=IFERROR(SEARCH(".",XB$4,XE57),99999),".",
IF(XG57=IFERROR(SEARCH(",",XB$4,XE57),99999),",",
IF(XG57=IFERROR(SEARCH(" за период",XB$4,XE57),999999)," за период",
IF(XG57=IFERROR(SEARCH(" в размере",XB$4,XE57),99999)," в размере",
IF(XG57=IFERROR(SEARCH(" и ",XB$4,XE57),99999)," и ",
IF(XG57=IFERROR(SEARCH(")",XB$4,XE57),99999),")",
))))))</f>
        <v>.</v>
      </c>
      <c r="XG57" s="406">
        <f>IFERROR(MIN(IFERROR(SEARCH(".",XB$4,XE57),99999),IFERROR(SEARCH(",",XB$4,XE57),99999),IFERROR(SEARCH(" за период",XB$4,XE57),999999),IFERROR(SEARCH(" в размере",XB$4,XE57),99999),IFERROR(SEARCH(" и ",XB$4,XE57),99999),IFERROR(SEARCH(")",XB$4,XE57),99999)),"ОШИБКА")</f>
        <v>99999</v>
      </c>
      <c r="XH57" s="406" t="e">
        <f>XG57-XE57</f>
        <v>#VALUE!</v>
      </c>
      <c r="XI57" s="873" t="e">
        <f>MID(XB$4,XE57,XH57)</f>
        <v>#VALUE!</v>
      </c>
      <c r="XJ57" s="825" t="str">
        <f>IFERROR(INDEX($DU:$DU,MATCH(MID(XB$4,XE57,XH57),$DT:$DT,0),1),"")</f>
        <v/>
      </c>
      <c r="YG57" s="1464"/>
      <c r="YH57" s="306"/>
      <c r="YI57" s="836" t="e">
        <f>SEARCH(" ",$XU$3,YK56+1)+1</f>
        <v>#VALUE!</v>
      </c>
      <c r="YJ57" s="306" t="s">
        <v>8432</v>
      </c>
      <c r="YK57" s="306" t="e">
        <f>SEARCH(YJ57,$XU$3,YI57)</f>
        <v>#VALUE!</v>
      </c>
      <c r="YL57" s="306" t="e">
        <f>YK57-YI57</f>
        <v>#VALUE!</v>
      </c>
      <c r="YM57" s="826" t="e">
        <f>IF(YN52="Штраф 50%","",MID($XU$3,YI57,YL57))</f>
        <v>#VALUE!</v>
      </c>
      <c r="YN57" s="829"/>
      <c r="YS57" s="1464"/>
      <c r="YT57" s="306"/>
      <c r="YU57" s="836" t="e">
        <f>SEARCH(" ",$XU$4,YW56+1)+1</f>
        <v>#VALUE!</v>
      </c>
      <c r="YV57" s="306" t="s">
        <v>8432</v>
      </c>
      <c r="YW57" s="306" t="e">
        <f>SEARCH(YV57,$XU$4,YU57)</f>
        <v>#VALUE!</v>
      </c>
      <c r="YX57" s="306" t="e">
        <f>YW57-YU57</f>
        <v>#VALUE!</v>
      </c>
      <c r="YY57" s="826" t="e">
        <f>IF(YZ52="Штраф 50%","",MID($XU$4,YU57,YX57))</f>
        <v>#VALUE!</v>
      </c>
      <c r="YZ57" s="829"/>
      <c r="ZE57" s="1464"/>
      <c r="ZF57" s="306"/>
      <c r="ZG57" s="836" t="e">
        <f>SEARCH(" ",$XU$5,ZI56+1)+1</f>
        <v>#VALUE!</v>
      </c>
      <c r="ZH57" s="306" t="s">
        <v>8432</v>
      </c>
      <c r="ZI57" s="306" t="e">
        <f>SEARCH(ZH57,$XU$5,ZG57)</f>
        <v>#VALUE!</v>
      </c>
      <c r="ZJ57" s="306" t="e">
        <f>ZI57-ZG57</f>
        <v>#VALUE!</v>
      </c>
      <c r="ZK57" s="826" t="e">
        <f>IF(ZL52="Штраф 50%","",MID($XU$5,ZG57,ZJ57))</f>
        <v>#VALUE!</v>
      </c>
      <c r="ZL57" s="829"/>
      <c r="ZQ57" s="1464"/>
      <c r="ZR57" s="306"/>
      <c r="ZS57" s="836" t="e">
        <f>SEARCH(" ",$XU$6,ZU56+1)+1</f>
        <v>#VALUE!</v>
      </c>
      <c r="ZT57" s="306" t="s">
        <v>8432</v>
      </c>
      <c r="ZU57" s="306" t="e">
        <f>SEARCH(ZT57,$XU$6,ZS57)</f>
        <v>#VALUE!</v>
      </c>
      <c r="ZV57" s="306" t="e">
        <f>ZU57-ZS57</f>
        <v>#VALUE!</v>
      </c>
      <c r="ZW57" s="826" t="e">
        <f>IF(ZX52="Штраф 50%","",MID($XU$6,ZS57,ZV57))</f>
        <v>#VALUE!</v>
      </c>
      <c r="ZX57" s="829"/>
      <c r="AAC57" s="1464"/>
      <c r="AAD57" s="306"/>
      <c r="AAE57" s="836" t="e">
        <f>SEARCH(" ",$XU$7,AAG56+1)+1</f>
        <v>#VALUE!</v>
      </c>
      <c r="AAF57" s="306" t="s">
        <v>8432</v>
      </c>
      <c r="AAG57" s="306" t="e">
        <f>SEARCH(AAF57,$XU$7,AAE57)</f>
        <v>#VALUE!</v>
      </c>
      <c r="AAH57" s="306" t="e">
        <f>AAG57-AAE57</f>
        <v>#VALUE!</v>
      </c>
      <c r="AAI57" s="826" t="e">
        <f>IF(AAJ52="Штраф 50%","",MID($XU$7,AAE57,AAH57))</f>
        <v>#VALUE!</v>
      </c>
      <c r="AAJ57" s="829"/>
      <c r="AAV57" t="str">
        <f t="shared" si="141"/>
        <v>$$$$</v>
      </c>
      <c r="AAW57" s="947" t="e">
        <f>SEARCH(AAV57,#REF!)</f>
        <v>#REF!</v>
      </c>
      <c r="AAX57" s="5"/>
      <c r="AAY57" s="5"/>
      <c r="AAZ57" s="5"/>
      <c r="ABA57" s="1487"/>
      <c r="ADF57" s="5"/>
      <c r="ADG57" s="1075"/>
      <c r="ADQ57" s="1075"/>
      <c r="AEJ57" s="959"/>
      <c r="AEK57" s="959"/>
      <c r="AEL57" s="959"/>
      <c r="AEX57" s="1070"/>
      <c r="AFA57" s="1070"/>
      <c r="AFE57" s="1464"/>
      <c r="AFF57" s="306"/>
      <c r="AFG57" s="836" t="e">
        <f>SEARCH(" ",AFD$4,AFI56+1)+1</f>
        <v>#VALUE!</v>
      </c>
      <c r="AFH57" s="306" t="s">
        <v>8432</v>
      </c>
      <c r="AFI57" s="306" t="e">
        <f>SEARCH(AFH57,AFD$4,AFG57)</f>
        <v>#VALUE!</v>
      </c>
      <c r="AFJ57" s="306" t="e">
        <f>AFI57-AFG57</f>
        <v>#VALUE!</v>
      </c>
      <c r="AFK57" s="826" t="e">
        <f>IF(AFL52="Штраф 50%","",MID(AFD$4,AFG57,AFJ57))</f>
        <v>#VALUE!</v>
      </c>
      <c r="AFL57" s="829"/>
      <c r="AFQ57" s="1464"/>
      <c r="AFR57" s="306"/>
      <c r="AFS57" s="836" t="e">
        <f>SEARCH(" ",AFP$4,AFU56+1)+1</f>
        <v>#VALUE!</v>
      </c>
      <c r="AFT57" s="306" t="s">
        <v>8432</v>
      </c>
      <c r="AFU57" s="306" t="e">
        <f>SEARCH(AFT57,AFP$4,AFS57)</f>
        <v>#VALUE!</v>
      </c>
      <c r="AFV57" s="306" t="e">
        <f>AFU57-AFS57</f>
        <v>#VALUE!</v>
      </c>
      <c r="AFW57" s="826" t="e">
        <f>IF(AFX52="Штраф 50%","",MID(AFP$4,AFS57,AFV57))</f>
        <v>#VALUE!</v>
      </c>
      <c r="AFX57" s="829"/>
      <c r="AGC57" s="1464"/>
      <c r="AGD57" s="306"/>
      <c r="AGE57" s="836" t="e">
        <f>SEARCH(" ",AGB$4,AGG56+1)+1</f>
        <v>#VALUE!</v>
      </c>
      <c r="AGF57" s="306" t="s">
        <v>8432</v>
      </c>
      <c r="AGG57" s="306" t="e">
        <f>SEARCH(AGF57,AGB$4,AGE57)</f>
        <v>#VALUE!</v>
      </c>
      <c r="AGH57" s="306" t="e">
        <f>AGG57-AGE57</f>
        <v>#VALUE!</v>
      </c>
      <c r="AGI57" s="826" t="e">
        <f>IF(AGJ52="Штраф 50%","",MID(AGB$4,AGE57,AGH57))</f>
        <v>#VALUE!</v>
      </c>
      <c r="AGJ57" s="829"/>
      <c r="AGO57" s="1464"/>
      <c r="AGP57" s="306"/>
      <c r="AGQ57" s="836" t="e">
        <f>SEARCH(" ",AGN$4,AGS56+1)+1</f>
        <v>#VALUE!</v>
      </c>
      <c r="AGR57" s="306" t="s">
        <v>8432</v>
      </c>
      <c r="AGS57" s="306" t="e">
        <f>SEARCH(AGR57,AGN$4,AGQ57)</f>
        <v>#VALUE!</v>
      </c>
      <c r="AGT57" s="306" t="e">
        <f>AGS57-AGQ57</f>
        <v>#VALUE!</v>
      </c>
      <c r="AGU57" s="826" t="e">
        <f>IF(AGV52="Штраф 50%","",MID(AGN$4,AGQ57,AGT57))</f>
        <v>#VALUE!</v>
      </c>
      <c r="AGV57" s="829"/>
      <c r="AHA57" s="1464"/>
      <c r="AHB57" s="306"/>
      <c r="AHC57" s="836" t="e">
        <f>SEARCH(" ",AGZ$4,AHE56+1)+1</f>
        <v>#VALUE!</v>
      </c>
      <c r="AHD57" s="306" t="s">
        <v>8432</v>
      </c>
      <c r="AHE57" s="306" t="e">
        <f>SEARCH(AHD57,AGZ$4,AHC57)</f>
        <v>#VALUE!</v>
      </c>
      <c r="AHF57" s="306" t="e">
        <f>AHE57-AHC57</f>
        <v>#VALUE!</v>
      </c>
      <c r="AHG57" s="826" t="e">
        <f>IF(AHH52="Штраф 50%","",MID(AGZ$4,AHC57,AHF57))</f>
        <v>#VALUE!</v>
      </c>
      <c r="AHH57" s="829"/>
    </row>
    <row r="58" spans="1:893" ht="14.4" customHeight="1" thickBot="1" x14ac:dyDescent="0.35">
      <c r="A58" s="116"/>
      <c r="B58" s="116"/>
      <c r="C58" s="116"/>
      <c r="D58" s="116"/>
      <c r="E58" s="116"/>
      <c r="F58" s="116"/>
      <c r="G58" s="116"/>
      <c r="H58" s="116"/>
      <c r="I58" s="116"/>
      <c r="J58" s="116"/>
      <c r="K58" s="116"/>
      <c r="L58" s="116"/>
      <c r="M58" s="116"/>
      <c r="N58" s="116"/>
      <c r="O58" s="116"/>
      <c r="P58" s="116"/>
      <c r="Q58" s="116"/>
      <c r="R58" s="116"/>
      <c r="S58" s="116"/>
      <c r="T58" s="116"/>
      <c r="U58" s="116"/>
      <c r="V58" s="116"/>
      <c r="W58" s="116"/>
      <c r="X58" s="116"/>
      <c r="Y58" s="116"/>
      <c r="Z58" s="116"/>
      <c r="AA58" s="116"/>
      <c r="AB58" s="116"/>
      <c r="AC58" s="116"/>
      <c r="AD58" s="116"/>
      <c r="AE58" s="116"/>
      <c r="AF58" s="116"/>
      <c r="AG58" s="116"/>
      <c r="AH58" s="116"/>
      <c r="AI58" s="116"/>
      <c r="AJ58" s="116"/>
      <c r="AK58" s="116"/>
      <c r="AL58" s="116"/>
      <c r="AM58" s="116"/>
      <c r="AN58" s="116"/>
      <c r="AO58" s="116"/>
      <c r="AP58" s="116"/>
      <c r="AQ58" s="116"/>
      <c r="AR58" s="116"/>
      <c r="AS58" s="116"/>
      <c r="AT58" s="116"/>
      <c r="AU58" s="116"/>
      <c r="AV58" s="116"/>
      <c r="AW58" s="116"/>
      <c r="AX58" s="116"/>
      <c r="AY58" s="116"/>
      <c r="AZ58" s="116"/>
      <c r="BA58" s="116"/>
      <c r="BB58" s="116"/>
      <c r="BC58" s="116"/>
      <c r="BD58" s="116"/>
      <c r="BE58" s="116"/>
      <c r="BF58" s="116"/>
      <c r="BG58" s="116"/>
      <c r="BH58" s="116"/>
      <c r="BI58" s="116"/>
      <c r="BJ58" s="116"/>
      <c r="BK58" s="116"/>
      <c r="BL58" s="116"/>
      <c r="BM58" s="116"/>
      <c r="BN58" s="116"/>
      <c r="BO58" s="116"/>
      <c r="BP58" s="116"/>
      <c r="BQ58" s="116"/>
      <c r="BR58" s="116"/>
      <c r="BS58" s="116"/>
      <c r="BT58" s="116"/>
      <c r="BU58" s="116"/>
      <c r="BV58" s="116"/>
      <c r="BW58" s="116"/>
      <c r="BX58" s="116"/>
      <c r="BY58" s="116"/>
      <c r="BZ58" s="116"/>
      <c r="CA58" s="116"/>
      <c r="CB58" s="116"/>
      <c r="CC58" s="116"/>
      <c r="CD58" s="116"/>
      <c r="CE58" s="116"/>
      <c r="CF58" s="116"/>
      <c r="CG58" s="116"/>
      <c r="CH58" s="116"/>
      <c r="CI58" s="116"/>
      <c r="CJ58" s="116"/>
      <c r="CK58" s="116"/>
      <c r="CL58" s="116"/>
      <c r="CM58" s="116"/>
      <c r="CN58" s="116"/>
      <c r="CO58" s="116"/>
      <c r="CP58" s="116"/>
      <c r="CQ58" s="116"/>
      <c r="CR58" s="116"/>
      <c r="CS58" s="116"/>
      <c r="CT58" s="116"/>
      <c r="CU58" s="116"/>
      <c r="CV58" s="116"/>
      <c r="CW58" s="116"/>
      <c r="CX58" s="116"/>
      <c r="CY58" s="116"/>
      <c r="CZ58" s="116"/>
      <c r="DA58" s="116"/>
      <c r="DB58" s="116"/>
      <c r="DC58" s="116"/>
      <c r="DD58" s="116"/>
      <c r="DE58" s="116"/>
      <c r="DF58" s="116"/>
      <c r="DG58" s="116"/>
      <c r="DH58" s="116"/>
      <c r="DI58" s="116"/>
      <c r="DJ58" s="116"/>
      <c r="DK58" s="116"/>
      <c r="DL58" s="116"/>
      <c r="DM58" s="116"/>
      <c r="DN58" s="116"/>
      <c r="DO58" s="116"/>
      <c r="DP58" s="116"/>
      <c r="DQ58" s="116"/>
      <c r="DT58" t="s">
        <v>8722</v>
      </c>
      <c r="DU58" s="821" t="s">
        <v>1118</v>
      </c>
      <c r="DV58" s="1465"/>
      <c r="DW58" s="583"/>
      <c r="DX58" s="837"/>
      <c r="DY58" s="583"/>
      <c r="DZ58" s="583"/>
      <c r="EA58" s="583"/>
      <c r="EB58" s="831" t="e">
        <f>VALUE(CONCATENATE(EB56,",",EB57))</f>
        <v>#VALUE!</v>
      </c>
      <c r="EC58" s="832" t="str">
        <f>IF(EC52="Штраф 50%","",IF(OR(DY55=" в размере",DY52=" в размере"),EB58,""))</f>
        <v/>
      </c>
      <c r="NK58" s="1465"/>
      <c r="NL58" s="583"/>
      <c r="NM58" s="837"/>
      <c r="NN58" s="583"/>
      <c r="NO58" s="583"/>
      <c r="NP58" s="583"/>
      <c r="NQ58" s="831" t="e">
        <f>VALUE(CONCATENATE(NQ56,",",NQ57))</f>
        <v>#VALUE!</v>
      </c>
      <c r="NR58" s="832" t="str">
        <f>IF(NR52="Штраф 50%","",IF(OR(NN55=" в размере",NN52=" в размере"),NQ58,""))</f>
        <v/>
      </c>
      <c r="OD58" s="946" t="str">
        <f t="shared" si="131"/>
        <v>$$$$</v>
      </c>
      <c r="OE58" s="947" t="e">
        <f t="shared" si="157"/>
        <v>#VALUE!</v>
      </c>
      <c r="OF58" s="116"/>
      <c r="OG58" s="116"/>
      <c r="OH58" s="116"/>
      <c r="OI58" s="116"/>
      <c r="OJ58" s="116"/>
      <c r="OK58" s="116"/>
      <c r="OL58" s="1497"/>
      <c r="OY58" s="116"/>
      <c r="OZ58" s="959"/>
      <c r="PA58" s="1210"/>
      <c r="PB58" s="959"/>
      <c r="PC58" s="116"/>
      <c r="PD58" s="1000"/>
      <c r="PF58" s="1209"/>
      <c r="PG58" s="1208"/>
      <c r="PH58" s="1209"/>
      <c r="PI58" s="5"/>
      <c r="PJ58" s="1073"/>
      <c r="PK58" s="99"/>
      <c r="PL58" s="920"/>
      <c r="PM58" s="995"/>
      <c r="PN58" s="920"/>
      <c r="PO58" s="254"/>
      <c r="PP58" s="871"/>
      <c r="PQ58" t="str">
        <f t="shared" si="133"/>
        <v>$$$$</v>
      </c>
      <c r="PR58" s="937" t="e">
        <f t="shared" si="158"/>
        <v>#VALUE!</v>
      </c>
      <c r="PS58" s="5"/>
      <c r="PV58" s="937"/>
      <c r="PX58" s="5"/>
      <c r="PY58" s="1470"/>
      <c r="PZ58" t="str">
        <f t="shared" si="135"/>
        <v>$$$$</v>
      </c>
      <c r="QA58" s="937" t="e">
        <f t="shared" si="159"/>
        <v>#VALUE!</v>
      </c>
      <c r="QB58" s="5"/>
      <c r="QC58" s="264"/>
      <c r="QE58" s="937"/>
      <c r="QF58" s="264"/>
      <c r="QG58" s="5"/>
      <c r="QH58" s="1470"/>
      <c r="QI58" t="str">
        <f t="shared" si="137"/>
        <v>$$$$</v>
      </c>
      <c r="QJ58" s="937" t="e">
        <f t="shared" si="160"/>
        <v>#VALUE!</v>
      </c>
      <c r="QK58" s="5"/>
      <c r="QL58" s="264"/>
      <c r="QN58" s="937"/>
      <c r="QO58" s="264"/>
      <c r="QP58" s="5"/>
      <c r="QQ58" s="1470"/>
      <c r="QR58" t="str">
        <f t="shared" si="139"/>
        <v>$$$$</v>
      </c>
      <c r="QS58" s="937" t="e">
        <f t="shared" si="161"/>
        <v>#VALUE!</v>
      </c>
      <c r="QT58" s="5"/>
      <c r="QU58" s="264"/>
      <c r="QW58" s="937"/>
      <c r="QX58" s="264"/>
      <c r="QY58" s="5"/>
      <c r="QZ58" s="1470"/>
      <c r="SQ58" s="116"/>
      <c r="SY58" s="1465"/>
      <c r="SZ58" s="583"/>
      <c r="TA58" s="837"/>
      <c r="TB58" s="583"/>
      <c r="TC58" s="583"/>
      <c r="TD58" s="583"/>
      <c r="TE58" s="831" t="e">
        <f>VALUE(CONCATENATE(TE56,",",TE57))</f>
        <v>#VALUE!</v>
      </c>
      <c r="TF58" s="832" t="str">
        <f>IF(OR(TF52="Штраф 50%",TF52=""),"",TE58)</f>
        <v/>
      </c>
      <c r="TK58" s="1476"/>
      <c r="TL58" s="1031" t="s">
        <v>8249</v>
      </c>
      <c r="TM58" s="836">
        <f>IFERROR(MIN(IFERROR(SEARCH(", ",TJ$4,TO53)+LEN(", "),99999),IFERROR(SEARCH("и ",TJ$4,TO53)+LEN("и "),99999)),"ОШИБКА")</f>
        <v>99999</v>
      </c>
      <c r="TN58" s="306" t="s">
        <v>8431</v>
      </c>
      <c r="TO58" s="306" t="e">
        <f>SEARCH(TN58,TJ$4,TM58)</f>
        <v>#VALUE!</v>
      </c>
      <c r="TP58" s="306" t="e">
        <f>TO58-TM58</f>
        <v>#VALUE!</v>
      </c>
      <c r="TQ58" s="826" t="e">
        <f>IF(TR57="Штраф 50%","",MID(TJ$4,TM58,TP58))</f>
        <v>#VALUE!</v>
      </c>
      <c r="TR58" s="828" t="str">
        <f>IF(TN57=" за период",TQ58,"")</f>
        <v/>
      </c>
      <c r="TW58" s="1465"/>
      <c r="TX58" s="583"/>
      <c r="TY58" s="837"/>
      <c r="TZ58" s="583"/>
      <c r="UA58" s="583"/>
      <c r="UB58" s="583"/>
      <c r="UC58" s="831" t="e">
        <f>VALUE(CONCATENATE(UC56,",",UC57))</f>
        <v>#VALUE!</v>
      </c>
      <c r="UD58" s="832" t="str">
        <f>IF(OR(UD52="Штраф 50%",UD52=""),"",UC58)</f>
        <v/>
      </c>
      <c r="UI58" s="1476"/>
      <c r="UJ58" s="1031" t="s">
        <v>8249</v>
      </c>
      <c r="UK58" s="836">
        <f>IFERROR(MIN(IFERROR(SEARCH(", ",UH$4,UM53)+LEN(", "),99999),IFERROR(SEARCH("и ",UH$4,UM53)+LEN("и "),99999)),"ОШИБКА")</f>
        <v>99999</v>
      </c>
      <c r="UL58" s="306" t="s">
        <v>8431</v>
      </c>
      <c r="UM58" s="306" t="e">
        <f>SEARCH(UL58,UH$4,UK58)</f>
        <v>#VALUE!</v>
      </c>
      <c r="UN58" s="306" t="e">
        <f>UM58-UK58</f>
        <v>#VALUE!</v>
      </c>
      <c r="UO58" s="826" t="e">
        <f>IF(UP57="Штраф 50%","",MID(UH$4,UK58,UN58))</f>
        <v>#VALUE!</v>
      </c>
      <c r="UP58" s="828" t="str">
        <f>IF(UL57=" за период",UO58,"")</f>
        <v/>
      </c>
      <c r="UU58" s="1465"/>
      <c r="UV58" s="583"/>
      <c r="UW58" s="837"/>
      <c r="UX58" s="583"/>
      <c r="UY58" s="583"/>
      <c r="UZ58" s="583"/>
      <c r="VA58" s="831" t="e">
        <f>VALUE(CONCATENATE(VA56,",",VA57))</f>
        <v>#VALUE!</v>
      </c>
      <c r="VB58" s="832" t="str">
        <f>IF(OR(VB52="Штраф 50%",VB52=""),"",VA58)</f>
        <v/>
      </c>
      <c r="VG58" s="1476"/>
      <c r="VH58" s="1031" t="s">
        <v>8249</v>
      </c>
      <c r="VI58" s="836">
        <f>IFERROR(MIN(IFERROR(SEARCH(", ",VF$4,VK53)+LEN(", "),99999),IFERROR(SEARCH("и ",VF$4,VK53)+LEN("и "),99999)),"ОШИБКА")</f>
        <v>99999</v>
      </c>
      <c r="VJ58" s="306" t="s">
        <v>8431</v>
      </c>
      <c r="VK58" s="306" t="e">
        <f>SEARCH(VJ58,VF$4,VI58)</f>
        <v>#VALUE!</v>
      </c>
      <c r="VL58" s="306" t="e">
        <f>VK58-VI58</f>
        <v>#VALUE!</v>
      </c>
      <c r="VM58" s="826" t="e">
        <f>IF(VN57="Штраф 50%","",MID(VF$4,VI58,VL58))</f>
        <v>#VALUE!</v>
      </c>
      <c r="VN58" s="828" t="str">
        <f>IF(VJ57=" за период",VM58,"")</f>
        <v/>
      </c>
      <c r="VS58" s="1465"/>
      <c r="VT58" s="583"/>
      <c r="VU58" s="837"/>
      <c r="VV58" s="583"/>
      <c r="VW58" s="583"/>
      <c r="VX58" s="583"/>
      <c r="VY58" s="831" t="e">
        <f>VALUE(CONCATENATE(VY56,",",VY57))</f>
        <v>#VALUE!</v>
      </c>
      <c r="VZ58" s="832" t="str">
        <f>IF(OR(VZ52="Штраф 50%",VZ52=""),"",VY58)</f>
        <v/>
      </c>
      <c r="WE58" s="1476"/>
      <c r="WF58" s="1031" t="s">
        <v>8249</v>
      </c>
      <c r="WG58" s="836">
        <f>IFERROR(MIN(IFERROR(SEARCH(", ",WD$4,WI53)+LEN(", "),99999),IFERROR(SEARCH("и ",WD$4,WI53)+LEN("и "),99999)),"ОШИБКА")</f>
        <v>99999</v>
      </c>
      <c r="WH58" s="306" t="s">
        <v>8431</v>
      </c>
      <c r="WI58" s="306" t="e">
        <f>SEARCH(WH58,WD$4,WG58)</f>
        <v>#VALUE!</v>
      </c>
      <c r="WJ58" s="306" t="e">
        <f>WI58-WG58</f>
        <v>#VALUE!</v>
      </c>
      <c r="WK58" s="826" t="e">
        <f>IF(WL57="Штраф 50%","",MID(WD$4,WG58,WJ58))</f>
        <v>#VALUE!</v>
      </c>
      <c r="WL58" s="828" t="str">
        <f>IF(WH57=" за период",WK58,"")</f>
        <v/>
      </c>
      <c r="WQ58" s="1465"/>
      <c r="WR58" s="583"/>
      <c r="WS58" s="837"/>
      <c r="WT58" s="583"/>
      <c r="WU58" s="583"/>
      <c r="WV58" s="583"/>
      <c r="WW58" s="831" t="e">
        <f>VALUE(CONCATENATE(WW56,",",WW57))</f>
        <v>#VALUE!</v>
      </c>
      <c r="WX58" s="832" t="str">
        <f>IF(OR(WX52="Штраф 50%",WX52=""),"",WW58)</f>
        <v/>
      </c>
      <c r="XC58" s="1476"/>
      <c r="XD58" s="1031" t="s">
        <v>8249</v>
      </c>
      <c r="XE58" s="836">
        <f>IFERROR(MIN(IFERROR(SEARCH(", ",XB$4,XG53)+LEN(", "),99999),IFERROR(SEARCH("и ",XB$4,XG53)+LEN("и "),99999)),"ОШИБКА")</f>
        <v>99999</v>
      </c>
      <c r="XF58" s="306" t="s">
        <v>8431</v>
      </c>
      <c r="XG58" s="306" t="e">
        <f>SEARCH(XF58,XB$4,XE58)</f>
        <v>#VALUE!</v>
      </c>
      <c r="XH58" s="306" t="e">
        <f>XG58-XE58</f>
        <v>#VALUE!</v>
      </c>
      <c r="XI58" s="826" t="e">
        <f>IF(XJ57="Штраф 50%","",MID(XB$4,XE58,XH58))</f>
        <v>#VALUE!</v>
      </c>
      <c r="XJ58" s="828" t="str">
        <f>IF(XF57=" за период",XI58,"")</f>
        <v/>
      </c>
      <c r="YG58" s="1465"/>
      <c r="YH58" s="583"/>
      <c r="YI58" s="837"/>
      <c r="YJ58" s="583"/>
      <c r="YK58" s="583"/>
      <c r="YL58" s="583"/>
      <c r="YM58" s="831" t="e">
        <f>VALUE(CONCATENATE(YM56,",",YM57))</f>
        <v>#VALUE!</v>
      </c>
      <c r="YN58" s="832" t="str">
        <f>IF(YN52="Штраф 50%","",IF(OR(YJ55=" в размере",YJ52=" в размере"),YM58,""))</f>
        <v/>
      </c>
      <c r="YS58" s="1465"/>
      <c r="YT58" s="583"/>
      <c r="YU58" s="837"/>
      <c r="YV58" s="583"/>
      <c r="YW58" s="583"/>
      <c r="YX58" s="583"/>
      <c r="YY58" s="831" t="e">
        <f>VALUE(CONCATENATE(YY56,",",YY57))</f>
        <v>#VALUE!</v>
      </c>
      <c r="YZ58" s="832" t="str">
        <f>IF(YZ52="Штраф 50%","",IF(OR(YV55=" в размере",YV52=" в размере"),YY58,""))</f>
        <v/>
      </c>
      <c r="ZE58" s="1465"/>
      <c r="ZF58" s="583"/>
      <c r="ZG58" s="837"/>
      <c r="ZH58" s="583"/>
      <c r="ZI58" s="583"/>
      <c r="ZJ58" s="583"/>
      <c r="ZK58" s="831" t="e">
        <f>VALUE(CONCATENATE(ZK56,",",ZK57))</f>
        <v>#VALUE!</v>
      </c>
      <c r="ZL58" s="832" t="str">
        <f>IF(ZL52="Штраф 50%","",IF(OR(ZH55=" в размере",ZH52=" в размере"),ZK58,""))</f>
        <v/>
      </c>
      <c r="ZQ58" s="1465"/>
      <c r="ZR58" s="583"/>
      <c r="ZS58" s="837"/>
      <c r="ZT58" s="583"/>
      <c r="ZU58" s="583"/>
      <c r="ZV58" s="583"/>
      <c r="ZW58" s="831" t="e">
        <f>VALUE(CONCATENATE(ZW56,",",ZW57))</f>
        <v>#VALUE!</v>
      </c>
      <c r="ZX58" s="832" t="str">
        <f>IF(ZX52="Штраф 50%","",IF(OR(ZT55=" в размере",ZT52=" в размере"),ZW58,""))</f>
        <v/>
      </c>
      <c r="AAC58" s="1465"/>
      <c r="AAD58" s="583"/>
      <c r="AAE58" s="837"/>
      <c r="AAF58" s="583"/>
      <c r="AAG58" s="583"/>
      <c r="AAH58" s="583"/>
      <c r="AAI58" s="831" t="e">
        <f>VALUE(CONCATENATE(AAI56,",",AAI57))</f>
        <v>#VALUE!</v>
      </c>
      <c r="AAJ58" s="832" t="str">
        <f>IF(AAJ52="Штраф 50%","",IF(OR(AAF55=" в размере",AAF52=" в размере"),AAI58,""))</f>
        <v/>
      </c>
      <c r="AAV58" t="str">
        <f t="shared" si="141"/>
        <v>$$$$</v>
      </c>
      <c r="AAW58" s="947" t="e">
        <f>SEARCH(AAV58,#REF!)</f>
        <v>#REF!</v>
      </c>
      <c r="AAX58" s="5"/>
      <c r="AAY58" s="5"/>
      <c r="AAZ58" s="5"/>
      <c r="ABA58" s="1487"/>
      <c r="ADF58" s="5"/>
      <c r="ADG58" s="1075"/>
      <c r="ADQ58" s="1075"/>
      <c r="AEJ58" s="959"/>
      <c r="AEK58" s="959"/>
      <c r="AEL58" s="959"/>
      <c r="AEX58" s="1070"/>
      <c r="AFA58" s="1070"/>
      <c r="AFE58" s="1465"/>
      <c r="AFF58" s="583"/>
      <c r="AFG58" s="837"/>
      <c r="AFH58" s="583"/>
      <c r="AFI58" s="583"/>
      <c r="AFJ58" s="583"/>
      <c r="AFK58" s="831" t="e">
        <f>VALUE(CONCATENATE(AFK56,",",AFK57))</f>
        <v>#VALUE!</v>
      </c>
      <c r="AFL58" s="832" t="str">
        <f>IF(AFL52="Штраф 50%","",IF(OR(AFH55=" в размере",AFH52=" в размере"),AFK58,""))</f>
        <v/>
      </c>
      <c r="AFQ58" s="1465"/>
      <c r="AFR58" s="583"/>
      <c r="AFS58" s="837"/>
      <c r="AFT58" s="583"/>
      <c r="AFU58" s="583"/>
      <c r="AFV58" s="583"/>
      <c r="AFW58" s="831" t="e">
        <f>VALUE(CONCATENATE(AFW56,",",AFW57))</f>
        <v>#VALUE!</v>
      </c>
      <c r="AFX58" s="832" t="str">
        <f>IF(AFX52="Штраф 50%","",IF(OR(AFT55=" в размере",AFT52=" в размере"),AFW58,""))</f>
        <v/>
      </c>
      <c r="AGC58" s="1465"/>
      <c r="AGD58" s="583"/>
      <c r="AGE58" s="837"/>
      <c r="AGF58" s="583"/>
      <c r="AGG58" s="583"/>
      <c r="AGH58" s="583"/>
      <c r="AGI58" s="831" t="e">
        <f>VALUE(CONCATENATE(AGI56,",",AGI57))</f>
        <v>#VALUE!</v>
      </c>
      <c r="AGJ58" s="832" t="str">
        <f>IF(AGJ52="Штраф 50%","",IF(OR(AGF55=" в размере",AGF52=" в размере"),AGI58,""))</f>
        <v/>
      </c>
      <c r="AGO58" s="1465"/>
      <c r="AGP58" s="583"/>
      <c r="AGQ58" s="837"/>
      <c r="AGR58" s="583"/>
      <c r="AGS58" s="583"/>
      <c r="AGT58" s="583"/>
      <c r="AGU58" s="831" t="e">
        <f>VALUE(CONCATENATE(AGU56,",",AGU57))</f>
        <v>#VALUE!</v>
      </c>
      <c r="AGV58" s="832" t="str">
        <f>IF(AGV52="Штраф 50%","",IF(OR(AGR55=" в размере",AGR52=" в размере"),AGU58,""))</f>
        <v/>
      </c>
      <c r="AHA58" s="1465"/>
      <c r="AHB58" s="583"/>
      <c r="AHC58" s="837"/>
      <c r="AHD58" s="583"/>
      <c r="AHE58" s="583"/>
      <c r="AHF58" s="583"/>
      <c r="AHG58" s="831" t="e">
        <f>VALUE(CONCATENATE(AHG56,",",AHG57))</f>
        <v>#VALUE!</v>
      </c>
      <c r="AHH58" s="832" t="str">
        <f>IF(AHH52="Штраф 50%","",IF(OR(AHD55=" в размере",AHD52=" в размере"),AHG58,""))</f>
        <v/>
      </c>
    </row>
    <row r="59" spans="1:893" ht="14.4" customHeight="1" thickTop="1" x14ac:dyDescent="0.3">
      <c r="A59" s="116"/>
      <c r="B59" s="116"/>
      <c r="C59" s="116"/>
      <c r="D59" s="116"/>
      <c r="E59" s="116"/>
      <c r="F59" s="116"/>
      <c r="G59" s="116"/>
      <c r="H59" s="116"/>
      <c r="I59" s="116"/>
      <c r="J59" s="116"/>
      <c r="K59" s="116"/>
      <c r="L59" s="116"/>
      <c r="M59" s="116"/>
      <c r="N59" s="116"/>
      <c r="O59" s="116"/>
      <c r="P59" s="116"/>
      <c r="Q59" s="116"/>
      <c r="R59" s="116"/>
      <c r="S59" s="116"/>
      <c r="T59" s="116"/>
      <c r="U59" s="116"/>
      <c r="V59" s="116"/>
      <c r="W59" s="116"/>
      <c r="X59" s="116"/>
      <c r="Y59" s="116"/>
      <c r="Z59" s="116"/>
      <c r="AA59" s="116"/>
      <c r="AB59" s="116"/>
      <c r="AC59" s="116"/>
      <c r="AD59" s="116"/>
      <c r="AE59" s="116"/>
      <c r="AF59" s="116"/>
      <c r="AG59" s="116"/>
      <c r="AH59" s="116"/>
      <c r="AI59" s="116"/>
      <c r="AJ59" s="116"/>
      <c r="AK59" s="116"/>
      <c r="AL59" s="116"/>
      <c r="AM59" s="116"/>
      <c r="AN59" s="116"/>
      <c r="AO59" s="116"/>
      <c r="AP59" s="116"/>
      <c r="AQ59" s="116"/>
      <c r="AR59" s="116"/>
      <c r="AS59" s="116"/>
      <c r="AT59" s="116"/>
      <c r="AU59" s="116"/>
      <c r="AV59" s="116"/>
      <c r="AW59" s="116"/>
      <c r="AX59" s="116"/>
      <c r="AY59" s="116"/>
      <c r="AZ59" s="116"/>
      <c r="BA59" s="116"/>
      <c r="BB59" s="116"/>
      <c r="BC59" s="116"/>
      <c r="BD59" s="116"/>
      <c r="BE59" s="116"/>
      <c r="BF59" s="116"/>
      <c r="BG59" s="116"/>
      <c r="BH59" s="116"/>
      <c r="BI59" s="116"/>
      <c r="BJ59" s="116"/>
      <c r="BK59" s="116"/>
      <c r="BL59" s="116"/>
      <c r="BM59" s="116"/>
      <c r="BN59" s="116"/>
      <c r="BO59" s="116"/>
      <c r="BP59" s="116"/>
      <c r="BQ59" s="116"/>
      <c r="BR59" s="116"/>
      <c r="BS59" s="116"/>
      <c r="BT59" s="116"/>
      <c r="BU59" s="116"/>
      <c r="BV59" s="116"/>
      <c r="BW59" s="116"/>
      <c r="BX59" s="116"/>
      <c r="BY59" s="116"/>
      <c r="BZ59" s="116"/>
      <c r="CA59" s="116"/>
      <c r="CB59" s="116"/>
      <c r="CC59" s="116"/>
      <c r="CD59" s="116"/>
      <c r="CE59" s="116"/>
      <c r="CF59" s="116"/>
      <c r="CG59" s="116"/>
      <c r="CH59" s="116"/>
      <c r="CI59" s="116"/>
      <c r="CJ59" s="116"/>
      <c r="CK59" s="116"/>
      <c r="CL59" s="116"/>
      <c r="CM59" s="116"/>
      <c r="CN59" s="116"/>
      <c r="CO59" s="116"/>
      <c r="CP59" s="116"/>
      <c r="CQ59" s="116"/>
      <c r="CR59" s="116"/>
      <c r="CS59" s="116"/>
      <c r="CT59" s="116"/>
      <c r="CU59" s="116"/>
      <c r="CV59" s="116"/>
      <c r="CW59" s="116"/>
      <c r="CX59" s="116"/>
      <c r="CY59" s="116"/>
      <c r="CZ59" s="116"/>
      <c r="DA59" s="116"/>
      <c r="DB59" s="116"/>
      <c r="DC59" s="116"/>
      <c r="DD59" s="116"/>
      <c r="DE59" s="116"/>
      <c r="DF59" s="116"/>
      <c r="DG59" s="116"/>
      <c r="DH59" s="116"/>
      <c r="DI59" s="116"/>
      <c r="DJ59" s="116"/>
      <c r="DK59" s="116"/>
      <c r="DL59" s="116"/>
      <c r="DM59" s="116"/>
      <c r="DN59" s="116"/>
      <c r="DO59" s="116"/>
      <c r="DP59" s="116"/>
      <c r="DQ59" s="116"/>
      <c r="DT59" t="s">
        <v>8732</v>
      </c>
      <c r="DU59" s="821" t="s">
        <v>8733</v>
      </c>
      <c r="DV59" s="1463">
        <v>9</v>
      </c>
      <c r="DW59" s="824" t="s">
        <v>8433</v>
      </c>
      <c r="DX59" s="838" t="e">
        <f>SEARCH(DS$4,$C$3,DZ52)+LEN(DS$4)</f>
        <v>#VALUE!</v>
      </c>
      <c r="DY59" s="406" t="str">
        <f>IF(DZ59=IFERROR(SEARCH(".",C$3,DX59),99999),".",
IF(DZ59=IFERROR(SEARCH(",",C$3,DX59),99999),",",
IF(DZ59=IFERROR(SEARCH(" за период",C$3,DX59),999999)," за период",
IF(DZ59=IFERROR(SEARCH(" в размере",C$3,DX59),99999)," в размере",
))))</f>
        <v>.</v>
      </c>
      <c r="DZ59" s="406">
        <f>IFERROR(MIN(IFERROR(SEARCH(".",$C$3,DX59),99999),IFERROR(SEARCH(",",$C$3,DX59),99999),IFERROR(SEARCH(" за период",$C$3,DX59),999999),IFERROR(SEARCH(" в размере",$C$3,DX59),99999)),"ОШИБКА")</f>
        <v>99999</v>
      </c>
      <c r="EA59" s="406" t="e">
        <f>DZ59-DX59</f>
        <v>#VALUE!</v>
      </c>
      <c r="EB59" s="824" t="e">
        <f>MID($C$3,DX59,EA59)</f>
        <v>#VALUE!</v>
      </c>
      <c r="EC59" s="825" t="str">
        <f>IFERROR(INDEX(DU:DU,MATCH(MID($C$3,DX59,EA59),DT:DT,0),1),"")</f>
        <v/>
      </c>
      <c r="ED59" s="754"/>
      <c r="NK59" s="1463">
        <v>9</v>
      </c>
      <c r="NL59" s="824" t="s">
        <v>8433</v>
      </c>
      <c r="NM59" s="838" t="e">
        <f>SEARCH(NH$4,NJ$4,NO52)+LEN(NH$4)</f>
        <v>#VALUE!</v>
      </c>
      <c r="NN59" s="406" t="str">
        <f>IF(NO59=IFERROR(SEARCH(".",NJ$4,NM59),99999),".",
IF(NO59=IFERROR(SEARCH(",",NJ$4,NM59),99999),",",
IF(NO59=IFERROR(SEARCH(" за период",NJ$4,NM59),999999)," за период",
IF(NO59=IFERROR(SEARCH(" в размере",NJ$4,NM59),99999)," в размере",
))))</f>
        <v>.</v>
      </c>
      <c r="NO59" s="406">
        <f>IFERROR(MIN(IFERROR(SEARCH(".",NJ$4,NM59),99999),IFERROR(SEARCH(",",NJ$4,NM59),99999),IFERROR(SEARCH(" за период",NJ$4,NM59),999999),IFERROR(SEARCH(" в размере",NJ$4,NM59),99999)),"ОШИБКА")</f>
        <v>99999</v>
      </c>
      <c r="NP59" s="406" t="e">
        <f>NO59-NM59</f>
        <v>#VALUE!</v>
      </c>
      <c r="NQ59" s="824" t="e">
        <f>MID(NJ$4,NM59,NP59)</f>
        <v>#VALUE!</v>
      </c>
      <c r="NR59" s="825" t="str">
        <f>IFERROR(INDEX($DU:$DU,MATCH(MID(NJ$4,NM59,NP59),$DT:$DT,0),1),"")</f>
        <v/>
      </c>
      <c r="NS59" s="754"/>
      <c r="NT59" s="754"/>
      <c r="OD59" s="946" t="str">
        <f t="shared" si="131"/>
        <v>$$$$</v>
      </c>
      <c r="OE59" s="947" t="e">
        <f t="shared" si="157"/>
        <v>#VALUE!</v>
      </c>
      <c r="OF59" s="116"/>
      <c r="OG59" s="116"/>
      <c r="OH59" s="116"/>
      <c r="OI59" s="116"/>
      <c r="OJ59" s="116"/>
      <c r="OK59" s="116"/>
      <c r="OL59" s="1497"/>
      <c r="OY59" s="116"/>
      <c r="OZ59" s="959"/>
      <c r="PA59" s="1210"/>
      <c r="PB59" s="959"/>
      <c r="PC59" s="116"/>
      <c r="PD59" s="1000"/>
      <c r="PF59" s="1209"/>
      <c r="PG59" s="1208"/>
      <c r="PH59" s="1209"/>
      <c r="PI59" s="5"/>
      <c r="PJ59" s="1073"/>
      <c r="PK59" s="99"/>
      <c r="PL59" s="920"/>
      <c r="PM59" s="995"/>
      <c r="PN59" s="920"/>
      <c r="PO59" s="254"/>
      <c r="PP59" s="871"/>
      <c r="PQ59" t="str">
        <f t="shared" si="133"/>
        <v>$$$$</v>
      </c>
      <c r="PR59" s="937" t="e">
        <f t="shared" si="158"/>
        <v>#VALUE!</v>
      </c>
      <c r="PS59" s="5"/>
      <c r="PV59" s="937"/>
      <c r="PX59" s="5"/>
      <c r="PY59" s="1470"/>
      <c r="PZ59" t="str">
        <f t="shared" si="135"/>
        <v>$$$$</v>
      </c>
      <c r="QA59" s="937" t="e">
        <f t="shared" si="159"/>
        <v>#VALUE!</v>
      </c>
      <c r="QB59" s="5"/>
      <c r="QC59" s="264"/>
      <c r="QE59" s="937"/>
      <c r="QF59" s="264"/>
      <c r="QG59" s="5"/>
      <c r="QH59" s="1470"/>
      <c r="QI59" t="str">
        <f t="shared" si="137"/>
        <v>$$$$</v>
      </c>
      <c r="QJ59" s="937" t="e">
        <f t="shared" si="160"/>
        <v>#VALUE!</v>
      </c>
      <c r="QK59" s="5"/>
      <c r="QL59" s="264"/>
      <c r="QN59" s="937"/>
      <c r="QO59" s="264"/>
      <c r="QP59" s="5"/>
      <c r="QQ59" s="1470"/>
      <c r="QR59" t="str">
        <f t="shared" si="139"/>
        <v>$$$$</v>
      </c>
      <c r="QS59" s="937" t="e">
        <f t="shared" si="161"/>
        <v>#VALUE!</v>
      </c>
      <c r="QT59" s="5"/>
      <c r="QU59" s="264"/>
      <c r="QW59" s="937"/>
      <c r="QX59" s="264"/>
      <c r="QY59" s="5"/>
      <c r="QZ59" s="1470"/>
      <c r="SQ59" s="116"/>
      <c r="SY59" s="1463">
        <v>9</v>
      </c>
      <c r="SZ59" s="824" t="s">
        <v>8433</v>
      </c>
      <c r="TA59" s="838" t="e">
        <f>SEARCH(SV$4,$SQ$3,TC52)+LEN(SV$4)</f>
        <v>#VALUE!</v>
      </c>
      <c r="TB59" s="406" t="str">
        <f>IF(TC59=IFERROR(SEARCH(".",$SQ$3,TA59),99999),".",
IF(TC59=IFERROR(SEARCH(",",$SQ$3,TA59),99999),",",
IF(TC59=IFERROR(SEARCH(" за период",$SQ$3,TA59),999999)," за период",
IF(TC59=IFERROR(SEARCH(" в размере",$SQ$3,TA59),99999)," в размере",
))))</f>
        <v>.</v>
      </c>
      <c r="TC59" s="406">
        <f>IFERROR(MIN(IFERROR(SEARCH(".",$SQ$3,TA59),99999),IFERROR(SEARCH(",",$SQ$3,TA59),99999),IFERROR(SEARCH(" за период",$SQ$3,TA59),999999),IFERROR(SEARCH(" в размере",$SQ$3,TA59),99999)),"ОШИБКА")</f>
        <v>99999</v>
      </c>
      <c r="TD59" s="406" t="e">
        <f>TC59-TA59</f>
        <v>#VALUE!</v>
      </c>
      <c r="TE59" s="824" t="e">
        <f>MID($SQ$3,TA59,TD59)</f>
        <v>#VALUE!</v>
      </c>
      <c r="TF59" s="825" t="str">
        <f>IFERROR(INDEX($DU:$DU,MATCH(MID($SQ$3,TA59,TD59),$DT:$DT,0),1),"")</f>
        <v/>
      </c>
      <c r="TG59" s="754"/>
      <c r="TK59" s="1476"/>
      <c r="TL59" s="592"/>
      <c r="TM59" s="836" t="e">
        <f>SEARCH(" ",TJ$4,TO58+1)+1</f>
        <v>#VALUE!</v>
      </c>
      <c r="TN59" s="306" t="s">
        <v>8432</v>
      </c>
      <c r="TO59" s="306" t="e">
        <f>SEARCH(TN59,TJ$4,TM59)</f>
        <v>#VALUE!</v>
      </c>
      <c r="TP59" s="306" t="e">
        <f>TO59-TM59</f>
        <v>#VALUE!</v>
      </c>
      <c r="TQ59" s="826" t="e">
        <f>IF(TR57="Штраф 50%","",MID(TJ$4,TM59,TP59))</f>
        <v>#VALUE!</v>
      </c>
      <c r="TR59" s="828" t="str">
        <f>IF(TN57=" за период",TQ59,"")</f>
        <v/>
      </c>
      <c r="TS59" s="754"/>
      <c r="TW59" s="1463">
        <v>9</v>
      </c>
      <c r="TX59" s="824" t="s">
        <v>8433</v>
      </c>
      <c r="TY59" s="838" t="e">
        <f>SEARCH(TT$4,$SQ$4,UA52)+LEN(TT$4)</f>
        <v>#VALUE!</v>
      </c>
      <c r="TZ59" s="406" t="str">
        <f>IF(UA59=IFERROR(SEARCH(".",$SQ$4,TY59),99999),".",
IF(UA59=IFERROR(SEARCH(",",$SQ$4,TY59),99999),",",
IF(UA59=IFERROR(SEARCH(" за период",$SQ$4,TY59),999999)," за период",
IF(UA59=IFERROR(SEARCH(" в размере",$SQ$4,TY59),99999)," в размере",
))))</f>
        <v>.</v>
      </c>
      <c r="UA59" s="406">
        <f>IFERROR(MIN(IFERROR(SEARCH(".",$SQ$4,TY59),99999),IFERROR(SEARCH(",",$SQ$4,TY59),99999),IFERROR(SEARCH(" за период",$SQ$4,TY59),999999),IFERROR(SEARCH(" в размере",$SQ$4,TY59),99999)),"ОШИБКА")</f>
        <v>99999</v>
      </c>
      <c r="UB59" s="406" t="e">
        <f>UA59-TY59</f>
        <v>#VALUE!</v>
      </c>
      <c r="UC59" s="824" t="e">
        <f>MID($SQ$4,TY59,UB59)</f>
        <v>#VALUE!</v>
      </c>
      <c r="UD59" s="825" t="str">
        <f>IFERROR(INDEX($DU:$DU,MATCH(MID($SQ$4,TY59,UB59),$DT:$DT,0),1),"")</f>
        <v/>
      </c>
      <c r="UE59" s="754"/>
      <c r="UI59" s="1476"/>
      <c r="UJ59" s="592"/>
      <c r="UK59" s="836" t="e">
        <f>SEARCH(" ",UH$4,UM58+1)+1</f>
        <v>#VALUE!</v>
      </c>
      <c r="UL59" s="306" t="s">
        <v>8432</v>
      </c>
      <c r="UM59" s="306" t="e">
        <f>SEARCH(UL59,UH$4,UK59)</f>
        <v>#VALUE!</v>
      </c>
      <c r="UN59" s="306" t="e">
        <f>UM59-UK59</f>
        <v>#VALUE!</v>
      </c>
      <c r="UO59" s="826" t="e">
        <f>IF(UP57="Штраф 50%","",MID(UH$4,UK59,UN59))</f>
        <v>#VALUE!</v>
      </c>
      <c r="UP59" s="828" t="str">
        <f>IF(UL57=" за период",UO59,"")</f>
        <v/>
      </c>
      <c r="UQ59" s="754"/>
      <c r="UU59" s="1463">
        <v>9</v>
      </c>
      <c r="UV59" s="824" t="s">
        <v>8433</v>
      </c>
      <c r="UW59" s="838" t="e">
        <f>SEARCH(UR$4,$SQ$5,UY52)+LEN(UR$4)</f>
        <v>#VALUE!</v>
      </c>
      <c r="UX59" s="406" t="str">
        <f>IF(UY59=IFERROR(SEARCH(".",$SQ$5,UW59),99999),".",
IF(UY59=IFERROR(SEARCH(",",$SQ$5,UW59),99999),",",
IF(UY59=IFERROR(SEARCH(" за период",$SQ$5,UW59),999999)," за период",
IF(UY59=IFERROR(SEARCH(" в размере",$SQ$5,UW59),99999)," в размере",
))))</f>
        <v>.</v>
      </c>
      <c r="UY59" s="406">
        <f>IFERROR(MIN(IFERROR(SEARCH(".",$SQ$5,UW59),99999),IFERROR(SEARCH(",",$SQ$5,UW59),99999),IFERROR(SEARCH(" за период",$SQ$5,UW59),999999),IFERROR(SEARCH(" в размере",$SQ$5,UW59),99999)),"ОШИБКА")</f>
        <v>99999</v>
      </c>
      <c r="UZ59" s="406" t="e">
        <f>UY59-UW59</f>
        <v>#VALUE!</v>
      </c>
      <c r="VA59" s="824" t="e">
        <f>MID($SQ$5,UW59,UZ59)</f>
        <v>#VALUE!</v>
      </c>
      <c r="VB59" s="825" t="str">
        <f>IFERROR(INDEX($DU:$DU,MATCH(MID($SQ$5,UW59,UZ59),$DT:$DT,0),1),"")</f>
        <v/>
      </c>
      <c r="VC59" s="754"/>
      <c r="VG59" s="1476"/>
      <c r="VH59" s="592"/>
      <c r="VI59" s="836" t="e">
        <f>SEARCH(" ",VF$4,VK58+1)+1</f>
        <v>#VALUE!</v>
      </c>
      <c r="VJ59" s="306" t="s">
        <v>8432</v>
      </c>
      <c r="VK59" s="306" t="e">
        <f>SEARCH(VJ59,VF$4,VI59)</f>
        <v>#VALUE!</v>
      </c>
      <c r="VL59" s="306" t="e">
        <f>VK59-VI59</f>
        <v>#VALUE!</v>
      </c>
      <c r="VM59" s="826" t="e">
        <f>IF(VN57="Штраф 50%","",MID(VF$4,VI59,VL59))</f>
        <v>#VALUE!</v>
      </c>
      <c r="VN59" s="828" t="str">
        <f>IF(VJ57=" за период",VM59,"")</f>
        <v/>
      </c>
      <c r="VO59" s="754"/>
      <c r="VS59" s="1463">
        <v>9</v>
      </c>
      <c r="VT59" s="824" t="s">
        <v>8433</v>
      </c>
      <c r="VU59" s="838" t="e">
        <f>SEARCH(VP$4,$SQ$6,VW52)+LEN(VP$4)</f>
        <v>#VALUE!</v>
      </c>
      <c r="VV59" s="406" t="str">
        <f>IF(VW59=IFERROR(SEARCH(".",$SQ$6,VU59),99999),".",
IF(VW59=IFERROR(SEARCH(",",$SQ$6,VU59),99999),",",
IF(VW59=IFERROR(SEARCH(" за период",$SQ$6,VU59),999999)," за период",
IF(VW59=IFERROR(SEARCH(" в размере",$SQ$6,VU59),99999)," в размере",
))))</f>
        <v>.</v>
      </c>
      <c r="VW59" s="406">
        <f>IFERROR(MIN(IFERROR(SEARCH(".",$SQ$6,VU59),99999),IFERROR(SEARCH(",",$SQ$6,VU59),99999),IFERROR(SEARCH(" за период",$SQ$6,VU59),999999),IFERROR(SEARCH(" в размере",$SQ$6,VU59),99999)),"ОШИБКА")</f>
        <v>99999</v>
      </c>
      <c r="VX59" s="406" t="e">
        <f>VW59-VU59</f>
        <v>#VALUE!</v>
      </c>
      <c r="VY59" s="824" t="e">
        <f>MID($SQ$6,VU59,VX59)</f>
        <v>#VALUE!</v>
      </c>
      <c r="VZ59" s="825" t="str">
        <f>IFERROR(INDEX($DU:$DU,MATCH(MID($SQ$6,VU59,VX59),$DT:$DT,0),1),"")</f>
        <v/>
      </c>
      <c r="WA59" s="754"/>
      <c r="WE59" s="1476"/>
      <c r="WF59" s="592"/>
      <c r="WG59" s="836" t="e">
        <f>SEARCH(" ",WD$4,WI58+1)+1</f>
        <v>#VALUE!</v>
      </c>
      <c r="WH59" s="306" t="s">
        <v>8432</v>
      </c>
      <c r="WI59" s="306" t="e">
        <f>SEARCH(WH59,WD$4,WG59)</f>
        <v>#VALUE!</v>
      </c>
      <c r="WJ59" s="306" t="e">
        <f>WI59-WG59</f>
        <v>#VALUE!</v>
      </c>
      <c r="WK59" s="826" t="e">
        <f>IF(WL57="Штраф 50%","",MID(WD$4,WG59,WJ59))</f>
        <v>#VALUE!</v>
      </c>
      <c r="WL59" s="828" t="str">
        <f>IF(WH57=" за период",WK59,"")</f>
        <v/>
      </c>
      <c r="WM59" s="754"/>
      <c r="WQ59" s="1463">
        <v>9</v>
      </c>
      <c r="WR59" s="824" t="s">
        <v>8433</v>
      </c>
      <c r="WS59" s="838" t="e">
        <f>SEARCH(WN$4,$SQ$7,WU52)+LEN(WN$4)</f>
        <v>#VALUE!</v>
      </c>
      <c r="WT59" s="406" t="str">
        <f>IF(WU59=IFERROR(SEARCH(".",$SQ$7,WS59),99999),".",
IF(WU59=IFERROR(SEARCH(",",$SQ$7,WS59),99999),",",
IF(WU59=IFERROR(SEARCH(" за период",$SQ$7,WS59),999999)," за период",
IF(WU59=IFERROR(SEARCH(" в размере",$SQ$7,WS59),99999)," в размере",
))))</f>
        <v>.</v>
      </c>
      <c r="WU59" s="406">
        <f>IFERROR(MIN(IFERROR(SEARCH(".",$SQ$7,WS59),99999),IFERROR(SEARCH(",",$SQ$7,WS59),99999),IFERROR(SEARCH(" за период",$SQ$7,WS59),999999),IFERROR(SEARCH(" в размере",$SQ$7,WS59),99999)),"ОШИБКА")</f>
        <v>99999</v>
      </c>
      <c r="WV59" s="406" t="e">
        <f>WU59-WS59</f>
        <v>#VALUE!</v>
      </c>
      <c r="WW59" s="824" t="e">
        <f>MID($SQ$7,WS59,WV59)</f>
        <v>#VALUE!</v>
      </c>
      <c r="WX59" s="825" t="str">
        <f>IFERROR(INDEX($DU:$DU,MATCH(MID($SQ$7,WS59,WV59),$DT:$DT,0),1),"")</f>
        <v/>
      </c>
      <c r="WY59" s="754"/>
      <c r="XC59" s="1476"/>
      <c r="XD59" s="592"/>
      <c r="XE59" s="836" t="e">
        <f>SEARCH(" ",XB$4,XG58+1)+1</f>
        <v>#VALUE!</v>
      </c>
      <c r="XF59" s="306" t="s">
        <v>8432</v>
      </c>
      <c r="XG59" s="306" t="e">
        <f>SEARCH(XF59,XB$4,XE59)</f>
        <v>#VALUE!</v>
      </c>
      <c r="XH59" s="306" t="e">
        <f>XG59-XE59</f>
        <v>#VALUE!</v>
      </c>
      <c r="XI59" s="826" t="e">
        <f>IF(XJ57="Штраф 50%","",MID(XB$4,XE59,XH59))</f>
        <v>#VALUE!</v>
      </c>
      <c r="XJ59" s="828" t="str">
        <f>IF(XF57=" за период",XI59,"")</f>
        <v/>
      </c>
      <c r="XK59" s="754"/>
      <c r="YG59" s="1463">
        <v>9</v>
      </c>
      <c r="YH59" s="824" t="s">
        <v>8433</v>
      </c>
      <c r="YI59" s="838" t="e">
        <f>SEARCH(YD$4,$XU$3,YK52)+LEN(YD$4)</f>
        <v>#VALUE!</v>
      </c>
      <c r="YJ59" s="406" t="str">
        <f>IF(YK59=IFERROR(SEARCH(".",$XU$3,YI59),99999),".",
IF(YK59=IFERROR(SEARCH(",",$XU$3,YI59),99999),",",
IF(YK59=IFERROR(SEARCH(" за период",$XU$3,YI59),999999)," за период",
IF(YK59=IFERROR(SEARCH(" в размере",$XU$3,YI59),99999)," в размере",
))))</f>
        <v>.</v>
      </c>
      <c r="YK59" s="406">
        <f>IFERROR(MIN(IFERROR(SEARCH(".",$XU$3,YI59),99999),IFERROR(SEARCH(",",$XU$3,YI59),99999),IFERROR(SEARCH(" за период",$XU$3,YI59),999999),IFERROR(SEARCH(" в размере",$XU$3,YI59),99999)),"ОШИБКА")</f>
        <v>99999</v>
      </c>
      <c r="YL59" s="406" t="e">
        <f>YK59-YI59</f>
        <v>#VALUE!</v>
      </c>
      <c r="YM59" s="824" t="e">
        <f>MID($XU$3,YI59,YL59)</f>
        <v>#VALUE!</v>
      </c>
      <c r="YN59" s="825" t="str">
        <f>IFERROR(INDEX($DU:$DU,MATCH(MID($XU$3,YI59,YL59),$DT:$DT,0),1),"")</f>
        <v/>
      </c>
      <c r="YO59" s="754"/>
      <c r="YS59" s="1463">
        <v>9</v>
      </c>
      <c r="YT59" s="824" t="s">
        <v>8433</v>
      </c>
      <c r="YU59" s="838" t="e">
        <f>SEARCH(YP$4,$XU$4,YW52)+LEN(YP$4)</f>
        <v>#VALUE!</v>
      </c>
      <c r="YV59" s="406" t="str">
        <f>IF(YW59=IFERROR(SEARCH(".",$XU$4,YU59),99999),".",
IF(YW59=IFERROR(SEARCH(",",$XU$4,YU59),99999),",",
IF(YW59=IFERROR(SEARCH(" за период",$XU$4,YU59),999999)," за период",
IF(YW59=IFERROR(SEARCH(" в размере",$XU$4,YU59),99999)," в размере",
))))</f>
        <v>.</v>
      </c>
      <c r="YW59" s="406">
        <f>IFERROR(MIN(IFERROR(SEARCH(".",$XU$4,YU59),99999),IFERROR(SEARCH(",",$XU$4,YU59),99999),IFERROR(SEARCH(" за период",$XU$4,YU59),999999),IFERROR(SEARCH(" в размере",$XU$4,YU59),99999)),"ОШИБКА")</f>
        <v>99999</v>
      </c>
      <c r="YX59" s="406" t="e">
        <f>YW59-YU59</f>
        <v>#VALUE!</v>
      </c>
      <c r="YY59" s="824" t="e">
        <f>MID($XU$4,YU59,YX59)</f>
        <v>#VALUE!</v>
      </c>
      <c r="YZ59" s="825" t="str">
        <f>IFERROR(INDEX($DU:$DU,MATCH(MID($XU$4,YU59,YX59),$DT:$DT,0),1),"")</f>
        <v/>
      </c>
      <c r="ZA59" s="754"/>
      <c r="ZE59" s="1463">
        <v>9</v>
      </c>
      <c r="ZF59" s="824" t="s">
        <v>8433</v>
      </c>
      <c r="ZG59" s="838" t="e">
        <f>SEARCH(ZB$4,$XU$5,ZI52)+LEN(ZB$4)</f>
        <v>#VALUE!</v>
      </c>
      <c r="ZH59" s="406" t="str">
        <f>IF(ZI59=IFERROR(SEARCH(".",$XU$5,ZG59),99999),".",
IF(ZI59=IFERROR(SEARCH(",",$XU$5,ZG59),99999),",",
IF(ZI59=IFERROR(SEARCH(" за период",$XU$5,ZG59),999999)," за период",
IF(ZI59=IFERROR(SEARCH(" в размере",$XU$5,ZG59),99999)," в размере",
))))</f>
        <v>.</v>
      </c>
      <c r="ZI59" s="406">
        <f>IFERROR(MIN(IFERROR(SEARCH(".",$XU$5,ZG59),99999),IFERROR(SEARCH(",",$XU$5,ZG59),99999),IFERROR(SEARCH(" за период",$XU$5,ZG59),999999),IFERROR(SEARCH(" в размере",$XU$5,ZG59),99999)),"ОШИБКА")</f>
        <v>99999</v>
      </c>
      <c r="ZJ59" s="406" t="e">
        <f>ZI59-ZG59</f>
        <v>#VALUE!</v>
      </c>
      <c r="ZK59" s="824" t="e">
        <f>MID($XU$5,ZG59,ZJ59)</f>
        <v>#VALUE!</v>
      </c>
      <c r="ZL59" s="825" t="str">
        <f>IFERROR(INDEX($DU:$DU,MATCH(MID($XU$5,ZG59,ZJ59),$DT:$DT,0),1),"")</f>
        <v/>
      </c>
      <c r="ZM59" s="754"/>
      <c r="ZQ59" s="1463">
        <v>9</v>
      </c>
      <c r="ZR59" s="824" t="s">
        <v>8433</v>
      </c>
      <c r="ZS59" s="838" t="e">
        <f>SEARCH(ZN$4,$XU$6,ZU52)+LEN(ZN$4)</f>
        <v>#VALUE!</v>
      </c>
      <c r="ZT59" s="406" t="str">
        <f>IF(ZU59=IFERROR(SEARCH(".",$XU$6,ZS59),99999),".",
IF(ZU59=IFERROR(SEARCH(",",$XU$6,ZS59),99999),",",
IF(ZU59=IFERROR(SEARCH(" за период",$XU$6,ZS59),999999)," за период",
IF(ZU59=IFERROR(SEARCH(" в размере",$XU$6,ZS59),99999)," в размере",
))))</f>
        <v>.</v>
      </c>
      <c r="ZU59" s="406">
        <f>IFERROR(MIN(IFERROR(SEARCH(".",$XU$6,ZS59),99999),IFERROR(SEARCH(",",$XU$6,ZS59),99999),IFERROR(SEARCH(" за период",$XU$6,ZS59),999999),IFERROR(SEARCH(" в размере",$XU$6,ZS59),99999)),"ОШИБКА")</f>
        <v>99999</v>
      </c>
      <c r="ZV59" s="406" t="e">
        <f>ZU59-ZS59</f>
        <v>#VALUE!</v>
      </c>
      <c r="ZW59" s="824" t="e">
        <f>MID($XU$6,ZS59,ZV59)</f>
        <v>#VALUE!</v>
      </c>
      <c r="ZX59" s="825" t="str">
        <f>IFERROR(INDEX($DU:$DU,MATCH(MID($XU$6,ZS59,ZV59),$DT:$DT,0),1),"")</f>
        <v/>
      </c>
      <c r="ZY59" s="754"/>
      <c r="AAC59" s="1463">
        <v>9</v>
      </c>
      <c r="AAD59" s="824" t="s">
        <v>8433</v>
      </c>
      <c r="AAE59" s="838" t="e">
        <f>SEARCH(ZZ$4,$XU$7,AAG52)+LEN(ZZ$4)</f>
        <v>#VALUE!</v>
      </c>
      <c r="AAF59" s="406" t="str">
        <f>IF(AAG59=IFERROR(SEARCH(".",$XU$7,AAE59),99999),".",
IF(AAG59=IFERROR(SEARCH(",",$XU$7,AAE59),99999),",",
IF(AAG59=IFERROR(SEARCH(" за период",$XU$7,AAE59),999999)," за период",
IF(AAG59=IFERROR(SEARCH(" в размере",$XU$7,AAE59),99999)," в размере",
))))</f>
        <v>.</v>
      </c>
      <c r="AAG59" s="406">
        <f>IFERROR(MIN(IFERROR(SEARCH(".",$XU$7,AAE59),99999),IFERROR(SEARCH(",",$XU$7,AAE59),99999),IFERROR(SEARCH(" за период",$XU$7,AAE59),999999),IFERROR(SEARCH(" в размере",$XU$7,AAE59),99999)),"ОШИБКА")</f>
        <v>99999</v>
      </c>
      <c r="AAH59" s="406" t="e">
        <f>AAG59-AAE59</f>
        <v>#VALUE!</v>
      </c>
      <c r="AAI59" s="824" t="e">
        <f>MID($XU$7,AAE59,AAH59)</f>
        <v>#VALUE!</v>
      </c>
      <c r="AAJ59" s="825" t="str">
        <f>IFERROR(INDEX($DU:$DU,MATCH(MID($XU$7,AAE59,AAH59),$DT:$DT,0),1),"")</f>
        <v/>
      </c>
      <c r="AAK59" s="754"/>
      <c r="AAL59" s="754"/>
      <c r="AAM59" s="754"/>
      <c r="AAV59" t="str">
        <f t="shared" si="141"/>
        <v>$$$$</v>
      </c>
      <c r="AAW59" s="947" t="e">
        <f>SEARCH(AAV59,#REF!)</f>
        <v>#REF!</v>
      </c>
      <c r="AAX59" s="5"/>
      <c r="AAY59" s="5"/>
      <c r="AAZ59" s="5"/>
      <c r="ABA59" s="1487"/>
      <c r="ADF59" s="5"/>
      <c r="ADG59" s="1075"/>
      <c r="ADQ59" s="1075"/>
      <c r="AEJ59" s="959"/>
      <c r="AEK59" s="959"/>
      <c r="AEL59" s="959"/>
      <c r="AEX59" s="1070"/>
      <c r="AFA59" s="1070"/>
      <c r="AFE59" s="1463">
        <v>9</v>
      </c>
      <c r="AFF59" s="824" t="s">
        <v>8433</v>
      </c>
      <c r="AFG59" s="838" t="e">
        <f>SEARCH(AFB$4,AFD$4,AFI52)+LEN(AFB$4)</f>
        <v>#VALUE!</v>
      </c>
      <c r="AFH59" s="406" t="str">
        <f>IF(AFI59=IFERROR(SEARCH(".",AFD$4,AFG59),99999),".",
IF(AFI59=IFERROR(SEARCH(",",AFD$4,AFG59),99999),",",
IF(AFI59=IFERROR(SEARCH(" за период",AFD$4,AFG59),999999)," за период",
IF(AFI59=IFERROR(SEARCH(" в размере",AFD$4,AFG59),99999)," в размере",
))))</f>
        <v>.</v>
      </c>
      <c r="AFI59" s="406">
        <f>IFERROR(MIN(IFERROR(SEARCH(".",AFD$4,AFG59),99999),IFERROR(SEARCH(",",AFD$4,AFG59),99999),IFERROR(SEARCH(" за период",AFD$4,AFG59),999999),IFERROR(SEARCH(" в размере",AFD$4,AFG59),99999)),"ОШИБКА")</f>
        <v>99999</v>
      </c>
      <c r="AFJ59" s="406" t="e">
        <f>AFI59-AFG59</f>
        <v>#VALUE!</v>
      </c>
      <c r="AFK59" s="824" t="e">
        <f>MID(AFD$4,AFG59,AFJ59)</f>
        <v>#VALUE!</v>
      </c>
      <c r="AFL59" s="825" t="str">
        <f>IFERROR(INDEX($DU:$DU,MATCH(MID(AFD$4,AFG59,AFJ59),$DT:$DT,0),1),"")</f>
        <v/>
      </c>
      <c r="AFM59" s="754"/>
      <c r="AFQ59" s="1463">
        <v>9</v>
      </c>
      <c r="AFR59" s="824" t="s">
        <v>8433</v>
      </c>
      <c r="AFS59" s="838" t="e">
        <f>SEARCH(AFN$4,AFP$4,AFU52)+LEN(AFN$4)</f>
        <v>#VALUE!</v>
      </c>
      <c r="AFT59" s="406" t="str">
        <f>IF(AFU59=IFERROR(SEARCH(".",AFP$4,AFS59),99999),".",
IF(AFU59=IFERROR(SEARCH(",",AFP$4,AFS59),99999),",",
IF(AFU59=IFERROR(SEARCH(" за период",AFP$4,AFS59),999999)," за период",
IF(AFU59=IFERROR(SEARCH(" в размере",AFP$4,AFS59),99999)," в размере",
))))</f>
        <v>.</v>
      </c>
      <c r="AFU59" s="406">
        <f>IFERROR(MIN(IFERROR(SEARCH(".",AFP$4,AFS59),99999),IFERROR(SEARCH(",",AFP$4,AFS59),99999),IFERROR(SEARCH(" за период",AFP$4,AFS59),999999),IFERROR(SEARCH(" в размере",AFP$4,AFS59),99999)),"ОШИБКА")</f>
        <v>99999</v>
      </c>
      <c r="AFV59" s="406" t="e">
        <f>AFU59-AFS59</f>
        <v>#VALUE!</v>
      </c>
      <c r="AFW59" s="824" t="e">
        <f>MID(AFP$4,AFS59,AFV59)</f>
        <v>#VALUE!</v>
      </c>
      <c r="AFX59" s="825" t="str">
        <f>IFERROR(INDEX($DU:$DU,MATCH(MID(AFP$4,AFS59,AFV59),$DT:$DT,0),1),"")</f>
        <v/>
      </c>
      <c r="AFY59" s="754"/>
      <c r="AGC59" s="1463">
        <v>9</v>
      </c>
      <c r="AGD59" s="824" t="s">
        <v>8433</v>
      </c>
      <c r="AGE59" s="838" t="e">
        <f>SEARCH(AFZ$4,AGB$4,AGG52)+LEN(AFZ$4)</f>
        <v>#VALUE!</v>
      </c>
      <c r="AGF59" s="406" t="str">
        <f>IF(AGG59=IFERROR(SEARCH(".",AGB$4,AGE59),99999),".",
IF(AGG59=IFERROR(SEARCH(",",AGB$4,AGE59),99999),",",
IF(AGG59=IFERROR(SEARCH(" за период",AGB$4,AGE59),999999)," за период",
IF(AGG59=IFERROR(SEARCH(" в размере",AGB$4,AGE59),99999)," в размере",
))))</f>
        <v>.</v>
      </c>
      <c r="AGG59" s="406">
        <f>IFERROR(MIN(IFERROR(SEARCH(".",AGB$4,AGE59),99999),IFERROR(SEARCH(",",AGB$4,AGE59),99999),IFERROR(SEARCH(" за период",AGB$4,AGE59),999999),IFERROR(SEARCH(" в размере",AGB$4,AGE59),99999)),"ОШИБКА")</f>
        <v>99999</v>
      </c>
      <c r="AGH59" s="406" t="e">
        <f>AGG59-AGE59</f>
        <v>#VALUE!</v>
      </c>
      <c r="AGI59" s="824" t="e">
        <f>MID(AGB$4,AGE59,AGH59)</f>
        <v>#VALUE!</v>
      </c>
      <c r="AGJ59" s="825" t="str">
        <f>IFERROR(INDEX($DU:$DU,MATCH(MID(AGB$4,AGE59,AGH59),$DT:$DT,0),1),"")</f>
        <v/>
      </c>
      <c r="AGK59" s="754"/>
      <c r="AGO59" s="1463">
        <v>9</v>
      </c>
      <c r="AGP59" s="824" t="s">
        <v>8433</v>
      </c>
      <c r="AGQ59" s="838" t="e">
        <f>SEARCH(AGL$4,AGN$4,AGS52)+LEN(AGL$4)</f>
        <v>#VALUE!</v>
      </c>
      <c r="AGR59" s="406" t="str">
        <f>IF(AGS59=IFERROR(SEARCH(".",AGN$4,AGQ59),99999),".",
IF(AGS59=IFERROR(SEARCH(",",AGN$4,AGQ59),99999),",",
IF(AGS59=IFERROR(SEARCH(" за период",AGN$4,AGQ59),999999)," за период",
IF(AGS59=IFERROR(SEARCH(" в размере",AGN$4,AGQ59),99999)," в размере",
))))</f>
        <v>.</v>
      </c>
      <c r="AGS59" s="406">
        <f>IFERROR(MIN(IFERROR(SEARCH(".",AGN$4,AGQ59),99999),IFERROR(SEARCH(",",AGN$4,AGQ59),99999),IFERROR(SEARCH(" за период",AGN$4,AGQ59),999999),IFERROR(SEARCH(" в размере",AGN$4,AGQ59),99999)),"ОШИБКА")</f>
        <v>99999</v>
      </c>
      <c r="AGT59" s="406" t="e">
        <f>AGS59-AGQ59</f>
        <v>#VALUE!</v>
      </c>
      <c r="AGU59" s="824" t="e">
        <f>MID(AGN$4,AGQ59,AGT59)</f>
        <v>#VALUE!</v>
      </c>
      <c r="AGV59" s="825" t="str">
        <f>IFERROR(INDEX($DU:$DU,MATCH(MID(AGN$4,AGQ59,AGT59),$DT:$DT,0),1),"")</f>
        <v/>
      </c>
      <c r="AGW59" s="754"/>
      <c r="AHA59" s="1463">
        <v>9</v>
      </c>
      <c r="AHB59" s="824" t="s">
        <v>8433</v>
      </c>
      <c r="AHC59" s="838" t="e">
        <f>SEARCH(AGX$4,AGZ$4,AHE52)+LEN(AGX$4)</f>
        <v>#VALUE!</v>
      </c>
      <c r="AHD59" s="406" t="str">
        <f>IF(AHE59=IFERROR(SEARCH(".",AGZ$4,AHC59),99999),".",
IF(AHE59=IFERROR(SEARCH(",",AGZ$4,AHC59),99999),",",
IF(AHE59=IFERROR(SEARCH(" за период",AGZ$4,AHC59),999999)," за период",
IF(AHE59=IFERROR(SEARCH(" в размере",AGZ$4,AHC59),99999)," в размере",
))))</f>
        <v>.</v>
      </c>
      <c r="AHE59" s="406">
        <f>IFERROR(MIN(IFERROR(SEARCH(".",AGZ$4,AHC59),99999),IFERROR(SEARCH(",",AGZ$4,AHC59),99999),IFERROR(SEARCH(" за период",AGZ$4,AHC59),999999),IFERROR(SEARCH(" в размере",AGZ$4,AHC59),99999)),"ОШИБКА")</f>
        <v>99999</v>
      </c>
      <c r="AHF59" s="406" t="e">
        <f>AHE59-AHC59</f>
        <v>#VALUE!</v>
      </c>
      <c r="AHG59" s="824" t="e">
        <f>MID(AGZ$4,AHC59,AHF59)</f>
        <v>#VALUE!</v>
      </c>
      <c r="AHH59" s="825" t="str">
        <f>IFERROR(INDEX($DU:$DU,MATCH(MID(AGZ$4,AHC59,AHF59),$DT:$DT,0),1),"")</f>
        <v/>
      </c>
      <c r="AHI59" s="754"/>
    </row>
    <row r="60" spans="1:893" ht="14.4" customHeight="1" thickBot="1" x14ac:dyDescent="0.35">
      <c r="A60" s="116"/>
      <c r="B60" s="116"/>
      <c r="C60" s="116"/>
      <c r="D60" s="116"/>
      <c r="E60" s="116"/>
      <c r="F60" s="116"/>
      <c r="G60" s="116"/>
      <c r="H60" s="116"/>
      <c r="I60" s="116"/>
      <c r="J60" s="116"/>
      <c r="K60" s="116"/>
      <c r="L60" s="116"/>
      <c r="M60" s="116"/>
      <c r="N60" s="116"/>
      <c r="O60" s="116"/>
      <c r="P60" s="116"/>
      <c r="Q60" s="116"/>
      <c r="R60" s="116"/>
      <c r="S60" s="116"/>
      <c r="T60" s="116"/>
      <c r="U60" s="116"/>
      <c r="V60" s="116"/>
      <c r="W60" s="116"/>
      <c r="X60" s="116"/>
      <c r="Y60" s="116"/>
      <c r="Z60" s="116"/>
      <c r="AA60" s="116"/>
      <c r="AB60" s="116"/>
      <c r="AC60" s="116"/>
      <c r="AD60" s="116"/>
      <c r="AE60" s="116"/>
      <c r="AF60" s="116"/>
      <c r="AG60" s="116"/>
      <c r="AH60" s="116"/>
      <c r="AI60" s="116"/>
      <c r="AJ60" s="116"/>
      <c r="AK60" s="116"/>
      <c r="AL60" s="116"/>
      <c r="AM60" s="116"/>
      <c r="AN60" s="116"/>
      <c r="AO60" s="116"/>
      <c r="AP60" s="116"/>
      <c r="AQ60" s="116"/>
      <c r="AR60" s="116"/>
      <c r="AS60" s="116"/>
      <c r="AT60" s="116"/>
      <c r="AU60" s="116"/>
      <c r="AV60" s="116"/>
      <c r="AW60" s="116"/>
      <c r="AX60" s="116"/>
      <c r="AY60" s="116"/>
      <c r="AZ60" s="116"/>
      <c r="BA60" s="116"/>
      <c r="BB60" s="116"/>
      <c r="BC60" s="116"/>
      <c r="BD60" s="116"/>
      <c r="BE60" s="116"/>
      <c r="BF60" s="116"/>
      <c r="BG60" s="116"/>
      <c r="BH60" s="116"/>
      <c r="BI60" s="116"/>
      <c r="BJ60" s="116"/>
      <c r="BK60" s="116"/>
      <c r="BL60" s="116"/>
      <c r="BM60" s="116"/>
      <c r="BN60" s="116"/>
      <c r="BO60" s="116"/>
      <c r="BP60" s="116"/>
      <c r="BQ60" s="116"/>
      <c r="BR60" s="116"/>
      <c r="BS60" s="116"/>
      <c r="BT60" s="116"/>
      <c r="BU60" s="116"/>
      <c r="BV60" s="116"/>
      <c r="BW60" s="116"/>
      <c r="BX60" s="116"/>
      <c r="BY60" s="116"/>
      <c r="BZ60" s="116"/>
      <c r="CA60" s="116"/>
      <c r="CB60" s="116"/>
      <c r="CC60" s="116"/>
      <c r="CD60" s="116"/>
      <c r="CE60" s="116"/>
      <c r="CF60" s="116"/>
      <c r="CG60" s="116"/>
      <c r="CH60" s="116"/>
      <c r="CI60" s="116"/>
      <c r="CJ60" s="116"/>
      <c r="CK60" s="116"/>
      <c r="CL60" s="116"/>
      <c r="CM60" s="116"/>
      <c r="CN60" s="116"/>
      <c r="CO60" s="116"/>
      <c r="CP60" s="116"/>
      <c r="CQ60" s="116"/>
      <c r="CR60" s="116"/>
      <c r="CS60" s="116"/>
      <c r="CT60" s="116"/>
      <c r="CU60" s="116"/>
      <c r="CV60" s="116"/>
      <c r="CW60" s="116"/>
      <c r="CX60" s="116"/>
      <c r="CY60" s="116"/>
      <c r="CZ60" s="116"/>
      <c r="DA60" s="116"/>
      <c r="DB60" s="116"/>
      <c r="DC60" s="116"/>
      <c r="DD60" s="116"/>
      <c r="DE60" s="116"/>
      <c r="DF60" s="116"/>
      <c r="DG60" s="116"/>
      <c r="DH60" s="116"/>
      <c r="DI60" s="116"/>
      <c r="DJ60" s="116"/>
      <c r="DK60" s="116"/>
      <c r="DL60" s="116"/>
      <c r="DM60" s="116"/>
      <c r="DN60" s="116"/>
      <c r="DO60" s="116"/>
      <c r="DP60" s="116"/>
      <c r="DQ60" s="116"/>
      <c r="DT60" t="s">
        <v>3132</v>
      </c>
      <c r="DU60" s="821" t="s">
        <v>1248</v>
      </c>
      <c r="DV60" s="1464"/>
      <c r="DW60" s="826" t="s">
        <v>8435</v>
      </c>
      <c r="DX60" s="836" t="str">
        <f>IF(DY59=" за период",SEARCH(" за период",$C$3,DZ59)+LEN(" за период")+3,"НЕТ")</f>
        <v>НЕТ</v>
      </c>
      <c r="DY60" s="306" t="s">
        <v>8434</v>
      </c>
      <c r="DZ60" s="306" t="e">
        <f>SEARCH(DY60,$C$3,DX60)</f>
        <v>#VALUE!</v>
      </c>
      <c r="EA60" s="306" t="e">
        <f>DZ60-DX60</f>
        <v>#VALUE!</v>
      </c>
      <c r="EB60" s="827" t="e">
        <f>DATEVALUE(MID($C$3,DX60,EA60))</f>
        <v>#VALUE!</v>
      </c>
      <c r="EC60" s="828" t="str">
        <f>IF(DY59=" за период",EB60,"")</f>
        <v/>
      </c>
      <c r="NK60" s="1464"/>
      <c r="NL60" s="826" t="s">
        <v>8435</v>
      </c>
      <c r="NM60" s="836" t="str">
        <f>IF(NN59=" за период",SEARCH(" за период",NJ$4,NO59)+LEN(" за период")+3,"НЕТ")</f>
        <v>НЕТ</v>
      </c>
      <c r="NN60" s="306" t="s">
        <v>8434</v>
      </c>
      <c r="NO60" s="306" t="e">
        <f>SEARCH(NN60,NJ$4,NM60)</f>
        <v>#VALUE!</v>
      </c>
      <c r="NP60" s="306" t="e">
        <f>NO60-NM60</f>
        <v>#VALUE!</v>
      </c>
      <c r="NQ60" s="827" t="e">
        <f>DATEVALUE(MID(NJ$4,NM60,NP60))</f>
        <v>#VALUE!</v>
      </c>
      <c r="NR60" s="828" t="str">
        <f>IF(NN59=" за период",NQ60,"")</f>
        <v/>
      </c>
      <c r="OD60" s="946" t="str">
        <f t="shared" si="131"/>
        <v>$$$$</v>
      </c>
      <c r="OE60" s="947" t="e">
        <f t="shared" si="157"/>
        <v>#VALUE!</v>
      </c>
      <c r="OF60" s="116"/>
      <c r="OG60" s="116"/>
      <c r="OH60" s="116"/>
      <c r="OI60" s="116"/>
      <c r="OJ60" s="116"/>
      <c r="OK60" s="116"/>
      <c r="OL60" s="1497"/>
      <c r="OY60" s="116"/>
      <c r="OZ60" s="959"/>
      <c r="PA60" s="1210"/>
      <c r="PB60" s="959"/>
      <c r="PC60" s="116"/>
      <c r="PD60" s="1000"/>
      <c r="PF60" s="1209"/>
      <c r="PG60" s="1208"/>
      <c r="PH60" s="1209"/>
      <c r="PI60" s="5"/>
      <c r="PJ60" s="1073"/>
      <c r="PK60" s="99"/>
      <c r="PL60" s="920"/>
      <c r="PM60" s="995"/>
      <c r="PN60" s="920"/>
      <c r="PO60" s="254"/>
      <c r="PP60" s="871"/>
      <c r="PQ60" t="str">
        <f t="shared" si="133"/>
        <v>$$$$</v>
      </c>
      <c r="PR60" s="937" t="e">
        <f t="shared" si="158"/>
        <v>#VALUE!</v>
      </c>
      <c r="PS60" s="5"/>
      <c r="PV60" s="937"/>
      <c r="PX60" s="5"/>
      <c r="PY60" s="1470"/>
      <c r="PZ60" t="str">
        <f t="shared" si="135"/>
        <v>$$$$</v>
      </c>
      <c r="QA60" s="937" t="e">
        <f t="shared" si="159"/>
        <v>#VALUE!</v>
      </c>
      <c r="QB60" s="5"/>
      <c r="QC60" s="264"/>
      <c r="QE60" s="937"/>
      <c r="QF60" s="264"/>
      <c r="QG60" s="5"/>
      <c r="QH60" s="1470"/>
      <c r="QI60" t="str">
        <f t="shared" si="137"/>
        <v>$$$$</v>
      </c>
      <c r="QJ60" s="937" t="e">
        <f t="shared" si="160"/>
        <v>#VALUE!</v>
      </c>
      <c r="QK60" s="5"/>
      <c r="QL60" s="264"/>
      <c r="QN60" s="937"/>
      <c r="QO60" s="264"/>
      <c r="QP60" s="5"/>
      <c r="QQ60" s="1470"/>
      <c r="QR60" t="str">
        <f t="shared" si="139"/>
        <v>$$$$</v>
      </c>
      <c r="QS60" s="937" t="e">
        <f t="shared" si="161"/>
        <v>#VALUE!</v>
      </c>
      <c r="QT60" s="5"/>
      <c r="QU60" s="264"/>
      <c r="QW60" s="937"/>
      <c r="QX60" s="264"/>
      <c r="QY60" s="5"/>
      <c r="QZ60" s="1470"/>
      <c r="SQ60" s="116"/>
      <c r="SY60" s="1464"/>
      <c r="SZ60" s="826" t="s">
        <v>8435</v>
      </c>
      <c r="TA60" s="836" t="str">
        <f>IF(TB59=" за период",SEARCH(" за период",$SQ$3,TC59)+LEN(" за период")+3,"НЕТ")</f>
        <v>НЕТ</v>
      </c>
      <c r="TB60" s="306" t="s">
        <v>8434</v>
      </c>
      <c r="TC60" s="306" t="e">
        <f>SEARCH(TB60,$SQ$3,TA60)</f>
        <v>#VALUE!</v>
      </c>
      <c r="TD60" s="306" t="e">
        <f>TC60-TA60</f>
        <v>#VALUE!</v>
      </c>
      <c r="TE60" s="827" t="e">
        <f>DATEVALUE(MID($SQ$3,TA60,TD60))</f>
        <v>#VALUE!</v>
      </c>
      <c r="TF60" s="828" t="str">
        <f>IF(TB59=" за период",TE60,"")</f>
        <v/>
      </c>
      <c r="TK60" s="1477"/>
      <c r="TL60" s="1032"/>
      <c r="TM60" s="1033"/>
      <c r="TN60" s="403"/>
      <c r="TO60" s="403"/>
      <c r="TP60" s="403"/>
      <c r="TQ60" s="1034" t="e">
        <f>VALUE(CONCATENATE(TQ58,",",TQ59))</f>
        <v>#VALUE!</v>
      </c>
      <c r="TR60" s="832" t="str">
        <f>IFERROR(IF(TR57="Штраф 50%","",TQ60),"")</f>
        <v/>
      </c>
      <c r="TW60" s="1464"/>
      <c r="TX60" s="826" t="s">
        <v>8435</v>
      </c>
      <c r="TY60" s="836" t="str">
        <f>IF(TZ59=" за период",SEARCH(" за период",$SQ$4,UA59)+LEN(" за период")+3,"НЕТ")</f>
        <v>НЕТ</v>
      </c>
      <c r="TZ60" s="306" t="s">
        <v>8434</v>
      </c>
      <c r="UA60" s="306" t="e">
        <f>SEARCH(TZ60,$SQ$4,TY60)</f>
        <v>#VALUE!</v>
      </c>
      <c r="UB60" s="306" t="e">
        <f>UA60-TY60</f>
        <v>#VALUE!</v>
      </c>
      <c r="UC60" s="827" t="e">
        <f>DATEVALUE(MID($SQ$4,TY60,UB60))</f>
        <v>#VALUE!</v>
      </c>
      <c r="UD60" s="828" t="str">
        <f>IF(TZ59=" за период",UC60,"")</f>
        <v/>
      </c>
      <c r="UI60" s="1477"/>
      <c r="UJ60" s="1032"/>
      <c r="UK60" s="1033"/>
      <c r="UL60" s="403"/>
      <c r="UM60" s="403"/>
      <c r="UN60" s="403"/>
      <c r="UO60" s="1034" t="e">
        <f>VALUE(CONCATENATE(UO58,",",UO59))</f>
        <v>#VALUE!</v>
      </c>
      <c r="UP60" s="832" t="str">
        <f>IFERROR(IF(UP57="Штраф 50%","",UO60),"")</f>
        <v/>
      </c>
      <c r="UU60" s="1464"/>
      <c r="UV60" s="826" t="s">
        <v>8435</v>
      </c>
      <c r="UW60" s="836" t="str">
        <f>IF(UX59=" за период",SEARCH(" за период",$SQ$5,UY59)+LEN(" за период")+3,"НЕТ")</f>
        <v>НЕТ</v>
      </c>
      <c r="UX60" s="306" t="s">
        <v>8434</v>
      </c>
      <c r="UY60" s="306" t="e">
        <f>SEARCH(UX60,$SQ$5,UW60)</f>
        <v>#VALUE!</v>
      </c>
      <c r="UZ60" s="306" t="e">
        <f>UY60-UW60</f>
        <v>#VALUE!</v>
      </c>
      <c r="VA60" s="827" t="e">
        <f>DATEVALUE(MID($SQ$5,UW60,UZ60))</f>
        <v>#VALUE!</v>
      </c>
      <c r="VB60" s="828" t="str">
        <f>IF(UX59=" за период",VA60,"")</f>
        <v/>
      </c>
      <c r="VG60" s="1477"/>
      <c r="VH60" s="1032"/>
      <c r="VI60" s="1033"/>
      <c r="VJ60" s="403"/>
      <c r="VK60" s="403"/>
      <c r="VL60" s="403"/>
      <c r="VM60" s="1034" t="e">
        <f>VALUE(CONCATENATE(VM58,",",VM59))</f>
        <v>#VALUE!</v>
      </c>
      <c r="VN60" s="832" t="str">
        <f>IFERROR(IF(VN57="Штраф 50%","",VM60),"")</f>
        <v/>
      </c>
      <c r="VS60" s="1464"/>
      <c r="VT60" s="826" t="s">
        <v>8435</v>
      </c>
      <c r="VU60" s="836" t="str">
        <f>IF(VV59=" за период",SEARCH(" за период",$SQ$6,VW59)+LEN(" за период")+3,"НЕТ")</f>
        <v>НЕТ</v>
      </c>
      <c r="VV60" s="306" t="s">
        <v>8434</v>
      </c>
      <c r="VW60" s="306" t="e">
        <f>SEARCH(VV60,$SQ$6,VU60)</f>
        <v>#VALUE!</v>
      </c>
      <c r="VX60" s="306" t="e">
        <f>VW60-VU60</f>
        <v>#VALUE!</v>
      </c>
      <c r="VY60" s="827" t="e">
        <f>DATEVALUE(MID($SQ$6,VU60,VX60))</f>
        <v>#VALUE!</v>
      </c>
      <c r="VZ60" s="828" t="str">
        <f>IF(VV59=" за период",VY60,"")</f>
        <v/>
      </c>
      <c r="WE60" s="1477"/>
      <c r="WF60" s="1032"/>
      <c r="WG60" s="1033"/>
      <c r="WH60" s="403"/>
      <c r="WI60" s="403"/>
      <c r="WJ60" s="403"/>
      <c r="WK60" s="1034" t="e">
        <f>VALUE(CONCATENATE(WK58,",",WK59))</f>
        <v>#VALUE!</v>
      </c>
      <c r="WL60" s="832" t="str">
        <f>IFERROR(IF(WL57="Штраф 50%","",WK60),"")</f>
        <v/>
      </c>
      <c r="WQ60" s="1464"/>
      <c r="WR60" s="826" t="s">
        <v>8435</v>
      </c>
      <c r="WS60" s="836" t="str">
        <f>IF(WT59=" за период",SEARCH(" за период",$SQ$7,WU59)+LEN(" за период")+3,"НЕТ")</f>
        <v>НЕТ</v>
      </c>
      <c r="WT60" s="306" t="s">
        <v>8434</v>
      </c>
      <c r="WU60" s="306" t="e">
        <f>SEARCH(WT60,$SQ$7,WS60)</f>
        <v>#VALUE!</v>
      </c>
      <c r="WV60" s="306" t="e">
        <f>WU60-WS60</f>
        <v>#VALUE!</v>
      </c>
      <c r="WW60" s="827" t="e">
        <f>DATEVALUE(MID($SQ$7,WS60,WV60))</f>
        <v>#VALUE!</v>
      </c>
      <c r="WX60" s="828" t="str">
        <f>IF(WT59=" за период",WW60,"")</f>
        <v/>
      </c>
      <c r="XC60" s="1477"/>
      <c r="XD60" s="1032"/>
      <c r="XE60" s="1033"/>
      <c r="XF60" s="403"/>
      <c r="XG60" s="403"/>
      <c r="XH60" s="403"/>
      <c r="XI60" s="1034" t="e">
        <f>VALUE(CONCATENATE(XI58,",",XI59))</f>
        <v>#VALUE!</v>
      </c>
      <c r="XJ60" s="832" t="str">
        <f>IFERROR(IF(XJ57="Штраф 50%","",XI60),"")</f>
        <v/>
      </c>
      <c r="YG60" s="1464"/>
      <c r="YH60" s="826" t="s">
        <v>8435</v>
      </c>
      <c r="YI60" s="836" t="str">
        <f>IF(YJ59=" за период",SEARCH(" за период",$XU$3,YK59)+LEN(" за период")+3,"НЕТ")</f>
        <v>НЕТ</v>
      </c>
      <c r="YJ60" s="306" t="s">
        <v>8434</v>
      </c>
      <c r="YK60" s="306" t="e">
        <f>SEARCH(YJ60,$XU$3,YI60)</f>
        <v>#VALUE!</v>
      </c>
      <c r="YL60" s="306" t="e">
        <f>YK60-YI60</f>
        <v>#VALUE!</v>
      </c>
      <c r="YM60" s="827" t="e">
        <f>DATEVALUE(MID($XU$3,YI60,YL60))</f>
        <v>#VALUE!</v>
      </c>
      <c r="YN60" s="828" t="str">
        <f>IF(YJ59=" за период",YM60,"")</f>
        <v/>
      </c>
      <c r="YS60" s="1464"/>
      <c r="YT60" s="826" t="s">
        <v>8435</v>
      </c>
      <c r="YU60" s="836" t="str">
        <f>IF(YV59=" за период",SEARCH(" за период",$XU$4,YW59)+LEN(" за период")+3,"НЕТ")</f>
        <v>НЕТ</v>
      </c>
      <c r="YV60" s="306" t="s">
        <v>8434</v>
      </c>
      <c r="YW60" s="306" t="e">
        <f>SEARCH(YV60,$XU$4,YU60)</f>
        <v>#VALUE!</v>
      </c>
      <c r="YX60" s="306" t="e">
        <f>YW60-YU60</f>
        <v>#VALUE!</v>
      </c>
      <c r="YY60" s="827" t="e">
        <f>DATEVALUE(MID($XU$4,YU60,YX60))</f>
        <v>#VALUE!</v>
      </c>
      <c r="YZ60" s="828" t="str">
        <f>IF(YV59=" за период",YY60,"")</f>
        <v/>
      </c>
      <c r="ZE60" s="1464"/>
      <c r="ZF60" s="826" t="s">
        <v>8435</v>
      </c>
      <c r="ZG60" s="836" t="str">
        <f>IF(ZH59=" за период",SEARCH(" за период",$XU$5,ZI59)+LEN(" за период")+3,"НЕТ")</f>
        <v>НЕТ</v>
      </c>
      <c r="ZH60" s="306" t="s">
        <v>8434</v>
      </c>
      <c r="ZI60" s="306" t="e">
        <f>SEARCH(ZH60,$XU$5,ZG60)</f>
        <v>#VALUE!</v>
      </c>
      <c r="ZJ60" s="306" t="e">
        <f>ZI60-ZG60</f>
        <v>#VALUE!</v>
      </c>
      <c r="ZK60" s="827" t="e">
        <f>DATEVALUE(MID($XU$5,ZG60,ZJ60))</f>
        <v>#VALUE!</v>
      </c>
      <c r="ZL60" s="828" t="str">
        <f>IF(ZH59=" за период",ZK60,"")</f>
        <v/>
      </c>
      <c r="ZQ60" s="1464"/>
      <c r="ZR60" s="826" t="s">
        <v>8435</v>
      </c>
      <c r="ZS60" s="836" t="str">
        <f>IF(ZT59=" за период",SEARCH(" за период",$XU$6,ZU59)+LEN(" за период")+3,"НЕТ")</f>
        <v>НЕТ</v>
      </c>
      <c r="ZT60" s="306" t="s">
        <v>8434</v>
      </c>
      <c r="ZU60" s="306" t="e">
        <f>SEARCH(ZT60,$XU$6,ZS60)</f>
        <v>#VALUE!</v>
      </c>
      <c r="ZV60" s="306" t="e">
        <f>ZU60-ZS60</f>
        <v>#VALUE!</v>
      </c>
      <c r="ZW60" s="827" t="e">
        <f>DATEVALUE(MID($XU$6,ZS60,ZV60))</f>
        <v>#VALUE!</v>
      </c>
      <c r="ZX60" s="828" t="str">
        <f>IF(ZT59=" за период",ZW60,"")</f>
        <v/>
      </c>
      <c r="AAC60" s="1464"/>
      <c r="AAD60" s="826" t="s">
        <v>8435</v>
      </c>
      <c r="AAE60" s="836" t="str">
        <f>IF(AAF59=" за период",SEARCH(" за период",$XU$7,AAG59)+LEN(" за период")+3,"НЕТ")</f>
        <v>НЕТ</v>
      </c>
      <c r="AAF60" s="306" t="s">
        <v>8434</v>
      </c>
      <c r="AAG60" s="306" t="e">
        <f>SEARCH(AAF60,$XU$7,AAE60)</f>
        <v>#VALUE!</v>
      </c>
      <c r="AAH60" s="306" t="e">
        <f>AAG60-AAE60</f>
        <v>#VALUE!</v>
      </c>
      <c r="AAI60" s="827" t="e">
        <f>DATEVALUE(MID($XU$7,AAE60,AAH60))</f>
        <v>#VALUE!</v>
      </c>
      <c r="AAJ60" s="828" t="str">
        <f>IF(AAF59=" за период",AAI60,"")</f>
        <v/>
      </c>
      <c r="AAV60" t="str">
        <f t="shared" si="141"/>
        <v>$$$$</v>
      </c>
      <c r="AAW60" s="947" t="e">
        <f>SEARCH(AAV60,#REF!)</f>
        <v>#REF!</v>
      </c>
      <c r="AAX60" s="5"/>
      <c r="AAY60" s="5"/>
      <c r="AAZ60" s="5"/>
      <c r="ABA60" s="1487"/>
      <c r="ADF60" s="5"/>
      <c r="ADG60" s="1075"/>
      <c r="ADQ60" s="1075"/>
      <c r="AEJ60" s="959"/>
      <c r="AEK60" s="959"/>
      <c r="AEL60" s="959"/>
      <c r="AEX60" s="1070"/>
      <c r="AFA60" s="1070"/>
      <c r="AFE60" s="1464"/>
      <c r="AFF60" s="826" t="s">
        <v>8435</v>
      </c>
      <c r="AFG60" s="836" t="str">
        <f>IF(AFH59=" за период",SEARCH(" за период",AFD$4,AFI59)+LEN(" за период")+3,"НЕТ")</f>
        <v>НЕТ</v>
      </c>
      <c r="AFH60" s="306" t="s">
        <v>8434</v>
      </c>
      <c r="AFI60" s="306" t="e">
        <f>SEARCH(AFH60,AFD$4,AFG60)</f>
        <v>#VALUE!</v>
      </c>
      <c r="AFJ60" s="306" t="e">
        <f>AFI60-AFG60</f>
        <v>#VALUE!</v>
      </c>
      <c r="AFK60" s="827" t="e">
        <f>DATEVALUE(MID(AFD$4,AFG60,AFJ60))</f>
        <v>#VALUE!</v>
      </c>
      <c r="AFL60" s="828" t="str">
        <f>IF(AFH59=" за период",AFK60,"")</f>
        <v/>
      </c>
      <c r="AFQ60" s="1464"/>
      <c r="AFR60" s="826" t="s">
        <v>8435</v>
      </c>
      <c r="AFS60" s="836" t="str">
        <f>IF(AFT59=" за период",SEARCH(" за период",AFP$4,AFU59)+LEN(" за период")+3,"НЕТ")</f>
        <v>НЕТ</v>
      </c>
      <c r="AFT60" s="306" t="s">
        <v>8434</v>
      </c>
      <c r="AFU60" s="306" t="e">
        <f>SEARCH(AFT60,AFP$4,AFS60)</f>
        <v>#VALUE!</v>
      </c>
      <c r="AFV60" s="306" t="e">
        <f>AFU60-AFS60</f>
        <v>#VALUE!</v>
      </c>
      <c r="AFW60" s="827" t="e">
        <f>DATEVALUE(MID(AFP$4,AFS60,AFV60))</f>
        <v>#VALUE!</v>
      </c>
      <c r="AFX60" s="828" t="str">
        <f>IF(AFT59=" за период",AFW60,"")</f>
        <v/>
      </c>
      <c r="AGC60" s="1464"/>
      <c r="AGD60" s="826" t="s">
        <v>8435</v>
      </c>
      <c r="AGE60" s="836" t="str">
        <f>IF(AGF59=" за период",SEARCH(" за период",AGB$4,AGG59)+LEN(" за период")+3,"НЕТ")</f>
        <v>НЕТ</v>
      </c>
      <c r="AGF60" s="306" t="s">
        <v>8434</v>
      </c>
      <c r="AGG60" s="306" t="e">
        <f>SEARCH(AGF60,AGB$4,AGE60)</f>
        <v>#VALUE!</v>
      </c>
      <c r="AGH60" s="306" t="e">
        <f>AGG60-AGE60</f>
        <v>#VALUE!</v>
      </c>
      <c r="AGI60" s="827" t="e">
        <f>DATEVALUE(MID(AGB$4,AGE60,AGH60))</f>
        <v>#VALUE!</v>
      </c>
      <c r="AGJ60" s="828" t="str">
        <f>IF(AGF59=" за период",AGI60,"")</f>
        <v/>
      </c>
      <c r="AGO60" s="1464"/>
      <c r="AGP60" s="826" t="s">
        <v>8435</v>
      </c>
      <c r="AGQ60" s="836" t="str">
        <f>IF(AGR59=" за период",SEARCH(" за период",AGN$4,AGS59)+LEN(" за период")+3,"НЕТ")</f>
        <v>НЕТ</v>
      </c>
      <c r="AGR60" s="306" t="s">
        <v>8434</v>
      </c>
      <c r="AGS60" s="306" t="e">
        <f>SEARCH(AGR60,AGN$4,AGQ60)</f>
        <v>#VALUE!</v>
      </c>
      <c r="AGT60" s="306" t="e">
        <f>AGS60-AGQ60</f>
        <v>#VALUE!</v>
      </c>
      <c r="AGU60" s="827" t="e">
        <f>DATEVALUE(MID(AGN$4,AGQ60,AGT60))</f>
        <v>#VALUE!</v>
      </c>
      <c r="AGV60" s="828" t="str">
        <f>IF(AGR59=" за период",AGU60,"")</f>
        <v/>
      </c>
      <c r="AHA60" s="1464"/>
      <c r="AHB60" s="826" t="s">
        <v>8435</v>
      </c>
      <c r="AHC60" s="836" t="str">
        <f>IF(AHD59=" за период",SEARCH(" за период",AGZ$4,AHE59)+LEN(" за период")+3,"НЕТ")</f>
        <v>НЕТ</v>
      </c>
      <c r="AHD60" s="306" t="s">
        <v>8434</v>
      </c>
      <c r="AHE60" s="306" t="e">
        <f>SEARCH(AHD60,AGZ$4,AHC60)</f>
        <v>#VALUE!</v>
      </c>
      <c r="AHF60" s="306" t="e">
        <f>AHE60-AHC60</f>
        <v>#VALUE!</v>
      </c>
      <c r="AHG60" s="827" t="e">
        <f>DATEVALUE(MID(AGZ$4,AHC60,AHF60))</f>
        <v>#VALUE!</v>
      </c>
      <c r="AHH60" s="828" t="str">
        <f>IF(AHD59=" за период",AHG60,"")</f>
        <v/>
      </c>
    </row>
    <row r="61" spans="1:893" ht="14.4" customHeight="1" thickTop="1" x14ac:dyDescent="0.3">
      <c r="A61" s="116"/>
      <c r="B61" s="116"/>
      <c r="C61" s="116"/>
      <c r="D61" s="116"/>
      <c r="E61" s="116"/>
      <c r="F61" s="116"/>
      <c r="G61" s="116"/>
      <c r="H61" s="116"/>
      <c r="I61" s="116"/>
      <c r="J61" s="116"/>
      <c r="K61" s="116"/>
      <c r="L61" s="116"/>
      <c r="M61" s="116"/>
      <c r="N61" s="116"/>
      <c r="O61" s="116"/>
      <c r="P61" s="116"/>
      <c r="Q61" s="116"/>
      <c r="R61" s="116"/>
      <c r="S61" s="116"/>
      <c r="T61" s="116"/>
      <c r="U61" s="116"/>
      <c r="V61" s="116"/>
      <c r="W61" s="116"/>
      <c r="X61" s="116"/>
      <c r="Y61" s="116"/>
      <c r="Z61" s="116"/>
      <c r="AA61" s="116"/>
      <c r="AB61" s="116"/>
      <c r="AC61" s="116"/>
      <c r="AD61" s="116"/>
      <c r="AE61" s="116"/>
      <c r="AF61" s="116"/>
      <c r="AG61" s="116"/>
      <c r="AH61" s="116"/>
      <c r="AI61" s="116"/>
      <c r="AJ61" s="116"/>
      <c r="AK61" s="116"/>
      <c r="AL61" s="116"/>
      <c r="AM61" s="116"/>
      <c r="AN61" s="116"/>
      <c r="AO61" s="116"/>
      <c r="AP61" s="116"/>
      <c r="AQ61" s="116"/>
      <c r="AR61" s="116"/>
      <c r="AS61" s="116"/>
      <c r="AT61" s="116"/>
      <c r="AU61" s="116"/>
      <c r="AV61" s="116"/>
      <c r="AW61" s="116"/>
      <c r="AX61" s="116"/>
      <c r="AY61" s="116"/>
      <c r="AZ61" s="116"/>
      <c r="BA61" s="116"/>
      <c r="BB61" s="116"/>
      <c r="BC61" s="116"/>
      <c r="BD61" s="116"/>
      <c r="BE61" s="116"/>
      <c r="BF61" s="116"/>
      <c r="BG61" s="116"/>
      <c r="BH61" s="116"/>
      <c r="BI61" s="116"/>
      <c r="BJ61" s="116"/>
      <c r="BK61" s="116"/>
      <c r="BL61" s="116"/>
      <c r="BM61" s="116"/>
      <c r="BN61" s="116"/>
      <c r="BO61" s="116"/>
      <c r="BP61" s="116"/>
      <c r="BQ61" s="116"/>
      <c r="BR61" s="116"/>
      <c r="BS61" s="116"/>
      <c r="BT61" s="116"/>
      <c r="BU61" s="116"/>
      <c r="BV61" s="116"/>
      <c r="BW61" s="116"/>
      <c r="BX61" s="116"/>
      <c r="BY61" s="116"/>
      <c r="BZ61" s="116"/>
      <c r="CA61" s="116"/>
      <c r="CB61" s="116"/>
      <c r="CC61" s="116"/>
      <c r="CD61" s="116"/>
      <c r="CE61" s="116"/>
      <c r="CF61" s="116"/>
      <c r="CG61" s="116"/>
      <c r="CH61" s="116"/>
      <c r="CI61" s="116"/>
      <c r="CJ61" s="116"/>
      <c r="CK61" s="116"/>
      <c r="CL61" s="116"/>
      <c r="CM61" s="116"/>
      <c r="CN61" s="116"/>
      <c r="CO61" s="116"/>
      <c r="CP61" s="116"/>
      <c r="CQ61" s="116"/>
      <c r="CR61" s="116"/>
      <c r="CS61" s="116"/>
      <c r="CT61" s="116"/>
      <c r="CU61" s="116"/>
      <c r="CV61" s="116"/>
      <c r="CW61" s="116"/>
      <c r="CX61" s="116"/>
      <c r="CY61" s="116"/>
      <c r="CZ61" s="116"/>
      <c r="DA61" s="116"/>
      <c r="DB61" s="116"/>
      <c r="DC61" s="116"/>
      <c r="DD61" s="116"/>
      <c r="DE61" s="116"/>
      <c r="DF61" s="116"/>
      <c r="DG61" s="116"/>
      <c r="DH61" s="116"/>
      <c r="DI61" s="116"/>
      <c r="DJ61" s="116"/>
      <c r="DK61" s="116"/>
      <c r="DL61" s="116"/>
      <c r="DM61" s="116"/>
      <c r="DN61" s="116"/>
      <c r="DO61" s="116"/>
      <c r="DP61" s="116"/>
      <c r="DQ61" s="116"/>
      <c r="DT61" t="s">
        <v>4736</v>
      </c>
      <c r="DU61" s="821" t="s">
        <v>604</v>
      </c>
      <c r="DV61" s="1464"/>
      <c r="DW61" s="826" t="s">
        <v>8436</v>
      </c>
      <c r="DX61" s="836" t="e">
        <f>SEARCH(" ",$C$3,DZ60+1)+1</f>
        <v>#VALUE!</v>
      </c>
      <c r="DY61" s="306"/>
      <c r="DZ61" s="306" t="e">
        <f>DX61+EA61</f>
        <v>#VALUE!</v>
      </c>
      <c r="EA61" s="306">
        <v>10</v>
      </c>
      <c r="EB61" s="827" t="e">
        <f>DATEVALUE(MID($C$3,DX61,EA61))</f>
        <v>#VALUE!</v>
      </c>
      <c r="EC61" s="828" t="str">
        <f>IF(DY59=" за период",EB61,"")</f>
        <v/>
      </c>
      <c r="NK61" s="1464"/>
      <c r="NL61" s="826" t="s">
        <v>8436</v>
      </c>
      <c r="NM61" s="836" t="e">
        <f>SEARCH(" ",NJ$4,NO60+1)+1</f>
        <v>#VALUE!</v>
      </c>
      <c r="NN61" s="306"/>
      <c r="NO61" s="306" t="e">
        <f>NM61+NP61</f>
        <v>#VALUE!</v>
      </c>
      <c r="NP61" s="306">
        <v>10</v>
      </c>
      <c r="NQ61" s="827" t="e">
        <f>DATEVALUE(MID(NJ$4,NM61,NP61))</f>
        <v>#VALUE!</v>
      </c>
      <c r="NR61" s="828" t="str">
        <f>IF(NN59=" за период",NQ61,"")</f>
        <v/>
      </c>
      <c r="OD61" s="946" t="str">
        <f t="shared" si="131"/>
        <v>$$$$</v>
      </c>
      <c r="OE61" s="947" t="e">
        <f t="shared" si="157"/>
        <v>#VALUE!</v>
      </c>
      <c r="OF61" s="116"/>
      <c r="OG61" s="116"/>
      <c r="OH61" s="116"/>
      <c r="OI61" s="116"/>
      <c r="OJ61" s="116"/>
      <c r="OK61" s="116"/>
      <c r="OL61" s="1497"/>
      <c r="OY61" s="116"/>
      <c r="OZ61" s="959"/>
      <c r="PA61" s="1210"/>
      <c r="PB61" s="959"/>
      <c r="PC61" s="116"/>
      <c r="PD61" s="1000"/>
      <c r="PF61" s="1209"/>
      <c r="PG61" s="1208"/>
      <c r="PH61" s="1209"/>
      <c r="PI61" s="5"/>
      <c r="PJ61" s="1073"/>
      <c r="PK61" s="99"/>
      <c r="PL61" s="920"/>
      <c r="PM61" s="995"/>
      <c r="PN61" s="920"/>
      <c r="PO61" s="254"/>
      <c r="PP61" s="871"/>
      <c r="PQ61" t="str">
        <f t="shared" si="133"/>
        <v>$$$$</v>
      </c>
      <c r="PR61" s="937" t="e">
        <f t="shared" si="158"/>
        <v>#VALUE!</v>
      </c>
      <c r="PS61" s="5"/>
      <c r="PV61" s="937"/>
      <c r="PX61" s="5"/>
      <c r="PY61" s="1470"/>
      <c r="PZ61" t="str">
        <f t="shared" si="135"/>
        <v>$$$$</v>
      </c>
      <c r="QA61" s="937" t="e">
        <f t="shared" si="159"/>
        <v>#VALUE!</v>
      </c>
      <c r="QB61" s="5"/>
      <c r="QC61" s="264"/>
      <c r="QE61" s="937"/>
      <c r="QF61" s="264"/>
      <c r="QG61" s="5"/>
      <c r="QH61" s="1470"/>
      <c r="QI61" t="str">
        <f t="shared" si="137"/>
        <v>$$$$</v>
      </c>
      <c r="QJ61" s="937" t="e">
        <f t="shared" si="160"/>
        <v>#VALUE!</v>
      </c>
      <c r="QK61" s="5"/>
      <c r="QL61" s="264"/>
      <c r="QN61" s="937"/>
      <c r="QO61" s="264"/>
      <c r="QP61" s="5"/>
      <c r="QQ61" s="1470"/>
      <c r="QR61" t="str">
        <f t="shared" si="139"/>
        <v>$$$$</v>
      </c>
      <c r="QS61" s="937" t="e">
        <f t="shared" si="161"/>
        <v>#VALUE!</v>
      </c>
      <c r="QT61" s="5"/>
      <c r="QU61" s="264"/>
      <c r="QW61" s="937"/>
      <c r="QX61" s="264"/>
      <c r="QY61" s="5"/>
      <c r="QZ61" s="1470"/>
      <c r="SQ61" s="116"/>
      <c r="SY61" s="1464"/>
      <c r="SZ61" s="826" t="s">
        <v>8436</v>
      </c>
      <c r="TA61" s="836" t="e">
        <f>SEARCH(" ",$SQ$3,TC60+1)+1</f>
        <v>#VALUE!</v>
      </c>
      <c r="TB61" s="306"/>
      <c r="TC61" s="306" t="e">
        <f>TA61+TD61</f>
        <v>#VALUE!</v>
      </c>
      <c r="TD61" s="306">
        <v>10</v>
      </c>
      <c r="TE61" s="827" t="e">
        <f>DATEVALUE(MID($SQ$3,TA61,TD61))</f>
        <v>#VALUE!</v>
      </c>
      <c r="TF61" s="828" t="str">
        <f>IF(TB59=" за период",TE61,"")</f>
        <v/>
      </c>
      <c r="TK61" s="1475">
        <v>15</v>
      </c>
      <c r="TL61" s="1030" t="s">
        <v>8433</v>
      </c>
      <c r="TM61" s="406" t="e">
        <f>SEARCH($TJ$14,TJ$4,TO57)+LEN($TJ$14)</f>
        <v>#VALUE!</v>
      </c>
      <c r="TN61" s="406" t="str">
        <f>IF(TO61=IFERROR(SEARCH(".",TJ$4,TM61),99999),".",
IF(TO61=IFERROR(SEARCH(",",TJ$4,TM61),99999),",",
IF(TO61=IFERROR(SEARCH(" за период",TJ$4,TM61),999999)," за период",
IF(TO61=IFERROR(SEARCH(" в размере",TJ$4,TM61),99999)," в размере",
IF(TO61=IFERROR(SEARCH(" и ",TJ$4,TM61),99999)," и ",
IF(TO61=IFERROR(SEARCH(")",TJ$4,TM61),99999),")",
))))))</f>
        <v>.</v>
      </c>
      <c r="TO61" s="406">
        <f>IFERROR(MIN(IFERROR(SEARCH(".",TJ$4,TM61),99999),IFERROR(SEARCH(",",TJ$4,TM61),99999),IFERROR(SEARCH(" за период",TJ$4,TM61),999999),IFERROR(SEARCH(" в размере",TJ$4,TM61),99999),IFERROR(SEARCH(" и ",TJ$4,TM61),99999),IFERROR(SEARCH(")",TJ$4,TM61),99999)),"ОШИБКА")</f>
        <v>99999</v>
      </c>
      <c r="TP61" s="406" t="e">
        <f>TO61-TM61</f>
        <v>#VALUE!</v>
      </c>
      <c r="TQ61" s="873" t="e">
        <f>MID(TJ$4,TM61,TP61)</f>
        <v>#VALUE!</v>
      </c>
      <c r="TR61" s="825" t="str">
        <f>IFERROR(INDEX($DU:$DU,MATCH(MID(TJ$4,TM61,TP61),$DT:$DT,0),1),"")</f>
        <v/>
      </c>
      <c r="TW61" s="1464"/>
      <c r="TX61" s="826" t="s">
        <v>8436</v>
      </c>
      <c r="TY61" s="836" t="e">
        <f>SEARCH(" ",$SQ$4,UA60+1)+1</f>
        <v>#VALUE!</v>
      </c>
      <c r="TZ61" s="306"/>
      <c r="UA61" s="306" t="e">
        <f>TY61+UB61</f>
        <v>#VALUE!</v>
      </c>
      <c r="UB61" s="306">
        <v>10</v>
      </c>
      <c r="UC61" s="827" t="e">
        <f>DATEVALUE(MID($SQ$4,TY61,UB61))</f>
        <v>#VALUE!</v>
      </c>
      <c r="UD61" s="828" t="str">
        <f>IF(TZ59=" за период",UC61,"")</f>
        <v/>
      </c>
      <c r="UI61" s="1475">
        <v>15</v>
      </c>
      <c r="UJ61" s="1030" t="s">
        <v>8433</v>
      </c>
      <c r="UK61" s="406" t="e">
        <f>SEARCH(UH$14,UH$4,UM57)+LEN(UH$14)</f>
        <v>#VALUE!</v>
      </c>
      <c r="UL61" s="406" t="str">
        <f>IF(UM61=IFERROR(SEARCH(".",UH$4,UK61),99999),".",
IF(UM61=IFERROR(SEARCH(",",UH$4,UK61),99999),",",
IF(UM61=IFERROR(SEARCH(" за период",UH$4,UK61),999999)," за период",
IF(UM61=IFERROR(SEARCH(" в размере",UH$4,UK61),99999)," в размере",
IF(UM61=IFERROR(SEARCH(" и ",UH$4,UK61),99999)," и ",
IF(UM61=IFERROR(SEARCH(")",UH$4,UK61),99999),")",
))))))</f>
        <v>.</v>
      </c>
      <c r="UM61" s="406">
        <f>IFERROR(MIN(IFERROR(SEARCH(".",UH$4,UK61),99999),IFERROR(SEARCH(",",UH$4,UK61),99999),IFERROR(SEARCH(" за период",UH$4,UK61),999999),IFERROR(SEARCH(" в размере",UH$4,UK61),99999),IFERROR(SEARCH(" и ",UH$4,UK61),99999),IFERROR(SEARCH(")",UH$4,UK61),99999)),"ОШИБКА")</f>
        <v>99999</v>
      </c>
      <c r="UN61" s="406" t="e">
        <f>UM61-UK61</f>
        <v>#VALUE!</v>
      </c>
      <c r="UO61" s="873" t="e">
        <f>MID(UH$4,UK61,UN61)</f>
        <v>#VALUE!</v>
      </c>
      <c r="UP61" s="825" t="str">
        <f>IFERROR(INDEX($DU:$DU,MATCH(MID(UH$4,UK61,UN61),$DT:$DT,0),1),"")</f>
        <v/>
      </c>
      <c r="UU61" s="1464"/>
      <c r="UV61" s="826" t="s">
        <v>8436</v>
      </c>
      <c r="UW61" s="836" t="e">
        <f>SEARCH(" ",$SQ$5,UY60+1)+1</f>
        <v>#VALUE!</v>
      </c>
      <c r="UX61" s="306"/>
      <c r="UY61" s="306" t="e">
        <f>UW61+UZ61</f>
        <v>#VALUE!</v>
      </c>
      <c r="UZ61" s="306">
        <v>10</v>
      </c>
      <c r="VA61" s="827" t="e">
        <f>DATEVALUE(MID($SQ$5,UW61,UZ61))</f>
        <v>#VALUE!</v>
      </c>
      <c r="VB61" s="828" t="str">
        <f>IF(UX59=" за период",VA61,"")</f>
        <v/>
      </c>
      <c r="VG61" s="1475">
        <v>15</v>
      </c>
      <c r="VH61" s="1030" t="s">
        <v>8433</v>
      </c>
      <c r="VI61" s="406" t="e">
        <f>SEARCH(VF$14,VF$4,VK57)+LEN(VF$14)</f>
        <v>#VALUE!</v>
      </c>
      <c r="VJ61" s="406" t="str">
        <f>IF(VK61=IFERROR(SEARCH(".",VF$4,VI61),99999),".",
IF(VK61=IFERROR(SEARCH(",",VF$4,VI61),99999),",",
IF(VK61=IFERROR(SEARCH(" за период",VF$4,VI61),999999)," за период",
IF(VK61=IFERROR(SEARCH(" в размере",VF$4,VI61),99999)," в размере",
IF(VK61=IFERROR(SEARCH(" и ",VF$4,VI61),99999)," и ",
IF(VK61=IFERROR(SEARCH(")",VF$4,VI61),99999),")",
))))))</f>
        <v>.</v>
      </c>
      <c r="VK61" s="406">
        <f>IFERROR(MIN(IFERROR(SEARCH(".",VF$4,VI61),99999),IFERROR(SEARCH(",",VF$4,VI61),99999),IFERROR(SEARCH(" за период",VF$4,VI61),999999),IFERROR(SEARCH(" в размере",VF$4,VI61),99999),IFERROR(SEARCH(" и ",VF$4,VI61),99999),IFERROR(SEARCH(")",VF$4,VI61),99999)),"ОШИБКА")</f>
        <v>99999</v>
      </c>
      <c r="VL61" s="406" t="e">
        <f>VK61-VI61</f>
        <v>#VALUE!</v>
      </c>
      <c r="VM61" s="873" t="e">
        <f>MID(VF$4,VI61,VL61)</f>
        <v>#VALUE!</v>
      </c>
      <c r="VN61" s="825" t="str">
        <f>IFERROR(INDEX($DU:$DU,MATCH(MID(VF$4,VI61,VL61),$DT:$DT,0),1),"")</f>
        <v/>
      </c>
      <c r="VS61" s="1464"/>
      <c r="VT61" s="826" t="s">
        <v>8436</v>
      </c>
      <c r="VU61" s="836" t="e">
        <f>SEARCH(" ",$SQ$6,VW60+1)+1</f>
        <v>#VALUE!</v>
      </c>
      <c r="VV61" s="306"/>
      <c r="VW61" s="306" t="e">
        <f>VU61+VX61</f>
        <v>#VALUE!</v>
      </c>
      <c r="VX61" s="306">
        <v>10</v>
      </c>
      <c r="VY61" s="827" t="e">
        <f>DATEVALUE(MID($SQ$6,VU61,VX61))</f>
        <v>#VALUE!</v>
      </c>
      <c r="VZ61" s="828" t="str">
        <f>IF(VV59=" за период",VY61,"")</f>
        <v/>
      </c>
      <c r="WE61" s="1475">
        <v>15</v>
      </c>
      <c r="WF61" s="1030" t="s">
        <v>8433</v>
      </c>
      <c r="WG61" s="406" t="e">
        <f>SEARCH($TJ$14,WD$4,WI57)+LEN($TJ$14)</f>
        <v>#VALUE!</v>
      </c>
      <c r="WH61" s="406" t="str">
        <f>IF(WI61=IFERROR(SEARCH(".",WD$4,WG61),99999),".",
IF(WI61=IFERROR(SEARCH(",",WD$4,WG61),99999),",",
IF(WI61=IFERROR(SEARCH(" за период",WD$4,WG61),999999)," за период",
IF(WI61=IFERROR(SEARCH(" в размере",WD$4,WG61),99999)," в размере",
IF(WI61=IFERROR(SEARCH(" и ",WD$4,WG61),99999)," и ",
IF(WI61=IFERROR(SEARCH(")",WD$4,WG61),99999),")",
))))))</f>
        <v>.</v>
      </c>
      <c r="WI61" s="406">
        <f>IFERROR(MIN(IFERROR(SEARCH(".",WD$4,WG61),99999),IFERROR(SEARCH(",",WD$4,WG61),99999),IFERROR(SEARCH(" за период",WD$4,WG61),999999),IFERROR(SEARCH(" в размере",WD$4,WG61),99999),IFERROR(SEARCH(" и ",WD$4,WG61),99999),IFERROR(SEARCH(")",WD$4,WG61),99999)),"ОШИБКА")</f>
        <v>99999</v>
      </c>
      <c r="WJ61" s="406" t="e">
        <f>WI61-WG61</f>
        <v>#VALUE!</v>
      </c>
      <c r="WK61" s="873" t="e">
        <f>MID(WD$4,WG61,WJ61)</f>
        <v>#VALUE!</v>
      </c>
      <c r="WL61" s="825" t="str">
        <f>IFERROR(INDEX($DU:$DU,MATCH(MID(WD$4,WG61,WJ61),$DT:$DT,0),1),"")</f>
        <v/>
      </c>
      <c r="WQ61" s="1464"/>
      <c r="WR61" s="826" t="s">
        <v>8436</v>
      </c>
      <c r="WS61" s="836" t="e">
        <f>SEARCH(" ",$SQ$7,WU60+1)+1</f>
        <v>#VALUE!</v>
      </c>
      <c r="WT61" s="306"/>
      <c r="WU61" s="306" t="e">
        <f>WS61+WV61</f>
        <v>#VALUE!</v>
      </c>
      <c r="WV61" s="306">
        <v>10</v>
      </c>
      <c r="WW61" s="827" t="e">
        <f>DATEVALUE(MID($SQ$7,WS61,WV61))</f>
        <v>#VALUE!</v>
      </c>
      <c r="WX61" s="828" t="str">
        <f>IF(WT59=" за период",WW61,"")</f>
        <v/>
      </c>
      <c r="XC61" s="1475">
        <v>15</v>
      </c>
      <c r="XD61" s="1030" t="s">
        <v>8433</v>
      </c>
      <c r="XE61" s="406" t="e">
        <f>SEARCH($TJ$14,XB$4,XG57)+LEN($TJ$14)</f>
        <v>#VALUE!</v>
      </c>
      <c r="XF61" s="406" t="str">
        <f>IF(XG61=IFERROR(SEARCH(".",XB$4,XE61),99999),".",
IF(XG61=IFERROR(SEARCH(",",XB$4,XE61),99999),",",
IF(XG61=IFERROR(SEARCH(" за период",XB$4,XE61),999999)," за период",
IF(XG61=IFERROR(SEARCH(" в размере",XB$4,XE61),99999)," в размере",
IF(XG61=IFERROR(SEARCH(" и ",XB$4,XE61),99999)," и ",
IF(XG61=IFERROR(SEARCH(")",XB$4,XE61),99999),")",
))))))</f>
        <v>.</v>
      </c>
      <c r="XG61" s="406">
        <f>IFERROR(MIN(IFERROR(SEARCH(".",XB$4,XE61),99999),IFERROR(SEARCH(",",XB$4,XE61),99999),IFERROR(SEARCH(" за период",XB$4,XE61),999999),IFERROR(SEARCH(" в размере",XB$4,XE61),99999),IFERROR(SEARCH(" и ",XB$4,XE61),99999),IFERROR(SEARCH(")",XB$4,XE61),99999)),"ОШИБКА")</f>
        <v>99999</v>
      </c>
      <c r="XH61" s="406" t="e">
        <f>XG61-XE61</f>
        <v>#VALUE!</v>
      </c>
      <c r="XI61" s="873" t="e">
        <f>MID(XB$4,XE61,XH61)</f>
        <v>#VALUE!</v>
      </c>
      <c r="XJ61" s="825" t="str">
        <f>IFERROR(INDEX($DU:$DU,MATCH(MID(XB$4,XE61,XH61),$DT:$DT,0),1),"")</f>
        <v/>
      </c>
      <c r="YG61" s="1464"/>
      <c r="YH61" s="826" t="s">
        <v>8436</v>
      </c>
      <c r="YI61" s="836" t="e">
        <f>SEARCH(" ",$XU$3,YK60+1)+1</f>
        <v>#VALUE!</v>
      </c>
      <c r="YJ61" s="306"/>
      <c r="YK61" s="306" t="e">
        <f>YI61+YL61</f>
        <v>#VALUE!</v>
      </c>
      <c r="YL61" s="306">
        <v>10</v>
      </c>
      <c r="YM61" s="827" t="e">
        <f>DATEVALUE(MID($XU$3,YI61,YL61))</f>
        <v>#VALUE!</v>
      </c>
      <c r="YN61" s="828" t="str">
        <f>IF(YJ59=" за период",YM61,"")</f>
        <v/>
      </c>
      <c r="YS61" s="1464"/>
      <c r="YT61" s="826" t="s">
        <v>8436</v>
      </c>
      <c r="YU61" s="836" t="e">
        <f>SEARCH(" ",$XU$4,YW60+1)+1</f>
        <v>#VALUE!</v>
      </c>
      <c r="YV61" s="306"/>
      <c r="YW61" s="306" t="e">
        <f>YU61+YX61</f>
        <v>#VALUE!</v>
      </c>
      <c r="YX61" s="306">
        <v>10</v>
      </c>
      <c r="YY61" s="827" t="e">
        <f>DATEVALUE(MID($XU$4,YU61,YX61))</f>
        <v>#VALUE!</v>
      </c>
      <c r="YZ61" s="828" t="str">
        <f>IF(YV59=" за период",YY61,"")</f>
        <v/>
      </c>
      <c r="ZE61" s="1464"/>
      <c r="ZF61" s="826" t="s">
        <v>8436</v>
      </c>
      <c r="ZG61" s="836" t="e">
        <f>SEARCH(" ",$XU$5,ZI60+1)+1</f>
        <v>#VALUE!</v>
      </c>
      <c r="ZH61" s="306"/>
      <c r="ZI61" s="306" t="e">
        <f>ZG61+ZJ61</f>
        <v>#VALUE!</v>
      </c>
      <c r="ZJ61" s="306">
        <v>10</v>
      </c>
      <c r="ZK61" s="827" t="e">
        <f>DATEVALUE(MID($XU$5,ZG61,ZJ61))</f>
        <v>#VALUE!</v>
      </c>
      <c r="ZL61" s="828" t="str">
        <f>IF(ZH59=" за период",ZK61,"")</f>
        <v/>
      </c>
      <c r="ZQ61" s="1464"/>
      <c r="ZR61" s="826" t="s">
        <v>8436</v>
      </c>
      <c r="ZS61" s="836" t="e">
        <f>SEARCH(" ",$XU$6,ZU60+1)+1</f>
        <v>#VALUE!</v>
      </c>
      <c r="ZT61" s="306"/>
      <c r="ZU61" s="306" t="e">
        <f>ZS61+ZV61</f>
        <v>#VALUE!</v>
      </c>
      <c r="ZV61" s="306">
        <v>10</v>
      </c>
      <c r="ZW61" s="827" t="e">
        <f>DATEVALUE(MID($XU$6,ZS61,ZV61))</f>
        <v>#VALUE!</v>
      </c>
      <c r="ZX61" s="828" t="str">
        <f>IF(ZT59=" за период",ZW61,"")</f>
        <v/>
      </c>
      <c r="AAC61" s="1464"/>
      <c r="AAD61" s="826" t="s">
        <v>8436</v>
      </c>
      <c r="AAE61" s="836" t="e">
        <f>SEARCH(" ",$XU$7,AAG60+1)+1</f>
        <v>#VALUE!</v>
      </c>
      <c r="AAF61" s="306"/>
      <c r="AAG61" s="306" t="e">
        <f>AAE61+AAH61</f>
        <v>#VALUE!</v>
      </c>
      <c r="AAH61" s="306">
        <v>10</v>
      </c>
      <c r="AAI61" s="827" t="e">
        <f>DATEVALUE(MID($XU$7,AAE61,AAH61))</f>
        <v>#VALUE!</v>
      </c>
      <c r="AAJ61" s="828" t="str">
        <f>IF(AAF59=" за период",AAI61,"")</f>
        <v/>
      </c>
      <c r="AAV61" t="str">
        <f t="shared" si="141"/>
        <v>$$$$</v>
      </c>
      <c r="AAW61" s="947" t="e">
        <f>SEARCH(AAV61,#REF!)</f>
        <v>#REF!</v>
      </c>
      <c r="AAX61" s="5"/>
      <c r="AAY61" s="5"/>
      <c r="AAZ61" s="5"/>
      <c r="ABA61" s="1487"/>
      <c r="ADF61" s="5"/>
      <c r="ADG61" s="1075"/>
      <c r="ADQ61" s="1075"/>
      <c r="AEJ61" s="959"/>
      <c r="AEK61" s="959"/>
      <c r="AEL61" s="959"/>
      <c r="AEX61" s="1070"/>
      <c r="AFA61" s="1070"/>
      <c r="AFE61" s="1464"/>
      <c r="AFF61" s="826" t="s">
        <v>8436</v>
      </c>
      <c r="AFG61" s="836" t="e">
        <f>SEARCH(" ",AFD$4,AFI60+1)+1</f>
        <v>#VALUE!</v>
      </c>
      <c r="AFH61" s="306"/>
      <c r="AFI61" s="306" t="e">
        <f>AFG61+AFJ61</f>
        <v>#VALUE!</v>
      </c>
      <c r="AFJ61" s="306">
        <v>10</v>
      </c>
      <c r="AFK61" s="827" t="e">
        <f>DATEVALUE(MID(AFD$4,AFG61,AFJ61))</f>
        <v>#VALUE!</v>
      </c>
      <c r="AFL61" s="828" t="str">
        <f>IF(AFH59=" за период",AFK61,"")</f>
        <v/>
      </c>
      <c r="AFQ61" s="1464"/>
      <c r="AFR61" s="826" t="s">
        <v>8436</v>
      </c>
      <c r="AFS61" s="836" t="e">
        <f>SEARCH(" ",AFP$4,AFU60+1)+1</f>
        <v>#VALUE!</v>
      </c>
      <c r="AFT61" s="306"/>
      <c r="AFU61" s="306" t="e">
        <f>AFS61+AFV61</f>
        <v>#VALUE!</v>
      </c>
      <c r="AFV61" s="306">
        <v>10</v>
      </c>
      <c r="AFW61" s="827" t="e">
        <f>DATEVALUE(MID(AFP$4,AFS61,AFV61))</f>
        <v>#VALUE!</v>
      </c>
      <c r="AFX61" s="828" t="str">
        <f>IF(AFT59=" за период",AFW61,"")</f>
        <v/>
      </c>
      <c r="AGC61" s="1464"/>
      <c r="AGD61" s="826" t="s">
        <v>8436</v>
      </c>
      <c r="AGE61" s="836" t="e">
        <f>SEARCH(" ",AGB$4,AGG60+1)+1</f>
        <v>#VALUE!</v>
      </c>
      <c r="AGF61" s="306"/>
      <c r="AGG61" s="306" t="e">
        <f>AGE61+AGH61</f>
        <v>#VALUE!</v>
      </c>
      <c r="AGH61" s="306">
        <v>10</v>
      </c>
      <c r="AGI61" s="827" t="e">
        <f>DATEVALUE(MID(AGB$4,AGE61,AGH61))</f>
        <v>#VALUE!</v>
      </c>
      <c r="AGJ61" s="828" t="str">
        <f>IF(AGF59=" за период",AGI61,"")</f>
        <v/>
      </c>
      <c r="AGO61" s="1464"/>
      <c r="AGP61" s="826" t="s">
        <v>8436</v>
      </c>
      <c r="AGQ61" s="836" t="e">
        <f>SEARCH(" ",AGN$4,AGS60+1)+1</f>
        <v>#VALUE!</v>
      </c>
      <c r="AGR61" s="306"/>
      <c r="AGS61" s="306" t="e">
        <f>AGQ61+AGT61</f>
        <v>#VALUE!</v>
      </c>
      <c r="AGT61" s="306">
        <v>10</v>
      </c>
      <c r="AGU61" s="827" t="e">
        <f>DATEVALUE(MID(AGN$4,AGQ61,AGT61))</f>
        <v>#VALUE!</v>
      </c>
      <c r="AGV61" s="828" t="str">
        <f>IF(AGR59=" за период",AGU61,"")</f>
        <v/>
      </c>
      <c r="AHA61" s="1464"/>
      <c r="AHB61" s="826" t="s">
        <v>8436</v>
      </c>
      <c r="AHC61" s="836" t="e">
        <f>SEARCH(" ",AGZ$4,AHE60+1)+1</f>
        <v>#VALUE!</v>
      </c>
      <c r="AHD61" s="306"/>
      <c r="AHE61" s="306" t="e">
        <f>AHC61+AHF61</f>
        <v>#VALUE!</v>
      </c>
      <c r="AHF61" s="306">
        <v>10</v>
      </c>
      <c r="AHG61" s="827" t="e">
        <f>DATEVALUE(MID(AGZ$4,AHC61,AHF61))</f>
        <v>#VALUE!</v>
      </c>
      <c r="AHH61" s="828" t="str">
        <f>IF(AHD59=" за период",AHG61,"")</f>
        <v/>
      </c>
    </row>
    <row r="62" spans="1:893" ht="14.4" customHeight="1" x14ac:dyDescent="0.3">
      <c r="A62" s="116"/>
      <c r="B62" s="116"/>
      <c r="C62" s="116"/>
      <c r="D62" s="116"/>
      <c r="E62" s="116"/>
      <c r="F62" s="116"/>
      <c r="G62" s="116"/>
      <c r="H62" s="116"/>
      <c r="I62" s="116"/>
      <c r="J62" s="116"/>
      <c r="K62" s="116"/>
      <c r="L62" s="116"/>
      <c r="M62" s="116"/>
      <c r="N62" s="116"/>
      <c r="O62" s="116"/>
      <c r="P62" s="116"/>
      <c r="Q62" s="116"/>
      <c r="R62" s="116"/>
      <c r="S62" s="116"/>
      <c r="T62" s="116"/>
      <c r="U62" s="116"/>
      <c r="V62" s="116"/>
      <c r="W62" s="116"/>
      <c r="X62" s="116"/>
      <c r="Y62" s="116"/>
      <c r="Z62" s="116"/>
      <c r="AA62" s="116"/>
      <c r="AB62" s="116"/>
      <c r="AC62" s="116"/>
      <c r="AD62" s="116"/>
      <c r="AE62" s="116"/>
      <c r="AF62" s="116"/>
      <c r="AG62" s="116"/>
      <c r="AH62" s="116"/>
      <c r="AI62" s="116"/>
      <c r="AJ62" s="116"/>
      <c r="AK62" s="116"/>
      <c r="AL62" s="116"/>
      <c r="AM62" s="116"/>
      <c r="AN62" s="116"/>
      <c r="AO62" s="116"/>
      <c r="AP62" s="116"/>
      <c r="AQ62" s="116"/>
      <c r="AR62" s="116"/>
      <c r="AS62" s="116"/>
      <c r="AT62" s="116"/>
      <c r="AU62" s="116"/>
      <c r="AV62" s="116"/>
      <c r="AW62" s="116"/>
      <c r="AX62" s="116"/>
      <c r="AY62" s="116"/>
      <c r="AZ62" s="116"/>
      <c r="BA62" s="116"/>
      <c r="BB62" s="116"/>
      <c r="BC62" s="116"/>
      <c r="BD62" s="116"/>
      <c r="BE62" s="116"/>
      <c r="BF62" s="116"/>
      <c r="BG62" s="116"/>
      <c r="BH62" s="116"/>
      <c r="BI62" s="116"/>
      <c r="BJ62" s="116"/>
      <c r="BK62" s="116"/>
      <c r="BL62" s="116"/>
      <c r="BM62" s="116"/>
      <c r="BN62" s="116"/>
      <c r="BO62" s="116"/>
      <c r="BP62" s="116"/>
      <c r="BQ62" s="116"/>
      <c r="BR62" s="116"/>
      <c r="BS62" s="116"/>
      <c r="BT62" s="116"/>
      <c r="BU62" s="116"/>
      <c r="BV62" s="116"/>
      <c r="BW62" s="116"/>
      <c r="BX62" s="116"/>
      <c r="BY62" s="116"/>
      <c r="BZ62" s="116"/>
      <c r="CA62" s="116"/>
      <c r="CB62" s="116"/>
      <c r="CC62" s="116"/>
      <c r="CD62" s="116"/>
      <c r="CE62" s="116"/>
      <c r="CF62" s="116"/>
      <c r="CG62" s="116"/>
      <c r="CH62" s="116"/>
      <c r="CI62" s="116"/>
      <c r="CJ62" s="116"/>
      <c r="CK62" s="116"/>
      <c r="CL62" s="116"/>
      <c r="CM62" s="116"/>
      <c r="CN62" s="116"/>
      <c r="CO62" s="116"/>
      <c r="CP62" s="116"/>
      <c r="CQ62" s="116"/>
      <c r="CR62" s="116"/>
      <c r="CS62" s="116"/>
      <c r="CT62" s="116"/>
      <c r="CU62" s="116"/>
      <c r="CV62" s="116"/>
      <c r="CW62" s="116"/>
      <c r="CX62" s="116"/>
      <c r="CY62" s="116"/>
      <c r="CZ62" s="116"/>
      <c r="DA62" s="116"/>
      <c r="DB62" s="116"/>
      <c r="DC62" s="116"/>
      <c r="DD62" s="116"/>
      <c r="DE62" s="116"/>
      <c r="DF62" s="116"/>
      <c r="DG62" s="116"/>
      <c r="DH62" s="116"/>
      <c r="DI62" s="116"/>
      <c r="DJ62" s="116"/>
      <c r="DK62" s="116"/>
      <c r="DL62" s="116"/>
      <c r="DM62" s="116"/>
      <c r="DN62" s="116"/>
      <c r="DO62" s="116"/>
      <c r="DP62" s="116"/>
      <c r="DQ62" s="116"/>
      <c r="DT62" t="s">
        <v>8894</v>
      </c>
      <c r="DU62" s="821" t="s">
        <v>8426</v>
      </c>
      <c r="DV62" s="1464"/>
      <c r="DW62" s="826"/>
      <c r="DX62" s="836"/>
      <c r="DY62" s="306" t="str">
        <f>IF(DZ62=IFERROR(SEARCH(".",C$3,DZ61),99999),".",
IF(DZ62=IFERROR(SEARCH(",",C$3,DZ61),99999),",",
IF(DZ62=IFERROR(SEARCH(" за период",C$3,DZ61),999999)," за период",
IF(DZ62=IFERROR(SEARCH(" в размере",C$3,DZ61),99999)," в размере",
))))</f>
        <v>.</v>
      </c>
      <c r="DZ62" s="306">
        <f>MIN(
IFERROR(SEARCH(".",$C$3,DZ61),99999),
IFERROR(SEARCH(",",$C$3,DZ61),99999),
IFERROR(SEARCH(" в размере",$C$3,DZ61),99999))</f>
        <v>99999</v>
      </c>
      <c r="EA62" s="306"/>
      <c r="EB62" s="827"/>
      <c r="EC62" s="829"/>
      <c r="NK62" s="1464"/>
      <c r="NL62" s="826"/>
      <c r="NM62" s="836"/>
      <c r="NN62" s="306" t="str">
        <f>IF(NO62=IFERROR(SEARCH(".",NJ$4,NO61),99999),".",
IF(NO62=IFERROR(SEARCH(",",NJ$4,NO61),99999),",",
IF(NO62=IFERROR(SEARCH(" за период",NJ$4,NO61),999999)," за период",
IF(NO62=IFERROR(SEARCH(" в размере",NJ$4,NO61),99999)," в размере",
))))</f>
        <v>.</v>
      </c>
      <c r="NO62" s="306">
        <f>MIN(
IFERROR(SEARCH(".",NJ$4,NO61),99999),
IFERROR(SEARCH(",",NJ$4,NO61),99999),
IFERROR(SEARCH(" в размере",NJ$4,NO61),99999))</f>
        <v>99999</v>
      </c>
      <c r="NP62" s="306"/>
      <c r="NQ62" s="827"/>
      <c r="NR62" s="829"/>
      <c r="OD62" s="946" t="str">
        <f t="shared" si="131"/>
        <v>$$$$</v>
      </c>
      <c r="OE62" s="947" t="e">
        <f t="shared" si="157"/>
        <v>#VALUE!</v>
      </c>
      <c r="OF62" s="116"/>
      <c r="OG62" s="116"/>
      <c r="OH62" s="116"/>
      <c r="OI62" s="116"/>
      <c r="OJ62" s="116"/>
      <c r="OK62" s="116"/>
      <c r="OL62" s="1497"/>
      <c r="OY62" s="116"/>
      <c r="OZ62" s="959"/>
      <c r="PA62" s="1210"/>
      <c r="PB62" s="959"/>
      <c r="PC62" s="116"/>
      <c r="PD62" s="1000"/>
      <c r="PF62" s="1209"/>
      <c r="PG62" s="1208"/>
      <c r="PH62" s="1209"/>
      <c r="PJ62" s="1073"/>
      <c r="PK62" s="99"/>
      <c r="PL62" s="920"/>
      <c r="PM62" s="995"/>
      <c r="PN62" s="920"/>
      <c r="PO62" s="99"/>
      <c r="PP62" s="871"/>
      <c r="PQ62" t="str">
        <f t="shared" si="133"/>
        <v>$$$$</v>
      </c>
      <c r="PR62" s="937" t="e">
        <f t="shared" si="158"/>
        <v>#VALUE!</v>
      </c>
      <c r="PS62" s="5"/>
      <c r="PV62" s="937"/>
      <c r="PY62" s="1470"/>
      <c r="PZ62" t="str">
        <f t="shared" si="135"/>
        <v>$$$$</v>
      </c>
      <c r="QA62" s="937" t="e">
        <f t="shared" si="159"/>
        <v>#VALUE!</v>
      </c>
      <c r="QB62" s="5"/>
      <c r="QC62" s="264"/>
      <c r="QE62" s="937"/>
      <c r="QF62" s="264"/>
      <c r="QH62" s="1470"/>
      <c r="QI62" t="str">
        <f t="shared" si="137"/>
        <v>$$$$</v>
      </c>
      <c r="QJ62" s="937" t="e">
        <f t="shared" si="160"/>
        <v>#VALUE!</v>
      </c>
      <c r="QK62" s="5"/>
      <c r="QL62" s="264"/>
      <c r="QN62" s="937"/>
      <c r="QO62" s="264"/>
      <c r="QQ62" s="1470"/>
      <c r="QR62" t="str">
        <f t="shared" si="139"/>
        <v>$$$$</v>
      </c>
      <c r="QS62" s="937" t="e">
        <f t="shared" si="161"/>
        <v>#VALUE!</v>
      </c>
      <c r="QT62" s="5"/>
      <c r="QU62" s="264"/>
      <c r="QW62" s="937"/>
      <c r="QX62" s="264"/>
      <c r="QZ62" s="1470"/>
      <c r="SQ62" s="116"/>
      <c r="SY62" s="1464"/>
      <c r="SZ62" s="826"/>
      <c r="TA62" s="836"/>
      <c r="TB62" s="306" t="str">
        <f>IF(TC62=IFERROR(SEARCH(".",$SQ$3,TC61),99999),".",
IF(TC62=IFERROR(SEARCH(",",$SQ$3,TC61),99999),",",
IF(TC62=IFERROR(SEARCH(" за период",$SQ$3,TC61),999999)," за период",
IF(TC62=IFERROR(SEARCH(" в размере",$SQ$3,TC61),99999)," в размере",
))))</f>
        <v>.</v>
      </c>
      <c r="TC62" s="306">
        <f>MIN(
IFERROR(SEARCH(".",$SQ$3,TC61),99999),
IFERROR(SEARCH(",",$SQ$3,TC61),99999),
IFERROR(SEARCH(" в размере",$SQ$3,TC61),99999))</f>
        <v>99999</v>
      </c>
      <c r="TD62" s="306"/>
      <c r="TE62" s="827"/>
      <c r="TF62" s="829"/>
      <c r="TK62" s="1476"/>
      <c r="TL62" s="1031" t="s">
        <v>8249</v>
      </c>
      <c r="TM62" s="836">
        <f>IFERROR(MIN(IFERROR(SEARCH(", ",TJ$4,TO57)+LEN(", "),99999),IFERROR(SEARCH("и ",TJ$4,TO57)+LEN("и "),99999)),"ОШИБКА")</f>
        <v>99999</v>
      </c>
      <c r="TN62" s="306" t="s">
        <v>8431</v>
      </c>
      <c r="TO62" s="306" t="e">
        <f>SEARCH(TN62,TJ$4,TM62)</f>
        <v>#VALUE!</v>
      </c>
      <c r="TP62" s="306" t="e">
        <f>TO62-TM62</f>
        <v>#VALUE!</v>
      </c>
      <c r="TQ62" s="826" t="e">
        <f>IF(TR61="Штраф 50%","",MID(TJ$4,TM62,TP62))</f>
        <v>#VALUE!</v>
      </c>
      <c r="TR62" s="828" t="str">
        <f>IF(TN61=" за период",TQ62,"")</f>
        <v/>
      </c>
      <c r="TW62" s="1464"/>
      <c r="TX62" s="826"/>
      <c r="TY62" s="836"/>
      <c r="TZ62" s="306" t="str">
        <f>IF(UA62=IFERROR(SEARCH(".",$SQ$4,UA61),99999),".",
IF(UA62=IFERROR(SEARCH(",",$SQ$4,UA61),99999),",",
IF(UA62=IFERROR(SEARCH(" за период",$SQ$4,UA61),999999)," за период",
IF(UA62=IFERROR(SEARCH(" в размере",$SQ$4,UA61),99999)," в размере",
))))</f>
        <v>.</v>
      </c>
      <c r="UA62" s="306">
        <f>MIN(
IFERROR(SEARCH(".",$SQ$4,UA61),99999),
IFERROR(SEARCH(",",$SQ$4,UA61),99999),
IFERROR(SEARCH(" в размере",$SQ$4,UA61),99999))</f>
        <v>99999</v>
      </c>
      <c r="UB62" s="306"/>
      <c r="UC62" s="827"/>
      <c r="UD62" s="829"/>
      <c r="UI62" s="1476"/>
      <c r="UJ62" s="1031" t="s">
        <v>8249</v>
      </c>
      <c r="UK62" s="836">
        <f>IFERROR(MIN(IFERROR(SEARCH(", ",UH$4,UM57)+LEN(", "),99999),IFERROR(SEARCH("и ",UH$4,UM57)+LEN("и "),99999)),"ОШИБКА")</f>
        <v>99999</v>
      </c>
      <c r="UL62" s="306" t="s">
        <v>8431</v>
      </c>
      <c r="UM62" s="306" t="e">
        <f>SEARCH(UL62,UH$4,UK62)</f>
        <v>#VALUE!</v>
      </c>
      <c r="UN62" s="306" t="e">
        <f>UM62-UK62</f>
        <v>#VALUE!</v>
      </c>
      <c r="UO62" s="826" t="e">
        <f>IF(UP61="Штраф 50%","",MID(UH$4,UK62,UN62))</f>
        <v>#VALUE!</v>
      </c>
      <c r="UP62" s="828" t="str">
        <f>IF(UL61=" за период",UO62,"")</f>
        <v/>
      </c>
      <c r="UU62" s="1464"/>
      <c r="UV62" s="826"/>
      <c r="UW62" s="836"/>
      <c r="UX62" s="306" t="str">
        <f>IF(UY62=IFERROR(SEARCH(".",$SQ$5,UY61),99999),".",
IF(UY62=IFERROR(SEARCH(",",$SQ$5,UY61),99999),",",
IF(UY62=IFERROR(SEARCH(" за период",$SQ$5,UY61),999999)," за период",
IF(UY62=IFERROR(SEARCH(" в размере",$SQ$5,UY61),99999)," в размере",
))))</f>
        <v>.</v>
      </c>
      <c r="UY62" s="306">
        <f>MIN(
IFERROR(SEARCH(".",$SQ$5,UY61),99999),
IFERROR(SEARCH(",",$SQ$5,UY61),99999),
IFERROR(SEARCH(" в размере",$SQ$5,UY61),99999))</f>
        <v>99999</v>
      </c>
      <c r="UZ62" s="306"/>
      <c r="VA62" s="827"/>
      <c r="VB62" s="829"/>
      <c r="VG62" s="1476"/>
      <c r="VH62" s="1031" t="s">
        <v>8249</v>
      </c>
      <c r="VI62" s="836">
        <f>IFERROR(MIN(IFERROR(SEARCH(", ",VF$4,VK57)+LEN(", "),99999),IFERROR(SEARCH("и ",VF$4,VK57)+LEN("и "),99999)),"ОШИБКА")</f>
        <v>99999</v>
      </c>
      <c r="VJ62" s="306" t="s">
        <v>8431</v>
      </c>
      <c r="VK62" s="306" t="e">
        <f>SEARCH(VJ62,VF$4,VI62)</f>
        <v>#VALUE!</v>
      </c>
      <c r="VL62" s="306" t="e">
        <f>VK62-VI62</f>
        <v>#VALUE!</v>
      </c>
      <c r="VM62" s="826" t="e">
        <f>IF(VN61="Штраф 50%","",MID(VF$4,VI62,VL62))</f>
        <v>#VALUE!</v>
      </c>
      <c r="VN62" s="828" t="str">
        <f>IF(VJ61=" за период",VM62,"")</f>
        <v/>
      </c>
      <c r="VS62" s="1464"/>
      <c r="VT62" s="826"/>
      <c r="VU62" s="836"/>
      <c r="VV62" s="306" t="str">
        <f>IF(VW62=IFERROR(SEARCH(".",$SQ$6,VW61),99999),".",
IF(VW62=IFERROR(SEARCH(",",$SQ$6,VW61),99999),",",
IF(VW62=IFERROR(SEARCH(" за период",$SQ$6,VW61),999999)," за период",
IF(VW62=IFERROR(SEARCH(" в размере",$SQ$6,VW61),99999)," в размере",
))))</f>
        <v>.</v>
      </c>
      <c r="VW62" s="306">
        <f>MIN(
IFERROR(SEARCH(".",$SQ$6,VW61),99999),
IFERROR(SEARCH(",",$SQ$6,VW61),99999),
IFERROR(SEARCH(" в размере",$SQ$6,VW61),99999))</f>
        <v>99999</v>
      </c>
      <c r="VX62" s="306"/>
      <c r="VY62" s="827"/>
      <c r="VZ62" s="829"/>
      <c r="WE62" s="1476"/>
      <c r="WF62" s="1031" t="s">
        <v>8249</v>
      </c>
      <c r="WG62" s="836">
        <f>IFERROR(MIN(IFERROR(SEARCH(", ",WD$4,WI57)+LEN(", "),99999),IFERROR(SEARCH("и ",WD$4,WI57)+LEN("и "),99999)),"ОШИБКА")</f>
        <v>99999</v>
      </c>
      <c r="WH62" s="306" t="s">
        <v>8431</v>
      </c>
      <c r="WI62" s="306" t="e">
        <f>SEARCH(WH62,WD$4,WG62)</f>
        <v>#VALUE!</v>
      </c>
      <c r="WJ62" s="306" t="e">
        <f>WI62-WG62</f>
        <v>#VALUE!</v>
      </c>
      <c r="WK62" s="826" t="e">
        <f>IF(WL61="Штраф 50%","",MID(WD$4,WG62,WJ62))</f>
        <v>#VALUE!</v>
      </c>
      <c r="WL62" s="828" t="str">
        <f>IF(WH61=" за период",WK62,"")</f>
        <v/>
      </c>
      <c r="WQ62" s="1464"/>
      <c r="WR62" s="826"/>
      <c r="WS62" s="836"/>
      <c r="WT62" s="306" t="str">
        <f>IF(WU62=IFERROR(SEARCH(".",$SQ$7,WU61),99999),".",
IF(WU62=IFERROR(SEARCH(",",$SQ$7,WU61),99999),",",
IF(WU62=IFERROR(SEARCH(" за период",$SQ$7,WU61),999999)," за период",
IF(WU62=IFERROR(SEARCH(" в размере",$SQ$7,WU61),99999)," в размере",
))))</f>
        <v>.</v>
      </c>
      <c r="WU62" s="306">
        <f>MIN(
IFERROR(SEARCH(".",$SQ$7,WU61),99999),
IFERROR(SEARCH(",",$SQ$7,WU61),99999),
IFERROR(SEARCH(" в размере",$SQ$7,WU61),99999))</f>
        <v>99999</v>
      </c>
      <c r="WV62" s="306"/>
      <c r="WW62" s="827"/>
      <c r="WX62" s="829"/>
      <c r="XC62" s="1476"/>
      <c r="XD62" s="1031" t="s">
        <v>8249</v>
      </c>
      <c r="XE62" s="836">
        <f>IFERROR(MIN(IFERROR(SEARCH(", ",XB$4,XG57)+LEN(", "),99999),IFERROR(SEARCH("и ",XB$4,XG57)+LEN("и "),99999)),"ОШИБКА")</f>
        <v>99999</v>
      </c>
      <c r="XF62" s="306" t="s">
        <v>8431</v>
      </c>
      <c r="XG62" s="306" t="e">
        <f>SEARCH(XF62,XB$4,XE62)</f>
        <v>#VALUE!</v>
      </c>
      <c r="XH62" s="306" t="e">
        <f>XG62-XE62</f>
        <v>#VALUE!</v>
      </c>
      <c r="XI62" s="826" t="e">
        <f>IF(XJ61="Штраф 50%","",MID(XB$4,XE62,XH62))</f>
        <v>#VALUE!</v>
      </c>
      <c r="XJ62" s="828" t="str">
        <f>IF(XF61=" за период",XI62,"")</f>
        <v/>
      </c>
      <c r="YG62" s="1464"/>
      <c r="YH62" s="826"/>
      <c r="YI62" s="836"/>
      <c r="YJ62" s="306" t="str">
        <f>IF(YK62=IFERROR(SEARCH(".",$XU$3,YK61),99999),".",
IF(YK62=IFERROR(SEARCH(",",$XU$3,YK61),99999),",",
IF(YK62=IFERROR(SEARCH(" за период",$XU$3,YK61),999999)," за период",
IF(YK62=IFERROR(SEARCH(" в размере",$XU$3,YK61),99999)," в размере",
))))</f>
        <v>.</v>
      </c>
      <c r="YK62" s="306">
        <f>MIN(
IFERROR(SEARCH(".",$XU$3,YK61),99999),
IFERROR(SEARCH(",",$XU$3,YK61),99999),
IFERROR(SEARCH(" в размере",$XU$3,YK61),99999))</f>
        <v>99999</v>
      </c>
      <c r="YL62" s="306"/>
      <c r="YM62" s="827"/>
      <c r="YN62" s="829"/>
      <c r="YS62" s="1464"/>
      <c r="YT62" s="826"/>
      <c r="YU62" s="836"/>
      <c r="YV62" s="306" t="str">
        <f>IF(YW62=IFERROR(SEARCH(".",$XU$4,YW61),99999),".",
IF(YW62=IFERROR(SEARCH(",",$XU$4,YW61),99999),",",
IF(YW62=IFERROR(SEARCH(" за период",$XU$4,YW61),999999)," за период",
IF(YW62=IFERROR(SEARCH(" в размере",$XU$4,YW61),99999)," в размере",
))))</f>
        <v>.</v>
      </c>
      <c r="YW62" s="306">
        <f>MIN(
IFERROR(SEARCH(".",$XU$4,YW61),99999),
IFERROR(SEARCH(",",$XU$4,YW61),99999),
IFERROR(SEARCH(" в размере",$XU$4,YW61),99999))</f>
        <v>99999</v>
      </c>
      <c r="YX62" s="306"/>
      <c r="YY62" s="827"/>
      <c r="YZ62" s="829"/>
      <c r="ZE62" s="1464"/>
      <c r="ZF62" s="826"/>
      <c r="ZG62" s="836"/>
      <c r="ZH62" s="306" t="str">
        <f>IF(ZI62=IFERROR(SEARCH(".",$XU$5,ZI61),99999),".",
IF(ZI62=IFERROR(SEARCH(",",$XU$5,ZI61),99999),",",
IF(ZI62=IFERROR(SEARCH(" за период",$XU$5,ZI61),999999)," за период",
IF(ZI62=IFERROR(SEARCH(" в размере",$XU$5,ZI61),99999)," в размере",
))))</f>
        <v>.</v>
      </c>
      <c r="ZI62" s="306">
        <f>MIN(
IFERROR(SEARCH(".",$XU$5,ZI61),99999),
IFERROR(SEARCH(",",$XU$5,ZI61),99999),
IFERROR(SEARCH(" в размере",$XU$5,ZI61),99999))</f>
        <v>99999</v>
      </c>
      <c r="ZJ62" s="306"/>
      <c r="ZK62" s="827"/>
      <c r="ZL62" s="829"/>
      <c r="ZQ62" s="1464"/>
      <c r="ZR62" s="826"/>
      <c r="ZS62" s="836"/>
      <c r="ZT62" s="306" t="str">
        <f>IF(ZU62=IFERROR(SEARCH(".",$XU$6,ZU61),99999),".",
IF(ZU62=IFERROR(SEARCH(",",$XU$6,ZU61),99999),",",
IF(ZU62=IFERROR(SEARCH(" за период",$XU$6,ZU61),999999)," за период",
IF(ZU62=IFERROR(SEARCH(" в размере",$XU$6,ZU61),99999)," в размере",
))))</f>
        <v>.</v>
      </c>
      <c r="ZU62" s="306">
        <f>MIN(
IFERROR(SEARCH(".",$XU$6,ZU61),99999),
IFERROR(SEARCH(",",$XU$6,ZU61),99999),
IFERROR(SEARCH(" в размере",$XU$6,ZU61),99999))</f>
        <v>99999</v>
      </c>
      <c r="ZV62" s="306"/>
      <c r="ZW62" s="827"/>
      <c r="ZX62" s="829"/>
      <c r="AAC62" s="1464"/>
      <c r="AAD62" s="826"/>
      <c r="AAE62" s="836"/>
      <c r="AAF62" s="306" t="str">
        <f>IF(AAG62=IFERROR(SEARCH(".",$XU$7,AAG61),99999),".",
IF(AAG62=IFERROR(SEARCH(",",$XU$7,AAG61),99999),",",
IF(AAG62=IFERROR(SEARCH(" за период",$XU$7,AAG61),999999)," за период",
IF(AAG62=IFERROR(SEARCH(" в размере",$XU$7,AAG61),99999)," в размере",
))))</f>
        <v>.</v>
      </c>
      <c r="AAG62" s="306">
        <f>MIN(
IFERROR(SEARCH(".",$XU$7,AAG61),99999),
IFERROR(SEARCH(",",$XU$7,AAG61),99999),
IFERROR(SEARCH(" в размере",$XU$7,AAG61),99999))</f>
        <v>99999</v>
      </c>
      <c r="AAH62" s="306"/>
      <c r="AAI62" s="827"/>
      <c r="AAJ62" s="829"/>
      <c r="AAV62" t="str">
        <f t="shared" si="141"/>
        <v>$$$$</v>
      </c>
      <c r="AAW62" s="947" t="e">
        <f>SEARCH(AAV62,#REF!)</f>
        <v>#REF!</v>
      </c>
      <c r="AAX62" s="5"/>
      <c r="AAY62" s="5"/>
      <c r="ABA62" s="1487"/>
      <c r="ADG62" s="1075"/>
      <c r="ADQ62" s="1075"/>
      <c r="AEJ62" s="959"/>
      <c r="AEK62" s="959"/>
      <c r="AEL62" s="959"/>
      <c r="AEX62" s="1070"/>
      <c r="AFA62" s="1070"/>
      <c r="AFE62" s="1464"/>
      <c r="AFF62" s="826"/>
      <c r="AFG62" s="836"/>
      <c r="AFH62" s="306" t="str">
        <f>IF(AFI62=IFERROR(SEARCH(".",AFD$4,AFI61),99999),".",
IF(AFI62=IFERROR(SEARCH(",",AFD$4,AFI61),99999),",",
IF(AFI62=IFERROR(SEARCH(" за период",AFD$4,AFI61),999999)," за период",
IF(AFI62=IFERROR(SEARCH(" в размере",AFD$4,AFI61),99999)," в размере",
))))</f>
        <v>.</v>
      </c>
      <c r="AFI62" s="306">
        <f>MIN(
IFERROR(SEARCH(".",AFD$4,AFI61),99999),
IFERROR(SEARCH(",",AFD$4,AFI61),99999),
IFERROR(SEARCH(" в размере",AFD$4,AFI61),99999))</f>
        <v>99999</v>
      </c>
      <c r="AFJ62" s="306"/>
      <c r="AFK62" s="827"/>
      <c r="AFL62" s="829"/>
      <c r="AFQ62" s="1464"/>
      <c r="AFR62" s="826"/>
      <c r="AFS62" s="836"/>
      <c r="AFT62" s="306" t="str">
        <f>IF(AFU62=IFERROR(SEARCH(".",AFP$4,AFU61),99999),".",
IF(AFU62=IFERROR(SEARCH(",",AFP$4,AFU61),99999),",",
IF(AFU62=IFERROR(SEARCH(" за период",AFP$4,AFU61),999999)," за период",
IF(AFU62=IFERROR(SEARCH(" в размере",AFP$4,AFU61),99999)," в размере",
))))</f>
        <v>.</v>
      </c>
      <c r="AFU62" s="306">
        <f>MIN(
IFERROR(SEARCH(".",AFP$4,AFU61),99999),
IFERROR(SEARCH(",",AFP$4,AFU61),99999),
IFERROR(SEARCH(" в размере",AFP$4,AFU61),99999))</f>
        <v>99999</v>
      </c>
      <c r="AFV62" s="306"/>
      <c r="AFW62" s="827"/>
      <c r="AFX62" s="829"/>
      <c r="AGC62" s="1464"/>
      <c r="AGD62" s="826"/>
      <c r="AGE62" s="836"/>
      <c r="AGF62" s="306" t="str">
        <f>IF(AGG62=IFERROR(SEARCH(".",AGB$4,AGG61),99999),".",
IF(AGG62=IFERROR(SEARCH(",",AGB$4,AGG61),99999),",",
IF(AGG62=IFERROR(SEARCH(" за период",AGB$4,AGG61),999999)," за период",
IF(AGG62=IFERROR(SEARCH(" в размере",AGB$4,AGG61),99999)," в размере",
))))</f>
        <v>.</v>
      </c>
      <c r="AGG62" s="306">
        <f>MIN(
IFERROR(SEARCH(".",AGB$4,AGG61),99999),
IFERROR(SEARCH(",",AGB$4,AGG61),99999),
IFERROR(SEARCH(" в размере",AGB$4,AGG61),99999))</f>
        <v>99999</v>
      </c>
      <c r="AGH62" s="306"/>
      <c r="AGI62" s="827"/>
      <c r="AGJ62" s="829"/>
      <c r="AGO62" s="1464"/>
      <c r="AGP62" s="826"/>
      <c r="AGQ62" s="836"/>
      <c r="AGR62" s="306" t="str">
        <f>IF(AGS62=IFERROR(SEARCH(".",AGN$4,AGS61),99999),".",
IF(AGS62=IFERROR(SEARCH(",",AGN$4,AGS61),99999),",",
IF(AGS62=IFERROR(SEARCH(" за период",AGN$4,AGS61),999999)," за период",
IF(AGS62=IFERROR(SEARCH(" в размере",AGN$4,AGS61),99999)," в размере",
))))</f>
        <v>.</v>
      </c>
      <c r="AGS62" s="306">
        <f>MIN(
IFERROR(SEARCH(".",AGN$4,AGS61),99999),
IFERROR(SEARCH(",",AGN$4,AGS61),99999),
IFERROR(SEARCH(" в размере",AGN$4,AGS61),99999))</f>
        <v>99999</v>
      </c>
      <c r="AGT62" s="306"/>
      <c r="AGU62" s="827"/>
      <c r="AGV62" s="829"/>
      <c r="AHA62" s="1464"/>
      <c r="AHB62" s="826"/>
      <c r="AHC62" s="836"/>
      <c r="AHD62" s="306" t="str">
        <f>IF(AHE62=IFERROR(SEARCH(".",AGZ$4,AHE61),99999),".",
IF(AHE62=IFERROR(SEARCH(",",AGZ$4,AHE61),99999),",",
IF(AHE62=IFERROR(SEARCH(" за период",AGZ$4,AHE61),999999)," за период",
IF(AHE62=IFERROR(SEARCH(" в размере",AGZ$4,AHE61),99999)," в размере",
))))</f>
        <v>.</v>
      </c>
      <c r="AHE62" s="306">
        <f>MIN(
IFERROR(SEARCH(".",AGZ$4,AHE61),99999),
IFERROR(SEARCH(",",AGZ$4,AHE61),99999),
IFERROR(SEARCH(" в размере",AGZ$4,AHE61),99999))</f>
        <v>99999</v>
      </c>
      <c r="AHF62" s="306"/>
      <c r="AHG62" s="827"/>
      <c r="AHH62" s="829"/>
    </row>
    <row r="63" spans="1:893" ht="14.4" customHeight="1" x14ac:dyDescent="0.3">
      <c r="A63" s="116"/>
      <c r="B63" s="116"/>
      <c r="C63" s="116"/>
      <c r="D63" s="116"/>
      <c r="E63" s="116"/>
      <c r="F63" s="116"/>
      <c r="G63" s="116"/>
      <c r="H63" s="116"/>
      <c r="I63" s="116"/>
      <c r="J63" s="116"/>
      <c r="K63" s="116"/>
      <c r="L63" s="116"/>
      <c r="M63" s="116"/>
      <c r="N63" s="116"/>
      <c r="O63" s="116"/>
      <c r="P63" s="116"/>
      <c r="Q63" s="116"/>
      <c r="R63" s="116"/>
      <c r="S63" s="116"/>
      <c r="T63" s="116"/>
      <c r="U63" s="116"/>
      <c r="V63" s="116"/>
      <c r="W63" s="116"/>
      <c r="X63" s="116"/>
      <c r="Y63" s="116"/>
      <c r="Z63" s="116"/>
      <c r="AA63" s="116"/>
      <c r="AB63" s="116"/>
      <c r="AC63" s="116"/>
      <c r="AD63" s="116"/>
      <c r="AE63" s="116"/>
      <c r="AF63" s="116"/>
      <c r="AG63" s="116"/>
      <c r="AH63" s="116"/>
      <c r="AI63" s="116"/>
      <c r="AJ63" s="116"/>
      <c r="AK63" s="116"/>
      <c r="AL63" s="116"/>
      <c r="AM63" s="116"/>
      <c r="AN63" s="116"/>
      <c r="AO63" s="116"/>
      <c r="AP63" s="116"/>
      <c r="AQ63" s="116"/>
      <c r="AR63" s="116"/>
      <c r="AS63" s="116"/>
      <c r="AT63" s="116"/>
      <c r="AU63" s="116"/>
      <c r="AV63" s="116"/>
      <c r="AW63" s="116"/>
      <c r="AX63" s="116"/>
      <c r="AY63" s="116"/>
      <c r="AZ63" s="116"/>
      <c r="BA63" s="116"/>
      <c r="BB63" s="116"/>
      <c r="BC63" s="116"/>
      <c r="BD63" s="116"/>
      <c r="BE63" s="116"/>
      <c r="BF63" s="116"/>
      <c r="BG63" s="116"/>
      <c r="BH63" s="116"/>
      <c r="BI63" s="116"/>
      <c r="BJ63" s="116"/>
      <c r="BK63" s="116"/>
      <c r="BL63" s="116"/>
      <c r="BM63" s="116"/>
      <c r="BN63" s="116"/>
      <c r="BO63" s="116"/>
      <c r="BP63" s="116"/>
      <c r="BQ63" s="116"/>
      <c r="BR63" s="116"/>
      <c r="BS63" s="116"/>
      <c r="BT63" s="116"/>
      <c r="BU63" s="116"/>
      <c r="BV63" s="116"/>
      <c r="BW63" s="116"/>
      <c r="BX63" s="116"/>
      <c r="BY63" s="116"/>
      <c r="BZ63" s="116"/>
      <c r="CA63" s="116"/>
      <c r="CB63" s="116"/>
      <c r="CC63" s="116"/>
      <c r="CD63" s="116"/>
      <c r="CE63" s="116"/>
      <c r="CF63" s="116"/>
      <c r="CG63" s="116"/>
      <c r="CH63" s="116"/>
      <c r="CI63" s="116"/>
      <c r="CJ63" s="116"/>
      <c r="CK63" s="116"/>
      <c r="CL63" s="116"/>
      <c r="CM63" s="116"/>
      <c r="CN63" s="116"/>
      <c r="CO63" s="116"/>
      <c r="CP63" s="116"/>
      <c r="CQ63" s="116"/>
      <c r="CR63" s="116"/>
      <c r="CS63" s="116"/>
      <c r="CT63" s="116"/>
      <c r="CU63" s="116"/>
      <c r="CV63" s="116"/>
      <c r="CW63" s="116"/>
      <c r="CX63" s="116"/>
      <c r="CY63" s="116"/>
      <c r="CZ63" s="116"/>
      <c r="DA63" s="116"/>
      <c r="DB63" s="116"/>
      <c r="DC63" s="116"/>
      <c r="DD63" s="116"/>
      <c r="DE63" s="116"/>
      <c r="DF63" s="116"/>
      <c r="DG63" s="116"/>
      <c r="DH63" s="116"/>
      <c r="DI63" s="116"/>
      <c r="DJ63" s="116"/>
      <c r="DK63" s="116"/>
      <c r="DL63" s="116"/>
      <c r="DM63" s="116"/>
      <c r="DN63" s="116"/>
      <c r="DO63" s="116"/>
      <c r="DP63" s="116"/>
      <c r="DQ63" s="116"/>
      <c r="DT63" t="s">
        <v>8895</v>
      </c>
      <c r="DU63" s="821" t="s">
        <v>1246</v>
      </c>
      <c r="DV63" s="1464"/>
      <c r="DW63" s="830" t="s">
        <v>8249</v>
      </c>
      <c r="DX63" s="836" t="str">
        <f>IF(OR(DY62=" в размере",DY59=" в размере"),SEARCH(" в размере",$C$3,DZ59)+LEN(" в размере")+1,"НЕТ")</f>
        <v>НЕТ</v>
      </c>
      <c r="DY63" s="306" t="s">
        <v>8431</v>
      </c>
      <c r="DZ63" s="306" t="e">
        <f>SEARCH(DY63,$C$3,DX63)</f>
        <v>#VALUE!</v>
      </c>
      <c r="EA63" s="306" t="e">
        <f>DZ63-DX63</f>
        <v>#VALUE!</v>
      </c>
      <c r="EB63" s="826" t="e">
        <f>IF(EC59="Штраф 50%","",MID($C$3,DX63,EA63))</f>
        <v>#VALUE!</v>
      </c>
      <c r="EC63" s="829"/>
      <c r="NK63" s="1464"/>
      <c r="NL63" s="830" t="s">
        <v>8249</v>
      </c>
      <c r="NM63" s="836" t="e">
        <f>SEARCH(" в размере",NJ$4,NO59)+LEN(" в размере")+1</f>
        <v>#VALUE!</v>
      </c>
      <c r="NN63" s="306" t="s">
        <v>8431</v>
      </c>
      <c r="NO63" s="306" t="e">
        <f>SEARCH(NN63,NJ$4,NM63)</f>
        <v>#VALUE!</v>
      </c>
      <c r="NP63" s="306" t="e">
        <f>NO63-NM63</f>
        <v>#VALUE!</v>
      </c>
      <c r="NQ63" s="826" t="e">
        <f>IF(NR59="Штраф 50%","",MID(NJ$4,NM63,NP63))</f>
        <v>#VALUE!</v>
      </c>
      <c r="NR63" s="829"/>
      <c r="OD63" s="116"/>
      <c r="OE63" s="116"/>
      <c r="OF63" s="116"/>
      <c r="OG63" s="116"/>
      <c r="OH63" s="116"/>
      <c r="OI63" s="116"/>
      <c r="OJ63" s="116"/>
      <c r="OK63" s="116"/>
      <c r="SY63" s="1464"/>
      <c r="SZ63" s="830" t="s">
        <v>8249</v>
      </c>
      <c r="TA63" s="836" t="e">
        <f>IF(NOT(ISERROR(SEARCH("НДФЛ",SX$4))),MIN(SEARCH("в размере ",SX$4,TC59)+LEN("в размере "),SEARCH("исходя из суммы ",SX$4,TC59)+LEN("исходя из суммы ")),SEARCH(" в размере",SX$4,TC59)+LEN(" в размере")+1)</f>
        <v>#VALUE!</v>
      </c>
      <c r="TB63" s="306" t="s">
        <v>8431</v>
      </c>
      <c r="TC63" s="306" t="e">
        <f>SEARCH(TB63,$SQ$3,TA63)</f>
        <v>#VALUE!</v>
      </c>
      <c r="TD63" s="306" t="e">
        <f>TC63-TA63</f>
        <v>#VALUE!</v>
      </c>
      <c r="TE63" s="826" t="e">
        <f>IF(TF59="Штраф 50%","",MID($SQ$3,TA63,TD63))</f>
        <v>#VALUE!</v>
      </c>
      <c r="TF63" s="829"/>
      <c r="TK63" s="1476"/>
      <c r="TL63" s="592"/>
      <c r="TM63" s="836" t="e">
        <f>SEARCH(" ",TJ$4,TO62+1)+1</f>
        <v>#VALUE!</v>
      </c>
      <c r="TN63" s="306" t="s">
        <v>8432</v>
      </c>
      <c r="TO63" s="306" t="e">
        <f>SEARCH(TN63,TJ$4,TM63)</f>
        <v>#VALUE!</v>
      </c>
      <c r="TP63" s="306" t="e">
        <f>TO63-TM63</f>
        <v>#VALUE!</v>
      </c>
      <c r="TQ63" s="826" t="e">
        <f>IF(TR61="Штраф 50%","",MID(TJ$4,TM63,TP63))</f>
        <v>#VALUE!</v>
      </c>
      <c r="TR63" s="828" t="str">
        <f>IF(TN61=" за период",TQ63,"")</f>
        <v/>
      </c>
      <c r="TW63" s="1464"/>
      <c r="TX63" s="830" t="s">
        <v>8249</v>
      </c>
      <c r="TY63" s="836" t="e">
        <f>IF(NOT(ISERROR(SEARCH("НДФЛ",TV$4))),MIN(SEARCH("в размере ",TV$4,UA59)+LEN("в размере "),SEARCH("исходя из суммы ",TV$4,UA59)+LEN("исходя из суммы ")),SEARCH(" в размере",TV$4,UA59)+LEN(" в размере")+1)</f>
        <v>#VALUE!</v>
      </c>
      <c r="TZ63" s="306" t="s">
        <v>8431</v>
      </c>
      <c r="UA63" s="306" t="e">
        <f>SEARCH(TZ63,$SQ$4,TY63)</f>
        <v>#VALUE!</v>
      </c>
      <c r="UB63" s="306" t="e">
        <f>UA63-TY63</f>
        <v>#VALUE!</v>
      </c>
      <c r="UC63" s="826" t="e">
        <f>IF(UD59="Штраф 50%","",MID($SQ$4,TY63,UB63))</f>
        <v>#VALUE!</v>
      </c>
      <c r="UD63" s="829"/>
      <c r="UI63" s="1476"/>
      <c r="UJ63" s="592"/>
      <c r="UK63" s="836" t="e">
        <f>SEARCH(" ",UH$4,UM62+1)+1</f>
        <v>#VALUE!</v>
      </c>
      <c r="UL63" s="306" t="s">
        <v>8432</v>
      </c>
      <c r="UM63" s="306" t="e">
        <f>SEARCH(UL63,UH$4,UK63)</f>
        <v>#VALUE!</v>
      </c>
      <c r="UN63" s="306" t="e">
        <f>UM63-UK63</f>
        <v>#VALUE!</v>
      </c>
      <c r="UO63" s="826" t="e">
        <f>IF(UP61="Штраф 50%","",MID(UH$4,UK63,UN63))</f>
        <v>#VALUE!</v>
      </c>
      <c r="UP63" s="828" t="str">
        <f>IF(UL61=" за период",UO63,"")</f>
        <v/>
      </c>
      <c r="UU63" s="1464"/>
      <c r="UV63" s="830" t="s">
        <v>8249</v>
      </c>
      <c r="UW63" s="836" t="e">
        <f>IF(NOT(ISERROR(SEARCH("НДФЛ",UT$4))),MIN(SEARCH("в размере ",UT$4,UY59)+LEN("в размере "),SEARCH("исходя из суммы ",UT$4,UY59)+LEN("исходя из суммы ")),SEARCH(" в размере",UT$4,UY59)+LEN(" в размере")+1)</f>
        <v>#VALUE!</v>
      </c>
      <c r="UX63" s="306" t="s">
        <v>8431</v>
      </c>
      <c r="UY63" s="306" t="e">
        <f>SEARCH(UX63,$SQ$5,UW63)</f>
        <v>#VALUE!</v>
      </c>
      <c r="UZ63" s="306" t="e">
        <f>UY63-UW63</f>
        <v>#VALUE!</v>
      </c>
      <c r="VA63" s="826" t="e">
        <f>IF(VB59="Штраф 50%","",MID($SQ$5,UW63,UZ63))</f>
        <v>#VALUE!</v>
      </c>
      <c r="VB63" s="829"/>
      <c r="VG63" s="1476"/>
      <c r="VH63" s="592"/>
      <c r="VI63" s="836" t="e">
        <f>SEARCH(" ",VF$4,VK62+1)+1</f>
        <v>#VALUE!</v>
      </c>
      <c r="VJ63" s="306" t="s">
        <v>8432</v>
      </c>
      <c r="VK63" s="306" t="e">
        <f>SEARCH(VJ63,VF$4,VI63)</f>
        <v>#VALUE!</v>
      </c>
      <c r="VL63" s="306" t="e">
        <f>VK63-VI63</f>
        <v>#VALUE!</v>
      </c>
      <c r="VM63" s="826" t="e">
        <f>IF(VN61="Штраф 50%","",MID(VF$4,VI63,VL63))</f>
        <v>#VALUE!</v>
      </c>
      <c r="VN63" s="828" t="str">
        <f>IF(VJ61=" за период",VM63,"")</f>
        <v/>
      </c>
      <c r="VS63" s="1464"/>
      <c r="VT63" s="830" t="s">
        <v>8249</v>
      </c>
      <c r="VU63" s="836" t="e">
        <f>IF(NOT(ISERROR(SEARCH("НДФЛ",VR$4))),MIN(SEARCH("в размере ",VR$4,VW59)+LEN("в размере "),SEARCH("исходя из суммы ",VR$4,VW59)+LEN("исходя из суммы ")),SEARCH(" в размере",VR$4,VW59)+LEN(" в размере")+1)</f>
        <v>#VALUE!</v>
      </c>
      <c r="VV63" s="306" t="s">
        <v>8431</v>
      </c>
      <c r="VW63" s="306" t="e">
        <f>SEARCH(VV63,$SQ$6,VU63)</f>
        <v>#VALUE!</v>
      </c>
      <c r="VX63" s="306" t="e">
        <f>VW63-VU63</f>
        <v>#VALUE!</v>
      </c>
      <c r="VY63" s="826" t="e">
        <f>IF(VZ59="Штраф 50%","",MID($SQ$6,VU63,VX63))</f>
        <v>#VALUE!</v>
      </c>
      <c r="VZ63" s="829"/>
      <c r="WE63" s="1476"/>
      <c r="WF63" s="592"/>
      <c r="WG63" s="836" t="e">
        <f>SEARCH(" ",WD$4,WI62+1)+1</f>
        <v>#VALUE!</v>
      </c>
      <c r="WH63" s="306" t="s">
        <v>8432</v>
      </c>
      <c r="WI63" s="306" t="e">
        <f>SEARCH(WH63,WD$4,WG63)</f>
        <v>#VALUE!</v>
      </c>
      <c r="WJ63" s="306" t="e">
        <f>WI63-WG63</f>
        <v>#VALUE!</v>
      </c>
      <c r="WK63" s="826" t="e">
        <f>IF(WL61="Штраф 50%","",MID(WD$4,WG63,WJ63))</f>
        <v>#VALUE!</v>
      </c>
      <c r="WL63" s="828" t="str">
        <f>IF(WH61=" за период",WK63,"")</f>
        <v/>
      </c>
      <c r="WQ63" s="1464"/>
      <c r="WR63" s="830" t="s">
        <v>8249</v>
      </c>
      <c r="WS63" s="836" t="e">
        <f>IF(NOT(ISERROR(SEARCH("НДФЛ",WP$4))),MIN(SEARCH("в размере ",WP$4,WU59)+LEN("в размере "),SEARCH("исходя из суммы ",WP$4,WU59)+LEN("исходя из суммы ")),SEARCH(" в размере",WP$4,WU59)+LEN(" в размере")+1)</f>
        <v>#VALUE!</v>
      </c>
      <c r="WT63" s="306" t="s">
        <v>8431</v>
      </c>
      <c r="WU63" s="306" t="e">
        <f>SEARCH(WT63,$SQ$7,WS63)</f>
        <v>#VALUE!</v>
      </c>
      <c r="WV63" s="306" t="e">
        <f>WU63-WS63</f>
        <v>#VALUE!</v>
      </c>
      <c r="WW63" s="826" t="e">
        <f>IF(WX59="Штраф 50%","",MID($SQ$7,WS63,WV63))</f>
        <v>#VALUE!</v>
      </c>
      <c r="WX63" s="829"/>
      <c r="XC63" s="1476"/>
      <c r="XD63" s="592"/>
      <c r="XE63" s="836" t="e">
        <f>SEARCH(" ",XB$4,XG62+1)+1</f>
        <v>#VALUE!</v>
      </c>
      <c r="XF63" s="306" t="s">
        <v>8432</v>
      </c>
      <c r="XG63" s="306" t="e">
        <f>SEARCH(XF63,XB$4,XE63)</f>
        <v>#VALUE!</v>
      </c>
      <c r="XH63" s="306" t="e">
        <f>XG63-XE63</f>
        <v>#VALUE!</v>
      </c>
      <c r="XI63" s="826" t="e">
        <f>IF(XJ61="Штраф 50%","",MID(XB$4,XE63,XH63))</f>
        <v>#VALUE!</v>
      </c>
      <c r="XJ63" s="828" t="str">
        <f>IF(XF61=" за период",XI63,"")</f>
        <v/>
      </c>
      <c r="YG63" s="1464"/>
      <c r="YH63" s="830" t="s">
        <v>8249</v>
      </c>
      <c r="YI63" s="836" t="str">
        <f>IF(OR(YJ62=" в размере",YJ59=" в размере"),SEARCH(" в размере",$XU$3,YK59)+LEN(" в размере")+1,"НЕТ")</f>
        <v>НЕТ</v>
      </c>
      <c r="YJ63" s="306" t="s">
        <v>8431</v>
      </c>
      <c r="YK63" s="306" t="e">
        <f>SEARCH(YJ63,$XU$3,YI63)</f>
        <v>#VALUE!</v>
      </c>
      <c r="YL63" s="306" t="e">
        <f>YK63-YI63</f>
        <v>#VALUE!</v>
      </c>
      <c r="YM63" s="826" t="e">
        <f>IF(YN59="Штраф 50%","",MID($XU$3,YI63,YL63))</f>
        <v>#VALUE!</v>
      </c>
      <c r="YN63" s="829"/>
      <c r="YS63" s="1464"/>
      <c r="YT63" s="830" t="s">
        <v>8249</v>
      </c>
      <c r="YU63" s="836" t="e">
        <f>SEARCH(" в размере",$XU$4,YW59)+LEN(" в размере")+1</f>
        <v>#VALUE!</v>
      </c>
      <c r="YV63" s="306" t="s">
        <v>8431</v>
      </c>
      <c r="YW63" s="306" t="e">
        <f>SEARCH(YV63,$XU$4,YU63)</f>
        <v>#VALUE!</v>
      </c>
      <c r="YX63" s="306" t="e">
        <f>YW63-YU63</f>
        <v>#VALUE!</v>
      </c>
      <c r="YY63" s="826" t="e">
        <f>IF(YZ59="Штраф 50%","",MID($XU$4,YU63,YX63))</f>
        <v>#VALUE!</v>
      </c>
      <c r="YZ63" s="829"/>
      <c r="ZE63" s="1464"/>
      <c r="ZF63" s="830" t="s">
        <v>8249</v>
      </c>
      <c r="ZG63" s="836" t="e">
        <f>SEARCH(" в размере",$XU$5,ZI59)+LEN(" в размере")+1</f>
        <v>#VALUE!</v>
      </c>
      <c r="ZH63" s="306" t="s">
        <v>8431</v>
      </c>
      <c r="ZI63" s="306" t="e">
        <f>SEARCH(ZH63,$XU$5,ZG63)</f>
        <v>#VALUE!</v>
      </c>
      <c r="ZJ63" s="306" t="e">
        <f>ZI63-ZG63</f>
        <v>#VALUE!</v>
      </c>
      <c r="ZK63" s="826" t="e">
        <f>IF(ZL59="Штраф 50%","",MID($XU$5,ZG63,ZJ63))</f>
        <v>#VALUE!</v>
      </c>
      <c r="ZL63" s="829"/>
      <c r="ZQ63" s="1464"/>
      <c r="ZR63" s="830" t="s">
        <v>8249</v>
      </c>
      <c r="ZS63" s="836" t="e">
        <f>SEARCH(" в размере",$XU$6,ZU59)+LEN(" в размере")+1</f>
        <v>#VALUE!</v>
      </c>
      <c r="ZT63" s="306" t="s">
        <v>8431</v>
      </c>
      <c r="ZU63" s="306" t="e">
        <f>SEARCH(ZT63,$XU$6,ZS63)</f>
        <v>#VALUE!</v>
      </c>
      <c r="ZV63" s="306" t="e">
        <f>ZU63-ZS63</f>
        <v>#VALUE!</v>
      </c>
      <c r="ZW63" s="826" t="e">
        <f>IF(ZX59="Штраф 50%","",MID($XU$6,ZS63,ZV63))</f>
        <v>#VALUE!</v>
      </c>
      <c r="ZX63" s="829"/>
      <c r="AAC63" s="1464"/>
      <c r="AAD63" s="830" t="s">
        <v>8249</v>
      </c>
      <c r="AAE63" s="836" t="e">
        <f>SEARCH(" в размере",$XU$7,AAG59)+LEN(" в размере")+1</f>
        <v>#VALUE!</v>
      </c>
      <c r="AAF63" s="306" t="s">
        <v>8431</v>
      </c>
      <c r="AAG63" s="306" t="e">
        <f>SEARCH(AAF63,$XU$7,AAE63)</f>
        <v>#VALUE!</v>
      </c>
      <c r="AAH63" s="306" t="e">
        <f>AAG63-AAE63</f>
        <v>#VALUE!</v>
      </c>
      <c r="AAI63" s="826" t="e">
        <f>IF(AAJ59="Штраф 50%","",MID($XU$7,AAE63,AAH63))</f>
        <v>#VALUE!</v>
      </c>
      <c r="AAJ63" s="829"/>
      <c r="ADG63" s="431"/>
      <c r="ADQ63" s="431"/>
      <c r="AFE63" s="1464"/>
      <c r="AFF63" s="830" t="s">
        <v>8249</v>
      </c>
      <c r="AFG63" s="836" t="e">
        <f>SEARCH(" в размере",AFD$4,AFI59)+LEN(" в размере")+1</f>
        <v>#VALUE!</v>
      </c>
      <c r="AFH63" s="306" t="s">
        <v>8431</v>
      </c>
      <c r="AFI63" s="306" t="e">
        <f>SEARCH(AFH63,AFD$4,AFG63)</f>
        <v>#VALUE!</v>
      </c>
      <c r="AFJ63" s="306" t="e">
        <f>AFI63-AFG63</f>
        <v>#VALUE!</v>
      </c>
      <c r="AFK63" s="826" t="e">
        <f>IF(AFL59="Штраф 50%","",MID(AFD$4,AFG63,AFJ63))</f>
        <v>#VALUE!</v>
      </c>
      <c r="AFL63" s="829"/>
      <c r="AFQ63" s="1464"/>
      <c r="AFR63" s="830" t="s">
        <v>8249</v>
      </c>
      <c r="AFS63" s="836" t="e">
        <f>SEARCH(" в размере",AFP$4,AFU59)+LEN(" в размере")+1</f>
        <v>#VALUE!</v>
      </c>
      <c r="AFT63" s="306" t="s">
        <v>8431</v>
      </c>
      <c r="AFU63" s="306" t="e">
        <f>SEARCH(AFT63,AFP$4,AFS63)</f>
        <v>#VALUE!</v>
      </c>
      <c r="AFV63" s="306" t="e">
        <f>AFU63-AFS63</f>
        <v>#VALUE!</v>
      </c>
      <c r="AFW63" s="826" t="e">
        <f>IF(AFX59="Штраф 50%","",MID(AFP$4,AFS63,AFV63))</f>
        <v>#VALUE!</v>
      </c>
      <c r="AFX63" s="829"/>
      <c r="AGC63" s="1464"/>
      <c r="AGD63" s="830" t="s">
        <v>8249</v>
      </c>
      <c r="AGE63" s="836" t="e">
        <f>SEARCH(" в размере",AGB$4,AGG59)+LEN(" в размере")+1</f>
        <v>#VALUE!</v>
      </c>
      <c r="AGF63" s="306" t="s">
        <v>8431</v>
      </c>
      <c r="AGG63" s="306" t="e">
        <f>SEARCH(AGF63,AGB$4,AGE63)</f>
        <v>#VALUE!</v>
      </c>
      <c r="AGH63" s="306" t="e">
        <f>AGG63-AGE63</f>
        <v>#VALUE!</v>
      </c>
      <c r="AGI63" s="826" t="e">
        <f>IF(AGJ59="Штраф 50%","",MID(AGB$4,AGE63,AGH63))</f>
        <v>#VALUE!</v>
      </c>
      <c r="AGJ63" s="829"/>
      <c r="AGO63" s="1464"/>
      <c r="AGP63" s="830" t="s">
        <v>8249</v>
      </c>
      <c r="AGQ63" s="836" t="e">
        <f>SEARCH(" в размере",AGN$4,AGS59)+LEN(" в размере")+1</f>
        <v>#VALUE!</v>
      </c>
      <c r="AGR63" s="306" t="s">
        <v>8431</v>
      </c>
      <c r="AGS63" s="306" t="e">
        <f>SEARCH(AGR63,AGN$4,AGQ63)</f>
        <v>#VALUE!</v>
      </c>
      <c r="AGT63" s="306" t="e">
        <f>AGS63-AGQ63</f>
        <v>#VALUE!</v>
      </c>
      <c r="AGU63" s="826" t="e">
        <f>IF(AGV59="Штраф 50%","",MID(AGN$4,AGQ63,AGT63))</f>
        <v>#VALUE!</v>
      </c>
      <c r="AGV63" s="829"/>
      <c r="AHA63" s="1464"/>
      <c r="AHB63" s="830" t="s">
        <v>8249</v>
      </c>
      <c r="AHC63" s="836" t="e">
        <f>SEARCH(" в размере",AGZ$4,AHE59)+LEN(" в размере")+1</f>
        <v>#VALUE!</v>
      </c>
      <c r="AHD63" s="306" t="s">
        <v>8431</v>
      </c>
      <c r="AHE63" s="306" t="e">
        <f>SEARCH(AHD63,AGZ$4,AHC63)</f>
        <v>#VALUE!</v>
      </c>
      <c r="AHF63" s="306" t="e">
        <f>AHE63-AHC63</f>
        <v>#VALUE!</v>
      </c>
      <c r="AHG63" s="826" t="e">
        <f>IF(AHH59="Штраф 50%","",MID(AGZ$4,AHC63,AHF63))</f>
        <v>#VALUE!</v>
      </c>
      <c r="AHH63" s="829"/>
    </row>
    <row r="64" spans="1:893" ht="15" thickBot="1" x14ac:dyDescent="0.35">
      <c r="A64" s="116"/>
      <c r="B64" s="116"/>
      <c r="C64" s="116"/>
      <c r="D64" s="116"/>
      <c r="E64" s="116"/>
      <c r="F64" s="116"/>
      <c r="G64" s="116"/>
      <c r="H64" s="116"/>
      <c r="I64" s="116"/>
      <c r="J64" s="116"/>
      <c r="K64" s="116"/>
      <c r="L64" s="116"/>
      <c r="M64" s="116"/>
      <c r="N64" s="116"/>
      <c r="O64" s="116"/>
      <c r="P64" s="116"/>
      <c r="Q64" s="116"/>
      <c r="R64" s="116"/>
      <c r="S64" s="116"/>
      <c r="T64" s="116"/>
      <c r="U64" s="116"/>
      <c r="V64" s="116"/>
      <c r="W64" s="116"/>
      <c r="X64" s="116"/>
      <c r="Y64" s="116"/>
      <c r="Z64" s="116"/>
      <c r="AA64" s="116"/>
      <c r="AB64" s="116"/>
      <c r="AC64" s="116"/>
      <c r="AD64" s="116"/>
      <c r="AE64" s="116"/>
      <c r="AF64" s="116"/>
      <c r="AG64" s="116"/>
      <c r="AH64" s="116"/>
      <c r="AI64" s="116"/>
      <c r="AJ64" s="116"/>
      <c r="AK64" s="116"/>
      <c r="AL64" s="116"/>
      <c r="AM64" s="116"/>
      <c r="AN64" s="116"/>
      <c r="AO64" s="116"/>
      <c r="AP64" s="116"/>
      <c r="AQ64" s="116"/>
      <c r="AR64" s="116"/>
      <c r="AS64" s="116"/>
      <c r="AT64" s="116"/>
      <c r="AU64" s="116"/>
      <c r="AV64" s="116"/>
      <c r="AW64" s="116"/>
      <c r="AX64" s="116"/>
      <c r="AY64" s="116"/>
      <c r="AZ64" s="116"/>
      <c r="BA64" s="116"/>
      <c r="BB64" s="116"/>
      <c r="BC64" s="116"/>
      <c r="BD64" s="116"/>
      <c r="BE64" s="116"/>
      <c r="BF64" s="116"/>
      <c r="BG64" s="116"/>
      <c r="BH64" s="116"/>
      <c r="BI64" s="116"/>
      <c r="BJ64" s="116"/>
      <c r="BK64" s="116"/>
      <c r="BL64" s="116"/>
      <c r="BM64" s="116"/>
      <c r="BN64" s="116"/>
      <c r="BO64" s="116"/>
      <c r="BP64" s="116"/>
      <c r="BQ64" s="116"/>
      <c r="BR64" s="116"/>
      <c r="BS64" s="116"/>
      <c r="BT64" s="116"/>
      <c r="BU64" s="116"/>
      <c r="BV64" s="116"/>
      <c r="BW64" s="116"/>
      <c r="BX64" s="116"/>
      <c r="BY64" s="116"/>
      <c r="BZ64" s="116"/>
      <c r="CA64" s="116"/>
      <c r="CB64" s="116"/>
      <c r="CC64" s="116"/>
      <c r="CD64" s="116"/>
      <c r="CE64" s="116"/>
      <c r="CF64" s="116"/>
      <c r="CG64" s="116"/>
      <c r="CH64" s="116"/>
      <c r="CI64" s="116"/>
      <c r="CJ64" s="116"/>
      <c r="CK64" s="116"/>
      <c r="CL64" s="116"/>
      <c r="CM64" s="116"/>
      <c r="CN64" s="116"/>
      <c r="CO64" s="116"/>
      <c r="CP64" s="116"/>
      <c r="CQ64" s="116"/>
      <c r="CR64" s="116"/>
      <c r="CS64" s="116"/>
      <c r="CT64" s="116"/>
      <c r="CU64" s="116"/>
      <c r="CV64" s="116"/>
      <c r="CW64" s="116"/>
      <c r="CX64" s="116"/>
      <c r="CY64" s="116"/>
      <c r="CZ64" s="116"/>
      <c r="DA64" s="116"/>
      <c r="DB64" s="116"/>
      <c r="DC64" s="116"/>
      <c r="DD64" s="116"/>
      <c r="DE64" s="116"/>
      <c r="DF64" s="116"/>
      <c r="DG64" s="116"/>
      <c r="DH64" s="116"/>
      <c r="DI64" s="116"/>
      <c r="DJ64" s="116"/>
      <c r="DK64" s="116"/>
      <c r="DL64" s="116"/>
      <c r="DM64" s="116"/>
      <c r="DN64" s="116"/>
      <c r="DO64" s="116"/>
      <c r="DP64" s="116"/>
      <c r="DQ64" s="116"/>
      <c r="DT64" t="s">
        <v>8905</v>
      </c>
      <c r="DU64" s="821" t="s">
        <v>604</v>
      </c>
      <c r="DV64" s="1464"/>
      <c r="DW64" s="306"/>
      <c r="DX64" s="836" t="e">
        <f>SEARCH(" ",$C$3,DZ63+1)+1</f>
        <v>#VALUE!</v>
      </c>
      <c r="DY64" s="306" t="s">
        <v>8432</v>
      </c>
      <c r="DZ64" s="306" t="e">
        <f>SEARCH(DY64,$C$3,DX64)</f>
        <v>#VALUE!</v>
      </c>
      <c r="EA64" s="306" t="e">
        <f>DZ64-DX64</f>
        <v>#VALUE!</v>
      </c>
      <c r="EB64" s="826" t="e">
        <f>IF(EC59="Штраф 50%","",MID($C$3,DX64,EA64))</f>
        <v>#VALUE!</v>
      </c>
      <c r="EC64" s="829"/>
      <c r="NK64" s="1464"/>
      <c r="NL64" s="306"/>
      <c r="NM64" s="836" t="e">
        <f>SEARCH(" ",NJ$4,NO63+1)+1</f>
        <v>#VALUE!</v>
      </c>
      <c r="NN64" s="306" t="s">
        <v>8432</v>
      </c>
      <c r="NO64" s="306" t="e">
        <f>SEARCH(NN64,NJ$4,NM64)</f>
        <v>#VALUE!</v>
      </c>
      <c r="NP64" s="306" t="e">
        <f>NO64-NM64</f>
        <v>#VALUE!</v>
      </c>
      <c r="NQ64" s="826" t="e">
        <f>IF(NR59="Штраф 50%","",MID(NJ$4,NM64,NP64))</f>
        <v>#VALUE!</v>
      </c>
      <c r="NR64" s="829"/>
      <c r="OD64" s="116"/>
      <c r="OE64" s="116"/>
      <c r="OF64" s="116"/>
      <c r="OG64" s="116"/>
      <c r="OH64" s="116"/>
      <c r="OI64" s="116"/>
      <c r="OJ64" s="116"/>
      <c r="OK64" s="116"/>
      <c r="SY64" s="1464"/>
      <c r="SZ64" s="306"/>
      <c r="TA64" s="836" t="e">
        <f>SEARCH(" ",$SQ$3,TC63+1)+1</f>
        <v>#VALUE!</v>
      </c>
      <c r="TB64" s="306" t="s">
        <v>8432</v>
      </c>
      <c r="TC64" s="306" t="e">
        <f>SEARCH(TB64,$SQ$3,TA64)</f>
        <v>#VALUE!</v>
      </c>
      <c r="TD64" s="306" t="e">
        <f>TC64-TA64</f>
        <v>#VALUE!</v>
      </c>
      <c r="TE64" s="826" t="e">
        <f>IF(TF59="Штраф 50%","",MID($SQ$3,TA64,TD64))</f>
        <v>#VALUE!</v>
      </c>
      <c r="TF64" s="829"/>
      <c r="TK64" s="1477"/>
      <c r="TL64" s="594"/>
      <c r="TM64" s="837"/>
      <c r="TN64" s="583"/>
      <c r="TO64" s="583"/>
      <c r="TP64" s="583"/>
      <c r="TQ64" s="831" t="e">
        <f>VALUE(CONCATENATE(TQ62,",",TQ63))</f>
        <v>#VALUE!</v>
      </c>
      <c r="TR64" s="832" t="str">
        <f>IFERROR(IF(TR61="Штраф 50%","",TQ64),"")</f>
        <v/>
      </c>
      <c r="TW64" s="1464"/>
      <c r="TX64" s="306"/>
      <c r="TY64" s="836" t="e">
        <f>SEARCH(" ",$SQ$4,UA63+1)+1</f>
        <v>#VALUE!</v>
      </c>
      <c r="TZ64" s="306" t="s">
        <v>8432</v>
      </c>
      <c r="UA64" s="306" t="e">
        <f>SEARCH(TZ64,$SQ$4,TY64)</f>
        <v>#VALUE!</v>
      </c>
      <c r="UB64" s="306" t="e">
        <f>UA64-TY64</f>
        <v>#VALUE!</v>
      </c>
      <c r="UC64" s="826" t="e">
        <f>IF(UD59="Штраф 50%","",MID($SQ$4,TY64,UB64))</f>
        <v>#VALUE!</v>
      </c>
      <c r="UD64" s="829"/>
      <c r="UI64" s="1477"/>
      <c r="UJ64" s="594"/>
      <c r="UK64" s="837"/>
      <c r="UL64" s="583"/>
      <c r="UM64" s="583"/>
      <c r="UN64" s="583"/>
      <c r="UO64" s="831" t="e">
        <f>VALUE(CONCATENATE(UO62,",",UO63))</f>
        <v>#VALUE!</v>
      </c>
      <c r="UP64" s="832" t="str">
        <f>IFERROR(IF(UP61="Штраф 50%","",UO64),"")</f>
        <v/>
      </c>
      <c r="UU64" s="1464"/>
      <c r="UV64" s="306"/>
      <c r="UW64" s="836" t="e">
        <f>SEARCH(" ",$SQ$5,UY63+1)+1</f>
        <v>#VALUE!</v>
      </c>
      <c r="UX64" s="306" t="s">
        <v>8432</v>
      </c>
      <c r="UY64" s="306" t="e">
        <f>SEARCH(UX64,$SQ$5,UW64)</f>
        <v>#VALUE!</v>
      </c>
      <c r="UZ64" s="306" t="e">
        <f>UY64-UW64</f>
        <v>#VALUE!</v>
      </c>
      <c r="VA64" s="826" t="e">
        <f>IF(VB59="Штраф 50%","",MID($SQ$5,UW64,UZ64))</f>
        <v>#VALUE!</v>
      </c>
      <c r="VB64" s="829"/>
      <c r="VG64" s="1477"/>
      <c r="VH64" s="594"/>
      <c r="VI64" s="837"/>
      <c r="VJ64" s="583"/>
      <c r="VK64" s="583"/>
      <c r="VL64" s="583"/>
      <c r="VM64" s="831" t="e">
        <f>VALUE(CONCATENATE(VM62,",",VM63))</f>
        <v>#VALUE!</v>
      </c>
      <c r="VN64" s="832" t="str">
        <f>IFERROR(IF(VN61="Штраф 50%","",VM64),"")</f>
        <v/>
      </c>
      <c r="VS64" s="1464"/>
      <c r="VT64" s="306"/>
      <c r="VU64" s="836" t="e">
        <f>SEARCH(" ",$SQ$6,VW63+1)+1</f>
        <v>#VALUE!</v>
      </c>
      <c r="VV64" s="306" t="s">
        <v>8432</v>
      </c>
      <c r="VW64" s="306" t="e">
        <f>SEARCH(VV64,$SQ$6,VU64)</f>
        <v>#VALUE!</v>
      </c>
      <c r="VX64" s="306" t="e">
        <f>VW64-VU64</f>
        <v>#VALUE!</v>
      </c>
      <c r="VY64" s="826" t="e">
        <f>IF(VZ59="Штраф 50%","",MID($SQ$6,VU64,VX64))</f>
        <v>#VALUE!</v>
      </c>
      <c r="VZ64" s="829"/>
      <c r="WE64" s="1477"/>
      <c r="WF64" s="594"/>
      <c r="WG64" s="837"/>
      <c r="WH64" s="583"/>
      <c r="WI64" s="583"/>
      <c r="WJ64" s="583"/>
      <c r="WK64" s="831" t="e">
        <f>VALUE(CONCATENATE(WK62,",",WK63))</f>
        <v>#VALUE!</v>
      </c>
      <c r="WL64" s="832" t="str">
        <f>IFERROR(IF(WL61="Штраф 50%","",WK64),"")</f>
        <v/>
      </c>
      <c r="WQ64" s="1464"/>
      <c r="WR64" s="306"/>
      <c r="WS64" s="836" t="e">
        <f>SEARCH(" ",$SQ$7,WU63+1)+1</f>
        <v>#VALUE!</v>
      </c>
      <c r="WT64" s="306" t="s">
        <v>8432</v>
      </c>
      <c r="WU64" s="306" t="e">
        <f>SEARCH(WT64,$SQ$7,WS64)</f>
        <v>#VALUE!</v>
      </c>
      <c r="WV64" s="306" t="e">
        <f>WU64-WS64</f>
        <v>#VALUE!</v>
      </c>
      <c r="WW64" s="826" t="e">
        <f>IF(WX59="Штраф 50%","",MID($SQ$7,WS64,WV64))</f>
        <v>#VALUE!</v>
      </c>
      <c r="WX64" s="829"/>
      <c r="XC64" s="1477"/>
      <c r="XD64" s="594"/>
      <c r="XE64" s="837"/>
      <c r="XF64" s="583"/>
      <c r="XG64" s="583"/>
      <c r="XH64" s="583"/>
      <c r="XI64" s="831" t="e">
        <f>VALUE(CONCATENATE(XI62,",",XI63))</f>
        <v>#VALUE!</v>
      </c>
      <c r="XJ64" s="832" t="str">
        <f>IFERROR(IF(XJ61="Штраф 50%","",XI64),"")</f>
        <v/>
      </c>
      <c r="YG64" s="1464"/>
      <c r="YH64" s="306"/>
      <c r="YI64" s="836" t="e">
        <f>SEARCH(" ",$XU$3,YK63+1)+1</f>
        <v>#VALUE!</v>
      </c>
      <c r="YJ64" s="306" t="s">
        <v>8432</v>
      </c>
      <c r="YK64" s="306" t="e">
        <f>SEARCH(YJ64,$XU$3,YI64)</f>
        <v>#VALUE!</v>
      </c>
      <c r="YL64" s="306" t="e">
        <f>YK64-YI64</f>
        <v>#VALUE!</v>
      </c>
      <c r="YM64" s="826" t="e">
        <f>IF(YN59="Штраф 50%","",MID($XU$3,YI64,YL64))</f>
        <v>#VALUE!</v>
      </c>
      <c r="YN64" s="829"/>
      <c r="YS64" s="1464"/>
      <c r="YT64" s="306"/>
      <c r="YU64" s="836" t="e">
        <f>SEARCH(" ",$XU$4,YW63+1)+1</f>
        <v>#VALUE!</v>
      </c>
      <c r="YV64" s="306" t="s">
        <v>8432</v>
      </c>
      <c r="YW64" s="306" t="e">
        <f>SEARCH(YV64,$XU$4,YU64)</f>
        <v>#VALUE!</v>
      </c>
      <c r="YX64" s="306" t="e">
        <f>YW64-YU64</f>
        <v>#VALUE!</v>
      </c>
      <c r="YY64" s="826" t="e">
        <f>IF(YZ59="Штраф 50%","",MID($XU$4,YU64,YX64))</f>
        <v>#VALUE!</v>
      </c>
      <c r="YZ64" s="829"/>
      <c r="ZE64" s="1464"/>
      <c r="ZF64" s="306"/>
      <c r="ZG64" s="836" t="e">
        <f>SEARCH(" ",$XU$5,ZI63+1)+1</f>
        <v>#VALUE!</v>
      </c>
      <c r="ZH64" s="306" t="s">
        <v>8432</v>
      </c>
      <c r="ZI64" s="306" t="e">
        <f>SEARCH(ZH64,$XU$5,ZG64)</f>
        <v>#VALUE!</v>
      </c>
      <c r="ZJ64" s="306" t="e">
        <f>ZI64-ZG64</f>
        <v>#VALUE!</v>
      </c>
      <c r="ZK64" s="826" t="e">
        <f>IF(ZL59="Штраф 50%","",MID($XU$5,ZG64,ZJ64))</f>
        <v>#VALUE!</v>
      </c>
      <c r="ZL64" s="829"/>
      <c r="ZQ64" s="1464"/>
      <c r="ZR64" s="306"/>
      <c r="ZS64" s="836" t="e">
        <f>SEARCH(" ",$XU$6,ZU63+1)+1</f>
        <v>#VALUE!</v>
      </c>
      <c r="ZT64" s="306" t="s">
        <v>8432</v>
      </c>
      <c r="ZU64" s="306" t="e">
        <f>SEARCH(ZT64,$XU$6,ZS64)</f>
        <v>#VALUE!</v>
      </c>
      <c r="ZV64" s="306" t="e">
        <f>ZU64-ZS64</f>
        <v>#VALUE!</v>
      </c>
      <c r="ZW64" s="826" t="e">
        <f>IF(ZX59="Штраф 50%","",MID($XU$6,ZS64,ZV64))</f>
        <v>#VALUE!</v>
      </c>
      <c r="ZX64" s="829"/>
      <c r="AAC64" s="1464"/>
      <c r="AAD64" s="306"/>
      <c r="AAE64" s="836" t="e">
        <f>SEARCH(" ",$XU$7,AAG63+1)+1</f>
        <v>#VALUE!</v>
      </c>
      <c r="AAF64" s="306" t="s">
        <v>8432</v>
      </c>
      <c r="AAG64" s="306" t="e">
        <f>SEARCH(AAF64,$XU$7,AAE64)</f>
        <v>#VALUE!</v>
      </c>
      <c r="AAH64" s="306" t="e">
        <f>AAG64-AAE64</f>
        <v>#VALUE!</v>
      </c>
      <c r="AAI64" s="826" t="e">
        <f>IF(AAJ59="Штраф 50%","",MID($XU$7,AAE64,AAH64))</f>
        <v>#VALUE!</v>
      </c>
      <c r="AAJ64" s="829"/>
      <c r="ADG64" s="431"/>
      <c r="ADQ64" s="431"/>
      <c r="AFE64" s="1464"/>
      <c r="AFF64" s="306"/>
      <c r="AFG64" s="836" t="e">
        <f>SEARCH(" ",AFD$4,AFI63+1)+1</f>
        <v>#VALUE!</v>
      </c>
      <c r="AFH64" s="306" t="s">
        <v>8432</v>
      </c>
      <c r="AFI64" s="306" t="e">
        <f>SEARCH(AFH64,AFD$4,AFG64)</f>
        <v>#VALUE!</v>
      </c>
      <c r="AFJ64" s="306" t="e">
        <f>AFI64-AFG64</f>
        <v>#VALUE!</v>
      </c>
      <c r="AFK64" s="826" t="e">
        <f>IF(AFL59="Штраф 50%","",MID(AFD$4,AFG64,AFJ64))</f>
        <v>#VALUE!</v>
      </c>
      <c r="AFL64" s="829"/>
      <c r="AFQ64" s="1464"/>
      <c r="AFR64" s="306"/>
      <c r="AFS64" s="836" t="e">
        <f>SEARCH(" ",AFP$4,AFU63+1)+1</f>
        <v>#VALUE!</v>
      </c>
      <c r="AFT64" s="306" t="s">
        <v>8432</v>
      </c>
      <c r="AFU64" s="306" t="e">
        <f>SEARCH(AFT64,AFP$4,AFS64)</f>
        <v>#VALUE!</v>
      </c>
      <c r="AFV64" s="306" t="e">
        <f>AFU64-AFS64</f>
        <v>#VALUE!</v>
      </c>
      <c r="AFW64" s="826" t="e">
        <f>IF(AFX59="Штраф 50%","",MID(AFP$4,AFS64,AFV64))</f>
        <v>#VALUE!</v>
      </c>
      <c r="AFX64" s="829"/>
      <c r="AGC64" s="1464"/>
      <c r="AGD64" s="306"/>
      <c r="AGE64" s="836" t="e">
        <f>SEARCH(" ",AGB$4,AGG63+1)+1</f>
        <v>#VALUE!</v>
      </c>
      <c r="AGF64" s="306" t="s">
        <v>8432</v>
      </c>
      <c r="AGG64" s="306" t="e">
        <f>SEARCH(AGF64,AGB$4,AGE64)</f>
        <v>#VALUE!</v>
      </c>
      <c r="AGH64" s="306" t="e">
        <f>AGG64-AGE64</f>
        <v>#VALUE!</v>
      </c>
      <c r="AGI64" s="826" t="e">
        <f>IF(AGJ59="Штраф 50%","",MID(AGB$4,AGE64,AGH64))</f>
        <v>#VALUE!</v>
      </c>
      <c r="AGJ64" s="829"/>
      <c r="AGO64" s="1464"/>
      <c r="AGP64" s="306"/>
      <c r="AGQ64" s="836" t="e">
        <f>SEARCH(" ",AGN$4,AGS63+1)+1</f>
        <v>#VALUE!</v>
      </c>
      <c r="AGR64" s="306" t="s">
        <v>8432</v>
      </c>
      <c r="AGS64" s="306" t="e">
        <f>SEARCH(AGR64,AGN$4,AGQ64)</f>
        <v>#VALUE!</v>
      </c>
      <c r="AGT64" s="306" t="e">
        <f>AGS64-AGQ64</f>
        <v>#VALUE!</v>
      </c>
      <c r="AGU64" s="826" t="e">
        <f>IF(AGV59="Штраф 50%","",MID(AGN$4,AGQ64,AGT64))</f>
        <v>#VALUE!</v>
      </c>
      <c r="AGV64" s="829"/>
      <c r="AHA64" s="1464"/>
      <c r="AHB64" s="306"/>
      <c r="AHC64" s="836" t="e">
        <f>SEARCH(" ",AGZ$4,AHE63+1)+1</f>
        <v>#VALUE!</v>
      </c>
      <c r="AHD64" s="306" t="s">
        <v>8432</v>
      </c>
      <c r="AHE64" s="306" t="e">
        <f>SEARCH(AHD64,AGZ$4,AHC64)</f>
        <v>#VALUE!</v>
      </c>
      <c r="AHF64" s="306" t="e">
        <f>AHE64-AHC64</f>
        <v>#VALUE!</v>
      </c>
      <c r="AHG64" s="826" t="e">
        <f>IF(AHH59="Штраф 50%","",MID(AGZ$4,AHC64,AHF64))</f>
        <v>#VALUE!</v>
      </c>
      <c r="AHH64" s="829"/>
    </row>
    <row r="65" spans="1:893" ht="15.6" thickTop="1" thickBot="1" x14ac:dyDescent="0.35">
      <c r="A65" s="116"/>
      <c r="B65" s="116"/>
      <c r="C65" s="116"/>
      <c r="D65" s="116"/>
      <c r="E65" s="116"/>
      <c r="F65" s="116"/>
      <c r="G65" s="116"/>
      <c r="H65" s="116"/>
      <c r="I65" s="116"/>
      <c r="J65" s="116"/>
      <c r="K65" s="116"/>
      <c r="L65" s="116"/>
      <c r="M65" s="116"/>
      <c r="N65" s="116"/>
      <c r="O65" s="116"/>
      <c r="P65" s="116"/>
      <c r="Q65" s="116"/>
      <c r="R65" s="116"/>
      <c r="S65" s="116"/>
      <c r="T65" s="116"/>
      <c r="U65" s="116"/>
      <c r="V65" s="116"/>
      <c r="W65" s="116"/>
      <c r="X65" s="116"/>
      <c r="Y65" s="116"/>
      <c r="Z65" s="116"/>
      <c r="AA65" s="116"/>
      <c r="AB65" s="116"/>
      <c r="AC65" s="116"/>
      <c r="AD65" s="116"/>
      <c r="AE65" s="116"/>
      <c r="AF65" s="116"/>
      <c r="AG65" s="116"/>
      <c r="AH65" s="116"/>
      <c r="AI65" s="116"/>
      <c r="AJ65" s="116"/>
      <c r="AK65" s="116"/>
      <c r="AL65" s="116"/>
      <c r="AM65" s="116"/>
      <c r="AN65" s="116"/>
      <c r="AO65" s="116"/>
      <c r="AP65" s="116"/>
      <c r="AQ65" s="116"/>
      <c r="AR65" s="116"/>
      <c r="AS65" s="116"/>
      <c r="AT65" s="116"/>
      <c r="AU65" s="116"/>
      <c r="AV65" s="116"/>
      <c r="AW65" s="116"/>
      <c r="AX65" s="116"/>
      <c r="AY65" s="116"/>
      <c r="AZ65" s="116"/>
      <c r="BA65" s="116"/>
      <c r="BB65" s="116"/>
      <c r="BC65" s="116"/>
      <c r="BD65" s="116"/>
      <c r="BE65" s="116"/>
      <c r="BF65" s="116"/>
      <c r="BG65" s="116"/>
      <c r="BH65" s="116"/>
      <c r="BI65" s="116"/>
      <c r="BJ65" s="116"/>
      <c r="BK65" s="116"/>
      <c r="BL65" s="116"/>
      <c r="BM65" s="116"/>
      <c r="BN65" s="116"/>
      <c r="BO65" s="116"/>
      <c r="BP65" s="116"/>
      <c r="BQ65" s="116"/>
      <c r="BR65" s="116"/>
      <c r="BS65" s="116"/>
      <c r="BT65" s="116"/>
      <c r="BU65" s="116"/>
      <c r="BV65" s="116"/>
      <c r="BW65" s="116"/>
      <c r="BX65" s="116"/>
      <c r="BY65" s="116"/>
      <c r="BZ65" s="116"/>
      <c r="CA65" s="116"/>
      <c r="CB65" s="116"/>
      <c r="CC65" s="116"/>
      <c r="CD65" s="116"/>
      <c r="CE65" s="116"/>
      <c r="CF65" s="116"/>
      <c r="CG65" s="116"/>
      <c r="CH65" s="116"/>
      <c r="CI65" s="116"/>
      <c r="CJ65" s="116"/>
      <c r="CK65" s="116"/>
      <c r="CL65" s="116"/>
      <c r="CM65" s="116"/>
      <c r="CN65" s="116"/>
      <c r="CO65" s="116"/>
      <c r="CP65" s="116"/>
      <c r="CQ65" s="116"/>
      <c r="CR65" s="116"/>
      <c r="CS65" s="116"/>
      <c r="CT65" s="116"/>
      <c r="CU65" s="116"/>
      <c r="CV65" s="116"/>
      <c r="CW65" s="116"/>
      <c r="CX65" s="116"/>
      <c r="CY65" s="116"/>
      <c r="CZ65" s="116"/>
      <c r="DA65" s="116"/>
      <c r="DB65" s="116"/>
      <c r="DC65" s="116"/>
      <c r="DD65" s="116"/>
      <c r="DE65" s="116"/>
      <c r="DF65" s="116"/>
      <c r="DG65" s="116"/>
      <c r="DH65" s="116"/>
      <c r="DI65" s="116"/>
      <c r="DJ65" s="116"/>
      <c r="DK65" s="116"/>
      <c r="DL65" s="116"/>
      <c r="DM65" s="116"/>
      <c r="DN65" s="116"/>
      <c r="DO65" s="116"/>
      <c r="DP65" s="116"/>
      <c r="DQ65" s="116"/>
      <c r="DT65" t="s">
        <v>8906</v>
      </c>
      <c r="DU65" s="821" t="s">
        <v>456</v>
      </c>
      <c r="DV65" s="1465"/>
      <c r="DW65" s="583"/>
      <c r="DX65" s="837"/>
      <c r="DY65" s="583"/>
      <c r="DZ65" s="583"/>
      <c r="EA65" s="583"/>
      <c r="EB65" s="831" t="e">
        <f>VALUE(CONCATENATE(EB63,",",EB64))</f>
        <v>#VALUE!</v>
      </c>
      <c r="EC65" s="832" t="str">
        <f>IF(EC59="Штраф 50%","",IF(OR(DY62=" в размере",DY59=" в размере"),EB65,""))</f>
        <v/>
      </c>
      <c r="NK65" s="1465"/>
      <c r="NL65" s="583"/>
      <c r="NM65" s="837"/>
      <c r="NN65" s="583"/>
      <c r="NO65" s="583"/>
      <c r="NP65" s="583"/>
      <c r="NQ65" s="831" t="e">
        <f>VALUE(CONCATENATE(NQ63,",",NQ64))</f>
        <v>#VALUE!</v>
      </c>
      <c r="NR65" s="832" t="str">
        <f>IF(NR59="Штраф 50%","",IF(OR(NN62=" в размере",NN59=" в размере"),NQ65,""))</f>
        <v/>
      </c>
      <c r="SY65" s="1465"/>
      <c r="SZ65" s="583"/>
      <c r="TA65" s="837"/>
      <c r="TB65" s="583"/>
      <c r="TC65" s="583"/>
      <c r="TD65" s="583"/>
      <c r="TE65" s="831" t="e">
        <f>VALUE(CONCATENATE(TE63,",",TE64))</f>
        <v>#VALUE!</v>
      </c>
      <c r="TF65" s="832" t="str">
        <f>IF(OR(TF59="Штраф 50%",TF59=""),"",TE65)</f>
        <v/>
      </c>
      <c r="TK65" s="1004"/>
      <c r="TL65" s="1035"/>
      <c r="TM65" s="1036"/>
      <c r="TN65" s="1036"/>
      <c r="TO65" s="1036"/>
      <c r="TP65" s="1036"/>
      <c r="TQ65" s="1037"/>
      <c r="TR65" s="1004"/>
      <c r="TW65" s="1465"/>
      <c r="TX65" s="583"/>
      <c r="TY65" s="837"/>
      <c r="TZ65" s="583"/>
      <c r="UA65" s="583"/>
      <c r="UB65" s="583"/>
      <c r="UC65" s="831" t="e">
        <f>VALUE(CONCATENATE(UC63,",",UC64))</f>
        <v>#VALUE!</v>
      </c>
      <c r="UD65" s="832" t="str">
        <f>IF(OR(UD59="Штраф 50%",UD59=""),"",UC65)</f>
        <v/>
      </c>
      <c r="UI65" s="1004"/>
      <c r="UJ65" s="1035"/>
      <c r="UK65" s="1036"/>
      <c r="UL65" s="1036"/>
      <c r="UM65" s="1036"/>
      <c r="UN65" s="1036"/>
      <c r="UO65" s="1037"/>
      <c r="UP65" s="1004"/>
      <c r="UU65" s="1465"/>
      <c r="UV65" s="583"/>
      <c r="UW65" s="837"/>
      <c r="UX65" s="583"/>
      <c r="UY65" s="583"/>
      <c r="UZ65" s="583"/>
      <c r="VA65" s="831" t="e">
        <f>VALUE(CONCATENATE(VA63,",",VA64))</f>
        <v>#VALUE!</v>
      </c>
      <c r="VB65" s="832" t="str">
        <f>IF(OR(VB59="Штраф 50%",VB59=""),"",VA65)</f>
        <v/>
      </c>
      <c r="VG65" s="1004"/>
      <c r="VH65" s="1035"/>
      <c r="VI65" s="1036"/>
      <c r="VJ65" s="1036"/>
      <c r="VK65" s="1036"/>
      <c r="VL65" s="1036"/>
      <c r="VM65" s="1037"/>
      <c r="VN65" s="1004"/>
      <c r="VS65" s="1465"/>
      <c r="VT65" s="583"/>
      <c r="VU65" s="837"/>
      <c r="VV65" s="583"/>
      <c r="VW65" s="583"/>
      <c r="VX65" s="583"/>
      <c r="VY65" s="831" t="e">
        <f>VALUE(CONCATENATE(VY63,",",VY64))</f>
        <v>#VALUE!</v>
      </c>
      <c r="VZ65" s="832" t="str">
        <f>IF(OR(VZ59="Штраф 50%",VZ59=""),"",VY65)</f>
        <v/>
      </c>
      <c r="WE65" s="1004"/>
      <c r="WF65" s="1035"/>
      <c r="WG65" s="1036"/>
      <c r="WH65" s="1036"/>
      <c r="WI65" s="1036"/>
      <c r="WJ65" s="1036"/>
      <c r="WK65" s="1037"/>
      <c r="WL65" s="1004"/>
      <c r="WQ65" s="1465"/>
      <c r="WR65" s="583"/>
      <c r="WS65" s="837"/>
      <c r="WT65" s="583"/>
      <c r="WU65" s="583"/>
      <c r="WV65" s="583"/>
      <c r="WW65" s="831" t="e">
        <f>VALUE(CONCATENATE(WW63,",",WW64))</f>
        <v>#VALUE!</v>
      </c>
      <c r="WX65" s="832" t="str">
        <f>IF(OR(WX59="Штраф 50%",WX59=""),"",WW65)</f>
        <v/>
      </c>
      <c r="XC65" s="1004"/>
      <c r="XD65" s="1035"/>
      <c r="XE65" s="1036"/>
      <c r="XF65" s="1036"/>
      <c r="XG65" s="1036"/>
      <c r="XH65" s="1036"/>
      <c r="XI65" s="1037"/>
      <c r="XJ65" s="1004"/>
      <c r="YG65" s="1465"/>
      <c r="YH65" s="583"/>
      <c r="YI65" s="837"/>
      <c r="YJ65" s="583"/>
      <c r="YK65" s="583"/>
      <c r="YL65" s="583"/>
      <c r="YM65" s="831" t="e">
        <f>VALUE(CONCATENATE(YM63,",",YM64))</f>
        <v>#VALUE!</v>
      </c>
      <c r="YN65" s="832" t="str">
        <f>IF(YN59="Штраф 50%","",IF(OR(YJ62=" в размере",YJ59=" в размере"),YM65,""))</f>
        <v/>
      </c>
      <c r="YS65" s="1465"/>
      <c r="YT65" s="583"/>
      <c r="YU65" s="837"/>
      <c r="YV65" s="583"/>
      <c r="YW65" s="583"/>
      <c r="YX65" s="583"/>
      <c r="YY65" s="831" t="e">
        <f>VALUE(CONCATENATE(YY63,",",YY64))</f>
        <v>#VALUE!</v>
      </c>
      <c r="YZ65" s="832" t="str">
        <f>IF(YZ59="Штраф 50%","",IF(OR(YV62=" в размере",YV59=" в размере"),YY65,""))</f>
        <v/>
      </c>
      <c r="ZE65" s="1465"/>
      <c r="ZF65" s="583"/>
      <c r="ZG65" s="837"/>
      <c r="ZH65" s="583"/>
      <c r="ZI65" s="583"/>
      <c r="ZJ65" s="583"/>
      <c r="ZK65" s="831" t="e">
        <f>VALUE(CONCATENATE(ZK63,",",ZK64))</f>
        <v>#VALUE!</v>
      </c>
      <c r="ZL65" s="832" t="str">
        <f>IF(ZL59="Штраф 50%","",IF(OR(ZH62=" в размере",ZH59=" в размере"),ZK65,""))</f>
        <v/>
      </c>
      <c r="ZQ65" s="1465"/>
      <c r="ZR65" s="583"/>
      <c r="ZS65" s="837"/>
      <c r="ZT65" s="583"/>
      <c r="ZU65" s="583"/>
      <c r="ZV65" s="583"/>
      <c r="ZW65" s="831" t="e">
        <f>VALUE(CONCATENATE(ZW63,",",ZW64))</f>
        <v>#VALUE!</v>
      </c>
      <c r="ZX65" s="832" t="str">
        <f>IF(ZX59="Штраф 50%","",IF(OR(ZT62=" в размере",ZT59=" в размере"),ZW65,""))</f>
        <v/>
      </c>
      <c r="AAC65" s="1465"/>
      <c r="AAD65" s="583"/>
      <c r="AAE65" s="837"/>
      <c r="AAF65" s="583"/>
      <c r="AAG65" s="583"/>
      <c r="AAH65" s="583"/>
      <c r="AAI65" s="831" t="e">
        <f>VALUE(CONCATENATE(AAI63,",",AAI64))</f>
        <v>#VALUE!</v>
      </c>
      <c r="AAJ65" s="832" t="str">
        <f>IF(AAJ59="Штраф 50%","",IF(OR(AAF62=" в размере",AAF59=" в размере"),AAI65,""))</f>
        <v/>
      </c>
      <c r="ADG65" s="431"/>
      <c r="ADQ65" s="431"/>
      <c r="AFE65" s="1465"/>
      <c r="AFF65" s="583"/>
      <c r="AFG65" s="837"/>
      <c r="AFH65" s="583"/>
      <c r="AFI65" s="583"/>
      <c r="AFJ65" s="583"/>
      <c r="AFK65" s="831" t="e">
        <f>VALUE(CONCATENATE(AFK63,",",AFK64))</f>
        <v>#VALUE!</v>
      </c>
      <c r="AFL65" s="832" t="str">
        <f>IF(AFL59="Штраф 50%","",IF(OR(AFH62=" в размере",AFH59=" в размере"),AFK65,""))</f>
        <v/>
      </c>
      <c r="AFQ65" s="1465"/>
      <c r="AFR65" s="583"/>
      <c r="AFS65" s="837"/>
      <c r="AFT65" s="583"/>
      <c r="AFU65" s="583"/>
      <c r="AFV65" s="583"/>
      <c r="AFW65" s="831" t="e">
        <f>VALUE(CONCATENATE(AFW63,",",AFW64))</f>
        <v>#VALUE!</v>
      </c>
      <c r="AFX65" s="832" t="str">
        <f>IF(AFX59="Штраф 50%","",IF(OR(AFT62=" в размере",AFT59=" в размере"),AFW65,""))</f>
        <v/>
      </c>
      <c r="AGC65" s="1465"/>
      <c r="AGD65" s="583"/>
      <c r="AGE65" s="837"/>
      <c r="AGF65" s="583"/>
      <c r="AGG65" s="583"/>
      <c r="AGH65" s="583"/>
      <c r="AGI65" s="831" t="e">
        <f>VALUE(CONCATENATE(AGI63,",",AGI64))</f>
        <v>#VALUE!</v>
      </c>
      <c r="AGJ65" s="832" t="str">
        <f>IF(AGJ59="Штраф 50%","",IF(OR(AGF62=" в размере",AGF59=" в размере"),AGI65,""))</f>
        <v/>
      </c>
      <c r="AGO65" s="1465"/>
      <c r="AGP65" s="583"/>
      <c r="AGQ65" s="837"/>
      <c r="AGR65" s="583"/>
      <c r="AGS65" s="583"/>
      <c r="AGT65" s="583"/>
      <c r="AGU65" s="831" t="e">
        <f>VALUE(CONCATENATE(AGU63,",",AGU64))</f>
        <v>#VALUE!</v>
      </c>
      <c r="AGV65" s="832" t="str">
        <f>IF(AGV59="Штраф 50%","",IF(OR(AGR62=" в размере",AGR59=" в размере"),AGU65,""))</f>
        <v/>
      </c>
      <c r="AHA65" s="1465"/>
      <c r="AHB65" s="583"/>
      <c r="AHC65" s="837"/>
      <c r="AHD65" s="583"/>
      <c r="AHE65" s="583"/>
      <c r="AHF65" s="583"/>
      <c r="AHG65" s="831" t="e">
        <f>VALUE(CONCATENATE(AHG63,",",AHG64))</f>
        <v>#VALUE!</v>
      </c>
      <c r="AHH65" s="832" t="str">
        <f>IF(AHH59="Штраф 50%","",IF(OR(AHD62=" в размере",AHD59=" в размере"),AHG65,""))</f>
        <v/>
      </c>
    </row>
    <row r="66" spans="1:893" ht="15" thickTop="1" x14ac:dyDescent="0.3">
      <c r="B66" s="116"/>
      <c r="C66" s="116"/>
      <c r="D66" s="116"/>
      <c r="E66" s="116"/>
      <c r="F66" s="116"/>
      <c r="G66" s="116"/>
      <c r="H66" s="116"/>
      <c r="I66" s="116"/>
      <c r="DT66" t="s">
        <v>8911</v>
      </c>
      <c r="DU66" s="821" t="s">
        <v>99</v>
      </c>
      <c r="DV66" s="1463">
        <v>10</v>
      </c>
      <c r="DW66" s="824" t="s">
        <v>8433</v>
      </c>
      <c r="DX66" s="838" t="e">
        <f>SEARCH(DS$4,$C$3,DZ59)+LEN(DS$4)</f>
        <v>#VALUE!</v>
      </c>
      <c r="DY66" s="406" t="str">
        <f>IF(DZ66=IFERROR(SEARCH(".",C$3,DX66),99999),".",
IF(DZ66=IFERROR(SEARCH(",",C$3,DX66),99999),",",
IF(DZ66=IFERROR(SEARCH(" за период",C$3,DX66),999999)," за период",
IF(DZ66=IFERROR(SEARCH(" в размере",C$3,DX66),99999)," в размере",
))))</f>
        <v>.</v>
      </c>
      <c r="DZ66" s="406">
        <f>IFERROR(MIN(IFERROR(SEARCH(".",$C$3,DX66),99999),IFERROR(SEARCH(",",$C$3,DX66),99999),IFERROR(SEARCH(" за период",$C$3,DX66),999999),IFERROR(SEARCH(" в размере",$C$3,DX66),99999)),"ОШИБКА")</f>
        <v>99999</v>
      </c>
      <c r="EA66" s="406" t="e">
        <f>DZ66-DX66</f>
        <v>#VALUE!</v>
      </c>
      <c r="EB66" s="824" t="e">
        <f>MID($C$3,DX66,EA66)</f>
        <v>#VALUE!</v>
      </c>
      <c r="EC66" s="825" t="str">
        <f>IFERROR(INDEX(DU:DU,MATCH(MID($C$3,DX66,EA66),DT:DT,0),1),"")</f>
        <v/>
      </c>
      <c r="ED66" s="754"/>
      <c r="NK66" s="1463">
        <v>10</v>
      </c>
      <c r="NL66" s="824" t="s">
        <v>8433</v>
      </c>
      <c r="NM66" s="838" t="e">
        <f>SEARCH(NH$4,NJ$4,NO59)+LEN(NH$4)</f>
        <v>#VALUE!</v>
      </c>
      <c r="NN66" s="406" t="str">
        <f>IF(NO66=IFERROR(SEARCH(".",NJ$4,NM66),99999),".",
IF(NO66=IFERROR(SEARCH(",",NJ$4,NM66),99999),",",
IF(NO66=IFERROR(SEARCH(" за период",NJ$4,NM66),999999)," за период",
IF(NO66=IFERROR(SEARCH(" в размере",NJ$4,NM66),99999)," в размере",
))))</f>
        <v>.</v>
      </c>
      <c r="NO66" s="406">
        <f>IFERROR(MIN(IFERROR(SEARCH(".",NJ$4,NM66),99999),IFERROR(SEARCH(",",NJ$4,NM66),99999),IFERROR(SEARCH(" за период",NJ$4,NM66),999999),IFERROR(SEARCH(" в размере",NJ$4,NM66),99999)),"ОШИБКА")</f>
        <v>99999</v>
      </c>
      <c r="NP66" s="406" t="e">
        <f>NO66-NM66</f>
        <v>#VALUE!</v>
      </c>
      <c r="NQ66" s="824" t="e">
        <f>MID(NJ$4,NM66,NP66)</f>
        <v>#VALUE!</v>
      </c>
      <c r="NR66" s="825" t="str">
        <f>IFERROR(INDEX($DU:$DU,MATCH(MID(NJ$4,NM66,NP66),$DT:$DT,0),1),"")</f>
        <v/>
      </c>
      <c r="NS66" s="754"/>
      <c r="NT66" s="754"/>
      <c r="SY66" s="1463">
        <v>10</v>
      </c>
      <c r="SZ66" s="824" t="s">
        <v>8433</v>
      </c>
      <c r="TA66" s="838" t="e">
        <f>SEARCH(SV$4,$SQ$3,TC59)+LEN(SV$4)</f>
        <v>#VALUE!</v>
      </c>
      <c r="TB66" s="406" t="str">
        <f>IF(TC66=IFERROR(SEARCH(".",$SQ$3,TA66),99999),".",
IF(TC66=IFERROR(SEARCH(",",$SQ$3,TA66),99999),",",
IF(TC66=IFERROR(SEARCH(" за период",$SQ$3,TA66),999999)," за период",
IF(TC66=IFERROR(SEARCH(" в размере",$SQ$3,TA66),99999)," в размере",
))))</f>
        <v>.</v>
      </c>
      <c r="TC66" s="406">
        <f>IFERROR(MIN(IFERROR(SEARCH(".",$SQ$3,TA66),99999),IFERROR(SEARCH(",",$SQ$3,TA66),99999),IFERROR(SEARCH(" за период",$SQ$3,TA66),999999),IFERROR(SEARCH(" в размере",$SQ$3,TA66),99999)),"ОШИБКА")</f>
        <v>99999</v>
      </c>
      <c r="TD66" s="406" t="e">
        <f>TC66-TA66</f>
        <v>#VALUE!</v>
      </c>
      <c r="TE66" s="824" t="e">
        <f>MID($SQ$3,TA66,TD66)</f>
        <v>#VALUE!</v>
      </c>
      <c r="TF66" s="825" t="str">
        <f>IFERROR(INDEX($DU:$DU,MATCH(MID($SQ$3,TA66,TD66),$DT:$DT,0),1),"")</f>
        <v/>
      </c>
      <c r="TG66" s="754"/>
      <c r="TK66" s="1004"/>
      <c r="TL66" s="1004"/>
      <c r="TM66" s="1036"/>
      <c r="TN66" s="1036"/>
      <c r="TO66" s="1036"/>
      <c r="TP66" s="1036"/>
      <c r="TQ66" s="1035"/>
      <c r="TR66" s="1004"/>
      <c r="TS66" s="754"/>
      <c r="TW66" s="1463">
        <v>10</v>
      </c>
      <c r="TX66" s="824" t="s">
        <v>8433</v>
      </c>
      <c r="TY66" s="838" t="e">
        <f>SEARCH(TT$4,$SQ$4,UA59)+LEN(TT$4)</f>
        <v>#VALUE!</v>
      </c>
      <c r="TZ66" s="406" t="str">
        <f>IF(UA66=IFERROR(SEARCH(".",$SQ$4,TY66),99999),".",
IF(UA66=IFERROR(SEARCH(",",$SQ$4,TY66),99999),",",
IF(UA66=IFERROR(SEARCH(" за период",$SQ$4,TY66),999999)," за период",
IF(UA66=IFERROR(SEARCH(" в размере",$SQ$4,TY66),99999)," в размере",
))))</f>
        <v>.</v>
      </c>
      <c r="UA66" s="406">
        <f>IFERROR(MIN(IFERROR(SEARCH(".",$SQ$4,TY66),99999),IFERROR(SEARCH(",",$SQ$4,TY66),99999),IFERROR(SEARCH(" за период",$SQ$4,TY66),999999),IFERROR(SEARCH(" в размере",$SQ$4,TY66),99999)),"ОШИБКА")</f>
        <v>99999</v>
      </c>
      <c r="UB66" s="406" t="e">
        <f>UA66-TY66</f>
        <v>#VALUE!</v>
      </c>
      <c r="UC66" s="824" t="e">
        <f>MID($SQ$4,TY66,UB66)</f>
        <v>#VALUE!</v>
      </c>
      <c r="UD66" s="825" t="str">
        <f>IFERROR(INDEX($DU:$DU,MATCH(MID($SQ$4,TY66,UB66),$DT:$DT,0),1),"")</f>
        <v/>
      </c>
      <c r="UE66" s="754"/>
      <c r="UI66" s="1004"/>
      <c r="UJ66" s="1004"/>
      <c r="UK66" s="1036"/>
      <c r="UL66" s="1036"/>
      <c r="UM66" s="1036"/>
      <c r="UN66" s="1036"/>
      <c r="UO66" s="1035"/>
      <c r="UP66" s="1004"/>
      <c r="UQ66" s="754"/>
      <c r="UU66" s="1463">
        <v>10</v>
      </c>
      <c r="UV66" s="824" t="s">
        <v>8433</v>
      </c>
      <c r="UW66" s="838" t="e">
        <f>SEARCH(UR$4,$SQ$5,UY59)+LEN(UR$4)</f>
        <v>#VALUE!</v>
      </c>
      <c r="UX66" s="406" t="str">
        <f>IF(UY66=IFERROR(SEARCH(".",$SQ$5,UW66),99999),".",
IF(UY66=IFERROR(SEARCH(",",$SQ$5,UW66),99999),",",
IF(UY66=IFERROR(SEARCH(" за период",$SQ$5,UW66),999999)," за период",
IF(UY66=IFERROR(SEARCH(" в размере",$SQ$5,UW66),99999)," в размере",
))))</f>
        <v>.</v>
      </c>
      <c r="UY66" s="406">
        <f>IFERROR(MIN(IFERROR(SEARCH(".",$SQ$5,UW66),99999),IFERROR(SEARCH(",",$SQ$5,UW66),99999),IFERROR(SEARCH(" за период",$SQ$5,UW66),999999),IFERROR(SEARCH(" в размере",$SQ$5,UW66),99999)),"ОШИБКА")</f>
        <v>99999</v>
      </c>
      <c r="UZ66" s="406" t="e">
        <f>UY66-UW66</f>
        <v>#VALUE!</v>
      </c>
      <c r="VA66" s="824" t="e">
        <f>MID($SQ$5,UW66,UZ66)</f>
        <v>#VALUE!</v>
      </c>
      <c r="VB66" s="825" t="str">
        <f>IFERROR(INDEX($DU:$DU,MATCH(MID($SQ$5,UW66,UZ66),$DT:$DT,0),1),"")</f>
        <v/>
      </c>
      <c r="VC66" s="754"/>
      <c r="VG66" s="1004"/>
      <c r="VH66" s="1004"/>
      <c r="VI66" s="1036"/>
      <c r="VJ66" s="1036"/>
      <c r="VK66" s="1036"/>
      <c r="VL66" s="1036"/>
      <c r="VM66" s="1035"/>
      <c r="VN66" s="1004"/>
      <c r="VO66" s="754"/>
      <c r="VS66" s="1463">
        <v>10</v>
      </c>
      <c r="VT66" s="824" t="s">
        <v>8433</v>
      </c>
      <c r="VU66" s="838" t="e">
        <f>SEARCH(VP$4,$SQ$6,VW59)+LEN(VP$4)</f>
        <v>#VALUE!</v>
      </c>
      <c r="VV66" s="406" t="str">
        <f>IF(VW66=IFERROR(SEARCH(".",$SQ$6,VU66),99999),".",
IF(VW66=IFERROR(SEARCH(",",$SQ$6,VU66),99999),",",
IF(VW66=IFERROR(SEARCH(" за период",$SQ$6,VU66),999999)," за период",
IF(VW66=IFERROR(SEARCH(" в размере",$SQ$6,VU66),99999)," в размере",
))))</f>
        <v>.</v>
      </c>
      <c r="VW66" s="406">
        <f>IFERROR(MIN(IFERROR(SEARCH(".",$SQ$6,VU66),99999),IFERROR(SEARCH(",",$SQ$6,VU66),99999),IFERROR(SEARCH(" за период",$SQ$6,VU66),999999),IFERROR(SEARCH(" в размере",$SQ$6,VU66),99999)),"ОШИБКА")</f>
        <v>99999</v>
      </c>
      <c r="VX66" s="406" t="e">
        <f>VW66-VU66</f>
        <v>#VALUE!</v>
      </c>
      <c r="VY66" s="824" t="e">
        <f>MID($SQ$6,VU66,VX66)</f>
        <v>#VALUE!</v>
      </c>
      <c r="VZ66" s="825" t="str">
        <f>IFERROR(INDEX($DU:$DU,MATCH(MID($SQ$6,VU66,VX66),$DT:$DT,0),1),"")</f>
        <v/>
      </c>
      <c r="WA66" s="754"/>
      <c r="WE66" s="1004"/>
      <c r="WF66" s="1004"/>
      <c r="WG66" s="1036"/>
      <c r="WH66" s="1036"/>
      <c r="WI66" s="1036"/>
      <c r="WJ66" s="1036"/>
      <c r="WK66" s="1035"/>
      <c r="WL66" s="1004"/>
      <c r="WM66" s="754"/>
      <c r="WQ66" s="1463">
        <v>10</v>
      </c>
      <c r="WR66" s="824" t="s">
        <v>8433</v>
      </c>
      <c r="WS66" s="838" t="e">
        <f>SEARCH(WN$4,$SQ$7,WU59)+LEN(WN$4)</f>
        <v>#VALUE!</v>
      </c>
      <c r="WT66" s="406" t="str">
        <f>IF(WU66=IFERROR(SEARCH(".",$SQ$7,WS66),99999),".",
IF(WU66=IFERROR(SEARCH(",",$SQ$7,WS66),99999),",",
IF(WU66=IFERROR(SEARCH(" за период",$SQ$7,WS66),999999)," за период",
IF(WU66=IFERROR(SEARCH(" в размере",$SQ$7,WS66),99999)," в размере",
))))</f>
        <v>.</v>
      </c>
      <c r="WU66" s="406">
        <f>IFERROR(MIN(IFERROR(SEARCH(".",$SQ$7,WS66),99999),IFERROR(SEARCH(",",$SQ$7,WS66),99999),IFERROR(SEARCH(" за период",$SQ$7,WS66),999999),IFERROR(SEARCH(" в размере",$SQ$7,WS66),99999)),"ОШИБКА")</f>
        <v>99999</v>
      </c>
      <c r="WV66" s="406" t="e">
        <f>WU66-WS66</f>
        <v>#VALUE!</v>
      </c>
      <c r="WW66" s="824" t="e">
        <f>MID($SQ$7,WS66,WV66)</f>
        <v>#VALUE!</v>
      </c>
      <c r="WX66" s="825" t="str">
        <f>IFERROR(INDEX($DU:$DU,MATCH(MID($SQ$7,WS66,WV66),$DT:$DT,0),1),"")</f>
        <v/>
      </c>
      <c r="WY66" s="754"/>
      <c r="XC66" s="1004"/>
      <c r="XD66" s="1004"/>
      <c r="XE66" s="1036"/>
      <c r="XF66" s="1036"/>
      <c r="XG66" s="1036"/>
      <c r="XH66" s="1036"/>
      <c r="XI66" s="1035"/>
      <c r="XJ66" s="1004"/>
      <c r="XK66" s="754"/>
      <c r="YG66" s="1463">
        <v>10</v>
      </c>
      <c r="YH66" s="824" t="s">
        <v>8433</v>
      </c>
      <c r="YI66" s="838" t="e">
        <f>SEARCH(YD$4,$XU$3,YK59)+LEN(YD$4)</f>
        <v>#VALUE!</v>
      </c>
      <c r="YJ66" s="406" t="str">
        <f>IF(YK66=IFERROR(SEARCH(".",$XU$3,YI66),99999),".",
IF(YK66=IFERROR(SEARCH(",",$XU$3,YI66),99999),",",
IF(YK66=IFERROR(SEARCH(" за период",$XU$3,YI66),999999)," за период",
IF(YK66=IFERROR(SEARCH(" в размере",$XU$3,YI66),99999)," в размере",
))))</f>
        <v>.</v>
      </c>
      <c r="YK66" s="406">
        <f>IFERROR(MIN(IFERROR(SEARCH(".",$XU$3,YI66),99999),IFERROR(SEARCH(",",$XU$3,YI66),99999),IFERROR(SEARCH(" за период",$XU$3,YI66),999999),IFERROR(SEARCH(" в размере",$XU$3,YI66),99999)),"ОШИБКА")</f>
        <v>99999</v>
      </c>
      <c r="YL66" s="406" t="e">
        <f>YK66-YI66</f>
        <v>#VALUE!</v>
      </c>
      <c r="YM66" s="824" t="e">
        <f>MID($XU$3,YI66,YL66)</f>
        <v>#VALUE!</v>
      </c>
      <c r="YN66" s="825" t="str">
        <f>IFERROR(INDEX($DU:$DU,MATCH(MID($XU$3,YI66,YL66),$DT:$DT,0),1),"")</f>
        <v/>
      </c>
      <c r="YO66" s="754"/>
      <c r="YS66" s="1463">
        <v>10</v>
      </c>
      <c r="YT66" s="824" t="s">
        <v>8433</v>
      </c>
      <c r="YU66" s="838" t="e">
        <f>SEARCH(YP$4,$XU$4,YW59)+LEN(YP$4)</f>
        <v>#VALUE!</v>
      </c>
      <c r="YV66" s="406" t="str">
        <f>IF(YW66=IFERROR(SEARCH(".",$XU$4,YU66),99999),".",
IF(YW66=IFERROR(SEARCH(",",$XU$4,YU66),99999),",",
IF(YW66=IFERROR(SEARCH(" за период",$XU$4,YU66),999999)," за период",
IF(YW66=IFERROR(SEARCH(" в размере",$XU$4,YU66),99999)," в размере",
))))</f>
        <v>.</v>
      </c>
      <c r="YW66" s="406">
        <f>IFERROR(MIN(IFERROR(SEARCH(".",$XU$4,YU66),99999),IFERROR(SEARCH(",",$XU$4,YU66),99999),IFERROR(SEARCH(" за период",$XU$4,YU66),999999),IFERROR(SEARCH(" в размере",$XU$4,YU66),99999)),"ОШИБКА")</f>
        <v>99999</v>
      </c>
      <c r="YX66" s="406" t="e">
        <f>YW66-YU66</f>
        <v>#VALUE!</v>
      </c>
      <c r="YY66" s="824" t="e">
        <f>MID($XU$4,YU66,YX66)</f>
        <v>#VALUE!</v>
      </c>
      <c r="YZ66" s="825" t="str">
        <f>IFERROR(INDEX($DU:$DU,MATCH(MID($XU$4,YU66,YX66),$DT:$DT,0),1),"")</f>
        <v/>
      </c>
      <c r="ZA66" s="754"/>
      <c r="ZE66" s="1463">
        <v>10</v>
      </c>
      <c r="ZF66" s="824" t="s">
        <v>8433</v>
      </c>
      <c r="ZG66" s="838" t="e">
        <f>SEARCH(ZB$4,$XU$5,ZI59)+LEN(ZB$4)</f>
        <v>#VALUE!</v>
      </c>
      <c r="ZH66" s="406" t="str">
        <f>IF(ZI66=IFERROR(SEARCH(".",$XU$5,ZG66),99999),".",
IF(ZI66=IFERROR(SEARCH(",",$XU$5,ZG66),99999),",",
IF(ZI66=IFERROR(SEARCH(" за период",$XU$5,ZG66),999999)," за период",
IF(ZI66=IFERROR(SEARCH(" в размере",$XU$5,ZG66),99999)," в размере",
))))</f>
        <v>.</v>
      </c>
      <c r="ZI66" s="406">
        <f>IFERROR(MIN(IFERROR(SEARCH(".",$XU$5,ZG66),99999),IFERROR(SEARCH(",",$XU$5,ZG66),99999),IFERROR(SEARCH(" за период",$XU$5,ZG66),999999),IFERROR(SEARCH(" в размере",$XU$5,ZG66),99999)),"ОШИБКА")</f>
        <v>99999</v>
      </c>
      <c r="ZJ66" s="406" t="e">
        <f>ZI66-ZG66</f>
        <v>#VALUE!</v>
      </c>
      <c r="ZK66" s="824" t="e">
        <f>MID($XU$5,ZG66,ZJ66)</f>
        <v>#VALUE!</v>
      </c>
      <c r="ZL66" s="825" t="str">
        <f>IFERROR(INDEX($DU:$DU,MATCH(MID($XU$5,ZG66,ZJ66),$DT:$DT,0),1),"")</f>
        <v/>
      </c>
      <c r="ZM66" s="754"/>
      <c r="ZQ66" s="1463">
        <v>10</v>
      </c>
      <c r="ZR66" s="824" t="s">
        <v>8433</v>
      </c>
      <c r="ZS66" s="838" t="e">
        <f>SEARCH(ZN$4,$XU$6,ZU59)+LEN(ZN$4)</f>
        <v>#VALUE!</v>
      </c>
      <c r="ZT66" s="406" t="str">
        <f>IF(ZU66=IFERROR(SEARCH(".",$XU$6,ZS66),99999),".",
IF(ZU66=IFERROR(SEARCH(",",$XU$6,ZS66),99999),",",
IF(ZU66=IFERROR(SEARCH(" за период",$XU$6,ZS66),999999)," за период",
IF(ZU66=IFERROR(SEARCH(" в размере",$XU$6,ZS66),99999)," в размере",
))))</f>
        <v>.</v>
      </c>
      <c r="ZU66" s="406">
        <f>IFERROR(MIN(IFERROR(SEARCH(".",$XU$6,ZS66),99999),IFERROR(SEARCH(",",$XU$6,ZS66),99999),IFERROR(SEARCH(" за период",$XU$6,ZS66),999999),IFERROR(SEARCH(" в размере",$XU$6,ZS66),99999)),"ОШИБКА")</f>
        <v>99999</v>
      </c>
      <c r="ZV66" s="406" t="e">
        <f>ZU66-ZS66</f>
        <v>#VALUE!</v>
      </c>
      <c r="ZW66" s="824" t="e">
        <f>MID($XU$6,ZS66,ZV66)</f>
        <v>#VALUE!</v>
      </c>
      <c r="ZX66" s="825" t="str">
        <f>IFERROR(INDEX($DU:$DU,MATCH(MID($XU$6,ZS66,ZV66),$DT:$DT,0),1),"")</f>
        <v/>
      </c>
      <c r="ZY66" s="754"/>
      <c r="AAC66" s="1463">
        <v>10</v>
      </c>
      <c r="AAD66" s="824" t="s">
        <v>8433</v>
      </c>
      <c r="AAE66" s="838" t="e">
        <f>SEARCH(ZZ$4,$XU$7,AAG59)+LEN(ZZ$4)</f>
        <v>#VALUE!</v>
      </c>
      <c r="AAF66" s="406" t="str">
        <f>IF(AAG66=IFERROR(SEARCH(".",$XU$7,AAE66),99999),".",
IF(AAG66=IFERROR(SEARCH(",",$XU$7,AAE66),99999),",",
IF(AAG66=IFERROR(SEARCH(" за период",$XU$7,AAE66),999999)," за период",
IF(AAG66=IFERROR(SEARCH(" в размере",$XU$7,AAE66),99999)," в размере",
))))</f>
        <v>.</v>
      </c>
      <c r="AAG66" s="406">
        <f>IFERROR(MIN(IFERROR(SEARCH(".",$XU$7,AAE66),99999),IFERROR(SEARCH(",",$XU$7,AAE66),99999),IFERROR(SEARCH(" за период",$XU$7,AAE66),999999),IFERROR(SEARCH(" в размере",$XU$7,AAE66),99999)),"ОШИБКА")</f>
        <v>99999</v>
      </c>
      <c r="AAH66" s="406" t="e">
        <f>AAG66-AAE66</f>
        <v>#VALUE!</v>
      </c>
      <c r="AAI66" s="824" t="e">
        <f>MID($XU$7,AAE66,AAH66)</f>
        <v>#VALUE!</v>
      </c>
      <c r="AAJ66" s="825" t="str">
        <f>IFERROR(INDEX($DU:$DU,MATCH(MID($XU$7,AAE66,AAH66),$DT:$DT,0),1),"")</f>
        <v/>
      </c>
      <c r="AAK66" s="754"/>
      <c r="AAL66" s="754"/>
      <c r="AAM66" s="754"/>
      <c r="AFE66" s="1463">
        <v>10</v>
      </c>
      <c r="AFF66" s="824" t="s">
        <v>8433</v>
      </c>
      <c r="AFG66" s="838" t="e">
        <f>SEARCH(AFB$4,AFD$4,AFI59)+LEN(AFB$4)</f>
        <v>#VALUE!</v>
      </c>
      <c r="AFH66" s="406" t="str">
        <f>IF(AFI66=IFERROR(SEARCH(".",AFD$4,AFG66),99999),".",
IF(AFI66=IFERROR(SEARCH(",",AFD$4,AFG66),99999),",",
IF(AFI66=IFERROR(SEARCH(" за период",AFD$4,AFG66),999999)," за период",
IF(AFI66=IFERROR(SEARCH(" в размере",AFD$4,AFG66),99999)," в размере",
))))</f>
        <v>.</v>
      </c>
      <c r="AFI66" s="406">
        <f>IFERROR(MIN(IFERROR(SEARCH(".",AFD$4,AFG66),99999),IFERROR(SEARCH(",",AFD$4,AFG66),99999),IFERROR(SEARCH(" за период",AFD$4,AFG66),999999),IFERROR(SEARCH(" в размере",AFD$4,AFG66),99999)),"ОШИБКА")</f>
        <v>99999</v>
      </c>
      <c r="AFJ66" s="406" t="e">
        <f>AFI66-AFG66</f>
        <v>#VALUE!</v>
      </c>
      <c r="AFK66" s="824" t="e">
        <f>MID(AFD$4,AFG66,AFJ66)</f>
        <v>#VALUE!</v>
      </c>
      <c r="AFL66" s="825" t="str">
        <f>IFERROR(INDEX($DU:$DU,MATCH(MID(AFD$4,AFG66,AFJ66),$DT:$DT,0),1),"")</f>
        <v/>
      </c>
      <c r="AFM66" s="754"/>
      <c r="AFQ66" s="1463">
        <v>10</v>
      </c>
      <c r="AFR66" s="824" t="s">
        <v>8433</v>
      </c>
      <c r="AFS66" s="838" t="e">
        <f>SEARCH(AFN$4,AFP$4,AFU59)+LEN(AFN$4)</f>
        <v>#VALUE!</v>
      </c>
      <c r="AFT66" s="406" t="str">
        <f>IF(AFU66=IFERROR(SEARCH(".",AFP$4,AFS66),99999),".",
IF(AFU66=IFERROR(SEARCH(",",AFP$4,AFS66),99999),",",
IF(AFU66=IFERROR(SEARCH(" за период",AFP$4,AFS66),999999)," за период",
IF(AFU66=IFERROR(SEARCH(" в размере",AFP$4,AFS66),99999)," в размере",
))))</f>
        <v>.</v>
      </c>
      <c r="AFU66" s="406">
        <f>IFERROR(MIN(IFERROR(SEARCH(".",AFP$4,AFS66),99999),IFERROR(SEARCH(",",AFP$4,AFS66),99999),IFERROR(SEARCH(" за период",AFP$4,AFS66),999999),IFERROR(SEARCH(" в размере",AFP$4,AFS66),99999)),"ОШИБКА")</f>
        <v>99999</v>
      </c>
      <c r="AFV66" s="406" t="e">
        <f>AFU66-AFS66</f>
        <v>#VALUE!</v>
      </c>
      <c r="AFW66" s="824" t="e">
        <f>MID(AFP$4,AFS66,AFV66)</f>
        <v>#VALUE!</v>
      </c>
      <c r="AFX66" s="825" t="str">
        <f>IFERROR(INDEX($DU:$DU,MATCH(MID(AFP$4,AFS66,AFV66),$DT:$DT,0),1),"")</f>
        <v/>
      </c>
      <c r="AFY66" s="754"/>
      <c r="AGC66" s="1463">
        <v>10</v>
      </c>
      <c r="AGD66" s="824" t="s">
        <v>8433</v>
      </c>
      <c r="AGE66" s="838" t="e">
        <f>SEARCH(AFZ$4,AGB$4,AGG59)+LEN(AFZ$4)</f>
        <v>#VALUE!</v>
      </c>
      <c r="AGF66" s="406" t="str">
        <f>IF(AGG66=IFERROR(SEARCH(".",AGB$4,AGE66),99999),".",
IF(AGG66=IFERROR(SEARCH(",",AGB$4,AGE66),99999),",",
IF(AGG66=IFERROR(SEARCH(" за период",AGB$4,AGE66),999999)," за период",
IF(AGG66=IFERROR(SEARCH(" в размере",AGB$4,AGE66),99999)," в размере",
))))</f>
        <v>.</v>
      </c>
      <c r="AGG66" s="406">
        <f>IFERROR(MIN(IFERROR(SEARCH(".",AGB$4,AGE66),99999),IFERROR(SEARCH(",",AGB$4,AGE66),99999),IFERROR(SEARCH(" за период",AGB$4,AGE66),999999),IFERROR(SEARCH(" в размере",AGB$4,AGE66),99999)),"ОШИБКА")</f>
        <v>99999</v>
      </c>
      <c r="AGH66" s="406" t="e">
        <f>AGG66-AGE66</f>
        <v>#VALUE!</v>
      </c>
      <c r="AGI66" s="824" t="e">
        <f>MID(AGB$4,AGE66,AGH66)</f>
        <v>#VALUE!</v>
      </c>
      <c r="AGJ66" s="825" t="str">
        <f>IFERROR(INDEX($DU:$DU,MATCH(MID(AGB$4,AGE66,AGH66),$DT:$DT,0),1),"")</f>
        <v/>
      </c>
      <c r="AGK66" s="754"/>
      <c r="AGO66" s="1463">
        <v>10</v>
      </c>
      <c r="AGP66" s="824" t="s">
        <v>8433</v>
      </c>
      <c r="AGQ66" s="838" t="e">
        <f>SEARCH(AGL$4,AGN$4,AGS59)+LEN(AGL$4)</f>
        <v>#VALUE!</v>
      </c>
      <c r="AGR66" s="406" t="str">
        <f>IF(AGS66=IFERROR(SEARCH(".",AGN$4,AGQ66),99999),".",
IF(AGS66=IFERROR(SEARCH(",",AGN$4,AGQ66),99999),",",
IF(AGS66=IFERROR(SEARCH(" за период",AGN$4,AGQ66),999999)," за период",
IF(AGS66=IFERROR(SEARCH(" в размере",AGN$4,AGQ66),99999)," в размере",
))))</f>
        <v>.</v>
      </c>
      <c r="AGS66" s="406">
        <f>IFERROR(MIN(IFERROR(SEARCH(".",AGN$4,AGQ66),99999),IFERROR(SEARCH(",",AGN$4,AGQ66),99999),IFERROR(SEARCH(" за период",AGN$4,AGQ66),999999),IFERROR(SEARCH(" в размере",AGN$4,AGQ66),99999)),"ОШИБКА")</f>
        <v>99999</v>
      </c>
      <c r="AGT66" s="406" t="e">
        <f>AGS66-AGQ66</f>
        <v>#VALUE!</v>
      </c>
      <c r="AGU66" s="824" t="e">
        <f>MID(AGN$4,AGQ66,AGT66)</f>
        <v>#VALUE!</v>
      </c>
      <c r="AGV66" s="825" t="str">
        <f>IFERROR(INDEX($DU:$DU,MATCH(MID(AGN$4,AGQ66,AGT66),$DT:$DT,0),1),"")</f>
        <v/>
      </c>
      <c r="AGW66" s="754"/>
      <c r="AHA66" s="1463">
        <v>10</v>
      </c>
      <c r="AHB66" s="824" t="s">
        <v>8433</v>
      </c>
      <c r="AHC66" s="838" t="e">
        <f>SEARCH(AGX$4,AGZ$4,AHE59)+LEN(AGX$4)</f>
        <v>#VALUE!</v>
      </c>
      <c r="AHD66" s="406" t="str">
        <f>IF(AHE66=IFERROR(SEARCH(".",AGZ$4,AHC66),99999),".",
IF(AHE66=IFERROR(SEARCH(",",AGZ$4,AHC66),99999),",",
IF(AHE66=IFERROR(SEARCH(" за период",AGZ$4,AHC66),999999)," за период",
IF(AHE66=IFERROR(SEARCH(" в размере",AGZ$4,AHC66),99999)," в размере",
))))</f>
        <v>.</v>
      </c>
      <c r="AHE66" s="406">
        <f>IFERROR(MIN(IFERROR(SEARCH(".",AGZ$4,AHC66),99999),IFERROR(SEARCH(",",AGZ$4,AHC66),99999),IFERROR(SEARCH(" за период",AGZ$4,AHC66),999999),IFERROR(SEARCH(" в размере",AGZ$4,AHC66),99999)),"ОШИБКА")</f>
        <v>99999</v>
      </c>
      <c r="AHF66" s="406" t="e">
        <f>AHE66-AHC66</f>
        <v>#VALUE!</v>
      </c>
      <c r="AHG66" s="824" t="e">
        <f>MID(AGZ$4,AHC66,AHF66)</f>
        <v>#VALUE!</v>
      </c>
      <c r="AHH66" s="825" t="str">
        <f>IFERROR(INDEX($DU:$DU,MATCH(MID(AGZ$4,AHC66,AHF66),$DT:$DT,0),1),"")</f>
        <v/>
      </c>
      <c r="AHI66" s="754"/>
    </row>
    <row r="67" spans="1:893" x14ac:dyDescent="0.3">
      <c r="B67" s="116"/>
      <c r="C67" s="116"/>
      <c r="D67" s="116"/>
      <c r="E67" s="116"/>
      <c r="F67" s="116"/>
      <c r="G67" s="116"/>
      <c r="H67" s="116"/>
      <c r="I67" s="116"/>
      <c r="DT67" t="s">
        <v>8915</v>
      </c>
      <c r="DU67" s="821" t="s">
        <v>1246</v>
      </c>
      <c r="DV67" s="1464"/>
      <c r="DW67" s="826" t="s">
        <v>8435</v>
      </c>
      <c r="DX67" s="836" t="str">
        <f>IF(DY66=" за период",SEARCH(" за период",$C$3,DZ66)+LEN(" за период")+3,"НЕТ")</f>
        <v>НЕТ</v>
      </c>
      <c r="DY67" s="306" t="s">
        <v>8434</v>
      </c>
      <c r="DZ67" s="306" t="e">
        <f>SEARCH(DY67,$C$3,DX67)</f>
        <v>#VALUE!</v>
      </c>
      <c r="EA67" s="306" t="e">
        <f>DZ67-DX67</f>
        <v>#VALUE!</v>
      </c>
      <c r="EB67" s="827" t="e">
        <f>DATEVALUE(MID($C$3,DX67,EA67))</f>
        <v>#VALUE!</v>
      </c>
      <c r="EC67" s="828" t="str">
        <f>IF(DY66=" за период",EB67,"")</f>
        <v/>
      </c>
      <c r="NK67" s="1464"/>
      <c r="NL67" s="826" t="s">
        <v>8435</v>
      </c>
      <c r="NM67" s="836" t="str">
        <f>IF(NN66=" за период",SEARCH(" за период",NJ$4,NO66)+LEN(" за период")+3,"НЕТ")</f>
        <v>НЕТ</v>
      </c>
      <c r="NN67" s="306" t="s">
        <v>8434</v>
      </c>
      <c r="NO67" s="306" t="e">
        <f>SEARCH(NN67,NJ$4,NM67)</f>
        <v>#VALUE!</v>
      </c>
      <c r="NP67" s="306" t="e">
        <f>NO67-NM67</f>
        <v>#VALUE!</v>
      </c>
      <c r="NQ67" s="827" t="e">
        <f>DATEVALUE(MID(NJ$4,NM67,NP67))</f>
        <v>#VALUE!</v>
      </c>
      <c r="NR67" s="828" t="str">
        <f>IF(NN66=" за период",NQ67,"")</f>
        <v/>
      </c>
      <c r="SY67" s="1464"/>
      <c r="SZ67" s="826" t="s">
        <v>8435</v>
      </c>
      <c r="TA67" s="836" t="str">
        <f>IF(TB66=" за период",SEARCH(" за период",$SQ$3,TC66)+LEN(" за период")+3,"НЕТ")</f>
        <v>НЕТ</v>
      </c>
      <c r="TB67" s="306" t="s">
        <v>8434</v>
      </c>
      <c r="TC67" s="306" t="e">
        <f>SEARCH(TB67,$SQ$3,TA67)</f>
        <v>#VALUE!</v>
      </c>
      <c r="TD67" s="306" t="e">
        <f>TC67-TA67</f>
        <v>#VALUE!</v>
      </c>
      <c r="TE67" s="827" t="e">
        <f>DATEVALUE(MID($SQ$3,TA67,TD67))</f>
        <v>#VALUE!</v>
      </c>
      <c r="TF67" s="828" t="str">
        <f>IF(TB66=" за период",TE67,"")</f>
        <v/>
      </c>
      <c r="TK67" s="1004"/>
      <c r="TL67" s="1036"/>
      <c r="TM67" s="1036"/>
      <c r="TN67" s="1036"/>
      <c r="TO67" s="1036"/>
      <c r="TP67" s="1036"/>
      <c r="TQ67" s="1035"/>
      <c r="TR67" s="1004"/>
      <c r="TW67" s="1464"/>
      <c r="TX67" s="826" t="s">
        <v>8435</v>
      </c>
      <c r="TY67" s="836" t="str">
        <f>IF(TZ66=" за период",SEARCH(" за период",$SQ$4,UA66)+LEN(" за период")+3,"НЕТ")</f>
        <v>НЕТ</v>
      </c>
      <c r="TZ67" s="306" t="s">
        <v>8434</v>
      </c>
      <c r="UA67" s="306" t="e">
        <f>SEARCH(TZ67,$SQ$4,TY67)</f>
        <v>#VALUE!</v>
      </c>
      <c r="UB67" s="306" t="e">
        <f>UA67-TY67</f>
        <v>#VALUE!</v>
      </c>
      <c r="UC67" s="827" t="e">
        <f>DATEVALUE(MID($SQ$4,TY67,UB67))</f>
        <v>#VALUE!</v>
      </c>
      <c r="UD67" s="828" t="str">
        <f>IF(TZ66=" за период",UC67,"")</f>
        <v/>
      </c>
      <c r="UI67" s="1004"/>
      <c r="UJ67" s="1036"/>
      <c r="UK67" s="1036"/>
      <c r="UL67" s="1036"/>
      <c r="UM67" s="1036"/>
      <c r="UN67" s="1036"/>
      <c r="UO67" s="1035"/>
      <c r="UP67" s="1004"/>
      <c r="UU67" s="1464"/>
      <c r="UV67" s="826" t="s">
        <v>8435</v>
      </c>
      <c r="UW67" s="836" t="str">
        <f>IF(UX66=" за период",SEARCH(" за период",$SQ$5,UY66)+LEN(" за период")+3,"НЕТ")</f>
        <v>НЕТ</v>
      </c>
      <c r="UX67" s="306" t="s">
        <v>8434</v>
      </c>
      <c r="UY67" s="306" t="e">
        <f>SEARCH(UX67,$SQ$5,UW67)</f>
        <v>#VALUE!</v>
      </c>
      <c r="UZ67" s="306" t="e">
        <f>UY67-UW67</f>
        <v>#VALUE!</v>
      </c>
      <c r="VA67" s="827" t="e">
        <f>DATEVALUE(MID($SQ$5,UW67,UZ67))</f>
        <v>#VALUE!</v>
      </c>
      <c r="VB67" s="828" t="str">
        <f>IF(UX66=" за период",VA67,"")</f>
        <v/>
      </c>
      <c r="VG67" s="1004"/>
      <c r="VH67" s="1036"/>
      <c r="VI67" s="1036"/>
      <c r="VJ67" s="1036"/>
      <c r="VK67" s="1036"/>
      <c r="VL67" s="1036"/>
      <c r="VM67" s="1035"/>
      <c r="VN67" s="1004"/>
      <c r="VS67" s="1464"/>
      <c r="VT67" s="826" t="s">
        <v>8435</v>
      </c>
      <c r="VU67" s="836" t="str">
        <f>IF(VV66=" за период",SEARCH(" за период",$SQ$6,VW66)+LEN(" за период")+3,"НЕТ")</f>
        <v>НЕТ</v>
      </c>
      <c r="VV67" s="306" t="s">
        <v>8434</v>
      </c>
      <c r="VW67" s="306" t="e">
        <f>SEARCH(VV67,$SQ$6,VU67)</f>
        <v>#VALUE!</v>
      </c>
      <c r="VX67" s="306" t="e">
        <f>VW67-VU67</f>
        <v>#VALUE!</v>
      </c>
      <c r="VY67" s="827" t="e">
        <f>DATEVALUE(MID($SQ$6,VU67,VX67))</f>
        <v>#VALUE!</v>
      </c>
      <c r="VZ67" s="828" t="str">
        <f>IF(VV66=" за период",VY67,"")</f>
        <v/>
      </c>
      <c r="WE67" s="1004"/>
      <c r="WF67" s="1036"/>
      <c r="WG67" s="1036"/>
      <c r="WH67" s="1036"/>
      <c r="WI67" s="1036"/>
      <c r="WJ67" s="1036"/>
      <c r="WK67" s="1035"/>
      <c r="WL67" s="1004"/>
      <c r="WQ67" s="1464"/>
      <c r="WR67" s="826" t="s">
        <v>8435</v>
      </c>
      <c r="WS67" s="836" t="str">
        <f>IF(WT66=" за период",SEARCH(" за период",$SQ$7,WU66)+LEN(" за период")+3,"НЕТ")</f>
        <v>НЕТ</v>
      </c>
      <c r="WT67" s="306" t="s">
        <v>8434</v>
      </c>
      <c r="WU67" s="306" t="e">
        <f>SEARCH(WT67,$SQ$7,WS67)</f>
        <v>#VALUE!</v>
      </c>
      <c r="WV67" s="306" t="e">
        <f>WU67-WS67</f>
        <v>#VALUE!</v>
      </c>
      <c r="WW67" s="827" t="e">
        <f>DATEVALUE(MID($SQ$7,WS67,WV67))</f>
        <v>#VALUE!</v>
      </c>
      <c r="WX67" s="828" t="str">
        <f>IF(WT66=" за период",WW67,"")</f>
        <v/>
      </c>
      <c r="XC67" s="1004"/>
      <c r="XD67" s="1036"/>
      <c r="XE67" s="1036"/>
      <c r="XF67" s="1036"/>
      <c r="XG67" s="1036"/>
      <c r="XH67" s="1036"/>
      <c r="XI67" s="1035"/>
      <c r="XJ67" s="1004"/>
      <c r="YG67" s="1464"/>
      <c r="YH67" s="826" t="s">
        <v>8435</v>
      </c>
      <c r="YI67" s="836" t="str">
        <f>IF(YJ66=" за период",SEARCH(" за период",$XU$3,YK66)+LEN(" за период")+3,"НЕТ")</f>
        <v>НЕТ</v>
      </c>
      <c r="YJ67" s="306" t="s">
        <v>8434</v>
      </c>
      <c r="YK67" s="306" t="e">
        <f>SEARCH(YJ67,$XU$3,YI67)</f>
        <v>#VALUE!</v>
      </c>
      <c r="YL67" s="306" t="e">
        <f>YK67-YI67</f>
        <v>#VALUE!</v>
      </c>
      <c r="YM67" s="827" t="e">
        <f>DATEVALUE(MID($XU$3,YI67,YL67))</f>
        <v>#VALUE!</v>
      </c>
      <c r="YN67" s="828" t="str">
        <f>IF(YJ66=" за период",YM67,"")</f>
        <v/>
      </c>
      <c r="YS67" s="1464"/>
      <c r="YT67" s="826" t="s">
        <v>8435</v>
      </c>
      <c r="YU67" s="836" t="str">
        <f>IF(YV66=" за период",SEARCH(" за период",$XU$4,YW66)+LEN(" за период")+3,"НЕТ")</f>
        <v>НЕТ</v>
      </c>
      <c r="YV67" s="306" t="s">
        <v>8434</v>
      </c>
      <c r="YW67" s="306" t="e">
        <f>SEARCH(YV67,$XU$4,YU67)</f>
        <v>#VALUE!</v>
      </c>
      <c r="YX67" s="306" t="e">
        <f>YW67-YU67</f>
        <v>#VALUE!</v>
      </c>
      <c r="YY67" s="827" t="e">
        <f>DATEVALUE(MID($XU$4,YU67,YX67))</f>
        <v>#VALUE!</v>
      </c>
      <c r="YZ67" s="828" t="str">
        <f>IF(YV66=" за период",YY67,"")</f>
        <v/>
      </c>
      <c r="ZE67" s="1464"/>
      <c r="ZF67" s="826" t="s">
        <v>8435</v>
      </c>
      <c r="ZG67" s="836" t="str">
        <f>IF(ZH66=" за период",SEARCH(" за период",$XU$5,ZI66)+LEN(" за период")+3,"НЕТ")</f>
        <v>НЕТ</v>
      </c>
      <c r="ZH67" s="306" t="s">
        <v>8434</v>
      </c>
      <c r="ZI67" s="306" t="e">
        <f>SEARCH(ZH67,$XU$5,ZG67)</f>
        <v>#VALUE!</v>
      </c>
      <c r="ZJ67" s="306" t="e">
        <f>ZI67-ZG67</f>
        <v>#VALUE!</v>
      </c>
      <c r="ZK67" s="827" t="e">
        <f>DATEVALUE(MID($XU$5,ZG67,ZJ67))</f>
        <v>#VALUE!</v>
      </c>
      <c r="ZL67" s="828" t="str">
        <f>IF(ZH66=" за период",ZK67,"")</f>
        <v/>
      </c>
      <c r="ZQ67" s="1464"/>
      <c r="ZR67" s="826" t="s">
        <v>8435</v>
      </c>
      <c r="ZS67" s="836" t="str">
        <f>IF(ZT66=" за период",SEARCH(" за период",$XU$6,ZU66)+LEN(" за период")+3,"НЕТ")</f>
        <v>НЕТ</v>
      </c>
      <c r="ZT67" s="306" t="s">
        <v>8434</v>
      </c>
      <c r="ZU67" s="306" t="e">
        <f>SEARCH(ZT67,$XU$6,ZS67)</f>
        <v>#VALUE!</v>
      </c>
      <c r="ZV67" s="306" t="e">
        <f>ZU67-ZS67</f>
        <v>#VALUE!</v>
      </c>
      <c r="ZW67" s="827" t="e">
        <f>DATEVALUE(MID($XU$6,ZS67,ZV67))</f>
        <v>#VALUE!</v>
      </c>
      <c r="ZX67" s="828" t="str">
        <f>IF(ZT66=" за период",ZW67,"")</f>
        <v/>
      </c>
      <c r="AAC67" s="1464"/>
      <c r="AAD67" s="826" t="s">
        <v>8435</v>
      </c>
      <c r="AAE67" s="836" t="str">
        <f>IF(AAF66=" за период",SEARCH(" за период",$XU$7,AAG66)+LEN(" за период")+3,"НЕТ")</f>
        <v>НЕТ</v>
      </c>
      <c r="AAF67" s="306" t="s">
        <v>8434</v>
      </c>
      <c r="AAG67" s="306" t="e">
        <f>SEARCH(AAF67,$XU$7,AAE67)</f>
        <v>#VALUE!</v>
      </c>
      <c r="AAH67" s="306" t="e">
        <f>AAG67-AAE67</f>
        <v>#VALUE!</v>
      </c>
      <c r="AAI67" s="827" t="e">
        <f>DATEVALUE(MID($XU$7,AAE67,AAH67))</f>
        <v>#VALUE!</v>
      </c>
      <c r="AAJ67" s="828" t="str">
        <f>IF(AAF66=" за период",AAI67,"")</f>
        <v/>
      </c>
      <c r="AFE67" s="1464"/>
      <c r="AFF67" s="826" t="s">
        <v>8435</v>
      </c>
      <c r="AFG67" s="836" t="str">
        <f>IF(AFH66=" за период",SEARCH(" за период",AFD$4,AFI66)+LEN(" за период")+3,"НЕТ")</f>
        <v>НЕТ</v>
      </c>
      <c r="AFH67" s="306" t="s">
        <v>8434</v>
      </c>
      <c r="AFI67" s="306" t="e">
        <f>SEARCH(AFH67,AFD$4,AFG67)</f>
        <v>#VALUE!</v>
      </c>
      <c r="AFJ67" s="306" t="e">
        <f>AFI67-AFG67</f>
        <v>#VALUE!</v>
      </c>
      <c r="AFK67" s="827" t="e">
        <f>DATEVALUE(MID(AFD$4,AFG67,AFJ67))</f>
        <v>#VALUE!</v>
      </c>
      <c r="AFL67" s="828" t="str">
        <f>IF(AFH66=" за период",AFK67,"")</f>
        <v/>
      </c>
      <c r="AFQ67" s="1464"/>
      <c r="AFR67" s="826" t="s">
        <v>8435</v>
      </c>
      <c r="AFS67" s="836" t="str">
        <f>IF(AFT66=" за период",SEARCH(" за период",AFP$4,AFU66)+LEN(" за период")+3,"НЕТ")</f>
        <v>НЕТ</v>
      </c>
      <c r="AFT67" s="306" t="s">
        <v>8434</v>
      </c>
      <c r="AFU67" s="306" t="e">
        <f>SEARCH(AFT67,AFP$4,AFS67)</f>
        <v>#VALUE!</v>
      </c>
      <c r="AFV67" s="306" t="e">
        <f>AFU67-AFS67</f>
        <v>#VALUE!</v>
      </c>
      <c r="AFW67" s="827" t="e">
        <f>DATEVALUE(MID(AFP$4,AFS67,AFV67))</f>
        <v>#VALUE!</v>
      </c>
      <c r="AFX67" s="828" t="str">
        <f>IF(AFT66=" за период",AFW67,"")</f>
        <v/>
      </c>
      <c r="AGC67" s="1464"/>
      <c r="AGD67" s="826" t="s">
        <v>8435</v>
      </c>
      <c r="AGE67" s="836" t="str">
        <f>IF(AGF66=" за период",SEARCH(" за период",AGB$4,AGG66)+LEN(" за период")+3,"НЕТ")</f>
        <v>НЕТ</v>
      </c>
      <c r="AGF67" s="306" t="s">
        <v>8434</v>
      </c>
      <c r="AGG67" s="306" t="e">
        <f>SEARCH(AGF67,AGB$4,AGE67)</f>
        <v>#VALUE!</v>
      </c>
      <c r="AGH67" s="306" t="e">
        <f>AGG67-AGE67</f>
        <v>#VALUE!</v>
      </c>
      <c r="AGI67" s="827" t="e">
        <f>DATEVALUE(MID(AGB$4,AGE67,AGH67))</f>
        <v>#VALUE!</v>
      </c>
      <c r="AGJ67" s="828" t="str">
        <f>IF(AGF66=" за период",AGI67,"")</f>
        <v/>
      </c>
      <c r="AGO67" s="1464"/>
      <c r="AGP67" s="826" t="s">
        <v>8435</v>
      </c>
      <c r="AGQ67" s="836" t="str">
        <f>IF(AGR66=" за период",SEARCH(" за период",AGN$4,AGS66)+LEN(" за период")+3,"НЕТ")</f>
        <v>НЕТ</v>
      </c>
      <c r="AGR67" s="306" t="s">
        <v>8434</v>
      </c>
      <c r="AGS67" s="306" t="e">
        <f>SEARCH(AGR67,AGN$4,AGQ67)</f>
        <v>#VALUE!</v>
      </c>
      <c r="AGT67" s="306" t="e">
        <f>AGS67-AGQ67</f>
        <v>#VALUE!</v>
      </c>
      <c r="AGU67" s="827" t="e">
        <f>DATEVALUE(MID(AGN$4,AGQ67,AGT67))</f>
        <v>#VALUE!</v>
      </c>
      <c r="AGV67" s="828" t="str">
        <f>IF(AGR66=" за период",AGU67,"")</f>
        <v/>
      </c>
      <c r="AHA67" s="1464"/>
      <c r="AHB67" s="826" t="s">
        <v>8435</v>
      </c>
      <c r="AHC67" s="836" t="str">
        <f>IF(AHD66=" за период",SEARCH(" за период",AGZ$4,AHE66)+LEN(" за период")+3,"НЕТ")</f>
        <v>НЕТ</v>
      </c>
      <c r="AHD67" s="306" t="s">
        <v>8434</v>
      </c>
      <c r="AHE67" s="306" t="e">
        <f>SEARCH(AHD67,AGZ$4,AHC67)</f>
        <v>#VALUE!</v>
      </c>
      <c r="AHF67" s="306" t="e">
        <f>AHE67-AHC67</f>
        <v>#VALUE!</v>
      </c>
      <c r="AHG67" s="827" t="e">
        <f>DATEVALUE(MID(AGZ$4,AHC67,AHF67))</f>
        <v>#VALUE!</v>
      </c>
      <c r="AHH67" s="828" t="str">
        <f>IF(AHD66=" за период",AHG67,"")</f>
        <v/>
      </c>
    </row>
    <row r="68" spans="1:893" x14ac:dyDescent="0.3">
      <c r="B68" s="116"/>
      <c r="C68" s="116"/>
      <c r="D68" s="116"/>
      <c r="E68" s="116"/>
      <c r="F68" s="116"/>
      <c r="G68" s="116"/>
      <c r="H68" s="116"/>
      <c r="I68" s="116"/>
      <c r="DT68" t="s">
        <v>8916</v>
      </c>
      <c r="DU68" s="821" t="s">
        <v>1702</v>
      </c>
      <c r="DV68" s="1464"/>
      <c r="DW68" s="826" t="s">
        <v>8436</v>
      </c>
      <c r="DX68" s="836" t="e">
        <f>SEARCH(" ",$C$3,DZ67+1)+1</f>
        <v>#VALUE!</v>
      </c>
      <c r="DY68" s="306"/>
      <c r="DZ68" s="306" t="e">
        <f>DX68+EA68</f>
        <v>#VALUE!</v>
      </c>
      <c r="EA68" s="306">
        <v>10</v>
      </c>
      <c r="EB68" s="827" t="e">
        <f>DATEVALUE(MID($C$3,DX68,EA68))</f>
        <v>#VALUE!</v>
      </c>
      <c r="EC68" s="828" t="str">
        <f>IF(DY66=" за период",EB68,"")</f>
        <v/>
      </c>
      <c r="NK68" s="1464"/>
      <c r="NL68" s="826" t="s">
        <v>8436</v>
      </c>
      <c r="NM68" s="836" t="e">
        <f>SEARCH(" ",NJ$4,NO67+1)+1</f>
        <v>#VALUE!</v>
      </c>
      <c r="NN68" s="306"/>
      <c r="NO68" s="306" t="e">
        <f>NM68+NP68</f>
        <v>#VALUE!</v>
      </c>
      <c r="NP68" s="306">
        <v>10</v>
      </c>
      <c r="NQ68" s="827" t="e">
        <f>DATEVALUE(MID(NJ$4,NM68,NP68))</f>
        <v>#VALUE!</v>
      </c>
      <c r="NR68" s="828" t="str">
        <f>IF(NN66=" за период",NQ68,"")</f>
        <v/>
      </c>
      <c r="SY68" s="1464"/>
      <c r="SZ68" s="826" t="s">
        <v>8436</v>
      </c>
      <c r="TA68" s="836" t="e">
        <f>SEARCH(" ",$SQ$3,TC67+1)+1</f>
        <v>#VALUE!</v>
      </c>
      <c r="TB68" s="306"/>
      <c r="TC68" s="306" t="e">
        <f>TA68+TD68</f>
        <v>#VALUE!</v>
      </c>
      <c r="TD68" s="306">
        <v>10</v>
      </c>
      <c r="TE68" s="827" t="e">
        <f>DATEVALUE(MID($SQ$3,TA68,TD68))</f>
        <v>#VALUE!</v>
      </c>
      <c r="TF68" s="828" t="str">
        <f>IF(TB66=" за период",TE68,"")</f>
        <v/>
      </c>
      <c r="TK68" s="1004"/>
      <c r="TL68" s="1036"/>
      <c r="TM68" s="1036"/>
      <c r="TN68" s="1036"/>
      <c r="TO68" s="1036"/>
      <c r="TP68" s="1036"/>
      <c r="TQ68" s="1038"/>
      <c r="TR68" s="1039"/>
      <c r="TW68" s="1464"/>
      <c r="TX68" s="826" t="s">
        <v>8436</v>
      </c>
      <c r="TY68" s="836" t="e">
        <f>SEARCH(" ",$SQ$4,UA67+1)+1</f>
        <v>#VALUE!</v>
      </c>
      <c r="TZ68" s="306"/>
      <c r="UA68" s="306" t="e">
        <f>TY68+UB68</f>
        <v>#VALUE!</v>
      </c>
      <c r="UB68" s="306">
        <v>10</v>
      </c>
      <c r="UC68" s="827" t="e">
        <f>DATEVALUE(MID($SQ$4,TY68,UB68))</f>
        <v>#VALUE!</v>
      </c>
      <c r="UD68" s="828" t="str">
        <f>IF(TZ66=" за период",UC68,"")</f>
        <v/>
      </c>
      <c r="UI68" s="1004"/>
      <c r="UJ68" s="1036"/>
      <c r="UK68" s="1036"/>
      <c r="UL68" s="1036"/>
      <c r="UM68" s="1036"/>
      <c r="UN68" s="1036"/>
      <c r="UO68" s="1038"/>
      <c r="UP68" s="1039"/>
      <c r="UU68" s="1464"/>
      <c r="UV68" s="826" t="s">
        <v>8436</v>
      </c>
      <c r="UW68" s="836" t="e">
        <f>SEARCH(" ",$SQ$5,UY67+1)+1</f>
        <v>#VALUE!</v>
      </c>
      <c r="UX68" s="306"/>
      <c r="UY68" s="306" t="e">
        <f>UW68+UZ68</f>
        <v>#VALUE!</v>
      </c>
      <c r="UZ68" s="306">
        <v>10</v>
      </c>
      <c r="VA68" s="827" t="e">
        <f>DATEVALUE(MID($SQ$5,UW68,UZ68))</f>
        <v>#VALUE!</v>
      </c>
      <c r="VB68" s="828" t="str">
        <f>IF(UX66=" за период",VA68,"")</f>
        <v/>
      </c>
      <c r="VG68" s="1004"/>
      <c r="VH68" s="1036"/>
      <c r="VI68" s="1036"/>
      <c r="VJ68" s="1036"/>
      <c r="VK68" s="1036"/>
      <c r="VL68" s="1036"/>
      <c r="VM68" s="1038"/>
      <c r="VN68" s="1039"/>
      <c r="VS68" s="1464"/>
      <c r="VT68" s="826" t="s">
        <v>8436</v>
      </c>
      <c r="VU68" s="836" t="e">
        <f>SEARCH(" ",$SQ$6,VW67+1)+1</f>
        <v>#VALUE!</v>
      </c>
      <c r="VV68" s="306"/>
      <c r="VW68" s="306" t="e">
        <f>VU68+VX68</f>
        <v>#VALUE!</v>
      </c>
      <c r="VX68" s="306">
        <v>10</v>
      </c>
      <c r="VY68" s="827" t="e">
        <f>DATEVALUE(MID($SQ$6,VU68,VX68))</f>
        <v>#VALUE!</v>
      </c>
      <c r="VZ68" s="828" t="str">
        <f>IF(VV66=" за период",VY68,"")</f>
        <v/>
      </c>
      <c r="WE68" s="1004"/>
      <c r="WF68" s="1036"/>
      <c r="WG68" s="1036"/>
      <c r="WH68" s="1036"/>
      <c r="WI68" s="1036"/>
      <c r="WJ68" s="1036"/>
      <c r="WK68" s="1038"/>
      <c r="WL68" s="1039"/>
      <c r="WQ68" s="1464"/>
      <c r="WR68" s="826" t="s">
        <v>8436</v>
      </c>
      <c r="WS68" s="836" t="e">
        <f>SEARCH(" ",$SQ$7,WU67+1)+1</f>
        <v>#VALUE!</v>
      </c>
      <c r="WT68" s="306"/>
      <c r="WU68" s="306" t="e">
        <f>WS68+WV68</f>
        <v>#VALUE!</v>
      </c>
      <c r="WV68" s="306">
        <v>10</v>
      </c>
      <c r="WW68" s="827" t="e">
        <f>DATEVALUE(MID($SQ$7,WS68,WV68))</f>
        <v>#VALUE!</v>
      </c>
      <c r="WX68" s="828" t="str">
        <f>IF(WT66=" за период",WW68,"")</f>
        <v/>
      </c>
      <c r="XC68" s="1004"/>
      <c r="XD68" s="1036"/>
      <c r="XE68" s="1036"/>
      <c r="XF68" s="1036"/>
      <c r="XG68" s="1036"/>
      <c r="XH68" s="1036"/>
      <c r="XI68" s="1038"/>
      <c r="XJ68" s="1039"/>
      <c r="YG68" s="1464"/>
      <c r="YH68" s="826" t="s">
        <v>8436</v>
      </c>
      <c r="YI68" s="836" t="e">
        <f>SEARCH(" ",$XU$3,YK67+1)+1</f>
        <v>#VALUE!</v>
      </c>
      <c r="YJ68" s="306"/>
      <c r="YK68" s="306" t="e">
        <f>YI68+YL68</f>
        <v>#VALUE!</v>
      </c>
      <c r="YL68" s="306">
        <v>10</v>
      </c>
      <c r="YM68" s="827" t="e">
        <f>DATEVALUE(MID($XU$3,YI68,YL68))</f>
        <v>#VALUE!</v>
      </c>
      <c r="YN68" s="828" t="str">
        <f>IF(YJ66=" за период",YM68,"")</f>
        <v/>
      </c>
      <c r="YS68" s="1464"/>
      <c r="YT68" s="826" t="s">
        <v>8436</v>
      </c>
      <c r="YU68" s="836" t="e">
        <f>SEARCH(" ",$XU$4,YW67+1)+1</f>
        <v>#VALUE!</v>
      </c>
      <c r="YV68" s="306"/>
      <c r="YW68" s="306" t="e">
        <f>YU68+YX68</f>
        <v>#VALUE!</v>
      </c>
      <c r="YX68" s="306">
        <v>10</v>
      </c>
      <c r="YY68" s="827" t="e">
        <f>DATEVALUE(MID($XU$4,YU68,YX68))</f>
        <v>#VALUE!</v>
      </c>
      <c r="YZ68" s="828" t="str">
        <f>IF(YV66=" за период",YY68,"")</f>
        <v/>
      </c>
      <c r="ZE68" s="1464"/>
      <c r="ZF68" s="826" t="s">
        <v>8436</v>
      </c>
      <c r="ZG68" s="836" t="e">
        <f>SEARCH(" ",$XU$5,ZI67+1)+1</f>
        <v>#VALUE!</v>
      </c>
      <c r="ZH68" s="306"/>
      <c r="ZI68" s="306" t="e">
        <f>ZG68+ZJ68</f>
        <v>#VALUE!</v>
      </c>
      <c r="ZJ68" s="306">
        <v>10</v>
      </c>
      <c r="ZK68" s="827" t="e">
        <f>DATEVALUE(MID($XU$5,ZG68,ZJ68))</f>
        <v>#VALUE!</v>
      </c>
      <c r="ZL68" s="828" t="str">
        <f>IF(ZH66=" за период",ZK68,"")</f>
        <v/>
      </c>
      <c r="ZQ68" s="1464"/>
      <c r="ZR68" s="826" t="s">
        <v>8436</v>
      </c>
      <c r="ZS68" s="836" t="e">
        <f>SEARCH(" ",$XU$6,ZU67+1)+1</f>
        <v>#VALUE!</v>
      </c>
      <c r="ZT68" s="306"/>
      <c r="ZU68" s="306" t="e">
        <f>ZS68+ZV68</f>
        <v>#VALUE!</v>
      </c>
      <c r="ZV68" s="306">
        <v>10</v>
      </c>
      <c r="ZW68" s="827" t="e">
        <f>DATEVALUE(MID($XU$6,ZS68,ZV68))</f>
        <v>#VALUE!</v>
      </c>
      <c r="ZX68" s="828" t="str">
        <f>IF(ZT66=" за период",ZW68,"")</f>
        <v/>
      </c>
      <c r="AAC68" s="1464"/>
      <c r="AAD68" s="826" t="s">
        <v>8436</v>
      </c>
      <c r="AAE68" s="836" t="e">
        <f>SEARCH(" ",$XU$7,AAG67+1)+1</f>
        <v>#VALUE!</v>
      </c>
      <c r="AAF68" s="306"/>
      <c r="AAG68" s="306" t="e">
        <f>AAE68+AAH68</f>
        <v>#VALUE!</v>
      </c>
      <c r="AAH68" s="306">
        <v>10</v>
      </c>
      <c r="AAI68" s="827" t="e">
        <f>DATEVALUE(MID($XU$7,AAE68,AAH68))</f>
        <v>#VALUE!</v>
      </c>
      <c r="AAJ68" s="828" t="str">
        <f>IF(AAF66=" за период",AAI68,"")</f>
        <v/>
      </c>
      <c r="AFE68" s="1464"/>
      <c r="AFF68" s="826" t="s">
        <v>8436</v>
      </c>
      <c r="AFG68" s="836" t="e">
        <f>SEARCH(" ",AFD$4,AFI67+1)+1</f>
        <v>#VALUE!</v>
      </c>
      <c r="AFH68" s="306"/>
      <c r="AFI68" s="306" t="e">
        <f>AFG68+AFJ68</f>
        <v>#VALUE!</v>
      </c>
      <c r="AFJ68" s="306">
        <v>10</v>
      </c>
      <c r="AFK68" s="827" t="e">
        <f>DATEVALUE(MID(AFD$4,AFG68,AFJ68))</f>
        <v>#VALUE!</v>
      </c>
      <c r="AFL68" s="828" t="str">
        <f>IF(AFH66=" за период",AFK68,"")</f>
        <v/>
      </c>
      <c r="AFQ68" s="1464"/>
      <c r="AFR68" s="826" t="s">
        <v>8436</v>
      </c>
      <c r="AFS68" s="836" t="e">
        <f>SEARCH(" ",AFP$4,AFU67+1)+1</f>
        <v>#VALUE!</v>
      </c>
      <c r="AFT68" s="306"/>
      <c r="AFU68" s="306" t="e">
        <f>AFS68+AFV68</f>
        <v>#VALUE!</v>
      </c>
      <c r="AFV68" s="306">
        <v>10</v>
      </c>
      <c r="AFW68" s="827" t="e">
        <f>DATEVALUE(MID(AFP$4,AFS68,AFV68))</f>
        <v>#VALUE!</v>
      </c>
      <c r="AFX68" s="828" t="str">
        <f>IF(AFT66=" за период",AFW68,"")</f>
        <v/>
      </c>
      <c r="AGC68" s="1464"/>
      <c r="AGD68" s="826" t="s">
        <v>8436</v>
      </c>
      <c r="AGE68" s="836" t="e">
        <f>SEARCH(" ",AGB$4,AGG67+1)+1</f>
        <v>#VALUE!</v>
      </c>
      <c r="AGF68" s="306"/>
      <c r="AGG68" s="306" t="e">
        <f>AGE68+AGH68</f>
        <v>#VALUE!</v>
      </c>
      <c r="AGH68" s="306">
        <v>10</v>
      </c>
      <c r="AGI68" s="827" t="e">
        <f>DATEVALUE(MID(AGB$4,AGE68,AGH68))</f>
        <v>#VALUE!</v>
      </c>
      <c r="AGJ68" s="828" t="str">
        <f>IF(AGF66=" за период",AGI68,"")</f>
        <v/>
      </c>
      <c r="AGO68" s="1464"/>
      <c r="AGP68" s="826" t="s">
        <v>8436</v>
      </c>
      <c r="AGQ68" s="836" t="e">
        <f>SEARCH(" ",AGN$4,AGS67+1)+1</f>
        <v>#VALUE!</v>
      </c>
      <c r="AGR68" s="306"/>
      <c r="AGS68" s="306" t="e">
        <f>AGQ68+AGT68</f>
        <v>#VALUE!</v>
      </c>
      <c r="AGT68" s="306">
        <v>10</v>
      </c>
      <c r="AGU68" s="827" t="e">
        <f>DATEVALUE(MID(AGN$4,AGQ68,AGT68))</f>
        <v>#VALUE!</v>
      </c>
      <c r="AGV68" s="828" t="str">
        <f>IF(AGR66=" за период",AGU68,"")</f>
        <v/>
      </c>
      <c r="AHA68" s="1464"/>
      <c r="AHB68" s="826" t="s">
        <v>8436</v>
      </c>
      <c r="AHC68" s="836" t="e">
        <f>SEARCH(" ",AGZ$4,AHE67+1)+1</f>
        <v>#VALUE!</v>
      </c>
      <c r="AHD68" s="306"/>
      <c r="AHE68" s="306" t="e">
        <f>AHC68+AHF68</f>
        <v>#VALUE!</v>
      </c>
      <c r="AHF68" s="306">
        <v>10</v>
      </c>
      <c r="AHG68" s="827" t="e">
        <f>DATEVALUE(MID(AGZ$4,AHC68,AHF68))</f>
        <v>#VALUE!</v>
      </c>
      <c r="AHH68" s="828" t="str">
        <f>IF(AHD66=" за период",AHG68,"")</f>
        <v/>
      </c>
    </row>
    <row r="69" spans="1:893" x14ac:dyDescent="0.3">
      <c r="B69" s="116"/>
      <c r="C69" s="116"/>
      <c r="D69" s="116"/>
      <c r="E69" s="116"/>
      <c r="F69" s="116"/>
      <c r="G69" s="116"/>
      <c r="H69" s="116"/>
      <c r="I69" s="116"/>
      <c r="DT69" t="s">
        <v>8917</v>
      </c>
      <c r="DU69" s="821" t="s">
        <v>1118</v>
      </c>
      <c r="DV69" s="1464"/>
      <c r="DW69" s="826"/>
      <c r="DX69" s="836"/>
      <c r="DY69" s="306" t="str">
        <f>IF(DZ69=IFERROR(SEARCH(".",C$3,DZ68),99999),".",
IF(DZ69=IFERROR(SEARCH(",",C$3,DZ68),99999),",",
IF(DZ69=IFERROR(SEARCH(" за период",C$3,DZ68),999999)," за период",
IF(DZ69=IFERROR(SEARCH(" в размере",C$3,DZ68),99999)," в размере",
))))</f>
        <v>.</v>
      </c>
      <c r="DZ69" s="306">
        <f>MIN(
IFERROR(SEARCH(".",$C$3,DZ68),99999),
IFERROR(SEARCH(",",$C$3,DZ68),99999),
IFERROR(SEARCH(" в размере",$C$3,DZ68),99999))</f>
        <v>99999</v>
      </c>
      <c r="EA69" s="306"/>
      <c r="EB69" s="827"/>
      <c r="EC69" s="829"/>
      <c r="NK69" s="1464"/>
      <c r="NL69" s="826"/>
      <c r="NM69" s="836"/>
      <c r="NN69" s="306" t="str">
        <f>IF(NO69=IFERROR(SEARCH(".",NJ$4,NO68),99999),".",
IF(NO69=IFERROR(SEARCH(",",NJ$4,NO68),99999),",",
IF(NO69=IFERROR(SEARCH(" за период",NJ$4,NO68),999999)," за период",
IF(NO69=IFERROR(SEARCH(" в размере",NJ$4,NO68),99999)," в размере",
))))</f>
        <v>.</v>
      </c>
      <c r="NO69" s="306">
        <f>MIN(
IFERROR(SEARCH(".",NJ$4,NO68),99999),
IFERROR(SEARCH(",",NJ$4,NO68),99999),
IFERROR(SEARCH(" в размере",NJ$4,NO68),99999))</f>
        <v>99999</v>
      </c>
      <c r="NP69" s="306"/>
      <c r="NQ69" s="827"/>
      <c r="NR69" s="829"/>
      <c r="SY69" s="1464"/>
      <c r="SZ69" s="826"/>
      <c r="TA69" s="836"/>
      <c r="TB69" s="306" t="str">
        <f>IF(TC69=IFERROR(SEARCH(".",$SQ$3,TC68),99999),".",
IF(TC69=IFERROR(SEARCH(",",$SQ$3,TC68),99999),",",
IF(TC69=IFERROR(SEARCH(" за период",$SQ$3,TC68),999999)," за период",
IF(TC69=IFERROR(SEARCH(" в размере",$SQ$3,TC68),99999)," в размере",
))))</f>
        <v>.</v>
      </c>
      <c r="TC69" s="306">
        <f>MIN(
IFERROR(SEARCH(".",$SQ$3,TC68),99999),
IFERROR(SEARCH(",",$SQ$3,TC68),99999),
IFERROR(SEARCH(" в размере",$SQ$3,TC68),99999))</f>
        <v>99999</v>
      </c>
      <c r="TD69" s="306"/>
      <c r="TE69" s="827"/>
      <c r="TF69" s="829"/>
      <c r="TK69" s="1004"/>
      <c r="TL69" s="1035"/>
      <c r="TM69" s="1036"/>
      <c r="TN69" s="1036"/>
      <c r="TO69" s="1036"/>
      <c r="TP69" s="1036"/>
      <c r="TQ69" s="1035"/>
      <c r="TR69" s="1004"/>
      <c r="TW69" s="1464"/>
      <c r="TX69" s="826"/>
      <c r="TY69" s="836"/>
      <c r="TZ69" s="306" t="str">
        <f>IF(UA69=IFERROR(SEARCH(".",$SQ$4,UA68),99999),".",
IF(UA69=IFERROR(SEARCH(",",$SQ$4,UA68),99999),",",
IF(UA69=IFERROR(SEARCH(" за период",$SQ$4,UA68),999999)," за период",
IF(UA69=IFERROR(SEARCH(" в размере",$SQ$4,UA68),99999)," в размере",
))))</f>
        <v>.</v>
      </c>
      <c r="UA69" s="306">
        <f>MIN(
IFERROR(SEARCH(".",$SQ$4,UA68),99999),
IFERROR(SEARCH(",",$SQ$4,UA68),99999),
IFERROR(SEARCH(" в размере",$SQ$4,UA68),99999))</f>
        <v>99999</v>
      </c>
      <c r="UB69" s="306"/>
      <c r="UC69" s="827"/>
      <c r="UD69" s="829"/>
      <c r="UI69" s="1004"/>
      <c r="UJ69" s="1035"/>
      <c r="UK69" s="1036"/>
      <c r="UL69" s="1036"/>
      <c r="UM69" s="1036"/>
      <c r="UN69" s="1036"/>
      <c r="UO69" s="1035"/>
      <c r="UP69" s="1004"/>
      <c r="UU69" s="1464"/>
      <c r="UV69" s="826"/>
      <c r="UW69" s="836"/>
      <c r="UX69" s="306" t="str">
        <f>IF(UY69=IFERROR(SEARCH(".",$SQ$5,UY68),99999),".",
IF(UY69=IFERROR(SEARCH(",",$SQ$5,UY68),99999),",",
IF(UY69=IFERROR(SEARCH(" за период",$SQ$5,UY68),999999)," за период",
IF(UY69=IFERROR(SEARCH(" в размере",$SQ$5,UY68),99999)," в размере",
))))</f>
        <v>.</v>
      </c>
      <c r="UY69" s="306">
        <f>MIN(
IFERROR(SEARCH(".",$SQ$5,UY68),99999),
IFERROR(SEARCH(",",$SQ$5,UY68),99999),
IFERROR(SEARCH(" в размере",$SQ$5,UY68),99999))</f>
        <v>99999</v>
      </c>
      <c r="UZ69" s="306"/>
      <c r="VA69" s="827"/>
      <c r="VB69" s="829"/>
      <c r="VG69" s="1004"/>
      <c r="VH69" s="1035"/>
      <c r="VI69" s="1036"/>
      <c r="VJ69" s="1036"/>
      <c r="VK69" s="1036"/>
      <c r="VL69" s="1036"/>
      <c r="VM69" s="1035"/>
      <c r="VN69" s="1004"/>
      <c r="VS69" s="1464"/>
      <c r="VT69" s="826"/>
      <c r="VU69" s="836"/>
      <c r="VV69" s="306" t="str">
        <f>IF(VW69=IFERROR(SEARCH(".",$SQ$6,VW68),99999),".",
IF(VW69=IFERROR(SEARCH(",",$SQ$6,VW68),99999),",",
IF(VW69=IFERROR(SEARCH(" за период",$SQ$6,VW68),999999)," за период",
IF(VW69=IFERROR(SEARCH(" в размере",$SQ$6,VW68),99999)," в размере",
))))</f>
        <v>.</v>
      </c>
      <c r="VW69" s="306">
        <f>MIN(
IFERROR(SEARCH(".",$SQ$6,VW68),99999),
IFERROR(SEARCH(",",$SQ$6,VW68),99999),
IFERROR(SEARCH(" в размере",$SQ$6,VW68),99999))</f>
        <v>99999</v>
      </c>
      <c r="VX69" s="306"/>
      <c r="VY69" s="827"/>
      <c r="VZ69" s="829"/>
      <c r="WE69" s="1004"/>
      <c r="WF69" s="1035"/>
      <c r="WG69" s="1036"/>
      <c r="WH69" s="1036"/>
      <c r="WI69" s="1036"/>
      <c r="WJ69" s="1036"/>
      <c r="WK69" s="1035"/>
      <c r="WL69" s="1004"/>
      <c r="WQ69" s="1464"/>
      <c r="WR69" s="826"/>
      <c r="WS69" s="836"/>
      <c r="WT69" s="306" t="str">
        <f>IF(WU69=IFERROR(SEARCH(".",$SQ$7,WU68),99999),".",
IF(WU69=IFERROR(SEARCH(",",$SQ$7,WU68),99999),",",
IF(WU69=IFERROR(SEARCH(" за период",$SQ$7,WU68),999999)," за период",
IF(WU69=IFERROR(SEARCH(" в размере",$SQ$7,WU68),99999)," в размере",
))))</f>
        <v>.</v>
      </c>
      <c r="WU69" s="306">
        <f>MIN(
IFERROR(SEARCH(".",$SQ$7,WU68),99999),
IFERROR(SEARCH(",",$SQ$7,WU68),99999),
IFERROR(SEARCH(" в размере",$SQ$7,WU68),99999))</f>
        <v>99999</v>
      </c>
      <c r="WV69" s="306"/>
      <c r="WW69" s="827"/>
      <c r="WX69" s="829"/>
      <c r="XC69" s="1004"/>
      <c r="XD69" s="1035"/>
      <c r="XE69" s="1036"/>
      <c r="XF69" s="1036"/>
      <c r="XG69" s="1036"/>
      <c r="XH69" s="1036"/>
      <c r="XI69" s="1035"/>
      <c r="XJ69" s="1004"/>
      <c r="YG69" s="1464"/>
      <c r="YH69" s="826"/>
      <c r="YI69" s="836"/>
      <c r="YJ69" s="306" t="str">
        <f>IF(YK69=IFERROR(SEARCH(".",$XU$3,YK68),99999),".",
IF(YK69=IFERROR(SEARCH(",",$XU$3,YK68),99999),",",
IF(YK69=IFERROR(SEARCH(" за период",$XU$3,YK68),999999)," за период",
IF(YK69=IFERROR(SEARCH(" в размере",$XU$3,YK68),99999)," в размере",
))))</f>
        <v>.</v>
      </c>
      <c r="YK69" s="306">
        <f>MIN(
IFERROR(SEARCH(".",$XU$3,YK68),99999),
IFERROR(SEARCH(",",$XU$3,YK68),99999),
IFERROR(SEARCH(" в размере",$XU$3,YK68),99999))</f>
        <v>99999</v>
      </c>
      <c r="YL69" s="306"/>
      <c r="YM69" s="827"/>
      <c r="YN69" s="829"/>
      <c r="YS69" s="1464"/>
      <c r="YT69" s="826"/>
      <c r="YU69" s="836"/>
      <c r="YV69" s="306" t="str">
        <f>IF(YW69=IFERROR(SEARCH(".",$XU$4,YW68),99999),".",
IF(YW69=IFERROR(SEARCH(",",$XU$4,YW68),99999),",",
IF(YW69=IFERROR(SEARCH(" за период",$XU$4,YW68),999999)," за период",
IF(YW69=IFERROR(SEARCH(" в размере",$XU$4,YW68),99999)," в размере",
))))</f>
        <v>.</v>
      </c>
      <c r="YW69" s="306">
        <f>MIN(
IFERROR(SEARCH(".",$XU$4,YW68),99999),
IFERROR(SEARCH(",",$XU$4,YW68),99999),
IFERROR(SEARCH(" в размере",$XU$4,YW68),99999))</f>
        <v>99999</v>
      </c>
      <c r="YX69" s="306"/>
      <c r="YY69" s="827"/>
      <c r="YZ69" s="829"/>
      <c r="ZE69" s="1464"/>
      <c r="ZF69" s="826"/>
      <c r="ZG69" s="836"/>
      <c r="ZH69" s="306" t="str">
        <f>IF(ZI69=IFERROR(SEARCH(".",$XU$5,ZI68),99999),".",
IF(ZI69=IFERROR(SEARCH(",",$XU$5,ZI68),99999),",",
IF(ZI69=IFERROR(SEARCH(" за период",$XU$5,ZI68),999999)," за период",
IF(ZI69=IFERROR(SEARCH(" в размере",$XU$5,ZI68),99999)," в размере",
))))</f>
        <v>.</v>
      </c>
      <c r="ZI69" s="306">
        <f>MIN(
IFERROR(SEARCH(".",$XU$5,ZI68),99999),
IFERROR(SEARCH(",",$XU$5,ZI68),99999),
IFERROR(SEARCH(" в размере",$XU$5,ZI68),99999))</f>
        <v>99999</v>
      </c>
      <c r="ZJ69" s="306"/>
      <c r="ZK69" s="827"/>
      <c r="ZL69" s="829"/>
      <c r="ZQ69" s="1464"/>
      <c r="ZR69" s="826"/>
      <c r="ZS69" s="836"/>
      <c r="ZT69" s="306" t="str">
        <f>IF(ZU69=IFERROR(SEARCH(".",$XU$6,ZU68),99999),".",
IF(ZU69=IFERROR(SEARCH(",",$XU$6,ZU68),99999),",",
IF(ZU69=IFERROR(SEARCH(" за период",$XU$6,ZU68),999999)," за период",
IF(ZU69=IFERROR(SEARCH(" в размере",$XU$6,ZU68),99999)," в размере",
))))</f>
        <v>.</v>
      </c>
      <c r="ZU69" s="306">
        <f>MIN(
IFERROR(SEARCH(".",$XU$6,ZU68),99999),
IFERROR(SEARCH(",",$XU$6,ZU68),99999),
IFERROR(SEARCH(" в размере",$XU$6,ZU68),99999))</f>
        <v>99999</v>
      </c>
      <c r="ZV69" s="306"/>
      <c r="ZW69" s="827"/>
      <c r="ZX69" s="829"/>
      <c r="AAC69" s="1464"/>
      <c r="AAD69" s="826"/>
      <c r="AAE69" s="836"/>
      <c r="AAF69" s="306" t="str">
        <f>IF(AAG69=IFERROR(SEARCH(".",$XU$7,AAG68),99999),".",
IF(AAG69=IFERROR(SEARCH(",",$XU$7,AAG68),99999),",",
IF(AAG69=IFERROR(SEARCH(" за период",$XU$7,AAG68),999999)," за период",
IF(AAG69=IFERROR(SEARCH(" в размере",$XU$7,AAG68),99999)," в размере",
))))</f>
        <v>.</v>
      </c>
      <c r="AAG69" s="306">
        <f>MIN(
IFERROR(SEARCH(".",$XU$7,AAG68),99999),
IFERROR(SEARCH(",",$XU$7,AAG68),99999),
IFERROR(SEARCH(" в размере",$XU$7,AAG68),99999))</f>
        <v>99999</v>
      </c>
      <c r="AAH69" s="306"/>
      <c r="AAI69" s="827"/>
      <c r="AAJ69" s="829"/>
      <c r="AFE69" s="1464"/>
      <c r="AFF69" s="826"/>
      <c r="AFG69" s="836"/>
      <c r="AFH69" s="306" t="str">
        <f>IF(AFI69=IFERROR(SEARCH(".",AFD$4,AFI68),99999),".",
IF(AFI69=IFERROR(SEARCH(",",AFD$4,AFI68),99999),",",
IF(AFI69=IFERROR(SEARCH(" за период",AFD$4,AFI68),999999)," за период",
IF(AFI69=IFERROR(SEARCH(" в размере",AFD$4,AFI68),99999)," в размере",
))))</f>
        <v>.</v>
      </c>
      <c r="AFI69" s="306">
        <f>MIN(
IFERROR(SEARCH(".",AFD$4,AFI68),99999),
IFERROR(SEARCH(",",AFD$4,AFI68),99999),
IFERROR(SEARCH(" в размере",AFD$4,AFI68),99999))</f>
        <v>99999</v>
      </c>
      <c r="AFJ69" s="306"/>
      <c r="AFK69" s="827"/>
      <c r="AFL69" s="829"/>
      <c r="AFQ69" s="1464"/>
      <c r="AFR69" s="826"/>
      <c r="AFS69" s="836"/>
      <c r="AFT69" s="306" t="str">
        <f>IF(AFU69=IFERROR(SEARCH(".",AFP$4,AFU68),99999),".",
IF(AFU69=IFERROR(SEARCH(",",AFP$4,AFU68),99999),",",
IF(AFU69=IFERROR(SEARCH(" за период",AFP$4,AFU68),999999)," за период",
IF(AFU69=IFERROR(SEARCH(" в размере",AFP$4,AFU68),99999)," в размере",
))))</f>
        <v>.</v>
      </c>
      <c r="AFU69" s="306">
        <f>MIN(
IFERROR(SEARCH(".",AFP$4,AFU68),99999),
IFERROR(SEARCH(",",AFP$4,AFU68),99999),
IFERROR(SEARCH(" в размере",AFP$4,AFU68),99999))</f>
        <v>99999</v>
      </c>
      <c r="AFV69" s="306"/>
      <c r="AFW69" s="827"/>
      <c r="AFX69" s="829"/>
      <c r="AGC69" s="1464"/>
      <c r="AGD69" s="826"/>
      <c r="AGE69" s="836"/>
      <c r="AGF69" s="306" t="str">
        <f>IF(AGG69=IFERROR(SEARCH(".",AGB$4,AGG68),99999),".",
IF(AGG69=IFERROR(SEARCH(",",AGB$4,AGG68),99999),",",
IF(AGG69=IFERROR(SEARCH(" за период",AGB$4,AGG68),999999)," за период",
IF(AGG69=IFERROR(SEARCH(" в размере",AGB$4,AGG68),99999)," в размере",
))))</f>
        <v>.</v>
      </c>
      <c r="AGG69" s="306">
        <f>MIN(
IFERROR(SEARCH(".",AGB$4,AGG68),99999),
IFERROR(SEARCH(",",AGB$4,AGG68),99999),
IFERROR(SEARCH(" в размере",AGB$4,AGG68),99999))</f>
        <v>99999</v>
      </c>
      <c r="AGH69" s="306"/>
      <c r="AGI69" s="827"/>
      <c r="AGJ69" s="829"/>
      <c r="AGO69" s="1464"/>
      <c r="AGP69" s="826"/>
      <c r="AGQ69" s="836"/>
      <c r="AGR69" s="306" t="str">
        <f>IF(AGS69=IFERROR(SEARCH(".",AGN$4,AGS68),99999),".",
IF(AGS69=IFERROR(SEARCH(",",AGN$4,AGS68),99999),",",
IF(AGS69=IFERROR(SEARCH(" за период",AGN$4,AGS68),999999)," за период",
IF(AGS69=IFERROR(SEARCH(" в размере",AGN$4,AGS68),99999)," в размере",
))))</f>
        <v>.</v>
      </c>
      <c r="AGS69" s="306">
        <f>MIN(
IFERROR(SEARCH(".",AGN$4,AGS68),99999),
IFERROR(SEARCH(",",AGN$4,AGS68),99999),
IFERROR(SEARCH(" в размере",AGN$4,AGS68),99999))</f>
        <v>99999</v>
      </c>
      <c r="AGT69" s="306"/>
      <c r="AGU69" s="827"/>
      <c r="AGV69" s="829"/>
      <c r="AHA69" s="1464"/>
      <c r="AHB69" s="826"/>
      <c r="AHC69" s="836"/>
      <c r="AHD69" s="306" t="str">
        <f>IF(AHE69=IFERROR(SEARCH(".",AGZ$4,AHE68),99999),".",
IF(AHE69=IFERROR(SEARCH(",",AGZ$4,AHE68),99999),",",
IF(AHE69=IFERROR(SEARCH(" за период",AGZ$4,AHE68),999999)," за период",
IF(AHE69=IFERROR(SEARCH(" в размере",AGZ$4,AHE68),99999)," в размере",
))))</f>
        <v>.</v>
      </c>
      <c r="AHE69" s="306">
        <f>MIN(
IFERROR(SEARCH(".",AGZ$4,AHE68),99999),
IFERROR(SEARCH(",",AGZ$4,AHE68),99999),
IFERROR(SEARCH(" в размере",AGZ$4,AHE68),99999))</f>
        <v>99999</v>
      </c>
      <c r="AHF69" s="306"/>
      <c r="AHG69" s="827"/>
      <c r="AHH69" s="829"/>
    </row>
    <row r="70" spans="1:893" x14ac:dyDescent="0.3">
      <c r="B70" s="116"/>
      <c r="C70" s="116"/>
      <c r="D70" s="116"/>
      <c r="E70" s="116"/>
      <c r="F70" s="116"/>
      <c r="G70" s="116"/>
      <c r="H70" s="116"/>
      <c r="I70" s="116"/>
      <c r="DT70" t="s">
        <v>8918</v>
      </c>
      <c r="DU70" s="821" t="s">
        <v>1117</v>
      </c>
      <c r="DV70" s="1464"/>
      <c r="DW70" s="830" t="s">
        <v>8249</v>
      </c>
      <c r="DX70" s="836" t="str">
        <f>IF(OR(DY69=" в размере",DY66=" в размере"),SEARCH(" в размере",$C$3,DZ66)+LEN(" в размере")+1,"НЕТ")</f>
        <v>НЕТ</v>
      </c>
      <c r="DY70" s="306" t="s">
        <v>8431</v>
      </c>
      <c r="DZ70" s="306" t="e">
        <f>SEARCH(DY70,$C$3,DX70)</f>
        <v>#VALUE!</v>
      </c>
      <c r="EA70" s="306" t="e">
        <f>DZ70-DX70</f>
        <v>#VALUE!</v>
      </c>
      <c r="EB70" s="826" t="e">
        <f>IF(EC66="Штраф 50%","",MID($C$3,DX70,EA70))</f>
        <v>#VALUE!</v>
      </c>
      <c r="EC70" s="829"/>
      <c r="NK70" s="1464"/>
      <c r="NL70" s="830" t="s">
        <v>8249</v>
      </c>
      <c r="NM70" s="836" t="e">
        <f>SEARCH(" в размере",NJ$4,NO66)+LEN(" в размере")+1</f>
        <v>#VALUE!</v>
      </c>
      <c r="NN70" s="306" t="s">
        <v>8431</v>
      </c>
      <c r="NO70" s="306" t="e">
        <f>SEARCH(NN70,NJ$4,NM70)</f>
        <v>#VALUE!</v>
      </c>
      <c r="NP70" s="306" t="e">
        <f>NO70-NM70</f>
        <v>#VALUE!</v>
      </c>
      <c r="NQ70" s="826" t="e">
        <f>IF(NR66="Штраф 50%","",MID(NJ$4,NM70,NP70))</f>
        <v>#VALUE!</v>
      </c>
      <c r="NR70" s="829"/>
      <c r="SY70" s="1464"/>
      <c r="SZ70" s="830" t="s">
        <v>8249</v>
      </c>
      <c r="TA70" s="836" t="e">
        <f>IF(NOT(ISERROR(SEARCH("НДФЛ",SX$4))),MIN(SEARCH("в размере ",SX$4,TC66)+LEN("в размере "),SEARCH("исходя из суммы ",SX$4,TC66)+LEN("исходя из суммы ")),SEARCH(" в размере",SX$4,TC66)+LEN(" в размере")+1)</f>
        <v>#VALUE!</v>
      </c>
      <c r="TB70" s="306" t="s">
        <v>8431</v>
      </c>
      <c r="TC70" s="306" t="e">
        <f>SEARCH(TB70,$SQ$3,TA70)</f>
        <v>#VALUE!</v>
      </c>
      <c r="TD70" s="306" t="e">
        <f>TC70-TA70</f>
        <v>#VALUE!</v>
      </c>
      <c r="TE70" s="826" t="e">
        <f>IF(TF66="Штраф 50%","",MID($SQ$3,TA70,TD70))</f>
        <v>#VALUE!</v>
      </c>
      <c r="TF70" s="829"/>
      <c r="TK70" s="1004"/>
      <c r="TL70" s="1035"/>
      <c r="TM70" s="1036"/>
      <c r="TN70" s="1036"/>
      <c r="TO70" s="1036"/>
      <c r="TP70" s="1036"/>
      <c r="TQ70" s="1037"/>
      <c r="TR70" s="1037"/>
      <c r="TW70" s="1464"/>
      <c r="TX70" s="830" t="s">
        <v>8249</v>
      </c>
      <c r="TY70" s="836" t="e">
        <f>IF(NOT(ISERROR(SEARCH("НДФЛ",TV$4))),MIN(SEARCH("в размере ",TV$4,UA66)+LEN("в размере "),SEARCH("исходя из суммы ",TV$4,UA66)+LEN("исходя из суммы ")),SEARCH(" в размере",TV$4,UA66)+LEN(" в размере")+1)</f>
        <v>#VALUE!</v>
      </c>
      <c r="TZ70" s="306" t="s">
        <v>8431</v>
      </c>
      <c r="UA70" s="306" t="e">
        <f>SEARCH(TZ70,$SQ$4,TY70)</f>
        <v>#VALUE!</v>
      </c>
      <c r="UB70" s="306" t="e">
        <f>UA70-TY70</f>
        <v>#VALUE!</v>
      </c>
      <c r="UC70" s="826" t="e">
        <f>IF(UD66="Штраф 50%","",MID($SQ$4,TY70,UB70))</f>
        <v>#VALUE!</v>
      </c>
      <c r="UD70" s="829"/>
      <c r="UI70" s="1004"/>
      <c r="UJ70" s="1035"/>
      <c r="UK70" s="1036"/>
      <c r="UL70" s="1036"/>
      <c r="UM70" s="1036"/>
      <c r="UN70" s="1036"/>
      <c r="UO70" s="1037"/>
      <c r="UP70" s="1037"/>
      <c r="UU70" s="1464"/>
      <c r="UV70" s="830" t="s">
        <v>8249</v>
      </c>
      <c r="UW70" s="836" t="e">
        <f>IF(NOT(ISERROR(SEARCH("НДФЛ",UT$4))),MIN(SEARCH("в размере ",UT$4,UY66)+LEN("в размере "),SEARCH("исходя из суммы ",UT$4,UY66)+LEN("исходя из суммы ")),SEARCH(" в размере",UT$4,UY66)+LEN(" в размере")+1)</f>
        <v>#VALUE!</v>
      </c>
      <c r="UX70" s="306" t="s">
        <v>8431</v>
      </c>
      <c r="UY70" s="306" t="e">
        <f>SEARCH(UX70,$SQ$5,UW70)</f>
        <v>#VALUE!</v>
      </c>
      <c r="UZ70" s="306" t="e">
        <f>UY70-UW70</f>
        <v>#VALUE!</v>
      </c>
      <c r="VA70" s="826" t="e">
        <f>IF(VB66="Штраф 50%","",MID($SQ$5,UW70,UZ70))</f>
        <v>#VALUE!</v>
      </c>
      <c r="VB70" s="829"/>
      <c r="VG70" s="1004"/>
      <c r="VH70" s="1035"/>
      <c r="VI70" s="1036"/>
      <c r="VJ70" s="1036"/>
      <c r="VK70" s="1036"/>
      <c r="VL70" s="1036"/>
      <c r="VM70" s="1037"/>
      <c r="VN70" s="1037"/>
      <c r="VS70" s="1464"/>
      <c r="VT70" s="830" t="s">
        <v>8249</v>
      </c>
      <c r="VU70" s="836" t="e">
        <f>IF(NOT(ISERROR(SEARCH("НДФЛ",VR$4))),MIN(SEARCH("в размере ",VR$4,VW66)+LEN("в размере "),SEARCH("исходя из суммы ",VR$4,VW66)+LEN("исходя из суммы ")),SEARCH(" в размере",VR$4,VW66)+LEN(" в размере")+1)</f>
        <v>#VALUE!</v>
      </c>
      <c r="VV70" s="306" t="s">
        <v>8431</v>
      </c>
      <c r="VW70" s="306" t="e">
        <f>SEARCH(VV70,$SQ$6,VU70)</f>
        <v>#VALUE!</v>
      </c>
      <c r="VX70" s="306" t="e">
        <f>VW70-VU70</f>
        <v>#VALUE!</v>
      </c>
      <c r="VY70" s="826" t="e">
        <f>IF(VZ66="Штраф 50%","",MID($SQ$6,VU70,VX70))</f>
        <v>#VALUE!</v>
      </c>
      <c r="VZ70" s="829"/>
      <c r="WE70" s="1004"/>
      <c r="WF70" s="1035"/>
      <c r="WG70" s="1036"/>
      <c r="WH70" s="1036"/>
      <c r="WI70" s="1036"/>
      <c r="WJ70" s="1036"/>
      <c r="WK70" s="1037"/>
      <c r="WL70" s="1037"/>
      <c r="WQ70" s="1464"/>
      <c r="WR70" s="830" t="s">
        <v>8249</v>
      </c>
      <c r="WS70" s="836" t="e">
        <f>IF(NOT(ISERROR(SEARCH("НДФЛ",WP$4))),MIN(SEARCH("в размере ",WP$4,WU66)+LEN("в размере "),SEARCH("исходя из суммы ",WP$4,WU66)+LEN("исходя из суммы ")),SEARCH(" в размере",WP$4,WU66)+LEN(" в размере")+1)</f>
        <v>#VALUE!</v>
      </c>
      <c r="WT70" s="306" t="s">
        <v>8431</v>
      </c>
      <c r="WU70" s="306" t="e">
        <f>SEARCH(WT70,$SQ$7,WS70)</f>
        <v>#VALUE!</v>
      </c>
      <c r="WV70" s="306" t="e">
        <f>WU70-WS70</f>
        <v>#VALUE!</v>
      </c>
      <c r="WW70" s="826" t="e">
        <f>IF(WX66="Штраф 50%","",MID($SQ$7,WS70,WV70))</f>
        <v>#VALUE!</v>
      </c>
      <c r="WX70" s="829"/>
      <c r="XC70" s="1004"/>
      <c r="XD70" s="1035"/>
      <c r="XE70" s="1036"/>
      <c r="XF70" s="1036"/>
      <c r="XG70" s="1036"/>
      <c r="XH70" s="1036"/>
      <c r="XI70" s="1037"/>
      <c r="XJ70" s="1037"/>
      <c r="YG70" s="1464"/>
      <c r="YH70" s="830" t="s">
        <v>8249</v>
      </c>
      <c r="YI70" s="836" t="str">
        <f>IF(OR(YJ69=" в размере",YJ66=" в размере"),SEARCH(" в размере",$XU$3,YK66)+LEN(" в размере")+1,"НЕТ")</f>
        <v>НЕТ</v>
      </c>
      <c r="YJ70" s="306" t="s">
        <v>8431</v>
      </c>
      <c r="YK70" s="306" t="e">
        <f>SEARCH(YJ70,$XU$3,YI70)</f>
        <v>#VALUE!</v>
      </c>
      <c r="YL70" s="306" t="e">
        <f>YK70-YI70</f>
        <v>#VALUE!</v>
      </c>
      <c r="YM70" s="826" t="e">
        <f>IF(YN66="Штраф 50%","",MID($XU$3,YI70,YL70))</f>
        <v>#VALUE!</v>
      </c>
      <c r="YN70" s="829"/>
      <c r="YS70" s="1464"/>
      <c r="YT70" s="830" t="s">
        <v>8249</v>
      </c>
      <c r="YU70" s="836" t="e">
        <f>SEARCH(" в размере",$XU$4,YW66)+LEN(" в размере")+1</f>
        <v>#VALUE!</v>
      </c>
      <c r="YV70" s="306" t="s">
        <v>8431</v>
      </c>
      <c r="YW70" s="306" t="e">
        <f>SEARCH(YV70,$XU$4,YU70)</f>
        <v>#VALUE!</v>
      </c>
      <c r="YX70" s="306" t="e">
        <f>YW70-YU70</f>
        <v>#VALUE!</v>
      </c>
      <c r="YY70" s="826" t="e">
        <f>IF(YZ66="Штраф 50%","",MID($XU$4,YU70,YX70))</f>
        <v>#VALUE!</v>
      </c>
      <c r="YZ70" s="829"/>
      <c r="ZE70" s="1464"/>
      <c r="ZF70" s="830" t="s">
        <v>8249</v>
      </c>
      <c r="ZG70" s="836" t="e">
        <f>SEARCH(" в размере",$XU$5,ZI66)+LEN(" в размере")+1</f>
        <v>#VALUE!</v>
      </c>
      <c r="ZH70" s="306" t="s">
        <v>8431</v>
      </c>
      <c r="ZI70" s="306" t="e">
        <f>SEARCH(ZH70,$XU$5,ZG70)</f>
        <v>#VALUE!</v>
      </c>
      <c r="ZJ70" s="306" t="e">
        <f>ZI70-ZG70</f>
        <v>#VALUE!</v>
      </c>
      <c r="ZK70" s="826" t="e">
        <f>IF(ZL66="Штраф 50%","",MID($XU$5,ZG70,ZJ70))</f>
        <v>#VALUE!</v>
      </c>
      <c r="ZL70" s="829"/>
      <c r="ZQ70" s="1464"/>
      <c r="ZR70" s="830" t="s">
        <v>8249</v>
      </c>
      <c r="ZS70" s="836" t="e">
        <f>SEARCH(" в размере",$XU$6,ZU66)+LEN(" в размере")+1</f>
        <v>#VALUE!</v>
      </c>
      <c r="ZT70" s="306" t="s">
        <v>8431</v>
      </c>
      <c r="ZU70" s="306" t="e">
        <f>SEARCH(ZT70,$XU$6,ZS70)</f>
        <v>#VALUE!</v>
      </c>
      <c r="ZV70" s="306" t="e">
        <f>ZU70-ZS70</f>
        <v>#VALUE!</v>
      </c>
      <c r="ZW70" s="826" t="e">
        <f>IF(ZX66="Штраф 50%","",MID($XU$6,ZS70,ZV70))</f>
        <v>#VALUE!</v>
      </c>
      <c r="ZX70" s="829"/>
      <c r="AAC70" s="1464"/>
      <c r="AAD70" s="830" t="s">
        <v>8249</v>
      </c>
      <c r="AAE70" s="836" t="e">
        <f>SEARCH(" в размере",$XU$7,AAG66)+LEN(" в размере")+1</f>
        <v>#VALUE!</v>
      </c>
      <c r="AAF70" s="306" t="s">
        <v>8431</v>
      </c>
      <c r="AAG70" s="306" t="e">
        <f>SEARCH(AAF70,$XU$7,AAE70)</f>
        <v>#VALUE!</v>
      </c>
      <c r="AAH70" s="306" t="e">
        <f>AAG70-AAE70</f>
        <v>#VALUE!</v>
      </c>
      <c r="AAI70" s="826" t="e">
        <f>IF(AAJ66="Штраф 50%","",MID($XU$7,AAE70,AAH70))</f>
        <v>#VALUE!</v>
      </c>
      <c r="AAJ70" s="829"/>
      <c r="AFE70" s="1464"/>
      <c r="AFF70" s="830" t="s">
        <v>8249</v>
      </c>
      <c r="AFG70" s="836" t="e">
        <f>SEARCH(" в размере",AFD$4,AFI66)+LEN(" в размере")+1</f>
        <v>#VALUE!</v>
      </c>
      <c r="AFH70" s="306" t="s">
        <v>8431</v>
      </c>
      <c r="AFI70" s="306" t="e">
        <f>SEARCH(AFH70,AFD$4,AFG70)</f>
        <v>#VALUE!</v>
      </c>
      <c r="AFJ70" s="306" t="e">
        <f>AFI70-AFG70</f>
        <v>#VALUE!</v>
      </c>
      <c r="AFK70" s="826" t="e">
        <f>IF(AFL66="Штраф 50%","",MID(AFD$4,AFG70,AFJ70))</f>
        <v>#VALUE!</v>
      </c>
      <c r="AFL70" s="829"/>
      <c r="AFQ70" s="1464"/>
      <c r="AFR70" s="830" t="s">
        <v>8249</v>
      </c>
      <c r="AFS70" s="836" t="e">
        <f>SEARCH(" в размере",AFP$4,AFU66)+LEN(" в размере")+1</f>
        <v>#VALUE!</v>
      </c>
      <c r="AFT70" s="306" t="s">
        <v>8431</v>
      </c>
      <c r="AFU70" s="306" t="e">
        <f>SEARCH(AFT70,AFP$4,AFS70)</f>
        <v>#VALUE!</v>
      </c>
      <c r="AFV70" s="306" t="e">
        <f>AFU70-AFS70</f>
        <v>#VALUE!</v>
      </c>
      <c r="AFW70" s="826" t="e">
        <f>IF(AFX66="Штраф 50%","",MID(AFP$4,AFS70,AFV70))</f>
        <v>#VALUE!</v>
      </c>
      <c r="AFX70" s="829"/>
      <c r="AGC70" s="1464"/>
      <c r="AGD70" s="830" t="s">
        <v>8249</v>
      </c>
      <c r="AGE70" s="836" t="e">
        <f>SEARCH(" в размере",AGB$4,AGG66)+LEN(" в размере")+1</f>
        <v>#VALUE!</v>
      </c>
      <c r="AGF70" s="306" t="s">
        <v>8431</v>
      </c>
      <c r="AGG70" s="306" t="e">
        <f>SEARCH(AGF70,AGB$4,AGE70)</f>
        <v>#VALUE!</v>
      </c>
      <c r="AGH70" s="306" t="e">
        <f>AGG70-AGE70</f>
        <v>#VALUE!</v>
      </c>
      <c r="AGI70" s="826" t="e">
        <f>IF(AGJ66="Штраф 50%","",MID(AGB$4,AGE70,AGH70))</f>
        <v>#VALUE!</v>
      </c>
      <c r="AGJ70" s="829"/>
      <c r="AGO70" s="1464"/>
      <c r="AGP70" s="830" t="s">
        <v>8249</v>
      </c>
      <c r="AGQ70" s="836" t="e">
        <f>SEARCH(" в размере",AGN$4,AGS66)+LEN(" в размере")+1</f>
        <v>#VALUE!</v>
      </c>
      <c r="AGR70" s="306" t="s">
        <v>8431</v>
      </c>
      <c r="AGS70" s="306" t="e">
        <f>SEARCH(AGR70,AGN$4,AGQ70)</f>
        <v>#VALUE!</v>
      </c>
      <c r="AGT70" s="306" t="e">
        <f>AGS70-AGQ70</f>
        <v>#VALUE!</v>
      </c>
      <c r="AGU70" s="826" t="e">
        <f>IF(AGV66="Штраф 50%","",MID(AGN$4,AGQ70,AGT70))</f>
        <v>#VALUE!</v>
      </c>
      <c r="AGV70" s="829"/>
      <c r="AHA70" s="1464"/>
      <c r="AHB70" s="830" t="s">
        <v>8249</v>
      </c>
      <c r="AHC70" s="836" t="e">
        <f>SEARCH(" в размере",AGZ$4,AHE66)+LEN(" в размере")+1</f>
        <v>#VALUE!</v>
      </c>
      <c r="AHD70" s="306" t="s">
        <v>8431</v>
      </c>
      <c r="AHE70" s="306" t="e">
        <f>SEARCH(AHD70,AGZ$4,AHC70)</f>
        <v>#VALUE!</v>
      </c>
      <c r="AHF70" s="306" t="e">
        <f>AHE70-AHC70</f>
        <v>#VALUE!</v>
      </c>
      <c r="AHG70" s="826" t="e">
        <f>IF(AHH66="Штраф 50%","",MID(AGZ$4,AHC70,AHF70))</f>
        <v>#VALUE!</v>
      </c>
      <c r="AHH70" s="829"/>
    </row>
    <row r="71" spans="1:893" x14ac:dyDescent="0.3">
      <c r="B71" s="116"/>
      <c r="C71" s="116"/>
      <c r="D71" s="116"/>
      <c r="E71" s="116"/>
      <c r="F71" s="116"/>
      <c r="G71" s="116"/>
      <c r="H71" s="116"/>
      <c r="I71" s="116"/>
      <c r="DT71" t="s">
        <v>8919</v>
      </c>
      <c r="DU71" s="821" t="s">
        <v>78</v>
      </c>
      <c r="DV71" s="1464"/>
      <c r="DW71" s="306"/>
      <c r="DX71" s="836" t="e">
        <f>SEARCH(" ",$C$3,DZ70+1)+1</f>
        <v>#VALUE!</v>
      </c>
      <c r="DY71" s="306" t="s">
        <v>8432</v>
      </c>
      <c r="DZ71" s="306" t="e">
        <f>SEARCH(DY71,$C$3,DX71)</f>
        <v>#VALUE!</v>
      </c>
      <c r="EA71" s="306" t="e">
        <f>DZ71-DX71</f>
        <v>#VALUE!</v>
      </c>
      <c r="EB71" s="826" t="e">
        <f>IF(EC66="Штраф 50%","",MID($C$3,DX71,EA71))</f>
        <v>#VALUE!</v>
      </c>
      <c r="EC71" s="829"/>
      <c r="NK71" s="1464"/>
      <c r="NL71" s="306"/>
      <c r="NM71" s="836" t="e">
        <f>SEARCH(" ",NJ$4,NO70+1)+1</f>
        <v>#VALUE!</v>
      </c>
      <c r="NN71" s="306" t="s">
        <v>8432</v>
      </c>
      <c r="NO71" s="306" t="e">
        <f>SEARCH(NN71,NJ$4,NM71)</f>
        <v>#VALUE!</v>
      </c>
      <c r="NP71" s="306" t="e">
        <f>NO71-NM71</f>
        <v>#VALUE!</v>
      </c>
      <c r="NQ71" s="826" t="e">
        <f>IF(NR66="Штраф 50%","",MID(NJ$4,NM71,NP71))</f>
        <v>#VALUE!</v>
      </c>
      <c r="NR71" s="829"/>
      <c r="SY71" s="1464"/>
      <c r="SZ71" s="306"/>
      <c r="TA71" s="836" t="e">
        <f>SEARCH(" ",$SQ$3,TC70+1)+1</f>
        <v>#VALUE!</v>
      </c>
      <c r="TB71" s="306" t="s">
        <v>8432</v>
      </c>
      <c r="TC71" s="306" t="e">
        <f>SEARCH(TB71,$SQ$3,TA71)</f>
        <v>#VALUE!</v>
      </c>
      <c r="TD71" s="306" t="e">
        <f>TC71-TA71</f>
        <v>#VALUE!</v>
      </c>
      <c r="TE71" s="826" t="e">
        <f>IF(TF66="Штраф 50%","",MID($SQ$3,TA71,TD71))</f>
        <v>#VALUE!</v>
      </c>
      <c r="TF71" s="829"/>
      <c r="TK71" s="1004"/>
      <c r="TL71" s="1035"/>
      <c r="TM71" s="1036"/>
      <c r="TN71" s="1036"/>
      <c r="TO71" s="1036"/>
      <c r="TP71" s="1036"/>
      <c r="TQ71" s="1037"/>
      <c r="TR71" s="1037"/>
      <c r="TW71" s="1464"/>
      <c r="TX71" s="306"/>
      <c r="TY71" s="836" t="e">
        <f>SEARCH(" ",$SQ$4,UA70+1)+1</f>
        <v>#VALUE!</v>
      </c>
      <c r="TZ71" s="306" t="s">
        <v>8432</v>
      </c>
      <c r="UA71" s="306" t="e">
        <f>SEARCH(TZ71,$SQ$4,TY71)</f>
        <v>#VALUE!</v>
      </c>
      <c r="UB71" s="306" t="e">
        <f>UA71-TY71</f>
        <v>#VALUE!</v>
      </c>
      <c r="UC71" s="826" t="e">
        <f>IF(UD66="Штраф 50%","",MID($SQ$4,TY71,UB71))</f>
        <v>#VALUE!</v>
      </c>
      <c r="UD71" s="829"/>
      <c r="UI71" s="1004"/>
      <c r="UJ71" s="1035"/>
      <c r="UK71" s="1036"/>
      <c r="UL71" s="1036"/>
      <c r="UM71" s="1036"/>
      <c r="UN71" s="1036"/>
      <c r="UO71" s="1037"/>
      <c r="UP71" s="1037"/>
      <c r="UU71" s="1464"/>
      <c r="UV71" s="306"/>
      <c r="UW71" s="836" t="e">
        <f>SEARCH(" ",$SQ$5,UY70+1)+1</f>
        <v>#VALUE!</v>
      </c>
      <c r="UX71" s="306" t="s">
        <v>8432</v>
      </c>
      <c r="UY71" s="306" t="e">
        <f>SEARCH(UX71,$SQ$5,UW71)</f>
        <v>#VALUE!</v>
      </c>
      <c r="UZ71" s="306" t="e">
        <f>UY71-UW71</f>
        <v>#VALUE!</v>
      </c>
      <c r="VA71" s="826" t="e">
        <f>IF(VB66="Штраф 50%","",MID($SQ$5,UW71,UZ71))</f>
        <v>#VALUE!</v>
      </c>
      <c r="VB71" s="829"/>
      <c r="VG71" s="1004"/>
      <c r="VH71" s="1035"/>
      <c r="VI71" s="1036"/>
      <c r="VJ71" s="1036"/>
      <c r="VK71" s="1036"/>
      <c r="VL71" s="1036"/>
      <c r="VM71" s="1037"/>
      <c r="VN71" s="1037"/>
      <c r="VS71" s="1464"/>
      <c r="VT71" s="306"/>
      <c r="VU71" s="836" t="e">
        <f>SEARCH(" ",$SQ$6,VW70+1)+1</f>
        <v>#VALUE!</v>
      </c>
      <c r="VV71" s="306" t="s">
        <v>8432</v>
      </c>
      <c r="VW71" s="306" t="e">
        <f>SEARCH(VV71,$SQ$6,VU71)</f>
        <v>#VALUE!</v>
      </c>
      <c r="VX71" s="306" t="e">
        <f>VW71-VU71</f>
        <v>#VALUE!</v>
      </c>
      <c r="VY71" s="826" t="e">
        <f>IF(VZ66="Штраф 50%","",MID($SQ$6,VU71,VX71))</f>
        <v>#VALUE!</v>
      </c>
      <c r="VZ71" s="829"/>
      <c r="WE71" s="1004"/>
      <c r="WF71" s="1035"/>
      <c r="WG71" s="1036"/>
      <c r="WH71" s="1036"/>
      <c r="WI71" s="1036"/>
      <c r="WJ71" s="1036"/>
      <c r="WK71" s="1037"/>
      <c r="WL71" s="1037"/>
      <c r="WQ71" s="1464"/>
      <c r="WR71" s="306"/>
      <c r="WS71" s="836" t="e">
        <f>SEARCH(" ",$SQ$7,WU70+1)+1</f>
        <v>#VALUE!</v>
      </c>
      <c r="WT71" s="306" t="s">
        <v>8432</v>
      </c>
      <c r="WU71" s="306" t="e">
        <f>SEARCH(WT71,$SQ$7,WS71)</f>
        <v>#VALUE!</v>
      </c>
      <c r="WV71" s="306" t="e">
        <f>WU71-WS71</f>
        <v>#VALUE!</v>
      </c>
      <c r="WW71" s="826" t="e">
        <f>IF(WX66="Штраф 50%","",MID($SQ$7,WS71,WV71))</f>
        <v>#VALUE!</v>
      </c>
      <c r="WX71" s="829"/>
      <c r="XC71" s="1004"/>
      <c r="XD71" s="1035"/>
      <c r="XE71" s="1036"/>
      <c r="XF71" s="1036"/>
      <c r="XG71" s="1036"/>
      <c r="XH71" s="1036"/>
      <c r="XI71" s="1037"/>
      <c r="XJ71" s="1037"/>
      <c r="YG71" s="1464"/>
      <c r="YH71" s="306"/>
      <c r="YI71" s="836" t="e">
        <f>SEARCH(" ",$XU$3,YK70+1)+1</f>
        <v>#VALUE!</v>
      </c>
      <c r="YJ71" s="306" t="s">
        <v>8432</v>
      </c>
      <c r="YK71" s="306" t="e">
        <f>SEARCH(YJ71,$XU$3,YI71)</f>
        <v>#VALUE!</v>
      </c>
      <c r="YL71" s="306" t="e">
        <f>YK71-YI71</f>
        <v>#VALUE!</v>
      </c>
      <c r="YM71" s="826" t="e">
        <f>IF(YN66="Штраф 50%","",MID($XU$3,YI71,YL71))</f>
        <v>#VALUE!</v>
      </c>
      <c r="YN71" s="829"/>
      <c r="YS71" s="1464"/>
      <c r="YT71" s="306"/>
      <c r="YU71" s="836" t="e">
        <f>SEARCH(" ",$XU$4,YW70+1)+1</f>
        <v>#VALUE!</v>
      </c>
      <c r="YV71" s="306" t="s">
        <v>8432</v>
      </c>
      <c r="YW71" s="306" t="e">
        <f>SEARCH(YV71,$XU$4,YU71)</f>
        <v>#VALUE!</v>
      </c>
      <c r="YX71" s="306" t="e">
        <f>YW71-YU71</f>
        <v>#VALUE!</v>
      </c>
      <c r="YY71" s="826" t="e">
        <f>IF(YZ66="Штраф 50%","",MID($XU$4,YU71,YX71))</f>
        <v>#VALUE!</v>
      </c>
      <c r="YZ71" s="829"/>
      <c r="ZE71" s="1464"/>
      <c r="ZF71" s="306"/>
      <c r="ZG71" s="836" t="e">
        <f>SEARCH(" ",$XU$5,ZI70+1)+1</f>
        <v>#VALUE!</v>
      </c>
      <c r="ZH71" s="306" t="s">
        <v>8432</v>
      </c>
      <c r="ZI71" s="306" t="e">
        <f>SEARCH(ZH71,$XU$5,ZG71)</f>
        <v>#VALUE!</v>
      </c>
      <c r="ZJ71" s="306" t="e">
        <f>ZI71-ZG71</f>
        <v>#VALUE!</v>
      </c>
      <c r="ZK71" s="826" t="e">
        <f>IF(ZL66="Штраф 50%","",MID($XU$5,ZG71,ZJ71))</f>
        <v>#VALUE!</v>
      </c>
      <c r="ZL71" s="829"/>
      <c r="ZQ71" s="1464"/>
      <c r="ZR71" s="306"/>
      <c r="ZS71" s="836" t="e">
        <f>SEARCH(" ",$XU$6,ZU70+1)+1</f>
        <v>#VALUE!</v>
      </c>
      <c r="ZT71" s="306" t="s">
        <v>8432</v>
      </c>
      <c r="ZU71" s="306" t="e">
        <f>SEARCH(ZT71,$XU$6,ZS71)</f>
        <v>#VALUE!</v>
      </c>
      <c r="ZV71" s="306" t="e">
        <f>ZU71-ZS71</f>
        <v>#VALUE!</v>
      </c>
      <c r="ZW71" s="826" t="e">
        <f>IF(ZX66="Штраф 50%","",MID($XU$6,ZS71,ZV71))</f>
        <v>#VALUE!</v>
      </c>
      <c r="ZX71" s="829"/>
      <c r="AAC71" s="1464"/>
      <c r="AAD71" s="306"/>
      <c r="AAE71" s="836" t="e">
        <f>SEARCH(" ",$XU$7,AAG70+1)+1</f>
        <v>#VALUE!</v>
      </c>
      <c r="AAF71" s="306" t="s">
        <v>8432</v>
      </c>
      <c r="AAG71" s="306" t="e">
        <f>SEARCH(AAF71,$XU$7,AAE71)</f>
        <v>#VALUE!</v>
      </c>
      <c r="AAH71" s="306" t="e">
        <f>AAG71-AAE71</f>
        <v>#VALUE!</v>
      </c>
      <c r="AAI71" s="826" t="e">
        <f>IF(AAJ66="Штраф 50%","",MID($XU$7,AAE71,AAH71))</f>
        <v>#VALUE!</v>
      </c>
      <c r="AAJ71" s="829"/>
      <c r="AFE71" s="1464"/>
      <c r="AFF71" s="306"/>
      <c r="AFG71" s="836" t="e">
        <f>SEARCH(" ",AFD$4,AFI70+1)+1</f>
        <v>#VALUE!</v>
      </c>
      <c r="AFH71" s="306" t="s">
        <v>8432</v>
      </c>
      <c r="AFI71" s="306" t="e">
        <f>SEARCH(AFH71,AFD$4,AFG71)</f>
        <v>#VALUE!</v>
      </c>
      <c r="AFJ71" s="306" t="e">
        <f>AFI71-AFG71</f>
        <v>#VALUE!</v>
      </c>
      <c r="AFK71" s="826" t="e">
        <f>IF(AFL66="Штраф 50%","",MID(AFD$4,AFG71,AFJ71))</f>
        <v>#VALUE!</v>
      </c>
      <c r="AFL71" s="829"/>
      <c r="AFQ71" s="1464"/>
      <c r="AFR71" s="306"/>
      <c r="AFS71" s="836" t="e">
        <f>SEARCH(" ",AFP$4,AFU70+1)+1</f>
        <v>#VALUE!</v>
      </c>
      <c r="AFT71" s="306" t="s">
        <v>8432</v>
      </c>
      <c r="AFU71" s="306" t="e">
        <f>SEARCH(AFT71,AFP$4,AFS71)</f>
        <v>#VALUE!</v>
      </c>
      <c r="AFV71" s="306" t="e">
        <f>AFU71-AFS71</f>
        <v>#VALUE!</v>
      </c>
      <c r="AFW71" s="826" t="e">
        <f>IF(AFX66="Штраф 50%","",MID(AFP$4,AFS71,AFV71))</f>
        <v>#VALUE!</v>
      </c>
      <c r="AFX71" s="829"/>
      <c r="AGC71" s="1464"/>
      <c r="AGD71" s="306"/>
      <c r="AGE71" s="836" t="e">
        <f>SEARCH(" ",AGB$4,AGG70+1)+1</f>
        <v>#VALUE!</v>
      </c>
      <c r="AGF71" s="306" t="s">
        <v>8432</v>
      </c>
      <c r="AGG71" s="306" t="e">
        <f>SEARCH(AGF71,AGB$4,AGE71)</f>
        <v>#VALUE!</v>
      </c>
      <c r="AGH71" s="306" t="e">
        <f>AGG71-AGE71</f>
        <v>#VALUE!</v>
      </c>
      <c r="AGI71" s="826" t="e">
        <f>IF(AGJ66="Штраф 50%","",MID(AGB$4,AGE71,AGH71))</f>
        <v>#VALUE!</v>
      </c>
      <c r="AGJ71" s="829"/>
      <c r="AGO71" s="1464"/>
      <c r="AGP71" s="306"/>
      <c r="AGQ71" s="836" t="e">
        <f>SEARCH(" ",AGN$4,AGS70+1)+1</f>
        <v>#VALUE!</v>
      </c>
      <c r="AGR71" s="306" t="s">
        <v>8432</v>
      </c>
      <c r="AGS71" s="306" t="e">
        <f>SEARCH(AGR71,AGN$4,AGQ71)</f>
        <v>#VALUE!</v>
      </c>
      <c r="AGT71" s="306" t="e">
        <f>AGS71-AGQ71</f>
        <v>#VALUE!</v>
      </c>
      <c r="AGU71" s="826" t="e">
        <f>IF(AGV66="Штраф 50%","",MID(AGN$4,AGQ71,AGT71))</f>
        <v>#VALUE!</v>
      </c>
      <c r="AGV71" s="829"/>
      <c r="AHA71" s="1464"/>
      <c r="AHB71" s="306"/>
      <c r="AHC71" s="836" t="e">
        <f>SEARCH(" ",AGZ$4,AHE70+1)+1</f>
        <v>#VALUE!</v>
      </c>
      <c r="AHD71" s="306" t="s">
        <v>8432</v>
      </c>
      <c r="AHE71" s="306" t="e">
        <f>SEARCH(AHD71,AGZ$4,AHC71)</f>
        <v>#VALUE!</v>
      </c>
      <c r="AHF71" s="306" t="e">
        <f>AHE71-AHC71</f>
        <v>#VALUE!</v>
      </c>
      <c r="AHG71" s="826" t="e">
        <f>IF(AHH66="Штраф 50%","",MID(AGZ$4,AHC71,AHF71))</f>
        <v>#VALUE!</v>
      </c>
      <c r="AHH71" s="829"/>
    </row>
    <row r="72" spans="1:893" ht="15" thickBot="1" x14ac:dyDescent="0.35">
      <c r="B72" s="116"/>
      <c r="C72" s="116"/>
      <c r="D72" s="116"/>
      <c r="E72" s="116"/>
      <c r="F72" s="116"/>
      <c r="G72" s="116"/>
      <c r="H72" s="116"/>
      <c r="I72" s="116"/>
      <c r="DT72" t="s">
        <v>8920</v>
      </c>
      <c r="DU72" s="821" t="s">
        <v>1248</v>
      </c>
      <c r="DV72" s="1465"/>
      <c r="DW72" s="583"/>
      <c r="DX72" s="837"/>
      <c r="DY72" s="583"/>
      <c r="DZ72" s="583"/>
      <c r="EA72" s="583"/>
      <c r="EB72" s="831" t="e">
        <f>VALUE(CONCATENATE(EB70,",",EB71))</f>
        <v>#VALUE!</v>
      </c>
      <c r="EC72" s="832" t="str">
        <f>IF(EC66="Штраф 50%","",IF(OR(DY69=" в размере",DY66=" в размере"),EB72,""))</f>
        <v/>
      </c>
      <c r="NK72" s="1465"/>
      <c r="NL72" s="583"/>
      <c r="NM72" s="837"/>
      <c r="NN72" s="583"/>
      <c r="NO72" s="583"/>
      <c r="NP72" s="583"/>
      <c r="NQ72" s="831" t="e">
        <f>VALUE(CONCATENATE(NQ70,",",NQ71))</f>
        <v>#VALUE!</v>
      </c>
      <c r="NR72" s="832" t="str">
        <f>IF(NR66="Штраф 50%","",IF(OR(NN69=" в размере",NN66=" в размере"),NQ72,""))</f>
        <v/>
      </c>
      <c r="SY72" s="1465"/>
      <c r="SZ72" s="583"/>
      <c r="TA72" s="837"/>
      <c r="TB72" s="583"/>
      <c r="TC72" s="583"/>
      <c r="TD72" s="583"/>
      <c r="TE72" s="831" t="e">
        <f>VALUE(CONCATENATE(TE70,",",TE71))</f>
        <v>#VALUE!</v>
      </c>
      <c r="TF72" s="832" t="str">
        <f>IF(OR(TF66="Штраф 50%",TF66=""),"",TE72)</f>
        <v/>
      </c>
      <c r="TK72" s="1004"/>
      <c r="TL72" s="1035"/>
      <c r="TM72" s="1036"/>
      <c r="TN72" s="1036"/>
      <c r="TO72" s="1036"/>
      <c r="TP72" s="1036"/>
      <c r="TQ72" s="1037"/>
      <c r="TR72" s="1004"/>
      <c r="TW72" s="1465"/>
      <c r="TX72" s="583"/>
      <c r="TY72" s="837"/>
      <c r="TZ72" s="583"/>
      <c r="UA72" s="583"/>
      <c r="UB72" s="583"/>
      <c r="UC72" s="831" t="e">
        <f>VALUE(CONCATENATE(UC70,",",UC71))</f>
        <v>#VALUE!</v>
      </c>
      <c r="UD72" s="832" t="str">
        <f>IF(OR(UD66="Штраф 50%",UD66=""),"",UC72)</f>
        <v/>
      </c>
      <c r="UI72" s="1004"/>
      <c r="UJ72" s="1035"/>
      <c r="UK72" s="1036"/>
      <c r="UL72" s="1036"/>
      <c r="UM72" s="1036"/>
      <c r="UN72" s="1036"/>
      <c r="UO72" s="1037"/>
      <c r="UP72" s="1004"/>
      <c r="UU72" s="1465"/>
      <c r="UV72" s="583"/>
      <c r="UW72" s="837"/>
      <c r="UX72" s="583"/>
      <c r="UY72" s="583"/>
      <c r="UZ72" s="583"/>
      <c r="VA72" s="831" t="e">
        <f>VALUE(CONCATENATE(VA70,",",VA71))</f>
        <v>#VALUE!</v>
      </c>
      <c r="VB72" s="832" t="str">
        <f>IF(OR(VB66="Штраф 50%",VB66=""),"",VA72)</f>
        <v/>
      </c>
      <c r="VG72" s="1004"/>
      <c r="VH72" s="1035"/>
      <c r="VI72" s="1036"/>
      <c r="VJ72" s="1036"/>
      <c r="VK72" s="1036"/>
      <c r="VL72" s="1036"/>
      <c r="VM72" s="1037"/>
      <c r="VN72" s="1004"/>
      <c r="VS72" s="1465"/>
      <c r="VT72" s="583"/>
      <c r="VU72" s="837"/>
      <c r="VV72" s="583"/>
      <c r="VW72" s="583"/>
      <c r="VX72" s="583"/>
      <c r="VY72" s="831" t="e">
        <f>VALUE(CONCATENATE(VY70,",",VY71))</f>
        <v>#VALUE!</v>
      </c>
      <c r="VZ72" s="832" t="str">
        <f>IF(OR(VZ66="Штраф 50%",VZ66=""),"",VY72)</f>
        <v/>
      </c>
      <c r="WE72" s="1004"/>
      <c r="WF72" s="1035"/>
      <c r="WG72" s="1036"/>
      <c r="WH72" s="1036"/>
      <c r="WI72" s="1036"/>
      <c r="WJ72" s="1036"/>
      <c r="WK72" s="1037"/>
      <c r="WL72" s="1004"/>
      <c r="WQ72" s="1465"/>
      <c r="WR72" s="583"/>
      <c r="WS72" s="837"/>
      <c r="WT72" s="583"/>
      <c r="WU72" s="583"/>
      <c r="WV72" s="583"/>
      <c r="WW72" s="831" t="e">
        <f>VALUE(CONCATENATE(WW70,",",WW71))</f>
        <v>#VALUE!</v>
      </c>
      <c r="WX72" s="832" t="str">
        <f>IF(OR(WX66="Штраф 50%",WX66=""),"",WW72)</f>
        <v/>
      </c>
      <c r="XC72" s="1004"/>
      <c r="XD72" s="1035"/>
      <c r="XE72" s="1036"/>
      <c r="XF72" s="1036"/>
      <c r="XG72" s="1036"/>
      <c r="XH72" s="1036"/>
      <c r="XI72" s="1037"/>
      <c r="XJ72" s="1004"/>
      <c r="YG72" s="1465"/>
      <c r="YH72" s="583"/>
      <c r="YI72" s="837"/>
      <c r="YJ72" s="583"/>
      <c r="YK72" s="583"/>
      <c r="YL72" s="583"/>
      <c r="YM72" s="831" t="e">
        <f>VALUE(CONCATENATE(YM70,",",YM71))</f>
        <v>#VALUE!</v>
      </c>
      <c r="YN72" s="832" t="str">
        <f>IF(YN66="Штраф 50%","",IF(OR(YJ69=" в размере",YJ66=" в размере"),YM72,""))</f>
        <v/>
      </c>
      <c r="YS72" s="1465"/>
      <c r="YT72" s="583"/>
      <c r="YU72" s="837"/>
      <c r="YV72" s="583"/>
      <c r="YW72" s="583"/>
      <c r="YX72" s="583"/>
      <c r="YY72" s="831" t="e">
        <f>VALUE(CONCATENATE(YY70,",",YY71))</f>
        <v>#VALUE!</v>
      </c>
      <c r="YZ72" s="832" t="str">
        <f>IF(YZ66="Штраф 50%","",IF(OR(YV69=" в размере",YV66=" в размере"),YY72,""))</f>
        <v/>
      </c>
      <c r="ZE72" s="1465"/>
      <c r="ZF72" s="583"/>
      <c r="ZG72" s="837"/>
      <c r="ZH72" s="583"/>
      <c r="ZI72" s="583"/>
      <c r="ZJ72" s="583"/>
      <c r="ZK72" s="831" t="e">
        <f>VALUE(CONCATENATE(ZK70,",",ZK71))</f>
        <v>#VALUE!</v>
      </c>
      <c r="ZL72" s="832" t="str">
        <f>IF(ZL66="Штраф 50%","",IF(OR(ZH69=" в размере",ZH66=" в размере"),ZK72,""))</f>
        <v/>
      </c>
      <c r="ZQ72" s="1465"/>
      <c r="ZR72" s="583"/>
      <c r="ZS72" s="837"/>
      <c r="ZT72" s="583"/>
      <c r="ZU72" s="583"/>
      <c r="ZV72" s="583"/>
      <c r="ZW72" s="831" t="e">
        <f>VALUE(CONCATENATE(ZW70,",",ZW71))</f>
        <v>#VALUE!</v>
      </c>
      <c r="ZX72" s="832" t="str">
        <f>IF(ZX66="Штраф 50%","",IF(OR(ZT69=" в размере",ZT66=" в размере"),ZW72,""))</f>
        <v/>
      </c>
      <c r="AAC72" s="1465"/>
      <c r="AAD72" s="583"/>
      <c r="AAE72" s="837"/>
      <c r="AAF72" s="583"/>
      <c r="AAG72" s="583"/>
      <c r="AAH72" s="583"/>
      <c r="AAI72" s="831" t="e">
        <f>VALUE(CONCATENATE(AAI70,",",AAI71))</f>
        <v>#VALUE!</v>
      </c>
      <c r="AAJ72" s="832" t="str">
        <f>IF(AAJ66="Штраф 50%","",IF(OR(AAF69=" в размере",AAF66=" в размере"),AAI72,""))</f>
        <v/>
      </c>
      <c r="AFE72" s="1465"/>
      <c r="AFF72" s="583"/>
      <c r="AFG72" s="837"/>
      <c r="AFH72" s="583"/>
      <c r="AFI72" s="583"/>
      <c r="AFJ72" s="583"/>
      <c r="AFK72" s="831" t="e">
        <f>VALUE(CONCATENATE(AFK70,",",AFK71))</f>
        <v>#VALUE!</v>
      </c>
      <c r="AFL72" s="832" t="str">
        <f>IF(AFL66="Штраф 50%","",IF(OR(AFH69=" в размере",AFH66=" в размере"),AFK72,""))</f>
        <v/>
      </c>
      <c r="AFQ72" s="1465"/>
      <c r="AFR72" s="583"/>
      <c r="AFS72" s="837"/>
      <c r="AFT72" s="583"/>
      <c r="AFU72" s="583"/>
      <c r="AFV72" s="583"/>
      <c r="AFW72" s="831" t="e">
        <f>VALUE(CONCATENATE(AFW70,",",AFW71))</f>
        <v>#VALUE!</v>
      </c>
      <c r="AFX72" s="832" t="str">
        <f>IF(AFX66="Штраф 50%","",IF(OR(AFT69=" в размере",AFT66=" в размере"),AFW72,""))</f>
        <v/>
      </c>
      <c r="AGC72" s="1465"/>
      <c r="AGD72" s="583"/>
      <c r="AGE72" s="837"/>
      <c r="AGF72" s="583"/>
      <c r="AGG72" s="583"/>
      <c r="AGH72" s="583"/>
      <c r="AGI72" s="831" t="e">
        <f>VALUE(CONCATENATE(AGI70,",",AGI71))</f>
        <v>#VALUE!</v>
      </c>
      <c r="AGJ72" s="832" t="str">
        <f>IF(AGJ66="Штраф 50%","",IF(OR(AGF69=" в размере",AGF66=" в размере"),AGI72,""))</f>
        <v/>
      </c>
      <c r="AGO72" s="1465"/>
      <c r="AGP72" s="583"/>
      <c r="AGQ72" s="837"/>
      <c r="AGR72" s="583"/>
      <c r="AGS72" s="583"/>
      <c r="AGT72" s="583"/>
      <c r="AGU72" s="831" t="e">
        <f>VALUE(CONCATENATE(AGU70,",",AGU71))</f>
        <v>#VALUE!</v>
      </c>
      <c r="AGV72" s="832" t="str">
        <f>IF(AGV66="Штраф 50%","",IF(OR(AGR69=" в размере",AGR66=" в размере"),AGU72,""))</f>
        <v/>
      </c>
      <c r="AHA72" s="1465"/>
      <c r="AHB72" s="583"/>
      <c r="AHC72" s="837"/>
      <c r="AHD72" s="583"/>
      <c r="AHE72" s="583"/>
      <c r="AHF72" s="583"/>
      <c r="AHG72" s="831" t="e">
        <f>VALUE(CONCATENATE(AHG70,",",AHG71))</f>
        <v>#VALUE!</v>
      </c>
      <c r="AHH72" s="832" t="str">
        <f>IF(AHH66="Штраф 50%","",IF(OR(AHD69=" в размере",AHD66=" в размере"),AHG72,""))</f>
        <v/>
      </c>
    </row>
    <row r="73" spans="1:893" ht="15" thickTop="1" x14ac:dyDescent="0.3">
      <c r="B73" s="116"/>
      <c r="C73" s="116"/>
      <c r="D73" s="116"/>
      <c r="E73" s="116"/>
      <c r="F73" s="116"/>
      <c r="G73" s="116"/>
      <c r="H73" s="116"/>
      <c r="I73" s="116"/>
      <c r="DT73" t="s">
        <v>8960</v>
      </c>
      <c r="DU73" s="821" t="s">
        <v>456</v>
      </c>
      <c r="DV73" s="1463">
        <v>11</v>
      </c>
      <c r="DW73" s="824" t="s">
        <v>8433</v>
      </c>
      <c r="DX73" s="838" t="e">
        <f>SEARCH(DS$4,$C$3,DZ66)+LEN(DS$4)</f>
        <v>#VALUE!</v>
      </c>
      <c r="DY73" s="406" t="str">
        <f>IF(DZ73=IFERROR(SEARCH(".",C$3,DX73),99999),".",
IF(DZ73=IFERROR(SEARCH(",",C$3,DX73),99999),",",
IF(DZ73=IFERROR(SEARCH(" за период",C$3,DX73),999999)," за период",
IF(DZ73=IFERROR(SEARCH(" в размере",C$3,DX73),99999)," в размере",
))))</f>
        <v>.</v>
      </c>
      <c r="DZ73" s="406">
        <f>IFERROR(MIN(IFERROR(SEARCH(".",$C$3,DX73),99999),IFERROR(SEARCH(",",$C$3,DX73),99999),IFERROR(SEARCH(" за период",$C$3,DX73),999999),IFERROR(SEARCH(" в размере",$C$3,DX73),99999)),"ОШИБКА")</f>
        <v>99999</v>
      </c>
      <c r="EA73" s="406" t="e">
        <f>DZ73-DX73</f>
        <v>#VALUE!</v>
      </c>
      <c r="EB73" s="824" t="e">
        <f>MID($C$3,DX73,EA73)</f>
        <v>#VALUE!</v>
      </c>
      <c r="EC73" s="825" t="str">
        <f>IFERROR(INDEX(DU:DU,MATCH(MID($C$3,DX73,EA73),DT:DT,0),1),"")</f>
        <v/>
      </c>
      <c r="ED73" s="754"/>
      <c r="NK73" s="1463">
        <v>11</v>
      </c>
      <c r="NL73" s="824" t="s">
        <v>8433</v>
      </c>
      <c r="NM73" s="838" t="e">
        <f>SEARCH(NH$4,NJ$4,NO66)+LEN(NH$4)</f>
        <v>#VALUE!</v>
      </c>
      <c r="NN73" s="406" t="str">
        <f>IF(NO73=IFERROR(SEARCH(".",NJ$4,NM73),99999),".",
IF(NO73=IFERROR(SEARCH(",",NJ$4,NM73),99999),",",
IF(NO73=IFERROR(SEARCH(" за период",NJ$4,NM73),999999)," за период",
IF(NO73=IFERROR(SEARCH(" в размере",NJ$4,NM73),99999)," в размере",
))))</f>
        <v>.</v>
      </c>
      <c r="NO73" s="406">
        <f>IFERROR(MIN(IFERROR(SEARCH(".",NJ$4,NM73),99999),IFERROR(SEARCH(",",NJ$4,NM73),99999),IFERROR(SEARCH(" за период",NJ$4,NM73),999999),IFERROR(SEARCH(" в размере",NJ$4,NM73),99999)),"ОШИБКА")</f>
        <v>99999</v>
      </c>
      <c r="NP73" s="406" t="e">
        <f>NO73-NM73</f>
        <v>#VALUE!</v>
      </c>
      <c r="NQ73" s="824" t="e">
        <f>MID(NJ$4,NM73,NP73)</f>
        <v>#VALUE!</v>
      </c>
      <c r="NR73" s="825" t="str">
        <f>IFERROR(INDEX($DU:$DU,MATCH(MID(NJ$4,NM73,NP73),$DT:$DT,0),1),"")</f>
        <v/>
      </c>
      <c r="NS73" s="754"/>
      <c r="NT73" s="754"/>
      <c r="SY73" s="1463">
        <v>11</v>
      </c>
      <c r="SZ73" s="824" t="s">
        <v>8433</v>
      </c>
      <c r="TA73" s="838" t="e">
        <f>SEARCH(SV$4,$SQ$3,TC66)+LEN(SV$4)</f>
        <v>#VALUE!</v>
      </c>
      <c r="TB73" s="406" t="str">
        <f>IF(TC73=IFERROR(SEARCH(".",$SQ$3,TA73),99999),".",
IF(TC73=IFERROR(SEARCH(",",$SQ$3,TA73),99999),",",
IF(TC73=IFERROR(SEARCH(" за период",$SQ$3,TA73),999999)," за период",
IF(TC73=IFERROR(SEARCH(" в размере",$SQ$3,TA73),99999)," в размере",
))))</f>
        <v>.</v>
      </c>
      <c r="TC73" s="406">
        <f>IFERROR(MIN(IFERROR(SEARCH(".",$SQ$3,TA73),99999),IFERROR(SEARCH(",",$SQ$3,TA73),99999),IFERROR(SEARCH(" за период",$SQ$3,TA73),999999),IFERROR(SEARCH(" в размере",$SQ$3,TA73),99999)),"ОШИБКА")</f>
        <v>99999</v>
      </c>
      <c r="TD73" s="406" t="e">
        <f>TC73-TA73</f>
        <v>#VALUE!</v>
      </c>
      <c r="TE73" s="824" t="e">
        <f>MID($SQ$3,TA73,TD73)</f>
        <v>#VALUE!</v>
      </c>
      <c r="TF73" s="825" t="str">
        <f>IFERROR(INDEX($DU:$DU,MATCH(MID($SQ$3,TA73,TD73),$DT:$DT,0),1),"")</f>
        <v/>
      </c>
      <c r="TG73" s="754"/>
      <c r="TK73" s="1004"/>
      <c r="TL73" s="1004"/>
      <c r="TM73" s="1036"/>
      <c r="TN73" s="1036"/>
      <c r="TO73" s="1036"/>
      <c r="TP73" s="1036"/>
      <c r="TQ73" s="1035"/>
      <c r="TR73" s="1004"/>
      <c r="TS73" s="754"/>
      <c r="TW73" s="1463">
        <v>11</v>
      </c>
      <c r="TX73" s="824" t="s">
        <v>8433</v>
      </c>
      <c r="TY73" s="838" t="e">
        <f>SEARCH(TT$4,$SQ$4,UA66)+LEN(TT$4)</f>
        <v>#VALUE!</v>
      </c>
      <c r="TZ73" s="406" t="str">
        <f>IF(UA73=IFERROR(SEARCH(".",$SQ$4,TY73),99999),".",
IF(UA73=IFERROR(SEARCH(",",$SQ$4,TY73),99999),",",
IF(UA73=IFERROR(SEARCH(" за период",$SQ$4,TY73),999999)," за период",
IF(UA73=IFERROR(SEARCH(" в размере",$SQ$4,TY73),99999)," в размере",
))))</f>
        <v>.</v>
      </c>
      <c r="UA73" s="406">
        <f>IFERROR(MIN(IFERROR(SEARCH(".",$SQ$4,TY73),99999),IFERROR(SEARCH(",",$SQ$4,TY73),99999),IFERROR(SEARCH(" за период",$SQ$4,TY73),999999),IFERROR(SEARCH(" в размере",$SQ$4,TY73),99999)),"ОШИБКА")</f>
        <v>99999</v>
      </c>
      <c r="UB73" s="406" t="e">
        <f>UA73-TY73</f>
        <v>#VALUE!</v>
      </c>
      <c r="UC73" s="824" t="e">
        <f>MID($SQ$4,TY73,UB73)</f>
        <v>#VALUE!</v>
      </c>
      <c r="UD73" s="825" t="str">
        <f>IFERROR(INDEX($DU:$DU,MATCH(MID($SQ$4,TY73,UB73),$DT:$DT,0),1),"")</f>
        <v/>
      </c>
      <c r="UE73" s="754"/>
      <c r="UI73" s="1004"/>
      <c r="UJ73" s="1004"/>
      <c r="UK73" s="1036"/>
      <c r="UL73" s="1036"/>
      <c r="UM73" s="1036"/>
      <c r="UN73" s="1036"/>
      <c r="UO73" s="1035"/>
      <c r="UP73" s="1004"/>
      <c r="UQ73" s="754"/>
      <c r="UU73" s="1463">
        <v>11</v>
      </c>
      <c r="UV73" s="824" t="s">
        <v>8433</v>
      </c>
      <c r="UW73" s="838" t="e">
        <f>SEARCH(UR$4,$SQ$5,UY66)+LEN(UR$4)</f>
        <v>#VALUE!</v>
      </c>
      <c r="UX73" s="406" t="str">
        <f>IF(UY73=IFERROR(SEARCH(".",$SQ$5,UW73),99999),".",
IF(UY73=IFERROR(SEARCH(",",$SQ$5,UW73),99999),",",
IF(UY73=IFERROR(SEARCH(" за период",$SQ$5,UW73),999999)," за период",
IF(UY73=IFERROR(SEARCH(" в размере",$SQ$5,UW73),99999)," в размере",
))))</f>
        <v>.</v>
      </c>
      <c r="UY73" s="406">
        <f>IFERROR(MIN(IFERROR(SEARCH(".",$SQ$5,UW73),99999),IFERROR(SEARCH(",",$SQ$5,UW73),99999),IFERROR(SEARCH(" за период",$SQ$5,UW73),999999),IFERROR(SEARCH(" в размере",$SQ$5,UW73),99999)),"ОШИБКА")</f>
        <v>99999</v>
      </c>
      <c r="UZ73" s="406" t="e">
        <f>UY73-UW73</f>
        <v>#VALUE!</v>
      </c>
      <c r="VA73" s="824" t="e">
        <f>MID($SQ$5,UW73,UZ73)</f>
        <v>#VALUE!</v>
      </c>
      <c r="VB73" s="825" t="str">
        <f>IFERROR(INDEX($DU:$DU,MATCH(MID($SQ$5,UW73,UZ73),$DT:$DT,0),1),"")</f>
        <v/>
      </c>
      <c r="VC73" s="754"/>
      <c r="VG73" s="1004"/>
      <c r="VH73" s="1004"/>
      <c r="VI73" s="1036"/>
      <c r="VJ73" s="1036"/>
      <c r="VK73" s="1036"/>
      <c r="VL73" s="1036"/>
      <c r="VM73" s="1035"/>
      <c r="VN73" s="1004"/>
      <c r="VO73" s="754"/>
      <c r="VS73" s="1463">
        <v>11</v>
      </c>
      <c r="VT73" s="824" t="s">
        <v>8433</v>
      </c>
      <c r="VU73" s="838" t="e">
        <f>SEARCH(VP$4,$SQ$6,VW66)+LEN(VP$4)</f>
        <v>#VALUE!</v>
      </c>
      <c r="VV73" s="406" t="str">
        <f>IF(VW73=IFERROR(SEARCH(".",$SQ$6,VU73),99999),".",
IF(VW73=IFERROR(SEARCH(",",$SQ$6,VU73),99999),",",
IF(VW73=IFERROR(SEARCH(" за период",$SQ$6,VU73),999999)," за период",
IF(VW73=IFERROR(SEARCH(" в размере",$SQ$6,VU73),99999)," в размере",
))))</f>
        <v>.</v>
      </c>
      <c r="VW73" s="406">
        <f>IFERROR(MIN(IFERROR(SEARCH(".",$SQ$6,VU73),99999),IFERROR(SEARCH(",",$SQ$6,VU73),99999),IFERROR(SEARCH(" за период",$SQ$6,VU73),999999),IFERROR(SEARCH(" в размере",$SQ$6,VU73),99999)),"ОШИБКА")</f>
        <v>99999</v>
      </c>
      <c r="VX73" s="406" t="e">
        <f>VW73-VU73</f>
        <v>#VALUE!</v>
      </c>
      <c r="VY73" s="824" t="e">
        <f>MID($SQ$6,VU73,VX73)</f>
        <v>#VALUE!</v>
      </c>
      <c r="VZ73" s="825" t="str">
        <f>IFERROR(INDEX($DU:$DU,MATCH(MID($SQ$6,VU73,VX73),$DT:$DT,0),1),"")</f>
        <v/>
      </c>
      <c r="WA73" s="754"/>
      <c r="WE73" s="1004"/>
      <c r="WF73" s="1004"/>
      <c r="WG73" s="1036"/>
      <c r="WH73" s="1036"/>
      <c r="WI73" s="1036"/>
      <c r="WJ73" s="1036"/>
      <c r="WK73" s="1035"/>
      <c r="WL73" s="1004"/>
      <c r="WM73" s="754"/>
      <c r="WQ73" s="1463">
        <v>11</v>
      </c>
      <c r="WR73" s="824" t="s">
        <v>8433</v>
      </c>
      <c r="WS73" s="838" t="e">
        <f>SEARCH(WN$4,$SQ$7,WU66)+LEN(WN$4)</f>
        <v>#VALUE!</v>
      </c>
      <c r="WT73" s="406" t="str">
        <f>IF(WU73=IFERROR(SEARCH(".",$SQ$7,WS73),99999),".",
IF(WU73=IFERROR(SEARCH(",",$SQ$7,WS73),99999),",",
IF(WU73=IFERROR(SEARCH(" за период",$SQ$7,WS73),999999)," за период",
IF(WU73=IFERROR(SEARCH(" в размере",$SQ$7,WS73),99999)," в размере",
))))</f>
        <v>.</v>
      </c>
      <c r="WU73" s="406">
        <f>IFERROR(MIN(IFERROR(SEARCH(".",$SQ$7,WS73),99999),IFERROR(SEARCH(",",$SQ$7,WS73),99999),IFERROR(SEARCH(" за период",$SQ$7,WS73),999999),IFERROR(SEARCH(" в размере",$SQ$7,WS73),99999)),"ОШИБКА")</f>
        <v>99999</v>
      </c>
      <c r="WV73" s="406" t="e">
        <f>WU73-WS73</f>
        <v>#VALUE!</v>
      </c>
      <c r="WW73" s="824" t="e">
        <f>MID($SQ$7,WS73,WV73)</f>
        <v>#VALUE!</v>
      </c>
      <c r="WX73" s="825" t="str">
        <f>IFERROR(INDEX($DU:$DU,MATCH(MID($SQ$7,WS73,WV73),$DT:$DT,0),1),"")</f>
        <v/>
      </c>
      <c r="WY73" s="754"/>
      <c r="XC73" s="1004"/>
      <c r="XD73" s="1004"/>
      <c r="XE73" s="1036"/>
      <c r="XF73" s="1036"/>
      <c r="XG73" s="1036"/>
      <c r="XH73" s="1036"/>
      <c r="XI73" s="1035"/>
      <c r="XJ73" s="1004"/>
      <c r="XK73" s="754"/>
      <c r="YG73" s="1463">
        <v>11</v>
      </c>
      <c r="YH73" s="824" t="s">
        <v>8433</v>
      </c>
      <c r="YI73" s="838" t="e">
        <f>SEARCH(YD$4,$XU$3,YK66)+LEN(YD$4)</f>
        <v>#VALUE!</v>
      </c>
      <c r="YJ73" s="406" t="str">
        <f>IF(YK73=IFERROR(SEARCH(".",$XU$3,YI73),99999),".",
IF(YK73=IFERROR(SEARCH(",",$XU$3,YI73),99999),",",
IF(YK73=IFERROR(SEARCH(" за период",$XU$3,YI73),999999)," за период",
IF(YK73=IFERROR(SEARCH(" в размере",$XU$3,YI73),99999)," в размере",
))))</f>
        <v>.</v>
      </c>
      <c r="YK73" s="406">
        <f>IFERROR(MIN(IFERROR(SEARCH(".",$XU$3,YI73),99999),IFERROR(SEARCH(",",$XU$3,YI73),99999),IFERROR(SEARCH(" за период",$XU$3,YI73),999999),IFERROR(SEARCH(" в размере",$XU$3,YI73),99999)),"ОШИБКА")</f>
        <v>99999</v>
      </c>
      <c r="YL73" s="406" t="e">
        <f>YK73-YI73</f>
        <v>#VALUE!</v>
      </c>
      <c r="YM73" s="824" t="e">
        <f>MID($XU$3,YI73,YL73)</f>
        <v>#VALUE!</v>
      </c>
      <c r="YN73" s="825" t="str">
        <f>IFERROR(INDEX($DU:$DU,MATCH(MID($XU$3,YI73,YL73),$DT:$DT,0),1),"")</f>
        <v/>
      </c>
      <c r="YO73" s="754"/>
      <c r="YS73" s="1463">
        <v>11</v>
      </c>
      <c r="YT73" s="824" t="s">
        <v>8433</v>
      </c>
      <c r="YU73" s="838" t="e">
        <f>SEARCH(YP$4,$XU$4,YW66)+LEN(YP$4)</f>
        <v>#VALUE!</v>
      </c>
      <c r="YV73" s="406" t="str">
        <f>IF(YW73=IFERROR(SEARCH(".",$XU$4,YU73),99999),".",
IF(YW73=IFERROR(SEARCH(",",$XU$4,YU73),99999),",",
IF(YW73=IFERROR(SEARCH(" за период",$XU$4,YU73),999999)," за период",
IF(YW73=IFERROR(SEARCH(" в размере",$XU$4,YU73),99999)," в размере",
))))</f>
        <v>.</v>
      </c>
      <c r="YW73" s="406">
        <f>IFERROR(MIN(IFERROR(SEARCH(".",$XU$4,YU73),99999),IFERROR(SEARCH(",",$XU$4,YU73),99999),IFERROR(SEARCH(" за период",$XU$4,YU73),999999),IFERROR(SEARCH(" в размере",$XU$4,YU73),99999)),"ОШИБКА")</f>
        <v>99999</v>
      </c>
      <c r="YX73" s="406" t="e">
        <f>YW73-YU73</f>
        <v>#VALUE!</v>
      </c>
      <c r="YY73" s="824" t="e">
        <f>MID($XU$4,YU73,YX73)</f>
        <v>#VALUE!</v>
      </c>
      <c r="YZ73" s="825" t="str">
        <f>IFERROR(INDEX($DU:$DU,MATCH(MID($XU$4,YU73,YX73),$DT:$DT,0),1),"")</f>
        <v/>
      </c>
      <c r="ZA73" s="754"/>
      <c r="ZE73" s="1463">
        <v>11</v>
      </c>
      <c r="ZF73" s="824" t="s">
        <v>8433</v>
      </c>
      <c r="ZG73" s="838" t="e">
        <f>SEARCH(ZB$4,$XU$5,ZI66)+LEN(ZB$4)</f>
        <v>#VALUE!</v>
      </c>
      <c r="ZH73" s="406" t="str">
        <f>IF(ZI73=IFERROR(SEARCH(".",$XU$5,ZG73),99999),".",
IF(ZI73=IFERROR(SEARCH(",",$XU$5,ZG73),99999),",",
IF(ZI73=IFERROR(SEARCH(" за период",$XU$5,ZG73),999999)," за период",
IF(ZI73=IFERROR(SEARCH(" в размере",$XU$5,ZG73),99999)," в размере",
))))</f>
        <v>.</v>
      </c>
      <c r="ZI73" s="406">
        <f>IFERROR(MIN(IFERROR(SEARCH(".",$XU$5,ZG73),99999),IFERROR(SEARCH(",",$XU$5,ZG73),99999),IFERROR(SEARCH(" за период",$XU$5,ZG73),999999),IFERROR(SEARCH(" в размере",$XU$5,ZG73),99999)),"ОШИБКА")</f>
        <v>99999</v>
      </c>
      <c r="ZJ73" s="406" t="e">
        <f>ZI73-ZG73</f>
        <v>#VALUE!</v>
      </c>
      <c r="ZK73" s="824" t="e">
        <f>MID($XU$5,ZG73,ZJ73)</f>
        <v>#VALUE!</v>
      </c>
      <c r="ZL73" s="825" t="str">
        <f>IFERROR(INDEX($DU:$DU,MATCH(MID($XU$5,ZG73,ZJ73),$DT:$DT,0),1),"")</f>
        <v/>
      </c>
      <c r="ZM73" s="754"/>
      <c r="ZQ73" s="1463">
        <v>11</v>
      </c>
      <c r="ZR73" s="824" t="s">
        <v>8433</v>
      </c>
      <c r="ZS73" s="838" t="e">
        <f>SEARCH(ZN$4,$XU$6,ZU66)+LEN(ZN$4)</f>
        <v>#VALUE!</v>
      </c>
      <c r="ZT73" s="406" t="str">
        <f>IF(ZU73=IFERROR(SEARCH(".",$XU$6,ZS73),99999),".",
IF(ZU73=IFERROR(SEARCH(",",$XU$6,ZS73),99999),",",
IF(ZU73=IFERROR(SEARCH(" за период",$XU$6,ZS73),999999)," за период",
IF(ZU73=IFERROR(SEARCH(" в размере",$XU$6,ZS73),99999)," в размере",
))))</f>
        <v>.</v>
      </c>
      <c r="ZU73" s="406">
        <f>IFERROR(MIN(IFERROR(SEARCH(".",$XU$6,ZS73),99999),IFERROR(SEARCH(",",$XU$6,ZS73),99999),IFERROR(SEARCH(" за период",$XU$6,ZS73),999999),IFERROR(SEARCH(" в размере",$XU$6,ZS73),99999)),"ОШИБКА")</f>
        <v>99999</v>
      </c>
      <c r="ZV73" s="406" t="e">
        <f>ZU73-ZS73</f>
        <v>#VALUE!</v>
      </c>
      <c r="ZW73" s="824" t="e">
        <f>MID($XU$6,ZS73,ZV73)</f>
        <v>#VALUE!</v>
      </c>
      <c r="ZX73" s="825" t="str">
        <f>IFERROR(INDEX($DU:$DU,MATCH(MID($XU$6,ZS73,ZV73),$DT:$DT,0),1),"")</f>
        <v/>
      </c>
      <c r="ZY73" s="754"/>
      <c r="AAC73" s="1463">
        <v>11</v>
      </c>
      <c r="AAD73" s="824" t="s">
        <v>8433</v>
      </c>
      <c r="AAE73" s="838" t="e">
        <f>SEARCH(ZZ$4,$XU$7,AAG66)+LEN(ZZ$4)</f>
        <v>#VALUE!</v>
      </c>
      <c r="AAF73" s="406" t="str">
        <f>IF(AAG73=IFERROR(SEARCH(".",$XU$7,AAE73),99999),".",
IF(AAG73=IFERROR(SEARCH(",",$XU$7,AAE73),99999),",",
IF(AAG73=IFERROR(SEARCH(" за период",$XU$7,AAE73),999999)," за период",
IF(AAG73=IFERROR(SEARCH(" в размере",$XU$7,AAE73),99999)," в размере",
))))</f>
        <v>.</v>
      </c>
      <c r="AAG73" s="406">
        <f>IFERROR(MIN(IFERROR(SEARCH(".",$XU$7,AAE73),99999),IFERROR(SEARCH(",",$XU$7,AAE73),99999),IFERROR(SEARCH(" за период",$XU$7,AAE73),999999),IFERROR(SEARCH(" в размере",$XU$7,AAE73),99999)),"ОШИБКА")</f>
        <v>99999</v>
      </c>
      <c r="AAH73" s="406" t="e">
        <f>AAG73-AAE73</f>
        <v>#VALUE!</v>
      </c>
      <c r="AAI73" s="824" t="e">
        <f>MID($XU$7,AAE73,AAH73)</f>
        <v>#VALUE!</v>
      </c>
      <c r="AAJ73" s="825" t="str">
        <f>IFERROR(INDEX($DU:$DU,MATCH(MID($XU$7,AAE73,AAH73),$DT:$DT,0),1),"")</f>
        <v/>
      </c>
      <c r="AAK73" s="754"/>
      <c r="AAL73" s="754"/>
      <c r="AAM73" s="754"/>
      <c r="AFE73" s="1463">
        <v>11</v>
      </c>
      <c r="AFF73" s="824" t="s">
        <v>8433</v>
      </c>
      <c r="AFG73" s="838" t="e">
        <f>SEARCH(AFB$4,AFD$4,AFI66)+LEN(AFB$4)</f>
        <v>#VALUE!</v>
      </c>
      <c r="AFH73" s="406" t="str">
        <f>IF(AFI73=IFERROR(SEARCH(".",AFD$4,AFG73),99999),".",
IF(AFI73=IFERROR(SEARCH(",",AFD$4,AFG73),99999),",",
IF(AFI73=IFERROR(SEARCH(" за период",AFD$4,AFG73),999999)," за период",
IF(AFI73=IFERROR(SEARCH(" в размере",AFD$4,AFG73),99999)," в размере",
))))</f>
        <v>.</v>
      </c>
      <c r="AFI73" s="406">
        <f>IFERROR(MIN(IFERROR(SEARCH(".",AFD$4,AFG73),99999),IFERROR(SEARCH(",",AFD$4,AFG73),99999),IFERROR(SEARCH(" за период",AFD$4,AFG73),999999),IFERROR(SEARCH(" в размере",AFD$4,AFG73),99999)),"ОШИБКА")</f>
        <v>99999</v>
      </c>
      <c r="AFJ73" s="406" t="e">
        <f>AFI73-AFG73</f>
        <v>#VALUE!</v>
      </c>
      <c r="AFK73" s="824" t="e">
        <f>MID(AFD$4,AFG73,AFJ73)</f>
        <v>#VALUE!</v>
      </c>
      <c r="AFL73" s="825" t="str">
        <f>IFERROR(INDEX($DU:$DU,MATCH(MID(AFD$4,AFG73,AFJ73),$DT:$DT,0),1),"")</f>
        <v/>
      </c>
      <c r="AFM73" s="754"/>
      <c r="AFQ73" s="1463">
        <v>11</v>
      </c>
      <c r="AFR73" s="824" t="s">
        <v>8433</v>
      </c>
      <c r="AFS73" s="838" t="e">
        <f>SEARCH(AFN$4,AFP$4,AFU66)+LEN(AFN$4)</f>
        <v>#VALUE!</v>
      </c>
      <c r="AFT73" s="406" t="str">
        <f>IF(AFU73=IFERROR(SEARCH(".",AFP$4,AFS73),99999),".",
IF(AFU73=IFERROR(SEARCH(",",AFP$4,AFS73),99999),",",
IF(AFU73=IFERROR(SEARCH(" за период",AFP$4,AFS73),999999)," за период",
IF(AFU73=IFERROR(SEARCH(" в размере",AFP$4,AFS73),99999)," в размере",
))))</f>
        <v>.</v>
      </c>
      <c r="AFU73" s="406">
        <f>IFERROR(MIN(IFERROR(SEARCH(".",AFP$4,AFS73),99999),IFERROR(SEARCH(",",AFP$4,AFS73),99999),IFERROR(SEARCH(" за период",AFP$4,AFS73),999999),IFERROR(SEARCH(" в размере",AFP$4,AFS73),99999)),"ОШИБКА")</f>
        <v>99999</v>
      </c>
      <c r="AFV73" s="406" t="e">
        <f>AFU73-AFS73</f>
        <v>#VALUE!</v>
      </c>
      <c r="AFW73" s="824" t="e">
        <f>MID(AFP$4,AFS73,AFV73)</f>
        <v>#VALUE!</v>
      </c>
      <c r="AFX73" s="825" t="str">
        <f>IFERROR(INDEX($DU:$DU,MATCH(MID(AFP$4,AFS73,AFV73),$DT:$DT,0),1),"")</f>
        <v/>
      </c>
      <c r="AFY73" s="754"/>
      <c r="AGC73" s="1463">
        <v>11</v>
      </c>
      <c r="AGD73" s="824" t="s">
        <v>8433</v>
      </c>
      <c r="AGE73" s="838" t="e">
        <f>SEARCH(AFZ$4,AGB$4,AGG66)+LEN(AFZ$4)</f>
        <v>#VALUE!</v>
      </c>
      <c r="AGF73" s="406" t="str">
        <f>IF(AGG73=IFERROR(SEARCH(".",AGB$4,AGE73),99999),".",
IF(AGG73=IFERROR(SEARCH(",",AGB$4,AGE73),99999),",",
IF(AGG73=IFERROR(SEARCH(" за период",AGB$4,AGE73),999999)," за период",
IF(AGG73=IFERROR(SEARCH(" в размере",AGB$4,AGE73),99999)," в размере",
))))</f>
        <v>.</v>
      </c>
      <c r="AGG73" s="406">
        <f>IFERROR(MIN(IFERROR(SEARCH(".",AGB$4,AGE73),99999),IFERROR(SEARCH(",",AGB$4,AGE73),99999),IFERROR(SEARCH(" за период",AGB$4,AGE73),999999),IFERROR(SEARCH(" в размере",AGB$4,AGE73),99999)),"ОШИБКА")</f>
        <v>99999</v>
      </c>
      <c r="AGH73" s="406" t="e">
        <f>AGG73-AGE73</f>
        <v>#VALUE!</v>
      </c>
      <c r="AGI73" s="824" t="e">
        <f>MID(AGB$4,AGE73,AGH73)</f>
        <v>#VALUE!</v>
      </c>
      <c r="AGJ73" s="825" t="str">
        <f>IFERROR(INDEX($DU:$DU,MATCH(MID(AGB$4,AGE73,AGH73),$DT:$DT,0),1),"")</f>
        <v/>
      </c>
      <c r="AGK73" s="754"/>
      <c r="AGO73" s="1463">
        <v>11</v>
      </c>
      <c r="AGP73" s="824" t="s">
        <v>8433</v>
      </c>
      <c r="AGQ73" s="838" t="e">
        <f>SEARCH(AGL$4,AGN$4,AGS66)+LEN(AGL$4)</f>
        <v>#VALUE!</v>
      </c>
      <c r="AGR73" s="406" t="str">
        <f>IF(AGS73=IFERROR(SEARCH(".",AGN$4,AGQ73),99999),".",
IF(AGS73=IFERROR(SEARCH(",",AGN$4,AGQ73),99999),",",
IF(AGS73=IFERROR(SEARCH(" за период",AGN$4,AGQ73),999999)," за период",
IF(AGS73=IFERROR(SEARCH(" в размере",AGN$4,AGQ73),99999)," в размере",
))))</f>
        <v>.</v>
      </c>
      <c r="AGS73" s="406">
        <f>IFERROR(MIN(IFERROR(SEARCH(".",AGN$4,AGQ73),99999),IFERROR(SEARCH(",",AGN$4,AGQ73),99999),IFERROR(SEARCH(" за период",AGN$4,AGQ73),999999),IFERROR(SEARCH(" в размере",AGN$4,AGQ73),99999)),"ОШИБКА")</f>
        <v>99999</v>
      </c>
      <c r="AGT73" s="406" t="e">
        <f>AGS73-AGQ73</f>
        <v>#VALUE!</v>
      </c>
      <c r="AGU73" s="824" t="e">
        <f>MID(AGN$4,AGQ73,AGT73)</f>
        <v>#VALUE!</v>
      </c>
      <c r="AGV73" s="825" t="str">
        <f>IFERROR(INDEX($DU:$DU,MATCH(MID(AGN$4,AGQ73,AGT73),$DT:$DT,0),1),"")</f>
        <v/>
      </c>
      <c r="AGW73" s="754"/>
      <c r="AHA73" s="1463">
        <v>11</v>
      </c>
      <c r="AHB73" s="824" t="s">
        <v>8433</v>
      </c>
      <c r="AHC73" s="838" t="e">
        <f>SEARCH(AGX$4,AGZ$4,AHE66)+LEN(AGX$4)</f>
        <v>#VALUE!</v>
      </c>
      <c r="AHD73" s="406" t="str">
        <f>IF(AHE73=IFERROR(SEARCH(".",AGZ$4,AHC73),99999),".",
IF(AHE73=IFERROR(SEARCH(",",AGZ$4,AHC73),99999),",",
IF(AHE73=IFERROR(SEARCH(" за период",AGZ$4,AHC73),999999)," за период",
IF(AHE73=IFERROR(SEARCH(" в размере",AGZ$4,AHC73),99999)," в размере",
))))</f>
        <v>.</v>
      </c>
      <c r="AHE73" s="406">
        <f>IFERROR(MIN(IFERROR(SEARCH(".",AGZ$4,AHC73),99999),IFERROR(SEARCH(",",AGZ$4,AHC73),99999),IFERROR(SEARCH(" за период",AGZ$4,AHC73),999999),IFERROR(SEARCH(" в размере",AGZ$4,AHC73),99999)),"ОШИБКА")</f>
        <v>99999</v>
      </c>
      <c r="AHF73" s="406" t="e">
        <f>AHE73-AHC73</f>
        <v>#VALUE!</v>
      </c>
      <c r="AHG73" s="824" t="e">
        <f>MID(AGZ$4,AHC73,AHF73)</f>
        <v>#VALUE!</v>
      </c>
      <c r="AHH73" s="825" t="str">
        <f>IFERROR(INDEX($DU:$DU,MATCH(MID(AGZ$4,AHC73,AHF73),$DT:$DT,0),1),"")</f>
        <v/>
      </c>
      <c r="AHI73" s="754"/>
    </row>
    <row r="74" spans="1:893" x14ac:dyDescent="0.3">
      <c r="B74" s="116"/>
      <c r="C74" s="116"/>
      <c r="D74" s="116"/>
      <c r="E74" s="116"/>
      <c r="F74" s="116"/>
      <c r="G74" s="116"/>
      <c r="H74" s="116"/>
      <c r="I74" s="116"/>
      <c r="DT74" t="s">
        <v>8986</v>
      </c>
      <c r="DU74" s="821" t="s">
        <v>1248</v>
      </c>
      <c r="DV74" s="1464"/>
      <c r="DW74" s="826" t="s">
        <v>8435</v>
      </c>
      <c r="DX74" s="836" t="str">
        <f>IF(DY73=" за период",SEARCH(" за период",$C$3,DZ73)+LEN(" за период")+3,"НЕТ")</f>
        <v>НЕТ</v>
      </c>
      <c r="DY74" s="306" t="s">
        <v>8434</v>
      </c>
      <c r="DZ74" s="306" t="e">
        <f>SEARCH(DY74,$C$3,DX74)</f>
        <v>#VALUE!</v>
      </c>
      <c r="EA74" s="306" t="e">
        <f>DZ74-DX74</f>
        <v>#VALUE!</v>
      </c>
      <c r="EB74" s="827" t="e">
        <f>DATEVALUE(MID($C$3,DX74,EA74))</f>
        <v>#VALUE!</v>
      </c>
      <c r="EC74" s="828" t="str">
        <f>IF(DY73=" за период",EB74,"")</f>
        <v/>
      </c>
      <c r="NK74" s="1464"/>
      <c r="NL74" s="826" t="s">
        <v>8435</v>
      </c>
      <c r="NM74" s="836" t="str">
        <f>IF(NN73=" за период",SEARCH(" за период",NJ$4,NO73)+LEN(" за период")+3,"НЕТ")</f>
        <v>НЕТ</v>
      </c>
      <c r="NN74" s="306" t="s">
        <v>8434</v>
      </c>
      <c r="NO74" s="306" t="e">
        <f>SEARCH(NN74,NJ$4,NM74)</f>
        <v>#VALUE!</v>
      </c>
      <c r="NP74" s="306" t="e">
        <f>NO74-NM74</f>
        <v>#VALUE!</v>
      </c>
      <c r="NQ74" s="827" t="e">
        <f>DATEVALUE(MID(NJ$4,NM74,NP74))</f>
        <v>#VALUE!</v>
      </c>
      <c r="NR74" s="828" t="str">
        <f>IF(NN73=" за период",NQ74,"")</f>
        <v/>
      </c>
      <c r="SY74" s="1464"/>
      <c r="SZ74" s="826" t="s">
        <v>8435</v>
      </c>
      <c r="TA74" s="836" t="str">
        <f>IF(TB73=" за период",SEARCH(" за период",$SQ$3,TC73)+LEN(" за период")+3,"НЕТ")</f>
        <v>НЕТ</v>
      </c>
      <c r="TB74" s="306" t="s">
        <v>8434</v>
      </c>
      <c r="TC74" s="306" t="e">
        <f>SEARCH(TB74,$SQ$3,TA74)</f>
        <v>#VALUE!</v>
      </c>
      <c r="TD74" s="306" t="e">
        <f>TC74-TA74</f>
        <v>#VALUE!</v>
      </c>
      <c r="TE74" s="827" t="e">
        <f>DATEVALUE(MID($SQ$3,TA74,TD74))</f>
        <v>#VALUE!</v>
      </c>
      <c r="TF74" s="828" t="str">
        <f>IF(TB73=" за период",TE74,"")</f>
        <v/>
      </c>
      <c r="TK74" s="1004"/>
      <c r="TL74" s="1036"/>
      <c r="TM74" s="1036"/>
      <c r="TN74" s="1036"/>
      <c r="TO74" s="1036"/>
      <c r="TP74" s="1036"/>
      <c r="TQ74" s="1035"/>
      <c r="TR74" s="1004"/>
      <c r="TW74" s="1464"/>
      <c r="TX74" s="826" t="s">
        <v>8435</v>
      </c>
      <c r="TY74" s="836" t="str">
        <f>IF(TZ73=" за период",SEARCH(" за период",$SQ$4,UA73)+LEN(" за период")+3,"НЕТ")</f>
        <v>НЕТ</v>
      </c>
      <c r="TZ74" s="306" t="s">
        <v>8434</v>
      </c>
      <c r="UA74" s="306" t="e">
        <f>SEARCH(TZ74,$SQ$4,TY74)</f>
        <v>#VALUE!</v>
      </c>
      <c r="UB74" s="306" t="e">
        <f>UA74-TY74</f>
        <v>#VALUE!</v>
      </c>
      <c r="UC74" s="827" t="e">
        <f>DATEVALUE(MID($SQ$4,TY74,UB74))</f>
        <v>#VALUE!</v>
      </c>
      <c r="UD74" s="828" t="str">
        <f>IF(TZ73=" за период",UC74,"")</f>
        <v/>
      </c>
      <c r="UI74" s="1004"/>
      <c r="UJ74" s="1036"/>
      <c r="UK74" s="1036"/>
      <c r="UL74" s="1036"/>
      <c r="UM74" s="1036"/>
      <c r="UN74" s="1036"/>
      <c r="UO74" s="1035"/>
      <c r="UP74" s="1004"/>
      <c r="UU74" s="1464"/>
      <c r="UV74" s="826" t="s">
        <v>8435</v>
      </c>
      <c r="UW74" s="836" t="str">
        <f>IF(UX73=" за период",SEARCH(" за период",$SQ$5,UY73)+LEN(" за период")+3,"НЕТ")</f>
        <v>НЕТ</v>
      </c>
      <c r="UX74" s="306" t="s">
        <v>8434</v>
      </c>
      <c r="UY74" s="306" t="e">
        <f>SEARCH(UX74,$SQ$5,UW74)</f>
        <v>#VALUE!</v>
      </c>
      <c r="UZ74" s="306" t="e">
        <f>UY74-UW74</f>
        <v>#VALUE!</v>
      </c>
      <c r="VA74" s="827" t="e">
        <f>DATEVALUE(MID($SQ$5,UW74,UZ74))</f>
        <v>#VALUE!</v>
      </c>
      <c r="VB74" s="828" t="str">
        <f>IF(UX73=" за период",VA74,"")</f>
        <v/>
      </c>
      <c r="VG74" s="1004"/>
      <c r="VH74" s="1036"/>
      <c r="VI74" s="1036"/>
      <c r="VJ74" s="1036"/>
      <c r="VK74" s="1036"/>
      <c r="VL74" s="1036"/>
      <c r="VM74" s="1035"/>
      <c r="VN74" s="1004"/>
      <c r="VS74" s="1464"/>
      <c r="VT74" s="826" t="s">
        <v>8435</v>
      </c>
      <c r="VU74" s="836" t="str">
        <f>IF(VV73=" за период",SEARCH(" за период",$SQ$6,VW73)+LEN(" за период")+3,"НЕТ")</f>
        <v>НЕТ</v>
      </c>
      <c r="VV74" s="306" t="s">
        <v>8434</v>
      </c>
      <c r="VW74" s="306" t="e">
        <f>SEARCH(VV74,$SQ$6,VU74)</f>
        <v>#VALUE!</v>
      </c>
      <c r="VX74" s="306" t="e">
        <f>VW74-VU74</f>
        <v>#VALUE!</v>
      </c>
      <c r="VY74" s="827" t="e">
        <f>DATEVALUE(MID($SQ$6,VU74,VX74))</f>
        <v>#VALUE!</v>
      </c>
      <c r="VZ74" s="828" t="str">
        <f>IF(VV73=" за период",VY74,"")</f>
        <v/>
      </c>
      <c r="WE74" s="1004"/>
      <c r="WF74" s="1036"/>
      <c r="WG74" s="1036"/>
      <c r="WH74" s="1036"/>
      <c r="WI74" s="1036"/>
      <c r="WJ74" s="1036"/>
      <c r="WK74" s="1035"/>
      <c r="WL74" s="1004"/>
      <c r="WQ74" s="1464"/>
      <c r="WR74" s="826" t="s">
        <v>8435</v>
      </c>
      <c r="WS74" s="836" t="str">
        <f>IF(WT73=" за период",SEARCH(" за период",$SQ$7,WU73)+LEN(" за период")+3,"НЕТ")</f>
        <v>НЕТ</v>
      </c>
      <c r="WT74" s="306" t="s">
        <v>8434</v>
      </c>
      <c r="WU74" s="306" t="e">
        <f>SEARCH(WT74,$SQ$7,WS74)</f>
        <v>#VALUE!</v>
      </c>
      <c r="WV74" s="306" t="e">
        <f>WU74-WS74</f>
        <v>#VALUE!</v>
      </c>
      <c r="WW74" s="827" t="e">
        <f>DATEVALUE(MID($SQ$7,WS74,WV74))</f>
        <v>#VALUE!</v>
      </c>
      <c r="WX74" s="828" t="str">
        <f>IF(WT73=" за период",WW74,"")</f>
        <v/>
      </c>
      <c r="XC74" s="1004"/>
      <c r="XD74" s="1036"/>
      <c r="XE74" s="1036"/>
      <c r="XF74" s="1036"/>
      <c r="XG74" s="1036"/>
      <c r="XH74" s="1036"/>
      <c r="XI74" s="1035"/>
      <c r="XJ74" s="1004"/>
      <c r="YG74" s="1464"/>
      <c r="YH74" s="826" t="s">
        <v>8435</v>
      </c>
      <c r="YI74" s="836" t="str">
        <f>IF(YJ73=" за период",SEARCH(" за период",$XU$3,YK73)+LEN(" за период")+3,"НЕТ")</f>
        <v>НЕТ</v>
      </c>
      <c r="YJ74" s="306" t="s">
        <v>8434</v>
      </c>
      <c r="YK74" s="306" t="e">
        <f>SEARCH(YJ74,$XU$3,YI74)</f>
        <v>#VALUE!</v>
      </c>
      <c r="YL74" s="306" t="e">
        <f>YK74-YI74</f>
        <v>#VALUE!</v>
      </c>
      <c r="YM74" s="827" t="e">
        <f>DATEVALUE(MID($XU$3,YI74,YL74))</f>
        <v>#VALUE!</v>
      </c>
      <c r="YN74" s="828" t="str">
        <f>IF(YJ73=" за период",YM74,"")</f>
        <v/>
      </c>
      <c r="YS74" s="1464"/>
      <c r="YT74" s="826" t="s">
        <v>8435</v>
      </c>
      <c r="YU74" s="836" t="str">
        <f>IF(YV73=" за период",SEARCH(" за период",$XU$4,YW73)+LEN(" за период")+3,"НЕТ")</f>
        <v>НЕТ</v>
      </c>
      <c r="YV74" s="306" t="s">
        <v>8434</v>
      </c>
      <c r="YW74" s="306" t="e">
        <f>SEARCH(YV74,$XU$4,YU74)</f>
        <v>#VALUE!</v>
      </c>
      <c r="YX74" s="306" t="e">
        <f>YW74-YU74</f>
        <v>#VALUE!</v>
      </c>
      <c r="YY74" s="827" t="e">
        <f>DATEVALUE(MID($XU$4,YU74,YX74))</f>
        <v>#VALUE!</v>
      </c>
      <c r="YZ74" s="828" t="str">
        <f>IF(YV73=" за период",YY74,"")</f>
        <v/>
      </c>
      <c r="ZE74" s="1464"/>
      <c r="ZF74" s="826" t="s">
        <v>8435</v>
      </c>
      <c r="ZG74" s="836" t="str">
        <f>IF(ZH73=" за период",SEARCH(" за период",$XU$5,ZI73)+LEN(" за период")+3,"НЕТ")</f>
        <v>НЕТ</v>
      </c>
      <c r="ZH74" s="306" t="s">
        <v>8434</v>
      </c>
      <c r="ZI74" s="306" t="e">
        <f>SEARCH(ZH74,$XU$5,ZG74)</f>
        <v>#VALUE!</v>
      </c>
      <c r="ZJ74" s="306" t="e">
        <f>ZI74-ZG74</f>
        <v>#VALUE!</v>
      </c>
      <c r="ZK74" s="827" t="e">
        <f>DATEVALUE(MID($XU$5,ZG74,ZJ74))</f>
        <v>#VALUE!</v>
      </c>
      <c r="ZL74" s="828" t="str">
        <f>IF(ZH73=" за период",ZK74,"")</f>
        <v/>
      </c>
      <c r="ZQ74" s="1464"/>
      <c r="ZR74" s="826" t="s">
        <v>8435</v>
      </c>
      <c r="ZS74" s="836" t="str">
        <f>IF(ZT73=" за период",SEARCH(" за период",$XU$6,ZU73)+LEN(" за период")+3,"НЕТ")</f>
        <v>НЕТ</v>
      </c>
      <c r="ZT74" s="306" t="s">
        <v>8434</v>
      </c>
      <c r="ZU74" s="306" t="e">
        <f>SEARCH(ZT74,$XU$6,ZS74)</f>
        <v>#VALUE!</v>
      </c>
      <c r="ZV74" s="306" t="e">
        <f>ZU74-ZS74</f>
        <v>#VALUE!</v>
      </c>
      <c r="ZW74" s="827" t="e">
        <f>DATEVALUE(MID($XU$6,ZS74,ZV74))</f>
        <v>#VALUE!</v>
      </c>
      <c r="ZX74" s="828" t="str">
        <f>IF(ZT73=" за период",ZW74,"")</f>
        <v/>
      </c>
      <c r="AAC74" s="1464"/>
      <c r="AAD74" s="826" t="s">
        <v>8435</v>
      </c>
      <c r="AAE74" s="836" t="str">
        <f>IF(AAF73=" за период",SEARCH(" за период",$XU$7,AAG73)+LEN(" за период")+3,"НЕТ")</f>
        <v>НЕТ</v>
      </c>
      <c r="AAF74" s="306" t="s">
        <v>8434</v>
      </c>
      <c r="AAG74" s="306" t="e">
        <f>SEARCH(AAF74,$XU$7,AAE74)</f>
        <v>#VALUE!</v>
      </c>
      <c r="AAH74" s="306" t="e">
        <f>AAG74-AAE74</f>
        <v>#VALUE!</v>
      </c>
      <c r="AAI74" s="827" t="e">
        <f>DATEVALUE(MID($XU$7,AAE74,AAH74))</f>
        <v>#VALUE!</v>
      </c>
      <c r="AAJ74" s="828" t="str">
        <f>IF(AAF73=" за период",AAI74,"")</f>
        <v/>
      </c>
      <c r="AFE74" s="1464"/>
      <c r="AFF74" s="826" t="s">
        <v>8435</v>
      </c>
      <c r="AFG74" s="836" t="str">
        <f>IF(AFH73=" за период",SEARCH(" за период",AFD$4,AFI73)+LEN(" за период")+3,"НЕТ")</f>
        <v>НЕТ</v>
      </c>
      <c r="AFH74" s="306" t="s">
        <v>8434</v>
      </c>
      <c r="AFI74" s="306" t="e">
        <f>SEARCH(AFH74,AFD$4,AFG74)</f>
        <v>#VALUE!</v>
      </c>
      <c r="AFJ74" s="306" t="e">
        <f>AFI74-AFG74</f>
        <v>#VALUE!</v>
      </c>
      <c r="AFK74" s="827" t="e">
        <f>DATEVALUE(MID(AFD$4,AFG74,AFJ74))</f>
        <v>#VALUE!</v>
      </c>
      <c r="AFL74" s="828" t="str">
        <f>IF(AFH73=" за период",AFK74,"")</f>
        <v/>
      </c>
      <c r="AFQ74" s="1464"/>
      <c r="AFR74" s="826" t="s">
        <v>8435</v>
      </c>
      <c r="AFS74" s="836" t="str">
        <f>IF(AFT73=" за период",SEARCH(" за период",AFP$4,AFU73)+LEN(" за период")+3,"НЕТ")</f>
        <v>НЕТ</v>
      </c>
      <c r="AFT74" s="306" t="s">
        <v>8434</v>
      </c>
      <c r="AFU74" s="306" t="e">
        <f>SEARCH(AFT74,AFP$4,AFS74)</f>
        <v>#VALUE!</v>
      </c>
      <c r="AFV74" s="306" t="e">
        <f>AFU74-AFS74</f>
        <v>#VALUE!</v>
      </c>
      <c r="AFW74" s="827" t="e">
        <f>DATEVALUE(MID(AFP$4,AFS74,AFV74))</f>
        <v>#VALUE!</v>
      </c>
      <c r="AFX74" s="828" t="str">
        <f>IF(AFT73=" за период",AFW74,"")</f>
        <v/>
      </c>
      <c r="AGC74" s="1464"/>
      <c r="AGD74" s="826" t="s">
        <v>8435</v>
      </c>
      <c r="AGE74" s="836" t="str">
        <f>IF(AGF73=" за период",SEARCH(" за период",AGB$4,AGG73)+LEN(" за период")+3,"НЕТ")</f>
        <v>НЕТ</v>
      </c>
      <c r="AGF74" s="306" t="s">
        <v>8434</v>
      </c>
      <c r="AGG74" s="306" t="e">
        <f>SEARCH(AGF74,AGB$4,AGE74)</f>
        <v>#VALUE!</v>
      </c>
      <c r="AGH74" s="306" t="e">
        <f>AGG74-AGE74</f>
        <v>#VALUE!</v>
      </c>
      <c r="AGI74" s="827" t="e">
        <f>DATEVALUE(MID(AGB$4,AGE74,AGH74))</f>
        <v>#VALUE!</v>
      </c>
      <c r="AGJ74" s="828" t="str">
        <f>IF(AGF73=" за период",AGI74,"")</f>
        <v/>
      </c>
      <c r="AGO74" s="1464"/>
      <c r="AGP74" s="826" t="s">
        <v>8435</v>
      </c>
      <c r="AGQ74" s="836" t="str">
        <f>IF(AGR73=" за период",SEARCH(" за период",AGN$4,AGS73)+LEN(" за период")+3,"НЕТ")</f>
        <v>НЕТ</v>
      </c>
      <c r="AGR74" s="306" t="s">
        <v>8434</v>
      </c>
      <c r="AGS74" s="306" t="e">
        <f>SEARCH(AGR74,AGN$4,AGQ74)</f>
        <v>#VALUE!</v>
      </c>
      <c r="AGT74" s="306" t="e">
        <f>AGS74-AGQ74</f>
        <v>#VALUE!</v>
      </c>
      <c r="AGU74" s="827" t="e">
        <f>DATEVALUE(MID(AGN$4,AGQ74,AGT74))</f>
        <v>#VALUE!</v>
      </c>
      <c r="AGV74" s="828" t="str">
        <f>IF(AGR73=" за период",AGU74,"")</f>
        <v/>
      </c>
      <c r="AHA74" s="1464"/>
      <c r="AHB74" s="826" t="s">
        <v>8435</v>
      </c>
      <c r="AHC74" s="836" t="str">
        <f>IF(AHD73=" за период",SEARCH(" за период",AGZ$4,AHE73)+LEN(" за период")+3,"НЕТ")</f>
        <v>НЕТ</v>
      </c>
      <c r="AHD74" s="306" t="s">
        <v>8434</v>
      </c>
      <c r="AHE74" s="306" t="e">
        <f>SEARCH(AHD74,AGZ$4,AHC74)</f>
        <v>#VALUE!</v>
      </c>
      <c r="AHF74" s="306" t="e">
        <f>AHE74-AHC74</f>
        <v>#VALUE!</v>
      </c>
      <c r="AHG74" s="827" t="e">
        <f>DATEVALUE(MID(AGZ$4,AHC74,AHF74))</f>
        <v>#VALUE!</v>
      </c>
      <c r="AHH74" s="828" t="str">
        <f>IF(AHD73=" за период",AHG74,"")</f>
        <v/>
      </c>
    </row>
    <row r="75" spans="1:893" ht="17.100000000000001" customHeight="1" x14ac:dyDescent="0.3">
      <c r="B75" s="116"/>
      <c r="C75" s="116"/>
      <c r="D75" s="116"/>
      <c r="E75" s="116"/>
      <c r="F75" s="116"/>
      <c r="G75" s="116"/>
      <c r="H75" s="116"/>
      <c r="I75" s="116"/>
      <c r="DT75" t="s">
        <v>8998</v>
      </c>
      <c r="DU75" s="821" t="s">
        <v>8555</v>
      </c>
      <c r="DV75" s="1464"/>
      <c r="DW75" s="826" t="s">
        <v>8436</v>
      </c>
      <c r="DX75" s="836" t="e">
        <f>SEARCH(" ",$C$3,DZ74+1)+1</f>
        <v>#VALUE!</v>
      </c>
      <c r="DY75" s="306"/>
      <c r="DZ75" s="306" t="e">
        <f>DX75+EA75</f>
        <v>#VALUE!</v>
      </c>
      <c r="EA75" s="306">
        <v>10</v>
      </c>
      <c r="EB75" s="827" t="e">
        <f>DATEVALUE(MID($C$3,DX75,EA75))</f>
        <v>#VALUE!</v>
      </c>
      <c r="EC75" s="828" t="str">
        <f>IF(DY73=" за период",EB75,"")</f>
        <v/>
      </c>
      <c r="NK75" s="1464"/>
      <c r="NL75" s="826" t="s">
        <v>8436</v>
      </c>
      <c r="NM75" s="836" t="e">
        <f>SEARCH(" ",NJ$4,NO74+1)+1</f>
        <v>#VALUE!</v>
      </c>
      <c r="NN75" s="306"/>
      <c r="NO75" s="306" t="e">
        <f>NM75+NP75</f>
        <v>#VALUE!</v>
      </c>
      <c r="NP75" s="306">
        <v>10</v>
      </c>
      <c r="NQ75" s="827" t="e">
        <f>DATEVALUE(MID(NJ$4,NM75,NP75))</f>
        <v>#VALUE!</v>
      </c>
      <c r="NR75" s="828" t="str">
        <f>IF(NN73=" за период",NQ75,"")</f>
        <v/>
      </c>
      <c r="SY75" s="1464"/>
      <c r="SZ75" s="826" t="s">
        <v>8436</v>
      </c>
      <c r="TA75" s="836" t="e">
        <f>SEARCH(" ",$SQ$3,TC74+1)+1</f>
        <v>#VALUE!</v>
      </c>
      <c r="TB75" s="306"/>
      <c r="TC75" s="306" t="e">
        <f>TA75+TD75</f>
        <v>#VALUE!</v>
      </c>
      <c r="TD75" s="306">
        <v>10</v>
      </c>
      <c r="TE75" s="827" t="e">
        <f>DATEVALUE(MID($SQ$3,TA75,TD75))</f>
        <v>#VALUE!</v>
      </c>
      <c r="TF75" s="828" t="str">
        <f>IF(TB73=" за период",TE75,"")</f>
        <v/>
      </c>
      <c r="TK75" s="1004"/>
      <c r="TL75" s="1036"/>
      <c r="TM75" s="1036"/>
      <c r="TN75" s="1036"/>
      <c r="TO75" s="1036"/>
      <c r="TP75" s="1036"/>
      <c r="TQ75" s="1038"/>
      <c r="TR75" s="1039"/>
      <c r="TW75" s="1464"/>
      <c r="TX75" s="826" t="s">
        <v>8436</v>
      </c>
      <c r="TY75" s="836" t="e">
        <f>SEARCH(" ",$SQ$4,UA74+1)+1</f>
        <v>#VALUE!</v>
      </c>
      <c r="TZ75" s="306"/>
      <c r="UA75" s="306" t="e">
        <f>TY75+UB75</f>
        <v>#VALUE!</v>
      </c>
      <c r="UB75" s="306">
        <v>10</v>
      </c>
      <c r="UC75" s="827" t="e">
        <f>DATEVALUE(MID($SQ$4,TY75,UB75))</f>
        <v>#VALUE!</v>
      </c>
      <c r="UD75" s="828" t="str">
        <f>IF(TZ73=" за период",UC75,"")</f>
        <v/>
      </c>
      <c r="UI75" s="1004"/>
      <c r="UJ75" s="1036"/>
      <c r="UK75" s="1036"/>
      <c r="UL75" s="1036"/>
      <c r="UM75" s="1036"/>
      <c r="UN75" s="1036"/>
      <c r="UO75" s="1038"/>
      <c r="UP75" s="1039"/>
      <c r="UU75" s="1464"/>
      <c r="UV75" s="826" t="s">
        <v>8436</v>
      </c>
      <c r="UW75" s="836" t="e">
        <f>SEARCH(" ",$SQ$5,UY74+1)+1</f>
        <v>#VALUE!</v>
      </c>
      <c r="UX75" s="306"/>
      <c r="UY75" s="306" t="e">
        <f>UW75+UZ75</f>
        <v>#VALUE!</v>
      </c>
      <c r="UZ75" s="306">
        <v>10</v>
      </c>
      <c r="VA75" s="827" t="e">
        <f>DATEVALUE(MID($SQ$5,UW75,UZ75))</f>
        <v>#VALUE!</v>
      </c>
      <c r="VB75" s="828" t="str">
        <f>IF(UX73=" за период",VA75,"")</f>
        <v/>
      </c>
      <c r="VG75" s="1004"/>
      <c r="VH75" s="1036"/>
      <c r="VI75" s="1036"/>
      <c r="VJ75" s="1036"/>
      <c r="VK75" s="1036"/>
      <c r="VL75" s="1036"/>
      <c r="VM75" s="1038"/>
      <c r="VN75" s="1039"/>
      <c r="VS75" s="1464"/>
      <c r="VT75" s="826" t="s">
        <v>8436</v>
      </c>
      <c r="VU75" s="836" t="e">
        <f>SEARCH(" ",$SQ$6,VW74+1)+1</f>
        <v>#VALUE!</v>
      </c>
      <c r="VV75" s="306"/>
      <c r="VW75" s="306" t="e">
        <f>VU75+VX75</f>
        <v>#VALUE!</v>
      </c>
      <c r="VX75" s="306">
        <v>10</v>
      </c>
      <c r="VY75" s="827" t="e">
        <f>DATEVALUE(MID($SQ$6,VU75,VX75))</f>
        <v>#VALUE!</v>
      </c>
      <c r="VZ75" s="828" t="str">
        <f>IF(VV73=" за период",VY75,"")</f>
        <v/>
      </c>
      <c r="WE75" s="1004"/>
      <c r="WF75" s="1036"/>
      <c r="WG75" s="1036"/>
      <c r="WH75" s="1036"/>
      <c r="WI75" s="1036"/>
      <c r="WJ75" s="1036"/>
      <c r="WK75" s="1038"/>
      <c r="WL75" s="1039"/>
      <c r="WQ75" s="1464"/>
      <c r="WR75" s="826" t="s">
        <v>8436</v>
      </c>
      <c r="WS75" s="836" t="e">
        <f>SEARCH(" ",$SQ$7,WU74+1)+1</f>
        <v>#VALUE!</v>
      </c>
      <c r="WT75" s="306"/>
      <c r="WU75" s="306" t="e">
        <f>WS75+WV75</f>
        <v>#VALUE!</v>
      </c>
      <c r="WV75" s="306">
        <v>10</v>
      </c>
      <c r="WW75" s="827" t="e">
        <f>DATEVALUE(MID($SQ$7,WS75,WV75))</f>
        <v>#VALUE!</v>
      </c>
      <c r="WX75" s="828" t="str">
        <f>IF(WT73=" за период",WW75,"")</f>
        <v/>
      </c>
      <c r="XC75" s="1004"/>
      <c r="XD75" s="1036"/>
      <c r="XE75" s="1036"/>
      <c r="XF75" s="1036"/>
      <c r="XG75" s="1036"/>
      <c r="XH75" s="1036"/>
      <c r="XI75" s="1038"/>
      <c r="XJ75" s="1039"/>
      <c r="YG75" s="1464"/>
      <c r="YH75" s="826" t="s">
        <v>8436</v>
      </c>
      <c r="YI75" s="836" t="e">
        <f>SEARCH(" ",$XU$3,YK74+1)+1</f>
        <v>#VALUE!</v>
      </c>
      <c r="YJ75" s="306"/>
      <c r="YK75" s="306" t="e">
        <f>YI75+YL75</f>
        <v>#VALUE!</v>
      </c>
      <c r="YL75" s="306">
        <v>10</v>
      </c>
      <c r="YM75" s="827" t="e">
        <f>DATEVALUE(MID($XU$3,YI75,YL75))</f>
        <v>#VALUE!</v>
      </c>
      <c r="YN75" s="828" t="str">
        <f>IF(YJ73=" за период",YM75,"")</f>
        <v/>
      </c>
      <c r="YS75" s="1464"/>
      <c r="YT75" s="826" t="s">
        <v>8436</v>
      </c>
      <c r="YU75" s="836" t="e">
        <f>SEARCH(" ",$XU$4,YW74+1)+1</f>
        <v>#VALUE!</v>
      </c>
      <c r="YV75" s="306"/>
      <c r="YW75" s="306" t="e">
        <f>YU75+YX75</f>
        <v>#VALUE!</v>
      </c>
      <c r="YX75" s="306">
        <v>10</v>
      </c>
      <c r="YY75" s="827" t="e">
        <f>DATEVALUE(MID($XU$4,YU75,YX75))</f>
        <v>#VALUE!</v>
      </c>
      <c r="YZ75" s="828" t="str">
        <f>IF(YV73=" за период",YY75,"")</f>
        <v/>
      </c>
      <c r="ZE75" s="1464"/>
      <c r="ZF75" s="826" t="s">
        <v>8436</v>
      </c>
      <c r="ZG75" s="836" t="e">
        <f>SEARCH(" ",$XU$5,ZI74+1)+1</f>
        <v>#VALUE!</v>
      </c>
      <c r="ZH75" s="306"/>
      <c r="ZI75" s="306" t="e">
        <f>ZG75+ZJ75</f>
        <v>#VALUE!</v>
      </c>
      <c r="ZJ75" s="306">
        <v>10</v>
      </c>
      <c r="ZK75" s="827" t="e">
        <f>DATEVALUE(MID($XU$5,ZG75,ZJ75))</f>
        <v>#VALUE!</v>
      </c>
      <c r="ZL75" s="828" t="str">
        <f>IF(ZH73=" за период",ZK75,"")</f>
        <v/>
      </c>
      <c r="ZQ75" s="1464"/>
      <c r="ZR75" s="826" t="s">
        <v>8436</v>
      </c>
      <c r="ZS75" s="836" t="e">
        <f>SEARCH(" ",$XU$6,ZU74+1)+1</f>
        <v>#VALUE!</v>
      </c>
      <c r="ZT75" s="306"/>
      <c r="ZU75" s="306" t="e">
        <f>ZS75+ZV75</f>
        <v>#VALUE!</v>
      </c>
      <c r="ZV75" s="306">
        <v>10</v>
      </c>
      <c r="ZW75" s="827" t="e">
        <f>DATEVALUE(MID($XU$6,ZS75,ZV75))</f>
        <v>#VALUE!</v>
      </c>
      <c r="ZX75" s="828" t="str">
        <f>IF(ZT73=" за период",ZW75,"")</f>
        <v/>
      </c>
      <c r="AAC75" s="1464"/>
      <c r="AAD75" s="826" t="s">
        <v>8436</v>
      </c>
      <c r="AAE75" s="836" t="e">
        <f>SEARCH(" ",$XU$7,AAG74+1)+1</f>
        <v>#VALUE!</v>
      </c>
      <c r="AAF75" s="306"/>
      <c r="AAG75" s="306" t="e">
        <f>AAE75+AAH75</f>
        <v>#VALUE!</v>
      </c>
      <c r="AAH75" s="306">
        <v>10</v>
      </c>
      <c r="AAI75" s="827" t="e">
        <f>DATEVALUE(MID($XU$7,AAE75,AAH75))</f>
        <v>#VALUE!</v>
      </c>
      <c r="AAJ75" s="828" t="str">
        <f>IF(AAF73=" за период",AAI75,"")</f>
        <v/>
      </c>
      <c r="AFE75" s="1464"/>
      <c r="AFF75" s="826" t="s">
        <v>8436</v>
      </c>
      <c r="AFG75" s="836" t="e">
        <f>SEARCH(" ",AFD$4,AFI74+1)+1</f>
        <v>#VALUE!</v>
      </c>
      <c r="AFH75" s="306"/>
      <c r="AFI75" s="306" t="e">
        <f>AFG75+AFJ75</f>
        <v>#VALUE!</v>
      </c>
      <c r="AFJ75" s="306">
        <v>10</v>
      </c>
      <c r="AFK75" s="827" t="e">
        <f>DATEVALUE(MID(AFD$4,AFG75,AFJ75))</f>
        <v>#VALUE!</v>
      </c>
      <c r="AFL75" s="828" t="str">
        <f>IF(AFH73=" за период",AFK75,"")</f>
        <v/>
      </c>
      <c r="AFQ75" s="1464"/>
      <c r="AFR75" s="826" t="s">
        <v>8436</v>
      </c>
      <c r="AFS75" s="836" t="e">
        <f>SEARCH(" ",AFP$4,AFU74+1)+1</f>
        <v>#VALUE!</v>
      </c>
      <c r="AFT75" s="306"/>
      <c r="AFU75" s="306" t="e">
        <f>AFS75+AFV75</f>
        <v>#VALUE!</v>
      </c>
      <c r="AFV75" s="306">
        <v>10</v>
      </c>
      <c r="AFW75" s="827" t="e">
        <f>DATEVALUE(MID(AFP$4,AFS75,AFV75))</f>
        <v>#VALUE!</v>
      </c>
      <c r="AFX75" s="828" t="str">
        <f>IF(AFT73=" за период",AFW75,"")</f>
        <v/>
      </c>
      <c r="AGC75" s="1464"/>
      <c r="AGD75" s="826" t="s">
        <v>8436</v>
      </c>
      <c r="AGE75" s="836" t="e">
        <f>SEARCH(" ",AGB$4,AGG74+1)+1</f>
        <v>#VALUE!</v>
      </c>
      <c r="AGF75" s="306"/>
      <c r="AGG75" s="306" t="e">
        <f>AGE75+AGH75</f>
        <v>#VALUE!</v>
      </c>
      <c r="AGH75" s="306">
        <v>10</v>
      </c>
      <c r="AGI75" s="827" t="e">
        <f>DATEVALUE(MID(AGB$4,AGE75,AGH75))</f>
        <v>#VALUE!</v>
      </c>
      <c r="AGJ75" s="828" t="str">
        <f>IF(AGF73=" за период",AGI75,"")</f>
        <v/>
      </c>
      <c r="AGO75" s="1464"/>
      <c r="AGP75" s="826" t="s">
        <v>8436</v>
      </c>
      <c r="AGQ75" s="836" t="e">
        <f>SEARCH(" ",AGN$4,AGS74+1)+1</f>
        <v>#VALUE!</v>
      </c>
      <c r="AGR75" s="306"/>
      <c r="AGS75" s="306" t="e">
        <f>AGQ75+AGT75</f>
        <v>#VALUE!</v>
      </c>
      <c r="AGT75" s="306">
        <v>10</v>
      </c>
      <c r="AGU75" s="827" t="e">
        <f>DATEVALUE(MID(AGN$4,AGQ75,AGT75))</f>
        <v>#VALUE!</v>
      </c>
      <c r="AGV75" s="828" t="str">
        <f>IF(AGR73=" за период",AGU75,"")</f>
        <v/>
      </c>
      <c r="AHA75" s="1464"/>
      <c r="AHB75" s="826" t="s">
        <v>8436</v>
      </c>
      <c r="AHC75" s="836" t="e">
        <f>SEARCH(" ",AGZ$4,AHE74+1)+1</f>
        <v>#VALUE!</v>
      </c>
      <c r="AHD75" s="306"/>
      <c r="AHE75" s="306" t="e">
        <f>AHC75+AHF75</f>
        <v>#VALUE!</v>
      </c>
      <c r="AHF75" s="306">
        <v>10</v>
      </c>
      <c r="AHG75" s="827" t="e">
        <f>DATEVALUE(MID(AGZ$4,AHC75,AHF75))</f>
        <v>#VALUE!</v>
      </c>
      <c r="AHH75" s="828" t="str">
        <f>IF(AHD73=" за период",AHG75,"")</f>
        <v/>
      </c>
    </row>
    <row r="76" spans="1:893" x14ac:dyDescent="0.3">
      <c r="B76" s="116"/>
      <c r="C76" s="116"/>
      <c r="D76" s="116"/>
      <c r="E76" s="116"/>
      <c r="F76" s="116"/>
      <c r="G76" s="116"/>
      <c r="H76" s="116"/>
      <c r="I76" s="116"/>
      <c r="DT76" t="s">
        <v>9006</v>
      </c>
      <c r="DU76" s="821" t="s">
        <v>4395</v>
      </c>
      <c r="DV76" s="1464"/>
      <c r="DW76" s="826"/>
      <c r="DX76" s="836"/>
      <c r="DY76" s="306" t="str">
        <f>IF(DZ76=IFERROR(SEARCH(".",C$3,DZ75),99999),".",
IF(DZ76=IFERROR(SEARCH(",",C$3,DZ75),99999),",",
IF(DZ76=IFERROR(SEARCH(" за период",C$3,DZ75),999999)," за период",
IF(DZ76=IFERROR(SEARCH(" в размере",C$3,DZ75),99999)," в размере",
))))</f>
        <v>.</v>
      </c>
      <c r="DZ76" s="306">
        <f>MIN(
IFERROR(SEARCH(".",$C$3,DZ75),99999),
IFERROR(SEARCH(",",$C$3,DZ75),99999),
IFERROR(SEARCH(" в размере",$C$3,DZ75),99999))</f>
        <v>99999</v>
      </c>
      <c r="EA76" s="306"/>
      <c r="EB76" s="827"/>
      <c r="EC76" s="829"/>
      <c r="NK76" s="1464"/>
      <c r="NL76" s="826"/>
      <c r="NM76" s="836"/>
      <c r="NN76" s="306" t="str">
        <f>IF(NO76=IFERROR(SEARCH(".",NJ$4,NO75),99999),".",
IF(NO76=IFERROR(SEARCH(",",NJ$4,NO75),99999),",",
IF(NO76=IFERROR(SEARCH(" за период",NJ$4,NO75),999999)," за период",
IF(NO76=IFERROR(SEARCH(" в размере",NJ$4,NO75),99999)," в размере",
))))</f>
        <v>.</v>
      </c>
      <c r="NO76" s="306">
        <f>MIN(
IFERROR(SEARCH(".",NJ$4,NO75),99999),
IFERROR(SEARCH(",",NJ$4,NO75),99999),
IFERROR(SEARCH(" в размере",NJ$4,NO75),99999))</f>
        <v>99999</v>
      </c>
      <c r="NP76" s="306"/>
      <c r="NQ76" s="827"/>
      <c r="NR76" s="829"/>
      <c r="SY76" s="1464"/>
      <c r="SZ76" s="826"/>
      <c r="TA76" s="836"/>
      <c r="TB76" s="306" t="str">
        <f>IF(TC76=IFERROR(SEARCH(".",$SQ$3,TC75),99999),".",
IF(TC76=IFERROR(SEARCH(",",$SQ$3,TC75),99999),",",
IF(TC76=IFERROR(SEARCH(" за период",$SQ$3,TC75),999999)," за период",
IF(TC76=IFERROR(SEARCH(" в размере",$SQ$3,TC75),99999)," в размере",
))))</f>
        <v>.</v>
      </c>
      <c r="TC76" s="306">
        <f>MIN(
IFERROR(SEARCH(".",$SQ$3,TC75),99999),
IFERROR(SEARCH(",",$SQ$3,TC75),99999),
IFERROR(SEARCH(" в размере",$SQ$3,TC75),99999))</f>
        <v>99999</v>
      </c>
      <c r="TD76" s="306"/>
      <c r="TE76" s="827"/>
      <c r="TF76" s="829"/>
      <c r="TK76" s="1004"/>
      <c r="TL76" s="1035"/>
      <c r="TM76" s="1036"/>
      <c r="TN76" s="1036"/>
      <c r="TO76" s="1036"/>
      <c r="TP76" s="1036"/>
      <c r="TQ76" s="1035"/>
      <c r="TR76" s="1004"/>
      <c r="TW76" s="1464"/>
      <c r="TX76" s="826"/>
      <c r="TY76" s="836"/>
      <c r="TZ76" s="306" t="str">
        <f>IF(UA76=IFERROR(SEARCH(".",$SQ$4,UA75),99999),".",
IF(UA76=IFERROR(SEARCH(",",$SQ$4,UA75),99999),",",
IF(UA76=IFERROR(SEARCH(" за период",$SQ$4,UA75),999999)," за период",
IF(UA76=IFERROR(SEARCH(" в размере",$SQ$4,UA75),99999)," в размере",
))))</f>
        <v>.</v>
      </c>
      <c r="UA76" s="306">
        <f>MIN(
IFERROR(SEARCH(".",$SQ$4,UA75),99999),
IFERROR(SEARCH(",",$SQ$4,UA75),99999),
IFERROR(SEARCH(" в размере",$SQ$4,UA75),99999))</f>
        <v>99999</v>
      </c>
      <c r="UB76" s="306"/>
      <c r="UC76" s="827"/>
      <c r="UD76" s="829"/>
      <c r="UI76" s="1004"/>
      <c r="UJ76" s="1035"/>
      <c r="UK76" s="1036"/>
      <c r="UL76" s="1036"/>
      <c r="UM76" s="1036"/>
      <c r="UN76" s="1036"/>
      <c r="UO76" s="1035"/>
      <c r="UP76" s="1004"/>
      <c r="UU76" s="1464"/>
      <c r="UV76" s="826"/>
      <c r="UW76" s="836"/>
      <c r="UX76" s="306" t="str">
        <f>IF(UY76=IFERROR(SEARCH(".",$SQ$5,UY75),99999),".",
IF(UY76=IFERROR(SEARCH(",",$SQ$5,UY75),99999),",",
IF(UY76=IFERROR(SEARCH(" за период",$SQ$5,UY75),999999)," за период",
IF(UY76=IFERROR(SEARCH(" в размере",$SQ$5,UY75),99999)," в размере",
))))</f>
        <v>.</v>
      </c>
      <c r="UY76" s="306">
        <f>MIN(
IFERROR(SEARCH(".",$SQ$5,UY75),99999),
IFERROR(SEARCH(",",$SQ$5,UY75),99999),
IFERROR(SEARCH(" в размере",$SQ$5,UY75),99999))</f>
        <v>99999</v>
      </c>
      <c r="UZ76" s="306"/>
      <c r="VA76" s="827"/>
      <c r="VB76" s="829"/>
      <c r="VG76" s="1004"/>
      <c r="VH76" s="1035"/>
      <c r="VI76" s="1036"/>
      <c r="VJ76" s="1036"/>
      <c r="VK76" s="1036"/>
      <c r="VL76" s="1036"/>
      <c r="VM76" s="1035"/>
      <c r="VN76" s="1004"/>
      <c r="VS76" s="1464"/>
      <c r="VT76" s="826"/>
      <c r="VU76" s="836"/>
      <c r="VV76" s="306" t="str">
        <f>IF(VW76=IFERROR(SEARCH(".",$SQ$6,VW75),99999),".",
IF(VW76=IFERROR(SEARCH(",",$SQ$6,VW75),99999),",",
IF(VW76=IFERROR(SEARCH(" за период",$SQ$6,VW75),999999)," за период",
IF(VW76=IFERROR(SEARCH(" в размере",$SQ$6,VW75),99999)," в размере",
))))</f>
        <v>.</v>
      </c>
      <c r="VW76" s="306">
        <f>MIN(
IFERROR(SEARCH(".",$SQ$6,VW75),99999),
IFERROR(SEARCH(",",$SQ$6,VW75),99999),
IFERROR(SEARCH(" в размере",$SQ$6,VW75),99999))</f>
        <v>99999</v>
      </c>
      <c r="VX76" s="306"/>
      <c r="VY76" s="827"/>
      <c r="VZ76" s="829"/>
      <c r="WE76" s="1004"/>
      <c r="WF76" s="1035"/>
      <c r="WG76" s="1036"/>
      <c r="WH76" s="1036"/>
      <c r="WI76" s="1036"/>
      <c r="WJ76" s="1036"/>
      <c r="WK76" s="1035"/>
      <c r="WL76" s="1004"/>
      <c r="WQ76" s="1464"/>
      <c r="WR76" s="826"/>
      <c r="WS76" s="836"/>
      <c r="WT76" s="306" t="str">
        <f>IF(WU76=IFERROR(SEARCH(".",$SQ$7,WU75),99999),".",
IF(WU76=IFERROR(SEARCH(",",$SQ$7,WU75),99999),",",
IF(WU76=IFERROR(SEARCH(" за период",$SQ$7,WU75),999999)," за период",
IF(WU76=IFERROR(SEARCH(" в размере",$SQ$7,WU75),99999)," в размере",
))))</f>
        <v>.</v>
      </c>
      <c r="WU76" s="306">
        <f>MIN(
IFERROR(SEARCH(".",$SQ$7,WU75),99999),
IFERROR(SEARCH(",",$SQ$7,WU75),99999),
IFERROR(SEARCH(" в размере",$SQ$7,WU75),99999))</f>
        <v>99999</v>
      </c>
      <c r="WV76" s="306"/>
      <c r="WW76" s="827"/>
      <c r="WX76" s="829"/>
      <c r="XC76" s="1004"/>
      <c r="XD76" s="1035"/>
      <c r="XE76" s="1036"/>
      <c r="XF76" s="1036"/>
      <c r="XG76" s="1036"/>
      <c r="XH76" s="1036"/>
      <c r="XI76" s="1035"/>
      <c r="XJ76" s="1004"/>
      <c r="YG76" s="1464"/>
      <c r="YH76" s="826"/>
      <c r="YI76" s="836"/>
      <c r="YJ76" s="306" t="str">
        <f>IF(YK76=IFERROR(SEARCH(".",$XU$3,YK75),99999),".",
IF(YK76=IFERROR(SEARCH(",",$XU$3,YK75),99999),",",
IF(YK76=IFERROR(SEARCH(" за период",$XU$3,YK75),999999)," за период",
IF(YK76=IFERROR(SEARCH(" в размере",$XU$3,YK75),99999)," в размере",
))))</f>
        <v>.</v>
      </c>
      <c r="YK76" s="306">
        <f>MIN(
IFERROR(SEARCH(".",$XU$3,YK75),99999),
IFERROR(SEARCH(",",$XU$3,YK75),99999),
IFERROR(SEARCH(" в размере",$XU$3,YK75),99999))</f>
        <v>99999</v>
      </c>
      <c r="YL76" s="306"/>
      <c r="YM76" s="827"/>
      <c r="YN76" s="829"/>
      <c r="YS76" s="1464"/>
      <c r="YT76" s="826"/>
      <c r="YU76" s="836"/>
      <c r="YV76" s="306" t="str">
        <f>IF(YW76=IFERROR(SEARCH(".",$XU$4,YW75),99999),".",
IF(YW76=IFERROR(SEARCH(",",$XU$4,YW75),99999),",",
IF(YW76=IFERROR(SEARCH(" за период",$XU$4,YW75),999999)," за период",
IF(YW76=IFERROR(SEARCH(" в размере",$XU$4,YW75),99999)," в размере",
))))</f>
        <v>.</v>
      </c>
      <c r="YW76" s="306">
        <f>MIN(
IFERROR(SEARCH(".",$XU$4,YW75),99999),
IFERROR(SEARCH(",",$XU$4,YW75),99999),
IFERROR(SEARCH(" в размере",$XU$4,YW75),99999))</f>
        <v>99999</v>
      </c>
      <c r="YX76" s="306"/>
      <c r="YY76" s="827"/>
      <c r="YZ76" s="829"/>
      <c r="ZE76" s="1464"/>
      <c r="ZF76" s="826"/>
      <c r="ZG76" s="836"/>
      <c r="ZH76" s="306" t="str">
        <f>IF(ZI76=IFERROR(SEARCH(".",$XU$5,ZI75),99999),".",
IF(ZI76=IFERROR(SEARCH(",",$XU$5,ZI75),99999),",",
IF(ZI76=IFERROR(SEARCH(" за период",$XU$5,ZI75),999999)," за период",
IF(ZI76=IFERROR(SEARCH(" в размере",$XU$5,ZI75),99999)," в размере",
))))</f>
        <v>.</v>
      </c>
      <c r="ZI76" s="306">
        <f>MIN(
IFERROR(SEARCH(".",$XU$5,ZI75),99999),
IFERROR(SEARCH(",",$XU$5,ZI75),99999),
IFERROR(SEARCH(" в размере",$XU$5,ZI75),99999))</f>
        <v>99999</v>
      </c>
      <c r="ZJ76" s="306"/>
      <c r="ZK76" s="827"/>
      <c r="ZL76" s="829"/>
      <c r="ZQ76" s="1464"/>
      <c r="ZR76" s="826"/>
      <c r="ZS76" s="836"/>
      <c r="ZT76" s="306" t="str">
        <f>IF(ZU76=IFERROR(SEARCH(".",$XU$6,ZU75),99999),".",
IF(ZU76=IFERROR(SEARCH(",",$XU$6,ZU75),99999),",",
IF(ZU76=IFERROR(SEARCH(" за период",$XU$6,ZU75),999999)," за период",
IF(ZU76=IFERROR(SEARCH(" в размере",$XU$6,ZU75),99999)," в размере",
))))</f>
        <v>.</v>
      </c>
      <c r="ZU76" s="306">
        <f>MIN(
IFERROR(SEARCH(".",$XU$6,ZU75),99999),
IFERROR(SEARCH(",",$XU$6,ZU75),99999),
IFERROR(SEARCH(" в размере",$XU$6,ZU75),99999))</f>
        <v>99999</v>
      </c>
      <c r="ZV76" s="306"/>
      <c r="ZW76" s="827"/>
      <c r="ZX76" s="829"/>
      <c r="AAC76" s="1464"/>
      <c r="AAD76" s="826"/>
      <c r="AAE76" s="836"/>
      <c r="AAF76" s="306" t="str">
        <f>IF(AAG76=IFERROR(SEARCH(".",$XU$7,AAG75),99999),".",
IF(AAG76=IFERROR(SEARCH(",",$XU$7,AAG75),99999),",",
IF(AAG76=IFERROR(SEARCH(" за период",$XU$7,AAG75),999999)," за период",
IF(AAG76=IFERROR(SEARCH(" в размере",$XU$7,AAG75),99999)," в размере",
))))</f>
        <v>.</v>
      </c>
      <c r="AAG76" s="306">
        <f>MIN(
IFERROR(SEARCH(".",$XU$7,AAG75),99999),
IFERROR(SEARCH(",",$XU$7,AAG75),99999),
IFERROR(SEARCH(" в размере",$XU$7,AAG75),99999))</f>
        <v>99999</v>
      </c>
      <c r="AAH76" s="306"/>
      <c r="AAI76" s="827"/>
      <c r="AAJ76" s="829"/>
      <c r="AFE76" s="1464"/>
      <c r="AFF76" s="826"/>
      <c r="AFG76" s="836"/>
      <c r="AFH76" s="306" t="str">
        <f>IF(AFI76=IFERROR(SEARCH(".",AFD$4,AFI75),99999),".",
IF(AFI76=IFERROR(SEARCH(",",AFD$4,AFI75),99999),",",
IF(AFI76=IFERROR(SEARCH(" за период",AFD$4,AFI75),999999)," за период",
IF(AFI76=IFERROR(SEARCH(" в размере",AFD$4,AFI75),99999)," в размере",
))))</f>
        <v>.</v>
      </c>
      <c r="AFI76" s="306">
        <f>MIN(
IFERROR(SEARCH(".",AFD$4,AFI75),99999),
IFERROR(SEARCH(",",AFD$4,AFI75),99999),
IFERROR(SEARCH(" в размере",AFD$4,AFI75),99999))</f>
        <v>99999</v>
      </c>
      <c r="AFJ76" s="306"/>
      <c r="AFK76" s="827"/>
      <c r="AFL76" s="829"/>
      <c r="AFQ76" s="1464"/>
      <c r="AFR76" s="826"/>
      <c r="AFS76" s="836"/>
      <c r="AFT76" s="306" t="str">
        <f>IF(AFU76=IFERROR(SEARCH(".",AFP$4,AFU75),99999),".",
IF(AFU76=IFERROR(SEARCH(",",AFP$4,AFU75),99999),",",
IF(AFU76=IFERROR(SEARCH(" за период",AFP$4,AFU75),999999)," за период",
IF(AFU76=IFERROR(SEARCH(" в размере",AFP$4,AFU75),99999)," в размере",
))))</f>
        <v>.</v>
      </c>
      <c r="AFU76" s="306">
        <f>MIN(
IFERROR(SEARCH(".",AFP$4,AFU75),99999),
IFERROR(SEARCH(",",AFP$4,AFU75),99999),
IFERROR(SEARCH(" в размере",AFP$4,AFU75),99999))</f>
        <v>99999</v>
      </c>
      <c r="AFV76" s="306"/>
      <c r="AFW76" s="827"/>
      <c r="AFX76" s="829"/>
      <c r="AGC76" s="1464"/>
      <c r="AGD76" s="826"/>
      <c r="AGE76" s="836"/>
      <c r="AGF76" s="306" t="str">
        <f>IF(AGG76=IFERROR(SEARCH(".",AGB$4,AGG75),99999),".",
IF(AGG76=IFERROR(SEARCH(",",AGB$4,AGG75),99999),",",
IF(AGG76=IFERROR(SEARCH(" за период",AGB$4,AGG75),999999)," за период",
IF(AGG76=IFERROR(SEARCH(" в размере",AGB$4,AGG75),99999)," в размере",
))))</f>
        <v>.</v>
      </c>
      <c r="AGG76" s="306">
        <f>MIN(
IFERROR(SEARCH(".",AGB$4,AGG75),99999),
IFERROR(SEARCH(",",AGB$4,AGG75),99999),
IFERROR(SEARCH(" в размере",AGB$4,AGG75),99999))</f>
        <v>99999</v>
      </c>
      <c r="AGH76" s="306"/>
      <c r="AGI76" s="827"/>
      <c r="AGJ76" s="829"/>
      <c r="AGO76" s="1464"/>
      <c r="AGP76" s="826"/>
      <c r="AGQ76" s="836"/>
      <c r="AGR76" s="306" t="str">
        <f>IF(AGS76=IFERROR(SEARCH(".",AGN$4,AGS75),99999),".",
IF(AGS76=IFERROR(SEARCH(",",AGN$4,AGS75),99999),",",
IF(AGS76=IFERROR(SEARCH(" за период",AGN$4,AGS75),999999)," за период",
IF(AGS76=IFERROR(SEARCH(" в размере",AGN$4,AGS75),99999)," в размере",
))))</f>
        <v>.</v>
      </c>
      <c r="AGS76" s="306">
        <f>MIN(
IFERROR(SEARCH(".",AGN$4,AGS75),99999),
IFERROR(SEARCH(",",AGN$4,AGS75),99999),
IFERROR(SEARCH(" в размере",AGN$4,AGS75),99999))</f>
        <v>99999</v>
      </c>
      <c r="AGT76" s="306"/>
      <c r="AGU76" s="827"/>
      <c r="AGV76" s="829"/>
      <c r="AHA76" s="1464"/>
      <c r="AHB76" s="826"/>
      <c r="AHC76" s="836"/>
      <c r="AHD76" s="306" t="str">
        <f>IF(AHE76=IFERROR(SEARCH(".",AGZ$4,AHE75),99999),".",
IF(AHE76=IFERROR(SEARCH(",",AGZ$4,AHE75),99999),",",
IF(AHE76=IFERROR(SEARCH(" за период",AGZ$4,AHE75),999999)," за период",
IF(AHE76=IFERROR(SEARCH(" в размере",AGZ$4,AHE75),99999)," в размере",
))))</f>
        <v>.</v>
      </c>
      <c r="AHE76" s="306">
        <f>MIN(
IFERROR(SEARCH(".",AGZ$4,AHE75),99999),
IFERROR(SEARCH(",",AGZ$4,AHE75),99999),
IFERROR(SEARCH(" в размере",AGZ$4,AHE75),99999))</f>
        <v>99999</v>
      </c>
      <c r="AHF76" s="306"/>
      <c r="AHG76" s="827"/>
      <c r="AHH76" s="829"/>
    </row>
    <row r="77" spans="1:893" x14ac:dyDescent="0.3">
      <c r="B77" s="116"/>
      <c r="C77" s="116"/>
      <c r="D77" s="116"/>
      <c r="E77" s="116"/>
      <c r="F77" s="116"/>
      <c r="G77" s="116"/>
      <c r="H77" s="116"/>
      <c r="I77" s="116"/>
      <c r="DT77" t="s">
        <v>9007</v>
      </c>
      <c r="DU77" s="821" t="s">
        <v>9008</v>
      </c>
      <c r="DV77" s="1464"/>
      <c r="DW77" s="830" t="s">
        <v>8249</v>
      </c>
      <c r="DX77" s="836" t="str">
        <f>IF(OR(DY76=" в размере",DY73=" в размере"),SEARCH(" в размере",$C$3,DZ73)+LEN(" в размере")+1,"НЕТ")</f>
        <v>НЕТ</v>
      </c>
      <c r="DY77" s="306" t="s">
        <v>8431</v>
      </c>
      <c r="DZ77" s="306" t="e">
        <f>SEARCH(DY77,$C$3,DX77)</f>
        <v>#VALUE!</v>
      </c>
      <c r="EA77" s="306" t="e">
        <f>DZ77-DX77</f>
        <v>#VALUE!</v>
      </c>
      <c r="EB77" s="826" t="e">
        <f>IF(EC73="Штраф 50%","",MID($C$3,DX77,EA77))</f>
        <v>#VALUE!</v>
      </c>
      <c r="EC77" s="829"/>
      <c r="NK77" s="1464"/>
      <c r="NL77" s="830" t="s">
        <v>8249</v>
      </c>
      <c r="NM77" s="836" t="e">
        <f>SEARCH(" в размере",NJ$4,NO73)+LEN(" в размере")+1</f>
        <v>#VALUE!</v>
      </c>
      <c r="NN77" s="306" t="s">
        <v>8431</v>
      </c>
      <c r="NO77" s="306" t="e">
        <f>SEARCH(NN77,NJ$4,NM77)</f>
        <v>#VALUE!</v>
      </c>
      <c r="NP77" s="306" t="e">
        <f>NO77-NM77</f>
        <v>#VALUE!</v>
      </c>
      <c r="NQ77" s="826" t="e">
        <f>IF(NR73="Штраф 50%","",MID(NJ$4,NM77,NP77))</f>
        <v>#VALUE!</v>
      </c>
      <c r="NR77" s="829"/>
      <c r="SY77" s="1464"/>
      <c r="SZ77" s="830" t="s">
        <v>8249</v>
      </c>
      <c r="TA77" s="836" t="e">
        <f>IF(NOT(ISERROR(SEARCH("НДФЛ",SX$4))),MIN(SEARCH("в размере ",SX$4,TC73)+LEN("в размере "),SEARCH("исходя из суммы ",SX$4,TC73)+LEN("исходя из суммы ")),SEARCH(" в размере",SX$4,TC73)+LEN(" в размере")+1)</f>
        <v>#VALUE!</v>
      </c>
      <c r="TB77" s="306" t="s">
        <v>8431</v>
      </c>
      <c r="TC77" s="306" t="e">
        <f>SEARCH(TB77,$SQ$3,TA77)</f>
        <v>#VALUE!</v>
      </c>
      <c r="TD77" s="306" t="e">
        <f>TC77-TA77</f>
        <v>#VALUE!</v>
      </c>
      <c r="TE77" s="826" t="e">
        <f>IF(TF73="Штраф 50%","",MID($SQ$3,TA77,TD77))</f>
        <v>#VALUE!</v>
      </c>
      <c r="TF77" s="829"/>
      <c r="TK77" s="1004"/>
      <c r="TL77" s="1035"/>
      <c r="TM77" s="1036"/>
      <c r="TN77" s="1036"/>
      <c r="TO77" s="1036"/>
      <c r="TP77" s="1036"/>
      <c r="TQ77" s="1037"/>
      <c r="TR77" s="1037"/>
      <c r="TW77" s="1464"/>
      <c r="TX77" s="830" t="s">
        <v>8249</v>
      </c>
      <c r="TY77" s="836" t="e">
        <f>IF(NOT(ISERROR(SEARCH("НДФЛ",TV$4))),MIN(SEARCH("в размере ",TV$4,UA73)+LEN("в размере "),SEARCH("исходя из суммы ",TV$4,UA73)+LEN("исходя из суммы ")),SEARCH(" в размере",TV$4,UA73)+LEN(" в размере")+1)</f>
        <v>#VALUE!</v>
      </c>
      <c r="TZ77" s="306" t="s">
        <v>8431</v>
      </c>
      <c r="UA77" s="306" t="e">
        <f>SEARCH(TZ77,$SQ$4,TY77)</f>
        <v>#VALUE!</v>
      </c>
      <c r="UB77" s="306" t="e">
        <f>UA77-TY77</f>
        <v>#VALUE!</v>
      </c>
      <c r="UC77" s="826" t="e">
        <f>IF(UD73="Штраф 50%","",MID($SQ$4,TY77,UB77))</f>
        <v>#VALUE!</v>
      </c>
      <c r="UD77" s="829"/>
      <c r="UI77" s="1004"/>
      <c r="UJ77" s="1035"/>
      <c r="UK77" s="1036"/>
      <c r="UL77" s="1036"/>
      <c r="UM77" s="1036"/>
      <c r="UN77" s="1036"/>
      <c r="UO77" s="1037"/>
      <c r="UP77" s="1037"/>
      <c r="UU77" s="1464"/>
      <c r="UV77" s="830" t="s">
        <v>8249</v>
      </c>
      <c r="UW77" s="836" t="e">
        <f>IF(NOT(ISERROR(SEARCH("НДФЛ",UT$4))),MIN(SEARCH("в размере ",UT$4,UY73)+LEN("в размере "),SEARCH("исходя из суммы ",UT$4,UY73)+LEN("исходя из суммы ")),SEARCH(" в размере",UT$4,UY73)+LEN(" в размере")+1)</f>
        <v>#VALUE!</v>
      </c>
      <c r="UX77" s="306" t="s">
        <v>8431</v>
      </c>
      <c r="UY77" s="306" t="e">
        <f>SEARCH(UX77,$SQ$5,UW77)</f>
        <v>#VALUE!</v>
      </c>
      <c r="UZ77" s="306" t="e">
        <f>UY77-UW77</f>
        <v>#VALUE!</v>
      </c>
      <c r="VA77" s="826" t="e">
        <f>IF(VB73="Штраф 50%","",MID($SQ$5,UW77,UZ77))</f>
        <v>#VALUE!</v>
      </c>
      <c r="VB77" s="829"/>
      <c r="VG77" s="1004"/>
      <c r="VH77" s="1035"/>
      <c r="VI77" s="1036"/>
      <c r="VJ77" s="1036"/>
      <c r="VK77" s="1036"/>
      <c r="VL77" s="1036"/>
      <c r="VM77" s="1037"/>
      <c r="VN77" s="1037"/>
      <c r="VS77" s="1464"/>
      <c r="VT77" s="830" t="s">
        <v>8249</v>
      </c>
      <c r="VU77" s="836" t="e">
        <f>IF(NOT(ISERROR(SEARCH("НДФЛ",VR$4))),MIN(SEARCH("в размере ",VR$4,VW73)+LEN("в размере "),SEARCH("исходя из суммы ",VR$4,VW73)+LEN("исходя из суммы ")),SEARCH(" в размере",VR$4,VW73)+LEN(" в размере")+1)</f>
        <v>#VALUE!</v>
      </c>
      <c r="VV77" s="306" t="s">
        <v>8431</v>
      </c>
      <c r="VW77" s="306" t="e">
        <f>SEARCH(VV77,$SQ$6,VU77)</f>
        <v>#VALUE!</v>
      </c>
      <c r="VX77" s="306" t="e">
        <f>VW77-VU77</f>
        <v>#VALUE!</v>
      </c>
      <c r="VY77" s="826" t="e">
        <f>IF(VZ73="Штраф 50%","",MID($SQ$6,VU77,VX77))</f>
        <v>#VALUE!</v>
      </c>
      <c r="VZ77" s="829"/>
      <c r="WE77" s="1004"/>
      <c r="WF77" s="1035"/>
      <c r="WG77" s="1036"/>
      <c r="WH77" s="1036"/>
      <c r="WI77" s="1036"/>
      <c r="WJ77" s="1036"/>
      <c r="WK77" s="1037"/>
      <c r="WL77" s="1037"/>
      <c r="WQ77" s="1464"/>
      <c r="WR77" s="830" t="s">
        <v>8249</v>
      </c>
      <c r="WS77" s="836" t="e">
        <f>IF(NOT(ISERROR(SEARCH("НДФЛ",WP$4))),MIN(SEARCH("в размере ",WP$4,WU73)+LEN("в размере "),SEARCH("исходя из суммы ",WP$4,WU73)+LEN("исходя из суммы ")),SEARCH(" в размере",WP$4,WU73)+LEN(" в размере")+1)</f>
        <v>#VALUE!</v>
      </c>
      <c r="WT77" s="306" t="s">
        <v>8431</v>
      </c>
      <c r="WU77" s="306" t="e">
        <f>SEARCH(WT77,$SQ$7,WS77)</f>
        <v>#VALUE!</v>
      </c>
      <c r="WV77" s="306" t="e">
        <f>WU77-WS77</f>
        <v>#VALUE!</v>
      </c>
      <c r="WW77" s="826" t="e">
        <f>IF(WX73="Штраф 50%","",MID($SQ$7,WS77,WV77))</f>
        <v>#VALUE!</v>
      </c>
      <c r="WX77" s="829"/>
      <c r="XC77" s="1004"/>
      <c r="XD77" s="1035"/>
      <c r="XE77" s="1036"/>
      <c r="XF77" s="1036"/>
      <c r="XG77" s="1036"/>
      <c r="XH77" s="1036"/>
      <c r="XI77" s="1037"/>
      <c r="XJ77" s="1037"/>
      <c r="YG77" s="1464"/>
      <c r="YH77" s="830" t="s">
        <v>8249</v>
      </c>
      <c r="YI77" s="836" t="str">
        <f>IF(OR(YJ76=" в размере",YJ73=" в размере"),SEARCH(" в размере",$XU$3,YK73)+LEN(" в размере")+1,"НЕТ")</f>
        <v>НЕТ</v>
      </c>
      <c r="YJ77" s="306" t="s">
        <v>8431</v>
      </c>
      <c r="YK77" s="306" t="e">
        <f>SEARCH(YJ77,$XU$3,YI77)</f>
        <v>#VALUE!</v>
      </c>
      <c r="YL77" s="306" t="e">
        <f>YK77-YI77</f>
        <v>#VALUE!</v>
      </c>
      <c r="YM77" s="826" t="e">
        <f>IF(YN73="Штраф 50%","",MID($XU$3,YI77,YL77))</f>
        <v>#VALUE!</v>
      </c>
      <c r="YN77" s="829"/>
      <c r="YS77" s="1464"/>
      <c r="YT77" s="830" t="s">
        <v>8249</v>
      </c>
      <c r="YU77" s="836" t="e">
        <f>SEARCH(" в размере",$XU$4,YW73)+LEN(" в размере")+1</f>
        <v>#VALUE!</v>
      </c>
      <c r="YV77" s="306" t="s">
        <v>8431</v>
      </c>
      <c r="YW77" s="306" t="e">
        <f>SEARCH(YV77,$XU$4,YU77)</f>
        <v>#VALUE!</v>
      </c>
      <c r="YX77" s="306" t="e">
        <f>YW77-YU77</f>
        <v>#VALUE!</v>
      </c>
      <c r="YY77" s="826" t="e">
        <f>IF(YZ73="Штраф 50%","",MID($XU$4,YU77,YX77))</f>
        <v>#VALUE!</v>
      </c>
      <c r="YZ77" s="829"/>
      <c r="ZE77" s="1464"/>
      <c r="ZF77" s="830" t="s">
        <v>8249</v>
      </c>
      <c r="ZG77" s="836" t="e">
        <f>SEARCH(" в размере",$XU$5,ZI73)+LEN(" в размере")+1</f>
        <v>#VALUE!</v>
      </c>
      <c r="ZH77" s="306" t="s">
        <v>8431</v>
      </c>
      <c r="ZI77" s="306" t="e">
        <f>SEARCH(ZH77,$XU$5,ZG77)</f>
        <v>#VALUE!</v>
      </c>
      <c r="ZJ77" s="306" t="e">
        <f>ZI77-ZG77</f>
        <v>#VALUE!</v>
      </c>
      <c r="ZK77" s="826" t="e">
        <f>IF(ZL73="Штраф 50%","",MID($XU$5,ZG77,ZJ77))</f>
        <v>#VALUE!</v>
      </c>
      <c r="ZL77" s="829"/>
      <c r="ZQ77" s="1464"/>
      <c r="ZR77" s="830" t="s">
        <v>8249</v>
      </c>
      <c r="ZS77" s="836" t="e">
        <f>SEARCH(" в размере",$XU$6,ZU73)+LEN(" в размере")+1</f>
        <v>#VALUE!</v>
      </c>
      <c r="ZT77" s="306" t="s">
        <v>8431</v>
      </c>
      <c r="ZU77" s="306" t="e">
        <f>SEARCH(ZT77,$XU$6,ZS77)</f>
        <v>#VALUE!</v>
      </c>
      <c r="ZV77" s="306" t="e">
        <f>ZU77-ZS77</f>
        <v>#VALUE!</v>
      </c>
      <c r="ZW77" s="826" t="e">
        <f>IF(ZX73="Штраф 50%","",MID($XU$6,ZS77,ZV77))</f>
        <v>#VALUE!</v>
      </c>
      <c r="ZX77" s="829"/>
      <c r="AAC77" s="1464"/>
      <c r="AAD77" s="830" t="s">
        <v>8249</v>
      </c>
      <c r="AAE77" s="836" t="e">
        <f>SEARCH(" в размере",$XU$7,AAG73)+LEN(" в размере")+1</f>
        <v>#VALUE!</v>
      </c>
      <c r="AAF77" s="306" t="s">
        <v>8431</v>
      </c>
      <c r="AAG77" s="306" t="e">
        <f>SEARCH(AAF77,$XU$7,AAE77)</f>
        <v>#VALUE!</v>
      </c>
      <c r="AAH77" s="306" t="e">
        <f>AAG77-AAE77</f>
        <v>#VALUE!</v>
      </c>
      <c r="AAI77" s="826" t="e">
        <f>IF(AAJ73="Штраф 50%","",MID($XU$7,AAE77,AAH77))</f>
        <v>#VALUE!</v>
      </c>
      <c r="AAJ77" s="829"/>
      <c r="AFE77" s="1464"/>
      <c r="AFF77" s="830" t="s">
        <v>8249</v>
      </c>
      <c r="AFG77" s="836" t="e">
        <f>SEARCH(" в размере",AFD$4,AFI73)+LEN(" в размере")+1</f>
        <v>#VALUE!</v>
      </c>
      <c r="AFH77" s="306" t="s">
        <v>8431</v>
      </c>
      <c r="AFI77" s="306" t="e">
        <f>SEARCH(AFH77,AFD$4,AFG77)</f>
        <v>#VALUE!</v>
      </c>
      <c r="AFJ77" s="306" t="e">
        <f>AFI77-AFG77</f>
        <v>#VALUE!</v>
      </c>
      <c r="AFK77" s="826" t="e">
        <f>IF(AFL73="Штраф 50%","",MID(AFD$4,AFG77,AFJ77))</f>
        <v>#VALUE!</v>
      </c>
      <c r="AFL77" s="829"/>
      <c r="AFQ77" s="1464"/>
      <c r="AFR77" s="830" t="s">
        <v>8249</v>
      </c>
      <c r="AFS77" s="836" t="e">
        <f>SEARCH(" в размере",AFP$4,AFU73)+LEN(" в размере")+1</f>
        <v>#VALUE!</v>
      </c>
      <c r="AFT77" s="306" t="s">
        <v>8431</v>
      </c>
      <c r="AFU77" s="306" t="e">
        <f>SEARCH(AFT77,AFP$4,AFS77)</f>
        <v>#VALUE!</v>
      </c>
      <c r="AFV77" s="306" t="e">
        <f>AFU77-AFS77</f>
        <v>#VALUE!</v>
      </c>
      <c r="AFW77" s="826" t="e">
        <f>IF(AFX73="Штраф 50%","",MID(AFP$4,AFS77,AFV77))</f>
        <v>#VALUE!</v>
      </c>
      <c r="AFX77" s="829"/>
      <c r="AGC77" s="1464"/>
      <c r="AGD77" s="830" t="s">
        <v>8249</v>
      </c>
      <c r="AGE77" s="836" t="e">
        <f>SEARCH(" в размере",AGB$4,AGG73)+LEN(" в размере")+1</f>
        <v>#VALUE!</v>
      </c>
      <c r="AGF77" s="306" t="s">
        <v>8431</v>
      </c>
      <c r="AGG77" s="306" t="e">
        <f>SEARCH(AGF77,AGB$4,AGE77)</f>
        <v>#VALUE!</v>
      </c>
      <c r="AGH77" s="306" t="e">
        <f>AGG77-AGE77</f>
        <v>#VALUE!</v>
      </c>
      <c r="AGI77" s="826" t="e">
        <f>IF(AGJ73="Штраф 50%","",MID(AGB$4,AGE77,AGH77))</f>
        <v>#VALUE!</v>
      </c>
      <c r="AGJ77" s="829"/>
      <c r="AGO77" s="1464"/>
      <c r="AGP77" s="830" t="s">
        <v>8249</v>
      </c>
      <c r="AGQ77" s="836" t="e">
        <f>SEARCH(" в размере",AGN$4,AGS73)+LEN(" в размере")+1</f>
        <v>#VALUE!</v>
      </c>
      <c r="AGR77" s="306" t="s">
        <v>8431</v>
      </c>
      <c r="AGS77" s="306" t="e">
        <f>SEARCH(AGR77,AGN$4,AGQ77)</f>
        <v>#VALUE!</v>
      </c>
      <c r="AGT77" s="306" t="e">
        <f>AGS77-AGQ77</f>
        <v>#VALUE!</v>
      </c>
      <c r="AGU77" s="826" t="e">
        <f>IF(AGV73="Штраф 50%","",MID(AGN$4,AGQ77,AGT77))</f>
        <v>#VALUE!</v>
      </c>
      <c r="AGV77" s="829"/>
      <c r="AHA77" s="1464"/>
      <c r="AHB77" s="830" t="s">
        <v>8249</v>
      </c>
      <c r="AHC77" s="836" t="e">
        <f>SEARCH(" в размере",AGZ$4,AHE73)+LEN(" в размере")+1</f>
        <v>#VALUE!</v>
      </c>
      <c r="AHD77" s="306" t="s">
        <v>8431</v>
      </c>
      <c r="AHE77" s="306" t="e">
        <f>SEARCH(AHD77,AGZ$4,AHC77)</f>
        <v>#VALUE!</v>
      </c>
      <c r="AHF77" s="306" t="e">
        <f>AHE77-AHC77</f>
        <v>#VALUE!</v>
      </c>
      <c r="AHG77" s="826" t="e">
        <f>IF(AHH73="Штраф 50%","",MID(AGZ$4,AHC77,AHF77))</f>
        <v>#VALUE!</v>
      </c>
      <c r="AHH77" s="829"/>
    </row>
    <row r="78" spans="1:893" x14ac:dyDescent="0.3">
      <c r="B78" s="116"/>
      <c r="C78" s="116"/>
      <c r="D78" s="116"/>
      <c r="E78" s="116"/>
      <c r="F78" s="116"/>
      <c r="G78" s="116"/>
      <c r="H78" s="116"/>
      <c r="I78" s="116"/>
      <c r="DT78" t="s">
        <v>9192</v>
      </c>
      <c r="DU78" s="821" t="s">
        <v>1248</v>
      </c>
      <c r="DV78" s="1464"/>
      <c r="DW78" s="306"/>
      <c r="DX78" s="836" t="e">
        <f>SEARCH(" ",$C$3,DZ77+1)+1</f>
        <v>#VALUE!</v>
      </c>
      <c r="DY78" s="306" t="s">
        <v>8432</v>
      </c>
      <c r="DZ78" s="306" t="e">
        <f>SEARCH(DY78,$C$3,DX78)</f>
        <v>#VALUE!</v>
      </c>
      <c r="EA78" s="306" t="e">
        <f>DZ78-DX78</f>
        <v>#VALUE!</v>
      </c>
      <c r="EB78" s="826" t="e">
        <f>IF(EC73="Штраф 50%","",MID($C$3,DX78,EA78))</f>
        <v>#VALUE!</v>
      </c>
      <c r="EC78" s="829"/>
      <c r="NK78" s="1464"/>
      <c r="NL78" s="306"/>
      <c r="NM78" s="836" t="e">
        <f>SEARCH(" ",NJ$4,NO77+1)+1</f>
        <v>#VALUE!</v>
      </c>
      <c r="NN78" s="306" t="s">
        <v>8432</v>
      </c>
      <c r="NO78" s="306" t="e">
        <f>SEARCH(NN78,NJ$4,NM78)</f>
        <v>#VALUE!</v>
      </c>
      <c r="NP78" s="306" t="e">
        <f>NO78-NM78</f>
        <v>#VALUE!</v>
      </c>
      <c r="NQ78" s="826" t="e">
        <f>IF(NR73="Штраф 50%","",MID(NJ$4,NM78,NP78))</f>
        <v>#VALUE!</v>
      </c>
      <c r="NR78" s="829"/>
      <c r="SY78" s="1464"/>
      <c r="SZ78" s="306"/>
      <c r="TA78" s="836" t="e">
        <f>SEARCH(" ",$SQ$3,TC77+1)+1</f>
        <v>#VALUE!</v>
      </c>
      <c r="TB78" s="306" t="s">
        <v>8432</v>
      </c>
      <c r="TC78" s="306" t="e">
        <f>SEARCH(TB78,$SQ$3,TA78)</f>
        <v>#VALUE!</v>
      </c>
      <c r="TD78" s="306" t="e">
        <f>TC78-TA78</f>
        <v>#VALUE!</v>
      </c>
      <c r="TE78" s="826" t="e">
        <f>IF(TF73="Штраф 50%","",MID($SQ$3,TA78,TD78))</f>
        <v>#VALUE!</v>
      </c>
      <c r="TF78" s="829"/>
      <c r="TK78" s="1004"/>
      <c r="TL78" s="1035"/>
      <c r="TM78" s="1036"/>
      <c r="TN78" s="1036"/>
      <c r="TO78" s="1036"/>
      <c r="TP78" s="1036"/>
      <c r="TQ78" s="1037"/>
      <c r="TR78" s="1037"/>
      <c r="TW78" s="1464"/>
      <c r="TX78" s="306"/>
      <c r="TY78" s="836" t="e">
        <f>SEARCH(" ",$SQ$4,UA77+1)+1</f>
        <v>#VALUE!</v>
      </c>
      <c r="TZ78" s="306" t="s">
        <v>8432</v>
      </c>
      <c r="UA78" s="306" t="e">
        <f>SEARCH(TZ78,$SQ$4,TY78)</f>
        <v>#VALUE!</v>
      </c>
      <c r="UB78" s="306" t="e">
        <f>UA78-TY78</f>
        <v>#VALUE!</v>
      </c>
      <c r="UC78" s="826" t="e">
        <f>IF(UD73="Штраф 50%","",MID($SQ$4,TY78,UB78))</f>
        <v>#VALUE!</v>
      </c>
      <c r="UD78" s="829"/>
      <c r="UI78" s="1004"/>
      <c r="UJ78" s="1035"/>
      <c r="UK78" s="1036"/>
      <c r="UL78" s="1036"/>
      <c r="UM78" s="1036"/>
      <c r="UN78" s="1036"/>
      <c r="UO78" s="1037"/>
      <c r="UP78" s="1037"/>
      <c r="UU78" s="1464"/>
      <c r="UV78" s="306"/>
      <c r="UW78" s="836" t="e">
        <f>SEARCH(" ",$SQ$5,UY77+1)+1</f>
        <v>#VALUE!</v>
      </c>
      <c r="UX78" s="306" t="s">
        <v>8432</v>
      </c>
      <c r="UY78" s="306" t="e">
        <f>SEARCH(UX78,$SQ$5,UW78)</f>
        <v>#VALUE!</v>
      </c>
      <c r="UZ78" s="306" t="e">
        <f>UY78-UW78</f>
        <v>#VALUE!</v>
      </c>
      <c r="VA78" s="826" t="e">
        <f>IF(VB73="Штраф 50%","",MID($SQ$5,UW78,UZ78))</f>
        <v>#VALUE!</v>
      </c>
      <c r="VB78" s="829"/>
      <c r="VG78" s="1004"/>
      <c r="VH78" s="1035"/>
      <c r="VI78" s="1036"/>
      <c r="VJ78" s="1036"/>
      <c r="VK78" s="1036"/>
      <c r="VL78" s="1036"/>
      <c r="VM78" s="1037"/>
      <c r="VN78" s="1037"/>
      <c r="VS78" s="1464"/>
      <c r="VT78" s="306"/>
      <c r="VU78" s="836" t="e">
        <f>SEARCH(" ",$SQ$6,VW77+1)+1</f>
        <v>#VALUE!</v>
      </c>
      <c r="VV78" s="306" t="s">
        <v>8432</v>
      </c>
      <c r="VW78" s="306" t="e">
        <f>SEARCH(VV78,$SQ$6,VU78)</f>
        <v>#VALUE!</v>
      </c>
      <c r="VX78" s="306" t="e">
        <f>VW78-VU78</f>
        <v>#VALUE!</v>
      </c>
      <c r="VY78" s="826" t="e">
        <f>IF(VZ73="Штраф 50%","",MID($SQ$6,VU78,VX78))</f>
        <v>#VALUE!</v>
      </c>
      <c r="VZ78" s="829"/>
      <c r="WE78" s="1004"/>
      <c r="WF78" s="1035"/>
      <c r="WG78" s="1036"/>
      <c r="WH78" s="1036"/>
      <c r="WI78" s="1036"/>
      <c r="WJ78" s="1036"/>
      <c r="WK78" s="1037"/>
      <c r="WL78" s="1037"/>
      <c r="WQ78" s="1464"/>
      <c r="WR78" s="306"/>
      <c r="WS78" s="836" t="e">
        <f>SEARCH(" ",$SQ$7,WU77+1)+1</f>
        <v>#VALUE!</v>
      </c>
      <c r="WT78" s="306" t="s">
        <v>8432</v>
      </c>
      <c r="WU78" s="306" t="e">
        <f>SEARCH(WT78,$SQ$7,WS78)</f>
        <v>#VALUE!</v>
      </c>
      <c r="WV78" s="306" t="e">
        <f>WU78-WS78</f>
        <v>#VALUE!</v>
      </c>
      <c r="WW78" s="826" t="e">
        <f>IF(WX73="Штраф 50%","",MID($SQ$7,WS78,WV78))</f>
        <v>#VALUE!</v>
      </c>
      <c r="WX78" s="829"/>
      <c r="XC78" s="1004"/>
      <c r="XD78" s="1035"/>
      <c r="XE78" s="1036"/>
      <c r="XF78" s="1036"/>
      <c r="XG78" s="1036"/>
      <c r="XH78" s="1036"/>
      <c r="XI78" s="1037"/>
      <c r="XJ78" s="1037"/>
      <c r="YG78" s="1464"/>
      <c r="YH78" s="306"/>
      <c r="YI78" s="836" t="e">
        <f>SEARCH(" ",$XU$3,YK77+1)+1</f>
        <v>#VALUE!</v>
      </c>
      <c r="YJ78" s="306" t="s">
        <v>8432</v>
      </c>
      <c r="YK78" s="306" t="e">
        <f>SEARCH(YJ78,$XU$3,YI78)</f>
        <v>#VALUE!</v>
      </c>
      <c r="YL78" s="306" t="e">
        <f>YK78-YI78</f>
        <v>#VALUE!</v>
      </c>
      <c r="YM78" s="826" t="e">
        <f>IF(YN73="Штраф 50%","",MID($XU$3,YI78,YL78))</f>
        <v>#VALUE!</v>
      </c>
      <c r="YN78" s="829"/>
      <c r="YS78" s="1464"/>
      <c r="YT78" s="306"/>
      <c r="YU78" s="836" t="e">
        <f>SEARCH(" ",$XU$4,YW77+1)+1</f>
        <v>#VALUE!</v>
      </c>
      <c r="YV78" s="306" t="s">
        <v>8432</v>
      </c>
      <c r="YW78" s="306" t="e">
        <f>SEARCH(YV78,$XU$4,YU78)</f>
        <v>#VALUE!</v>
      </c>
      <c r="YX78" s="306" t="e">
        <f>YW78-YU78</f>
        <v>#VALUE!</v>
      </c>
      <c r="YY78" s="826" t="e">
        <f>IF(YZ73="Штраф 50%","",MID($XU$4,YU78,YX78))</f>
        <v>#VALUE!</v>
      </c>
      <c r="YZ78" s="829"/>
      <c r="ZE78" s="1464"/>
      <c r="ZF78" s="306"/>
      <c r="ZG78" s="836" t="e">
        <f>SEARCH(" ",$XU$5,ZI77+1)+1</f>
        <v>#VALUE!</v>
      </c>
      <c r="ZH78" s="306" t="s">
        <v>8432</v>
      </c>
      <c r="ZI78" s="306" t="e">
        <f>SEARCH(ZH78,$XU$5,ZG78)</f>
        <v>#VALUE!</v>
      </c>
      <c r="ZJ78" s="306" t="e">
        <f>ZI78-ZG78</f>
        <v>#VALUE!</v>
      </c>
      <c r="ZK78" s="826" t="e">
        <f>IF(ZL73="Штраф 50%","",MID($XU$5,ZG78,ZJ78))</f>
        <v>#VALUE!</v>
      </c>
      <c r="ZL78" s="829"/>
      <c r="ZQ78" s="1464"/>
      <c r="ZR78" s="306"/>
      <c r="ZS78" s="836" t="e">
        <f>SEARCH(" ",$XU$6,ZU77+1)+1</f>
        <v>#VALUE!</v>
      </c>
      <c r="ZT78" s="306" t="s">
        <v>8432</v>
      </c>
      <c r="ZU78" s="306" t="e">
        <f>SEARCH(ZT78,$XU$6,ZS78)</f>
        <v>#VALUE!</v>
      </c>
      <c r="ZV78" s="306" t="e">
        <f>ZU78-ZS78</f>
        <v>#VALUE!</v>
      </c>
      <c r="ZW78" s="826" t="e">
        <f>IF(ZX73="Штраф 50%","",MID($XU$6,ZS78,ZV78))</f>
        <v>#VALUE!</v>
      </c>
      <c r="ZX78" s="829"/>
      <c r="AAC78" s="1464"/>
      <c r="AAD78" s="306"/>
      <c r="AAE78" s="836" t="e">
        <f>SEARCH(" ",$XU$7,AAG77+1)+1</f>
        <v>#VALUE!</v>
      </c>
      <c r="AAF78" s="306" t="s">
        <v>8432</v>
      </c>
      <c r="AAG78" s="306" t="e">
        <f>SEARCH(AAF78,$XU$7,AAE78)</f>
        <v>#VALUE!</v>
      </c>
      <c r="AAH78" s="306" t="e">
        <f>AAG78-AAE78</f>
        <v>#VALUE!</v>
      </c>
      <c r="AAI78" s="826" t="e">
        <f>IF(AAJ73="Штраф 50%","",MID($XU$7,AAE78,AAH78))</f>
        <v>#VALUE!</v>
      </c>
      <c r="AAJ78" s="829"/>
      <c r="AFE78" s="1464"/>
      <c r="AFF78" s="306"/>
      <c r="AFG78" s="836" t="e">
        <f>SEARCH(" ",AFD$4,AFI77+1)+1</f>
        <v>#VALUE!</v>
      </c>
      <c r="AFH78" s="306" t="s">
        <v>8432</v>
      </c>
      <c r="AFI78" s="306" t="e">
        <f>SEARCH(AFH78,AFD$4,AFG78)</f>
        <v>#VALUE!</v>
      </c>
      <c r="AFJ78" s="306" t="e">
        <f>AFI78-AFG78</f>
        <v>#VALUE!</v>
      </c>
      <c r="AFK78" s="826" t="e">
        <f>IF(AFL73="Штраф 50%","",MID(AFD$4,AFG78,AFJ78))</f>
        <v>#VALUE!</v>
      </c>
      <c r="AFL78" s="829"/>
      <c r="AFQ78" s="1464"/>
      <c r="AFR78" s="306"/>
      <c r="AFS78" s="836" t="e">
        <f>SEARCH(" ",AFP$4,AFU77+1)+1</f>
        <v>#VALUE!</v>
      </c>
      <c r="AFT78" s="306" t="s">
        <v>8432</v>
      </c>
      <c r="AFU78" s="306" t="e">
        <f>SEARCH(AFT78,AFP$4,AFS78)</f>
        <v>#VALUE!</v>
      </c>
      <c r="AFV78" s="306" t="e">
        <f>AFU78-AFS78</f>
        <v>#VALUE!</v>
      </c>
      <c r="AFW78" s="826" t="e">
        <f>IF(AFX73="Штраф 50%","",MID(AFP$4,AFS78,AFV78))</f>
        <v>#VALUE!</v>
      </c>
      <c r="AFX78" s="829"/>
      <c r="AGC78" s="1464"/>
      <c r="AGD78" s="306"/>
      <c r="AGE78" s="836" t="e">
        <f>SEARCH(" ",AGB$4,AGG77+1)+1</f>
        <v>#VALUE!</v>
      </c>
      <c r="AGF78" s="306" t="s">
        <v>8432</v>
      </c>
      <c r="AGG78" s="306" t="e">
        <f>SEARCH(AGF78,AGB$4,AGE78)</f>
        <v>#VALUE!</v>
      </c>
      <c r="AGH78" s="306" t="e">
        <f>AGG78-AGE78</f>
        <v>#VALUE!</v>
      </c>
      <c r="AGI78" s="826" t="e">
        <f>IF(AGJ73="Штраф 50%","",MID(AGB$4,AGE78,AGH78))</f>
        <v>#VALUE!</v>
      </c>
      <c r="AGJ78" s="829"/>
      <c r="AGO78" s="1464"/>
      <c r="AGP78" s="306"/>
      <c r="AGQ78" s="836" t="e">
        <f>SEARCH(" ",AGN$4,AGS77+1)+1</f>
        <v>#VALUE!</v>
      </c>
      <c r="AGR78" s="306" t="s">
        <v>8432</v>
      </c>
      <c r="AGS78" s="306" t="e">
        <f>SEARCH(AGR78,AGN$4,AGQ78)</f>
        <v>#VALUE!</v>
      </c>
      <c r="AGT78" s="306" t="e">
        <f>AGS78-AGQ78</f>
        <v>#VALUE!</v>
      </c>
      <c r="AGU78" s="826" t="e">
        <f>IF(AGV73="Штраф 50%","",MID(AGN$4,AGQ78,AGT78))</f>
        <v>#VALUE!</v>
      </c>
      <c r="AGV78" s="829"/>
      <c r="AHA78" s="1464"/>
      <c r="AHB78" s="306"/>
      <c r="AHC78" s="836" t="e">
        <f>SEARCH(" ",AGZ$4,AHE77+1)+1</f>
        <v>#VALUE!</v>
      </c>
      <c r="AHD78" s="306" t="s">
        <v>8432</v>
      </c>
      <c r="AHE78" s="306" t="e">
        <f>SEARCH(AHD78,AGZ$4,AHC78)</f>
        <v>#VALUE!</v>
      </c>
      <c r="AHF78" s="306" t="e">
        <f>AHE78-AHC78</f>
        <v>#VALUE!</v>
      </c>
      <c r="AHG78" s="826" t="e">
        <f>IF(AHH73="Штраф 50%","",MID(AGZ$4,AHC78,AHF78))</f>
        <v>#VALUE!</v>
      </c>
      <c r="AHH78" s="829"/>
    </row>
    <row r="79" spans="1:893" ht="15" thickBot="1" x14ac:dyDescent="0.35">
      <c r="B79" s="116"/>
      <c r="C79" s="116"/>
      <c r="D79" s="116"/>
      <c r="E79" s="116"/>
      <c r="F79" s="116"/>
      <c r="G79" s="116"/>
      <c r="H79" s="116"/>
      <c r="I79" s="116"/>
      <c r="DT79" t="s">
        <v>9193</v>
      </c>
      <c r="DU79" s="821" t="s">
        <v>1246</v>
      </c>
      <c r="DV79" s="1465"/>
      <c r="DW79" s="583"/>
      <c r="DX79" s="837"/>
      <c r="DY79" s="583"/>
      <c r="DZ79" s="583"/>
      <c r="EA79" s="583"/>
      <c r="EB79" s="831" t="e">
        <f>VALUE(CONCATENATE(EB77,",",EB78))</f>
        <v>#VALUE!</v>
      </c>
      <c r="EC79" s="832" t="str">
        <f>IF(EC73="Штраф 50%","",IF(OR(DY76=" в размере",DY73=" в размере"),EB79,""))</f>
        <v/>
      </c>
      <c r="NK79" s="1465"/>
      <c r="NL79" s="583"/>
      <c r="NM79" s="837"/>
      <c r="NN79" s="583"/>
      <c r="NO79" s="583"/>
      <c r="NP79" s="583"/>
      <c r="NQ79" s="831" t="e">
        <f>VALUE(CONCATENATE(NQ77,",",NQ78))</f>
        <v>#VALUE!</v>
      </c>
      <c r="NR79" s="832" t="str">
        <f>IF(NR73="Штраф 50%","",IF(OR(NN76=" в размере",NN73=" в размере"),NQ79,""))</f>
        <v/>
      </c>
      <c r="SY79" s="1465"/>
      <c r="SZ79" s="583"/>
      <c r="TA79" s="837"/>
      <c r="TB79" s="583"/>
      <c r="TC79" s="583"/>
      <c r="TD79" s="583"/>
      <c r="TE79" s="831" t="e">
        <f>VALUE(CONCATENATE(TE77,",",TE78))</f>
        <v>#VALUE!</v>
      </c>
      <c r="TF79" s="832" t="str">
        <f>IF(OR(TF73="Штраф 50%",TF73=""),"",TE79)</f>
        <v/>
      </c>
      <c r="TK79" s="1004"/>
      <c r="TL79" s="1035"/>
      <c r="TM79" s="1036"/>
      <c r="TN79" s="1036"/>
      <c r="TO79" s="1036"/>
      <c r="TP79" s="1036"/>
      <c r="TQ79" s="1037"/>
      <c r="TR79" s="1004"/>
      <c r="TW79" s="1465"/>
      <c r="TX79" s="583"/>
      <c r="TY79" s="837"/>
      <c r="TZ79" s="583"/>
      <c r="UA79" s="583"/>
      <c r="UB79" s="583"/>
      <c r="UC79" s="831" t="e">
        <f>VALUE(CONCATENATE(UC77,",",UC78))</f>
        <v>#VALUE!</v>
      </c>
      <c r="UD79" s="832" t="str">
        <f>IF(OR(UD73="Штраф 50%",UD73=""),"",UC79)</f>
        <v/>
      </c>
      <c r="UI79" s="1004"/>
      <c r="UJ79" s="1035"/>
      <c r="UK79" s="1036"/>
      <c r="UL79" s="1036"/>
      <c r="UM79" s="1036"/>
      <c r="UN79" s="1036"/>
      <c r="UO79" s="1037"/>
      <c r="UP79" s="1004"/>
      <c r="UU79" s="1465"/>
      <c r="UV79" s="583"/>
      <c r="UW79" s="837"/>
      <c r="UX79" s="583"/>
      <c r="UY79" s="583"/>
      <c r="UZ79" s="583"/>
      <c r="VA79" s="831" t="e">
        <f>VALUE(CONCATENATE(VA77,",",VA78))</f>
        <v>#VALUE!</v>
      </c>
      <c r="VB79" s="832" t="str">
        <f>IF(OR(VB73="Штраф 50%",VB73=""),"",VA79)</f>
        <v/>
      </c>
      <c r="VG79" s="1004"/>
      <c r="VH79" s="1035"/>
      <c r="VI79" s="1036"/>
      <c r="VJ79" s="1036"/>
      <c r="VK79" s="1036"/>
      <c r="VL79" s="1036"/>
      <c r="VM79" s="1037"/>
      <c r="VN79" s="1004"/>
      <c r="VS79" s="1465"/>
      <c r="VT79" s="583"/>
      <c r="VU79" s="837"/>
      <c r="VV79" s="583"/>
      <c r="VW79" s="583"/>
      <c r="VX79" s="583"/>
      <c r="VY79" s="831" t="e">
        <f>VALUE(CONCATENATE(VY77,",",VY78))</f>
        <v>#VALUE!</v>
      </c>
      <c r="VZ79" s="832" t="str">
        <f>IF(OR(VZ73="Штраф 50%",VZ73=""),"",VY79)</f>
        <v/>
      </c>
      <c r="WE79" s="1004"/>
      <c r="WF79" s="1035"/>
      <c r="WG79" s="1036"/>
      <c r="WH79" s="1036"/>
      <c r="WI79" s="1036"/>
      <c r="WJ79" s="1036"/>
      <c r="WK79" s="1037"/>
      <c r="WL79" s="1004"/>
      <c r="WQ79" s="1465"/>
      <c r="WR79" s="583"/>
      <c r="WS79" s="837"/>
      <c r="WT79" s="583"/>
      <c r="WU79" s="583"/>
      <c r="WV79" s="583"/>
      <c r="WW79" s="831" t="e">
        <f>VALUE(CONCATENATE(WW77,",",WW78))</f>
        <v>#VALUE!</v>
      </c>
      <c r="WX79" s="832" t="str">
        <f>IF(OR(WX73="Штраф 50%",WX73=""),"",WW79)</f>
        <v/>
      </c>
      <c r="XC79" s="1004"/>
      <c r="XD79" s="1035"/>
      <c r="XE79" s="1036"/>
      <c r="XF79" s="1036"/>
      <c r="XG79" s="1036"/>
      <c r="XH79" s="1036"/>
      <c r="XI79" s="1037"/>
      <c r="XJ79" s="1004"/>
      <c r="YG79" s="1465"/>
      <c r="YH79" s="583"/>
      <c r="YI79" s="837"/>
      <c r="YJ79" s="583"/>
      <c r="YK79" s="583"/>
      <c r="YL79" s="583"/>
      <c r="YM79" s="831" t="e">
        <f>VALUE(CONCATENATE(YM77,",",YM78))</f>
        <v>#VALUE!</v>
      </c>
      <c r="YN79" s="832" t="str">
        <f>IF(YN73="Штраф 50%","",IF(OR(YJ76=" в размере",YJ73=" в размере"),YM79,""))</f>
        <v/>
      </c>
      <c r="YS79" s="1465"/>
      <c r="YT79" s="583"/>
      <c r="YU79" s="837"/>
      <c r="YV79" s="583"/>
      <c r="YW79" s="583"/>
      <c r="YX79" s="583"/>
      <c r="YY79" s="831" t="e">
        <f>VALUE(CONCATENATE(YY77,",",YY78))</f>
        <v>#VALUE!</v>
      </c>
      <c r="YZ79" s="832" t="str">
        <f>IF(YZ73="Штраф 50%","",IF(OR(YV76=" в размере",YV73=" в размере"),YY79,""))</f>
        <v/>
      </c>
      <c r="ZE79" s="1465"/>
      <c r="ZF79" s="583"/>
      <c r="ZG79" s="837"/>
      <c r="ZH79" s="583"/>
      <c r="ZI79" s="583"/>
      <c r="ZJ79" s="583"/>
      <c r="ZK79" s="831" t="e">
        <f>VALUE(CONCATENATE(ZK77,",",ZK78))</f>
        <v>#VALUE!</v>
      </c>
      <c r="ZL79" s="832" t="str">
        <f>IF(ZL73="Штраф 50%","",IF(OR(ZH76=" в размере",ZH73=" в размере"),ZK79,""))</f>
        <v/>
      </c>
      <c r="ZQ79" s="1465"/>
      <c r="ZR79" s="583"/>
      <c r="ZS79" s="837"/>
      <c r="ZT79" s="583"/>
      <c r="ZU79" s="583"/>
      <c r="ZV79" s="583"/>
      <c r="ZW79" s="831" t="e">
        <f>VALUE(CONCATENATE(ZW77,",",ZW78))</f>
        <v>#VALUE!</v>
      </c>
      <c r="ZX79" s="832" t="str">
        <f>IF(ZX73="Штраф 50%","",IF(OR(ZT76=" в размере",ZT73=" в размере"),ZW79,""))</f>
        <v/>
      </c>
      <c r="AAC79" s="1465"/>
      <c r="AAD79" s="583"/>
      <c r="AAE79" s="837"/>
      <c r="AAF79" s="583"/>
      <c r="AAG79" s="583"/>
      <c r="AAH79" s="583"/>
      <c r="AAI79" s="831" t="e">
        <f>VALUE(CONCATENATE(AAI77,",",AAI78))</f>
        <v>#VALUE!</v>
      </c>
      <c r="AAJ79" s="832" t="str">
        <f>IF(AAJ73="Штраф 50%","",IF(OR(AAF76=" в размере",AAF73=" в размере"),AAI79,""))</f>
        <v/>
      </c>
      <c r="AFE79" s="1465"/>
      <c r="AFF79" s="583"/>
      <c r="AFG79" s="837"/>
      <c r="AFH79" s="583"/>
      <c r="AFI79" s="583"/>
      <c r="AFJ79" s="583"/>
      <c r="AFK79" s="831" t="e">
        <f>VALUE(CONCATENATE(AFK77,",",AFK78))</f>
        <v>#VALUE!</v>
      </c>
      <c r="AFL79" s="832" t="str">
        <f>IF(AFL73="Штраф 50%","",IF(OR(AFH76=" в размере",AFH73=" в размере"),AFK79,""))</f>
        <v/>
      </c>
      <c r="AFQ79" s="1465"/>
      <c r="AFR79" s="583"/>
      <c r="AFS79" s="837"/>
      <c r="AFT79" s="583"/>
      <c r="AFU79" s="583"/>
      <c r="AFV79" s="583"/>
      <c r="AFW79" s="831" t="e">
        <f>VALUE(CONCATENATE(AFW77,",",AFW78))</f>
        <v>#VALUE!</v>
      </c>
      <c r="AFX79" s="832" t="str">
        <f>IF(AFX73="Штраф 50%","",IF(OR(AFT76=" в размере",AFT73=" в размере"),AFW79,""))</f>
        <v/>
      </c>
      <c r="AGC79" s="1465"/>
      <c r="AGD79" s="583"/>
      <c r="AGE79" s="837"/>
      <c r="AGF79" s="583"/>
      <c r="AGG79" s="583"/>
      <c r="AGH79" s="583"/>
      <c r="AGI79" s="831" t="e">
        <f>VALUE(CONCATENATE(AGI77,",",AGI78))</f>
        <v>#VALUE!</v>
      </c>
      <c r="AGJ79" s="832" t="str">
        <f>IF(AGJ73="Штраф 50%","",IF(OR(AGF76=" в размере",AGF73=" в размере"),AGI79,""))</f>
        <v/>
      </c>
      <c r="AGO79" s="1465"/>
      <c r="AGP79" s="583"/>
      <c r="AGQ79" s="837"/>
      <c r="AGR79" s="583"/>
      <c r="AGS79" s="583"/>
      <c r="AGT79" s="583"/>
      <c r="AGU79" s="831" t="e">
        <f>VALUE(CONCATENATE(AGU77,",",AGU78))</f>
        <v>#VALUE!</v>
      </c>
      <c r="AGV79" s="832" t="str">
        <f>IF(AGV73="Штраф 50%","",IF(OR(AGR76=" в размере",AGR73=" в размере"),AGU79,""))</f>
        <v/>
      </c>
      <c r="AHA79" s="1465"/>
      <c r="AHB79" s="583"/>
      <c r="AHC79" s="837"/>
      <c r="AHD79" s="583"/>
      <c r="AHE79" s="583"/>
      <c r="AHF79" s="583"/>
      <c r="AHG79" s="831" t="e">
        <f>VALUE(CONCATENATE(AHG77,",",AHG78))</f>
        <v>#VALUE!</v>
      </c>
      <c r="AHH79" s="832" t="str">
        <f>IF(AHH73="Штраф 50%","",IF(OR(AHD76=" в размере",AHD73=" в размере"),AHG79,""))</f>
        <v/>
      </c>
    </row>
    <row r="80" spans="1:893" ht="15" thickTop="1" x14ac:dyDescent="0.3">
      <c r="B80" s="116"/>
      <c r="C80" s="116"/>
      <c r="D80" s="116"/>
      <c r="E80" s="116"/>
      <c r="F80" s="116"/>
      <c r="G80" s="116"/>
      <c r="H80" s="116"/>
      <c r="I80" s="116"/>
      <c r="DT80" t="s">
        <v>9194</v>
      </c>
      <c r="DU80" s="821" t="s">
        <v>1118</v>
      </c>
      <c r="DV80" s="1463">
        <v>12</v>
      </c>
      <c r="DW80" s="824" t="s">
        <v>8433</v>
      </c>
      <c r="DX80" s="838" t="e">
        <f>SEARCH(DS$4,$C$3,DZ73)+LEN(DS$4)</f>
        <v>#VALUE!</v>
      </c>
      <c r="DY80" s="406" t="str">
        <f>IF(DZ80=IFERROR(SEARCH(".",C$3,DX80),99999),".",
IF(DZ80=IFERROR(SEARCH(",",C$3,DX80),99999),",",
IF(DZ80=IFERROR(SEARCH(" за период",C$3,DX80),999999)," за период",
IF(DZ80=IFERROR(SEARCH(" в размере",C$3,DX80),99999)," в размере",
))))</f>
        <v>.</v>
      </c>
      <c r="DZ80" s="406">
        <f>IFERROR(MIN(IFERROR(SEARCH(".",$C$3,DX80),99999),IFERROR(SEARCH(",",$C$3,DX80),99999),IFERROR(SEARCH(" за период",$C$3,DX80),999999),IFERROR(SEARCH(" в размере",$C$3,DX80),99999)),"ОШИБКА")</f>
        <v>99999</v>
      </c>
      <c r="EA80" s="406" t="e">
        <f>DZ80-DX80</f>
        <v>#VALUE!</v>
      </c>
      <c r="EB80" s="824" t="e">
        <f>MID($C$3,DX80,EA80)</f>
        <v>#VALUE!</v>
      </c>
      <c r="EC80" s="825" t="str">
        <f>IFERROR(INDEX(DU:DU,MATCH(MID($C$3,DX80,EA80),DT:DT,0),1),"")</f>
        <v/>
      </c>
      <c r="ED80" s="754"/>
      <c r="NK80" s="1463">
        <v>12</v>
      </c>
      <c r="NL80" s="824" t="s">
        <v>8433</v>
      </c>
      <c r="NM80" s="838" t="e">
        <f>SEARCH(NH$4,NJ$4,NO73)+LEN(NH$4)</f>
        <v>#VALUE!</v>
      </c>
      <c r="NN80" s="406" t="str">
        <f>IF(NO80=IFERROR(SEARCH(".",NJ$4,NM80),99999),".",
IF(NO80=IFERROR(SEARCH(",",NJ$4,NM80),99999),",",
IF(NO80=IFERROR(SEARCH(" за период",NJ$4,NM80),999999)," за период",
IF(NO80=IFERROR(SEARCH(" в размере",NJ$4,NM80),99999)," в размере",
))))</f>
        <v>.</v>
      </c>
      <c r="NO80" s="406">
        <f>IFERROR(MIN(IFERROR(SEARCH(".",NJ$4,NM80),99999),IFERROR(SEARCH(",",NJ$4,NM80),99999),IFERROR(SEARCH(" за период",NJ$4,NM80),999999),IFERROR(SEARCH(" в размере",NJ$4,NM80),99999)),"ОШИБКА")</f>
        <v>99999</v>
      </c>
      <c r="NP80" s="406" t="e">
        <f>NO80-NM80</f>
        <v>#VALUE!</v>
      </c>
      <c r="NQ80" s="824" t="e">
        <f>MID(NJ$4,NM80,NP80)</f>
        <v>#VALUE!</v>
      </c>
      <c r="NR80" s="825" t="str">
        <f>IFERROR(INDEX($DU:$DU,MATCH(MID(NJ$4,NM80,NP80),$DT:$DT,0),1),"")</f>
        <v/>
      </c>
      <c r="NS80" s="754"/>
      <c r="NT80" s="754"/>
      <c r="SY80" s="1463">
        <v>12</v>
      </c>
      <c r="SZ80" s="824" t="s">
        <v>8433</v>
      </c>
      <c r="TA80" s="838" t="e">
        <f>SEARCH(SV$4,$SQ$3,TC73)+LEN(SV$4)</f>
        <v>#VALUE!</v>
      </c>
      <c r="TB80" s="406" t="str">
        <f>IF(TC80=IFERROR(SEARCH(".",$SQ$3,TA80),99999),".",
IF(TC80=IFERROR(SEARCH(",",$SQ$3,TA80),99999),",",
IF(TC80=IFERROR(SEARCH(" за период",$SQ$3,TA80),999999)," за период",
IF(TC80=IFERROR(SEARCH(" в размере",$SQ$3,TA80),99999)," в размере",
))))</f>
        <v>.</v>
      </c>
      <c r="TC80" s="406">
        <f>IFERROR(MIN(IFERROR(SEARCH(".",$SQ$3,TA80),99999),IFERROR(SEARCH(",",$SQ$3,TA80),99999),IFERROR(SEARCH(" за период",$SQ$3,TA80),999999),IFERROR(SEARCH(" в размере",$SQ$3,TA80),99999)),"ОШИБКА")</f>
        <v>99999</v>
      </c>
      <c r="TD80" s="406" t="e">
        <f>TC80-TA80</f>
        <v>#VALUE!</v>
      </c>
      <c r="TE80" s="824" t="e">
        <f>MID($SQ$3,TA80,TD80)</f>
        <v>#VALUE!</v>
      </c>
      <c r="TF80" s="825" t="str">
        <f>IFERROR(INDEX($DU:$DU,MATCH(MID($SQ$3,TA80,TD80),$DT:$DT,0),1),"")</f>
        <v/>
      </c>
      <c r="TG80" s="754"/>
      <c r="TK80" s="1004"/>
      <c r="TL80" s="1004"/>
      <c r="TM80" s="1036"/>
      <c r="TN80" s="1036"/>
      <c r="TO80" s="1036"/>
      <c r="TP80" s="1036"/>
      <c r="TQ80" s="1035"/>
      <c r="TR80" s="1004"/>
      <c r="TS80" s="754"/>
      <c r="TW80" s="1463">
        <v>12</v>
      </c>
      <c r="TX80" s="824" t="s">
        <v>8433</v>
      </c>
      <c r="TY80" s="838" t="e">
        <f>SEARCH(TT$4,$SQ$4,UA73)+LEN(TT$4)</f>
        <v>#VALUE!</v>
      </c>
      <c r="TZ80" s="406" t="str">
        <f>IF(UA80=IFERROR(SEARCH(".",$SQ$4,TY80),99999),".",
IF(UA80=IFERROR(SEARCH(",",$SQ$4,TY80),99999),",",
IF(UA80=IFERROR(SEARCH(" за период",$SQ$4,TY80),999999)," за период",
IF(UA80=IFERROR(SEARCH(" в размере",$SQ$4,TY80),99999)," в размере",
))))</f>
        <v>.</v>
      </c>
      <c r="UA80" s="406">
        <f>IFERROR(MIN(IFERROR(SEARCH(".",$SQ$4,TY80),99999),IFERROR(SEARCH(",",$SQ$4,TY80),99999),IFERROR(SEARCH(" за период",$SQ$4,TY80),999999),IFERROR(SEARCH(" в размере",$SQ$4,TY80),99999)),"ОШИБКА")</f>
        <v>99999</v>
      </c>
      <c r="UB80" s="406" t="e">
        <f>UA80-TY80</f>
        <v>#VALUE!</v>
      </c>
      <c r="UC80" s="824" t="e">
        <f>MID($SQ$4,TY80,UB80)</f>
        <v>#VALUE!</v>
      </c>
      <c r="UD80" s="825" t="str">
        <f>IFERROR(INDEX($DU:$DU,MATCH(MID($SQ$4,TY80,UB80),$DT:$DT,0),1),"")</f>
        <v/>
      </c>
      <c r="UE80" s="754"/>
      <c r="UI80" s="1004"/>
      <c r="UJ80" s="1004"/>
      <c r="UK80" s="1036"/>
      <c r="UL80" s="1036"/>
      <c r="UM80" s="1036"/>
      <c r="UN80" s="1036"/>
      <c r="UO80" s="1035"/>
      <c r="UP80" s="1004"/>
      <c r="UQ80" s="754"/>
      <c r="UU80" s="1463">
        <v>12</v>
      </c>
      <c r="UV80" s="824" t="s">
        <v>8433</v>
      </c>
      <c r="UW80" s="838" t="e">
        <f>SEARCH(UR$4,$SQ$5,UY73)+LEN(UR$4)</f>
        <v>#VALUE!</v>
      </c>
      <c r="UX80" s="406" t="str">
        <f>IF(UY80=IFERROR(SEARCH(".",$SQ$5,UW80),99999),".",
IF(UY80=IFERROR(SEARCH(",",$SQ$5,UW80),99999),",",
IF(UY80=IFERROR(SEARCH(" за период",$SQ$5,UW80),999999)," за период",
IF(UY80=IFERROR(SEARCH(" в размере",$SQ$5,UW80),99999)," в размере",
))))</f>
        <v>.</v>
      </c>
      <c r="UY80" s="406">
        <f>IFERROR(MIN(IFERROR(SEARCH(".",$SQ$5,UW80),99999),IFERROR(SEARCH(",",$SQ$5,UW80),99999),IFERROR(SEARCH(" за период",$SQ$5,UW80),999999),IFERROR(SEARCH(" в размере",$SQ$5,UW80),99999)),"ОШИБКА")</f>
        <v>99999</v>
      </c>
      <c r="UZ80" s="406" t="e">
        <f>UY80-UW80</f>
        <v>#VALUE!</v>
      </c>
      <c r="VA80" s="824" t="e">
        <f>MID($SQ$5,UW80,UZ80)</f>
        <v>#VALUE!</v>
      </c>
      <c r="VB80" s="825" t="str">
        <f>IFERROR(INDEX($DU:$DU,MATCH(MID($SQ$5,UW80,UZ80),$DT:$DT,0),1),"")</f>
        <v/>
      </c>
      <c r="VC80" s="754"/>
      <c r="VG80" s="1004"/>
      <c r="VH80" s="1004"/>
      <c r="VI80" s="1036"/>
      <c r="VJ80" s="1036"/>
      <c r="VK80" s="1036"/>
      <c r="VL80" s="1036"/>
      <c r="VM80" s="1035"/>
      <c r="VN80" s="1004"/>
      <c r="VO80" s="754"/>
      <c r="VS80" s="1463">
        <v>12</v>
      </c>
      <c r="VT80" s="824" t="s">
        <v>8433</v>
      </c>
      <c r="VU80" s="838" t="e">
        <f>SEARCH(VP$4,$SQ$6,VW73)+LEN(VP$4)</f>
        <v>#VALUE!</v>
      </c>
      <c r="VV80" s="406" t="str">
        <f>IF(VW80=IFERROR(SEARCH(".",$SQ$6,VU80),99999),".",
IF(VW80=IFERROR(SEARCH(",",$SQ$6,VU80),99999),",",
IF(VW80=IFERROR(SEARCH(" за период",$SQ$6,VU80),999999)," за период",
IF(VW80=IFERROR(SEARCH(" в размере",$SQ$6,VU80),99999)," в размере",
))))</f>
        <v>.</v>
      </c>
      <c r="VW80" s="406">
        <f>IFERROR(MIN(IFERROR(SEARCH(".",$SQ$6,VU80),99999),IFERROR(SEARCH(",",$SQ$6,VU80),99999),IFERROR(SEARCH(" за период",$SQ$6,VU80),999999),IFERROR(SEARCH(" в размере",$SQ$6,VU80),99999)),"ОШИБКА")</f>
        <v>99999</v>
      </c>
      <c r="VX80" s="406" t="e">
        <f>VW80-VU80</f>
        <v>#VALUE!</v>
      </c>
      <c r="VY80" s="824" t="e">
        <f>MID($SQ$6,VU80,VX80)</f>
        <v>#VALUE!</v>
      </c>
      <c r="VZ80" s="825" t="str">
        <f>IFERROR(INDEX($DU:$DU,MATCH(MID($SQ$6,VU80,VX80),$DT:$DT,0),1),"")</f>
        <v/>
      </c>
      <c r="WA80" s="754"/>
      <c r="WE80" s="1004"/>
      <c r="WF80" s="1004"/>
      <c r="WG80" s="1036"/>
      <c r="WH80" s="1036"/>
      <c r="WI80" s="1036"/>
      <c r="WJ80" s="1036"/>
      <c r="WK80" s="1035"/>
      <c r="WL80" s="1004"/>
      <c r="WM80" s="754"/>
      <c r="WQ80" s="1463">
        <v>12</v>
      </c>
      <c r="WR80" s="824" t="s">
        <v>8433</v>
      </c>
      <c r="WS80" s="838" t="e">
        <f>SEARCH(WN$4,$SQ$7,WU73)+LEN(WN$4)</f>
        <v>#VALUE!</v>
      </c>
      <c r="WT80" s="406" t="str">
        <f>IF(WU80=IFERROR(SEARCH(".",$SQ$7,WS80),99999),".",
IF(WU80=IFERROR(SEARCH(",",$SQ$7,WS80),99999),",",
IF(WU80=IFERROR(SEARCH(" за период",$SQ$7,WS80),999999)," за период",
IF(WU80=IFERROR(SEARCH(" в размере",$SQ$7,WS80),99999)," в размере",
))))</f>
        <v>.</v>
      </c>
      <c r="WU80" s="406">
        <f>IFERROR(MIN(IFERROR(SEARCH(".",$SQ$7,WS80),99999),IFERROR(SEARCH(",",$SQ$7,WS80),99999),IFERROR(SEARCH(" за период",$SQ$7,WS80),999999),IFERROR(SEARCH(" в размере",$SQ$7,WS80),99999)),"ОШИБКА")</f>
        <v>99999</v>
      </c>
      <c r="WV80" s="406" t="e">
        <f>WU80-WS80</f>
        <v>#VALUE!</v>
      </c>
      <c r="WW80" s="824" t="e">
        <f>MID($SQ$7,WS80,WV80)</f>
        <v>#VALUE!</v>
      </c>
      <c r="WX80" s="825" t="str">
        <f>IFERROR(INDEX($DU:$DU,MATCH(MID($SQ$7,WS80,WV80),$DT:$DT,0),1),"")</f>
        <v/>
      </c>
      <c r="WY80" s="754"/>
      <c r="XC80" s="1004"/>
      <c r="XD80" s="1004"/>
      <c r="XE80" s="1036"/>
      <c r="XF80" s="1036"/>
      <c r="XG80" s="1036"/>
      <c r="XH80" s="1036"/>
      <c r="XI80" s="1035"/>
      <c r="XJ80" s="1004"/>
      <c r="XK80" s="754"/>
      <c r="YG80" s="1463">
        <v>12</v>
      </c>
      <c r="YH80" s="824" t="s">
        <v>8433</v>
      </c>
      <c r="YI80" s="838" t="e">
        <f>SEARCH(YD$4,$XU$3,YK73)+LEN(YD$4)</f>
        <v>#VALUE!</v>
      </c>
      <c r="YJ80" s="406" t="str">
        <f>IF(YK80=IFERROR(SEARCH(".",$XU$3,YI80),99999),".",
IF(YK80=IFERROR(SEARCH(",",$XU$3,YI80),99999),",",
IF(YK80=IFERROR(SEARCH(" за период",$XU$3,YI80),999999)," за период",
IF(YK80=IFERROR(SEARCH(" в размере",$XU$3,YI80),99999)," в размере",
))))</f>
        <v>.</v>
      </c>
      <c r="YK80" s="406">
        <f>IFERROR(MIN(IFERROR(SEARCH(".",$XU$3,YI80),99999),IFERROR(SEARCH(",",$XU$3,YI80),99999),IFERROR(SEARCH(" за период",$XU$3,YI80),999999),IFERROR(SEARCH(" в размере",$XU$3,YI80),99999)),"ОШИБКА")</f>
        <v>99999</v>
      </c>
      <c r="YL80" s="406" t="e">
        <f>YK80-YI80</f>
        <v>#VALUE!</v>
      </c>
      <c r="YM80" s="824" t="e">
        <f>MID($XU$3,YI80,YL80)</f>
        <v>#VALUE!</v>
      </c>
      <c r="YN80" s="825" t="str">
        <f>IFERROR(INDEX($DU:$DU,MATCH(MID($XU$3,YI80,YL80),$DT:$DT,0),1),"")</f>
        <v/>
      </c>
      <c r="YO80" s="754"/>
      <c r="YS80" s="1463">
        <v>12</v>
      </c>
      <c r="YT80" s="824" t="s">
        <v>8433</v>
      </c>
      <c r="YU80" s="838" t="e">
        <f>SEARCH(YP$4,$XU$4,YW73)+LEN(YP$4)</f>
        <v>#VALUE!</v>
      </c>
      <c r="YV80" s="406" t="str">
        <f>IF(YW80=IFERROR(SEARCH(".",$XU$4,YU80),99999),".",
IF(YW80=IFERROR(SEARCH(",",$XU$4,YU80),99999),",",
IF(YW80=IFERROR(SEARCH(" за период",$XU$4,YU80),999999)," за период",
IF(YW80=IFERROR(SEARCH(" в размере",$XU$4,YU80),99999)," в размере",
))))</f>
        <v>.</v>
      </c>
      <c r="YW80" s="406">
        <f>IFERROR(MIN(IFERROR(SEARCH(".",$XU$4,YU80),99999),IFERROR(SEARCH(",",$XU$4,YU80),99999),IFERROR(SEARCH(" за период",$XU$4,YU80),999999),IFERROR(SEARCH(" в размере",$XU$4,YU80),99999)),"ОШИБКА")</f>
        <v>99999</v>
      </c>
      <c r="YX80" s="406" t="e">
        <f>YW80-YU80</f>
        <v>#VALUE!</v>
      </c>
      <c r="YY80" s="824" t="e">
        <f>MID($XU$4,YU80,YX80)</f>
        <v>#VALUE!</v>
      </c>
      <c r="YZ80" s="825" t="str">
        <f>IFERROR(INDEX(EE:EE,MATCH(MID($XU$4,YU80,YX80),ED:ED,0),1),"")</f>
        <v/>
      </c>
      <c r="ZA80" s="754"/>
      <c r="ZE80" s="1463">
        <v>12</v>
      </c>
      <c r="ZF80" s="824" t="s">
        <v>8433</v>
      </c>
      <c r="ZG80" s="838" t="e">
        <f>SEARCH(ZB$4,$XU$5,ZI73)+LEN(ZB$4)</f>
        <v>#VALUE!</v>
      </c>
      <c r="ZH80" s="406" t="str">
        <f>IF(ZI80=IFERROR(SEARCH(".",$XU$5,ZG80),99999),".",
IF(ZI80=IFERROR(SEARCH(",",$XU$5,ZG80),99999),",",
IF(ZI80=IFERROR(SEARCH(" за период",$XU$5,ZG80),999999)," за период",
IF(ZI80=IFERROR(SEARCH(" в размере",$XU$5,ZG80),99999)," в размере",
))))</f>
        <v>.</v>
      </c>
      <c r="ZI80" s="406">
        <f>IFERROR(MIN(IFERROR(SEARCH(".",$XU$5,ZG80),99999),IFERROR(SEARCH(",",$XU$5,ZG80),99999),IFERROR(SEARCH(" за период",$XU$5,ZG80),999999),IFERROR(SEARCH(" в размере",$XU$5,ZG80),99999)),"ОШИБКА")</f>
        <v>99999</v>
      </c>
      <c r="ZJ80" s="406" t="e">
        <f>ZI80-ZG80</f>
        <v>#VALUE!</v>
      </c>
      <c r="ZK80" s="824" t="e">
        <f>MID($XU$5,ZG80,ZJ80)</f>
        <v>#VALUE!</v>
      </c>
      <c r="ZL80" s="825" t="str">
        <f>IFERROR(INDEX($DU:$DU,MATCH(MID($XU$5,ZG80,ZJ80),$DT:$DT,0),1),"")</f>
        <v/>
      </c>
      <c r="ZM80" s="754"/>
      <c r="ZQ80" s="1463">
        <v>12</v>
      </c>
      <c r="ZR80" s="824" t="s">
        <v>8433</v>
      </c>
      <c r="ZS80" s="838" t="e">
        <f>SEARCH(ZN$4,$XU$6,ZU73)+LEN(ZN$4)</f>
        <v>#VALUE!</v>
      </c>
      <c r="ZT80" s="406" t="str">
        <f>IF(ZU80=IFERROR(SEARCH(".",$XU$6,ZS80),99999),".",
IF(ZU80=IFERROR(SEARCH(",",$XU$6,ZS80),99999),",",
IF(ZU80=IFERROR(SEARCH(" за период",$XU$6,ZS80),999999)," за период",
IF(ZU80=IFERROR(SEARCH(" в размере",$XU$6,ZS80),99999)," в размере",
))))</f>
        <v>.</v>
      </c>
      <c r="ZU80" s="406">
        <f>IFERROR(MIN(IFERROR(SEARCH(".",$XU$6,ZS80),99999),IFERROR(SEARCH(",",$XU$6,ZS80),99999),IFERROR(SEARCH(" за период",$XU$6,ZS80),999999),IFERROR(SEARCH(" в размере",$XU$6,ZS80),99999)),"ОШИБКА")</f>
        <v>99999</v>
      </c>
      <c r="ZV80" s="406" t="e">
        <f>ZU80-ZS80</f>
        <v>#VALUE!</v>
      </c>
      <c r="ZW80" s="824" t="e">
        <f>MID($XU$6,ZS80,ZV80)</f>
        <v>#VALUE!</v>
      </c>
      <c r="ZX80" s="825" t="str">
        <f>IFERROR(INDEX($DU:$DU,MATCH(MID($XU$6,ZS80,ZV80),$DT:$DT,0),1),"")</f>
        <v/>
      </c>
      <c r="ZY80" s="754"/>
      <c r="AAC80" s="1463">
        <v>12</v>
      </c>
      <c r="AAD80" s="824" t="s">
        <v>8433</v>
      </c>
      <c r="AAE80" s="838" t="e">
        <f>SEARCH(ZZ$4,$XU$7,AAG73)+LEN(ZZ$4)</f>
        <v>#VALUE!</v>
      </c>
      <c r="AAF80" s="406" t="str">
        <f>IF(AAG80=IFERROR(SEARCH(".",$XU$7,AAE80),99999),".",
IF(AAG80=IFERROR(SEARCH(",",$XU$7,AAE80),99999),",",
IF(AAG80=IFERROR(SEARCH(" за период",$XU$7,AAE80),999999)," за период",
IF(AAG80=IFERROR(SEARCH(" в размере",$XU$7,AAE80),99999)," в размере",
))))</f>
        <v>.</v>
      </c>
      <c r="AAG80" s="406">
        <f>IFERROR(MIN(IFERROR(SEARCH(".",$XU$7,AAE80),99999),IFERROR(SEARCH(",",$XU$7,AAE80),99999),IFERROR(SEARCH(" за период",$XU$7,AAE80),999999),IFERROR(SEARCH(" в размере",$XU$7,AAE80),99999)),"ОШИБКА")</f>
        <v>99999</v>
      </c>
      <c r="AAH80" s="406" t="e">
        <f>AAG80-AAE80</f>
        <v>#VALUE!</v>
      </c>
      <c r="AAI80" s="824" t="e">
        <f>MID($XU$7,AAE80,AAH80)</f>
        <v>#VALUE!</v>
      </c>
      <c r="AAJ80" s="825" t="str">
        <f>IFERROR(INDEX($DU:$DU,MATCH(MID($XU$7,AAE80,AAH80),$DT:$DT,0),1),"")</f>
        <v/>
      </c>
      <c r="AAK80" s="754"/>
      <c r="AAL80" s="754"/>
      <c r="AAM80" s="754"/>
      <c r="AFE80" s="1463">
        <v>12</v>
      </c>
      <c r="AFF80" s="824" t="s">
        <v>8433</v>
      </c>
      <c r="AFG80" s="838" t="e">
        <f>SEARCH(AFB$4,AFD$4,AFI73)+LEN(AFB$4)</f>
        <v>#VALUE!</v>
      </c>
      <c r="AFH80" s="406" t="str">
        <f>IF(AFI80=IFERROR(SEARCH(".",AFD$4,AFG80),99999),".",
IF(AFI80=IFERROR(SEARCH(",",AFD$4,AFG80),99999),",",
IF(AFI80=IFERROR(SEARCH(" за период",AFD$4,AFG80),999999)," за период",
IF(AFI80=IFERROR(SEARCH(" в размере",AFD$4,AFG80),99999)," в размере",
))))</f>
        <v>.</v>
      </c>
      <c r="AFI80" s="406">
        <f>IFERROR(MIN(IFERROR(SEARCH(".",AFD$4,AFG80),99999),IFERROR(SEARCH(",",AFD$4,AFG80),99999),IFERROR(SEARCH(" за период",AFD$4,AFG80),999999),IFERROR(SEARCH(" в размере",AFD$4,AFG80),99999)),"ОШИБКА")</f>
        <v>99999</v>
      </c>
      <c r="AFJ80" s="406" t="e">
        <f>AFI80-AFG80</f>
        <v>#VALUE!</v>
      </c>
      <c r="AFK80" s="824" t="e">
        <f>MID(AFD$4,AFG80,AFJ80)</f>
        <v>#VALUE!</v>
      </c>
      <c r="AFL80" s="825" t="str">
        <f>IFERROR(INDEX($DU:$DU,MATCH(MID(AFD$4,AFG80,AFJ80),$DT:$DT,0),1),"")</f>
        <v/>
      </c>
      <c r="AFM80" s="754"/>
      <c r="AFQ80" s="1463">
        <v>12</v>
      </c>
      <c r="AFR80" s="824" t="s">
        <v>8433</v>
      </c>
      <c r="AFS80" s="838" t="e">
        <f>SEARCH(AFN$4,AFP$4,AFU73)+LEN(AFN$4)</f>
        <v>#VALUE!</v>
      </c>
      <c r="AFT80" s="406" t="str">
        <f>IF(AFU80=IFERROR(SEARCH(".",AFP$4,AFS80),99999),".",
IF(AFU80=IFERROR(SEARCH(",",AFP$4,AFS80),99999),",",
IF(AFU80=IFERROR(SEARCH(" за период",AFP$4,AFS80),999999)," за период",
IF(AFU80=IFERROR(SEARCH(" в размере",AFP$4,AFS80),99999)," в размере",
))))</f>
        <v>.</v>
      </c>
      <c r="AFU80" s="406">
        <f>IFERROR(MIN(IFERROR(SEARCH(".",AFP$4,AFS80),99999),IFERROR(SEARCH(",",AFP$4,AFS80),99999),IFERROR(SEARCH(" за период",AFP$4,AFS80),999999),IFERROR(SEARCH(" в размере",AFP$4,AFS80),99999)),"ОШИБКА")</f>
        <v>99999</v>
      </c>
      <c r="AFV80" s="406" t="e">
        <f>AFU80-AFS80</f>
        <v>#VALUE!</v>
      </c>
      <c r="AFW80" s="824" t="e">
        <f>MID(AFP$4,AFS80,AFV80)</f>
        <v>#VALUE!</v>
      </c>
      <c r="AFX80" s="825" t="str">
        <f>IFERROR(INDEX($DU:$DU,MATCH(MID(AFP$4,AFS80,AFV80),$DT:$DT,0),1),"")</f>
        <v/>
      </c>
      <c r="AFY80" s="754"/>
      <c r="AGC80" s="1463">
        <v>12</v>
      </c>
      <c r="AGD80" s="824" t="s">
        <v>8433</v>
      </c>
      <c r="AGE80" s="838" t="e">
        <f>SEARCH(AFZ$4,AGB$4,AGG73)+LEN(AFZ$4)</f>
        <v>#VALUE!</v>
      </c>
      <c r="AGF80" s="406" t="str">
        <f>IF(AGG80=IFERROR(SEARCH(".",AGB$4,AGE80),99999),".",
IF(AGG80=IFERROR(SEARCH(",",AGB$4,AGE80),99999),",",
IF(AGG80=IFERROR(SEARCH(" за период",AGB$4,AGE80),999999)," за период",
IF(AGG80=IFERROR(SEARCH(" в размере",AGB$4,AGE80),99999)," в размере",
))))</f>
        <v>.</v>
      </c>
      <c r="AGG80" s="406">
        <f>IFERROR(MIN(IFERROR(SEARCH(".",AGB$4,AGE80),99999),IFERROR(SEARCH(",",AGB$4,AGE80),99999),IFERROR(SEARCH(" за период",AGB$4,AGE80),999999),IFERROR(SEARCH(" в размере",AGB$4,AGE80),99999)),"ОШИБКА")</f>
        <v>99999</v>
      </c>
      <c r="AGH80" s="406" t="e">
        <f>AGG80-AGE80</f>
        <v>#VALUE!</v>
      </c>
      <c r="AGI80" s="824" t="e">
        <f>MID(AGB$4,AGE80,AGH80)</f>
        <v>#VALUE!</v>
      </c>
      <c r="AGJ80" s="825" t="str">
        <f>IFERROR(INDEX($DU:$DU,MATCH(MID(AGB$4,AGE80,AGH80),$DT:$DT,0),1),"")</f>
        <v/>
      </c>
      <c r="AGK80" s="754"/>
      <c r="AGO80" s="1463">
        <v>12</v>
      </c>
      <c r="AGP80" s="824" t="s">
        <v>8433</v>
      </c>
      <c r="AGQ80" s="838" t="e">
        <f>SEARCH(AGL$4,AGN$4,AGS73)+LEN(AGL$4)</f>
        <v>#VALUE!</v>
      </c>
      <c r="AGR80" s="406" t="str">
        <f>IF(AGS80=IFERROR(SEARCH(".",AGN$4,AGQ80),99999),".",
IF(AGS80=IFERROR(SEARCH(",",AGN$4,AGQ80),99999),",",
IF(AGS80=IFERROR(SEARCH(" за период",AGN$4,AGQ80),999999)," за период",
IF(AGS80=IFERROR(SEARCH(" в размере",AGN$4,AGQ80),99999)," в размере",
))))</f>
        <v>.</v>
      </c>
      <c r="AGS80" s="406">
        <f>IFERROR(MIN(IFERROR(SEARCH(".",AGN$4,AGQ80),99999),IFERROR(SEARCH(",",AGN$4,AGQ80),99999),IFERROR(SEARCH(" за период",AGN$4,AGQ80),999999),IFERROR(SEARCH(" в размере",AGN$4,AGQ80),99999)),"ОШИБКА")</f>
        <v>99999</v>
      </c>
      <c r="AGT80" s="406" t="e">
        <f>AGS80-AGQ80</f>
        <v>#VALUE!</v>
      </c>
      <c r="AGU80" s="824" t="e">
        <f>MID(AGN$4,AGQ80,AGT80)</f>
        <v>#VALUE!</v>
      </c>
      <c r="AGV80" s="825" t="str">
        <f>IFERROR(INDEX($DU:$DU,MATCH(MID(AGN$4,AGQ80,AGT80),$DT:$DT,0),1),"")</f>
        <v/>
      </c>
      <c r="AGW80" s="754"/>
      <c r="AHA80" s="1463">
        <v>12</v>
      </c>
      <c r="AHB80" s="824" t="s">
        <v>8433</v>
      </c>
      <c r="AHC80" s="838" t="e">
        <f>SEARCH(AGX$4,AGZ$4,AHE73)+LEN(AGX$4)</f>
        <v>#VALUE!</v>
      </c>
      <c r="AHD80" s="406" t="str">
        <f>IF(AHE80=IFERROR(SEARCH(".",AGZ$4,AHC80),99999),".",
IF(AHE80=IFERROR(SEARCH(",",AGZ$4,AHC80),99999),",",
IF(AHE80=IFERROR(SEARCH(" за период",AGZ$4,AHC80),999999)," за период",
IF(AHE80=IFERROR(SEARCH(" в размере",AGZ$4,AHC80),99999)," в размере",
))))</f>
        <v>.</v>
      </c>
      <c r="AHE80" s="406">
        <f>IFERROR(MIN(IFERROR(SEARCH(".",AGZ$4,AHC80),99999),IFERROR(SEARCH(",",AGZ$4,AHC80),99999),IFERROR(SEARCH(" за период",AGZ$4,AHC80),999999),IFERROR(SEARCH(" в размере",AGZ$4,AHC80),99999)),"ОШИБКА")</f>
        <v>99999</v>
      </c>
      <c r="AHF80" s="406" t="e">
        <f>AHE80-AHC80</f>
        <v>#VALUE!</v>
      </c>
      <c r="AHG80" s="824" t="e">
        <f>MID(AGZ$4,AHC80,AHF80)</f>
        <v>#VALUE!</v>
      </c>
      <c r="AHH80" s="825" t="str">
        <f>IFERROR(INDEX($DU:$DU,MATCH(MID(AGZ$4,AHC80,AHF80),$DT:$DT,0),1),"")</f>
        <v/>
      </c>
      <c r="AHI80" s="754"/>
    </row>
    <row r="81" spans="2:893" x14ac:dyDescent="0.3">
      <c r="B81" s="116"/>
      <c r="C81" s="116"/>
      <c r="D81" s="116"/>
      <c r="E81" s="116"/>
      <c r="F81" s="116"/>
      <c r="G81" s="116"/>
      <c r="H81" s="116"/>
      <c r="I81" s="116"/>
      <c r="DT81" t="s">
        <v>9195</v>
      </c>
      <c r="DU81" s="821" t="s">
        <v>1119</v>
      </c>
      <c r="DV81" s="1464"/>
      <c r="DW81" s="826" t="s">
        <v>8435</v>
      </c>
      <c r="DX81" s="836" t="str">
        <f>IF(DY80=" за период",SEARCH(" за период",$C$3,DZ80)+LEN(" за период")+3,"НЕТ")</f>
        <v>НЕТ</v>
      </c>
      <c r="DY81" s="306" t="s">
        <v>8434</v>
      </c>
      <c r="DZ81" s="306" t="e">
        <f>SEARCH(DY81,$C$3,DX81)</f>
        <v>#VALUE!</v>
      </c>
      <c r="EA81" s="306" t="e">
        <f>DZ81-DX81</f>
        <v>#VALUE!</v>
      </c>
      <c r="EB81" s="827" t="e">
        <f>DATEVALUE(MID($C$3,DX81,EA81))</f>
        <v>#VALUE!</v>
      </c>
      <c r="EC81" s="828" t="str">
        <f>IF(DY80=" за период",EB81,"")</f>
        <v/>
      </c>
      <c r="NK81" s="1464"/>
      <c r="NL81" s="826" t="s">
        <v>8435</v>
      </c>
      <c r="NM81" s="836" t="str">
        <f>IF(NN80=" за период",SEARCH(" за период",NJ$4,NO80)+LEN(" за период")+3,"НЕТ")</f>
        <v>НЕТ</v>
      </c>
      <c r="NN81" s="306" t="s">
        <v>8434</v>
      </c>
      <c r="NO81" s="306" t="e">
        <f>SEARCH(NN81,NJ$4,NM81)</f>
        <v>#VALUE!</v>
      </c>
      <c r="NP81" s="306" t="e">
        <f>NO81-NM81</f>
        <v>#VALUE!</v>
      </c>
      <c r="NQ81" s="827" t="e">
        <f>DATEVALUE(MID(NJ$4,NM81,NP81))</f>
        <v>#VALUE!</v>
      </c>
      <c r="NR81" s="828" t="str">
        <f>IF(NN80=" за период",NQ81,"")</f>
        <v/>
      </c>
      <c r="SY81" s="1464"/>
      <c r="SZ81" s="826" t="s">
        <v>8435</v>
      </c>
      <c r="TA81" s="836" t="str">
        <f>IF(TB80=" за период",SEARCH(" за период",$SQ$3,TC80)+LEN(" за период")+3,"НЕТ")</f>
        <v>НЕТ</v>
      </c>
      <c r="TB81" s="306" t="s">
        <v>8434</v>
      </c>
      <c r="TC81" s="306" t="e">
        <f>SEARCH(TB81,$SQ$3,TA81)</f>
        <v>#VALUE!</v>
      </c>
      <c r="TD81" s="306" t="e">
        <f>TC81-TA81</f>
        <v>#VALUE!</v>
      </c>
      <c r="TE81" s="827" t="e">
        <f>DATEVALUE(MID($SQ$3,TA81,TD81))</f>
        <v>#VALUE!</v>
      </c>
      <c r="TF81" s="828" t="str">
        <f>IF(TB80=" за период",TE81,"")</f>
        <v/>
      </c>
      <c r="TK81" s="1004"/>
      <c r="TL81" s="1036"/>
      <c r="TM81" s="1036"/>
      <c r="TN81" s="1036"/>
      <c r="TO81" s="1036"/>
      <c r="TP81" s="1036"/>
      <c r="TQ81" s="1035"/>
      <c r="TR81" s="1004"/>
      <c r="TW81" s="1464"/>
      <c r="TX81" s="826" t="s">
        <v>8435</v>
      </c>
      <c r="TY81" s="836" t="str">
        <f>IF(TZ80=" за период",SEARCH(" за период",$SQ$4,UA80)+LEN(" за период")+3,"НЕТ")</f>
        <v>НЕТ</v>
      </c>
      <c r="TZ81" s="306" t="s">
        <v>8434</v>
      </c>
      <c r="UA81" s="306" t="e">
        <f>SEARCH(TZ81,$SQ$4,TY81)</f>
        <v>#VALUE!</v>
      </c>
      <c r="UB81" s="306" t="e">
        <f>UA81-TY81</f>
        <v>#VALUE!</v>
      </c>
      <c r="UC81" s="827" t="e">
        <f>DATEVALUE(MID($SQ$4,TY81,UB81))</f>
        <v>#VALUE!</v>
      </c>
      <c r="UD81" s="828" t="str">
        <f>IF(TZ80=" за период",UC81,"")</f>
        <v/>
      </c>
      <c r="UI81" s="1004"/>
      <c r="UJ81" s="1036"/>
      <c r="UK81" s="1036"/>
      <c r="UL81" s="1036"/>
      <c r="UM81" s="1036"/>
      <c r="UN81" s="1036"/>
      <c r="UO81" s="1035"/>
      <c r="UP81" s="1004"/>
      <c r="UU81" s="1464"/>
      <c r="UV81" s="826" t="s">
        <v>8435</v>
      </c>
      <c r="UW81" s="836" t="str">
        <f>IF(UX80=" за период",SEARCH(" за период",$SQ$5,UY80)+LEN(" за период")+3,"НЕТ")</f>
        <v>НЕТ</v>
      </c>
      <c r="UX81" s="306" t="s">
        <v>8434</v>
      </c>
      <c r="UY81" s="306" t="e">
        <f>SEARCH(UX81,$SQ$5,UW81)</f>
        <v>#VALUE!</v>
      </c>
      <c r="UZ81" s="306" t="e">
        <f>UY81-UW81</f>
        <v>#VALUE!</v>
      </c>
      <c r="VA81" s="827" t="e">
        <f>DATEVALUE(MID($SQ$5,UW81,UZ81))</f>
        <v>#VALUE!</v>
      </c>
      <c r="VB81" s="828" t="str">
        <f>IF(UX80=" за период",VA81,"")</f>
        <v/>
      </c>
      <c r="VG81" s="1004"/>
      <c r="VH81" s="1036"/>
      <c r="VI81" s="1036"/>
      <c r="VJ81" s="1036"/>
      <c r="VK81" s="1036"/>
      <c r="VL81" s="1036"/>
      <c r="VM81" s="1035"/>
      <c r="VN81" s="1004"/>
      <c r="VS81" s="1464"/>
      <c r="VT81" s="826" t="s">
        <v>8435</v>
      </c>
      <c r="VU81" s="836" t="str">
        <f>IF(VV80=" за период",SEARCH(" за период",$SQ$6,VW80)+LEN(" за период")+3,"НЕТ")</f>
        <v>НЕТ</v>
      </c>
      <c r="VV81" s="306" t="s">
        <v>8434</v>
      </c>
      <c r="VW81" s="306" t="e">
        <f>SEARCH(VV81,$SQ$6,VU81)</f>
        <v>#VALUE!</v>
      </c>
      <c r="VX81" s="306" t="e">
        <f>VW81-VU81</f>
        <v>#VALUE!</v>
      </c>
      <c r="VY81" s="827" t="e">
        <f>DATEVALUE(MID($SQ$6,VU81,VX81))</f>
        <v>#VALUE!</v>
      </c>
      <c r="VZ81" s="828" t="str">
        <f>IF(VV80=" за период",VY81,"")</f>
        <v/>
      </c>
      <c r="WE81" s="1004"/>
      <c r="WF81" s="1036"/>
      <c r="WG81" s="1036"/>
      <c r="WH81" s="1036"/>
      <c r="WI81" s="1036"/>
      <c r="WJ81" s="1036"/>
      <c r="WK81" s="1035"/>
      <c r="WL81" s="1004"/>
      <c r="WQ81" s="1464"/>
      <c r="WR81" s="826" t="s">
        <v>8435</v>
      </c>
      <c r="WS81" s="836" t="str">
        <f>IF(WT80=" за период",SEARCH(" за период",$SQ$7,WU80)+LEN(" за период")+3,"НЕТ")</f>
        <v>НЕТ</v>
      </c>
      <c r="WT81" s="306" t="s">
        <v>8434</v>
      </c>
      <c r="WU81" s="306" t="e">
        <f>SEARCH(WT81,$SQ$7,WS81)</f>
        <v>#VALUE!</v>
      </c>
      <c r="WV81" s="306" t="e">
        <f>WU81-WS81</f>
        <v>#VALUE!</v>
      </c>
      <c r="WW81" s="827" t="e">
        <f>DATEVALUE(MID($SQ$7,WS81,WV81))</f>
        <v>#VALUE!</v>
      </c>
      <c r="WX81" s="828" t="str">
        <f>IF(WT80=" за период",WW81,"")</f>
        <v/>
      </c>
      <c r="XC81" s="1004"/>
      <c r="XD81" s="1036"/>
      <c r="XE81" s="1036"/>
      <c r="XF81" s="1036"/>
      <c r="XG81" s="1036"/>
      <c r="XH81" s="1036"/>
      <c r="XI81" s="1035"/>
      <c r="XJ81" s="1004"/>
      <c r="YG81" s="1464"/>
      <c r="YH81" s="826" t="s">
        <v>8435</v>
      </c>
      <c r="YI81" s="836" t="str">
        <f>IF(YJ80=" за период",SEARCH(" за период",$XU$3,YK80)+LEN(" за период")+3,"НЕТ")</f>
        <v>НЕТ</v>
      </c>
      <c r="YJ81" s="306" t="s">
        <v>8434</v>
      </c>
      <c r="YK81" s="306" t="e">
        <f>SEARCH(YJ81,$XU$3,YI81)</f>
        <v>#VALUE!</v>
      </c>
      <c r="YL81" s="306" t="e">
        <f>YK81-YI81</f>
        <v>#VALUE!</v>
      </c>
      <c r="YM81" s="827" t="e">
        <f>DATEVALUE(MID($XU$3,YI81,YL81))</f>
        <v>#VALUE!</v>
      </c>
      <c r="YN81" s="828" t="str">
        <f>IF(YJ80=" за период",YM81,"")</f>
        <v/>
      </c>
      <c r="YS81" s="1464"/>
      <c r="YT81" s="826" t="s">
        <v>8435</v>
      </c>
      <c r="YU81" s="836" t="str">
        <f>IF(YV80=" за период",SEARCH(" за период",$XU$4,YW80)+LEN(" за период")+3,"НЕТ")</f>
        <v>НЕТ</v>
      </c>
      <c r="YV81" s="306" t="s">
        <v>8434</v>
      </c>
      <c r="YW81" s="306" t="e">
        <f>SEARCH(YV81,$XU$4,YU81)</f>
        <v>#VALUE!</v>
      </c>
      <c r="YX81" s="306" t="e">
        <f>YW81-YU81</f>
        <v>#VALUE!</v>
      </c>
      <c r="YY81" s="827" t="e">
        <f>DATEVALUE(MID($XU$4,YU81,YX81))</f>
        <v>#VALUE!</v>
      </c>
      <c r="YZ81" s="828" t="str">
        <f>IF(YV80=" за период",YY81,"")</f>
        <v/>
      </c>
      <c r="ZE81" s="1464"/>
      <c r="ZF81" s="826" t="s">
        <v>8435</v>
      </c>
      <c r="ZG81" s="836" t="str">
        <f>IF(ZH80=" за период",SEARCH(" за период",$XU$5,ZI80)+LEN(" за период")+3,"НЕТ")</f>
        <v>НЕТ</v>
      </c>
      <c r="ZH81" s="306" t="s">
        <v>8434</v>
      </c>
      <c r="ZI81" s="306" t="e">
        <f>SEARCH(ZH81,$XU$5,ZG81)</f>
        <v>#VALUE!</v>
      </c>
      <c r="ZJ81" s="306" t="e">
        <f>ZI81-ZG81</f>
        <v>#VALUE!</v>
      </c>
      <c r="ZK81" s="827" t="e">
        <f>DATEVALUE(MID($XU$5,ZG81,ZJ81))</f>
        <v>#VALUE!</v>
      </c>
      <c r="ZL81" s="828" t="str">
        <f>IF(ZH80=" за период",ZK81,"")</f>
        <v/>
      </c>
      <c r="ZQ81" s="1464"/>
      <c r="ZR81" s="826" t="s">
        <v>8435</v>
      </c>
      <c r="ZS81" s="836" t="str">
        <f>IF(ZT80=" за период",SEARCH(" за период",$XU$6,ZU80)+LEN(" за период")+3,"НЕТ")</f>
        <v>НЕТ</v>
      </c>
      <c r="ZT81" s="306" t="s">
        <v>8434</v>
      </c>
      <c r="ZU81" s="306" t="e">
        <f>SEARCH(ZT81,$XU$6,ZS81)</f>
        <v>#VALUE!</v>
      </c>
      <c r="ZV81" s="306" t="e">
        <f>ZU81-ZS81</f>
        <v>#VALUE!</v>
      </c>
      <c r="ZW81" s="827" t="e">
        <f>DATEVALUE(MID($XU$6,ZS81,ZV81))</f>
        <v>#VALUE!</v>
      </c>
      <c r="ZX81" s="828" t="str">
        <f>IF(ZT80=" за период",ZW81,"")</f>
        <v/>
      </c>
      <c r="AAC81" s="1464"/>
      <c r="AAD81" s="826" t="s">
        <v>8435</v>
      </c>
      <c r="AAE81" s="836" t="str">
        <f>IF(AAF80=" за период",SEARCH(" за период",$XU$7,AAG80)+LEN(" за период")+3,"НЕТ")</f>
        <v>НЕТ</v>
      </c>
      <c r="AAF81" s="306" t="s">
        <v>8434</v>
      </c>
      <c r="AAG81" s="306" t="e">
        <f>SEARCH(AAF81,$XU$7,AAE81)</f>
        <v>#VALUE!</v>
      </c>
      <c r="AAH81" s="306" t="e">
        <f>AAG81-AAE81</f>
        <v>#VALUE!</v>
      </c>
      <c r="AAI81" s="827" t="e">
        <f>DATEVALUE(MID($XU$7,AAE81,AAH81))</f>
        <v>#VALUE!</v>
      </c>
      <c r="AAJ81" s="828" t="str">
        <f>IF(AAF80=" за период",AAI81,"")</f>
        <v/>
      </c>
      <c r="AFE81" s="1464"/>
      <c r="AFF81" s="826" t="s">
        <v>8435</v>
      </c>
      <c r="AFG81" s="836" t="str">
        <f>IF(AFH80=" за период",SEARCH(" за период",AFD$4,AFI80)+LEN(" за период")+3,"НЕТ")</f>
        <v>НЕТ</v>
      </c>
      <c r="AFH81" s="306" t="s">
        <v>8434</v>
      </c>
      <c r="AFI81" s="306" t="e">
        <f>SEARCH(AFH81,AFD$4,AFG81)</f>
        <v>#VALUE!</v>
      </c>
      <c r="AFJ81" s="306" t="e">
        <f>AFI81-AFG81</f>
        <v>#VALUE!</v>
      </c>
      <c r="AFK81" s="827" t="e">
        <f>DATEVALUE(MID(AFD$4,AFG81,AFJ81))</f>
        <v>#VALUE!</v>
      </c>
      <c r="AFL81" s="828" t="str">
        <f>IF(AFH80=" за период",AFK81,"")</f>
        <v/>
      </c>
      <c r="AFQ81" s="1464"/>
      <c r="AFR81" s="826" t="s">
        <v>8435</v>
      </c>
      <c r="AFS81" s="836" t="str">
        <f>IF(AFT80=" за период",SEARCH(" за период",AFP$4,AFU80)+LEN(" за период")+3,"НЕТ")</f>
        <v>НЕТ</v>
      </c>
      <c r="AFT81" s="306" t="s">
        <v>8434</v>
      </c>
      <c r="AFU81" s="306" t="e">
        <f>SEARCH(AFT81,AFP$4,AFS81)</f>
        <v>#VALUE!</v>
      </c>
      <c r="AFV81" s="306" t="e">
        <f>AFU81-AFS81</f>
        <v>#VALUE!</v>
      </c>
      <c r="AFW81" s="827" t="e">
        <f>DATEVALUE(MID(AFP$4,AFS81,AFV81))</f>
        <v>#VALUE!</v>
      </c>
      <c r="AFX81" s="828" t="str">
        <f>IF(AFT80=" за период",AFW81,"")</f>
        <v/>
      </c>
      <c r="AGC81" s="1464"/>
      <c r="AGD81" s="826" t="s">
        <v>8435</v>
      </c>
      <c r="AGE81" s="836" t="str">
        <f>IF(AGF80=" за период",SEARCH(" за период",AGB$4,AGG80)+LEN(" за период")+3,"НЕТ")</f>
        <v>НЕТ</v>
      </c>
      <c r="AGF81" s="306" t="s">
        <v>8434</v>
      </c>
      <c r="AGG81" s="306" t="e">
        <f>SEARCH(AGF81,AGB$4,AGE81)</f>
        <v>#VALUE!</v>
      </c>
      <c r="AGH81" s="306" t="e">
        <f>AGG81-AGE81</f>
        <v>#VALUE!</v>
      </c>
      <c r="AGI81" s="827" t="e">
        <f>DATEVALUE(MID(AGB$4,AGE81,AGH81))</f>
        <v>#VALUE!</v>
      </c>
      <c r="AGJ81" s="828" t="str">
        <f>IF(AGF80=" за период",AGI81,"")</f>
        <v/>
      </c>
      <c r="AGO81" s="1464"/>
      <c r="AGP81" s="826" t="s">
        <v>8435</v>
      </c>
      <c r="AGQ81" s="836" t="str">
        <f>IF(AGR80=" за период",SEARCH(" за период",AGN$4,AGS80)+LEN(" за период")+3,"НЕТ")</f>
        <v>НЕТ</v>
      </c>
      <c r="AGR81" s="306" t="s">
        <v>8434</v>
      </c>
      <c r="AGS81" s="306" t="e">
        <f>SEARCH(AGR81,AGN$4,AGQ81)</f>
        <v>#VALUE!</v>
      </c>
      <c r="AGT81" s="306" t="e">
        <f>AGS81-AGQ81</f>
        <v>#VALUE!</v>
      </c>
      <c r="AGU81" s="827" t="e">
        <f>DATEVALUE(MID(AGN$4,AGQ81,AGT81))</f>
        <v>#VALUE!</v>
      </c>
      <c r="AGV81" s="828" t="str">
        <f>IF(AGR80=" за период",AGU81,"")</f>
        <v/>
      </c>
      <c r="AHA81" s="1464"/>
      <c r="AHB81" s="826" t="s">
        <v>8435</v>
      </c>
      <c r="AHC81" s="836" t="str">
        <f>IF(AHD80=" за период",SEARCH(" за период",AGZ$4,AHE80)+LEN(" за период")+3,"НЕТ")</f>
        <v>НЕТ</v>
      </c>
      <c r="AHD81" s="306" t="s">
        <v>8434</v>
      </c>
      <c r="AHE81" s="306" t="e">
        <f>SEARCH(AHD81,AGZ$4,AHC81)</f>
        <v>#VALUE!</v>
      </c>
      <c r="AHF81" s="306" t="e">
        <f>AHE81-AHC81</f>
        <v>#VALUE!</v>
      </c>
      <c r="AHG81" s="827" t="e">
        <f>DATEVALUE(MID(AGZ$4,AHC81,AHF81))</f>
        <v>#VALUE!</v>
      </c>
      <c r="AHH81" s="828" t="str">
        <f>IF(AHD80=" за период",AHG81,"")</f>
        <v/>
      </c>
    </row>
    <row r="82" spans="2:893" x14ac:dyDescent="0.3">
      <c r="B82" s="116"/>
      <c r="C82" s="116"/>
      <c r="D82" s="116"/>
      <c r="E82" s="116"/>
      <c r="F82" s="116"/>
      <c r="G82" s="116"/>
      <c r="H82" s="116"/>
      <c r="I82" s="116"/>
      <c r="DT82" t="s">
        <v>9196</v>
      </c>
      <c r="DU82" s="821" t="s">
        <v>1248</v>
      </c>
      <c r="DV82" s="1464"/>
      <c r="DW82" s="826" t="s">
        <v>8436</v>
      </c>
      <c r="DX82" s="836" t="e">
        <f>SEARCH(" ",$C$3,DZ81+1)+1</f>
        <v>#VALUE!</v>
      </c>
      <c r="DY82" s="306"/>
      <c r="DZ82" s="306" t="e">
        <f>DX82+EA82</f>
        <v>#VALUE!</v>
      </c>
      <c r="EA82" s="306">
        <v>10</v>
      </c>
      <c r="EB82" s="827" t="e">
        <f>DATEVALUE(MID($C$3,DX82,EA82))</f>
        <v>#VALUE!</v>
      </c>
      <c r="EC82" s="828" t="str">
        <f>IF(DY80=" за период",EB82,"")</f>
        <v/>
      </c>
      <c r="NK82" s="1464"/>
      <c r="NL82" s="826" t="s">
        <v>8436</v>
      </c>
      <c r="NM82" s="836" t="e">
        <f>SEARCH(" ",NJ$4,NO81+1)+1</f>
        <v>#VALUE!</v>
      </c>
      <c r="NN82" s="306"/>
      <c r="NO82" s="306" t="e">
        <f>NM82+NP82</f>
        <v>#VALUE!</v>
      </c>
      <c r="NP82" s="306">
        <v>10</v>
      </c>
      <c r="NQ82" s="827" t="e">
        <f>DATEVALUE(MID(NJ$4,NM82,NP82))</f>
        <v>#VALUE!</v>
      </c>
      <c r="NR82" s="828" t="str">
        <f>IF(NN80=" за период",NQ82,"")</f>
        <v/>
      </c>
      <c r="SY82" s="1464"/>
      <c r="SZ82" s="826" t="s">
        <v>8436</v>
      </c>
      <c r="TA82" s="836" t="e">
        <f>SEARCH(" ",$SQ$3,TC81+1)+1</f>
        <v>#VALUE!</v>
      </c>
      <c r="TB82" s="306"/>
      <c r="TC82" s="306" t="e">
        <f>TA82+TD82</f>
        <v>#VALUE!</v>
      </c>
      <c r="TD82" s="306">
        <v>10</v>
      </c>
      <c r="TE82" s="827" t="e">
        <f>DATEVALUE(MID($SQ$3,TA82,TD82))</f>
        <v>#VALUE!</v>
      </c>
      <c r="TF82" s="828" t="str">
        <f>IF(TB80=" за период",TE82,"")</f>
        <v/>
      </c>
      <c r="TK82" s="1004"/>
      <c r="TL82" s="1036"/>
      <c r="TM82" s="1036"/>
      <c r="TN82" s="1036"/>
      <c r="TO82" s="1036"/>
      <c r="TP82" s="1036"/>
      <c r="TQ82" s="1038"/>
      <c r="TR82" s="1039"/>
      <c r="TW82" s="1464"/>
      <c r="TX82" s="826" t="s">
        <v>8436</v>
      </c>
      <c r="TY82" s="836" t="e">
        <f>SEARCH(" ",$SQ$4,UA81+1)+1</f>
        <v>#VALUE!</v>
      </c>
      <c r="TZ82" s="306"/>
      <c r="UA82" s="306" t="e">
        <f>TY82+UB82</f>
        <v>#VALUE!</v>
      </c>
      <c r="UB82" s="306">
        <v>10</v>
      </c>
      <c r="UC82" s="827" t="e">
        <f>DATEVALUE(MID($SQ$4,TY82,UB82))</f>
        <v>#VALUE!</v>
      </c>
      <c r="UD82" s="828" t="str">
        <f>IF(TZ80=" за период",UC82,"")</f>
        <v/>
      </c>
      <c r="UI82" s="1004"/>
      <c r="UJ82" s="1036"/>
      <c r="UK82" s="1036"/>
      <c r="UL82" s="1036"/>
      <c r="UM82" s="1036"/>
      <c r="UN82" s="1036"/>
      <c r="UO82" s="1038"/>
      <c r="UP82" s="1039"/>
      <c r="UU82" s="1464"/>
      <c r="UV82" s="826" t="s">
        <v>8436</v>
      </c>
      <c r="UW82" s="836" t="e">
        <f>SEARCH(" ",$SQ$5,UY81+1)+1</f>
        <v>#VALUE!</v>
      </c>
      <c r="UX82" s="306"/>
      <c r="UY82" s="306" t="e">
        <f>UW82+UZ82</f>
        <v>#VALUE!</v>
      </c>
      <c r="UZ82" s="306">
        <v>10</v>
      </c>
      <c r="VA82" s="827" t="e">
        <f>DATEVALUE(MID($SQ$5,UW82,UZ82))</f>
        <v>#VALUE!</v>
      </c>
      <c r="VB82" s="828" t="str">
        <f>IF(UX80=" за период",VA82,"")</f>
        <v/>
      </c>
      <c r="VG82" s="1004"/>
      <c r="VH82" s="1036"/>
      <c r="VI82" s="1036"/>
      <c r="VJ82" s="1036"/>
      <c r="VK82" s="1036"/>
      <c r="VL82" s="1036"/>
      <c r="VM82" s="1038"/>
      <c r="VN82" s="1039"/>
      <c r="VS82" s="1464"/>
      <c r="VT82" s="826" t="s">
        <v>8436</v>
      </c>
      <c r="VU82" s="836" t="e">
        <f>SEARCH(" ",$SQ$6,VW81+1)+1</f>
        <v>#VALUE!</v>
      </c>
      <c r="VV82" s="306"/>
      <c r="VW82" s="306" t="e">
        <f>VU82+VX82</f>
        <v>#VALUE!</v>
      </c>
      <c r="VX82" s="306">
        <v>10</v>
      </c>
      <c r="VY82" s="827" t="e">
        <f>DATEVALUE(MID($SQ$6,VU82,VX82))</f>
        <v>#VALUE!</v>
      </c>
      <c r="VZ82" s="828" t="str">
        <f>IF(VV80=" за период",VY82,"")</f>
        <v/>
      </c>
      <c r="WE82" s="1004"/>
      <c r="WF82" s="1036"/>
      <c r="WG82" s="1036"/>
      <c r="WH82" s="1036"/>
      <c r="WI82" s="1036"/>
      <c r="WJ82" s="1036"/>
      <c r="WK82" s="1038"/>
      <c r="WL82" s="1039"/>
      <c r="WQ82" s="1464"/>
      <c r="WR82" s="826" t="s">
        <v>8436</v>
      </c>
      <c r="WS82" s="836" t="e">
        <f>SEARCH(" ",$SQ$7,WU81+1)+1</f>
        <v>#VALUE!</v>
      </c>
      <c r="WT82" s="306"/>
      <c r="WU82" s="306" t="e">
        <f>WS82+WV82</f>
        <v>#VALUE!</v>
      </c>
      <c r="WV82" s="306">
        <v>10</v>
      </c>
      <c r="WW82" s="827" t="e">
        <f>DATEVALUE(MID($SQ$7,WS82,WV82))</f>
        <v>#VALUE!</v>
      </c>
      <c r="WX82" s="828" t="str">
        <f>IF(WT80=" за период",WW82,"")</f>
        <v/>
      </c>
      <c r="XC82" s="1004"/>
      <c r="XD82" s="1036"/>
      <c r="XE82" s="1036"/>
      <c r="XF82" s="1036"/>
      <c r="XG82" s="1036"/>
      <c r="XH82" s="1036"/>
      <c r="XI82" s="1038"/>
      <c r="XJ82" s="1039"/>
      <c r="YG82" s="1464"/>
      <c r="YH82" s="826" t="s">
        <v>8436</v>
      </c>
      <c r="YI82" s="836" t="e">
        <f>SEARCH(" ",$XU$3,YK81+1)+1</f>
        <v>#VALUE!</v>
      </c>
      <c r="YJ82" s="306"/>
      <c r="YK82" s="306" t="e">
        <f>YI82+YL82</f>
        <v>#VALUE!</v>
      </c>
      <c r="YL82" s="306">
        <v>10</v>
      </c>
      <c r="YM82" s="827" t="e">
        <f>DATEVALUE(MID($XU$3,YI82,YL82))</f>
        <v>#VALUE!</v>
      </c>
      <c r="YN82" s="828" t="str">
        <f>IF(YJ80=" за период",YM82,"")</f>
        <v/>
      </c>
      <c r="YS82" s="1464"/>
      <c r="YT82" s="826" t="s">
        <v>8436</v>
      </c>
      <c r="YU82" s="836" t="e">
        <f>SEARCH(" ",$XU$4,YW81+1)+1</f>
        <v>#VALUE!</v>
      </c>
      <c r="YV82" s="306"/>
      <c r="YW82" s="306" t="e">
        <f>YU82+YX82</f>
        <v>#VALUE!</v>
      </c>
      <c r="YX82" s="306">
        <v>10</v>
      </c>
      <c r="YY82" s="827" t="e">
        <f>DATEVALUE(MID($XU$4,YU82,YX82))</f>
        <v>#VALUE!</v>
      </c>
      <c r="YZ82" s="828" t="str">
        <f>IF(YV80=" за период",YY82,"")</f>
        <v/>
      </c>
      <c r="ZE82" s="1464"/>
      <c r="ZF82" s="826" t="s">
        <v>8436</v>
      </c>
      <c r="ZG82" s="836" t="e">
        <f>SEARCH(" ",$XU$5,ZI81+1)+1</f>
        <v>#VALUE!</v>
      </c>
      <c r="ZH82" s="306"/>
      <c r="ZI82" s="306" t="e">
        <f>ZG82+ZJ82</f>
        <v>#VALUE!</v>
      </c>
      <c r="ZJ82" s="306">
        <v>10</v>
      </c>
      <c r="ZK82" s="827" t="e">
        <f>DATEVALUE(MID($XU$5,ZG82,ZJ82))</f>
        <v>#VALUE!</v>
      </c>
      <c r="ZL82" s="828" t="str">
        <f>IF(ZH80=" за период",ZK82,"")</f>
        <v/>
      </c>
      <c r="ZQ82" s="1464"/>
      <c r="ZR82" s="826" t="s">
        <v>8436</v>
      </c>
      <c r="ZS82" s="836" t="e">
        <f>SEARCH(" ",$XU$6,ZU81+1)+1</f>
        <v>#VALUE!</v>
      </c>
      <c r="ZT82" s="306"/>
      <c r="ZU82" s="306" t="e">
        <f>ZS82+ZV82</f>
        <v>#VALUE!</v>
      </c>
      <c r="ZV82" s="306">
        <v>10</v>
      </c>
      <c r="ZW82" s="827" t="e">
        <f>DATEVALUE(MID($XU$6,ZS82,ZV82))</f>
        <v>#VALUE!</v>
      </c>
      <c r="ZX82" s="828" t="str">
        <f>IF(ZT80=" за период",ZW82,"")</f>
        <v/>
      </c>
      <c r="AAC82" s="1464"/>
      <c r="AAD82" s="826" t="s">
        <v>8436</v>
      </c>
      <c r="AAE82" s="836" t="e">
        <f>SEARCH(" ",$XU$7,AAG81+1)+1</f>
        <v>#VALUE!</v>
      </c>
      <c r="AAF82" s="306"/>
      <c r="AAG82" s="306" t="e">
        <f>AAE82+AAH82</f>
        <v>#VALUE!</v>
      </c>
      <c r="AAH82" s="306">
        <v>10</v>
      </c>
      <c r="AAI82" s="827" t="e">
        <f>DATEVALUE(MID($XU$7,AAE82,AAH82))</f>
        <v>#VALUE!</v>
      </c>
      <c r="AAJ82" s="828" t="str">
        <f>IF(AAF80=" за период",AAI82,"")</f>
        <v/>
      </c>
      <c r="AFE82" s="1464"/>
      <c r="AFF82" s="826" t="s">
        <v>8436</v>
      </c>
      <c r="AFG82" s="836" t="e">
        <f>SEARCH(" ",AFD$4,AFI81+1)+1</f>
        <v>#VALUE!</v>
      </c>
      <c r="AFH82" s="306"/>
      <c r="AFI82" s="306" t="e">
        <f>AFG82+AFJ82</f>
        <v>#VALUE!</v>
      </c>
      <c r="AFJ82" s="306">
        <v>10</v>
      </c>
      <c r="AFK82" s="827" t="e">
        <f>DATEVALUE(MID(AFD$4,AFG82,AFJ82))</f>
        <v>#VALUE!</v>
      </c>
      <c r="AFL82" s="828" t="str">
        <f>IF(AFH80=" за период",AFK82,"")</f>
        <v/>
      </c>
      <c r="AFQ82" s="1464"/>
      <c r="AFR82" s="826" t="s">
        <v>8436</v>
      </c>
      <c r="AFS82" s="836" t="e">
        <f>SEARCH(" ",AFP$4,AFU81+1)+1</f>
        <v>#VALUE!</v>
      </c>
      <c r="AFT82" s="306"/>
      <c r="AFU82" s="306" t="e">
        <f>AFS82+AFV82</f>
        <v>#VALUE!</v>
      </c>
      <c r="AFV82" s="306">
        <v>10</v>
      </c>
      <c r="AFW82" s="827" t="e">
        <f>DATEVALUE(MID(AFP$4,AFS82,AFV82))</f>
        <v>#VALUE!</v>
      </c>
      <c r="AFX82" s="828" t="str">
        <f>IF(AFT80=" за период",AFW82,"")</f>
        <v/>
      </c>
      <c r="AGC82" s="1464"/>
      <c r="AGD82" s="826" t="s">
        <v>8436</v>
      </c>
      <c r="AGE82" s="836" t="e">
        <f>SEARCH(" ",AGB$4,AGG81+1)+1</f>
        <v>#VALUE!</v>
      </c>
      <c r="AGF82" s="306"/>
      <c r="AGG82" s="306" t="e">
        <f>AGE82+AGH82</f>
        <v>#VALUE!</v>
      </c>
      <c r="AGH82" s="306">
        <v>10</v>
      </c>
      <c r="AGI82" s="827" t="e">
        <f>DATEVALUE(MID(AGB$4,AGE82,AGH82))</f>
        <v>#VALUE!</v>
      </c>
      <c r="AGJ82" s="828" t="str">
        <f>IF(AGF80=" за период",AGI82,"")</f>
        <v/>
      </c>
      <c r="AGO82" s="1464"/>
      <c r="AGP82" s="826" t="s">
        <v>8436</v>
      </c>
      <c r="AGQ82" s="836" t="e">
        <f>SEARCH(" ",AGN$4,AGS81+1)+1</f>
        <v>#VALUE!</v>
      </c>
      <c r="AGR82" s="306"/>
      <c r="AGS82" s="306" t="e">
        <f>AGQ82+AGT82</f>
        <v>#VALUE!</v>
      </c>
      <c r="AGT82" s="306">
        <v>10</v>
      </c>
      <c r="AGU82" s="827" t="e">
        <f>DATEVALUE(MID(AGN$4,AGQ82,AGT82))</f>
        <v>#VALUE!</v>
      </c>
      <c r="AGV82" s="828" t="str">
        <f>IF(AGR80=" за период",AGU82,"")</f>
        <v/>
      </c>
      <c r="AHA82" s="1464"/>
      <c r="AHB82" s="826" t="s">
        <v>8436</v>
      </c>
      <c r="AHC82" s="836" t="e">
        <f>SEARCH(" ",AGZ$4,AHE81+1)+1</f>
        <v>#VALUE!</v>
      </c>
      <c r="AHD82" s="306"/>
      <c r="AHE82" s="306" t="e">
        <f>AHC82+AHF82</f>
        <v>#VALUE!</v>
      </c>
      <c r="AHF82" s="306">
        <v>10</v>
      </c>
      <c r="AHG82" s="827" t="e">
        <f>DATEVALUE(MID(AGZ$4,AHC82,AHF82))</f>
        <v>#VALUE!</v>
      </c>
      <c r="AHH82" s="828" t="str">
        <f>IF(AHD80=" за период",AHG82,"")</f>
        <v/>
      </c>
    </row>
    <row r="83" spans="2:893" x14ac:dyDescent="0.3">
      <c r="B83" s="116"/>
      <c r="C83" s="116"/>
      <c r="D83" s="116"/>
      <c r="E83" s="116"/>
      <c r="F83" s="116"/>
      <c r="G83" s="116"/>
      <c r="H83" s="116"/>
      <c r="I83" s="116"/>
      <c r="DT83" t="s">
        <v>8715</v>
      </c>
      <c r="DU83" s="821" t="s">
        <v>1248</v>
      </c>
      <c r="DV83" s="1464"/>
      <c r="DW83" s="826"/>
      <c r="DX83" s="836"/>
      <c r="DY83" s="306" t="str">
        <f>IF(DZ83=IFERROR(SEARCH(".",C$3,DZ82),99999),".",
IF(DZ83=IFERROR(SEARCH(",",C$3,DZ82),99999),",",
IF(DZ83=IFERROR(SEARCH(" за период",C$3,DZ82),999999)," за период",
IF(DZ83=IFERROR(SEARCH(" в размере",C$3,DZ82),99999)," в размере",
))))</f>
        <v>.</v>
      </c>
      <c r="DZ83" s="306">
        <f>MIN(
IFERROR(SEARCH(".",$C$3,DZ82),99999),
IFERROR(SEARCH(",",$C$3,DZ82),99999),
IFERROR(SEARCH(" в размере",$C$3,DZ82),99999))</f>
        <v>99999</v>
      </c>
      <c r="EA83" s="306"/>
      <c r="EB83" s="827"/>
      <c r="EC83" s="829"/>
      <c r="NK83" s="1464"/>
      <c r="NL83" s="826"/>
      <c r="NM83" s="836"/>
      <c r="NN83" s="306" t="str">
        <f>IF(NO83=IFERROR(SEARCH(".",NJ$4,NO82),99999),".",
IF(NO83=IFERROR(SEARCH(",",NJ$4,NO82),99999),",",
IF(NO83=IFERROR(SEARCH(" за период",NJ$4,NO82),999999)," за период",
IF(NO83=IFERROR(SEARCH(" в размере",NJ$4,NO82),99999)," в размере",
))))</f>
        <v>.</v>
      </c>
      <c r="NO83" s="306">
        <f>MIN(
IFERROR(SEARCH(".",NJ$4,NO82),99999),
IFERROR(SEARCH(",",NJ$4,NO82),99999),
IFERROR(SEARCH(" в размере",NJ$4,NO82),99999))</f>
        <v>99999</v>
      </c>
      <c r="NP83" s="306"/>
      <c r="NQ83" s="827"/>
      <c r="NR83" s="829"/>
      <c r="SY83" s="1464"/>
      <c r="SZ83" s="826"/>
      <c r="TA83" s="836"/>
      <c r="TB83" s="306" t="str">
        <f>IF(TC83=IFERROR(SEARCH(".",$SQ$3,TC82),99999),".",
IF(TC83=IFERROR(SEARCH(",",$SQ$3,TC82),99999),",",
IF(TC83=IFERROR(SEARCH(" за период",$SQ$3,TC82),999999)," за период",
IF(TC83=IFERROR(SEARCH(" в размере",$SQ$3,TC82),99999)," в размере",
))))</f>
        <v>.</v>
      </c>
      <c r="TC83" s="306">
        <f>MIN(
IFERROR(SEARCH(".",$SQ$3,TC82),99999),
IFERROR(SEARCH(",",$SQ$3,TC82),99999),
IFERROR(SEARCH(" в размере",$SQ$3,TC82),99999))</f>
        <v>99999</v>
      </c>
      <c r="TD83" s="306"/>
      <c r="TE83" s="827"/>
      <c r="TF83" s="829"/>
      <c r="TK83" s="1004"/>
      <c r="TL83" s="1035"/>
      <c r="TM83" s="1036"/>
      <c r="TN83" s="1036"/>
      <c r="TO83" s="1036"/>
      <c r="TP83" s="1036"/>
      <c r="TQ83" s="1035"/>
      <c r="TR83" s="1004"/>
      <c r="TW83" s="1464"/>
      <c r="TX83" s="826"/>
      <c r="TY83" s="836"/>
      <c r="TZ83" s="306" t="str">
        <f>IF(UA83=IFERROR(SEARCH(".",$SQ$4,UA82),99999),".",
IF(UA83=IFERROR(SEARCH(",",$SQ$4,UA82),99999),",",
IF(UA83=IFERROR(SEARCH(" за период",$SQ$4,UA82),999999)," за период",
IF(UA83=IFERROR(SEARCH(" в размере",$SQ$4,UA82),99999)," в размере",
))))</f>
        <v>.</v>
      </c>
      <c r="UA83" s="306">
        <f>MIN(
IFERROR(SEARCH(".",$SQ$4,UA82),99999),
IFERROR(SEARCH(",",$SQ$4,UA82),99999),
IFERROR(SEARCH(" в размере",$SQ$4,UA82),99999))</f>
        <v>99999</v>
      </c>
      <c r="UB83" s="306"/>
      <c r="UC83" s="827"/>
      <c r="UD83" s="829"/>
      <c r="UI83" s="1004"/>
      <c r="UJ83" s="1035"/>
      <c r="UK83" s="1036"/>
      <c r="UL83" s="1036"/>
      <c r="UM83" s="1036"/>
      <c r="UN83" s="1036"/>
      <c r="UO83" s="1035"/>
      <c r="UP83" s="1004"/>
      <c r="UU83" s="1464"/>
      <c r="UV83" s="826"/>
      <c r="UW83" s="836"/>
      <c r="UX83" s="306" t="str">
        <f>IF(UY83=IFERROR(SEARCH(".",$SQ$5,UY82),99999),".",
IF(UY83=IFERROR(SEARCH(",",$SQ$5,UY82),99999),",",
IF(UY83=IFERROR(SEARCH(" за период",$SQ$5,UY82),999999)," за период",
IF(UY83=IFERROR(SEARCH(" в размере",$SQ$5,UY82),99999)," в размере",
))))</f>
        <v>.</v>
      </c>
      <c r="UY83" s="306">
        <f>MIN(
IFERROR(SEARCH(".",$SQ$5,UY82),99999),
IFERROR(SEARCH(",",$SQ$5,UY82),99999),
IFERROR(SEARCH(" в размере",$SQ$5,UY82),99999))</f>
        <v>99999</v>
      </c>
      <c r="UZ83" s="306"/>
      <c r="VA83" s="827"/>
      <c r="VB83" s="829"/>
      <c r="VG83" s="1004"/>
      <c r="VH83" s="1035"/>
      <c r="VI83" s="1036"/>
      <c r="VJ83" s="1036"/>
      <c r="VK83" s="1036"/>
      <c r="VL83" s="1036"/>
      <c r="VM83" s="1035"/>
      <c r="VN83" s="1004"/>
      <c r="VS83" s="1464"/>
      <c r="VT83" s="826"/>
      <c r="VU83" s="836"/>
      <c r="VV83" s="306" t="str">
        <f>IF(VW83=IFERROR(SEARCH(".",$SQ$6,VW82),99999),".",
IF(VW83=IFERROR(SEARCH(",",$SQ$6,VW82),99999),",",
IF(VW83=IFERROR(SEARCH(" за период",$SQ$6,VW82),999999)," за период",
IF(VW83=IFERROR(SEARCH(" в размере",$SQ$6,VW82),99999)," в размере",
))))</f>
        <v>.</v>
      </c>
      <c r="VW83" s="306">
        <f>MIN(
IFERROR(SEARCH(".",$SQ$6,VW82),99999),
IFERROR(SEARCH(",",$SQ$6,VW82),99999),
IFERROR(SEARCH(" в размере",$SQ$6,VW82),99999))</f>
        <v>99999</v>
      </c>
      <c r="VX83" s="306"/>
      <c r="VY83" s="827"/>
      <c r="VZ83" s="829"/>
      <c r="WE83" s="1004"/>
      <c r="WF83" s="1035"/>
      <c r="WG83" s="1036"/>
      <c r="WH83" s="1036"/>
      <c r="WI83" s="1036"/>
      <c r="WJ83" s="1036"/>
      <c r="WK83" s="1035"/>
      <c r="WL83" s="1004"/>
      <c r="WQ83" s="1464"/>
      <c r="WR83" s="826"/>
      <c r="WS83" s="836"/>
      <c r="WT83" s="306" t="str">
        <f>IF(WU83=IFERROR(SEARCH(".",$SQ$7,WU82),99999),".",
IF(WU83=IFERROR(SEARCH(",",$SQ$7,WU82),99999),",",
IF(WU83=IFERROR(SEARCH(" за период",$SQ$7,WU82),999999)," за период",
IF(WU83=IFERROR(SEARCH(" в размере",$SQ$7,WU82),99999)," в размере",
))))</f>
        <v>.</v>
      </c>
      <c r="WU83" s="306">
        <f>MIN(
IFERROR(SEARCH(".",$SQ$7,WU82),99999),
IFERROR(SEARCH(",",$SQ$7,WU82),99999),
IFERROR(SEARCH(" в размере",$SQ$7,WU82),99999))</f>
        <v>99999</v>
      </c>
      <c r="WV83" s="306"/>
      <c r="WW83" s="827"/>
      <c r="WX83" s="829"/>
      <c r="XC83" s="1004"/>
      <c r="XD83" s="1035"/>
      <c r="XE83" s="1036"/>
      <c r="XF83" s="1036"/>
      <c r="XG83" s="1036"/>
      <c r="XH83" s="1036"/>
      <c r="XI83" s="1035"/>
      <c r="XJ83" s="1004"/>
      <c r="YG83" s="1464"/>
      <c r="YH83" s="826"/>
      <c r="YI83" s="836"/>
      <c r="YJ83" s="306" t="str">
        <f>IF(YK83=IFERROR(SEARCH(".",$XU$3,YK82),99999),".",
IF(YK83=IFERROR(SEARCH(",",$XU$3,YK82),99999),",",
IF(YK83=IFERROR(SEARCH(" за период",$XU$3,YK82),999999)," за период",
IF(YK83=IFERROR(SEARCH(" в размере",$XU$3,YK82),99999)," в размере",
))))</f>
        <v>.</v>
      </c>
      <c r="YK83" s="306">
        <f>MIN(
IFERROR(SEARCH(".",$XU$3,YK82),99999),
IFERROR(SEARCH(",",$XU$3,YK82),99999),
IFERROR(SEARCH(" в размере",$XU$3,YK82),99999))</f>
        <v>99999</v>
      </c>
      <c r="YL83" s="306"/>
      <c r="YM83" s="827"/>
      <c r="YN83" s="829"/>
      <c r="YS83" s="1464"/>
      <c r="YT83" s="826"/>
      <c r="YU83" s="836"/>
      <c r="YV83" s="306" t="str">
        <f>IF(YW83=IFERROR(SEARCH(".",$XU$4,YW82),99999),".",
IF(YW83=IFERROR(SEARCH(",",$XU$4,YW82),99999),",",
IF(YW83=IFERROR(SEARCH(" за период",$XU$4,YW82),999999)," за период",
IF(YW83=IFERROR(SEARCH(" в размере",$XU$4,YW82),99999)," в размере",
))))</f>
        <v>.</v>
      </c>
      <c r="YW83" s="306">
        <f>MIN(
IFERROR(SEARCH(".",$XU$4,YW82),99999),
IFERROR(SEARCH(",",$XU$4,YW82),99999),
IFERROR(SEARCH(" в размере",$XU$4,YW82),99999))</f>
        <v>99999</v>
      </c>
      <c r="YX83" s="306"/>
      <c r="YY83" s="827"/>
      <c r="YZ83" s="829"/>
      <c r="ZE83" s="1464"/>
      <c r="ZF83" s="826"/>
      <c r="ZG83" s="836"/>
      <c r="ZH83" s="306" t="str">
        <f>IF(ZI83=IFERROR(SEARCH(".",$XU$5,ZI82),99999),".",
IF(ZI83=IFERROR(SEARCH(",",$XU$5,ZI82),99999),",",
IF(ZI83=IFERROR(SEARCH(" за период",$XU$5,ZI82),999999)," за период",
IF(ZI83=IFERROR(SEARCH(" в размере",$XU$5,ZI82),99999)," в размере",
))))</f>
        <v>.</v>
      </c>
      <c r="ZI83" s="306">
        <f>MIN(
IFERROR(SEARCH(".",$XU$5,ZI82),99999),
IFERROR(SEARCH(",",$XU$5,ZI82),99999),
IFERROR(SEARCH(" в размере",$XU$5,ZI82),99999))</f>
        <v>99999</v>
      </c>
      <c r="ZJ83" s="306"/>
      <c r="ZK83" s="827"/>
      <c r="ZL83" s="829"/>
      <c r="ZQ83" s="1464"/>
      <c r="ZR83" s="826"/>
      <c r="ZS83" s="836"/>
      <c r="ZT83" s="306" t="str">
        <f>IF(ZU83=IFERROR(SEARCH(".",$XU$6,ZU82),99999),".",
IF(ZU83=IFERROR(SEARCH(",",$XU$6,ZU82),99999),",",
IF(ZU83=IFERROR(SEARCH(" за период",$XU$6,ZU82),999999)," за период",
IF(ZU83=IFERROR(SEARCH(" в размере",$XU$6,ZU82),99999)," в размере",
))))</f>
        <v>.</v>
      </c>
      <c r="ZU83" s="306">
        <f>MIN(
IFERROR(SEARCH(".",$XU$6,ZU82),99999),
IFERROR(SEARCH(",",$XU$6,ZU82),99999),
IFERROR(SEARCH(" в размере",$XU$6,ZU82),99999))</f>
        <v>99999</v>
      </c>
      <c r="ZV83" s="306"/>
      <c r="ZW83" s="827"/>
      <c r="ZX83" s="829"/>
      <c r="AAC83" s="1464"/>
      <c r="AAD83" s="826"/>
      <c r="AAE83" s="836"/>
      <c r="AAF83" s="306" t="str">
        <f>IF(AAG83=IFERROR(SEARCH(".",$XU$7,AAG82),99999),".",
IF(AAG83=IFERROR(SEARCH(",",$XU$7,AAG82),99999),",",
IF(AAG83=IFERROR(SEARCH(" за период",$XU$7,AAG82),999999)," за период",
IF(AAG83=IFERROR(SEARCH(" в размере",$XU$7,AAG82),99999)," в размере",
))))</f>
        <v>.</v>
      </c>
      <c r="AAG83" s="306">
        <f>MIN(
IFERROR(SEARCH(".",$XU$7,AAG82),99999),
IFERROR(SEARCH(",",$XU$7,AAG82),99999),
IFERROR(SEARCH(" в размере",$XU$7,AAG82),99999))</f>
        <v>99999</v>
      </c>
      <c r="AAH83" s="306"/>
      <c r="AAI83" s="827"/>
      <c r="AAJ83" s="829"/>
      <c r="AFE83" s="1464"/>
      <c r="AFF83" s="826"/>
      <c r="AFG83" s="836"/>
      <c r="AFH83" s="306" t="str">
        <f>IF(AFI83=IFERROR(SEARCH(".",AFD$4,AFI82),99999),".",
IF(AFI83=IFERROR(SEARCH(",",AFD$4,AFI82),99999),",",
IF(AFI83=IFERROR(SEARCH(" за период",AFD$4,AFI82),999999)," за период",
IF(AFI83=IFERROR(SEARCH(" в размере",AFD$4,AFI82),99999)," в размере",
))))</f>
        <v>.</v>
      </c>
      <c r="AFI83" s="306">
        <f>MIN(
IFERROR(SEARCH(".",AFD$4,AFI82),99999),
IFERROR(SEARCH(",",AFD$4,AFI82),99999),
IFERROR(SEARCH(" в размере",AFD$4,AFI82),99999))</f>
        <v>99999</v>
      </c>
      <c r="AFJ83" s="306"/>
      <c r="AFK83" s="827"/>
      <c r="AFL83" s="829"/>
      <c r="AFQ83" s="1464"/>
      <c r="AFR83" s="826"/>
      <c r="AFS83" s="836"/>
      <c r="AFT83" s="306" t="str">
        <f>IF(AFU83=IFERROR(SEARCH(".",AFP$4,AFU82),99999),".",
IF(AFU83=IFERROR(SEARCH(",",AFP$4,AFU82),99999),",",
IF(AFU83=IFERROR(SEARCH(" за период",AFP$4,AFU82),999999)," за период",
IF(AFU83=IFERROR(SEARCH(" в размере",AFP$4,AFU82),99999)," в размере",
))))</f>
        <v>.</v>
      </c>
      <c r="AFU83" s="306">
        <f>MIN(
IFERROR(SEARCH(".",AFP$4,AFU82),99999),
IFERROR(SEARCH(",",AFP$4,AFU82),99999),
IFERROR(SEARCH(" в размере",AFP$4,AFU82),99999))</f>
        <v>99999</v>
      </c>
      <c r="AFV83" s="306"/>
      <c r="AFW83" s="827"/>
      <c r="AFX83" s="829"/>
      <c r="AGC83" s="1464"/>
      <c r="AGD83" s="826"/>
      <c r="AGE83" s="836"/>
      <c r="AGF83" s="306" t="str">
        <f>IF(AGG83=IFERROR(SEARCH(".",AGB$4,AGG82),99999),".",
IF(AGG83=IFERROR(SEARCH(",",AGB$4,AGG82),99999),",",
IF(AGG83=IFERROR(SEARCH(" за период",AGB$4,AGG82),999999)," за период",
IF(AGG83=IFERROR(SEARCH(" в размере",AGB$4,AGG82),99999)," в размере",
))))</f>
        <v>.</v>
      </c>
      <c r="AGG83" s="306">
        <f>MIN(
IFERROR(SEARCH(".",AGB$4,AGG82),99999),
IFERROR(SEARCH(",",AGB$4,AGG82),99999),
IFERROR(SEARCH(" в размере",AGB$4,AGG82),99999))</f>
        <v>99999</v>
      </c>
      <c r="AGH83" s="306"/>
      <c r="AGI83" s="827"/>
      <c r="AGJ83" s="829"/>
      <c r="AGO83" s="1464"/>
      <c r="AGP83" s="826"/>
      <c r="AGQ83" s="836"/>
      <c r="AGR83" s="306" t="str">
        <f>IF(AGS83=IFERROR(SEARCH(".",AGN$4,AGS82),99999),".",
IF(AGS83=IFERROR(SEARCH(",",AGN$4,AGS82),99999),",",
IF(AGS83=IFERROR(SEARCH(" за период",AGN$4,AGS82),999999)," за период",
IF(AGS83=IFERROR(SEARCH(" в размере",AGN$4,AGS82),99999)," в размере",
))))</f>
        <v>.</v>
      </c>
      <c r="AGS83" s="306">
        <f>MIN(
IFERROR(SEARCH(".",AGN$4,AGS82),99999),
IFERROR(SEARCH(",",AGN$4,AGS82),99999),
IFERROR(SEARCH(" в размере",AGN$4,AGS82),99999))</f>
        <v>99999</v>
      </c>
      <c r="AGT83" s="306"/>
      <c r="AGU83" s="827"/>
      <c r="AGV83" s="829"/>
      <c r="AHA83" s="1464"/>
      <c r="AHB83" s="826"/>
      <c r="AHC83" s="836"/>
      <c r="AHD83" s="306" t="str">
        <f>IF(AHE83=IFERROR(SEARCH(".",AGZ$4,AHE82),99999),".",
IF(AHE83=IFERROR(SEARCH(",",AGZ$4,AHE82),99999),",",
IF(AHE83=IFERROR(SEARCH(" за период",AGZ$4,AHE82),999999)," за период",
IF(AHE83=IFERROR(SEARCH(" в размере",AGZ$4,AHE82),99999)," в размере",
))))</f>
        <v>.</v>
      </c>
      <c r="AHE83" s="306">
        <f>MIN(
IFERROR(SEARCH(".",AGZ$4,AHE82),99999),
IFERROR(SEARCH(",",AGZ$4,AHE82),99999),
IFERROR(SEARCH(" в размере",AGZ$4,AHE82),99999))</f>
        <v>99999</v>
      </c>
      <c r="AHF83" s="306"/>
      <c r="AHG83" s="827"/>
      <c r="AHH83" s="829"/>
    </row>
    <row r="84" spans="2:893" x14ac:dyDescent="0.3">
      <c r="B84" s="116"/>
      <c r="C84" s="116"/>
      <c r="D84" s="116"/>
      <c r="E84" s="116"/>
      <c r="F84" s="116"/>
      <c r="G84" s="116"/>
      <c r="H84" s="116"/>
      <c r="I84" s="116"/>
      <c r="DT84" t="s">
        <v>9203</v>
      </c>
      <c r="DU84" s="821" t="s">
        <v>1702</v>
      </c>
      <c r="DV84" s="1464"/>
      <c r="DW84" s="830" t="s">
        <v>8249</v>
      </c>
      <c r="DX84" s="836" t="str">
        <f>IF(OR(DY83=" в размере",DY80=" в размере"),SEARCH(" в размере",$C$3,DZ80)+LEN(" в размере")+1,"НЕТ")</f>
        <v>НЕТ</v>
      </c>
      <c r="DY84" s="306" t="s">
        <v>8431</v>
      </c>
      <c r="DZ84" s="306" t="e">
        <f>SEARCH(DY84,$C$3,DX84)</f>
        <v>#VALUE!</v>
      </c>
      <c r="EA84" s="306" t="e">
        <f>DZ84-DX84</f>
        <v>#VALUE!</v>
      </c>
      <c r="EB84" s="826" t="e">
        <f>IF(EC80="Штраф 50%","",MID($C$3,DX84,EA84))</f>
        <v>#VALUE!</v>
      </c>
      <c r="EC84" s="829"/>
      <c r="NK84" s="1464"/>
      <c r="NL84" s="830" t="s">
        <v>8249</v>
      </c>
      <c r="NM84" s="836" t="e">
        <f>SEARCH(" в размере",NJ$4,NO80)+LEN(" в размере")+1</f>
        <v>#VALUE!</v>
      </c>
      <c r="NN84" s="306" t="s">
        <v>8431</v>
      </c>
      <c r="NO84" s="306" t="e">
        <f>SEARCH(NN84,NJ$4,NM84)</f>
        <v>#VALUE!</v>
      </c>
      <c r="NP84" s="306" t="e">
        <f>NO84-NM84</f>
        <v>#VALUE!</v>
      </c>
      <c r="NQ84" s="826" t="e">
        <f>IF(NR80="Штраф 50%","",MID(NJ$4,NM84,NP84))</f>
        <v>#VALUE!</v>
      </c>
      <c r="NR84" s="829"/>
      <c r="SY84" s="1464"/>
      <c r="SZ84" s="830" t="s">
        <v>8249</v>
      </c>
      <c r="TA84" s="836" t="e">
        <f>IF(NOT(ISERROR(SEARCH("НДФЛ",SX$4))),MIN(SEARCH("в размере ",SX$4,TC80)+LEN("в размере "),SEARCH("исходя из суммы ",SX$4,TC80)+LEN("исходя из суммы ")),SEARCH(" в размере",SX$4,TC80)+LEN(" в размере")+1)</f>
        <v>#VALUE!</v>
      </c>
      <c r="TB84" s="306" t="s">
        <v>8431</v>
      </c>
      <c r="TC84" s="306" t="e">
        <f>SEARCH(TB84,$SQ$3,TA84)</f>
        <v>#VALUE!</v>
      </c>
      <c r="TD84" s="306" t="e">
        <f>TC84-TA84</f>
        <v>#VALUE!</v>
      </c>
      <c r="TE84" s="826" t="e">
        <f>IF(TF80="Штраф 50%","",MID($SQ$3,TA84,TD84))</f>
        <v>#VALUE!</v>
      </c>
      <c r="TF84" s="829"/>
      <c r="TK84" s="1004"/>
      <c r="TL84" s="1035"/>
      <c r="TM84" s="1036"/>
      <c r="TN84" s="1036"/>
      <c r="TO84" s="1036"/>
      <c r="TP84" s="1036"/>
      <c r="TQ84" s="1037"/>
      <c r="TR84" s="1037"/>
      <c r="TW84" s="1464"/>
      <c r="TX84" s="830" t="s">
        <v>8249</v>
      </c>
      <c r="TY84" s="836" t="e">
        <f>IF(NOT(ISERROR(SEARCH("НДФЛ",TV$4))),MIN(SEARCH("в размере ",TV$4,UA80)+LEN("в размере "),SEARCH("исходя из суммы ",TV$4,UA80)+LEN("исходя из суммы ")),SEARCH(" в размере",TV$4,UA80)+LEN(" в размере")+1)</f>
        <v>#VALUE!</v>
      </c>
      <c r="TZ84" s="306" t="s">
        <v>8431</v>
      </c>
      <c r="UA84" s="306" t="e">
        <f>SEARCH(TZ84,$SQ$4,TY84)</f>
        <v>#VALUE!</v>
      </c>
      <c r="UB84" s="306" t="e">
        <f>UA84-TY84</f>
        <v>#VALUE!</v>
      </c>
      <c r="UC84" s="826" t="e">
        <f>IF(UD80="Штраф 50%","",MID($SQ$4,TY84,UB84))</f>
        <v>#VALUE!</v>
      </c>
      <c r="UD84" s="829"/>
      <c r="UI84" s="1004"/>
      <c r="UJ84" s="1035"/>
      <c r="UK84" s="1036"/>
      <c r="UL84" s="1036"/>
      <c r="UM84" s="1036"/>
      <c r="UN84" s="1036"/>
      <c r="UO84" s="1037"/>
      <c r="UP84" s="1037"/>
      <c r="UU84" s="1464"/>
      <c r="UV84" s="830" t="s">
        <v>8249</v>
      </c>
      <c r="UW84" s="836" t="e">
        <f>IF(NOT(ISERROR(SEARCH("НДФЛ",UT$4))),MIN(SEARCH("в размере ",UT$4,UY80)+LEN("в размере "),SEARCH("исходя из суммы ",UT$4,UY80)+LEN("исходя из суммы ")),SEARCH(" в размере",UT$4,UY80)+LEN(" в размере")+1)</f>
        <v>#VALUE!</v>
      </c>
      <c r="UX84" s="306" t="s">
        <v>8431</v>
      </c>
      <c r="UY84" s="306" t="e">
        <f>SEARCH(UX84,$SQ$5,UW84)</f>
        <v>#VALUE!</v>
      </c>
      <c r="UZ84" s="306" t="e">
        <f>UY84-UW84</f>
        <v>#VALUE!</v>
      </c>
      <c r="VA84" s="826" t="e">
        <f>IF(VB80="Штраф 50%","",MID($SQ$5,UW84,UZ84))</f>
        <v>#VALUE!</v>
      </c>
      <c r="VB84" s="829"/>
      <c r="VG84" s="1004"/>
      <c r="VH84" s="1035"/>
      <c r="VI84" s="1036"/>
      <c r="VJ84" s="1036"/>
      <c r="VK84" s="1036"/>
      <c r="VL84" s="1036"/>
      <c r="VM84" s="1037"/>
      <c r="VN84" s="1037"/>
      <c r="VS84" s="1464"/>
      <c r="VT84" s="830" t="s">
        <v>8249</v>
      </c>
      <c r="VU84" s="836" t="e">
        <f>IF(NOT(ISERROR(SEARCH("НДФЛ",VR$4))),MIN(SEARCH("в размере ",VR$4,VW80)+LEN("в размере "),SEARCH("исходя из суммы ",VR$4,VW80)+LEN("исходя из суммы ")),SEARCH(" в размере",VR$4,VW80)+LEN(" в размере")+1)</f>
        <v>#VALUE!</v>
      </c>
      <c r="VV84" s="306" t="s">
        <v>8431</v>
      </c>
      <c r="VW84" s="306" t="e">
        <f>SEARCH(VV84,$SQ$6,VU84)</f>
        <v>#VALUE!</v>
      </c>
      <c r="VX84" s="306" t="e">
        <f>VW84-VU84</f>
        <v>#VALUE!</v>
      </c>
      <c r="VY84" s="826" t="e">
        <f>IF(VZ80="Штраф 50%","",MID($SQ$6,VU84,VX84))</f>
        <v>#VALUE!</v>
      </c>
      <c r="VZ84" s="829"/>
      <c r="WE84" s="1004"/>
      <c r="WF84" s="1035"/>
      <c r="WG84" s="1036"/>
      <c r="WH84" s="1036"/>
      <c r="WI84" s="1036"/>
      <c r="WJ84" s="1036"/>
      <c r="WK84" s="1037"/>
      <c r="WL84" s="1037"/>
      <c r="WQ84" s="1464"/>
      <c r="WR84" s="830" t="s">
        <v>8249</v>
      </c>
      <c r="WS84" s="836" t="e">
        <f>IF(NOT(ISERROR(SEARCH("НДФЛ",WP$4))),MIN(SEARCH("в размере ",WP$4,WU80)+LEN("в размере "),SEARCH("исходя из суммы ",WP$4,WU80)+LEN("исходя из суммы ")),SEARCH(" в размере",WP$4,WU80)+LEN(" в размере")+1)</f>
        <v>#VALUE!</v>
      </c>
      <c r="WT84" s="306" t="s">
        <v>8431</v>
      </c>
      <c r="WU84" s="306" t="e">
        <f>SEARCH(WT84,$SQ$7,WS84)</f>
        <v>#VALUE!</v>
      </c>
      <c r="WV84" s="306" t="e">
        <f>WU84-WS84</f>
        <v>#VALUE!</v>
      </c>
      <c r="WW84" s="826" t="e">
        <f>IF(WX80="Штраф 50%","",MID($SQ$7,WS84,WV84))</f>
        <v>#VALUE!</v>
      </c>
      <c r="WX84" s="829"/>
      <c r="XC84" s="1004"/>
      <c r="XD84" s="1035"/>
      <c r="XE84" s="1036"/>
      <c r="XF84" s="1036"/>
      <c r="XG84" s="1036"/>
      <c r="XH84" s="1036"/>
      <c r="XI84" s="1037"/>
      <c r="XJ84" s="1037"/>
      <c r="YG84" s="1464"/>
      <c r="YH84" s="830" t="s">
        <v>8249</v>
      </c>
      <c r="YI84" s="836" t="str">
        <f>IF(OR(YJ83=" в размере",YJ80=" в размере"),SEARCH(" в размере",$XU$3,YK80)+LEN(" в размере")+1,"НЕТ")</f>
        <v>НЕТ</v>
      </c>
      <c r="YJ84" s="306" t="s">
        <v>8431</v>
      </c>
      <c r="YK84" s="306" t="e">
        <f>SEARCH(YJ84,$XU$3,YI84)</f>
        <v>#VALUE!</v>
      </c>
      <c r="YL84" s="306" t="e">
        <f>YK84-YI84</f>
        <v>#VALUE!</v>
      </c>
      <c r="YM84" s="826" t="e">
        <f>IF(YN80="Штраф 50%","",MID($XU$3,YI84,YL84))</f>
        <v>#VALUE!</v>
      </c>
      <c r="YN84" s="829"/>
      <c r="YS84" s="1464"/>
      <c r="YT84" s="830" t="s">
        <v>8249</v>
      </c>
      <c r="YU84" s="836" t="e">
        <f>SEARCH(" в размере",$XU$4,YW80)+LEN(" в размере")+1</f>
        <v>#VALUE!</v>
      </c>
      <c r="YV84" s="306" t="s">
        <v>8431</v>
      </c>
      <c r="YW84" s="306" t="e">
        <f>SEARCH(YV84,$XU$4,YU84)</f>
        <v>#VALUE!</v>
      </c>
      <c r="YX84" s="306" t="e">
        <f>YW84-YU84</f>
        <v>#VALUE!</v>
      </c>
      <c r="YY84" s="826" t="e">
        <f>IF(YZ80="Штраф 50%","",MID($XU$4,YU84,YX84))</f>
        <v>#VALUE!</v>
      </c>
      <c r="YZ84" s="829"/>
      <c r="ZE84" s="1464"/>
      <c r="ZF84" s="830" t="s">
        <v>8249</v>
      </c>
      <c r="ZG84" s="836" t="e">
        <f>SEARCH(" в размере",$XU$5,ZI80)+LEN(" в размере")+1</f>
        <v>#VALUE!</v>
      </c>
      <c r="ZH84" s="306" t="s">
        <v>8431</v>
      </c>
      <c r="ZI84" s="306" t="e">
        <f>SEARCH(ZH84,$XU$5,ZG84)</f>
        <v>#VALUE!</v>
      </c>
      <c r="ZJ84" s="306" t="e">
        <f>ZI84-ZG84</f>
        <v>#VALUE!</v>
      </c>
      <c r="ZK84" s="826" t="e">
        <f>IF(ZL80="Штраф 50%","",MID($XU$5,ZG84,ZJ84))</f>
        <v>#VALUE!</v>
      </c>
      <c r="ZL84" s="829"/>
      <c r="ZQ84" s="1464"/>
      <c r="ZR84" s="830" t="s">
        <v>8249</v>
      </c>
      <c r="ZS84" s="836" t="e">
        <f>SEARCH(" в размере",$XU$6,ZU80)+LEN(" в размере")+1</f>
        <v>#VALUE!</v>
      </c>
      <c r="ZT84" s="306" t="s">
        <v>8431</v>
      </c>
      <c r="ZU84" s="306" t="e">
        <f>SEARCH(ZT84,$XU$6,ZS84)</f>
        <v>#VALUE!</v>
      </c>
      <c r="ZV84" s="306" t="e">
        <f>ZU84-ZS84</f>
        <v>#VALUE!</v>
      </c>
      <c r="ZW84" s="826" t="e">
        <f>IF(ZX80="Штраф 50%","",MID($XU$6,ZS84,ZV84))</f>
        <v>#VALUE!</v>
      </c>
      <c r="ZX84" s="829"/>
      <c r="AAC84" s="1464"/>
      <c r="AAD84" s="830" t="s">
        <v>8249</v>
      </c>
      <c r="AAE84" s="836" t="e">
        <f>SEARCH(" в размере",$XU$7,AAG80)+LEN(" в размере")+1</f>
        <v>#VALUE!</v>
      </c>
      <c r="AAF84" s="306" t="s">
        <v>8431</v>
      </c>
      <c r="AAG84" s="306" t="e">
        <f>SEARCH(AAF84,$XU$7,AAE84)</f>
        <v>#VALUE!</v>
      </c>
      <c r="AAH84" s="306" t="e">
        <f>AAG84-AAE84</f>
        <v>#VALUE!</v>
      </c>
      <c r="AAI84" s="826" t="e">
        <f>IF(AAJ80="Штраф 50%","",MID($XU$7,AAE84,AAH84))</f>
        <v>#VALUE!</v>
      </c>
      <c r="AAJ84" s="829"/>
      <c r="AFE84" s="1464"/>
      <c r="AFF84" s="830" t="s">
        <v>8249</v>
      </c>
      <c r="AFG84" s="836" t="e">
        <f>SEARCH(" в размере",AFD$4,AFI80)+LEN(" в размере")+1</f>
        <v>#VALUE!</v>
      </c>
      <c r="AFH84" s="306" t="s">
        <v>8431</v>
      </c>
      <c r="AFI84" s="306" t="e">
        <f>SEARCH(AFH84,AFD$4,AFG84)</f>
        <v>#VALUE!</v>
      </c>
      <c r="AFJ84" s="306" t="e">
        <f>AFI84-AFG84</f>
        <v>#VALUE!</v>
      </c>
      <c r="AFK84" s="826" t="e">
        <f>IF(AFL80="Штраф 50%","",MID(AFD$4,AFG84,AFJ84))</f>
        <v>#VALUE!</v>
      </c>
      <c r="AFL84" s="829"/>
      <c r="AFQ84" s="1464"/>
      <c r="AFR84" s="830" t="s">
        <v>8249</v>
      </c>
      <c r="AFS84" s="836" t="e">
        <f>SEARCH(" в размере",AFP$4,AFU80)+LEN(" в размере")+1</f>
        <v>#VALUE!</v>
      </c>
      <c r="AFT84" s="306" t="s">
        <v>8431</v>
      </c>
      <c r="AFU84" s="306" t="e">
        <f>SEARCH(AFT84,AFP$4,AFS84)</f>
        <v>#VALUE!</v>
      </c>
      <c r="AFV84" s="306" t="e">
        <f>AFU84-AFS84</f>
        <v>#VALUE!</v>
      </c>
      <c r="AFW84" s="826" t="e">
        <f>IF(AFX80="Штраф 50%","",MID(AFP$4,AFS84,AFV84))</f>
        <v>#VALUE!</v>
      </c>
      <c r="AFX84" s="829"/>
      <c r="AGC84" s="1464"/>
      <c r="AGD84" s="830" t="s">
        <v>8249</v>
      </c>
      <c r="AGE84" s="836" t="e">
        <f>SEARCH(" в размере",AGB$4,AGG80)+LEN(" в размере")+1</f>
        <v>#VALUE!</v>
      </c>
      <c r="AGF84" s="306" t="s">
        <v>8431</v>
      </c>
      <c r="AGG84" s="306" t="e">
        <f>SEARCH(AGF84,AGB$4,AGE84)</f>
        <v>#VALUE!</v>
      </c>
      <c r="AGH84" s="306" t="e">
        <f>AGG84-AGE84</f>
        <v>#VALUE!</v>
      </c>
      <c r="AGI84" s="826" t="e">
        <f>IF(AGJ80="Штраф 50%","",MID(AGB$4,AGE84,AGH84))</f>
        <v>#VALUE!</v>
      </c>
      <c r="AGJ84" s="829"/>
      <c r="AGO84" s="1464"/>
      <c r="AGP84" s="830" t="s">
        <v>8249</v>
      </c>
      <c r="AGQ84" s="836" t="e">
        <f>SEARCH(" в размере",AGN$4,AGS80)+LEN(" в размере")+1</f>
        <v>#VALUE!</v>
      </c>
      <c r="AGR84" s="306" t="s">
        <v>8431</v>
      </c>
      <c r="AGS84" s="306" t="e">
        <f>SEARCH(AGR84,AGN$4,AGQ84)</f>
        <v>#VALUE!</v>
      </c>
      <c r="AGT84" s="306" t="e">
        <f>AGS84-AGQ84</f>
        <v>#VALUE!</v>
      </c>
      <c r="AGU84" s="826" t="e">
        <f>IF(AGV80="Штраф 50%","",MID(AGN$4,AGQ84,AGT84))</f>
        <v>#VALUE!</v>
      </c>
      <c r="AGV84" s="829"/>
      <c r="AHA84" s="1464"/>
      <c r="AHB84" s="830" t="s">
        <v>8249</v>
      </c>
      <c r="AHC84" s="836" t="e">
        <f>SEARCH(" в размере",AGZ$4,AHE80)+LEN(" в размере")+1</f>
        <v>#VALUE!</v>
      </c>
      <c r="AHD84" s="306" t="s">
        <v>8431</v>
      </c>
      <c r="AHE84" s="306" t="e">
        <f>SEARCH(AHD84,AGZ$4,AHC84)</f>
        <v>#VALUE!</v>
      </c>
      <c r="AHF84" s="306" t="e">
        <f>AHE84-AHC84</f>
        <v>#VALUE!</v>
      </c>
      <c r="AHG84" s="826" t="e">
        <f>IF(AHH80="Штраф 50%","",MID(AGZ$4,AHC84,AHF84))</f>
        <v>#VALUE!</v>
      </c>
      <c r="AHH84" s="829"/>
    </row>
    <row r="85" spans="2:893" x14ac:dyDescent="0.3">
      <c r="B85" s="116"/>
      <c r="C85" s="116"/>
      <c r="D85" s="116"/>
      <c r="E85" s="116"/>
      <c r="F85" s="116"/>
      <c r="G85" s="116"/>
      <c r="H85" s="116"/>
      <c r="I85" s="116"/>
      <c r="DT85" t="s">
        <v>9213</v>
      </c>
      <c r="DU85" s="821" t="s">
        <v>1246</v>
      </c>
      <c r="DV85" s="1464"/>
      <c r="DW85" s="306"/>
      <c r="DX85" s="836" t="e">
        <f>SEARCH(" ",$C$3,DZ84+1)+1</f>
        <v>#VALUE!</v>
      </c>
      <c r="DY85" s="306" t="s">
        <v>8432</v>
      </c>
      <c r="DZ85" s="306" t="e">
        <f>SEARCH(DY85,$C$3,DX85)</f>
        <v>#VALUE!</v>
      </c>
      <c r="EA85" s="306" t="e">
        <f>DZ85-DX85</f>
        <v>#VALUE!</v>
      </c>
      <c r="EB85" s="826" t="e">
        <f>IF(EC80="Штраф 50%","",MID($C$3,DX85,EA85))</f>
        <v>#VALUE!</v>
      </c>
      <c r="EC85" s="829"/>
      <c r="NK85" s="1464"/>
      <c r="NL85" s="306"/>
      <c r="NM85" s="836" t="e">
        <f>SEARCH(" ",NJ$4,NO84+1)+1</f>
        <v>#VALUE!</v>
      </c>
      <c r="NN85" s="306" t="s">
        <v>8432</v>
      </c>
      <c r="NO85" s="306" t="e">
        <f>SEARCH(NN85,NJ$4,NM85)</f>
        <v>#VALUE!</v>
      </c>
      <c r="NP85" s="306" t="e">
        <f>NO85-NM85</f>
        <v>#VALUE!</v>
      </c>
      <c r="NQ85" s="826" t="e">
        <f>IF(NR80="Штраф 50%","",MID(NJ$4,NM85,NP85))</f>
        <v>#VALUE!</v>
      </c>
      <c r="NR85" s="829"/>
      <c r="SY85" s="1464"/>
      <c r="SZ85" s="306"/>
      <c r="TA85" s="836" t="e">
        <f>SEARCH(" ",$SQ$3,TC84+1)+1</f>
        <v>#VALUE!</v>
      </c>
      <c r="TB85" s="306" t="s">
        <v>8432</v>
      </c>
      <c r="TC85" s="306" t="e">
        <f>SEARCH(TB85,$SQ$3,TA85)</f>
        <v>#VALUE!</v>
      </c>
      <c r="TD85" s="306" t="e">
        <f>TC85-TA85</f>
        <v>#VALUE!</v>
      </c>
      <c r="TE85" s="826" t="e">
        <f>IF(TF80="Штраф 50%","",MID($SQ$3,TA85,TD85))</f>
        <v>#VALUE!</v>
      </c>
      <c r="TF85" s="829"/>
      <c r="TK85" s="1004"/>
      <c r="TL85" s="1035"/>
      <c r="TM85" s="1036"/>
      <c r="TN85" s="1036"/>
      <c r="TO85" s="1036"/>
      <c r="TP85" s="1036"/>
      <c r="TQ85" s="1037"/>
      <c r="TR85" s="1037"/>
      <c r="TW85" s="1464"/>
      <c r="TX85" s="306"/>
      <c r="TY85" s="836" t="e">
        <f>SEARCH(" ",$SQ$4,UA84+1)+1</f>
        <v>#VALUE!</v>
      </c>
      <c r="TZ85" s="306" t="s">
        <v>8432</v>
      </c>
      <c r="UA85" s="306" t="e">
        <f>SEARCH(TZ85,$SQ$4,TY85)</f>
        <v>#VALUE!</v>
      </c>
      <c r="UB85" s="306" t="e">
        <f>UA85-TY85</f>
        <v>#VALUE!</v>
      </c>
      <c r="UC85" s="826" t="e">
        <f>IF(UD80="Штраф 50%","",MID($SQ$4,TY85,UB85))</f>
        <v>#VALUE!</v>
      </c>
      <c r="UD85" s="829"/>
      <c r="UI85" s="1004"/>
      <c r="UJ85" s="1035"/>
      <c r="UK85" s="1036"/>
      <c r="UL85" s="1036"/>
      <c r="UM85" s="1036"/>
      <c r="UN85" s="1036"/>
      <c r="UO85" s="1037"/>
      <c r="UP85" s="1037"/>
      <c r="UU85" s="1464"/>
      <c r="UV85" s="306"/>
      <c r="UW85" s="836" t="e">
        <f>SEARCH(" ",$SQ$5,UY84+1)+1</f>
        <v>#VALUE!</v>
      </c>
      <c r="UX85" s="306" t="s">
        <v>8432</v>
      </c>
      <c r="UY85" s="306" t="e">
        <f>SEARCH(UX85,$SQ$5,UW85)</f>
        <v>#VALUE!</v>
      </c>
      <c r="UZ85" s="306" t="e">
        <f>UY85-UW85</f>
        <v>#VALUE!</v>
      </c>
      <c r="VA85" s="826" t="e">
        <f>IF(VB80="Штраф 50%","",MID($SQ$5,UW85,UZ85))</f>
        <v>#VALUE!</v>
      </c>
      <c r="VB85" s="829"/>
      <c r="VG85" s="1004"/>
      <c r="VH85" s="1035"/>
      <c r="VI85" s="1036"/>
      <c r="VJ85" s="1036"/>
      <c r="VK85" s="1036"/>
      <c r="VL85" s="1036"/>
      <c r="VM85" s="1037"/>
      <c r="VN85" s="1037"/>
      <c r="VS85" s="1464"/>
      <c r="VT85" s="306"/>
      <c r="VU85" s="836" t="e">
        <f>SEARCH(" ",$SQ$6,VW84+1)+1</f>
        <v>#VALUE!</v>
      </c>
      <c r="VV85" s="306" t="s">
        <v>8432</v>
      </c>
      <c r="VW85" s="306" t="e">
        <f>SEARCH(VV85,$SQ$6,VU85)</f>
        <v>#VALUE!</v>
      </c>
      <c r="VX85" s="306" t="e">
        <f>VW85-VU85</f>
        <v>#VALUE!</v>
      </c>
      <c r="VY85" s="826" t="e">
        <f>IF(VZ80="Штраф 50%","",MID($SQ$6,VU85,VX85))</f>
        <v>#VALUE!</v>
      </c>
      <c r="VZ85" s="829"/>
      <c r="WE85" s="1004"/>
      <c r="WF85" s="1035"/>
      <c r="WG85" s="1036"/>
      <c r="WH85" s="1036"/>
      <c r="WI85" s="1036"/>
      <c r="WJ85" s="1036"/>
      <c r="WK85" s="1037"/>
      <c r="WL85" s="1037"/>
      <c r="WQ85" s="1464"/>
      <c r="WR85" s="306"/>
      <c r="WS85" s="836" t="e">
        <f>SEARCH(" ",$SQ$7,WU84+1)+1</f>
        <v>#VALUE!</v>
      </c>
      <c r="WT85" s="306" t="s">
        <v>8432</v>
      </c>
      <c r="WU85" s="306" t="e">
        <f>SEARCH(WT85,$SQ$7,WS85)</f>
        <v>#VALUE!</v>
      </c>
      <c r="WV85" s="306" t="e">
        <f>WU85-WS85</f>
        <v>#VALUE!</v>
      </c>
      <c r="WW85" s="826" t="e">
        <f>IF(WX80="Штраф 50%","",MID($SQ$7,WS85,WV85))</f>
        <v>#VALUE!</v>
      </c>
      <c r="WX85" s="829"/>
      <c r="XC85" s="1004"/>
      <c r="XD85" s="1035"/>
      <c r="XE85" s="1036"/>
      <c r="XF85" s="1036"/>
      <c r="XG85" s="1036"/>
      <c r="XH85" s="1036"/>
      <c r="XI85" s="1037"/>
      <c r="XJ85" s="1037"/>
      <c r="YG85" s="1464"/>
      <c r="YH85" s="306"/>
      <c r="YI85" s="836" t="e">
        <f>SEARCH(" ",$XU$3,YK84+1)+1</f>
        <v>#VALUE!</v>
      </c>
      <c r="YJ85" s="306" t="s">
        <v>8432</v>
      </c>
      <c r="YK85" s="306" t="e">
        <f>SEARCH(YJ85,$XU$3,YI85)</f>
        <v>#VALUE!</v>
      </c>
      <c r="YL85" s="306" t="e">
        <f>YK85-YI85</f>
        <v>#VALUE!</v>
      </c>
      <c r="YM85" s="826" t="e">
        <f>IF(YN80="Штраф 50%","",MID($XU$3,YI85,YL85))</f>
        <v>#VALUE!</v>
      </c>
      <c r="YN85" s="829"/>
      <c r="YS85" s="1464"/>
      <c r="YT85" s="306"/>
      <c r="YU85" s="836" t="e">
        <f>SEARCH(" ",$XU$4,YW84+1)+1</f>
        <v>#VALUE!</v>
      </c>
      <c r="YV85" s="306" t="s">
        <v>8432</v>
      </c>
      <c r="YW85" s="306" t="e">
        <f>SEARCH(YV85,$XU$4,YU85)</f>
        <v>#VALUE!</v>
      </c>
      <c r="YX85" s="306" t="e">
        <f>YW85-YU85</f>
        <v>#VALUE!</v>
      </c>
      <c r="YY85" s="826" t="e">
        <f>IF(YZ80="Штраф 50%","",MID($XU$4,YU85,YX85))</f>
        <v>#VALUE!</v>
      </c>
      <c r="YZ85" s="829"/>
      <c r="ZE85" s="1464"/>
      <c r="ZF85" s="306"/>
      <c r="ZG85" s="836" t="e">
        <f>SEARCH(" ",$XU$5,ZI84+1)+1</f>
        <v>#VALUE!</v>
      </c>
      <c r="ZH85" s="306" t="s">
        <v>8432</v>
      </c>
      <c r="ZI85" s="306" t="e">
        <f>SEARCH(ZH85,$XU$5,ZG85)</f>
        <v>#VALUE!</v>
      </c>
      <c r="ZJ85" s="306" t="e">
        <f>ZI85-ZG85</f>
        <v>#VALUE!</v>
      </c>
      <c r="ZK85" s="826" t="e">
        <f>IF(ZL80="Штраф 50%","",MID($XU$5,ZG85,ZJ85))</f>
        <v>#VALUE!</v>
      </c>
      <c r="ZL85" s="829"/>
      <c r="ZQ85" s="1464"/>
      <c r="ZR85" s="306"/>
      <c r="ZS85" s="836" t="e">
        <f>SEARCH(" ",$XU$6,ZU84+1)+1</f>
        <v>#VALUE!</v>
      </c>
      <c r="ZT85" s="306" t="s">
        <v>8432</v>
      </c>
      <c r="ZU85" s="306" t="e">
        <f>SEARCH(ZT85,$XU$6,ZS85)</f>
        <v>#VALUE!</v>
      </c>
      <c r="ZV85" s="306" t="e">
        <f>ZU85-ZS85</f>
        <v>#VALUE!</v>
      </c>
      <c r="ZW85" s="826" t="e">
        <f>IF(ZX80="Штраф 50%","",MID($XU$6,ZS85,ZV85))</f>
        <v>#VALUE!</v>
      </c>
      <c r="ZX85" s="829"/>
      <c r="AAC85" s="1464"/>
      <c r="AAD85" s="306"/>
      <c r="AAE85" s="836" t="e">
        <f>SEARCH(" ",$XU$7,AAG84+1)+1</f>
        <v>#VALUE!</v>
      </c>
      <c r="AAF85" s="306" t="s">
        <v>8432</v>
      </c>
      <c r="AAG85" s="306" t="e">
        <f>SEARCH(AAF85,$XU$7,AAE85)</f>
        <v>#VALUE!</v>
      </c>
      <c r="AAH85" s="306" t="e">
        <f>AAG85-AAE85</f>
        <v>#VALUE!</v>
      </c>
      <c r="AAI85" s="826" t="e">
        <f>IF(AAJ80="Штраф 50%","",MID($XU$7,AAE85,AAH85))</f>
        <v>#VALUE!</v>
      </c>
      <c r="AAJ85" s="829"/>
      <c r="AFE85" s="1464"/>
      <c r="AFF85" s="306"/>
      <c r="AFG85" s="836" t="e">
        <f>SEARCH(" ",AFD$4,AFI84+1)+1</f>
        <v>#VALUE!</v>
      </c>
      <c r="AFH85" s="306" t="s">
        <v>8432</v>
      </c>
      <c r="AFI85" s="306" t="e">
        <f>SEARCH(AFH85,AFD$4,AFG85)</f>
        <v>#VALUE!</v>
      </c>
      <c r="AFJ85" s="306" t="e">
        <f>AFI85-AFG85</f>
        <v>#VALUE!</v>
      </c>
      <c r="AFK85" s="826" t="e">
        <f>IF(AFL80="Штраф 50%","",MID(AFD$4,AFG85,AFJ85))</f>
        <v>#VALUE!</v>
      </c>
      <c r="AFL85" s="829"/>
      <c r="AFQ85" s="1464"/>
      <c r="AFR85" s="306"/>
      <c r="AFS85" s="836" t="e">
        <f>SEARCH(" ",AFP$4,AFU84+1)+1</f>
        <v>#VALUE!</v>
      </c>
      <c r="AFT85" s="306" t="s">
        <v>8432</v>
      </c>
      <c r="AFU85" s="306" t="e">
        <f>SEARCH(AFT85,AFP$4,AFS85)</f>
        <v>#VALUE!</v>
      </c>
      <c r="AFV85" s="306" t="e">
        <f>AFU85-AFS85</f>
        <v>#VALUE!</v>
      </c>
      <c r="AFW85" s="826" t="e">
        <f>IF(AFX80="Штраф 50%","",MID(AFP$4,AFS85,AFV85))</f>
        <v>#VALUE!</v>
      </c>
      <c r="AFX85" s="829"/>
      <c r="AGC85" s="1464"/>
      <c r="AGD85" s="306"/>
      <c r="AGE85" s="836" t="e">
        <f>SEARCH(" ",AGB$4,AGG84+1)+1</f>
        <v>#VALUE!</v>
      </c>
      <c r="AGF85" s="306" t="s">
        <v>8432</v>
      </c>
      <c r="AGG85" s="306" t="e">
        <f>SEARCH(AGF85,AGB$4,AGE85)</f>
        <v>#VALUE!</v>
      </c>
      <c r="AGH85" s="306" t="e">
        <f>AGG85-AGE85</f>
        <v>#VALUE!</v>
      </c>
      <c r="AGI85" s="826" t="e">
        <f>IF(AGJ80="Штраф 50%","",MID(AGB$4,AGE85,AGH85))</f>
        <v>#VALUE!</v>
      </c>
      <c r="AGJ85" s="829"/>
      <c r="AGO85" s="1464"/>
      <c r="AGP85" s="306"/>
      <c r="AGQ85" s="836" t="e">
        <f>SEARCH(" ",AGN$4,AGS84+1)+1</f>
        <v>#VALUE!</v>
      </c>
      <c r="AGR85" s="306" t="s">
        <v>8432</v>
      </c>
      <c r="AGS85" s="306" t="e">
        <f>SEARCH(AGR85,AGN$4,AGQ85)</f>
        <v>#VALUE!</v>
      </c>
      <c r="AGT85" s="306" t="e">
        <f>AGS85-AGQ85</f>
        <v>#VALUE!</v>
      </c>
      <c r="AGU85" s="826" t="e">
        <f>IF(AGV80="Штраф 50%","",MID(AGN$4,AGQ85,AGT85))</f>
        <v>#VALUE!</v>
      </c>
      <c r="AGV85" s="829"/>
      <c r="AHA85" s="1464"/>
      <c r="AHB85" s="306"/>
      <c r="AHC85" s="836" t="e">
        <f>SEARCH(" ",AGZ$4,AHE84+1)+1</f>
        <v>#VALUE!</v>
      </c>
      <c r="AHD85" s="306" t="s">
        <v>8432</v>
      </c>
      <c r="AHE85" s="306" t="e">
        <f>SEARCH(AHD85,AGZ$4,AHC85)</f>
        <v>#VALUE!</v>
      </c>
      <c r="AHF85" s="306" t="e">
        <f>AHE85-AHC85</f>
        <v>#VALUE!</v>
      </c>
      <c r="AHG85" s="826" t="e">
        <f>IF(AHH80="Штраф 50%","",MID(AGZ$4,AHC85,AHF85))</f>
        <v>#VALUE!</v>
      </c>
      <c r="AHH85" s="829"/>
    </row>
    <row r="86" spans="2:893" ht="15" thickBot="1" x14ac:dyDescent="0.35">
      <c r="B86" s="116"/>
      <c r="C86" s="116"/>
      <c r="D86" s="116"/>
      <c r="E86" s="116"/>
      <c r="F86" s="116"/>
      <c r="G86" s="116"/>
      <c r="H86" s="116"/>
      <c r="I86" s="116"/>
      <c r="DT86" t="s">
        <v>9219</v>
      </c>
      <c r="DU86" s="821" t="s">
        <v>9220</v>
      </c>
      <c r="DV86" s="1465"/>
      <c r="DW86" s="583"/>
      <c r="DX86" s="837"/>
      <c r="DY86" s="583"/>
      <c r="DZ86" s="583"/>
      <c r="EA86" s="583"/>
      <c r="EB86" s="831" t="e">
        <f>VALUE(CONCATENATE(EB84,",",EB85))</f>
        <v>#VALUE!</v>
      </c>
      <c r="EC86" s="832" t="str">
        <f>IF(EC80="Штраф 50%","",IF(OR(DY83=" в размере",DY80=" в размере"),EB86,""))</f>
        <v/>
      </c>
      <c r="NK86" s="1465"/>
      <c r="NL86" s="583"/>
      <c r="NM86" s="837"/>
      <c r="NN86" s="583"/>
      <c r="NO86" s="583"/>
      <c r="NP86" s="583"/>
      <c r="NQ86" s="831" t="e">
        <f>VALUE(CONCATENATE(NQ84,",",NQ85))</f>
        <v>#VALUE!</v>
      </c>
      <c r="NR86" s="832" t="str">
        <f>IF(NR80="Штраф 50%","",IF(OR(NN83=" в размере",NN80=" в размере"),NQ86,""))</f>
        <v/>
      </c>
      <c r="SY86" s="1465"/>
      <c r="SZ86" s="583"/>
      <c r="TA86" s="837"/>
      <c r="TB86" s="583"/>
      <c r="TC86" s="583"/>
      <c r="TD86" s="583"/>
      <c r="TE86" s="831" t="e">
        <f>VALUE(CONCATENATE(TE84,",",TE85))</f>
        <v>#VALUE!</v>
      </c>
      <c r="TF86" s="832" t="str">
        <f>IF(OR(TF80="Штраф 50%",TF80=""),"",TE86)</f>
        <v/>
      </c>
      <c r="TK86" s="1004"/>
      <c r="TL86" s="1035"/>
      <c r="TM86" s="1036"/>
      <c r="TN86" s="1036"/>
      <c r="TO86" s="1036"/>
      <c r="TP86" s="1036"/>
      <c r="TQ86" s="1037"/>
      <c r="TR86" s="1004"/>
      <c r="TW86" s="1465"/>
      <c r="TX86" s="583"/>
      <c r="TY86" s="837"/>
      <c r="TZ86" s="583"/>
      <c r="UA86" s="583"/>
      <c r="UB86" s="583"/>
      <c r="UC86" s="831" t="e">
        <f>VALUE(CONCATENATE(UC84,",",UC85))</f>
        <v>#VALUE!</v>
      </c>
      <c r="UD86" s="832" t="str">
        <f>IF(OR(UD80="Штраф 50%",UD80=""),"",UC86)</f>
        <v/>
      </c>
      <c r="UI86" s="1004"/>
      <c r="UJ86" s="1035"/>
      <c r="UK86" s="1036"/>
      <c r="UL86" s="1036"/>
      <c r="UM86" s="1036"/>
      <c r="UN86" s="1036"/>
      <c r="UO86" s="1037"/>
      <c r="UP86" s="1004"/>
      <c r="UU86" s="1465"/>
      <c r="UV86" s="583"/>
      <c r="UW86" s="837"/>
      <c r="UX86" s="583"/>
      <c r="UY86" s="583"/>
      <c r="UZ86" s="583"/>
      <c r="VA86" s="831" t="e">
        <f>VALUE(CONCATENATE(VA84,",",VA85))</f>
        <v>#VALUE!</v>
      </c>
      <c r="VB86" s="832" t="str">
        <f>IF(OR(VB80="Штраф 50%",VB80=""),"",VA86)</f>
        <v/>
      </c>
      <c r="VG86" s="1004"/>
      <c r="VH86" s="1035"/>
      <c r="VI86" s="1036"/>
      <c r="VJ86" s="1036"/>
      <c r="VK86" s="1036"/>
      <c r="VL86" s="1036"/>
      <c r="VM86" s="1037"/>
      <c r="VN86" s="1004"/>
      <c r="VS86" s="1465"/>
      <c r="VT86" s="583"/>
      <c r="VU86" s="837"/>
      <c r="VV86" s="583"/>
      <c r="VW86" s="583"/>
      <c r="VX86" s="583"/>
      <c r="VY86" s="831" t="e">
        <f>VALUE(CONCATENATE(VY84,",",VY85))</f>
        <v>#VALUE!</v>
      </c>
      <c r="VZ86" s="832" t="str">
        <f>IF(OR(VZ80="Штраф 50%",VZ80=""),"",VY86)</f>
        <v/>
      </c>
      <c r="WE86" s="1004"/>
      <c r="WF86" s="1035"/>
      <c r="WG86" s="1036"/>
      <c r="WH86" s="1036"/>
      <c r="WI86" s="1036"/>
      <c r="WJ86" s="1036"/>
      <c r="WK86" s="1037"/>
      <c r="WL86" s="1004"/>
      <c r="WQ86" s="1465"/>
      <c r="WR86" s="583"/>
      <c r="WS86" s="837"/>
      <c r="WT86" s="583"/>
      <c r="WU86" s="583"/>
      <c r="WV86" s="583"/>
      <c r="WW86" s="831" t="e">
        <f>VALUE(CONCATENATE(WW84,",",WW85))</f>
        <v>#VALUE!</v>
      </c>
      <c r="WX86" s="832" t="str">
        <f>IF(OR(WX80="Штраф 50%",WX80=""),"",WW86)</f>
        <v/>
      </c>
      <c r="XC86" s="1004"/>
      <c r="XD86" s="1035"/>
      <c r="XE86" s="1036"/>
      <c r="XF86" s="1036"/>
      <c r="XG86" s="1036"/>
      <c r="XH86" s="1036"/>
      <c r="XI86" s="1037"/>
      <c r="XJ86" s="1004"/>
      <c r="YG86" s="1465"/>
      <c r="YH86" s="583"/>
      <c r="YI86" s="837"/>
      <c r="YJ86" s="583"/>
      <c r="YK86" s="583"/>
      <c r="YL86" s="583"/>
      <c r="YM86" s="831" t="e">
        <f>VALUE(CONCATENATE(YM84,",",YM85))</f>
        <v>#VALUE!</v>
      </c>
      <c r="YN86" s="832" t="str">
        <f>IF(YN80="Штраф 50%","",IF(OR(YJ83=" в размере",YJ80=" в размере"),YM86,""))</f>
        <v/>
      </c>
      <c r="YS86" s="1465"/>
      <c r="YT86" s="583"/>
      <c r="YU86" s="837"/>
      <c r="YV86" s="583"/>
      <c r="YW86" s="583"/>
      <c r="YX86" s="583"/>
      <c r="YY86" s="831" t="e">
        <f>VALUE(CONCATENATE(YY84,",",YY85))</f>
        <v>#VALUE!</v>
      </c>
      <c r="YZ86" s="832" t="str">
        <f>IF(YZ80="Штраф 50%","",IF(OR(YV83=" в размере",YV80=" в размере"),YY86,""))</f>
        <v/>
      </c>
      <c r="ZE86" s="1465"/>
      <c r="ZF86" s="583"/>
      <c r="ZG86" s="837"/>
      <c r="ZH86" s="583"/>
      <c r="ZI86" s="583"/>
      <c r="ZJ86" s="583"/>
      <c r="ZK86" s="831" t="e">
        <f>VALUE(CONCATENATE(ZK84,",",ZK85))</f>
        <v>#VALUE!</v>
      </c>
      <c r="ZL86" s="832" t="str">
        <f>IF(ZL80="Штраф 50%","",IF(OR(ZH83=" в размере",ZH80=" в размере"),ZK86,""))</f>
        <v/>
      </c>
      <c r="ZQ86" s="1465"/>
      <c r="ZR86" s="583"/>
      <c r="ZS86" s="837"/>
      <c r="ZT86" s="583"/>
      <c r="ZU86" s="583"/>
      <c r="ZV86" s="583"/>
      <c r="ZW86" s="831" t="e">
        <f>VALUE(CONCATENATE(ZW84,",",ZW85))</f>
        <v>#VALUE!</v>
      </c>
      <c r="ZX86" s="832" t="str">
        <f>IF(ZX80="Штраф 50%","",IF(OR(ZT83=" в размере",ZT80=" в размере"),ZW86,""))</f>
        <v/>
      </c>
      <c r="AAC86" s="1465"/>
      <c r="AAD86" s="583"/>
      <c r="AAE86" s="837"/>
      <c r="AAF86" s="583"/>
      <c r="AAG86" s="583"/>
      <c r="AAH86" s="583"/>
      <c r="AAI86" s="831" t="e">
        <f>VALUE(CONCATENATE(AAI84,",",AAI85))</f>
        <v>#VALUE!</v>
      </c>
      <c r="AAJ86" s="832" t="str">
        <f>IF(AAJ80="Штраф 50%","",IF(OR(AAF83=" в размере",AAF80=" в размере"),AAI86,""))</f>
        <v/>
      </c>
      <c r="AFE86" s="1465"/>
      <c r="AFF86" s="583"/>
      <c r="AFG86" s="837"/>
      <c r="AFH86" s="583"/>
      <c r="AFI86" s="583"/>
      <c r="AFJ86" s="583"/>
      <c r="AFK86" s="831" t="e">
        <f>VALUE(CONCATENATE(AFK84,",",AFK85))</f>
        <v>#VALUE!</v>
      </c>
      <c r="AFL86" s="832" t="str">
        <f>IF(AFL80="Штраф 50%","",IF(OR(AFH83=" в размере",AFH80=" в размере"),AFK86,""))</f>
        <v/>
      </c>
      <c r="AFQ86" s="1465"/>
      <c r="AFR86" s="583"/>
      <c r="AFS86" s="837"/>
      <c r="AFT86" s="583"/>
      <c r="AFU86" s="583"/>
      <c r="AFV86" s="583"/>
      <c r="AFW86" s="831" t="e">
        <f>VALUE(CONCATENATE(AFW84,",",AFW85))</f>
        <v>#VALUE!</v>
      </c>
      <c r="AFX86" s="832" t="str">
        <f>IF(AFX80="Штраф 50%","",IF(OR(AFT83=" в размере",AFT80=" в размере"),AFW86,""))</f>
        <v/>
      </c>
      <c r="AGC86" s="1465"/>
      <c r="AGD86" s="583"/>
      <c r="AGE86" s="837"/>
      <c r="AGF86" s="583"/>
      <c r="AGG86" s="583"/>
      <c r="AGH86" s="583"/>
      <c r="AGI86" s="831" t="e">
        <f>VALUE(CONCATENATE(AGI84,",",AGI85))</f>
        <v>#VALUE!</v>
      </c>
      <c r="AGJ86" s="832" t="str">
        <f>IF(AGJ80="Штраф 50%","",IF(OR(AGF83=" в размере",AGF80=" в размере"),AGI86,""))</f>
        <v/>
      </c>
      <c r="AGO86" s="1465"/>
      <c r="AGP86" s="583"/>
      <c r="AGQ86" s="837"/>
      <c r="AGR86" s="583"/>
      <c r="AGS86" s="583"/>
      <c r="AGT86" s="583"/>
      <c r="AGU86" s="831" t="e">
        <f>VALUE(CONCATENATE(AGU84,",",AGU85))</f>
        <v>#VALUE!</v>
      </c>
      <c r="AGV86" s="832" t="str">
        <f>IF(AGV80="Штраф 50%","",IF(OR(AGR83=" в размере",AGR80=" в размере"),AGU86,""))</f>
        <v/>
      </c>
      <c r="AHA86" s="1465"/>
      <c r="AHB86" s="583"/>
      <c r="AHC86" s="837"/>
      <c r="AHD86" s="583"/>
      <c r="AHE86" s="583"/>
      <c r="AHF86" s="583"/>
      <c r="AHG86" s="831" t="e">
        <f>VALUE(CONCATENATE(AHG84,",",AHG85))</f>
        <v>#VALUE!</v>
      </c>
      <c r="AHH86" s="832" t="str">
        <f>IF(AHH80="Штраф 50%","",IF(OR(AHD83=" в размере",AHD80=" в размере"),AHG86,""))</f>
        <v/>
      </c>
    </row>
    <row r="87" spans="2:893" ht="15" thickTop="1" x14ac:dyDescent="0.3">
      <c r="B87" s="116"/>
      <c r="C87" s="116"/>
      <c r="D87" s="116"/>
      <c r="E87" s="116"/>
      <c r="F87" s="116"/>
      <c r="G87" s="116"/>
      <c r="H87" s="116"/>
      <c r="I87" s="116"/>
      <c r="DT87" t="s">
        <v>9223</v>
      </c>
      <c r="DU87" s="821" t="s">
        <v>1248</v>
      </c>
      <c r="DV87" s="1463">
        <v>13</v>
      </c>
      <c r="DW87" s="824" t="s">
        <v>8433</v>
      </c>
      <c r="DX87" s="838" t="e">
        <f>SEARCH(DS$4,$C$3,DZ80)+LEN(DS$4)</f>
        <v>#VALUE!</v>
      </c>
      <c r="DY87" s="406" t="str">
        <f>IF(DZ87=IFERROR(SEARCH(".",C$3,DX87),99999),".",
IF(DZ87=IFERROR(SEARCH(",",C$3,DX87),99999),",",
IF(DZ87=IFERROR(SEARCH(" за период",C$3,DX87),999999)," за период",
IF(DZ87=IFERROR(SEARCH(" в размере",C$3,DX87),99999)," в размере",
))))</f>
        <v>.</v>
      </c>
      <c r="DZ87" s="406">
        <f>IFERROR(MIN(IFERROR(SEARCH(".",$C$3,DX87),99999),IFERROR(SEARCH(",",$C$3,DX87),99999),IFERROR(SEARCH(" за период",$C$3,DX87),999999),IFERROR(SEARCH(" в размере",$C$3,DX87),99999)),"ОШИБКА")</f>
        <v>99999</v>
      </c>
      <c r="EA87" s="406" t="e">
        <f>DZ87-DX87</f>
        <v>#VALUE!</v>
      </c>
      <c r="EB87" s="824" t="e">
        <f>MID($C$3,DX87,EA87)</f>
        <v>#VALUE!</v>
      </c>
      <c r="EC87" s="825" t="str">
        <f>IFERROR(INDEX(DU:DU,MATCH(MID($C$3,DX87,EA87),DT:DT,0),1),"")</f>
        <v/>
      </c>
      <c r="ED87" s="754"/>
      <c r="NK87" s="1463">
        <v>13</v>
      </c>
      <c r="NL87" s="824" t="s">
        <v>8433</v>
      </c>
      <c r="NM87" s="838" t="e">
        <f>SEARCH(NH$4,NJ$4,NO80)+LEN(NH$4)</f>
        <v>#VALUE!</v>
      </c>
      <c r="NN87" s="406" t="str">
        <f>IF(NO87=IFERROR(SEARCH(".",NJ$4,NM87),99999),".",
IF(NO87=IFERROR(SEARCH(",",NJ$4,NM87),99999),",",
IF(NO87=IFERROR(SEARCH(" за период",NJ$4,NM87),999999)," за период",
IF(NO87=IFERROR(SEARCH(" в размере",NJ$4,NM87),99999)," в размере",
))))</f>
        <v>.</v>
      </c>
      <c r="NO87" s="406">
        <f>IFERROR(MIN(IFERROR(SEARCH(".",NJ$4,NM87),99999),IFERROR(SEARCH(",",NJ$4,NM87),99999),IFERROR(SEARCH(" за период",NJ$4,NM87),999999),IFERROR(SEARCH(" в размере",NJ$4,NM87),99999)),"ОШИБКА")</f>
        <v>99999</v>
      </c>
      <c r="NP87" s="406" t="e">
        <f>NO87-NM87</f>
        <v>#VALUE!</v>
      </c>
      <c r="NQ87" s="824" t="e">
        <f>MID(NJ$4,NM87,NP87)</f>
        <v>#VALUE!</v>
      </c>
      <c r="NR87" s="825" t="str">
        <f>IFERROR(INDEX($DU:$DU,MATCH(MID(NJ$4,NM87,NP87),$DT:$DT,0),1),"")</f>
        <v/>
      </c>
      <c r="NS87" s="754"/>
      <c r="NT87" s="754"/>
      <c r="SY87" s="1463">
        <v>13</v>
      </c>
      <c r="SZ87" s="824" t="s">
        <v>8433</v>
      </c>
      <c r="TA87" s="838" t="e">
        <f>SEARCH(SV$4,$SQ$3,TC80)+LEN(SV$4)</f>
        <v>#VALUE!</v>
      </c>
      <c r="TB87" s="406" t="str">
        <f>IF(TC87=IFERROR(SEARCH(".",$SQ$3,TA87),99999),".",
IF(TC87=IFERROR(SEARCH(",",$SQ$3,TA87),99999),",",
IF(TC87=IFERROR(SEARCH(" за период",$SQ$3,TA87),999999)," за период",
IF(TC87=IFERROR(SEARCH(" в размере",$SQ$3,TA87),99999)," в размере",
))))</f>
        <v>.</v>
      </c>
      <c r="TC87" s="406">
        <f>IFERROR(MIN(IFERROR(SEARCH(".",$SQ$3,TA87),99999),IFERROR(SEARCH(",",$SQ$3,TA87),99999),IFERROR(SEARCH(" за период",$SQ$3,TA87),999999),IFERROR(SEARCH(" в размере",$SQ$3,TA87),99999)),"ОШИБКА")</f>
        <v>99999</v>
      </c>
      <c r="TD87" s="406" t="e">
        <f>TC87-TA87</f>
        <v>#VALUE!</v>
      </c>
      <c r="TE87" s="824" t="e">
        <f>MID($SQ$3,TA87,TD87)</f>
        <v>#VALUE!</v>
      </c>
      <c r="TF87" s="825" t="str">
        <f>IFERROR(INDEX($DU:$DU,MATCH(MID($SQ$3,TA87,TD87),$DT:$DT,0),1),"")</f>
        <v/>
      </c>
      <c r="TG87" s="754"/>
      <c r="TK87" s="1004"/>
      <c r="TL87" s="1004"/>
      <c r="TM87" s="1036"/>
      <c r="TN87" s="1036"/>
      <c r="TO87" s="1036"/>
      <c r="TP87" s="1036"/>
      <c r="TQ87" s="1035"/>
      <c r="TR87" s="1004"/>
      <c r="TS87" s="754"/>
      <c r="TW87" s="1463">
        <v>13</v>
      </c>
      <c r="TX87" s="824" t="s">
        <v>8433</v>
      </c>
      <c r="TY87" s="838" t="e">
        <f>SEARCH(TT$4,$SQ$4,UA80)+LEN(TT$4)</f>
        <v>#VALUE!</v>
      </c>
      <c r="TZ87" s="406" t="str">
        <f>IF(UA87=IFERROR(SEARCH(".",$SQ$4,TY87),99999),".",
IF(UA87=IFERROR(SEARCH(",",$SQ$4,TY87),99999),",",
IF(UA87=IFERROR(SEARCH(" за период",$SQ$4,TY87),999999)," за период",
IF(UA87=IFERROR(SEARCH(" в размере",$SQ$4,TY87),99999)," в размере",
))))</f>
        <v>.</v>
      </c>
      <c r="UA87" s="406">
        <f>IFERROR(MIN(IFERROR(SEARCH(".",$SQ$4,TY87),99999),IFERROR(SEARCH(",",$SQ$4,TY87),99999),IFERROR(SEARCH(" за период",$SQ$4,TY87),999999),IFERROR(SEARCH(" в размере",$SQ$4,TY87),99999)),"ОШИБКА")</f>
        <v>99999</v>
      </c>
      <c r="UB87" s="406" t="e">
        <f>UA87-TY87</f>
        <v>#VALUE!</v>
      </c>
      <c r="UC87" s="824" t="e">
        <f>MID($SQ$4,TY87,UB87)</f>
        <v>#VALUE!</v>
      </c>
      <c r="UD87" s="825" t="str">
        <f>IFERROR(INDEX($DU:$DU,MATCH(MID($SQ$4,TY87,UB87),$DT:$DT,0),1),"")</f>
        <v/>
      </c>
      <c r="UE87" s="754"/>
      <c r="UI87" s="1004"/>
      <c r="UJ87" s="1004"/>
      <c r="UK87" s="1036"/>
      <c r="UL87" s="1036"/>
      <c r="UM87" s="1036"/>
      <c r="UN87" s="1036"/>
      <c r="UO87" s="1035"/>
      <c r="UP87" s="1004"/>
      <c r="UQ87" s="754"/>
      <c r="UU87" s="1463">
        <v>13</v>
      </c>
      <c r="UV87" s="824" t="s">
        <v>8433</v>
      </c>
      <c r="UW87" s="838" t="e">
        <f>SEARCH(UR$4,$SQ$5,UY80)+LEN(UR$4)</f>
        <v>#VALUE!</v>
      </c>
      <c r="UX87" s="406" t="str">
        <f>IF(UY87=IFERROR(SEARCH(".",$SQ$5,UW87),99999),".",
IF(UY87=IFERROR(SEARCH(",",$SQ$5,UW87),99999),",",
IF(UY87=IFERROR(SEARCH(" за период",$SQ$5,UW87),999999)," за период",
IF(UY87=IFERROR(SEARCH(" в размере",$SQ$5,UW87),99999)," в размере",
))))</f>
        <v>.</v>
      </c>
      <c r="UY87" s="406">
        <f>IFERROR(MIN(IFERROR(SEARCH(".",$SQ$5,UW87),99999),IFERROR(SEARCH(",",$SQ$5,UW87),99999),IFERROR(SEARCH(" за период",$SQ$5,UW87),999999),IFERROR(SEARCH(" в размере",$SQ$5,UW87),99999)),"ОШИБКА")</f>
        <v>99999</v>
      </c>
      <c r="UZ87" s="406" t="e">
        <f>UY87-UW87</f>
        <v>#VALUE!</v>
      </c>
      <c r="VA87" s="824" t="e">
        <f>MID($SQ$5,UW87,UZ87)</f>
        <v>#VALUE!</v>
      </c>
      <c r="VB87" s="825" t="str">
        <f>IFERROR(INDEX($DU:$DU,MATCH(MID($SQ$5,UW87,UZ87),$DT:$DT,0),1),"")</f>
        <v/>
      </c>
      <c r="VC87" s="754"/>
      <c r="VG87" s="1004"/>
      <c r="VH87" s="1004"/>
      <c r="VI87" s="1036"/>
      <c r="VJ87" s="1036"/>
      <c r="VK87" s="1036"/>
      <c r="VL87" s="1036"/>
      <c r="VM87" s="1035"/>
      <c r="VN87" s="1004"/>
      <c r="VO87" s="754"/>
      <c r="VS87" s="1463">
        <v>13</v>
      </c>
      <c r="VT87" s="824" t="s">
        <v>8433</v>
      </c>
      <c r="VU87" s="838" t="e">
        <f>SEARCH(VP$4,$SQ$6,VW80)+LEN(VP$4)</f>
        <v>#VALUE!</v>
      </c>
      <c r="VV87" s="406" t="str">
        <f>IF(VW87=IFERROR(SEARCH(".",$SQ$6,VU87),99999),".",
IF(VW87=IFERROR(SEARCH(",",$SQ$6,VU87),99999),",",
IF(VW87=IFERROR(SEARCH(" за период",$SQ$6,VU87),999999)," за период",
IF(VW87=IFERROR(SEARCH(" в размере",$SQ$6,VU87),99999)," в размере",
))))</f>
        <v>.</v>
      </c>
      <c r="VW87" s="406">
        <f>IFERROR(MIN(IFERROR(SEARCH(".",$SQ$6,VU87),99999),IFERROR(SEARCH(",",$SQ$6,VU87),99999),IFERROR(SEARCH(" за период",$SQ$6,VU87),999999),IFERROR(SEARCH(" в размере",$SQ$6,VU87),99999)),"ОШИБКА")</f>
        <v>99999</v>
      </c>
      <c r="VX87" s="406" t="e">
        <f>VW87-VU87</f>
        <v>#VALUE!</v>
      </c>
      <c r="VY87" s="824" t="e">
        <f>MID($SQ$6,VU87,VX87)</f>
        <v>#VALUE!</v>
      </c>
      <c r="VZ87" s="825" t="str">
        <f>IFERROR(INDEX($DU:$DU,MATCH(MID($SQ$6,VU87,VX87),$DT:$DT,0),1),"")</f>
        <v/>
      </c>
      <c r="WA87" s="754"/>
      <c r="WE87" s="1004"/>
      <c r="WF87" s="1004"/>
      <c r="WG87" s="1036"/>
      <c r="WH87" s="1036"/>
      <c r="WI87" s="1036"/>
      <c r="WJ87" s="1036"/>
      <c r="WK87" s="1035"/>
      <c r="WL87" s="1004"/>
      <c r="WM87" s="754"/>
      <c r="WQ87" s="1463">
        <v>13</v>
      </c>
      <c r="WR87" s="824" t="s">
        <v>8433</v>
      </c>
      <c r="WS87" s="838" t="e">
        <f>SEARCH(WN$4,$SQ$7,WU80)+LEN(WN$4)</f>
        <v>#VALUE!</v>
      </c>
      <c r="WT87" s="406" t="str">
        <f>IF(WU87=IFERROR(SEARCH(".",$SQ$7,WS87),99999),".",
IF(WU87=IFERROR(SEARCH(",",$SQ$7,WS87),99999),",",
IF(WU87=IFERROR(SEARCH(" за период",$SQ$7,WS87),999999)," за период",
IF(WU87=IFERROR(SEARCH(" в размере",$SQ$7,WS87),99999)," в размере",
))))</f>
        <v>.</v>
      </c>
      <c r="WU87" s="406">
        <f>IFERROR(MIN(IFERROR(SEARCH(".",$SQ$7,WS87),99999),IFERROR(SEARCH(",",$SQ$7,WS87),99999),IFERROR(SEARCH(" за период",$SQ$7,WS87),999999),IFERROR(SEARCH(" в размере",$SQ$7,WS87),99999)),"ОШИБКА")</f>
        <v>99999</v>
      </c>
      <c r="WV87" s="406" t="e">
        <f>WU87-WS87</f>
        <v>#VALUE!</v>
      </c>
      <c r="WW87" s="824" t="e">
        <f>MID($SQ$7,WS87,WV87)</f>
        <v>#VALUE!</v>
      </c>
      <c r="WX87" s="825" t="str">
        <f>IFERROR(INDEX($DU:$DU,MATCH(MID($SQ$7,WS87,WV87),$DT:$DT,0),1),"")</f>
        <v/>
      </c>
      <c r="WY87" s="754"/>
      <c r="XC87" s="1004"/>
      <c r="XD87" s="1004"/>
      <c r="XE87" s="1036"/>
      <c r="XF87" s="1036"/>
      <c r="XG87" s="1036"/>
      <c r="XH87" s="1036"/>
      <c r="XI87" s="1035"/>
      <c r="XJ87" s="1004"/>
      <c r="XK87" s="754"/>
      <c r="YG87" s="1463">
        <v>13</v>
      </c>
      <c r="YH87" s="824" t="s">
        <v>8433</v>
      </c>
      <c r="YI87" s="838" t="e">
        <f>SEARCH(YD$4,$XU$3,YK80)+LEN(YD$4)</f>
        <v>#VALUE!</v>
      </c>
      <c r="YJ87" s="406" t="str">
        <f>IF(YK87=IFERROR(SEARCH(".",$XU$3,YI87),99999),".",
IF(YK87=IFERROR(SEARCH(",",$XU$3,YI87),99999),",",
IF(YK87=IFERROR(SEARCH(" за период",$XU$3,YI87),999999)," за период",
IF(YK87=IFERROR(SEARCH(" в размере",$XU$3,YI87),99999)," в размере",
))))</f>
        <v>.</v>
      </c>
      <c r="YK87" s="406">
        <f>IFERROR(MIN(IFERROR(SEARCH(".",$XU$3,YI87),99999),IFERROR(SEARCH(",",$XU$3,YI87),99999),IFERROR(SEARCH(" за период",$XU$3,YI87),999999),IFERROR(SEARCH(" в размере",$XU$3,YI87),99999)),"ОШИБКА")</f>
        <v>99999</v>
      </c>
      <c r="YL87" s="406" t="e">
        <f>YK87-YI87</f>
        <v>#VALUE!</v>
      </c>
      <c r="YM87" s="824" t="e">
        <f>MID($XU$3,YI87,YL87)</f>
        <v>#VALUE!</v>
      </c>
      <c r="YN87" s="825" t="str">
        <f>IFERROR(INDEX($DU:$DU,MATCH(MID($XU$3,YI87,YL87),$DT:$DT,0),1),"")</f>
        <v/>
      </c>
      <c r="YO87" s="754"/>
      <c r="YS87" s="1463">
        <v>13</v>
      </c>
      <c r="YT87" s="824" t="s">
        <v>8433</v>
      </c>
      <c r="YU87" s="838" t="e">
        <f>SEARCH(YP$4,$XU$4,YW80)+LEN(YP$4)</f>
        <v>#VALUE!</v>
      </c>
      <c r="YV87" s="406" t="str">
        <f>IF(YW87=IFERROR(SEARCH(".",$XU$4,YU87),99999),".",
IF(YW87=IFERROR(SEARCH(",",$XU$4,YU87),99999),",",
IF(YW87=IFERROR(SEARCH(" за период",$XU$4,YU87),999999)," за период",
IF(YW87=IFERROR(SEARCH(" в размере",$XU$4,YU87),99999)," в размере",
))))</f>
        <v>.</v>
      </c>
      <c r="YW87" s="406">
        <f>IFERROR(MIN(IFERROR(SEARCH(".",$XU$4,YU87),99999),IFERROR(SEARCH(",",$XU$4,YU87),99999),IFERROR(SEARCH(" за период",$XU$4,YU87),999999),IFERROR(SEARCH(" в размере",$XU$4,YU87),99999)),"ОШИБКА")</f>
        <v>99999</v>
      </c>
      <c r="YX87" s="406" t="e">
        <f>YW87-YU87</f>
        <v>#VALUE!</v>
      </c>
      <c r="YY87" s="824" t="e">
        <f>MID($XU$4,YU87,YX87)</f>
        <v>#VALUE!</v>
      </c>
      <c r="YZ87" s="825" t="str">
        <f>IFERROR(INDEX(EE:EE,MATCH(MID($XU$4,YU87,YX87),ED:ED,0),1),"")</f>
        <v/>
      </c>
      <c r="ZA87" s="754"/>
      <c r="ZE87" s="1463">
        <v>13</v>
      </c>
      <c r="ZF87" s="824" t="s">
        <v>8433</v>
      </c>
      <c r="ZG87" s="838" t="e">
        <f>SEARCH(ZB$4,$XU$5,ZI80)+LEN(ZB$4)</f>
        <v>#VALUE!</v>
      </c>
      <c r="ZH87" s="406" t="str">
        <f>IF(ZI87=IFERROR(SEARCH(".",$XU$5,ZG87),99999),".",
IF(ZI87=IFERROR(SEARCH(",",$XU$5,ZG87),99999),",",
IF(ZI87=IFERROR(SEARCH(" за период",$XU$5,ZG87),999999)," за период",
IF(ZI87=IFERROR(SEARCH(" в размере",$XU$5,ZG87),99999)," в размере",
))))</f>
        <v>.</v>
      </c>
      <c r="ZI87" s="406">
        <f>IFERROR(MIN(IFERROR(SEARCH(".",$XU$5,ZG87),99999),IFERROR(SEARCH(",",$XU$5,ZG87),99999),IFERROR(SEARCH(" за период",$XU$5,ZG87),999999),IFERROR(SEARCH(" в размере",$XU$5,ZG87),99999)),"ОШИБКА")</f>
        <v>99999</v>
      </c>
      <c r="ZJ87" s="406" t="e">
        <f>ZI87-ZG87</f>
        <v>#VALUE!</v>
      </c>
      <c r="ZK87" s="824" t="e">
        <f>MID($XU$5,ZG87,ZJ87)</f>
        <v>#VALUE!</v>
      </c>
      <c r="ZL87" s="825" t="str">
        <f>IFERROR(INDEX($DU:$DU,MATCH(MID($XU$5,ZG87,ZJ87),$DT:$DT,0),1),"")</f>
        <v/>
      </c>
      <c r="ZM87" s="754"/>
      <c r="ZQ87" s="1463">
        <v>13</v>
      </c>
      <c r="ZR87" s="824" t="s">
        <v>8433</v>
      </c>
      <c r="ZS87" s="838" t="e">
        <f>SEARCH(ZN$4,$XU$6,ZU80)+LEN(ZN$4)</f>
        <v>#VALUE!</v>
      </c>
      <c r="ZT87" s="406" t="str">
        <f>IF(ZU87=IFERROR(SEARCH(".",$XU$6,ZS87),99999),".",
IF(ZU87=IFERROR(SEARCH(",",$XU$6,ZS87),99999),",",
IF(ZU87=IFERROR(SEARCH(" за период",$XU$6,ZS87),999999)," за период",
IF(ZU87=IFERROR(SEARCH(" в размере",$XU$6,ZS87),99999)," в размере",
))))</f>
        <v>.</v>
      </c>
      <c r="ZU87" s="406">
        <f>IFERROR(MIN(IFERROR(SEARCH(".",$XU$6,ZS87),99999),IFERROR(SEARCH(",",$XU$6,ZS87),99999),IFERROR(SEARCH(" за период",$XU$6,ZS87),999999),IFERROR(SEARCH(" в размере",$XU$6,ZS87),99999)),"ОШИБКА")</f>
        <v>99999</v>
      </c>
      <c r="ZV87" s="406" t="e">
        <f>ZU87-ZS87</f>
        <v>#VALUE!</v>
      </c>
      <c r="ZW87" s="824" t="e">
        <f>MID($XU$6,ZS87,ZV87)</f>
        <v>#VALUE!</v>
      </c>
      <c r="ZX87" s="825" t="str">
        <f>IFERROR(INDEX($DU:$DU,MATCH(MID($XU$6,ZS87,ZV87),$DT:$DT,0),1),"")</f>
        <v/>
      </c>
      <c r="ZY87" s="754"/>
      <c r="AAC87" s="1463">
        <v>13</v>
      </c>
      <c r="AAD87" s="824" t="s">
        <v>8433</v>
      </c>
      <c r="AAE87" s="838" t="e">
        <f>SEARCH(ZZ$4,$XU$7,AAG80)+LEN(ZZ$4)</f>
        <v>#VALUE!</v>
      </c>
      <c r="AAF87" s="406" t="str">
        <f>IF(AAG87=IFERROR(SEARCH(".",$XU$7,AAE87),99999),".",
IF(AAG87=IFERROR(SEARCH(",",$XU$7,AAE87),99999),",",
IF(AAG87=IFERROR(SEARCH(" за период",$XU$7,AAE87),999999)," за период",
IF(AAG87=IFERROR(SEARCH(" в размере",$XU$7,AAE87),99999)," в размере",
))))</f>
        <v>.</v>
      </c>
      <c r="AAG87" s="406">
        <f>IFERROR(MIN(IFERROR(SEARCH(".",$XU$7,AAE87),99999),IFERROR(SEARCH(",",$XU$7,AAE87),99999),IFERROR(SEARCH(" за период",$XU$7,AAE87),999999),IFERROR(SEARCH(" в размере",$XU$7,AAE87),99999)),"ОШИБКА")</f>
        <v>99999</v>
      </c>
      <c r="AAH87" s="406" t="e">
        <f>AAG87-AAE87</f>
        <v>#VALUE!</v>
      </c>
      <c r="AAI87" s="824" t="e">
        <f>MID($XU$7,AAE87,AAH87)</f>
        <v>#VALUE!</v>
      </c>
      <c r="AAJ87" s="825" t="str">
        <f>IFERROR(INDEX($DU:$DU,MATCH(MID($XU$7,AAE87,AAH87),$DT:$DT,0),1),"")</f>
        <v/>
      </c>
      <c r="AAK87" s="754"/>
      <c r="AAL87" s="754"/>
      <c r="AAM87" s="754"/>
      <c r="AFE87" s="1463">
        <v>13</v>
      </c>
      <c r="AFF87" s="824" t="s">
        <v>8433</v>
      </c>
      <c r="AFG87" s="838" t="e">
        <f>SEARCH(AFB$4,AFD$4,AFI80)+LEN(AFB$4)</f>
        <v>#VALUE!</v>
      </c>
      <c r="AFH87" s="406" t="str">
        <f>IF(AFI87=IFERROR(SEARCH(".",AFD$4,AFG87),99999),".",
IF(AFI87=IFERROR(SEARCH(",",AFD$4,AFG87),99999),",",
IF(AFI87=IFERROR(SEARCH(" за период",AFD$4,AFG87),999999)," за период",
IF(AFI87=IFERROR(SEARCH(" в размере",AFD$4,AFG87),99999)," в размере",
))))</f>
        <v>.</v>
      </c>
      <c r="AFI87" s="406">
        <f>IFERROR(MIN(IFERROR(SEARCH(".",AFD$4,AFG87),99999),IFERROR(SEARCH(",",AFD$4,AFG87),99999),IFERROR(SEARCH(" за период",AFD$4,AFG87),999999),IFERROR(SEARCH(" в размере",AFD$4,AFG87),99999)),"ОШИБКА")</f>
        <v>99999</v>
      </c>
      <c r="AFJ87" s="406" t="e">
        <f>AFI87-AFG87</f>
        <v>#VALUE!</v>
      </c>
      <c r="AFK87" s="824" t="e">
        <f>MID(AFD$4,AFG87,AFJ87)</f>
        <v>#VALUE!</v>
      </c>
      <c r="AFL87" s="825" t="str">
        <f>IFERROR(INDEX($DU:$DU,MATCH(MID(AFD$4,AFG87,AFJ87),$DT:$DT,0),1),"")</f>
        <v/>
      </c>
      <c r="AFM87" s="754"/>
      <c r="AFQ87" s="1463">
        <v>13</v>
      </c>
      <c r="AFR87" s="824" t="s">
        <v>8433</v>
      </c>
      <c r="AFS87" s="838" t="e">
        <f>SEARCH(AFN$4,AFP$4,AFU80)+LEN(AFN$4)</f>
        <v>#VALUE!</v>
      </c>
      <c r="AFT87" s="406" t="str">
        <f>IF(AFU87=IFERROR(SEARCH(".",AFP$4,AFS87),99999),".",
IF(AFU87=IFERROR(SEARCH(",",AFP$4,AFS87),99999),",",
IF(AFU87=IFERROR(SEARCH(" за период",AFP$4,AFS87),999999)," за период",
IF(AFU87=IFERROR(SEARCH(" в размере",AFP$4,AFS87),99999)," в размере",
))))</f>
        <v>.</v>
      </c>
      <c r="AFU87" s="406">
        <f>IFERROR(MIN(IFERROR(SEARCH(".",AFP$4,AFS87),99999),IFERROR(SEARCH(",",AFP$4,AFS87),99999),IFERROR(SEARCH(" за период",AFP$4,AFS87),999999),IFERROR(SEARCH(" в размере",AFP$4,AFS87),99999)),"ОШИБКА")</f>
        <v>99999</v>
      </c>
      <c r="AFV87" s="406" t="e">
        <f>AFU87-AFS87</f>
        <v>#VALUE!</v>
      </c>
      <c r="AFW87" s="824" t="e">
        <f>MID(AFP$4,AFS87,AFV87)</f>
        <v>#VALUE!</v>
      </c>
      <c r="AFX87" s="825" t="str">
        <f>IFERROR(INDEX($DU:$DU,MATCH(MID(AFP$4,AFS87,AFV87),$DT:$DT,0),1),"")</f>
        <v/>
      </c>
      <c r="AFY87" s="754"/>
      <c r="AGC87" s="1463">
        <v>13</v>
      </c>
      <c r="AGD87" s="824" t="s">
        <v>8433</v>
      </c>
      <c r="AGE87" s="838" t="e">
        <f>SEARCH(AFZ$4,AGB$4,AGG80)+LEN(AFZ$4)</f>
        <v>#VALUE!</v>
      </c>
      <c r="AGF87" s="406" t="str">
        <f>IF(AGG87=IFERROR(SEARCH(".",AGB$4,AGE87),99999),".",
IF(AGG87=IFERROR(SEARCH(",",AGB$4,AGE87),99999),",",
IF(AGG87=IFERROR(SEARCH(" за период",AGB$4,AGE87),999999)," за период",
IF(AGG87=IFERROR(SEARCH(" в размере",AGB$4,AGE87),99999)," в размере",
))))</f>
        <v>.</v>
      </c>
      <c r="AGG87" s="406">
        <f>IFERROR(MIN(IFERROR(SEARCH(".",AGB$4,AGE87),99999),IFERROR(SEARCH(",",AGB$4,AGE87),99999),IFERROR(SEARCH(" за период",AGB$4,AGE87),999999),IFERROR(SEARCH(" в размере",AGB$4,AGE87),99999)),"ОШИБКА")</f>
        <v>99999</v>
      </c>
      <c r="AGH87" s="406" t="e">
        <f>AGG87-AGE87</f>
        <v>#VALUE!</v>
      </c>
      <c r="AGI87" s="824" t="e">
        <f>MID(AGB$4,AGE87,AGH87)</f>
        <v>#VALUE!</v>
      </c>
      <c r="AGJ87" s="825" t="str">
        <f>IFERROR(INDEX($DU:$DU,MATCH(MID(AGB$4,AGE87,AGH87),$DT:$DT,0),1),"")</f>
        <v/>
      </c>
      <c r="AGK87" s="754"/>
      <c r="AGO87" s="1463">
        <v>13</v>
      </c>
      <c r="AGP87" s="824" t="s">
        <v>8433</v>
      </c>
      <c r="AGQ87" s="838" t="e">
        <f>SEARCH(AGL$4,AGN$4,AGS80)+LEN(AGL$4)</f>
        <v>#VALUE!</v>
      </c>
      <c r="AGR87" s="406" t="str">
        <f>IF(AGS87=IFERROR(SEARCH(".",AGN$4,AGQ87),99999),".",
IF(AGS87=IFERROR(SEARCH(",",AGN$4,AGQ87),99999),",",
IF(AGS87=IFERROR(SEARCH(" за период",AGN$4,AGQ87),999999)," за период",
IF(AGS87=IFERROR(SEARCH(" в размере",AGN$4,AGQ87),99999)," в размере",
))))</f>
        <v>.</v>
      </c>
      <c r="AGS87" s="406">
        <f>IFERROR(MIN(IFERROR(SEARCH(".",AGN$4,AGQ87),99999),IFERROR(SEARCH(",",AGN$4,AGQ87),99999),IFERROR(SEARCH(" за период",AGN$4,AGQ87),999999),IFERROR(SEARCH(" в размере",AGN$4,AGQ87),99999)),"ОШИБКА")</f>
        <v>99999</v>
      </c>
      <c r="AGT87" s="406" t="e">
        <f>AGS87-AGQ87</f>
        <v>#VALUE!</v>
      </c>
      <c r="AGU87" s="824" t="e">
        <f>MID(AGN$4,AGQ87,AGT87)</f>
        <v>#VALUE!</v>
      </c>
      <c r="AGV87" s="825" t="str">
        <f>IFERROR(INDEX($DU:$DU,MATCH(MID(AGN$4,AGQ87,AGT87),$DT:$DT,0),1),"")</f>
        <v/>
      </c>
      <c r="AGW87" s="754"/>
      <c r="AHA87" s="1463">
        <v>13</v>
      </c>
      <c r="AHB87" s="824" t="s">
        <v>8433</v>
      </c>
      <c r="AHC87" s="838" t="e">
        <f>SEARCH(AGX$4,AGZ$4,AHE80)+LEN(AGX$4)</f>
        <v>#VALUE!</v>
      </c>
      <c r="AHD87" s="406" t="str">
        <f>IF(AHE87=IFERROR(SEARCH(".",AGZ$4,AHC87),99999),".",
IF(AHE87=IFERROR(SEARCH(",",AGZ$4,AHC87),99999),",",
IF(AHE87=IFERROR(SEARCH(" за период",AGZ$4,AHC87),999999)," за период",
IF(AHE87=IFERROR(SEARCH(" в размере",AGZ$4,AHC87),99999)," в размере",
))))</f>
        <v>.</v>
      </c>
      <c r="AHE87" s="406">
        <f>IFERROR(MIN(IFERROR(SEARCH(".",AGZ$4,AHC87),99999),IFERROR(SEARCH(",",AGZ$4,AHC87),99999),IFERROR(SEARCH(" за период",AGZ$4,AHC87),999999),IFERROR(SEARCH(" в размере",AGZ$4,AHC87),99999)),"ОШИБКА")</f>
        <v>99999</v>
      </c>
      <c r="AHF87" s="406" t="e">
        <f>AHE87-AHC87</f>
        <v>#VALUE!</v>
      </c>
      <c r="AHG87" s="824" t="e">
        <f>MID(AGZ$4,AHC87,AHF87)</f>
        <v>#VALUE!</v>
      </c>
      <c r="AHH87" s="825" t="str">
        <f>IFERROR(INDEX($DU:$DU,MATCH(MID(AGZ$4,AHC87,AHF87),$DT:$DT,0),1),"")</f>
        <v/>
      </c>
      <c r="AHI87" s="754"/>
    </row>
    <row r="88" spans="2:893" x14ac:dyDescent="0.3">
      <c r="B88" s="116"/>
      <c r="C88" s="116"/>
      <c r="D88" s="116"/>
      <c r="E88" s="116"/>
      <c r="F88" s="116"/>
      <c r="G88" s="116"/>
      <c r="H88" s="116"/>
      <c r="I88" s="116"/>
      <c r="DT88" t="s">
        <v>9226</v>
      </c>
      <c r="DU88" s="821" t="s">
        <v>456</v>
      </c>
      <c r="DV88" s="1464"/>
      <c r="DW88" s="826" t="s">
        <v>8435</v>
      </c>
      <c r="DX88" s="836" t="str">
        <f>IF(DY87=" за период",SEARCH(" за период",$C$3,DZ87)+LEN(" за период")+3,"НЕТ")</f>
        <v>НЕТ</v>
      </c>
      <c r="DY88" s="306" t="s">
        <v>8434</v>
      </c>
      <c r="DZ88" s="306" t="e">
        <f>SEARCH(DY88,$C$3,DX88)</f>
        <v>#VALUE!</v>
      </c>
      <c r="EA88" s="306" t="e">
        <f>DZ88-DX88</f>
        <v>#VALUE!</v>
      </c>
      <c r="EB88" s="827" t="e">
        <f>DATEVALUE(MID($C$3,DX88,EA88))</f>
        <v>#VALUE!</v>
      </c>
      <c r="EC88" s="828" t="str">
        <f>IF(DY87=" за период",EB88,"")</f>
        <v/>
      </c>
      <c r="NK88" s="1464"/>
      <c r="NL88" s="826" t="s">
        <v>8435</v>
      </c>
      <c r="NM88" s="836" t="str">
        <f>IF(NN87=" за период",SEARCH(" за период",NJ$4,NO87)+LEN(" за период")+3,"НЕТ")</f>
        <v>НЕТ</v>
      </c>
      <c r="NN88" s="306" t="s">
        <v>8434</v>
      </c>
      <c r="NO88" s="306" t="e">
        <f>SEARCH(NN88,NJ$4,NM88)</f>
        <v>#VALUE!</v>
      </c>
      <c r="NP88" s="306" t="e">
        <f>NO88-NM88</f>
        <v>#VALUE!</v>
      </c>
      <c r="NQ88" s="827" t="e">
        <f>DATEVALUE(MID(NJ$4,NM88,NP88))</f>
        <v>#VALUE!</v>
      </c>
      <c r="NR88" s="828" t="str">
        <f>IF(NN87=" за период",NQ88,"")</f>
        <v/>
      </c>
      <c r="SY88" s="1464"/>
      <c r="SZ88" s="826" t="s">
        <v>8435</v>
      </c>
      <c r="TA88" s="836" t="str">
        <f>IF(TB87=" за период",SEARCH(" за период",$SQ$3,TC87)+LEN(" за период")+3,"НЕТ")</f>
        <v>НЕТ</v>
      </c>
      <c r="TB88" s="306" t="s">
        <v>8434</v>
      </c>
      <c r="TC88" s="306" t="e">
        <f>SEARCH(TB88,$SQ$3,TA88)</f>
        <v>#VALUE!</v>
      </c>
      <c r="TD88" s="306" t="e">
        <f>TC88-TA88</f>
        <v>#VALUE!</v>
      </c>
      <c r="TE88" s="827" t="e">
        <f>DATEVALUE(MID($SQ$3,TA88,TD88))</f>
        <v>#VALUE!</v>
      </c>
      <c r="TF88" s="828" t="str">
        <f>IF(TB87=" за период",TE88,"")</f>
        <v/>
      </c>
      <c r="TK88" s="1004"/>
      <c r="TL88" s="1036"/>
      <c r="TM88" s="1036"/>
      <c r="TN88" s="1036"/>
      <c r="TO88" s="1036"/>
      <c r="TP88" s="1036"/>
      <c r="TQ88" s="1035"/>
      <c r="TR88" s="1004"/>
      <c r="TW88" s="1464"/>
      <c r="TX88" s="826" t="s">
        <v>8435</v>
      </c>
      <c r="TY88" s="836" t="str">
        <f>IF(TZ87=" за период",SEARCH(" за период",$SQ$4,UA87)+LEN(" за период")+3,"НЕТ")</f>
        <v>НЕТ</v>
      </c>
      <c r="TZ88" s="306" t="s">
        <v>8434</v>
      </c>
      <c r="UA88" s="306" t="e">
        <f>SEARCH(TZ88,$SQ$4,TY88)</f>
        <v>#VALUE!</v>
      </c>
      <c r="UB88" s="306" t="e">
        <f>UA88-TY88</f>
        <v>#VALUE!</v>
      </c>
      <c r="UC88" s="827" t="e">
        <f>DATEVALUE(MID($SQ$4,TY88,UB88))</f>
        <v>#VALUE!</v>
      </c>
      <c r="UD88" s="828" t="str">
        <f>IF(TZ87=" за период",UC88,"")</f>
        <v/>
      </c>
      <c r="UI88" s="1004"/>
      <c r="UJ88" s="1036"/>
      <c r="UK88" s="1036"/>
      <c r="UL88" s="1036"/>
      <c r="UM88" s="1036"/>
      <c r="UN88" s="1036"/>
      <c r="UO88" s="1035"/>
      <c r="UP88" s="1004"/>
      <c r="UU88" s="1464"/>
      <c r="UV88" s="826" t="s">
        <v>8435</v>
      </c>
      <c r="UW88" s="836" t="str">
        <f>IF(UX87=" за период",SEARCH(" за период",$SQ$5,UY87)+LEN(" за период")+3,"НЕТ")</f>
        <v>НЕТ</v>
      </c>
      <c r="UX88" s="306" t="s">
        <v>8434</v>
      </c>
      <c r="UY88" s="306" t="e">
        <f>SEARCH(UX88,$SQ$5,UW88)</f>
        <v>#VALUE!</v>
      </c>
      <c r="UZ88" s="306" t="e">
        <f>UY88-UW88</f>
        <v>#VALUE!</v>
      </c>
      <c r="VA88" s="827" t="e">
        <f>DATEVALUE(MID($SQ$5,UW88,UZ88))</f>
        <v>#VALUE!</v>
      </c>
      <c r="VB88" s="828" t="str">
        <f>IF(UX87=" за период",VA88,"")</f>
        <v/>
      </c>
      <c r="VG88" s="1004"/>
      <c r="VH88" s="1036"/>
      <c r="VI88" s="1036"/>
      <c r="VJ88" s="1036"/>
      <c r="VK88" s="1036"/>
      <c r="VL88" s="1036"/>
      <c r="VM88" s="1035"/>
      <c r="VN88" s="1004"/>
      <c r="VS88" s="1464"/>
      <c r="VT88" s="826" t="s">
        <v>8435</v>
      </c>
      <c r="VU88" s="836" t="str">
        <f>IF(VV87=" за период",SEARCH(" за период",$SQ$6,VW87)+LEN(" за период")+3,"НЕТ")</f>
        <v>НЕТ</v>
      </c>
      <c r="VV88" s="306" t="s">
        <v>8434</v>
      </c>
      <c r="VW88" s="306" t="e">
        <f>SEARCH(VV88,$SQ$6,VU88)</f>
        <v>#VALUE!</v>
      </c>
      <c r="VX88" s="306" t="e">
        <f>VW88-VU88</f>
        <v>#VALUE!</v>
      </c>
      <c r="VY88" s="827" t="e">
        <f>DATEVALUE(MID($SQ$6,VU88,VX88))</f>
        <v>#VALUE!</v>
      </c>
      <c r="VZ88" s="828" t="str">
        <f>IF(VV87=" за период",VY88,"")</f>
        <v/>
      </c>
      <c r="WE88" s="1004"/>
      <c r="WF88" s="1036"/>
      <c r="WG88" s="1036"/>
      <c r="WH88" s="1036"/>
      <c r="WI88" s="1036"/>
      <c r="WJ88" s="1036"/>
      <c r="WK88" s="1035"/>
      <c r="WL88" s="1004"/>
      <c r="WQ88" s="1464"/>
      <c r="WR88" s="826" t="s">
        <v>8435</v>
      </c>
      <c r="WS88" s="836" t="str">
        <f>IF(WT87=" за период",SEARCH(" за период",$SQ$7,WU87)+LEN(" за период")+3,"НЕТ")</f>
        <v>НЕТ</v>
      </c>
      <c r="WT88" s="306" t="s">
        <v>8434</v>
      </c>
      <c r="WU88" s="306" t="e">
        <f>SEARCH(WT88,$SQ$7,WS88)</f>
        <v>#VALUE!</v>
      </c>
      <c r="WV88" s="306" t="e">
        <f>WU88-WS88</f>
        <v>#VALUE!</v>
      </c>
      <c r="WW88" s="827" t="e">
        <f>DATEVALUE(MID($SQ$7,WS88,WV88))</f>
        <v>#VALUE!</v>
      </c>
      <c r="WX88" s="828" t="str">
        <f>IF(WT87=" за период",WW88,"")</f>
        <v/>
      </c>
      <c r="XC88" s="1004"/>
      <c r="XD88" s="1036"/>
      <c r="XE88" s="1036"/>
      <c r="XF88" s="1036"/>
      <c r="XG88" s="1036"/>
      <c r="XH88" s="1036"/>
      <c r="XI88" s="1035"/>
      <c r="XJ88" s="1004"/>
      <c r="YG88" s="1464"/>
      <c r="YH88" s="826" t="s">
        <v>8435</v>
      </c>
      <c r="YI88" s="836" t="str">
        <f>IF(YJ87=" за период",SEARCH(" за период",$XU$3,YK87)+LEN(" за период")+3,"НЕТ")</f>
        <v>НЕТ</v>
      </c>
      <c r="YJ88" s="306" t="s">
        <v>8434</v>
      </c>
      <c r="YK88" s="306" t="e">
        <f>SEARCH(YJ88,$XU$3,YI88)</f>
        <v>#VALUE!</v>
      </c>
      <c r="YL88" s="306" t="e">
        <f>YK88-YI88</f>
        <v>#VALUE!</v>
      </c>
      <c r="YM88" s="827" t="e">
        <f>DATEVALUE(MID($XU$3,YI88,YL88))</f>
        <v>#VALUE!</v>
      </c>
      <c r="YN88" s="828" t="str">
        <f>IF(YJ87=" за период",YM88,"")</f>
        <v/>
      </c>
      <c r="YS88" s="1464"/>
      <c r="YT88" s="826" t="s">
        <v>8435</v>
      </c>
      <c r="YU88" s="836" t="str">
        <f>IF(YV87=" за период",SEARCH(" за период",$XU$4,YW87)+LEN(" за период")+3,"НЕТ")</f>
        <v>НЕТ</v>
      </c>
      <c r="YV88" s="306" t="s">
        <v>8434</v>
      </c>
      <c r="YW88" s="306" t="e">
        <f>SEARCH(YV88,$XU$4,YU88)</f>
        <v>#VALUE!</v>
      </c>
      <c r="YX88" s="306" t="e">
        <f>YW88-YU88</f>
        <v>#VALUE!</v>
      </c>
      <c r="YY88" s="827" t="e">
        <f>DATEVALUE(MID($XU$4,YU88,YX88))</f>
        <v>#VALUE!</v>
      </c>
      <c r="YZ88" s="828" t="str">
        <f>IF(YV87=" за период",YY88,"")</f>
        <v/>
      </c>
      <c r="ZE88" s="1464"/>
      <c r="ZF88" s="826" t="s">
        <v>8435</v>
      </c>
      <c r="ZG88" s="836" t="str">
        <f>IF(ZH87=" за период",SEARCH(" за период",$XU$5,ZI87)+LEN(" за период")+3,"НЕТ")</f>
        <v>НЕТ</v>
      </c>
      <c r="ZH88" s="306" t="s">
        <v>8434</v>
      </c>
      <c r="ZI88" s="306" t="e">
        <f>SEARCH(ZH88,$XU$5,ZG88)</f>
        <v>#VALUE!</v>
      </c>
      <c r="ZJ88" s="306" t="e">
        <f>ZI88-ZG88</f>
        <v>#VALUE!</v>
      </c>
      <c r="ZK88" s="827" t="e">
        <f>DATEVALUE(MID($XU$5,ZG88,ZJ88))</f>
        <v>#VALUE!</v>
      </c>
      <c r="ZL88" s="828" t="str">
        <f>IF(ZH87=" за период",ZK88,"")</f>
        <v/>
      </c>
      <c r="ZQ88" s="1464"/>
      <c r="ZR88" s="826" t="s">
        <v>8435</v>
      </c>
      <c r="ZS88" s="836" t="str">
        <f>IF(ZT87=" за период",SEARCH(" за период",$XU$6,ZU87)+LEN(" за период")+3,"НЕТ")</f>
        <v>НЕТ</v>
      </c>
      <c r="ZT88" s="306" t="s">
        <v>8434</v>
      </c>
      <c r="ZU88" s="306" t="e">
        <f>SEARCH(ZT88,$XU$6,ZS88)</f>
        <v>#VALUE!</v>
      </c>
      <c r="ZV88" s="306" t="e">
        <f>ZU88-ZS88</f>
        <v>#VALUE!</v>
      </c>
      <c r="ZW88" s="827" t="e">
        <f>DATEVALUE(MID($XU$6,ZS88,ZV88))</f>
        <v>#VALUE!</v>
      </c>
      <c r="ZX88" s="828" t="str">
        <f>IF(ZT87=" за период",ZW88,"")</f>
        <v/>
      </c>
      <c r="AAC88" s="1464"/>
      <c r="AAD88" s="826" t="s">
        <v>8435</v>
      </c>
      <c r="AAE88" s="836" t="str">
        <f>IF(AAF87=" за период",SEARCH(" за период",$XU$7,AAG87)+LEN(" за период")+3,"НЕТ")</f>
        <v>НЕТ</v>
      </c>
      <c r="AAF88" s="306" t="s">
        <v>8434</v>
      </c>
      <c r="AAG88" s="306" t="e">
        <f>SEARCH(AAF88,$XU$7,AAE88)</f>
        <v>#VALUE!</v>
      </c>
      <c r="AAH88" s="306" t="e">
        <f>AAG88-AAE88</f>
        <v>#VALUE!</v>
      </c>
      <c r="AAI88" s="827" t="e">
        <f>DATEVALUE(MID($XU$7,AAE88,AAH88))</f>
        <v>#VALUE!</v>
      </c>
      <c r="AAJ88" s="828" t="str">
        <f>IF(AAF87=" за период",AAI88,"")</f>
        <v/>
      </c>
      <c r="AFE88" s="1464"/>
      <c r="AFF88" s="826" t="s">
        <v>8435</v>
      </c>
      <c r="AFG88" s="836" t="str">
        <f>IF(AFH87=" за период",SEARCH(" за период",AFD$4,AFI87)+LEN(" за период")+3,"НЕТ")</f>
        <v>НЕТ</v>
      </c>
      <c r="AFH88" s="306" t="s">
        <v>8434</v>
      </c>
      <c r="AFI88" s="306" t="e">
        <f>SEARCH(AFH88,AFD$4,AFG88)</f>
        <v>#VALUE!</v>
      </c>
      <c r="AFJ88" s="306" t="e">
        <f>AFI88-AFG88</f>
        <v>#VALUE!</v>
      </c>
      <c r="AFK88" s="827" t="e">
        <f>DATEVALUE(MID(AFD$4,AFG88,AFJ88))</f>
        <v>#VALUE!</v>
      </c>
      <c r="AFL88" s="828" t="str">
        <f>IF(AFH87=" за период",AFK88,"")</f>
        <v/>
      </c>
      <c r="AFQ88" s="1464"/>
      <c r="AFR88" s="826" t="s">
        <v>8435</v>
      </c>
      <c r="AFS88" s="836" t="str">
        <f>IF(AFT87=" за период",SEARCH(" за период",AFP$4,AFU87)+LEN(" за период")+3,"НЕТ")</f>
        <v>НЕТ</v>
      </c>
      <c r="AFT88" s="306" t="s">
        <v>8434</v>
      </c>
      <c r="AFU88" s="306" t="e">
        <f>SEARCH(AFT88,AFP$4,AFS88)</f>
        <v>#VALUE!</v>
      </c>
      <c r="AFV88" s="306" t="e">
        <f>AFU88-AFS88</f>
        <v>#VALUE!</v>
      </c>
      <c r="AFW88" s="827" t="e">
        <f>DATEVALUE(MID(AFP$4,AFS88,AFV88))</f>
        <v>#VALUE!</v>
      </c>
      <c r="AFX88" s="828" t="str">
        <f>IF(AFT87=" за период",AFW88,"")</f>
        <v/>
      </c>
      <c r="AGC88" s="1464"/>
      <c r="AGD88" s="826" t="s">
        <v>8435</v>
      </c>
      <c r="AGE88" s="836" t="str">
        <f>IF(AGF87=" за период",SEARCH(" за период",AGB$4,AGG87)+LEN(" за период")+3,"НЕТ")</f>
        <v>НЕТ</v>
      </c>
      <c r="AGF88" s="306" t="s">
        <v>8434</v>
      </c>
      <c r="AGG88" s="306" t="e">
        <f>SEARCH(AGF88,AGB$4,AGE88)</f>
        <v>#VALUE!</v>
      </c>
      <c r="AGH88" s="306" t="e">
        <f>AGG88-AGE88</f>
        <v>#VALUE!</v>
      </c>
      <c r="AGI88" s="827" t="e">
        <f>DATEVALUE(MID(AGB$4,AGE88,AGH88))</f>
        <v>#VALUE!</v>
      </c>
      <c r="AGJ88" s="828" t="str">
        <f>IF(AGF87=" за период",AGI88,"")</f>
        <v/>
      </c>
      <c r="AGO88" s="1464"/>
      <c r="AGP88" s="826" t="s">
        <v>8435</v>
      </c>
      <c r="AGQ88" s="836" t="str">
        <f>IF(AGR87=" за период",SEARCH(" за период",AGN$4,AGS87)+LEN(" за период")+3,"НЕТ")</f>
        <v>НЕТ</v>
      </c>
      <c r="AGR88" s="306" t="s">
        <v>8434</v>
      </c>
      <c r="AGS88" s="306" t="e">
        <f>SEARCH(AGR88,AGN$4,AGQ88)</f>
        <v>#VALUE!</v>
      </c>
      <c r="AGT88" s="306" t="e">
        <f>AGS88-AGQ88</f>
        <v>#VALUE!</v>
      </c>
      <c r="AGU88" s="827" t="e">
        <f>DATEVALUE(MID(AGN$4,AGQ88,AGT88))</f>
        <v>#VALUE!</v>
      </c>
      <c r="AGV88" s="828" t="str">
        <f>IF(AGR87=" за период",AGU88,"")</f>
        <v/>
      </c>
      <c r="AHA88" s="1464"/>
      <c r="AHB88" s="826" t="s">
        <v>8435</v>
      </c>
      <c r="AHC88" s="836" t="str">
        <f>IF(AHD87=" за период",SEARCH(" за период",AGZ$4,AHE87)+LEN(" за период")+3,"НЕТ")</f>
        <v>НЕТ</v>
      </c>
      <c r="AHD88" s="306" t="s">
        <v>8434</v>
      </c>
      <c r="AHE88" s="306" t="e">
        <f>SEARCH(AHD88,AGZ$4,AHC88)</f>
        <v>#VALUE!</v>
      </c>
      <c r="AHF88" s="306" t="e">
        <f>AHE88-AHC88</f>
        <v>#VALUE!</v>
      </c>
      <c r="AHG88" s="827" t="e">
        <f>DATEVALUE(MID(AGZ$4,AHC88,AHF88))</f>
        <v>#VALUE!</v>
      </c>
      <c r="AHH88" s="828" t="str">
        <f>IF(AHD87=" за период",AHG88,"")</f>
        <v/>
      </c>
    </row>
    <row r="89" spans="2:893" x14ac:dyDescent="0.3">
      <c r="B89" s="116"/>
      <c r="C89" s="116"/>
      <c r="D89" s="116"/>
      <c r="E89" s="116"/>
      <c r="F89" s="116"/>
      <c r="G89" s="116"/>
      <c r="H89" s="116"/>
      <c r="I89" s="116"/>
      <c r="DT89" t="s">
        <v>9227</v>
      </c>
      <c r="DU89" s="821" t="s">
        <v>8555</v>
      </c>
      <c r="DV89" s="1464"/>
      <c r="DW89" s="826" t="s">
        <v>8436</v>
      </c>
      <c r="DX89" s="836" t="e">
        <f>SEARCH(" ",$C$3,DZ88+1)+1</f>
        <v>#VALUE!</v>
      </c>
      <c r="DY89" s="306"/>
      <c r="DZ89" s="306" t="e">
        <f>DX89+EA89</f>
        <v>#VALUE!</v>
      </c>
      <c r="EA89" s="306">
        <v>10</v>
      </c>
      <c r="EB89" s="827" t="e">
        <f>DATEVALUE(MID($C$3,DX89,EA89))</f>
        <v>#VALUE!</v>
      </c>
      <c r="EC89" s="828" t="str">
        <f>IF(DY87=" за период",EB89,"")</f>
        <v/>
      </c>
      <c r="NK89" s="1464"/>
      <c r="NL89" s="826" t="s">
        <v>8436</v>
      </c>
      <c r="NM89" s="836" t="e">
        <f>SEARCH(" ",NJ$4,NO88+1)+1</f>
        <v>#VALUE!</v>
      </c>
      <c r="NN89" s="306"/>
      <c r="NO89" s="306" t="e">
        <f>NM89+NP89</f>
        <v>#VALUE!</v>
      </c>
      <c r="NP89" s="306">
        <v>10</v>
      </c>
      <c r="NQ89" s="827" t="e">
        <f>DATEVALUE(MID(NJ$4,NM89,NP89))</f>
        <v>#VALUE!</v>
      </c>
      <c r="NR89" s="828" t="str">
        <f>IF(NN87=" за период",NQ89,"")</f>
        <v/>
      </c>
      <c r="SY89" s="1464"/>
      <c r="SZ89" s="826" t="s">
        <v>8436</v>
      </c>
      <c r="TA89" s="836" t="e">
        <f>SEARCH(" ",$SQ$3,TC88+1)+1</f>
        <v>#VALUE!</v>
      </c>
      <c r="TB89" s="306"/>
      <c r="TC89" s="306" t="e">
        <f>TA89+TD89</f>
        <v>#VALUE!</v>
      </c>
      <c r="TD89" s="306">
        <v>10</v>
      </c>
      <c r="TE89" s="827" t="e">
        <f>DATEVALUE(MID($SQ$3,TA89,TD89))</f>
        <v>#VALUE!</v>
      </c>
      <c r="TF89" s="828" t="str">
        <f>IF(TB87=" за период",TE89,"")</f>
        <v/>
      </c>
      <c r="TK89" s="1004"/>
      <c r="TL89" s="1036"/>
      <c r="TM89" s="1036"/>
      <c r="TN89" s="1036"/>
      <c r="TO89" s="1036"/>
      <c r="TP89" s="1036"/>
      <c r="TQ89" s="1038"/>
      <c r="TR89" s="1039"/>
      <c r="TW89" s="1464"/>
      <c r="TX89" s="826" t="s">
        <v>8436</v>
      </c>
      <c r="TY89" s="836" t="e">
        <f>SEARCH(" ",$SQ$4,UA88+1)+1</f>
        <v>#VALUE!</v>
      </c>
      <c r="TZ89" s="306"/>
      <c r="UA89" s="306" t="e">
        <f>TY89+UB89</f>
        <v>#VALUE!</v>
      </c>
      <c r="UB89" s="306">
        <v>10</v>
      </c>
      <c r="UC89" s="827" t="e">
        <f>DATEVALUE(MID($SQ$4,TY89,UB89))</f>
        <v>#VALUE!</v>
      </c>
      <c r="UD89" s="828" t="str">
        <f>IF(TZ87=" за период",UC89,"")</f>
        <v/>
      </c>
      <c r="UI89" s="1004"/>
      <c r="UJ89" s="1036"/>
      <c r="UK89" s="1036"/>
      <c r="UL89" s="1036"/>
      <c r="UM89" s="1036"/>
      <c r="UN89" s="1036"/>
      <c r="UO89" s="1038"/>
      <c r="UP89" s="1039"/>
      <c r="UU89" s="1464"/>
      <c r="UV89" s="826" t="s">
        <v>8436</v>
      </c>
      <c r="UW89" s="836" t="e">
        <f>SEARCH(" ",$SQ$5,UY88+1)+1</f>
        <v>#VALUE!</v>
      </c>
      <c r="UX89" s="306"/>
      <c r="UY89" s="306" t="e">
        <f>UW89+UZ89</f>
        <v>#VALUE!</v>
      </c>
      <c r="UZ89" s="306">
        <v>10</v>
      </c>
      <c r="VA89" s="827" t="e">
        <f>DATEVALUE(MID($SQ$5,UW89,UZ89))</f>
        <v>#VALUE!</v>
      </c>
      <c r="VB89" s="828" t="str">
        <f>IF(UX87=" за период",VA89,"")</f>
        <v/>
      </c>
      <c r="VG89" s="1004"/>
      <c r="VH89" s="1036"/>
      <c r="VI89" s="1036"/>
      <c r="VJ89" s="1036"/>
      <c r="VK89" s="1036"/>
      <c r="VL89" s="1036"/>
      <c r="VM89" s="1038"/>
      <c r="VN89" s="1039"/>
      <c r="VS89" s="1464"/>
      <c r="VT89" s="826" t="s">
        <v>8436</v>
      </c>
      <c r="VU89" s="836" t="e">
        <f>SEARCH(" ",$SQ$6,VW88+1)+1</f>
        <v>#VALUE!</v>
      </c>
      <c r="VV89" s="306"/>
      <c r="VW89" s="306" t="e">
        <f>VU89+VX89</f>
        <v>#VALUE!</v>
      </c>
      <c r="VX89" s="306">
        <v>10</v>
      </c>
      <c r="VY89" s="827" t="e">
        <f>DATEVALUE(MID($SQ$6,VU89,VX89))</f>
        <v>#VALUE!</v>
      </c>
      <c r="VZ89" s="828" t="str">
        <f>IF(VV87=" за период",VY89,"")</f>
        <v/>
      </c>
      <c r="WE89" s="1004"/>
      <c r="WF89" s="1036"/>
      <c r="WG89" s="1036"/>
      <c r="WH89" s="1036"/>
      <c r="WI89" s="1036"/>
      <c r="WJ89" s="1036"/>
      <c r="WK89" s="1038"/>
      <c r="WL89" s="1039"/>
      <c r="WQ89" s="1464"/>
      <c r="WR89" s="826" t="s">
        <v>8436</v>
      </c>
      <c r="WS89" s="836" t="e">
        <f>SEARCH(" ",$SQ$7,WU88+1)+1</f>
        <v>#VALUE!</v>
      </c>
      <c r="WT89" s="306"/>
      <c r="WU89" s="306" t="e">
        <f>WS89+WV89</f>
        <v>#VALUE!</v>
      </c>
      <c r="WV89" s="306">
        <v>10</v>
      </c>
      <c r="WW89" s="827" t="e">
        <f>DATEVALUE(MID($SQ$7,WS89,WV89))</f>
        <v>#VALUE!</v>
      </c>
      <c r="WX89" s="828" t="str">
        <f>IF(WT87=" за период",WW89,"")</f>
        <v/>
      </c>
      <c r="XC89" s="1004"/>
      <c r="XD89" s="1036"/>
      <c r="XE89" s="1036"/>
      <c r="XF89" s="1036"/>
      <c r="XG89" s="1036"/>
      <c r="XH89" s="1036"/>
      <c r="XI89" s="1038"/>
      <c r="XJ89" s="1039"/>
      <c r="YG89" s="1464"/>
      <c r="YH89" s="826" t="s">
        <v>8436</v>
      </c>
      <c r="YI89" s="836" t="e">
        <f>SEARCH(" ",$XU$3,YK88+1)+1</f>
        <v>#VALUE!</v>
      </c>
      <c r="YJ89" s="306"/>
      <c r="YK89" s="306" t="e">
        <f>YI89+YL89</f>
        <v>#VALUE!</v>
      </c>
      <c r="YL89" s="306">
        <v>10</v>
      </c>
      <c r="YM89" s="827" t="e">
        <f>DATEVALUE(MID($XU$3,YI89,YL89))</f>
        <v>#VALUE!</v>
      </c>
      <c r="YN89" s="828" t="str">
        <f>IF(YJ87=" за период",YM89,"")</f>
        <v/>
      </c>
      <c r="YS89" s="1464"/>
      <c r="YT89" s="826" t="s">
        <v>8436</v>
      </c>
      <c r="YU89" s="836" t="e">
        <f>SEARCH(" ",$XU$4,YW88+1)+1</f>
        <v>#VALUE!</v>
      </c>
      <c r="YV89" s="306"/>
      <c r="YW89" s="306" t="e">
        <f>YU89+YX89</f>
        <v>#VALUE!</v>
      </c>
      <c r="YX89" s="306">
        <v>10</v>
      </c>
      <c r="YY89" s="827" t="e">
        <f>DATEVALUE(MID($XU$4,YU89,YX89))</f>
        <v>#VALUE!</v>
      </c>
      <c r="YZ89" s="828" t="str">
        <f>IF(YV87=" за период",YY89,"")</f>
        <v/>
      </c>
      <c r="ZE89" s="1464"/>
      <c r="ZF89" s="826" t="s">
        <v>8436</v>
      </c>
      <c r="ZG89" s="836" t="e">
        <f>SEARCH(" ",$XU$5,ZI88+1)+1</f>
        <v>#VALUE!</v>
      </c>
      <c r="ZH89" s="306"/>
      <c r="ZI89" s="306" t="e">
        <f>ZG89+ZJ89</f>
        <v>#VALUE!</v>
      </c>
      <c r="ZJ89" s="306">
        <v>10</v>
      </c>
      <c r="ZK89" s="827" t="e">
        <f>DATEVALUE(MID($XU$5,ZG89,ZJ89))</f>
        <v>#VALUE!</v>
      </c>
      <c r="ZL89" s="828" t="str">
        <f>IF(ZH87=" за период",ZK89,"")</f>
        <v/>
      </c>
      <c r="ZQ89" s="1464"/>
      <c r="ZR89" s="826" t="s">
        <v>8436</v>
      </c>
      <c r="ZS89" s="836" t="e">
        <f>SEARCH(" ",$XU$6,ZU88+1)+1</f>
        <v>#VALUE!</v>
      </c>
      <c r="ZT89" s="306"/>
      <c r="ZU89" s="306" t="e">
        <f>ZS89+ZV89</f>
        <v>#VALUE!</v>
      </c>
      <c r="ZV89" s="306">
        <v>10</v>
      </c>
      <c r="ZW89" s="827" t="e">
        <f>DATEVALUE(MID($XU$6,ZS89,ZV89))</f>
        <v>#VALUE!</v>
      </c>
      <c r="ZX89" s="828" t="str">
        <f>IF(ZT87=" за период",ZW89,"")</f>
        <v/>
      </c>
      <c r="AAC89" s="1464"/>
      <c r="AAD89" s="826" t="s">
        <v>8436</v>
      </c>
      <c r="AAE89" s="836" t="e">
        <f>SEARCH(" ",$XU$7,AAG88+1)+1</f>
        <v>#VALUE!</v>
      </c>
      <c r="AAF89" s="306"/>
      <c r="AAG89" s="306" t="e">
        <f>AAE89+AAH89</f>
        <v>#VALUE!</v>
      </c>
      <c r="AAH89" s="306">
        <v>10</v>
      </c>
      <c r="AAI89" s="827" t="e">
        <f>DATEVALUE(MID($XU$7,AAE89,AAH89))</f>
        <v>#VALUE!</v>
      </c>
      <c r="AAJ89" s="828" t="str">
        <f>IF(AAF87=" за период",AAI89,"")</f>
        <v/>
      </c>
      <c r="AFE89" s="1464"/>
      <c r="AFF89" s="826" t="s">
        <v>8436</v>
      </c>
      <c r="AFG89" s="836" t="e">
        <f>SEARCH(" ",AFD$4,AFI88+1)+1</f>
        <v>#VALUE!</v>
      </c>
      <c r="AFH89" s="306"/>
      <c r="AFI89" s="306" t="e">
        <f>AFG89+AFJ89</f>
        <v>#VALUE!</v>
      </c>
      <c r="AFJ89" s="306">
        <v>10</v>
      </c>
      <c r="AFK89" s="827" t="e">
        <f>DATEVALUE(MID(AFD$4,AFG89,AFJ89))</f>
        <v>#VALUE!</v>
      </c>
      <c r="AFL89" s="828" t="str">
        <f>IF(AFH87=" за период",AFK89,"")</f>
        <v/>
      </c>
      <c r="AFQ89" s="1464"/>
      <c r="AFR89" s="826" t="s">
        <v>8436</v>
      </c>
      <c r="AFS89" s="836" t="e">
        <f>SEARCH(" ",AFP$4,AFU88+1)+1</f>
        <v>#VALUE!</v>
      </c>
      <c r="AFT89" s="306"/>
      <c r="AFU89" s="306" t="e">
        <f>AFS89+AFV89</f>
        <v>#VALUE!</v>
      </c>
      <c r="AFV89" s="306">
        <v>10</v>
      </c>
      <c r="AFW89" s="827" t="e">
        <f>DATEVALUE(MID(AFP$4,AFS89,AFV89))</f>
        <v>#VALUE!</v>
      </c>
      <c r="AFX89" s="828" t="str">
        <f>IF(AFT87=" за период",AFW89,"")</f>
        <v/>
      </c>
      <c r="AGC89" s="1464"/>
      <c r="AGD89" s="826" t="s">
        <v>8436</v>
      </c>
      <c r="AGE89" s="836" t="e">
        <f>SEARCH(" ",AGB$4,AGG88+1)+1</f>
        <v>#VALUE!</v>
      </c>
      <c r="AGF89" s="306"/>
      <c r="AGG89" s="306" t="e">
        <f>AGE89+AGH89</f>
        <v>#VALUE!</v>
      </c>
      <c r="AGH89" s="306">
        <v>10</v>
      </c>
      <c r="AGI89" s="827" t="e">
        <f>DATEVALUE(MID(AGB$4,AGE89,AGH89))</f>
        <v>#VALUE!</v>
      </c>
      <c r="AGJ89" s="828" t="str">
        <f>IF(AGF87=" за период",AGI89,"")</f>
        <v/>
      </c>
      <c r="AGO89" s="1464"/>
      <c r="AGP89" s="826" t="s">
        <v>8436</v>
      </c>
      <c r="AGQ89" s="836" t="e">
        <f>SEARCH(" ",AGN$4,AGS88+1)+1</f>
        <v>#VALUE!</v>
      </c>
      <c r="AGR89" s="306"/>
      <c r="AGS89" s="306" t="e">
        <f>AGQ89+AGT89</f>
        <v>#VALUE!</v>
      </c>
      <c r="AGT89" s="306">
        <v>10</v>
      </c>
      <c r="AGU89" s="827" t="e">
        <f>DATEVALUE(MID(AGN$4,AGQ89,AGT89))</f>
        <v>#VALUE!</v>
      </c>
      <c r="AGV89" s="828" t="str">
        <f>IF(AGR87=" за период",AGU89,"")</f>
        <v/>
      </c>
      <c r="AHA89" s="1464"/>
      <c r="AHB89" s="826" t="s">
        <v>8436</v>
      </c>
      <c r="AHC89" s="836" t="e">
        <f>SEARCH(" ",AGZ$4,AHE88+1)+1</f>
        <v>#VALUE!</v>
      </c>
      <c r="AHD89" s="306"/>
      <c r="AHE89" s="306" t="e">
        <f>AHC89+AHF89</f>
        <v>#VALUE!</v>
      </c>
      <c r="AHF89" s="306">
        <v>10</v>
      </c>
      <c r="AHG89" s="827" t="e">
        <f>DATEVALUE(MID(AGZ$4,AHC89,AHF89))</f>
        <v>#VALUE!</v>
      </c>
      <c r="AHH89" s="828" t="str">
        <f>IF(AHD87=" за период",AHG89,"")</f>
        <v/>
      </c>
    </row>
    <row r="90" spans="2:893" x14ac:dyDescent="0.3">
      <c r="B90" s="116"/>
      <c r="C90" s="116"/>
      <c r="D90" s="116"/>
      <c r="E90" s="116"/>
      <c r="F90" s="116"/>
      <c r="G90" s="116"/>
      <c r="H90" s="116"/>
      <c r="I90" s="116"/>
      <c r="DT90" t="s">
        <v>9229</v>
      </c>
      <c r="DU90" s="431" t="s">
        <v>8320</v>
      </c>
      <c r="DV90" s="1464"/>
      <c r="DW90" s="826"/>
      <c r="DX90" s="836"/>
      <c r="DY90" s="306" t="str">
        <f>IF(DZ90=IFERROR(SEARCH(".",C$3,DZ89),99999),".",
IF(DZ90=IFERROR(SEARCH(",",C$3,DZ89),99999),",",
IF(DZ90=IFERROR(SEARCH(" за период",C$3,DZ89),999999)," за период",
IF(DZ90=IFERROR(SEARCH(" в размере",C$3,DZ89),99999)," в размере",
))))</f>
        <v>.</v>
      </c>
      <c r="DZ90" s="306">
        <f>MIN(
IFERROR(SEARCH(".",$C$3,DZ89),99999),
IFERROR(SEARCH(",",$C$3,DZ89),99999),
IFERROR(SEARCH(" в размере",$C$3,DZ89),99999))</f>
        <v>99999</v>
      </c>
      <c r="EA90" s="306"/>
      <c r="EB90" s="827"/>
      <c r="EC90" s="829"/>
      <c r="NK90" s="1464"/>
      <c r="NL90" s="826"/>
      <c r="NM90" s="836"/>
      <c r="NN90" s="306" t="str">
        <f>IF(NO90=IFERROR(SEARCH(".",NJ$4,NO89),99999),".",
IF(NO90=IFERROR(SEARCH(",",NJ$4,NO89),99999),",",
IF(NO90=IFERROR(SEARCH(" за период",NJ$4,NO89),999999)," за период",
IF(NO90=IFERROR(SEARCH(" в размере",NJ$4,NO89),99999)," в размере",
))))</f>
        <v>.</v>
      </c>
      <c r="NO90" s="306">
        <f>MIN(
IFERROR(SEARCH(".",NJ$4,NO89),99999),
IFERROR(SEARCH(",",NJ$4,NO89),99999),
IFERROR(SEARCH(" в размере",NJ$4,NO89),99999))</f>
        <v>99999</v>
      </c>
      <c r="NP90" s="306"/>
      <c r="NQ90" s="827"/>
      <c r="NR90" s="829"/>
      <c r="SY90" s="1464"/>
      <c r="SZ90" s="826"/>
      <c r="TA90" s="836"/>
      <c r="TB90" s="306" t="str">
        <f>IF(TC90=IFERROR(SEARCH(".",$SQ$3,TC89),99999),".",
IF(TC90=IFERROR(SEARCH(",",$SQ$3,TC89),99999),",",
IF(TC90=IFERROR(SEARCH(" за период",$SQ$3,TC89),999999)," за период",
IF(TC90=IFERROR(SEARCH(" в размере",$SQ$3,TC89),99999)," в размере",
))))</f>
        <v>.</v>
      </c>
      <c r="TC90" s="306">
        <f>MIN(
IFERROR(SEARCH(".",$SQ$3,TC89),99999),
IFERROR(SEARCH(",",$SQ$3,TC89),99999),
IFERROR(SEARCH(" в размере",$SQ$3,TC89),99999))</f>
        <v>99999</v>
      </c>
      <c r="TD90" s="306"/>
      <c r="TE90" s="827"/>
      <c r="TF90" s="829"/>
      <c r="TK90" s="1004"/>
      <c r="TL90" s="1035"/>
      <c r="TM90" s="1036"/>
      <c r="TN90" s="1036"/>
      <c r="TO90" s="1036"/>
      <c r="TP90" s="1036"/>
      <c r="TQ90" s="1035"/>
      <c r="TR90" s="1004"/>
      <c r="TW90" s="1464"/>
      <c r="TX90" s="826"/>
      <c r="TY90" s="836"/>
      <c r="TZ90" s="306" t="str">
        <f>IF(UA90=IFERROR(SEARCH(".",$SQ$4,UA89),99999),".",
IF(UA90=IFERROR(SEARCH(",",$SQ$4,UA89),99999),",",
IF(UA90=IFERROR(SEARCH(" за период",$SQ$4,UA89),999999)," за период",
IF(UA90=IFERROR(SEARCH(" в размере",$SQ$4,UA89),99999)," в размере",
))))</f>
        <v>.</v>
      </c>
      <c r="UA90" s="306">
        <f>MIN(
IFERROR(SEARCH(".",$SQ$4,UA89),99999),
IFERROR(SEARCH(",",$SQ$4,UA89),99999),
IFERROR(SEARCH(" в размере",$SQ$4,UA89),99999))</f>
        <v>99999</v>
      </c>
      <c r="UB90" s="306"/>
      <c r="UC90" s="827"/>
      <c r="UD90" s="829"/>
      <c r="UI90" s="1004"/>
      <c r="UJ90" s="1035"/>
      <c r="UK90" s="1036"/>
      <c r="UL90" s="1036"/>
      <c r="UM90" s="1036"/>
      <c r="UN90" s="1036"/>
      <c r="UO90" s="1035"/>
      <c r="UP90" s="1004"/>
      <c r="UU90" s="1464"/>
      <c r="UV90" s="826"/>
      <c r="UW90" s="836"/>
      <c r="UX90" s="306" t="str">
        <f>IF(UY90=IFERROR(SEARCH(".",$SQ$5,UY89),99999),".",
IF(UY90=IFERROR(SEARCH(",",$SQ$5,UY89),99999),",",
IF(UY90=IFERROR(SEARCH(" за период",$SQ$5,UY89),999999)," за период",
IF(UY90=IFERROR(SEARCH(" в размере",$SQ$5,UY89),99999)," в размере",
))))</f>
        <v>.</v>
      </c>
      <c r="UY90" s="306">
        <f>MIN(
IFERROR(SEARCH(".",$SQ$5,UY89),99999),
IFERROR(SEARCH(",",$SQ$5,UY89),99999),
IFERROR(SEARCH(" в размере",$SQ$5,UY89),99999))</f>
        <v>99999</v>
      </c>
      <c r="UZ90" s="306"/>
      <c r="VA90" s="827"/>
      <c r="VB90" s="829"/>
      <c r="VG90" s="1004"/>
      <c r="VH90" s="1035"/>
      <c r="VI90" s="1036"/>
      <c r="VJ90" s="1036"/>
      <c r="VK90" s="1036"/>
      <c r="VL90" s="1036"/>
      <c r="VM90" s="1035"/>
      <c r="VN90" s="1004"/>
      <c r="VS90" s="1464"/>
      <c r="VT90" s="826"/>
      <c r="VU90" s="836"/>
      <c r="VV90" s="306" t="str">
        <f>IF(VW90=IFERROR(SEARCH(".",$SQ$6,VW89),99999),".",
IF(VW90=IFERROR(SEARCH(",",$SQ$6,VW89),99999),",",
IF(VW90=IFERROR(SEARCH(" за период",$SQ$6,VW89),999999)," за период",
IF(VW90=IFERROR(SEARCH(" в размере",$SQ$6,VW89),99999)," в размере",
))))</f>
        <v>.</v>
      </c>
      <c r="VW90" s="306">
        <f>MIN(
IFERROR(SEARCH(".",$SQ$6,VW89),99999),
IFERROR(SEARCH(",",$SQ$6,VW89),99999),
IFERROR(SEARCH(" в размере",$SQ$6,VW89),99999))</f>
        <v>99999</v>
      </c>
      <c r="VX90" s="306"/>
      <c r="VY90" s="827"/>
      <c r="VZ90" s="829"/>
      <c r="WE90" s="1004"/>
      <c r="WF90" s="1035"/>
      <c r="WG90" s="1036"/>
      <c r="WH90" s="1036"/>
      <c r="WI90" s="1036"/>
      <c r="WJ90" s="1036"/>
      <c r="WK90" s="1035"/>
      <c r="WL90" s="1004"/>
      <c r="WQ90" s="1464"/>
      <c r="WR90" s="826"/>
      <c r="WS90" s="836"/>
      <c r="WT90" s="306" t="str">
        <f>IF(WU90=IFERROR(SEARCH(".",$SQ$7,WU89),99999),".",
IF(WU90=IFERROR(SEARCH(",",$SQ$7,WU89),99999),",",
IF(WU90=IFERROR(SEARCH(" за период",$SQ$7,WU89),999999)," за период",
IF(WU90=IFERROR(SEARCH(" в размере",$SQ$7,WU89),99999)," в размере",
))))</f>
        <v>.</v>
      </c>
      <c r="WU90" s="306">
        <f>MIN(
IFERROR(SEARCH(".",$SQ$7,WU89),99999),
IFERROR(SEARCH(",",$SQ$7,WU89),99999),
IFERROR(SEARCH(" в размере",$SQ$7,WU89),99999))</f>
        <v>99999</v>
      </c>
      <c r="WV90" s="306"/>
      <c r="WW90" s="827"/>
      <c r="WX90" s="829"/>
      <c r="XC90" s="1004"/>
      <c r="XD90" s="1035"/>
      <c r="XE90" s="1036"/>
      <c r="XF90" s="1036"/>
      <c r="XG90" s="1036"/>
      <c r="XH90" s="1036"/>
      <c r="XI90" s="1035"/>
      <c r="XJ90" s="1004"/>
      <c r="YG90" s="1464"/>
      <c r="YH90" s="826"/>
      <c r="YI90" s="836"/>
      <c r="YJ90" s="306" t="str">
        <f>IF(YK90=IFERROR(SEARCH(".",$XU$3,YK89),99999),".",
IF(YK90=IFERROR(SEARCH(",",$XU$3,YK89),99999),",",
IF(YK90=IFERROR(SEARCH(" за период",$XU$3,YK89),999999)," за период",
IF(YK90=IFERROR(SEARCH(" в размере",$XU$3,YK89),99999)," в размере",
))))</f>
        <v>.</v>
      </c>
      <c r="YK90" s="306">
        <f>MIN(
IFERROR(SEARCH(".",$XU$3,YK89),99999),
IFERROR(SEARCH(",",$XU$3,YK89),99999),
IFERROR(SEARCH(" в размере",$XU$3,YK89),99999))</f>
        <v>99999</v>
      </c>
      <c r="YL90" s="306"/>
      <c r="YM90" s="827"/>
      <c r="YN90" s="829"/>
      <c r="YS90" s="1464"/>
      <c r="YT90" s="826"/>
      <c r="YU90" s="836"/>
      <c r="YV90" s="306" t="str">
        <f>IF(YW90=IFERROR(SEARCH(".",$XU$4,YW89),99999),".",
IF(YW90=IFERROR(SEARCH(",",$XU$4,YW89),99999),",",
IF(YW90=IFERROR(SEARCH(" за период",$XU$4,YW89),999999)," за период",
IF(YW90=IFERROR(SEARCH(" в размере",$XU$4,YW89),99999)," в размере",
))))</f>
        <v>.</v>
      </c>
      <c r="YW90" s="306">
        <f>MIN(
IFERROR(SEARCH(".",$XU$4,YW89),99999),
IFERROR(SEARCH(",",$XU$4,YW89),99999),
IFERROR(SEARCH(" в размере",$XU$4,YW89),99999))</f>
        <v>99999</v>
      </c>
      <c r="YX90" s="306"/>
      <c r="YY90" s="827"/>
      <c r="YZ90" s="829"/>
      <c r="ZE90" s="1464"/>
      <c r="ZF90" s="826"/>
      <c r="ZG90" s="836"/>
      <c r="ZH90" s="306" t="str">
        <f>IF(ZI90=IFERROR(SEARCH(".",$XU$5,ZI89),99999),".",
IF(ZI90=IFERROR(SEARCH(",",$XU$5,ZI89),99999),",",
IF(ZI90=IFERROR(SEARCH(" за период",$XU$5,ZI89),999999)," за период",
IF(ZI90=IFERROR(SEARCH(" в размере",$XU$5,ZI89),99999)," в размере",
))))</f>
        <v>.</v>
      </c>
      <c r="ZI90" s="306">
        <f>MIN(
IFERROR(SEARCH(".",$XU$5,ZI89),99999),
IFERROR(SEARCH(",",$XU$5,ZI89),99999),
IFERROR(SEARCH(" в размере",$XU$5,ZI89),99999))</f>
        <v>99999</v>
      </c>
      <c r="ZJ90" s="306"/>
      <c r="ZK90" s="827"/>
      <c r="ZL90" s="829"/>
      <c r="ZQ90" s="1464"/>
      <c r="ZR90" s="826"/>
      <c r="ZS90" s="836"/>
      <c r="ZT90" s="306" t="str">
        <f>IF(ZU90=IFERROR(SEARCH(".",$XU$6,ZU89),99999),".",
IF(ZU90=IFERROR(SEARCH(",",$XU$6,ZU89),99999),",",
IF(ZU90=IFERROR(SEARCH(" за период",$XU$6,ZU89),999999)," за период",
IF(ZU90=IFERROR(SEARCH(" в размере",$XU$6,ZU89),99999)," в размере",
))))</f>
        <v>.</v>
      </c>
      <c r="ZU90" s="306">
        <f>MIN(
IFERROR(SEARCH(".",$XU$6,ZU89),99999),
IFERROR(SEARCH(",",$XU$6,ZU89),99999),
IFERROR(SEARCH(" в размере",$XU$6,ZU89),99999))</f>
        <v>99999</v>
      </c>
      <c r="ZV90" s="306"/>
      <c r="ZW90" s="827"/>
      <c r="ZX90" s="829"/>
      <c r="AAC90" s="1464"/>
      <c r="AAD90" s="826"/>
      <c r="AAE90" s="836"/>
      <c r="AAF90" s="306" t="str">
        <f>IF(AAG90=IFERROR(SEARCH(".",$XU$7,AAG89),99999),".",
IF(AAG90=IFERROR(SEARCH(",",$XU$7,AAG89),99999),",",
IF(AAG90=IFERROR(SEARCH(" за период",$XU$7,AAG89),999999)," за период",
IF(AAG90=IFERROR(SEARCH(" в размере",$XU$7,AAG89),99999)," в размере",
))))</f>
        <v>.</v>
      </c>
      <c r="AAG90" s="306">
        <f>MIN(
IFERROR(SEARCH(".",$XU$7,AAG89),99999),
IFERROR(SEARCH(",",$XU$7,AAG89),99999),
IFERROR(SEARCH(" в размере",$XU$7,AAG89),99999))</f>
        <v>99999</v>
      </c>
      <c r="AAH90" s="306"/>
      <c r="AAI90" s="827"/>
      <c r="AAJ90" s="829"/>
      <c r="AFE90" s="1464"/>
      <c r="AFF90" s="826"/>
      <c r="AFG90" s="836"/>
      <c r="AFH90" s="306" t="str">
        <f>IF(AFI90=IFERROR(SEARCH(".",AFD$4,AFI89),99999),".",
IF(AFI90=IFERROR(SEARCH(",",AFD$4,AFI89),99999),",",
IF(AFI90=IFERROR(SEARCH(" за период",AFD$4,AFI89),999999)," за период",
IF(AFI90=IFERROR(SEARCH(" в размере",AFD$4,AFI89),99999)," в размере",
))))</f>
        <v>.</v>
      </c>
      <c r="AFI90" s="306">
        <f>MIN(
IFERROR(SEARCH(".",AFD$4,AFI89),99999),
IFERROR(SEARCH(",",AFD$4,AFI89),99999),
IFERROR(SEARCH(" в размере",AFD$4,AFI89),99999))</f>
        <v>99999</v>
      </c>
      <c r="AFJ90" s="306"/>
      <c r="AFK90" s="827"/>
      <c r="AFL90" s="829"/>
      <c r="AFQ90" s="1464"/>
      <c r="AFR90" s="826"/>
      <c r="AFS90" s="836"/>
      <c r="AFT90" s="306" t="str">
        <f>IF(AFU90=IFERROR(SEARCH(".",AFP$4,AFU89),99999),".",
IF(AFU90=IFERROR(SEARCH(",",AFP$4,AFU89),99999),",",
IF(AFU90=IFERROR(SEARCH(" за период",AFP$4,AFU89),999999)," за период",
IF(AFU90=IFERROR(SEARCH(" в размере",AFP$4,AFU89),99999)," в размере",
))))</f>
        <v>.</v>
      </c>
      <c r="AFU90" s="306">
        <f>MIN(
IFERROR(SEARCH(".",AFP$4,AFU89),99999),
IFERROR(SEARCH(",",AFP$4,AFU89),99999),
IFERROR(SEARCH(" в размере",AFP$4,AFU89),99999))</f>
        <v>99999</v>
      </c>
      <c r="AFV90" s="306"/>
      <c r="AFW90" s="827"/>
      <c r="AFX90" s="829"/>
      <c r="AGC90" s="1464"/>
      <c r="AGD90" s="826"/>
      <c r="AGE90" s="836"/>
      <c r="AGF90" s="306" t="str">
        <f>IF(AGG90=IFERROR(SEARCH(".",AGB$4,AGG89),99999),".",
IF(AGG90=IFERROR(SEARCH(",",AGB$4,AGG89),99999),",",
IF(AGG90=IFERROR(SEARCH(" за период",AGB$4,AGG89),999999)," за период",
IF(AGG90=IFERROR(SEARCH(" в размере",AGB$4,AGG89),99999)," в размере",
))))</f>
        <v>.</v>
      </c>
      <c r="AGG90" s="306">
        <f>MIN(
IFERROR(SEARCH(".",AGB$4,AGG89),99999),
IFERROR(SEARCH(",",AGB$4,AGG89),99999),
IFERROR(SEARCH(" в размере",AGB$4,AGG89),99999))</f>
        <v>99999</v>
      </c>
      <c r="AGH90" s="306"/>
      <c r="AGI90" s="827"/>
      <c r="AGJ90" s="829"/>
      <c r="AGO90" s="1464"/>
      <c r="AGP90" s="826"/>
      <c r="AGQ90" s="836"/>
      <c r="AGR90" s="306" t="str">
        <f>IF(AGS90=IFERROR(SEARCH(".",AGN$4,AGS89),99999),".",
IF(AGS90=IFERROR(SEARCH(",",AGN$4,AGS89),99999),",",
IF(AGS90=IFERROR(SEARCH(" за период",AGN$4,AGS89),999999)," за период",
IF(AGS90=IFERROR(SEARCH(" в размере",AGN$4,AGS89),99999)," в размере",
))))</f>
        <v>.</v>
      </c>
      <c r="AGS90" s="306">
        <f>MIN(
IFERROR(SEARCH(".",AGN$4,AGS89),99999),
IFERROR(SEARCH(",",AGN$4,AGS89),99999),
IFERROR(SEARCH(" в размере",AGN$4,AGS89),99999))</f>
        <v>99999</v>
      </c>
      <c r="AGT90" s="306"/>
      <c r="AGU90" s="827"/>
      <c r="AGV90" s="829"/>
      <c r="AHA90" s="1464"/>
      <c r="AHB90" s="826"/>
      <c r="AHC90" s="836"/>
      <c r="AHD90" s="306" t="str">
        <f>IF(AHE90=IFERROR(SEARCH(".",AGZ$4,AHE89),99999),".",
IF(AHE90=IFERROR(SEARCH(",",AGZ$4,AHE89),99999),",",
IF(AHE90=IFERROR(SEARCH(" за период",AGZ$4,AHE89),999999)," за период",
IF(AHE90=IFERROR(SEARCH(" в размере",AGZ$4,AHE89),99999)," в размере",
))))</f>
        <v>.</v>
      </c>
      <c r="AHE90" s="306">
        <f>MIN(
IFERROR(SEARCH(".",AGZ$4,AHE89),99999),
IFERROR(SEARCH(",",AGZ$4,AHE89),99999),
IFERROR(SEARCH(" в размере",AGZ$4,AHE89),99999))</f>
        <v>99999</v>
      </c>
      <c r="AHF90" s="306"/>
      <c r="AHG90" s="827"/>
      <c r="AHH90" s="829"/>
    </row>
    <row r="91" spans="2:893" x14ac:dyDescent="0.3">
      <c r="B91" s="116"/>
      <c r="C91" s="116"/>
      <c r="D91" s="116"/>
      <c r="E91" s="116"/>
      <c r="F91" s="116"/>
      <c r="G91" s="116"/>
      <c r="H91" s="116"/>
      <c r="I91" s="116"/>
      <c r="DT91" t="s">
        <v>9238</v>
      </c>
      <c r="DU91" s="821" t="s">
        <v>99</v>
      </c>
      <c r="DV91" s="1464"/>
      <c r="DW91" s="830" t="s">
        <v>8249</v>
      </c>
      <c r="DX91" s="836" t="str">
        <f>IF(OR(DY90=" в размере",DY87=" в размере"),SEARCH(" в размере",$C$3,DZ87)+LEN(" в размере")+1,"НЕТ")</f>
        <v>НЕТ</v>
      </c>
      <c r="DY91" s="306" t="s">
        <v>8431</v>
      </c>
      <c r="DZ91" s="306" t="e">
        <f>SEARCH(DY91,$C$3,DX91)</f>
        <v>#VALUE!</v>
      </c>
      <c r="EA91" s="306" t="e">
        <f>DZ91-DX91</f>
        <v>#VALUE!</v>
      </c>
      <c r="EB91" s="826" t="e">
        <f>IF(EC87="Штраф 50%","",MID($C$3,DX91,EA91))</f>
        <v>#VALUE!</v>
      </c>
      <c r="EC91" s="829"/>
      <c r="NK91" s="1464"/>
      <c r="NL91" s="830" t="s">
        <v>8249</v>
      </c>
      <c r="NM91" s="836" t="e">
        <f>SEARCH(" в размере",NJ$4,NO87)+LEN(" в размере")+1</f>
        <v>#VALUE!</v>
      </c>
      <c r="NN91" s="306" t="s">
        <v>8431</v>
      </c>
      <c r="NO91" s="306" t="e">
        <f>SEARCH(NN91,NJ$4,NM91)</f>
        <v>#VALUE!</v>
      </c>
      <c r="NP91" s="306" t="e">
        <f>NO91-NM91</f>
        <v>#VALUE!</v>
      </c>
      <c r="NQ91" s="826" t="e">
        <f>IF(NR87="Штраф 50%","",MID(NJ$4,NM91,NP91))</f>
        <v>#VALUE!</v>
      </c>
      <c r="NR91" s="829"/>
      <c r="SY91" s="1464"/>
      <c r="SZ91" s="830" t="s">
        <v>8249</v>
      </c>
      <c r="TA91" s="836" t="e">
        <f>IF(NOT(ISERROR(SEARCH("НДФЛ",SX$4))),MIN(SEARCH("в размере ",SX$4,TC87)+LEN("в размере "),SEARCH("исходя из суммы ",SX$4,TC87)+LEN("исходя из суммы ")),SEARCH(" в размере",SX$4,TC87)+LEN(" в размере")+1)</f>
        <v>#VALUE!</v>
      </c>
      <c r="TB91" s="306" t="s">
        <v>8431</v>
      </c>
      <c r="TC91" s="306" t="e">
        <f>SEARCH(TB91,$SQ$3,TA91)</f>
        <v>#VALUE!</v>
      </c>
      <c r="TD91" s="306" t="e">
        <f>TC91-TA91</f>
        <v>#VALUE!</v>
      </c>
      <c r="TE91" s="826" t="e">
        <f>IF(TF87="Штраф 50%","",MID($SQ$3,TA91,TD91))</f>
        <v>#VALUE!</v>
      </c>
      <c r="TF91" s="829"/>
      <c r="TK91" s="1004"/>
      <c r="TL91" s="1035"/>
      <c r="TM91" s="1036"/>
      <c r="TN91" s="1036"/>
      <c r="TO91" s="1036"/>
      <c r="TP91" s="1036"/>
      <c r="TQ91" s="1037"/>
      <c r="TR91" s="1037"/>
      <c r="TW91" s="1464"/>
      <c r="TX91" s="830" t="s">
        <v>8249</v>
      </c>
      <c r="TY91" s="836" t="e">
        <f>IF(NOT(ISERROR(SEARCH("НДФЛ",TV$4))),MIN(SEARCH("в размере ",TV$4,UA87)+LEN("в размере "),SEARCH("исходя из суммы ",TV$4,UA87)+LEN("исходя из суммы ")),SEARCH(" в размере",TV$4,UA87)+LEN(" в размере")+1)</f>
        <v>#VALUE!</v>
      </c>
      <c r="TZ91" s="306" t="s">
        <v>8431</v>
      </c>
      <c r="UA91" s="306" t="e">
        <f>SEARCH(TZ91,$SQ$4,TY91)</f>
        <v>#VALUE!</v>
      </c>
      <c r="UB91" s="306" t="e">
        <f>UA91-TY91</f>
        <v>#VALUE!</v>
      </c>
      <c r="UC91" s="826" t="e">
        <f>IF(UD87="Штраф 50%","",MID($SQ$4,TY91,UB91))</f>
        <v>#VALUE!</v>
      </c>
      <c r="UD91" s="829"/>
      <c r="UI91" s="1004"/>
      <c r="UJ91" s="1035"/>
      <c r="UK91" s="1036"/>
      <c r="UL91" s="1036"/>
      <c r="UM91" s="1036"/>
      <c r="UN91" s="1036"/>
      <c r="UO91" s="1037"/>
      <c r="UP91" s="1037"/>
      <c r="UU91" s="1464"/>
      <c r="UV91" s="830" t="s">
        <v>8249</v>
      </c>
      <c r="UW91" s="836" t="e">
        <f>IF(NOT(ISERROR(SEARCH("НДФЛ",UT$4))),MIN(SEARCH("в размере ",UT$4,UY87)+LEN("в размере "),SEARCH("исходя из суммы ",UT$4,UY87)+LEN("исходя из суммы ")),SEARCH(" в размере",UT$4,UY87)+LEN(" в размере")+1)</f>
        <v>#VALUE!</v>
      </c>
      <c r="UX91" s="306" t="s">
        <v>8431</v>
      </c>
      <c r="UY91" s="306" t="e">
        <f>SEARCH(UX91,$SQ$5,UW91)</f>
        <v>#VALUE!</v>
      </c>
      <c r="UZ91" s="306" t="e">
        <f>UY91-UW91</f>
        <v>#VALUE!</v>
      </c>
      <c r="VA91" s="826" t="e">
        <f>IF(VB87="Штраф 50%","",MID($SQ$5,UW91,UZ91))</f>
        <v>#VALUE!</v>
      </c>
      <c r="VB91" s="829"/>
      <c r="VG91" s="1004"/>
      <c r="VH91" s="1035"/>
      <c r="VI91" s="1036"/>
      <c r="VJ91" s="1036"/>
      <c r="VK91" s="1036"/>
      <c r="VL91" s="1036"/>
      <c r="VM91" s="1037"/>
      <c r="VN91" s="1037"/>
      <c r="VS91" s="1464"/>
      <c r="VT91" s="830" t="s">
        <v>8249</v>
      </c>
      <c r="VU91" s="836" t="e">
        <f>IF(NOT(ISERROR(SEARCH("НДФЛ",VR$4))),MIN(SEARCH("в размере ",VR$4,VW87)+LEN("в размере "),SEARCH("исходя из суммы ",VR$4,VW87)+LEN("исходя из суммы ")),SEARCH(" в размере",VR$4,VW87)+LEN(" в размере")+1)</f>
        <v>#VALUE!</v>
      </c>
      <c r="VV91" s="306" t="s">
        <v>8431</v>
      </c>
      <c r="VW91" s="306" t="e">
        <f>SEARCH(VV91,$SQ$6,VU91)</f>
        <v>#VALUE!</v>
      </c>
      <c r="VX91" s="306" t="e">
        <f>VW91-VU91</f>
        <v>#VALUE!</v>
      </c>
      <c r="VY91" s="826" t="e">
        <f>IF(VZ87="Штраф 50%","",MID($SQ$6,VU91,VX91))</f>
        <v>#VALUE!</v>
      </c>
      <c r="VZ91" s="829"/>
      <c r="WE91" s="1004"/>
      <c r="WF91" s="1035"/>
      <c r="WG91" s="1036"/>
      <c r="WH91" s="1036"/>
      <c r="WI91" s="1036"/>
      <c r="WJ91" s="1036"/>
      <c r="WK91" s="1037"/>
      <c r="WL91" s="1037"/>
      <c r="WQ91" s="1464"/>
      <c r="WR91" s="830" t="s">
        <v>8249</v>
      </c>
      <c r="WS91" s="836" t="e">
        <f>IF(NOT(ISERROR(SEARCH("НДФЛ",WP$4))),MIN(SEARCH("в размере ",WP$4,WU87)+LEN("в размере "),SEARCH("исходя из суммы ",WP$4,WU87)+LEN("исходя из суммы ")),SEARCH(" в размере",WP$4,WU87)+LEN(" в размере")+1)</f>
        <v>#VALUE!</v>
      </c>
      <c r="WT91" s="306" t="s">
        <v>8431</v>
      </c>
      <c r="WU91" s="306" t="e">
        <f>SEARCH(WT91,$SQ$7,WS91)</f>
        <v>#VALUE!</v>
      </c>
      <c r="WV91" s="306" t="e">
        <f>WU91-WS91</f>
        <v>#VALUE!</v>
      </c>
      <c r="WW91" s="826" t="e">
        <f>IF(WX87="Штраф 50%","",MID($SQ$7,WS91,WV91))</f>
        <v>#VALUE!</v>
      </c>
      <c r="WX91" s="829"/>
      <c r="XC91" s="1004"/>
      <c r="XD91" s="1035"/>
      <c r="XE91" s="1036"/>
      <c r="XF91" s="1036"/>
      <c r="XG91" s="1036"/>
      <c r="XH91" s="1036"/>
      <c r="XI91" s="1037"/>
      <c r="XJ91" s="1037"/>
      <c r="YG91" s="1464"/>
      <c r="YH91" s="830" t="s">
        <v>8249</v>
      </c>
      <c r="YI91" s="836" t="str">
        <f>IF(OR(YJ90=" в размере",YJ87=" в размере"),SEARCH(" в размере",$XU$3,YK87)+LEN(" в размере")+1,"НЕТ")</f>
        <v>НЕТ</v>
      </c>
      <c r="YJ91" s="306" t="s">
        <v>8431</v>
      </c>
      <c r="YK91" s="306" t="e">
        <f>SEARCH(YJ91,$XU$3,YI91)</f>
        <v>#VALUE!</v>
      </c>
      <c r="YL91" s="306" t="e">
        <f>YK91-YI91</f>
        <v>#VALUE!</v>
      </c>
      <c r="YM91" s="826" t="e">
        <f>IF(YN87="Штраф 50%","",MID($XU$3,YI91,YL91))</f>
        <v>#VALUE!</v>
      </c>
      <c r="YN91" s="829"/>
      <c r="YS91" s="1464"/>
      <c r="YT91" s="830" t="s">
        <v>8249</v>
      </c>
      <c r="YU91" s="836" t="e">
        <f>SEARCH(" в размере",$XU$4,YW87)+LEN(" в размере")+1</f>
        <v>#VALUE!</v>
      </c>
      <c r="YV91" s="306" t="s">
        <v>8431</v>
      </c>
      <c r="YW91" s="306" t="e">
        <f>SEARCH(YV91,$XU$4,YU91)</f>
        <v>#VALUE!</v>
      </c>
      <c r="YX91" s="306" t="e">
        <f>YW91-YU91</f>
        <v>#VALUE!</v>
      </c>
      <c r="YY91" s="826" t="e">
        <f>IF(YZ87="Штраф 50%","",MID($XU$4,YU91,YX91))</f>
        <v>#VALUE!</v>
      </c>
      <c r="YZ91" s="829"/>
      <c r="ZE91" s="1464"/>
      <c r="ZF91" s="830" t="s">
        <v>8249</v>
      </c>
      <c r="ZG91" s="836" t="e">
        <f>SEARCH(" в размере",$XU$5,ZI87)+LEN(" в размере")+1</f>
        <v>#VALUE!</v>
      </c>
      <c r="ZH91" s="306" t="s">
        <v>8431</v>
      </c>
      <c r="ZI91" s="306" t="e">
        <f>SEARCH(ZH91,$XU$5,ZG91)</f>
        <v>#VALUE!</v>
      </c>
      <c r="ZJ91" s="306" t="e">
        <f>ZI91-ZG91</f>
        <v>#VALUE!</v>
      </c>
      <c r="ZK91" s="826" t="e">
        <f>IF(ZL87="Штраф 50%","",MID($XU$5,ZG91,ZJ91))</f>
        <v>#VALUE!</v>
      </c>
      <c r="ZL91" s="829"/>
      <c r="ZQ91" s="1464"/>
      <c r="ZR91" s="830" t="s">
        <v>8249</v>
      </c>
      <c r="ZS91" s="836" t="e">
        <f>SEARCH(" в размере",$XU$6,ZU87)+LEN(" в размере")+1</f>
        <v>#VALUE!</v>
      </c>
      <c r="ZT91" s="306" t="s">
        <v>8431</v>
      </c>
      <c r="ZU91" s="306" t="e">
        <f>SEARCH(ZT91,$XU$6,ZS91)</f>
        <v>#VALUE!</v>
      </c>
      <c r="ZV91" s="306" t="e">
        <f>ZU91-ZS91</f>
        <v>#VALUE!</v>
      </c>
      <c r="ZW91" s="826" t="e">
        <f>IF(ZX87="Штраф 50%","",MID($XU$6,ZS91,ZV91))</f>
        <v>#VALUE!</v>
      </c>
      <c r="ZX91" s="829"/>
      <c r="AAC91" s="1464"/>
      <c r="AAD91" s="830" t="s">
        <v>8249</v>
      </c>
      <c r="AAE91" s="836" t="e">
        <f>SEARCH(" в размере",$XU$7,AAG87)+LEN(" в размере")+1</f>
        <v>#VALUE!</v>
      </c>
      <c r="AAF91" s="306" t="s">
        <v>8431</v>
      </c>
      <c r="AAG91" s="306" t="e">
        <f>SEARCH(AAF91,$XU$7,AAE91)</f>
        <v>#VALUE!</v>
      </c>
      <c r="AAH91" s="306" t="e">
        <f>AAG91-AAE91</f>
        <v>#VALUE!</v>
      </c>
      <c r="AAI91" s="826" t="e">
        <f>IF(AAJ87="Штраф 50%","",MID($XU$7,AAE91,AAH91))</f>
        <v>#VALUE!</v>
      </c>
      <c r="AAJ91" s="829"/>
      <c r="AFE91" s="1464"/>
      <c r="AFF91" s="830" t="s">
        <v>8249</v>
      </c>
      <c r="AFG91" s="836" t="e">
        <f>SEARCH(" в размере",AFD$4,AFI87)+LEN(" в размере")+1</f>
        <v>#VALUE!</v>
      </c>
      <c r="AFH91" s="306" t="s">
        <v>8431</v>
      </c>
      <c r="AFI91" s="306" t="e">
        <f>SEARCH(AFH91,AFD$4,AFG91)</f>
        <v>#VALUE!</v>
      </c>
      <c r="AFJ91" s="306" t="e">
        <f>AFI91-AFG91</f>
        <v>#VALUE!</v>
      </c>
      <c r="AFK91" s="826" t="e">
        <f>IF(AFL87="Штраф 50%","",MID(AFD$4,AFG91,AFJ91))</f>
        <v>#VALUE!</v>
      </c>
      <c r="AFL91" s="829"/>
      <c r="AFQ91" s="1464"/>
      <c r="AFR91" s="830" t="s">
        <v>8249</v>
      </c>
      <c r="AFS91" s="836" t="e">
        <f>SEARCH(" в размере",AFP$4,AFU87)+LEN(" в размере")+1</f>
        <v>#VALUE!</v>
      </c>
      <c r="AFT91" s="306" t="s">
        <v>8431</v>
      </c>
      <c r="AFU91" s="306" t="e">
        <f>SEARCH(AFT91,AFP$4,AFS91)</f>
        <v>#VALUE!</v>
      </c>
      <c r="AFV91" s="306" t="e">
        <f>AFU91-AFS91</f>
        <v>#VALUE!</v>
      </c>
      <c r="AFW91" s="826" t="e">
        <f>IF(AFX87="Штраф 50%","",MID(AFP$4,AFS91,AFV91))</f>
        <v>#VALUE!</v>
      </c>
      <c r="AFX91" s="829"/>
      <c r="AGC91" s="1464"/>
      <c r="AGD91" s="830" t="s">
        <v>8249</v>
      </c>
      <c r="AGE91" s="836" t="e">
        <f>SEARCH(" в размере",AGB$4,AGG87)+LEN(" в размере")+1</f>
        <v>#VALUE!</v>
      </c>
      <c r="AGF91" s="306" t="s">
        <v>8431</v>
      </c>
      <c r="AGG91" s="306" t="e">
        <f>SEARCH(AGF91,AGB$4,AGE91)</f>
        <v>#VALUE!</v>
      </c>
      <c r="AGH91" s="306" t="e">
        <f>AGG91-AGE91</f>
        <v>#VALUE!</v>
      </c>
      <c r="AGI91" s="826" t="e">
        <f>IF(AGJ87="Штраф 50%","",MID(AGB$4,AGE91,AGH91))</f>
        <v>#VALUE!</v>
      </c>
      <c r="AGJ91" s="829"/>
      <c r="AGO91" s="1464"/>
      <c r="AGP91" s="830" t="s">
        <v>8249</v>
      </c>
      <c r="AGQ91" s="836" t="e">
        <f>SEARCH(" в размере",AGN$4,AGS87)+LEN(" в размере")+1</f>
        <v>#VALUE!</v>
      </c>
      <c r="AGR91" s="306" t="s">
        <v>8431</v>
      </c>
      <c r="AGS91" s="306" t="e">
        <f>SEARCH(AGR91,AGN$4,AGQ91)</f>
        <v>#VALUE!</v>
      </c>
      <c r="AGT91" s="306" t="e">
        <f>AGS91-AGQ91</f>
        <v>#VALUE!</v>
      </c>
      <c r="AGU91" s="826" t="e">
        <f>IF(AGV87="Штраф 50%","",MID(AGN$4,AGQ91,AGT91))</f>
        <v>#VALUE!</v>
      </c>
      <c r="AGV91" s="829"/>
      <c r="AHA91" s="1464"/>
      <c r="AHB91" s="830" t="s">
        <v>8249</v>
      </c>
      <c r="AHC91" s="836" t="e">
        <f>SEARCH(" в размере",AGZ$4,AHE87)+LEN(" в размере")+1</f>
        <v>#VALUE!</v>
      </c>
      <c r="AHD91" s="306" t="s">
        <v>8431</v>
      </c>
      <c r="AHE91" s="306" t="e">
        <f>SEARCH(AHD91,AGZ$4,AHC91)</f>
        <v>#VALUE!</v>
      </c>
      <c r="AHF91" s="306" t="e">
        <f>AHE91-AHC91</f>
        <v>#VALUE!</v>
      </c>
      <c r="AHG91" s="826" t="e">
        <f>IF(AHH87="Штраф 50%","",MID(AGZ$4,AHC91,AHF91))</f>
        <v>#VALUE!</v>
      </c>
      <c r="AHH91" s="829"/>
    </row>
    <row r="92" spans="2:893" x14ac:dyDescent="0.3">
      <c r="B92" s="116"/>
      <c r="C92" s="116"/>
      <c r="D92" s="116"/>
      <c r="E92" s="116"/>
      <c r="F92" s="116"/>
      <c r="G92" s="116"/>
      <c r="H92" s="116"/>
      <c r="I92" s="116"/>
      <c r="DT92" t="s">
        <v>9244</v>
      </c>
      <c r="DU92" s="821" t="s">
        <v>4395</v>
      </c>
      <c r="DV92" s="1464"/>
      <c r="DW92" s="306"/>
      <c r="DX92" s="836" t="e">
        <f>SEARCH(" ",$C$3,DZ91+1)+1</f>
        <v>#VALUE!</v>
      </c>
      <c r="DY92" s="306" t="s">
        <v>8432</v>
      </c>
      <c r="DZ92" s="306" t="e">
        <f>SEARCH(DY92,$C$3,DX92)</f>
        <v>#VALUE!</v>
      </c>
      <c r="EA92" s="306" t="e">
        <f>DZ92-DX92</f>
        <v>#VALUE!</v>
      </c>
      <c r="EB92" s="826" t="e">
        <f>IF(EC87="Штраф 50%","",MID($C$3,DX92,EA92))</f>
        <v>#VALUE!</v>
      </c>
      <c r="EC92" s="829"/>
      <c r="NK92" s="1464"/>
      <c r="NL92" s="306"/>
      <c r="NM92" s="836" t="e">
        <f>SEARCH(" ",NJ$4,NO91+1)+1</f>
        <v>#VALUE!</v>
      </c>
      <c r="NN92" s="306" t="s">
        <v>8432</v>
      </c>
      <c r="NO92" s="306" t="e">
        <f>SEARCH(NN92,NJ$4,NM92)</f>
        <v>#VALUE!</v>
      </c>
      <c r="NP92" s="306" t="e">
        <f>NO92-NM92</f>
        <v>#VALUE!</v>
      </c>
      <c r="NQ92" s="826" t="e">
        <f>IF(NR87="Штраф 50%","",MID(NJ$4,NM92,NP92))</f>
        <v>#VALUE!</v>
      </c>
      <c r="NR92" s="829"/>
      <c r="SY92" s="1464"/>
      <c r="SZ92" s="306"/>
      <c r="TA92" s="836" t="e">
        <f>SEARCH(" ",$SQ$3,TC91+1)+1</f>
        <v>#VALUE!</v>
      </c>
      <c r="TB92" s="306" t="s">
        <v>8432</v>
      </c>
      <c r="TC92" s="306" t="e">
        <f>SEARCH(TB92,$SQ$3,TA92)</f>
        <v>#VALUE!</v>
      </c>
      <c r="TD92" s="306" t="e">
        <f>TC92-TA92</f>
        <v>#VALUE!</v>
      </c>
      <c r="TE92" s="826" t="e">
        <f>IF(TF87="Штраф 50%","",MID($SQ$3,TA92,TD92))</f>
        <v>#VALUE!</v>
      </c>
      <c r="TF92" s="829"/>
      <c r="TK92" s="1004"/>
      <c r="TL92" s="1035"/>
      <c r="TM92" s="1036"/>
      <c r="TN92" s="1036"/>
      <c r="TO92" s="1036"/>
      <c r="TP92" s="1036"/>
      <c r="TQ92" s="1037"/>
      <c r="TR92" s="1037"/>
      <c r="TW92" s="1464"/>
      <c r="TX92" s="306"/>
      <c r="TY92" s="836" t="e">
        <f>SEARCH(" ",$SQ$4,UA91+1)+1</f>
        <v>#VALUE!</v>
      </c>
      <c r="TZ92" s="306" t="s">
        <v>8432</v>
      </c>
      <c r="UA92" s="306" t="e">
        <f>SEARCH(TZ92,$SQ$4,TY92)</f>
        <v>#VALUE!</v>
      </c>
      <c r="UB92" s="306" t="e">
        <f>UA92-TY92</f>
        <v>#VALUE!</v>
      </c>
      <c r="UC92" s="826" t="e">
        <f>IF(UD87="Штраф 50%","",MID($SQ$4,TY92,UB92))</f>
        <v>#VALUE!</v>
      </c>
      <c r="UD92" s="829"/>
      <c r="UI92" s="1004"/>
      <c r="UJ92" s="1035"/>
      <c r="UK92" s="1036"/>
      <c r="UL92" s="1036"/>
      <c r="UM92" s="1036"/>
      <c r="UN92" s="1036"/>
      <c r="UO92" s="1037"/>
      <c r="UP92" s="1037"/>
      <c r="UU92" s="1464"/>
      <c r="UV92" s="306"/>
      <c r="UW92" s="836" t="e">
        <f>SEARCH(" ",$SQ$5,UY91+1)+1</f>
        <v>#VALUE!</v>
      </c>
      <c r="UX92" s="306" t="s">
        <v>8432</v>
      </c>
      <c r="UY92" s="306" t="e">
        <f>SEARCH(UX92,$SQ$5,UW92)</f>
        <v>#VALUE!</v>
      </c>
      <c r="UZ92" s="306" t="e">
        <f>UY92-UW92</f>
        <v>#VALUE!</v>
      </c>
      <c r="VA92" s="826" t="e">
        <f>IF(VB87="Штраф 50%","",MID($SQ$5,UW92,UZ92))</f>
        <v>#VALUE!</v>
      </c>
      <c r="VB92" s="829"/>
      <c r="VG92" s="1004"/>
      <c r="VH92" s="1035"/>
      <c r="VI92" s="1036"/>
      <c r="VJ92" s="1036"/>
      <c r="VK92" s="1036"/>
      <c r="VL92" s="1036"/>
      <c r="VM92" s="1037"/>
      <c r="VN92" s="1037"/>
      <c r="VS92" s="1464"/>
      <c r="VT92" s="306"/>
      <c r="VU92" s="836" t="e">
        <f>SEARCH(" ",$SQ$6,VW91+1)+1</f>
        <v>#VALUE!</v>
      </c>
      <c r="VV92" s="306" t="s">
        <v>8432</v>
      </c>
      <c r="VW92" s="306" t="e">
        <f>SEARCH(VV92,$SQ$6,VU92)</f>
        <v>#VALUE!</v>
      </c>
      <c r="VX92" s="306" t="e">
        <f>VW92-VU92</f>
        <v>#VALUE!</v>
      </c>
      <c r="VY92" s="826" t="e">
        <f>IF(VZ87="Штраф 50%","",MID($SQ$6,VU92,VX92))</f>
        <v>#VALUE!</v>
      </c>
      <c r="VZ92" s="829"/>
      <c r="WE92" s="1004"/>
      <c r="WF92" s="1035"/>
      <c r="WG92" s="1036"/>
      <c r="WH92" s="1036"/>
      <c r="WI92" s="1036"/>
      <c r="WJ92" s="1036"/>
      <c r="WK92" s="1037"/>
      <c r="WL92" s="1037"/>
      <c r="WQ92" s="1464"/>
      <c r="WR92" s="306"/>
      <c r="WS92" s="836" t="e">
        <f>SEARCH(" ",$SQ$7,WU91+1)+1</f>
        <v>#VALUE!</v>
      </c>
      <c r="WT92" s="306" t="s">
        <v>8432</v>
      </c>
      <c r="WU92" s="306" t="e">
        <f>SEARCH(WT92,$SQ$7,WS92)</f>
        <v>#VALUE!</v>
      </c>
      <c r="WV92" s="306" t="e">
        <f>WU92-WS92</f>
        <v>#VALUE!</v>
      </c>
      <c r="WW92" s="826" t="e">
        <f>IF(WX87="Штраф 50%","",MID($SQ$7,WS92,WV92))</f>
        <v>#VALUE!</v>
      </c>
      <c r="WX92" s="829"/>
      <c r="XC92" s="1004"/>
      <c r="XD92" s="1035"/>
      <c r="XE92" s="1036"/>
      <c r="XF92" s="1036"/>
      <c r="XG92" s="1036"/>
      <c r="XH92" s="1036"/>
      <c r="XI92" s="1037"/>
      <c r="XJ92" s="1037"/>
      <c r="YG92" s="1464"/>
      <c r="YH92" s="306"/>
      <c r="YI92" s="836" t="e">
        <f>SEARCH(" ",$XU$3,YK91+1)+1</f>
        <v>#VALUE!</v>
      </c>
      <c r="YJ92" s="306" t="s">
        <v>8432</v>
      </c>
      <c r="YK92" s="306" t="e">
        <f>SEARCH(YJ92,$XU$3,YI92)</f>
        <v>#VALUE!</v>
      </c>
      <c r="YL92" s="306" t="e">
        <f>YK92-YI92</f>
        <v>#VALUE!</v>
      </c>
      <c r="YM92" s="826" t="e">
        <f>IF(YN87="Штраф 50%","",MID($XU$3,YI92,YL92))</f>
        <v>#VALUE!</v>
      </c>
      <c r="YN92" s="829"/>
      <c r="YS92" s="1464"/>
      <c r="YT92" s="306"/>
      <c r="YU92" s="836" t="e">
        <f>SEARCH(" ",$XU$4,YW91+1)+1</f>
        <v>#VALUE!</v>
      </c>
      <c r="YV92" s="306" t="s">
        <v>8432</v>
      </c>
      <c r="YW92" s="306" t="e">
        <f>SEARCH(YV92,$XU$4,YU92)</f>
        <v>#VALUE!</v>
      </c>
      <c r="YX92" s="306" t="e">
        <f>YW92-YU92</f>
        <v>#VALUE!</v>
      </c>
      <c r="YY92" s="826" t="e">
        <f>IF(YZ87="Штраф 50%","",MID($XU$4,YU92,YX92))</f>
        <v>#VALUE!</v>
      </c>
      <c r="YZ92" s="829"/>
      <c r="ZE92" s="1464"/>
      <c r="ZF92" s="306"/>
      <c r="ZG92" s="836" t="e">
        <f>SEARCH(" ",$XU$5,ZI91+1)+1</f>
        <v>#VALUE!</v>
      </c>
      <c r="ZH92" s="306" t="s">
        <v>8432</v>
      </c>
      <c r="ZI92" s="306" t="e">
        <f>SEARCH(ZH92,$XU$5,ZG92)</f>
        <v>#VALUE!</v>
      </c>
      <c r="ZJ92" s="306" t="e">
        <f>ZI92-ZG92</f>
        <v>#VALUE!</v>
      </c>
      <c r="ZK92" s="826" t="e">
        <f>IF(ZL87="Штраф 50%","",MID($XU$5,ZG92,ZJ92))</f>
        <v>#VALUE!</v>
      </c>
      <c r="ZL92" s="829"/>
      <c r="ZQ92" s="1464"/>
      <c r="ZR92" s="306"/>
      <c r="ZS92" s="836" t="e">
        <f>SEARCH(" ",$XU$6,ZU91+1)+1</f>
        <v>#VALUE!</v>
      </c>
      <c r="ZT92" s="306" t="s">
        <v>8432</v>
      </c>
      <c r="ZU92" s="306" t="e">
        <f>SEARCH(ZT92,$XU$6,ZS92)</f>
        <v>#VALUE!</v>
      </c>
      <c r="ZV92" s="306" t="e">
        <f>ZU92-ZS92</f>
        <v>#VALUE!</v>
      </c>
      <c r="ZW92" s="826" t="e">
        <f>IF(ZX87="Штраф 50%","",MID($XU$6,ZS92,ZV92))</f>
        <v>#VALUE!</v>
      </c>
      <c r="ZX92" s="829"/>
      <c r="AAC92" s="1464"/>
      <c r="AAD92" s="306"/>
      <c r="AAE92" s="836" t="e">
        <f>SEARCH(" ",$XU$7,AAG91+1)+1</f>
        <v>#VALUE!</v>
      </c>
      <c r="AAF92" s="306" t="s">
        <v>8432</v>
      </c>
      <c r="AAG92" s="306" t="e">
        <f>SEARCH(AAF92,$XU$7,AAE92)</f>
        <v>#VALUE!</v>
      </c>
      <c r="AAH92" s="306" t="e">
        <f>AAG92-AAE92</f>
        <v>#VALUE!</v>
      </c>
      <c r="AAI92" s="826" t="e">
        <f>IF(AAJ87="Штраф 50%","",MID($XU$7,AAE92,AAH92))</f>
        <v>#VALUE!</v>
      </c>
      <c r="AAJ92" s="829"/>
      <c r="AFE92" s="1464"/>
      <c r="AFF92" s="306"/>
      <c r="AFG92" s="836" t="e">
        <f>SEARCH(" ",AFD$4,AFI91+1)+1</f>
        <v>#VALUE!</v>
      </c>
      <c r="AFH92" s="306" t="s">
        <v>8432</v>
      </c>
      <c r="AFI92" s="306" t="e">
        <f>SEARCH(AFH92,AFD$4,AFG92)</f>
        <v>#VALUE!</v>
      </c>
      <c r="AFJ92" s="306" t="e">
        <f>AFI92-AFG92</f>
        <v>#VALUE!</v>
      </c>
      <c r="AFK92" s="826" t="e">
        <f>IF(AFL87="Штраф 50%","",MID(AFD$4,AFG92,AFJ92))</f>
        <v>#VALUE!</v>
      </c>
      <c r="AFL92" s="829"/>
      <c r="AFQ92" s="1464"/>
      <c r="AFR92" s="306"/>
      <c r="AFS92" s="836" t="e">
        <f>SEARCH(" ",AFP$4,AFU91+1)+1</f>
        <v>#VALUE!</v>
      </c>
      <c r="AFT92" s="306" t="s">
        <v>8432</v>
      </c>
      <c r="AFU92" s="306" t="e">
        <f>SEARCH(AFT92,AFP$4,AFS92)</f>
        <v>#VALUE!</v>
      </c>
      <c r="AFV92" s="306" t="e">
        <f>AFU92-AFS92</f>
        <v>#VALUE!</v>
      </c>
      <c r="AFW92" s="826" t="e">
        <f>IF(AFX87="Штраф 50%","",MID(AFP$4,AFS92,AFV92))</f>
        <v>#VALUE!</v>
      </c>
      <c r="AFX92" s="829"/>
      <c r="AGC92" s="1464"/>
      <c r="AGD92" s="306"/>
      <c r="AGE92" s="836" t="e">
        <f>SEARCH(" ",AGB$4,AGG91+1)+1</f>
        <v>#VALUE!</v>
      </c>
      <c r="AGF92" s="306" t="s">
        <v>8432</v>
      </c>
      <c r="AGG92" s="306" t="e">
        <f>SEARCH(AGF92,AGB$4,AGE92)</f>
        <v>#VALUE!</v>
      </c>
      <c r="AGH92" s="306" t="e">
        <f>AGG92-AGE92</f>
        <v>#VALUE!</v>
      </c>
      <c r="AGI92" s="826" t="e">
        <f>IF(AGJ87="Штраф 50%","",MID(AGB$4,AGE92,AGH92))</f>
        <v>#VALUE!</v>
      </c>
      <c r="AGJ92" s="829"/>
      <c r="AGO92" s="1464"/>
      <c r="AGP92" s="306"/>
      <c r="AGQ92" s="836" t="e">
        <f>SEARCH(" ",AGN$4,AGS91+1)+1</f>
        <v>#VALUE!</v>
      </c>
      <c r="AGR92" s="306" t="s">
        <v>8432</v>
      </c>
      <c r="AGS92" s="306" t="e">
        <f>SEARCH(AGR92,AGN$4,AGQ92)</f>
        <v>#VALUE!</v>
      </c>
      <c r="AGT92" s="306" t="e">
        <f>AGS92-AGQ92</f>
        <v>#VALUE!</v>
      </c>
      <c r="AGU92" s="826" t="e">
        <f>IF(AGV87="Штраф 50%","",MID(AGN$4,AGQ92,AGT92))</f>
        <v>#VALUE!</v>
      </c>
      <c r="AGV92" s="829"/>
      <c r="AHA92" s="1464"/>
      <c r="AHB92" s="306"/>
      <c r="AHC92" s="836" t="e">
        <f>SEARCH(" ",AGZ$4,AHE91+1)+1</f>
        <v>#VALUE!</v>
      </c>
      <c r="AHD92" s="306" t="s">
        <v>8432</v>
      </c>
      <c r="AHE92" s="306" t="e">
        <f>SEARCH(AHD92,AGZ$4,AHC92)</f>
        <v>#VALUE!</v>
      </c>
      <c r="AHF92" s="306" t="e">
        <f>AHE92-AHC92</f>
        <v>#VALUE!</v>
      </c>
      <c r="AHG92" s="826" t="e">
        <f>IF(AHH87="Штраф 50%","",MID(AGZ$4,AHC92,AHF92))</f>
        <v>#VALUE!</v>
      </c>
      <c r="AHH92" s="829"/>
    </row>
    <row r="93" spans="2:893" ht="15" thickBot="1" x14ac:dyDescent="0.35">
      <c r="B93" s="116"/>
      <c r="C93" s="116"/>
      <c r="D93" s="116"/>
      <c r="E93" s="116"/>
      <c r="F93" s="116"/>
      <c r="G93" s="116"/>
      <c r="H93" s="116"/>
      <c r="I93" s="116"/>
      <c r="DT93" t="s">
        <v>9246</v>
      </c>
      <c r="DU93" s="10" t="s">
        <v>8280</v>
      </c>
      <c r="DV93" s="1465"/>
      <c r="DW93" s="583"/>
      <c r="DX93" s="837"/>
      <c r="DY93" s="583"/>
      <c r="DZ93" s="583"/>
      <c r="EA93" s="583"/>
      <c r="EB93" s="831" t="e">
        <f>VALUE(CONCATENATE(EB91,",",EB92))</f>
        <v>#VALUE!</v>
      </c>
      <c r="EC93" s="832" t="str">
        <f>IF(EC87="Штраф 50%","",IF(OR(DY90=" в размере",DY87=" в размере"),EB93,""))</f>
        <v/>
      </c>
      <c r="NK93" s="1465"/>
      <c r="NL93" s="583"/>
      <c r="NM93" s="837"/>
      <c r="NN93" s="583"/>
      <c r="NO93" s="583"/>
      <c r="NP93" s="583"/>
      <c r="NQ93" s="831" t="e">
        <f>VALUE(CONCATENATE(NQ91,",",NQ92))</f>
        <v>#VALUE!</v>
      </c>
      <c r="NR93" s="832" t="str">
        <f>IF(NR87="Штраф 50%","",IF(OR(NN90=" в размере",NN87=" в размере"),NQ93,""))</f>
        <v/>
      </c>
      <c r="SY93" s="1465"/>
      <c r="SZ93" s="583"/>
      <c r="TA93" s="837"/>
      <c r="TB93" s="583"/>
      <c r="TC93" s="583"/>
      <c r="TD93" s="583"/>
      <c r="TE93" s="831" t="e">
        <f>VALUE(CONCATENATE(TE91,",",TE92))</f>
        <v>#VALUE!</v>
      </c>
      <c r="TF93" s="832" t="str">
        <f>IF(OR(TF87="Штраф 50%",TF87=""),"",TE93)</f>
        <v/>
      </c>
      <c r="TK93" s="1004"/>
      <c r="TL93" s="1035"/>
      <c r="TM93" s="1036"/>
      <c r="TN93" s="1036"/>
      <c r="TO93" s="1036"/>
      <c r="TP93" s="1036"/>
      <c r="TQ93" s="1037"/>
      <c r="TR93" s="1004"/>
      <c r="TW93" s="1465"/>
      <c r="TX93" s="583"/>
      <c r="TY93" s="837"/>
      <c r="TZ93" s="583"/>
      <c r="UA93" s="583"/>
      <c r="UB93" s="583"/>
      <c r="UC93" s="831" t="e">
        <f>VALUE(CONCATENATE(UC91,",",UC92))</f>
        <v>#VALUE!</v>
      </c>
      <c r="UD93" s="832" t="str">
        <f>IF(OR(UD87="Штраф 50%",UD87=""),"",UC93)</f>
        <v/>
      </c>
      <c r="UI93" s="1004"/>
      <c r="UJ93" s="1035"/>
      <c r="UK93" s="1036"/>
      <c r="UL93" s="1036"/>
      <c r="UM93" s="1036"/>
      <c r="UN93" s="1036"/>
      <c r="UO93" s="1037"/>
      <c r="UP93" s="1004"/>
      <c r="UU93" s="1465"/>
      <c r="UV93" s="583"/>
      <c r="UW93" s="837"/>
      <c r="UX93" s="583"/>
      <c r="UY93" s="583"/>
      <c r="UZ93" s="583"/>
      <c r="VA93" s="831" t="e">
        <f>VALUE(CONCATENATE(VA91,",",VA92))</f>
        <v>#VALUE!</v>
      </c>
      <c r="VB93" s="832" t="str">
        <f>IF(OR(VB87="Штраф 50%",VB87=""),"",VA93)</f>
        <v/>
      </c>
      <c r="VG93" s="1004"/>
      <c r="VH93" s="1035"/>
      <c r="VI93" s="1036"/>
      <c r="VJ93" s="1036"/>
      <c r="VK93" s="1036"/>
      <c r="VL93" s="1036"/>
      <c r="VM93" s="1037"/>
      <c r="VN93" s="1004"/>
      <c r="VS93" s="1465"/>
      <c r="VT93" s="583"/>
      <c r="VU93" s="837"/>
      <c r="VV93" s="583"/>
      <c r="VW93" s="583"/>
      <c r="VX93" s="583"/>
      <c r="VY93" s="831" t="e">
        <f>VALUE(CONCATENATE(VY91,",",VY92))</f>
        <v>#VALUE!</v>
      </c>
      <c r="VZ93" s="832" t="str">
        <f>IF(OR(VZ87="Штраф 50%",VZ87=""),"",VY93)</f>
        <v/>
      </c>
      <c r="WE93" s="1004"/>
      <c r="WF93" s="1035"/>
      <c r="WG93" s="1036"/>
      <c r="WH93" s="1036"/>
      <c r="WI93" s="1036"/>
      <c r="WJ93" s="1036"/>
      <c r="WK93" s="1037"/>
      <c r="WL93" s="1004"/>
      <c r="WQ93" s="1465"/>
      <c r="WR93" s="583"/>
      <c r="WS93" s="837"/>
      <c r="WT93" s="583"/>
      <c r="WU93" s="583"/>
      <c r="WV93" s="583"/>
      <c r="WW93" s="831" t="e">
        <f>VALUE(CONCATENATE(WW91,",",WW92))</f>
        <v>#VALUE!</v>
      </c>
      <c r="WX93" s="832" t="str">
        <f>IF(OR(WX87="Штраф 50%",WX87=""),"",WW93)</f>
        <v/>
      </c>
      <c r="XC93" s="1004"/>
      <c r="XD93" s="1035"/>
      <c r="XE93" s="1036"/>
      <c r="XF93" s="1036"/>
      <c r="XG93" s="1036"/>
      <c r="XH93" s="1036"/>
      <c r="XI93" s="1037"/>
      <c r="XJ93" s="1004"/>
      <c r="YG93" s="1465"/>
      <c r="YH93" s="583"/>
      <c r="YI93" s="837"/>
      <c r="YJ93" s="583"/>
      <c r="YK93" s="583"/>
      <c r="YL93" s="583"/>
      <c r="YM93" s="831" t="e">
        <f>VALUE(CONCATENATE(YM91,",",YM92))</f>
        <v>#VALUE!</v>
      </c>
      <c r="YN93" s="832" t="str">
        <f>IF(YN87="Штраф 50%","",IF(OR(YJ90=" в размере",YJ87=" в размере"),YM93,""))</f>
        <v/>
      </c>
      <c r="YS93" s="1465"/>
      <c r="YT93" s="583"/>
      <c r="YU93" s="837"/>
      <c r="YV93" s="583"/>
      <c r="YW93" s="583"/>
      <c r="YX93" s="583"/>
      <c r="YY93" s="831" t="e">
        <f>VALUE(CONCATENATE(YY91,",",YY92))</f>
        <v>#VALUE!</v>
      </c>
      <c r="YZ93" s="832" t="str">
        <f>IF(YZ87="Штраф 50%","",IF(OR(YV90=" в размере",YV87=" в размере"),YY93,""))</f>
        <v/>
      </c>
      <c r="ZE93" s="1465"/>
      <c r="ZF93" s="583"/>
      <c r="ZG93" s="837"/>
      <c r="ZH93" s="583"/>
      <c r="ZI93" s="583"/>
      <c r="ZJ93" s="583"/>
      <c r="ZK93" s="831" t="e">
        <f>VALUE(CONCATENATE(ZK91,",",ZK92))</f>
        <v>#VALUE!</v>
      </c>
      <c r="ZL93" s="832" t="str">
        <f>IF(ZL87="Штраф 50%","",IF(OR(ZH90=" в размере",ZH87=" в размере"),ZK93,""))</f>
        <v/>
      </c>
      <c r="ZQ93" s="1465"/>
      <c r="ZR93" s="583"/>
      <c r="ZS93" s="837"/>
      <c r="ZT93" s="583"/>
      <c r="ZU93" s="583"/>
      <c r="ZV93" s="583"/>
      <c r="ZW93" s="831" t="e">
        <f>VALUE(CONCATENATE(ZW91,",",ZW92))</f>
        <v>#VALUE!</v>
      </c>
      <c r="ZX93" s="832" t="str">
        <f>IF(ZX87="Штраф 50%","",IF(OR(ZT90=" в размере",ZT87=" в размере"),ZW93,""))</f>
        <v/>
      </c>
      <c r="AAC93" s="1465"/>
      <c r="AAD93" s="583"/>
      <c r="AAE93" s="837"/>
      <c r="AAF93" s="583"/>
      <c r="AAG93" s="583"/>
      <c r="AAH93" s="583"/>
      <c r="AAI93" s="831" t="e">
        <f>VALUE(CONCATENATE(AAI91,",",AAI92))</f>
        <v>#VALUE!</v>
      </c>
      <c r="AAJ93" s="832" t="str">
        <f>IF(AAJ87="Штраф 50%","",IF(OR(AAF90=" в размере",AAF87=" в размере"),AAI93,""))</f>
        <v/>
      </c>
      <c r="AFE93" s="1465"/>
      <c r="AFF93" s="583"/>
      <c r="AFG93" s="837"/>
      <c r="AFH93" s="583"/>
      <c r="AFI93" s="583"/>
      <c r="AFJ93" s="583"/>
      <c r="AFK93" s="831" t="e">
        <f>VALUE(CONCATENATE(AFK91,",",AFK92))</f>
        <v>#VALUE!</v>
      </c>
      <c r="AFL93" s="832" t="str">
        <f>IF(AFL87="Штраф 50%","",IF(OR(AFH90=" в размере",AFH87=" в размере"),AFK93,""))</f>
        <v/>
      </c>
      <c r="AFQ93" s="1465"/>
      <c r="AFR93" s="583"/>
      <c r="AFS93" s="837"/>
      <c r="AFT93" s="583"/>
      <c r="AFU93" s="583"/>
      <c r="AFV93" s="583"/>
      <c r="AFW93" s="831" t="e">
        <f>VALUE(CONCATENATE(AFW91,",",AFW92))</f>
        <v>#VALUE!</v>
      </c>
      <c r="AFX93" s="832" t="str">
        <f>IF(AFX87="Штраф 50%","",IF(OR(AFT90=" в размере",AFT87=" в размере"),AFW93,""))</f>
        <v/>
      </c>
      <c r="AGC93" s="1465"/>
      <c r="AGD93" s="583"/>
      <c r="AGE93" s="837"/>
      <c r="AGF93" s="583"/>
      <c r="AGG93" s="583"/>
      <c r="AGH93" s="583"/>
      <c r="AGI93" s="831" t="e">
        <f>VALUE(CONCATENATE(AGI91,",",AGI92))</f>
        <v>#VALUE!</v>
      </c>
      <c r="AGJ93" s="832" t="str">
        <f>IF(AGJ87="Штраф 50%","",IF(OR(AGF90=" в размере",AGF87=" в размере"),AGI93,""))</f>
        <v/>
      </c>
      <c r="AGO93" s="1465"/>
      <c r="AGP93" s="583"/>
      <c r="AGQ93" s="837"/>
      <c r="AGR93" s="583"/>
      <c r="AGS93" s="583"/>
      <c r="AGT93" s="583"/>
      <c r="AGU93" s="831" t="e">
        <f>VALUE(CONCATENATE(AGU91,",",AGU92))</f>
        <v>#VALUE!</v>
      </c>
      <c r="AGV93" s="832" t="str">
        <f>IF(AGV87="Штраф 50%","",IF(OR(AGR90=" в размере",AGR87=" в размере"),AGU93,""))</f>
        <v/>
      </c>
      <c r="AHA93" s="1465"/>
      <c r="AHB93" s="583"/>
      <c r="AHC93" s="837"/>
      <c r="AHD93" s="583"/>
      <c r="AHE93" s="583"/>
      <c r="AHF93" s="583"/>
      <c r="AHG93" s="831" t="e">
        <f>VALUE(CONCATENATE(AHG91,",",AHG92))</f>
        <v>#VALUE!</v>
      </c>
      <c r="AHH93" s="832" t="str">
        <f>IF(AHH87="Штраф 50%","",IF(OR(AHD90=" в размере",AHD87=" в размере"),AHG93,""))</f>
        <v/>
      </c>
    </row>
    <row r="94" spans="2:893" ht="15" thickTop="1" x14ac:dyDescent="0.3">
      <c r="B94" s="116"/>
      <c r="C94" s="116"/>
      <c r="D94" s="116"/>
      <c r="E94" s="116"/>
      <c r="F94" s="116"/>
      <c r="G94" s="116"/>
      <c r="H94" s="116"/>
      <c r="I94" s="116"/>
      <c r="DT94" t="s">
        <v>9247</v>
      </c>
      <c r="DU94" s="821" t="s">
        <v>1246</v>
      </c>
      <c r="DV94" s="1463">
        <v>14</v>
      </c>
      <c r="DW94" s="824" t="s">
        <v>8433</v>
      </c>
      <c r="DX94" s="838" t="e">
        <f>SEARCH(DS$4,$C$3,DZ87)+LEN(DS$4)</f>
        <v>#VALUE!</v>
      </c>
      <c r="DY94" s="406" t="str">
        <f>IF(DZ94=IFERROR(SEARCH(".",C$3,DX94),99999),".",
IF(DZ94=IFERROR(SEARCH(",",C$3,DX94),99999),",",
IF(DZ94=IFERROR(SEARCH(" за период",C$3,DX94),999999)," за период",
IF(DZ94=IFERROR(SEARCH(" в размере",C$3,DX94),99999)," в размере",
))))</f>
        <v>.</v>
      </c>
      <c r="DZ94" s="406">
        <f>IFERROR(MIN(IFERROR(SEARCH(".",$C$3,DX94),99999),IFERROR(SEARCH(",",$C$3,DX94),99999),IFERROR(SEARCH(" за период",$C$3,DX94),999999),IFERROR(SEARCH(" в размере",$C$3,DX94),99999)),"ОШИБКА")</f>
        <v>99999</v>
      </c>
      <c r="EA94" s="406" t="e">
        <f>DZ94-DX94</f>
        <v>#VALUE!</v>
      </c>
      <c r="EB94" s="824" t="e">
        <f>MID($C$3,DX94,EA94)</f>
        <v>#VALUE!</v>
      </c>
      <c r="EC94" s="825" t="str">
        <f>IFERROR(INDEX(DU:DU,MATCH(MID($C$3,DX94,EA94),DT:DT,0),1),"")</f>
        <v/>
      </c>
      <c r="ED94" s="754"/>
      <c r="NK94" s="1463">
        <v>14</v>
      </c>
      <c r="NL94" s="824" t="s">
        <v>8433</v>
      </c>
      <c r="NM94" s="838" t="e">
        <f>SEARCH(NH$4,NJ$4,NO87)+LEN(NH$4)</f>
        <v>#VALUE!</v>
      </c>
      <c r="NN94" s="406" t="str">
        <f>IF(NO94=IFERROR(SEARCH(".",NJ$4,NM94),99999),".",
IF(NO94=IFERROR(SEARCH(",",NJ$4,NM94),99999),",",
IF(NO94=IFERROR(SEARCH(" за период",NJ$4,NM94),999999)," за период",
IF(NO94=IFERROR(SEARCH(" в размере",NJ$4,NM94),99999)," в размере",
))))</f>
        <v>.</v>
      </c>
      <c r="NO94" s="406">
        <f>IFERROR(MIN(IFERROR(SEARCH(".",NJ$4,NM94),99999),IFERROR(SEARCH(",",NJ$4,NM94),99999),IFERROR(SEARCH(" за период",NJ$4,NM94),999999),IFERROR(SEARCH(" в размере",NJ$4,NM94),99999)),"ОШИБКА")</f>
        <v>99999</v>
      </c>
      <c r="NP94" s="406" t="e">
        <f>NO94-NM94</f>
        <v>#VALUE!</v>
      </c>
      <c r="NQ94" s="824" t="e">
        <f>MID(NJ$4,NM94,NP94)</f>
        <v>#VALUE!</v>
      </c>
      <c r="NR94" s="825" t="str">
        <f>IFERROR(INDEX($DU:$DU,MATCH(MID(NJ$4,NM94,NP94),$DT:$DT,0),1),"")</f>
        <v/>
      </c>
      <c r="NS94" s="754"/>
      <c r="NT94" s="754"/>
      <c r="SY94" s="1463">
        <v>14</v>
      </c>
      <c r="SZ94" s="824" t="s">
        <v>8433</v>
      </c>
      <c r="TA94" s="838" t="e">
        <f>SEARCH(SV$4,$SQ$3,TC87)+LEN(SV$4)</f>
        <v>#VALUE!</v>
      </c>
      <c r="TB94" s="406" t="str">
        <f>IF(TC94=IFERROR(SEARCH(".",$SQ$3,TA94),99999),".",
IF(TC94=IFERROR(SEARCH(",",$SQ$3,TA94),99999),",",
IF(TC94=IFERROR(SEARCH(" за период",$SQ$3,TA94),999999)," за период",
IF(TC94=IFERROR(SEARCH(" в размере",$SQ$3,TA94),99999)," в размере",
))))</f>
        <v>.</v>
      </c>
      <c r="TC94" s="406">
        <f>IFERROR(MIN(IFERROR(SEARCH(".",$SQ$3,TA94),99999),IFERROR(SEARCH(",",$SQ$3,TA94),99999),IFERROR(SEARCH(" за период",$SQ$3,TA94),999999),IFERROR(SEARCH(" в размере",$SQ$3,TA94),99999)),"ОШИБКА")</f>
        <v>99999</v>
      </c>
      <c r="TD94" s="406" t="e">
        <f>TC94-TA94</f>
        <v>#VALUE!</v>
      </c>
      <c r="TE94" s="824" t="e">
        <f>MID($SQ$3,TA94,TD94)</f>
        <v>#VALUE!</v>
      </c>
      <c r="TF94" s="825" t="str">
        <f>IFERROR(INDEX($DU:$DU,MATCH(MID($SQ$3,TA94,TD94),$DT:$DT,0),1),"")</f>
        <v/>
      </c>
      <c r="TG94" s="754"/>
      <c r="TK94" s="1004"/>
      <c r="TL94" s="1004"/>
      <c r="TM94" s="1036"/>
      <c r="TN94" s="1036"/>
      <c r="TO94" s="1036"/>
      <c r="TP94" s="1036"/>
      <c r="TQ94" s="1035"/>
      <c r="TR94" s="1004"/>
      <c r="TS94" s="754"/>
      <c r="TW94" s="1463">
        <v>14</v>
      </c>
      <c r="TX94" s="824" t="s">
        <v>8433</v>
      </c>
      <c r="TY94" s="838" t="e">
        <f>SEARCH(TT$4,$SQ$4,UA87)+LEN(TT$4)</f>
        <v>#VALUE!</v>
      </c>
      <c r="TZ94" s="406" t="str">
        <f>IF(UA94=IFERROR(SEARCH(".",$SQ$4,TY94),99999),".",
IF(UA94=IFERROR(SEARCH(",",$SQ$4,TY94),99999),",",
IF(UA94=IFERROR(SEARCH(" за период",$SQ$4,TY94),999999)," за период",
IF(UA94=IFERROR(SEARCH(" в размере",$SQ$4,TY94),99999)," в размере",
))))</f>
        <v>.</v>
      </c>
      <c r="UA94" s="406">
        <f>IFERROR(MIN(IFERROR(SEARCH(".",$SQ$4,TY94),99999),IFERROR(SEARCH(",",$SQ$4,TY94),99999),IFERROR(SEARCH(" за период",$SQ$4,TY94),999999),IFERROR(SEARCH(" в размере",$SQ$4,TY94),99999)),"ОШИБКА")</f>
        <v>99999</v>
      </c>
      <c r="UB94" s="406" t="e">
        <f>UA94-TY94</f>
        <v>#VALUE!</v>
      </c>
      <c r="UC94" s="824" t="e">
        <f>MID($SQ$4,TY94,UB94)</f>
        <v>#VALUE!</v>
      </c>
      <c r="UD94" s="825" t="str">
        <f>IFERROR(INDEX($DU:$DU,MATCH(MID($SQ$4,TY94,UB94),$DT:$DT,0),1),"")</f>
        <v/>
      </c>
      <c r="UE94" s="754"/>
      <c r="UI94" s="1004"/>
      <c r="UJ94" s="1004"/>
      <c r="UK94" s="1036"/>
      <c r="UL94" s="1036"/>
      <c r="UM94" s="1036"/>
      <c r="UN94" s="1036"/>
      <c r="UO94" s="1035"/>
      <c r="UP94" s="1004"/>
      <c r="UQ94" s="754"/>
      <c r="UU94" s="1463">
        <v>14</v>
      </c>
      <c r="UV94" s="824" t="s">
        <v>8433</v>
      </c>
      <c r="UW94" s="838" t="e">
        <f>SEARCH(UR$4,$SQ$5,UY87)+LEN(UR$4)</f>
        <v>#VALUE!</v>
      </c>
      <c r="UX94" s="406" t="str">
        <f>IF(UY94=IFERROR(SEARCH(".",$SQ$5,UW94),99999),".",
IF(UY94=IFERROR(SEARCH(",",$SQ$5,UW94),99999),",",
IF(UY94=IFERROR(SEARCH(" за период",$SQ$5,UW94),999999)," за период",
IF(UY94=IFERROR(SEARCH(" в размере",$SQ$5,UW94),99999)," в размере",
))))</f>
        <v>.</v>
      </c>
      <c r="UY94" s="406">
        <f>IFERROR(MIN(IFERROR(SEARCH(".",$SQ$5,UW94),99999),IFERROR(SEARCH(",",$SQ$5,UW94),99999),IFERROR(SEARCH(" за период",$SQ$5,UW94),999999),IFERROR(SEARCH(" в размере",$SQ$5,UW94),99999)),"ОШИБКА")</f>
        <v>99999</v>
      </c>
      <c r="UZ94" s="406" t="e">
        <f>UY94-UW94</f>
        <v>#VALUE!</v>
      </c>
      <c r="VA94" s="824" t="e">
        <f>MID($SQ$5,UW94,UZ94)</f>
        <v>#VALUE!</v>
      </c>
      <c r="VB94" s="825" t="str">
        <f>IFERROR(INDEX($DU:$DU,MATCH(MID($SQ$5,UW94,UZ94),$DT:$DT,0),1),"")</f>
        <v/>
      </c>
      <c r="VC94" s="754"/>
      <c r="VG94" s="1004"/>
      <c r="VH94" s="1004"/>
      <c r="VI94" s="1036"/>
      <c r="VJ94" s="1036"/>
      <c r="VK94" s="1036"/>
      <c r="VL94" s="1036"/>
      <c r="VM94" s="1035"/>
      <c r="VN94" s="1004"/>
      <c r="VO94" s="754"/>
      <c r="VS94" s="1463">
        <v>14</v>
      </c>
      <c r="VT94" s="824" t="s">
        <v>8433</v>
      </c>
      <c r="VU94" s="838" t="e">
        <f>SEARCH(VP$4,$SQ$6,VW87)+LEN(VP$4)</f>
        <v>#VALUE!</v>
      </c>
      <c r="VV94" s="406" t="str">
        <f>IF(VW94=IFERROR(SEARCH(".",$SQ$6,VU94),99999),".",
IF(VW94=IFERROR(SEARCH(",",$SQ$6,VU94),99999),",",
IF(VW94=IFERROR(SEARCH(" за период",$SQ$6,VU94),999999)," за период",
IF(VW94=IFERROR(SEARCH(" в размере",$SQ$6,VU94),99999)," в размере",
))))</f>
        <v>.</v>
      </c>
      <c r="VW94" s="406">
        <f>IFERROR(MIN(IFERROR(SEARCH(".",$SQ$6,VU94),99999),IFERROR(SEARCH(",",$SQ$6,VU94),99999),IFERROR(SEARCH(" за период",$SQ$6,VU94),999999),IFERROR(SEARCH(" в размере",$SQ$6,VU94),99999)),"ОШИБКА")</f>
        <v>99999</v>
      </c>
      <c r="VX94" s="406" t="e">
        <f>VW94-VU94</f>
        <v>#VALUE!</v>
      </c>
      <c r="VY94" s="824" t="e">
        <f>MID($SQ$6,VU94,VX94)</f>
        <v>#VALUE!</v>
      </c>
      <c r="VZ94" s="825" t="str">
        <f>IFERROR(INDEX($DU:$DU,MATCH(MID($SQ$6,VU94,VX94),$DT:$DT,0),1),"")</f>
        <v/>
      </c>
      <c r="WA94" s="754"/>
      <c r="WE94" s="1004"/>
      <c r="WF94" s="1004"/>
      <c r="WG94" s="1036"/>
      <c r="WH94" s="1036"/>
      <c r="WI94" s="1036"/>
      <c r="WJ94" s="1036"/>
      <c r="WK94" s="1035"/>
      <c r="WL94" s="1004"/>
      <c r="WM94" s="754"/>
      <c r="WQ94" s="1463">
        <v>14</v>
      </c>
      <c r="WR94" s="824" t="s">
        <v>8433</v>
      </c>
      <c r="WS94" s="838" t="e">
        <f>SEARCH(WN$4,$SQ$7,WU87)+LEN(WN$4)</f>
        <v>#VALUE!</v>
      </c>
      <c r="WT94" s="406" t="str">
        <f>IF(WU94=IFERROR(SEARCH(".",$SQ$7,WS94),99999),".",
IF(WU94=IFERROR(SEARCH(",",$SQ$7,WS94),99999),",",
IF(WU94=IFERROR(SEARCH(" за период",$SQ$7,WS94),999999)," за период",
IF(WU94=IFERROR(SEARCH(" в размере",$SQ$7,WS94),99999)," в размере",
))))</f>
        <v>.</v>
      </c>
      <c r="WU94" s="406">
        <f>IFERROR(MIN(IFERROR(SEARCH(".",$SQ$7,WS94),99999),IFERROR(SEARCH(",",$SQ$7,WS94),99999),IFERROR(SEARCH(" за период",$SQ$7,WS94),999999),IFERROR(SEARCH(" в размере",$SQ$7,WS94),99999)),"ОШИБКА")</f>
        <v>99999</v>
      </c>
      <c r="WV94" s="406" t="e">
        <f>WU94-WS94</f>
        <v>#VALUE!</v>
      </c>
      <c r="WW94" s="824" t="e">
        <f>MID($SQ$7,WS94,WV94)</f>
        <v>#VALUE!</v>
      </c>
      <c r="WX94" s="825" t="str">
        <f>IFERROR(INDEX($DU:$DU,MATCH(MID($SQ$7,WS94,WV94),$DT:$DT,0),1),"")</f>
        <v/>
      </c>
      <c r="WY94" s="754"/>
      <c r="XC94" s="1004"/>
      <c r="XD94" s="1004"/>
      <c r="XE94" s="1036"/>
      <c r="XF94" s="1036"/>
      <c r="XG94" s="1036"/>
      <c r="XH94" s="1036"/>
      <c r="XI94" s="1035"/>
      <c r="XJ94" s="1004"/>
      <c r="XK94" s="754"/>
      <c r="YG94" s="1463">
        <v>14</v>
      </c>
      <c r="YH94" s="824" t="s">
        <v>8433</v>
      </c>
      <c r="YI94" s="838" t="e">
        <f>SEARCH(YD$4,$XU$3,YK87)+LEN(YD$4)</f>
        <v>#VALUE!</v>
      </c>
      <c r="YJ94" s="406" t="str">
        <f>IF(YK94=IFERROR(SEARCH(".",$XU$3,YI94),99999),".",
IF(YK94=IFERROR(SEARCH(",",$XU$3,YI94),99999),",",
IF(YK94=IFERROR(SEARCH(" за период",$XU$3,YI94),999999)," за период",
IF(YK94=IFERROR(SEARCH(" в размере",$XU$3,YI94),99999)," в размере",
))))</f>
        <v>.</v>
      </c>
      <c r="YK94" s="406">
        <f>IFERROR(MIN(IFERROR(SEARCH(".",$XU$3,YI94),99999),IFERROR(SEARCH(",",$XU$3,YI94),99999),IFERROR(SEARCH(" за период",$XU$3,YI94),999999),IFERROR(SEARCH(" в размере",$XU$3,YI94),99999)),"ОШИБКА")</f>
        <v>99999</v>
      </c>
      <c r="YL94" s="406" t="e">
        <f>YK94-YI94</f>
        <v>#VALUE!</v>
      </c>
      <c r="YM94" s="824" t="e">
        <f>MID($XU$3,YI94,YL94)</f>
        <v>#VALUE!</v>
      </c>
      <c r="YN94" s="825" t="str">
        <f>IFERROR(INDEX($DU:$DU,MATCH(MID($XU$3,YI94,YL94),$DT:$DT,0),1),"")</f>
        <v/>
      </c>
      <c r="YO94" s="754"/>
      <c r="YS94" s="1463">
        <v>14</v>
      </c>
      <c r="YT94" s="824" t="s">
        <v>8433</v>
      </c>
      <c r="YU94" s="838" t="e">
        <f>SEARCH(YP$4,$XU$4,YW87)+LEN(YP$4)</f>
        <v>#VALUE!</v>
      </c>
      <c r="YV94" s="406" t="str">
        <f>IF(YW94=IFERROR(SEARCH(".",$XU$4,YU94),99999),".",
IF(YW94=IFERROR(SEARCH(",",$XU$4,YU94),99999),",",
IF(YW94=IFERROR(SEARCH(" за период",$XU$4,YU94),999999)," за период",
IF(YW94=IFERROR(SEARCH(" в размере",$XU$4,YU94),99999)," в размере",
))))</f>
        <v>.</v>
      </c>
      <c r="YW94" s="406">
        <f>IFERROR(MIN(IFERROR(SEARCH(".",$XU$4,YU94),99999),IFERROR(SEARCH(",",$XU$4,YU94),99999),IFERROR(SEARCH(" за период",$XU$4,YU94),999999),IFERROR(SEARCH(" в размере",$XU$4,YU94),99999)),"ОШИБКА")</f>
        <v>99999</v>
      </c>
      <c r="YX94" s="406" t="e">
        <f>YW94-YU94</f>
        <v>#VALUE!</v>
      </c>
      <c r="YY94" s="824" t="e">
        <f>MID($XU$4,YU94,YX94)</f>
        <v>#VALUE!</v>
      </c>
      <c r="YZ94" s="825" t="str">
        <f>IFERROR(INDEX(EE:EE,MATCH(MID($XU$4,YU94,YX94),ED:ED,0),1),"")</f>
        <v/>
      </c>
      <c r="ZA94" s="754"/>
      <c r="ZE94" s="1463">
        <v>14</v>
      </c>
      <c r="ZF94" s="824" t="s">
        <v>8433</v>
      </c>
      <c r="ZG94" s="838" t="e">
        <f>SEARCH(ZB$4,$XU$5,ZI87)+LEN(ZB$4)</f>
        <v>#VALUE!</v>
      </c>
      <c r="ZH94" s="406" t="str">
        <f>IF(ZI94=IFERROR(SEARCH(".",$XU$5,ZG94),99999),".",
IF(ZI94=IFERROR(SEARCH(",",$XU$5,ZG94),99999),",",
IF(ZI94=IFERROR(SEARCH(" за период",$XU$5,ZG94),999999)," за период",
IF(ZI94=IFERROR(SEARCH(" в размере",$XU$5,ZG94),99999)," в размере",
))))</f>
        <v>.</v>
      </c>
      <c r="ZI94" s="406">
        <f>IFERROR(MIN(IFERROR(SEARCH(".",$XU$5,ZG94),99999),IFERROR(SEARCH(",",$XU$5,ZG94),99999),IFERROR(SEARCH(" за период",$XU$5,ZG94),999999),IFERROR(SEARCH(" в размере",$XU$5,ZG94),99999)),"ОШИБКА")</f>
        <v>99999</v>
      </c>
      <c r="ZJ94" s="406" t="e">
        <f>ZI94-ZG94</f>
        <v>#VALUE!</v>
      </c>
      <c r="ZK94" s="824" t="e">
        <f>MID($XU$5,ZG94,ZJ94)</f>
        <v>#VALUE!</v>
      </c>
      <c r="ZL94" s="825" t="str">
        <f>IFERROR(INDEX($DU:$DU,MATCH(MID($XU$5,ZG94,ZJ94),$DT:$DT,0),1),"")</f>
        <v/>
      </c>
      <c r="ZM94" s="754"/>
      <c r="ZQ94" s="1463">
        <v>14</v>
      </c>
      <c r="ZR94" s="824" t="s">
        <v>8433</v>
      </c>
      <c r="ZS94" s="838" t="e">
        <f>SEARCH(ZN$4,$XU$6,ZU87)+LEN(ZN$4)</f>
        <v>#VALUE!</v>
      </c>
      <c r="ZT94" s="406" t="str">
        <f>IF(ZU94=IFERROR(SEARCH(".",$XU$6,ZS94),99999),".",
IF(ZU94=IFERROR(SEARCH(",",$XU$6,ZS94),99999),",",
IF(ZU94=IFERROR(SEARCH(" за период",$XU$6,ZS94),999999)," за период",
IF(ZU94=IFERROR(SEARCH(" в размере",$XU$6,ZS94),99999)," в размере",
))))</f>
        <v>.</v>
      </c>
      <c r="ZU94" s="406">
        <f>IFERROR(MIN(IFERROR(SEARCH(".",$XU$6,ZS94),99999),IFERROR(SEARCH(",",$XU$6,ZS94),99999),IFERROR(SEARCH(" за период",$XU$6,ZS94),999999),IFERROR(SEARCH(" в размере",$XU$6,ZS94),99999)),"ОШИБКА")</f>
        <v>99999</v>
      </c>
      <c r="ZV94" s="406" t="e">
        <f>ZU94-ZS94</f>
        <v>#VALUE!</v>
      </c>
      <c r="ZW94" s="824" t="e">
        <f>MID($XU$6,ZS94,ZV94)</f>
        <v>#VALUE!</v>
      </c>
      <c r="ZX94" s="825" t="str">
        <f>IFERROR(INDEX($DU:$DU,MATCH(MID($XU$6,ZS94,ZV94),$DT:$DT,0),1),"")</f>
        <v/>
      </c>
      <c r="ZY94" s="754"/>
      <c r="AAC94" s="1463">
        <v>14</v>
      </c>
      <c r="AAD94" s="824" t="s">
        <v>8433</v>
      </c>
      <c r="AAE94" s="838" t="e">
        <f>SEARCH(ZZ$4,$XU$7,AAG87)+LEN(ZZ$4)</f>
        <v>#VALUE!</v>
      </c>
      <c r="AAF94" s="406" t="str">
        <f>IF(AAG94=IFERROR(SEARCH(".",$XU$7,AAE94),99999),".",
IF(AAG94=IFERROR(SEARCH(",",$XU$7,AAE94),99999),",",
IF(AAG94=IFERROR(SEARCH(" за период",$XU$7,AAE94),999999)," за период",
IF(AAG94=IFERROR(SEARCH(" в размере",$XU$7,AAE94),99999)," в размере",
))))</f>
        <v>.</v>
      </c>
      <c r="AAG94" s="406">
        <f>IFERROR(MIN(IFERROR(SEARCH(".",$XU$7,AAE94),99999),IFERROR(SEARCH(",",$XU$7,AAE94),99999),IFERROR(SEARCH(" за период",$XU$7,AAE94),999999),IFERROR(SEARCH(" в размере",$XU$7,AAE94),99999)),"ОШИБКА")</f>
        <v>99999</v>
      </c>
      <c r="AAH94" s="406" t="e">
        <f>AAG94-AAE94</f>
        <v>#VALUE!</v>
      </c>
      <c r="AAI94" s="824" t="e">
        <f>MID($XU$7,AAE94,AAH94)</f>
        <v>#VALUE!</v>
      </c>
      <c r="AAJ94" s="825" t="str">
        <f>IFERROR(INDEX($DU:$DU,MATCH(MID($XU$7,AAE94,AAH94),$DT:$DT,0),1),"")</f>
        <v/>
      </c>
      <c r="AAK94" s="754"/>
      <c r="AAL94" s="754"/>
      <c r="AAM94" s="754"/>
      <c r="AFE94" s="1463">
        <v>14</v>
      </c>
      <c r="AFF94" s="824" t="s">
        <v>8433</v>
      </c>
      <c r="AFG94" s="838" t="e">
        <f>SEARCH(AFB$4,AFD$4,AFI87)+LEN(AFB$4)</f>
        <v>#VALUE!</v>
      </c>
      <c r="AFH94" s="406" t="str">
        <f>IF(AFI94=IFERROR(SEARCH(".",AFD$4,AFG94),99999),".",
IF(AFI94=IFERROR(SEARCH(",",AFD$4,AFG94),99999),",",
IF(AFI94=IFERROR(SEARCH(" за период",AFD$4,AFG94),999999)," за период",
IF(AFI94=IFERROR(SEARCH(" в размере",AFD$4,AFG94),99999)," в размере",
))))</f>
        <v>.</v>
      </c>
      <c r="AFI94" s="406">
        <f>IFERROR(MIN(IFERROR(SEARCH(".",AFD$4,AFG94),99999),IFERROR(SEARCH(",",AFD$4,AFG94),99999),IFERROR(SEARCH(" за период",AFD$4,AFG94),999999),IFERROR(SEARCH(" в размере",AFD$4,AFG94),99999)),"ОШИБКА")</f>
        <v>99999</v>
      </c>
      <c r="AFJ94" s="406" t="e">
        <f>AFI94-AFG94</f>
        <v>#VALUE!</v>
      </c>
      <c r="AFK94" s="824" t="e">
        <f>MID(AFD$4,AFG94,AFJ94)</f>
        <v>#VALUE!</v>
      </c>
      <c r="AFL94" s="825" t="str">
        <f>IFERROR(INDEX($DU:$DU,MATCH(MID(AFD$4,AFG94,AFJ94),$DT:$DT,0),1),"")</f>
        <v/>
      </c>
      <c r="AFM94" s="754"/>
      <c r="AFQ94" s="1463">
        <v>14</v>
      </c>
      <c r="AFR94" s="824" t="s">
        <v>8433</v>
      </c>
      <c r="AFS94" s="838" t="e">
        <f>SEARCH(AFN$4,AFP$4,AFU87)+LEN(AFN$4)</f>
        <v>#VALUE!</v>
      </c>
      <c r="AFT94" s="406" t="str">
        <f>IF(AFU94=IFERROR(SEARCH(".",AFP$4,AFS94),99999),".",
IF(AFU94=IFERROR(SEARCH(",",AFP$4,AFS94),99999),",",
IF(AFU94=IFERROR(SEARCH(" за период",AFP$4,AFS94),999999)," за период",
IF(AFU94=IFERROR(SEARCH(" в размере",AFP$4,AFS94),99999)," в размере",
))))</f>
        <v>.</v>
      </c>
      <c r="AFU94" s="406">
        <f>IFERROR(MIN(IFERROR(SEARCH(".",AFP$4,AFS94),99999),IFERROR(SEARCH(",",AFP$4,AFS94),99999),IFERROR(SEARCH(" за период",AFP$4,AFS94),999999),IFERROR(SEARCH(" в размере",AFP$4,AFS94),99999)),"ОШИБКА")</f>
        <v>99999</v>
      </c>
      <c r="AFV94" s="406" t="e">
        <f>AFU94-AFS94</f>
        <v>#VALUE!</v>
      </c>
      <c r="AFW94" s="824" t="e">
        <f>MID(AFP$4,AFS94,AFV94)</f>
        <v>#VALUE!</v>
      </c>
      <c r="AFX94" s="825" t="str">
        <f>IFERROR(INDEX($DU:$DU,MATCH(MID(AFP$4,AFS94,AFV94),$DT:$DT,0),1),"")</f>
        <v/>
      </c>
      <c r="AFY94" s="754"/>
      <c r="AGC94" s="1463">
        <v>14</v>
      </c>
      <c r="AGD94" s="824" t="s">
        <v>8433</v>
      </c>
      <c r="AGE94" s="838" t="e">
        <f>SEARCH(AFZ$4,AGB$4,AGG87)+LEN(AFZ$4)</f>
        <v>#VALUE!</v>
      </c>
      <c r="AGF94" s="406" t="str">
        <f>IF(AGG94=IFERROR(SEARCH(".",AGB$4,AGE94),99999),".",
IF(AGG94=IFERROR(SEARCH(",",AGB$4,AGE94),99999),",",
IF(AGG94=IFERROR(SEARCH(" за период",AGB$4,AGE94),999999)," за период",
IF(AGG94=IFERROR(SEARCH(" в размере",AGB$4,AGE94),99999)," в размере",
))))</f>
        <v>.</v>
      </c>
      <c r="AGG94" s="406">
        <f>IFERROR(MIN(IFERROR(SEARCH(".",AGB$4,AGE94),99999),IFERROR(SEARCH(",",AGB$4,AGE94),99999),IFERROR(SEARCH(" за период",AGB$4,AGE94),999999),IFERROR(SEARCH(" в размере",AGB$4,AGE94),99999)),"ОШИБКА")</f>
        <v>99999</v>
      </c>
      <c r="AGH94" s="406" t="e">
        <f>AGG94-AGE94</f>
        <v>#VALUE!</v>
      </c>
      <c r="AGI94" s="824" t="e">
        <f>MID(AGB$4,AGE94,AGH94)</f>
        <v>#VALUE!</v>
      </c>
      <c r="AGJ94" s="825" t="str">
        <f>IFERROR(INDEX($DU:$DU,MATCH(MID(AGB$4,AGE94,AGH94),$DT:$DT,0),1),"")</f>
        <v/>
      </c>
      <c r="AGK94" s="754"/>
      <c r="AGO94" s="1463">
        <v>14</v>
      </c>
      <c r="AGP94" s="824" t="s">
        <v>8433</v>
      </c>
      <c r="AGQ94" s="838" t="e">
        <f>SEARCH(AGL$4,AGN$4,AGS87)+LEN(AGL$4)</f>
        <v>#VALUE!</v>
      </c>
      <c r="AGR94" s="406" t="str">
        <f>IF(AGS94=IFERROR(SEARCH(".",AGN$4,AGQ94),99999),".",
IF(AGS94=IFERROR(SEARCH(",",AGN$4,AGQ94),99999),",",
IF(AGS94=IFERROR(SEARCH(" за период",AGN$4,AGQ94),999999)," за период",
IF(AGS94=IFERROR(SEARCH(" в размере",AGN$4,AGQ94),99999)," в размере",
))))</f>
        <v>.</v>
      </c>
      <c r="AGS94" s="406">
        <f>IFERROR(MIN(IFERROR(SEARCH(".",AGN$4,AGQ94),99999),IFERROR(SEARCH(",",AGN$4,AGQ94),99999),IFERROR(SEARCH(" за период",AGN$4,AGQ94),999999),IFERROR(SEARCH(" в размере",AGN$4,AGQ94),99999)),"ОШИБКА")</f>
        <v>99999</v>
      </c>
      <c r="AGT94" s="406" t="e">
        <f>AGS94-AGQ94</f>
        <v>#VALUE!</v>
      </c>
      <c r="AGU94" s="824" t="e">
        <f>MID(AGN$4,AGQ94,AGT94)</f>
        <v>#VALUE!</v>
      </c>
      <c r="AGV94" s="825" t="str">
        <f>IFERROR(INDEX($DU:$DU,MATCH(MID(AGN$4,AGQ94,AGT94),$DT:$DT,0),1),"")</f>
        <v/>
      </c>
      <c r="AGW94" s="754"/>
      <c r="AHA94" s="1463">
        <v>14</v>
      </c>
      <c r="AHB94" s="824" t="s">
        <v>8433</v>
      </c>
      <c r="AHC94" s="838" t="e">
        <f>SEARCH(AGX$4,AGZ$4,AHE87)+LEN(AGX$4)</f>
        <v>#VALUE!</v>
      </c>
      <c r="AHD94" s="406" t="str">
        <f>IF(AHE94=IFERROR(SEARCH(".",AGZ$4,AHC94),99999),".",
IF(AHE94=IFERROR(SEARCH(",",AGZ$4,AHC94),99999),",",
IF(AHE94=IFERROR(SEARCH(" за период",AGZ$4,AHC94),999999)," за период",
IF(AHE94=IFERROR(SEARCH(" в размере",AGZ$4,AHC94),99999)," в размере",
))))</f>
        <v>.</v>
      </c>
      <c r="AHE94" s="406">
        <f>IFERROR(MIN(IFERROR(SEARCH(".",AGZ$4,AHC94),99999),IFERROR(SEARCH(",",AGZ$4,AHC94),99999),IFERROR(SEARCH(" за период",AGZ$4,AHC94),999999),IFERROR(SEARCH(" в размере",AGZ$4,AHC94),99999)),"ОШИБКА")</f>
        <v>99999</v>
      </c>
      <c r="AHF94" s="406" t="e">
        <f>AHE94-AHC94</f>
        <v>#VALUE!</v>
      </c>
      <c r="AHG94" s="824" t="e">
        <f>MID(AGZ$4,AHC94,AHF94)</f>
        <v>#VALUE!</v>
      </c>
      <c r="AHH94" s="825" t="str">
        <f>IFERROR(INDEX($DU:$DU,MATCH(MID(AGZ$4,AHC94,AHF94),$DT:$DT,0),1),"")</f>
        <v/>
      </c>
      <c r="AHI94" s="754"/>
    </row>
    <row r="95" spans="2:893" x14ac:dyDescent="0.3">
      <c r="B95" s="116"/>
      <c r="C95" s="116"/>
      <c r="D95" s="116"/>
      <c r="E95" s="116"/>
      <c r="F95" s="116"/>
      <c r="G95" s="116"/>
      <c r="H95" s="116"/>
      <c r="I95" s="116"/>
      <c r="DT95" t="s">
        <v>9253</v>
      </c>
      <c r="DU95" s="821" t="s">
        <v>9452</v>
      </c>
      <c r="DV95" s="1464"/>
      <c r="DW95" s="826" t="s">
        <v>8435</v>
      </c>
      <c r="DX95" s="836" t="str">
        <f>IF(DY94=" за период",SEARCH(" за период",$C$3,DZ94)+LEN(" за период")+3,"НЕТ")</f>
        <v>НЕТ</v>
      </c>
      <c r="DY95" s="306" t="s">
        <v>8434</v>
      </c>
      <c r="DZ95" s="306" t="e">
        <f>SEARCH(DY95,$C$3,DX95)</f>
        <v>#VALUE!</v>
      </c>
      <c r="EA95" s="306" t="e">
        <f>DZ95-DX95</f>
        <v>#VALUE!</v>
      </c>
      <c r="EB95" s="827" t="e">
        <f>DATEVALUE(MID($C$3,DX95,EA95))</f>
        <v>#VALUE!</v>
      </c>
      <c r="EC95" s="828" t="str">
        <f>IF(DY94=" за период",EB95,"")</f>
        <v/>
      </c>
      <c r="NK95" s="1464"/>
      <c r="NL95" s="826" t="s">
        <v>8435</v>
      </c>
      <c r="NM95" s="836" t="str">
        <f>IF(NN94=" за период",SEARCH(" за период",NJ$4,NO94)+LEN(" за период")+3,"НЕТ")</f>
        <v>НЕТ</v>
      </c>
      <c r="NN95" s="306" t="s">
        <v>8434</v>
      </c>
      <c r="NO95" s="306" t="e">
        <f>SEARCH(NN95,NJ$4,NM95)</f>
        <v>#VALUE!</v>
      </c>
      <c r="NP95" s="306" t="e">
        <f>NO95-NM95</f>
        <v>#VALUE!</v>
      </c>
      <c r="NQ95" s="827" t="e">
        <f>DATEVALUE(MID(NJ$4,NM95,NP95))</f>
        <v>#VALUE!</v>
      </c>
      <c r="NR95" s="828" t="str">
        <f>IF(NN94=" за период",NQ95,"")</f>
        <v/>
      </c>
      <c r="SY95" s="1464"/>
      <c r="SZ95" s="826" t="s">
        <v>8435</v>
      </c>
      <c r="TA95" s="836" t="str">
        <f>IF(TB94=" за период",SEARCH(" за период",$SQ$3,TC94)+LEN(" за период")+3,"НЕТ")</f>
        <v>НЕТ</v>
      </c>
      <c r="TB95" s="306" t="s">
        <v>8434</v>
      </c>
      <c r="TC95" s="306" t="e">
        <f>SEARCH(TB95,$SQ$3,TA95)</f>
        <v>#VALUE!</v>
      </c>
      <c r="TD95" s="306" t="e">
        <f>TC95-TA95</f>
        <v>#VALUE!</v>
      </c>
      <c r="TE95" s="827" t="e">
        <f>DATEVALUE(MID($SQ$3,TA95,TD95))</f>
        <v>#VALUE!</v>
      </c>
      <c r="TF95" s="828" t="str">
        <f>IF(TB94=" за период",TE95,"")</f>
        <v/>
      </c>
      <c r="TK95" s="1004"/>
      <c r="TL95" s="1036"/>
      <c r="TM95" s="1036"/>
      <c r="TN95" s="1036"/>
      <c r="TO95" s="1036"/>
      <c r="TP95" s="1036"/>
      <c r="TQ95" s="1035"/>
      <c r="TR95" s="1004"/>
      <c r="TW95" s="1464"/>
      <c r="TX95" s="826" t="s">
        <v>8435</v>
      </c>
      <c r="TY95" s="836" t="str">
        <f>IF(TZ94=" за период",SEARCH(" за период",$SQ$4,UA94)+LEN(" за период")+3,"НЕТ")</f>
        <v>НЕТ</v>
      </c>
      <c r="TZ95" s="306" t="s">
        <v>8434</v>
      </c>
      <c r="UA95" s="306" t="e">
        <f>SEARCH(TZ95,$SQ$4,TY95)</f>
        <v>#VALUE!</v>
      </c>
      <c r="UB95" s="306" t="e">
        <f>UA95-TY95</f>
        <v>#VALUE!</v>
      </c>
      <c r="UC95" s="827" t="e">
        <f>DATEVALUE(MID($SQ$4,TY95,UB95))</f>
        <v>#VALUE!</v>
      </c>
      <c r="UD95" s="828" t="str">
        <f>IF(TZ94=" за период",UC95,"")</f>
        <v/>
      </c>
      <c r="UI95" s="1004"/>
      <c r="UJ95" s="1036"/>
      <c r="UK95" s="1036"/>
      <c r="UL95" s="1036"/>
      <c r="UM95" s="1036"/>
      <c r="UN95" s="1036"/>
      <c r="UO95" s="1035"/>
      <c r="UP95" s="1004"/>
      <c r="UU95" s="1464"/>
      <c r="UV95" s="826" t="s">
        <v>8435</v>
      </c>
      <c r="UW95" s="836" t="str">
        <f>IF(UX94=" за период",SEARCH(" за период",$SQ$5,UY94)+LEN(" за период")+3,"НЕТ")</f>
        <v>НЕТ</v>
      </c>
      <c r="UX95" s="306" t="s">
        <v>8434</v>
      </c>
      <c r="UY95" s="306" t="e">
        <f>SEARCH(UX95,$SQ$5,UW95)</f>
        <v>#VALUE!</v>
      </c>
      <c r="UZ95" s="306" t="e">
        <f>UY95-UW95</f>
        <v>#VALUE!</v>
      </c>
      <c r="VA95" s="827" t="e">
        <f>DATEVALUE(MID($SQ$5,UW95,UZ95))</f>
        <v>#VALUE!</v>
      </c>
      <c r="VB95" s="828" t="str">
        <f>IF(UX94=" за период",VA95,"")</f>
        <v/>
      </c>
      <c r="VG95" s="1004"/>
      <c r="VH95" s="1036"/>
      <c r="VI95" s="1036"/>
      <c r="VJ95" s="1036"/>
      <c r="VK95" s="1036"/>
      <c r="VL95" s="1036"/>
      <c r="VM95" s="1035"/>
      <c r="VN95" s="1004"/>
      <c r="VS95" s="1464"/>
      <c r="VT95" s="826" t="s">
        <v>8435</v>
      </c>
      <c r="VU95" s="836" t="str">
        <f>IF(VV94=" за период",SEARCH(" за период",$SQ$6,VW94)+LEN(" за период")+3,"НЕТ")</f>
        <v>НЕТ</v>
      </c>
      <c r="VV95" s="306" t="s">
        <v>8434</v>
      </c>
      <c r="VW95" s="306" t="e">
        <f>SEARCH(VV95,$SQ$6,VU95)</f>
        <v>#VALUE!</v>
      </c>
      <c r="VX95" s="306" t="e">
        <f>VW95-VU95</f>
        <v>#VALUE!</v>
      </c>
      <c r="VY95" s="827" t="e">
        <f>DATEVALUE(MID($SQ$6,VU95,VX95))</f>
        <v>#VALUE!</v>
      </c>
      <c r="VZ95" s="828" t="str">
        <f>IF(VV94=" за период",VY95,"")</f>
        <v/>
      </c>
      <c r="WE95" s="1004"/>
      <c r="WF95" s="1036"/>
      <c r="WG95" s="1036"/>
      <c r="WH95" s="1036"/>
      <c r="WI95" s="1036"/>
      <c r="WJ95" s="1036"/>
      <c r="WK95" s="1035"/>
      <c r="WL95" s="1004"/>
      <c r="WQ95" s="1464"/>
      <c r="WR95" s="826" t="s">
        <v>8435</v>
      </c>
      <c r="WS95" s="836" t="str">
        <f>IF(WT94=" за период",SEARCH(" за период",$SQ$7,WU94)+LEN(" за период")+3,"НЕТ")</f>
        <v>НЕТ</v>
      </c>
      <c r="WT95" s="306" t="s">
        <v>8434</v>
      </c>
      <c r="WU95" s="306" t="e">
        <f>SEARCH(WT95,$SQ$7,WS95)</f>
        <v>#VALUE!</v>
      </c>
      <c r="WV95" s="306" t="e">
        <f>WU95-WS95</f>
        <v>#VALUE!</v>
      </c>
      <c r="WW95" s="827" t="e">
        <f>DATEVALUE(MID($SQ$7,WS95,WV95))</f>
        <v>#VALUE!</v>
      </c>
      <c r="WX95" s="828" t="str">
        <f>IF(WT94=" за период",WW95,"")</f>
        <v/>
      </c>
      <c r="XC95" s="1004"/>
      <c r="XD95" s="1036"/>
      <c r="XE95" s="1036"/>
      <c r="XF95" s="1036"/>
      <c r="XG95" s="1036"/>
      <c r="XH95" s="1036"/>
      <c r="XI95" s="1035"/>
      <c r="XJ95" s="1004"/>
      <c r="YG95" s="1464"/>
      <c r="YH95" s="826" t="s">
        <v>8435</v>
      </c>
      <c r="YI95" s="836" t="str">
        <f>IF(YJ94=" за период",SEARCH(" за период",$XU$3,YK94)+LEN(" за период")+3,"НЕТ")</f>
        <v>НЕТ</v>
      </c>
      <c r="YJ95" s="306" t="s">
        <v>8434</v>
      </c>
      <c r="YK95" s="306" t="e">
        <f>SEARCH(YJ95,$XU$3,YI95)</f>
        <v>#VALUE!</v>
      </c>
      <c r="YL95" s="306" t="e">
        <f>YK95-YI95</f>
        <v>#VALUE!</v>
      </c>
      <c r="YM95" s="827" t="e">
        <f>DATEVALUE(MID($XU$3,YI95,YL95))</f>
        <v>#VALUE!</v>
      </c>
      <c r="YN95" s="828" t="str">
        <f>IF(YJ94=" за период",YM95,"")</f>
        <v/>
      </c>
      <c r="YS95" s="1464"/>
      <c r="YT95" s="826" t="s">
        <v>8435</v>
      </c>
      <c r="YU95" s="836" t="str">
        <f>IF(YV94=" за период",SEARCH(" за период",$XU$4,YW94)+LEN(" за период")+3,"НЕТ")</f>
        <v>НЕТ</v>
      </c>
      <c r="YV95" s="306" t="s">
        <v>8434</v>
      </c>
      <c r="YW95" s="306" t="e">
        <f>SEARCH(YV95,$XU$4,YU95)</f>
        <v>#VALUE!</v>
      </c>
      <c r="YX95" s="306" t="e">
        <f>YW95-YU95</f>
        <v>#VALUE!</v>
      </c>
      <c r="YY95" s="827" t="e">
        <f>DATEVALUE(MID($XU$4,YU95,YX95))</f>
        <v>#VALUE!</v>
      </c>
      <c r="YZ95" s="828" t="str">
        <f>IF(YV94=" за период",YY95,"")</f>
        <v/>
      </c>
      <c r="ZE95" s="1464"/>
      <c r="ZF95" s="826" t="s">
        <v>8435</v>
      </c>
      <c r="ZG95" s="836" t="str">
        <f>IF(ZH94=" за период",SEARCH(" за период",$XU$5,ZI94)+LEN(" за период")+3,"НЕТ")</f>
        <v>НЕТ</v>
      </c>
      <c r="ZH95" s="306" t="s">
        <v>8434</v>
      </c>
      <c r="ZI95" s="306" t="e">
        <f>SEARCH(ZH95,$XU$5,ZG95)</f>
        <v>#VALUE!</v>
      </c>
      <c r="ZJ95" s="306" t="e">
        <f>ZI95-ZG95</f>
        <v>#VALUE!</v>
      </c>
      <c r="ZK95" s="827" t="e">
        <f>DATEVALUE(MID($XU$5,ZG95,ZJ95))</f>
        <v>#VALUE!</v>
      </c>
      <c r="ZL95" s="828" t="str">
        <f>IF(ZH94=" за период",ZK95,"")</f>
        <v/>
      </c>
      <c r="ZQ95" s="1464"/>
      <c r="ZR95" s="826" t="s">
        <v>8435</v>
      </c>
      <c r="ZS95" s="836" t="str">
        <f>IF(ZT94=" за период",SEARCH(" за период",$XU$6,ZU94)+LEN(" за период")+3,"НЕТ")</f>
        <v>НЕТ</v>
      </c>
      <c r="ZT95" s="306" t="s">
        <v>8434</v>
      </c>
      <c r="ZU95" s="306" t="e">
        <f>SEARCH(ZT95,$XU$6,ZS95)</f>
        <v>#VALUE!</v>
      </c>
      <c r="ZV95" s="306" t="e">
        <f>ZU95-ZS95</f>
        <v>#VALUE!</v>
      </c>
      <c r="ZW95" s="827" t="e">
        <f>DATEVALUE(MID($XU$6,ZS95,ZV95))</f>
        <v>#VALUE!</v>
      </c>
      <c r="ZX95" s="828" t="str">
        <f>IF(ZT94=" за период",ZW95,"")</f>
        <v/>
      </c>
      <c r="AAC95" s="1464"/>
      <c r="AAD95" s="826" t="s">
        <v>8435</v>
      </c>
      <c r="AAE95" s="836" t="str">
        <f>IF(AAF94=" за период",SEARCH(" за период",$XU$7,AAG94)+LEN(" за период")+3,"НЕТ")</f>
        <v>НЕТ</v>
      </c>
      <c r="AAF95" s="306" t="s">
        <v>8434</v>
      </c>
      <c r="AAG95" s="306" t="e">
        <f>SEARCH(AAF95,$XU$7,AAE95)</f>
        <v>#VALUE!</v>
      </c>
      <c r="AAH95" s="306" t="e">
        <f>AAG95-AAE95</f>
        <v>#VALUE!</v>
      </c>
      <c r="AAI95" s="827" t="e">
        <f>DATEVALUE(MID($XU$7,AAE95,AAH95))</f>
        <v>#VALUE!</v>
      </c>
      <c r="AAJ95" s="828" t="str">
        <f>IF(AAF94=" за период",AAI95,"")</f>
        <v/>
      </c>
      <c r="AFE95" s="1464"/>
      <c r="AFF95" s="826" t="s">
        <v>8435</v>
      </c>
      <c r="AFG95" s="836" t="str">
        <f>IF(AFH94=" за период",SEARCH(" за период",AFD$4,AFI94)+LEN(" за период")+3,"НЕТ")</f>
        <v>НЕТ</v>
      </c>
      <c r="AFH95" s="306" t="s">
        <v>8434</v>
      </c>
      <c r="AFI95" s="306" t="e">
        <f>SEARCH(AFH95,AFD$4,AFG95)</f>
        <v>#VALUE!</v>
      </c>
      <c r="AFJ95" s="306" t="e">
        <f>AFI95-AFG95</f>
        <v>#VALUE!</v>
      </c>
      <c r="AFK95" s="827" t="e">
        <f>DATEVALUE(MID(AFD$4,AFG95,AFJ95))</f>
        <v>#VALUE!</v>
      </c>
      <c r="AFL95" s="828" t="str">
        <f>IF(AFH94=" за период",AFK95,"")</f>
        <v/>
      </c>
      <c r="AFQ95" s="1464"/>
      <c r="AFR95" s="826" t="s">
        <v>8435</v>
      </c>
      <c r="AFS95" s="836" t="str">
        <f>IF(AFT94=" за период",SEARCH(" за период",AFP$4,AFU94)+LEN(" за период")+3,"НЕТ")</f>
        <v>НЕТ</v>
      </c>
      <c r="AFT95" s="306" t="s">
        <v>8434</v>
      </c>
      <c r="AFU95" s="306" t="e">
        <f>SEARCH(AFT95,AFP$4,AFS95)</f>
        <v>#VALUE!</v>
      </c>
      <c r="AFV95" s="306" t="e">
        <f>AFU95-AFS95</f>
        <v>#VALUE!</v>
      </c>
      <c r="AFW95" s="827" t="e">
        <f>DATEVALUE(MID(AFP$4,AFS95,AFV95))</f>
        <v>#VALUE!</v>
      </c>
      <c r="AFX95" s="828" t="str">
        <f>IF(AFT94=" за период",AFW95,"")</f>
        <v/>
      </c>
      <c r="AGC95" s="1464"/>
      <c r="AGD95" s="826" t="s">
        <v>8435</v>
      </c>
      <c r="AGE95" s="836" t="str">
        <f>IF(AGF94=" за период",SEARCH(" за период",AGB$4,AGG94)+LEN(" за период")+3,"НЕТ")</f>
        <v>НЕТ</v>
      </c>
      <c r="AGF95" s="306" t="s">
        <v>8434</v>
      </c>
      <c r="AGG95" s="306" t="e">
        <f>SEARCH(AGF95,AGB$4,AGE95)</f>
        <v>#VALUE!</v>
      </c>
      <c r="AGH95" s="306" t="e">
        <f>AGG95-AGE95</f>
        <v>#VALUE!</v>
      </c>
      <c r="AGI95" s="827" t="e">
        <f>DATEVALUE(MID(AGB$4,AGE95,AGH95))</f>
        <v>#VALUE!</v>
      </c>
      <c r="AGJ95" s="828" t="str">
        <f>IF(AGF94=" за период",AGI95,"")</f>
        <v/>
      </c>
      <c r="AGO95" s="1464"/>
      <c r="AGP95" s="826" t="s">
        <v>8435</v>
      </c>
      <c r="AGQ95" s="836" t="str">
        <f>IF(AGR94=" за период",SEARCH(" за период",AGN$4,AGS94)+LEN(" за период")+3,"НЕТ")</f>
        <v>НЕТ</v>
      </c>
      <c r="AGR95" s="306" t="s">
        <v>8434</v>
      </c>
      <c r="AGS95" s="306" t="e">
        <f>SEARCH(AGR95,AGN$4,AGQ95)</f>
        <v>#VALUE!</v>
      </c>
      <c r="AGT95" s="306" t="e">
        <f>AGS95-AGQ95</f>
        <v>#VALUE!</v>
      </c>
      <c r="AGU95" s="827" t="e">
        <f>DATEVALUE(MID(AGN$4,AGQ95,AGT95))</f>
        <v>#VALUE!</v>
      </c>
      <c r="AGV95" s="828" t="str">
        <f>IF(AGR94=" за период",AGU95,"")</f>
        <v/>
      </c>
      <c r="AHA95" s="1464"/>
      <c r="AHB95" s="826" t="s">
        <v>8435</v>
      </c>
      <c r="AHC95" s="836" t="str">
        <f>IF(AHD94=" за период",SEARCH(" за период",AGZ$4,AHE94)+LEN(" за период")+3,"НЕТ")</f>
        <v>НЕТ</v>
      </c>
      <c r="AHD95" s="306" t="s">
        <v>8434</v>
      </c>
      <c r="AHE95" s="306" t="e">
        <f>SEARCH(AHD95,AGZ$4,AHC95)</f>
        <v>#VALUE!</v>
      </c>
      <c r="AHF95" s="306" t="e">
        <f>AHE95-AHC95</f>
        <v>#VALUE!</v>
      </c>
      <c r="AHG95" s="827" t="e">
        <f>DATEVALUE(MID(AGZ$4,AHC95,AHF95))</f>
        <v>#VALUE!</v>
      </c>
      <c r="AHH95" s="828" t="str">
        <f>IF(AHD94=" за период",AHG95,"")</f>
        <v/>
      </c>
    </row>
    <row r="96" spans="2:893" x14ac:dyDescent="0.3">
      <c r="B96" s="116"/>
      <c r="C96" s="116"/>
      <c r="D96" s="116"/>
      <c r="E96" s="116"/>
      <c r="F96" s="116"/>
      <c r="G96" s="116"/>
      <c r="H96" s="116"/>
      <c r="I96" s="116"/>
      <c r="DT96" t="s">
        <v>9254</v>
      </c>
      <c r="DU96" s="821" t="s">
        <v>9255</v>
      </c>
      <c r="DV96" s="1464"/>
      <c r="DW96" s="826" t="s">
        <v>8436</v>
      </c>
      <c r="DX96" s="836" t="e">
        <f>SEARCH(" ",$C$3,DZ95+1)+1</f>
        <v>#VALUE!</v>
      </c>
      <c r="DY96" s="306"/>
      <c r="DZ96" s="306" t="e">
        <f>DX96+EA96</f>
        <v>#VALUE!</v>
      </c>
      <c r="EA96" s="306">
        <v>10</v>
      </c>
      <c r="EB96" s="827" t="e">
        <f>DATEVALUE(MID($C$3,DX96,EA96))</f>
        <v>#VALUE!</v>
      </c>
      <c r="EC96" s="828" t="str">
        <f>IF(DY94=" за период",EB96,"")</f>
        <v/>
      </c>
      <c r="NK96" s="1464"/>
      <c r="NL96" s="826" t="s">
        <v>8436</v>
      </c>
      <c r="NM96" s="836" t="e">
        <f>SEARCH(" ",NJ$4,NO95+1)+1</f>
        <v>#VALUE!</v>
      </c>
      <c r="NN96" s="306"/>
      <c r="NO96" s="306" t="e">
        <f>NM96+NP96</f>
        <v>#VALUE!</v>
      </c>
      <c r="NP96" s="306">
        <v>10</v>
      </c>
      <c r="NQ96" s="827" t="e">
        <f>DATEVALUE(MID(NJ$4,NM96,NP96))</f>
        <v>#VALUE!</v>
      </c>
      <c r="NR96" s="828" t="str">
        <f>IF(NN94=" за период",NQ96,"")</f>
        <v/>
      </c>
      <c r="SY96" s="1464"/>
      <c r="SZ96" s="826" t="s">
        <v>8436</v>
      </c>
      <c r="TA96" s="836" t="e">
        <f>SEARCH(" ",$SQ$3,TC95+1)+1</f>
        <v>#VALUE!</v>
      </c>
      <c r="TB96" s="306"/>
      <c r="TC96" s="306" t="e">
        <f>TA96+TD96</f>
        <v>#VALUE!</v>
      </c>
      <c r="TD96" s="306">
        <v>10</v>
      </c>
      <c r="TE96" s="827" t="e">
        <f>DATEVALUE(MID($SQ$3,TA96,TD96))</f>
        <v>#VALUE!</v>
      </c>
      <c r="TF96" s="828" t="str">
        <f>IF(TB94=" за период",TE96,"")</f>
        <v/>
      </c>
      <c r="TK96" s="1004"/>
      <c r="TL96" s="1036"/>
      <c r="TM96" s="1036"/>
      <c r="TN96" s="1036"/>
      <c r="TO96" s="1036"/>
      <c r="TP96" s="1036"/>
      <c r="TQ96" s="1038"/>
      <c r="TR96" s="1039"/>
      <c r="TW96" s="1464"/>
      <c r="TX96" s="826" t="s">
        <v>8436</v>
      </c>
      <c r="TY96" s="836" t="e">
        <f>SEARCH(" ",$SQ$4,UA95+1)+1</f>
        <v>#VALUE!</v>
      </c>
      <c r="TZ96" s="306"/>
      <c r="UA96" s="306" t="e">
        <f>TY96+UB96</f>
        <v>#VALUE!</v>
      </c>
      <c r="UB96" s="306">
        <v>10</v>
      </c>
      <c r="UC96" s="827" t="e">
        <f>DATEVALUE(MID($SQ$4,TY96,UB96))</f>
        <v>#VALUE!</v>
      </c>
      <c r="UD96" s="828" t="str">
        <f>IF(TZ94=" за период",UC96,"")</f>
        <v/>
      </c>
      <c r="UI96" s="1004"/>
      <c r="UJ96" s="1036"/>
      <c r="UK96" s="1036"/>
      <c r="UL96" s="1036"/>
      <c r="UM96" s="1036"/>
      <c r="UN96" s="1036"/>
      <c r="UO96" s="1038"/>
      <c r="UP96" s="1039"/>
      <c r="UU96" s="1464"/>
      <c r="UV96" s="826" t="s">
        <v>8436</v>
      </c>
      <c r="UW96" s="836" t="e">
        <f>SEARCH(" ",$SQ$5,UY95+1)+1</f>
        <v>#VALUE!</v>
      </c>
      <c r="UX96" s="306"/>
      <c r="UY96" s="306" t="e">
        <f>UW96+UZ96</f>
        <v>#VALUE!</v>
      </c>
      <c r="UZ96" s="306">
        <v>10</v>
      </c>
      <c r="VA96" s="827" t="e">
        <f>DATEVALUE(MID($SQ$5,UW96,UZ96))</f>
        <v>#VALUE!</v>
      </c>
      <c r="VB96" s="828" t="str">
        <f>IF(UX94=" за период",VA96,"")</f>
        <v/>
      </c>
      <c r="VG96" s="1004"/>
      <c r="VH96" s="1036"/>
      <c r="VI96" s="1036"/>
      <c r="VJ96" s="1036"/>
      <c r="VK96" s="1036"/>
      <c r="VL96" s="1036"/>
      <c r="VM96" s="1038"/>
      <c r="VN96" s="1039"/>
      <c r="VS96" s="1464"/>
      <c r="VT96" s="826" t="s">
        <v>8436</v>
      </c>
      <c r="VU96" s="836" t="e">
        <f>SEARCH(" ",$SQ$6,VW95+1)+1</f>
        <v>#VALUE!</v>
      </c>
      <c r="VV96" s="306"/>
      <c r="VW96" s="306" t="e">
        <f>VU96+VX96</f>
        <v>#VALUE!</v>
      </c>
      <c r="VX96" s="306">
        <v>10</v>
      </c>
      <c r="VY96" s="827" t="e">
        <f>DATEVALUE(MID($SQ$6,VU96,VX96))</f>
        <v>#VALUE!</v>
      </c>
      <c r="VZ96" s="828" t="str">
        <f>IF(VV94=" за период",VY96,"")</f>
        <v/>
      </c>
      <c r="WE96" s="1004"/>
      <c r="WF96" s="1036"/>
      <c r="WG96" s="1036"/>
      <c r="WH96" s="1036"/>
      <c r="WI96" s="1036"/>
      <c r="WJ96" s="1036"/>
      <c r="WK96" s="1038"/>
      <c r="WL96" s="1039"/>
      <c r="WQ96" s="1464"/>
      <c r="WR96" s="826" t="s">
        <v>8436</v>
      </c>
      <c r="WS96" s="836" t="e">
        <f>SEARCH(" ",$SQ$7,WU95+1)+1</f>
        <v>#VALUE!</v>
      </c>
      <c r="WT96" s="306"/>
      <c r="WU96" s="306" t="e">
        <f>WS96+WV96</f>
        <v>#VALUE!</v>
      </c>
      <c r="WV96" s="306">
        <v>10</v>
      </c>
      <c r="WW96" s="827" t="e">
        <f>DATEVALUE(MID($SQ$7,WS96,WV96))</f>
        <v>#VALUE!</v>
      </c>
      <c r="WX96" s="828" t="str">
        <f>IF(WT94=" за период",WW96,"")</f>
        <v/>
      </c>
      <c r="XC96" s="1004"/>
      <c r="XD96" s="1036"/>
      <c r="XE96" s="1036"/>
      <c r="XF96" s="1036"/>
      <c r="XG96" s="1036"/>
      <c r="XH96" s="1036"/>
      <c r="XI96" s="1038"/>
      <c r="XJ96" s="1039"/>
      <c r="YG96" s="1464"/>
      <c r="YH96" s="826" t="s">
        <v>8436</v>
      </c>
      <c r="YI96" s="836" t="e">
        <f>SEARCH(" ",$XU$3,YK95+1)+1</f>
        <v>#VALUE!</v>
      </c>
      <c r="YJ96" s="306"/>
      <c r="YK96" s="306" t="e">
        <f>YI96+YL96</f>
        <v>#VALUE!</v>
      </c>
      <c r="YL96" s="306">
        <v>10</v>
      </c>
      <c r="YM96" s="827" t="e">
        <f>DATEVALUE(MID($XU$3,YI96,YL96))</f>
        <v>#VALUE!</v>
      </c>
      <c r="YN96" s="828" t="str">
        <f>IF(YJ94=" за период",YM96,"")</f>
        <v/>
      </c>
      <c r="YS96" s="1464"/>
      <c r="YT96" s="826" t="s">
        <v>8436</v>
      </c>
      <c r="YU96" s="836" t="e">
        <f>SEARCH(" ",$XU$4,YW95+1)+1</f>
        <v>#VALUE!</v>
      </c>
      <c r="YV96" s="306"/>
      <c r="YW96" s="306" t="e">
        <f>YU96+YX96</f>
        <v>#VALUE!</v>
      </c>
      <c r="YX96" s="306">
        <v>10</v>
      </c>
      <c r="YY96" s="827" t="e">
        <f>DATEVALUE(MID($XU$4,YU96,YX96))</f>
        <v>#VALUE!</v>
      </c>
      <c r="YZ96" s="828" t="str">
        <f>IF(YV94=" за период",YY96,"")</f>
        <v/>
      </c>
      <c r="ZE96" s="1464"/>
      <c r="ZF96" s="826" t="s">
        <v>8436</v>
      </c>
      <c r="ZG96" s="836" t="e">
        <f>SEARCH(" ",$XU$5,ZI95+1)+1</f>
        <v>#VALUE!</v>
      </c>
      <c r="ZH96" s="306"/>
      <c r="ZI96" s="306" t="e">
        <f>ZG96+ZJ96</f>
        <v>#VALUE!</v>
      </c>
      <c r="ZJ96" s="306">
        <v>10</v>
      </c>
      <c r="ZK96" s="827" t="e">
        <f>DATEVALUE(MID($XU$5,ZG96,ZJ96))</f>
        <v>#VALUE!</v>
      </c>
      <c r="ZL96" s="828" t="str">
        <f>IF(ZH94=" за период",ZK96,"")</f>
        <v/>
      </c>
      <c r="ZQ96" s="1464"/>
      <c r="ZR96" s="826" t="s">
        <v>8436</v>
      </c>
      <c r="ZS96" s="836" t="e">
        <f>SEARCH(" ",$XU$6,ZU95+1)+1</f>
        <v>#VALUE!</v>
      </c>
      <c r="ZT96" s="306"/>
      <c r="ZU96" s="306" t="e">
        <f>ZS96+ZV96</f>
        <v>#VALUE!</v>
      </c>
      <c r="ZV96" s="306">
        <v>10</v>
      </c>
      <c r="ZW96" s="827" t="e">
        <f>DATEVALUE(MID($XU$6,ZS96,ZV96))</f>
        <v>#VALUE!</v>
      </c>
      <c r="ZX96" s="828" t="str">
        <f>IF(ZT94=" за период",ZW96,"")</f>
        <v/>
      </c>
      <c r="AAC96" s="1464"/>
      <c r="AAD96" s="826" t="s">
        <v>8436</v>
      </c>
      <c r="AAE96" s="836" t="e">
        <f>SEARCH(" ",$XU$7,AAG95+1)+1</f>
        <v>#VALUE!</v>
      </c>
      <c r="AAF96" s="306"/>
      <c r="AAG96" s="306" t="e">
        <f>AAE96+AAH96</f>
        <v>#VALUE!</v>
      </c>
      <c r="AAH96" s="306">
        <v>10</v>
      </c>
      <c r="AAI96" s="827" t="e">
        <f>DATEVALUE(MID($XU$7,AAE96,AAH96))</f>
        <v>#VALUE!</v>
      </c>
      <c r="AAJ96" s="828" t="str">
        <f>IF(AAF94=" за период",AAI96,"")</f>
        <v/>
      </c>
      <c r="AFE96" s="1464"/>
      <c r="AFF96" s="826" t="s">
        <v>8436</v>
      </c>
      <c r="AFG96" s="836" t="e">
        <f>SEARCH(" ",AFD$4,AFI95+1)+1</f>
        <v>#VALUE!</v>
      </c>
      <c r="AFH96" s="306"/>
      <c r="AFI96" s="306" t="e">
        <f>AFG96+AFJ96</f>
        <v>#VALUE!</v>
      </c>
      <c r="AFJ96" s="306">
        <v>10</v>
      </c>
      <c r="AFK96" s="827" t="e">
        <f>DATEVALUE(MID(AFD$4,AFG96,AFJ96))</f>
        <v>#VALUE!</v>
      </c>
      <c r="AFL96" s="828" t="str">
        <f>IF(AFH94=" за период",AFK96,"")</f>
        <v/>
      </c>
      <c r="AFQ96" s="1464"/>
      <c r="AFR96" s="826" t="s">
        <v>8436</v>
      </c>
      <c r="AFS96" s="836" t="e">
        <f>SEARCH(" ",AFP$4,AFU95+1)+1</f>
        <v>#VALUE!</v>
      </c>
      <c r="AFT96" s="306"/>
      <c r="AFU96" s="306" t="e">
        <f>AFS96+AFV96</f>
        <v>#VALUE!</v>
      </c>
      <c r="AFV96" s="306">
        <v>10</v>
      </c>
      <c r="AFW96" s="827" t="e">
        <f>DATEVALUE(MID(AFP$4,AFS96,AFV96))</f>
        <v>#VALUE!</v>
      </c>
      <c r="AFX96" s="828" t="str">
        <f>IF(AFT94=" за период",AFW96,"")</f>
        <v/>
      </c>
      <c r="AGC96" s="1464"/>
      <c r="AGD96" s="826" t="s">
        <v>8436</v>
      </c>
      <c r="AGE96" s="836" t="e">
        <f>SEARCH(" ",AGB$4,AGG95+1)+1</f>
        <v>#VALUE!</v>
      </c>
      <c r="AGF96" s="306"/>
      <c r="AGG96" s="306" t="e">
        <f>AGE96+AGH96</f>
        <v>#VALUE!</v>
      </c>
      <c r="AGH96" s="306">
        <v>10</v>
      </c>
      <c r="AGI96" s="827" t="e">
        <f>DATEVALUE(MID(AGB$4,AGE96,AGH96))</f>
        <v>#VALUE!</v>
      </c>
      <c r="AGJ96" s="828" t="str">
        <f>IF(AGF94=" за период",AGI96,"")</f>
        <v/>
      </c>
      <c r="AGO96" s="1464"/>
      <c r="AGP96" s="826" t="s">
        <v>8436</v>
      </c>
      <c r="AGQ96" s="836" t="e">
        <f>SEARCH(" ",AGN$4,AGS95+1)+1</f>
        <v>#VALUE!</v>
      </c>
      <c r="AGR96" s="306"/>
      <c r="AGS96" s="306" t="e">
        <f>AGQ96+AGT96</f>
        <v>#VALUE!</v>
      </c>
      <c r="AGT96" s="306">
        <v>10</v>
      </c>
      <c r="AGU96" s="827" t="e">
        <f>DATEVALUE(MID(AGN$4,AGQ96,AGT96))</f>
        <v>#VALUE!</v>
      </c>
      <c r="AGV96" s="828" t="str">
        <f>IF(AGR94=" за период",AGU96,"")</f>
        <v/>
      </c>
      <c r="AHA96" s="1464"/>
      <c r="AHB96" s="826" t="s">
        <v>8436</v>
      </c>
      <c r="AHC96" s="836" t="e">
        <f>SEARCH(" ",AGZ$4,AHE95+1)+1</f>
        <v>#VALUE!</v>
      </c>
      <c r="AHD96" s="306"/>
      <c r="AHE96" s="306" t="e">
        <f>AHC96+AHF96</f>
        <v>#VALUE!</v>
      </c>
      <c r="AHF96" s="306">
        <v>10</v>
      </c>
      <c r="AHG96" s="827" t="e">
        <f>DATEVALUE(MID(AGZ$4,AHC96,AHF96))</f>
        <v>#VALUE!</v>
      </c>
      <c r="AHH96" s="828" t="str">
        <f>IF(AHD94=" за период",AHG96,"")</f>
        <v/>
      </c>
    </row>
    <row r="97" spans="2:893" x14ac:dyDescent="0.3">
      <c r="B97" s="116"/>
      <c r="C97" s="116"/>
      <c r="D97" s="116"/>
      <c r="E97" s="116"/>
      <c r="F97" s="116"/>
      <c r="G97" s="116"/>
      <c r="H97" s="116"/>
      <c r="I97" s="116"/>
      <c r="DT97" t="s">
        <v>9256</v>
      </c>
      <c r="DU97" s="821" t="s">
        <v>9257</v>
      </c>
      <c r="DV97" s="1464"/>
      <c r="DW97" s="826"/>
      <c r="DX97" s="836"/>
      <c r="DY97" s="306" t="str">
        <f>IF(DZ97=IFERROR(SEARCH(".",C$3,DZ96),99999),".",
IF(DZ97=IFERROR(SEARCH(",",C$3,DZ96),99999),",",
IF(DZ97=IFERROR(SEARCH(" за период",C$3,DZ96),999999)," за период",
IF(DZ97=IFERROR(SEARCH(" в размере",C$3,DZ96),99999)," в размере",
))))</f>
        <v>.</v>
      </c>
      <c r="DZ97" s="306">
        <f>MIN(
IFERROR(SEARCH(".",$C$3,DZ96),99999),
IFERROR(SEARCH(",",$C$3,DZ96),99999),
IFERROR(SEARCH(" в размере",$C$3,DZ96),99999))</f>
        <v>99999</v>
      </c>
      <c r="EA97" s="306"/>
      <c r="EB97" s="827"/>
      <c r="EC97" s="829"/>
      <c r="NK97" s="1464"/>
      <c r="NL97" s="826"/>
      <c r="NM97" s="836"/>
      <c r="NN97" s="306" t="str">
        <f>IF(NO97=IFERROR(SEARCH(".",NJ$4,NO96),99999),".",
IF(NO97=IFERROR(SEARCH(",",NJ$4,NO96),99999),",",
IF(NO97=IFERROR(SEARCH(" за период",NJ$4,NO96),999999)," за период",
IF(NO97=IFERROR(SEARCH(" в размере",NJ$4,NO96),99999)," в размере",
))))</f>
        <v>.</v>
      </c>
      <c r="NO97" s="306">
        <f>MIN(
IFERROR(SEARCH(".",NJ$4,NO96),99999),
IFERROR(SEARCH(",",NJ$4,NO96),99999),
IFERROR(SEARCH(" в размере",NJ$4,NO96),99999))</f>
        <v>99999</v>
      </c>
      <c r="NP97" s="306"/>
      <c r="NQ97" s="827"/>
      <c r="NR97" s="829"/>
      <c r="SY97" s="1464"/>
      <c r="SZ97" s="826"/>
      <c r="TA97" s="836"/>
      <c r="TB97" s="306" t="str">
        <f>IF(TC97=IFERROR(SEARCH(".",$SQ$3,TC96),99999),".",
IF(TC97=IFERROR(SEARCH(",",$SQ$3,TC96),99999),",",
IF(TC97=IFERROR(SEARCH(" за период",$SQ$3,TC96),999999)," за период",
IF(TC97=IFERROR(SEARCH(" в размере",$SQ$3,TC96),99999)," в размере",
))))</f>
        <v>.</v>
      </c>
      <c r="TC97" s="306">
        <f>MIN(
IFERROR(SEARCH(".",$SQ$3,TC96),99999),
IFERROR(SEARCH(",",$SQ$3,TC96),99999),
IFERROR(SEARCH(" в размере",$SQ$3,TC96),99999))</f>
        <v>99999</v>
      </c>
      <c r="TD97" s="306"/>
      <c r="TE97" s="827"/>
      <c r="TF97" s="829"/>
      <c r="TK97" s="1004"/>
      <c r="TL97" s="1035"/>
      <c r="TM97" s="1036"/>
      <c r="TN97" s="1036"/>
      <c r="TO97" s="1036"/>
      <c r="TP97" s="1036"/>
      <c r="TQ97" s="1035"/>
      <c r="TR97" s="1004"/>
      <c r="TW97" s="1464"/>
      <c r="TX97" s="826"/>
      <c r="TY97" s="836"/>
      <c r="TZ97" s="306" t="str">
        <f>IF(UA97=IFERROR(SEARCH(".",$SQ$4,UA96),99999),".",
IF(UA97=IFERROR(SEARCH(",",$SQ$4,UA96),99999),",",
IF(UA97=IFERROR(SEARCH(" за период",$SQ$4,UA96),999999)," за период",
IF(UA97=IFERROR(SEARCH(" в размере",$SQ$4,UA96),99999)," в размере",
))))</f>
        <v>.</v>
      </c>
      <c r="UA97" s="306">
        <f>MIN(
IFERROR(SEARCH(".",$SQ$4,UA96),99999),
IFERROR(SEARCH(",",$SQ$4,UA96),99999),
IFERROR(SEARCH(" в размере",$SQ$4,UA96),99999))</f>
        <v>99999</v>
      </c>
      <c r="UB97" s="306"/>
      <c r="UC97" s="827"/>
      <c r="UD97" s="829"/>
      <c r="UI97" s="1004"/>
      <c r="UJ97" s="1035"/>
      <c r="UK97" s="1036"/>
      <c r="UL97" s="1036"/>
      <c r="UM97" s="1036"/>
      <c r="UN97" s="1036"/>
      <c r="UO97" s="1035"/>
      <c r="UP97" s="1004"/>
      <c r="UU97" s="1464"/>
      <c r="UV97" s="826"/>
      <c r="UW97" s="836"/>
      <c r="UX97" s="306" t="str">
        <f>IF(UY97=IFERROR(SEARCH(".",$SQ$5,UY96),99999),".",
IF(UY97=IFERROR(SEARCH(",",$SQ$5,UY96),99999),",",
IF(UY97=IFERROR(SEARCH(" за период",$SQ$5,UY96),999999)," за период",
IF(UY97=IFERROR(SEARCH(" в размере",$SQ$5,UY96),99999)," в размере",
))))</f>
        <v>.</v>
      </c>
      <c r="UY97" s="306">
        <f>MIN(
IFERROR(SEARCH(".",$SQ$5,UY96),99999),
IFERROR(SEARCH(",",$SQ$5,UY96),99999),
IFERROR(SEARCH(" в размере",$SQ$5,UY96),99999))</f>
        <v>99999</v>
      </c>
      <c r="UZ97" s="306"/>
      <c r="VA97" s="827"/>
      <c r="VB97" s="829"/>
      <c r="VG97" s="1004"/>
      <c r="VH97" s="1035"/>
      <c r="VI97" s="1036"/>
      <c r="VJ97" s="1036"/>
      <c r="VK97" s="1036"/>
      <c r="VL97" s="1036"/>
      <c r="VM97" s="1035"/>
      <c r="VN97" s="1004"/>
      <c r="VS97" s="1464"/>
      <c r="VT97" s="826"/>
      <c r="VU97" s="836"/>
      <c r="VV97" s="306" t="str">
        <f>IF(VW97=IFERROR(SEARCH(".",$SQ$6,VW96),99999),".",
IF(VW97=IFERROR(SEARCH(",",$SQ$6,VW96),99999),",",
IF(VW97=IFERROR(SEARCH(" за период",$SQ$6,VW96),999999)," за период",
IF(VW97=IFERROR(SEARCH(" в размере",$SQ$6,VW96),99999)," в размере",
))))</f>
        <v>.</v>
      </c>
      <c r="VW97" s="306">
        <f>MIN(
IFERROR(SEARCH(".",$SQ$6,VW96),99999),
IFERROR(SEARCH(",",$SQ$6,VW96),99999),
IFERROR(SEARCH(" в размере",$SQ$6,VW96),99999))</f>
        <v>99999</v>
      </c>
      <c r="VX97" s="306"/>
      <c r="VY97" s="827"/>
      <c r="VZ97" s="829"/>
      <c r="WE97" s="1004"/>
      <c r="WF97" s="1035"/>
      <c r="WG97" s="1036"/>
      <c r="WH97" s="1036"/>
      <c r="WI97" s="1036"/>
      <c r="WJ97" s="1036"/>
      <c r="WK97" s="1035"/>
      <c r="WL97" s="1004"/>
      <c r="WQ97" s="1464"/>
      <c r="WR97" s="826"/>
      <c r="WS97" s="836"/>
      <c r="WT97" s="306" t="str">
        <f>IF(WU97=IFERROR(SEARCH(".",$SQ$7,WU96),99999),".",
IF(WU97=IFERROR(SEARCH(",",$SQ$7,WU96),99999),",",
IF(WU97=IFERROR(SEARCH(" за период",$SQ$7,WU96),999999)," за период",
IF(WU97=IFERROR(SEARCH(" в размере",$SQ$7,WU96),99999)," в размере",
))))</f>
        <v>.</v>
      </c>
      <c r="WU97" s="306">
        <f>MIN(
IFERROR(SEARCH(".",$SQ$7,WU96),99999),
IFERROR(SEARCH(",",$SQ$7,WU96),99999),
IFERROR(SEARCH(" в размере",$SQ$7,WU96),99999))</f>
        <v>99999</v>
      </c>
      <c r="WV97" s="306"/>
      <c r="WW97" s="827"/>
      <c r="WX97" s="829"/>
      <c r="XC97" s="1004"/>
      <c r="XD97" s="1035"/>
      <c r="XE97" s="1036"/>
      <c r="XF97" s="1036"/>
      <c r="XG97" s="1036"/>
      <c r="XH97" s="1036"/>
      <c r="XI97" s="1035"/>
      <c r="XJ97" s="1004"/>
      <c r="YG97" s="1464"/>
      <c r="YH97" s="826"/>
      <c r="YI97" s="836"/>
      <c r="YJ97" s="306" t="str">
        <f>IF(YK97=IFERROR(SEARCH(".",$XU$3,YK96),99999),".",
IF(YK97=IFERROR(SEARCH(",",$XU$3,YK96),99999),",",
IF(YK97=IFERROR(SEARCH(" за период",$XU$3,YK96),999999)," за период",
IF(YK97=IFERROR(SEARCH(" в размере",$XU$3,YK96),99999)," в размере",
))))</f>
        <v>.</v>
      </c>
      <c r="YK97" s="306">
        <f>MIN(
IFERROR(SEARCH(".",$XU$3,YK96),99999),
IFERROR(SEARCH(",",$XU$3,YK96),99999),
IFERROR(SEARCH(" в размере",$XU$3,YK96),99999))</f>
        <v>99999</v>
      </c>
      <c r="YL97" s="306"/>
      <c r="YM97" s="827"/>
      <c r="YN97" s="829"/>
      <c r="YS97" s="1464"/>
      <c r="YT97" s="826"/>
      <c r="YU97" s="836"/>
      <c r="YV97" s="306" t="str">
        <f>IF(YW97=IFERROR(SEARCH(".",$XU$4,YW96),99999),".",
IF(YW97=IFERROR(SEARCH(",",$XU$4,YW96),99999),",",
IF(YW97=IFERROR(SEARCH(" за период",$XU$4,YW96),999999)," за период",
IF(YW97=IFERROR(SEARCH(" в размере",$XU$4,YW96),99999)," в размере",
))))</f>
        <v>.</v>
      </c>
      <c r="YW97" s="306">
        <f>MIN(
IFERROR(SEARCH(".",$XU$4,YW96),99999),
IFERROR(SEARCH(",",$XU$4,YW96),99999),
IFERROR(SEARCH(" в размере",$XU$4,YW96),99999))</f>
        <v>99999</v>
      </c>
      <c r="YX97" s="306"/>
      <c r="YY97" s="827"/>
      <c r="YZ97" s="829"/>
      <c r="ZE97" s="1464"/>
      <c r="ZF97" s="826"/>
      <c r="ZG97" s="836"/>
      <c r="ZH97" s="306" t="str">
        <f>IF(ZI97=IFERROR(SEARCH(".",$XU$5,ZI96),99999),".",
IF(ZI97=IFERROR(SEARCH(",",$XU$5,ZI96),99999),",",
IF(ZI97=IFERROR(SEARCH(" за период",$XU$5,ZI96),999999)," за период",
IF(ZI97=IFERROR(SEARCH(" в размере",$XU$5,ZI96),99999)," в размере",
))))</f>
        <v>.</v>
      </c>
      <c r="ZI97" s="306">
        <f>MIN(
IFERROR(SEARCH(".",$XU$5,ZI96),99999),
IFERROR(SEARCH(",",$XU$5,ZI96),99999),
IFERROR(SEARCH(" в размере",$XU$5,ZI96),99999))</f>
        <v>99999</v>
      </c>
      <c r="ZJ97" s="306"/>
      <c r="ZK97" s="827"/>
      <c r="ZL97" s="829"/>
      <c r="ZQ97" s="1464"/>
      <c r="ZR97" s="826"/>
      <c r="ZS97" s="836"/>
      <c r="ZT97" s="306" t="str">
        <f>IF(ZU97=IFERROR(SEARCH(".",$XU$6,ZU96),99999),".",
IF(ZU97=IFERROR(SEARCH(",",$XU$6,ZU96),99999),",",
IF(ZU97=IFERROR(SEARCH(" за период",$XU$6,ZU96),999999)," за период",
IF(ZU97=IFERROR(SEARCH(" в размере",$XU$6,ZU96),99999)," в размере",
))))</f>
        <v>.</v>
      </c>
      <c r="ZU97" s="306">
        <f>MIN(
IFERROR(SEARCH(".",$XU$6,ZU96),99999),
IFERROR(SEARCH(",",$XU$6,ZU96),99999),
IFERROR(SEARCH(" в размере",$XU$6,ZU96),99999))</f>
        <v>99999</v>
      </c>
      <c r="ZV97" s="306"/>
      <c r="ZW97" s="827"/>
      <c r="ZX97" s="829"/>
      <c r="AAC97" s="1464"/>
      <c r="AAD97" s="826"/>
      <c r="AAE97" s="836"/>
      <c r="AAF97" s="306" t="str">
        <f>IF(AAG97=IFERROR(SEARCH(".",$XU$7,AAG96),99999),".",
IF(AAG97=IFERROR(SEARCH(",",$XU$7,AAG96),99999),",",
IF(AAG97=IFERROR(SEARCH(" за период",$XU$7,AAG96),999999)," за период",
IF(AAG97=IFERROR(SEARCH(" в размере",$XU$7,AAG96),99999)," в размере",
))))</f>
        <v>.</v>
      </c>
      <c r="AAG97" s="306">
        <f>MIN(
IFERROR(SEARCH(".",$XU$7,AAG96),99999),
IFERROR(SEARCH(",",$XU$7,AAG96),99999),
IFERROR(SEARCH(" в размере",$XU$7,AAG96),99999))</f>
        <v>99999</v>
      </c>
      <c r="AAH97" s="306"/>
      <c r="AAI97" s="827"/>
      <c r="AAJ97" s="829"/>
      <c r="AFE97" s="1464"/>
      <c r="AFF97" s="826"/>
      <c r="AFG97" s="836"/>
      <c r="AFH97" s="306" t="str">
        <f>IF(AFI97=IFERROR(SEARCH(".",AFD$4,AFI96),99999),".",
IF(AFI97=IFERROR(SEARCH(",",AFD$4,AFI96),99999),",",
IF(AFI97=IFERROR(SEARCH(" за период",AFD$4,AFI96),999999)," за период",
IF(AFI97=IFERROR(SEARCH(" в размере",AFD$4,AFI96),99999)," в размере",
))))</f>
        <v>.</v>
      </c>
      <c r="AFI97" s="306">
        <f>MIN(
IFERROR(SEARCH(".",AFD$4,AFI96),99999),
IFERROR(SEARCH(",",AFD$4,AFI96),99999),
IFERROR(SEARCH(" в размере",AFD$4,AFI96),99999))</f>
        <v>99999</v>
      </c>
      <c r="AFJ97" s="306"/>
      <c r="AFK97" s="827"/>
      <c r="AFL97" s="829"/>
      <c r="AFQ97" s="1464"/>
      <c r="AFR97" s="826"/>
      <c r="AFS97" s="836"/>
      <c r="AFT97" s="306" t="str">
        <f>IF(AFU97=IFERROR(SEARCH(".",AFP$4,AFU96),99999),".",
IF(AFU97=IFERROR(SEARCH(",",AFP$4,AFU96),99999),",",
IF(AFU97=IFERROR(SEARCH(" за период",AFP$4,AFU96),999999)," за период",
IF(AFU97=IFERROR(SEARCH(" в размере",AFP$4,AFU96),99999)," в размере",
))))</f>
        <v>.</v>
      </c>
      <c r="AFU97" s="306">
        <f>MIN(
IFERROR(SEARCH(".",AFP$4,AFU96),99999),
IFERROR(SEARCH(",",AFP$4,AFU96),99999),
IFERROR(SEARCH(" в размере",AFP$4,AFU96),99999))</f>
        <v>99999</v>
      </c>
      <c r="AFV97" s="306"/>
      <c r="AFW97" s="827"/>
      <c r="AFX97" s="829"/>
      <c r="AGC97" s="1464"/>
      <c r="AGD97" s="826"/>
      <c r="AGE97" s="836"/>
      <c r="AGF97" s="306" t="str">
        <f>IF(AGG97=IFERROR(SEARCH(".",AGB$4,AGG96),99999),".",
IF(AGG97=IFERROR(SEARCH(",",AGB$4,AGG96),99999),",",
IF(AGG97=IFERROR(SEARCH(" за период",AGB$4,AGG96),999999)," за период",
IF(AGG97=IFERROR(SEARCH(" в размере",AGB$4,AGG96),99999)," в размере",
))))</f>
        <v>.</v>
      </c>
      <c r="AGG97" s="306">
        <f>MIN(
IFERROR(SEARCH(".",AGB$4,AGG96),99999),
IFERROR(SEARCH(",",AGB$4,AGG96),99999),
IFERROR(SEARCH(" в размере",AGB$4,AGG96),99999))</f>
        <v>99999</v>
      </c>
      <c r="AGH97" s="306"/>
      <c r="AGI97" s="827"/>
      <c r="AGJ97" s="829"/>
      <c r="AGO97" s="1464"/>
      <c r="AGP97" s="826"/>
      <c r="AGQ97" s="836"/>
      <c r="AGR97" s="306" t="str">
        <f>IF(AGS97=IFERROR(SEARCH(".",AGN$4,AGS96),99999),".",
IF(AGS97=IFERROR(SEARCH(",",AGN$4,AGS96),99999),",",
IF(AGS97=IFERROR(SEARCH(" за период",AGN$4,AGS96),999999)," за период",
IF(AGS97=IFERROR(SEARCH(" в размере",AGN$4,AGS96),99999)," в размере",
))))</f>
        <v>.</v>
      </c>
      <c r="AGS97" s="306">
        <f>MIN(
IFERROR(SEARCH(".",AGN$4,AGS96),99999),
IFERROR(SEARCH(",",AGN$4,AGS96),99999),
IFERROR(SEARCH(" в размере",AGN$4,AGS96),99999))</f>
        <v>99999</v>
      </c>
      <c r="AGT97" s="306"/>
      <c r="AGU97" s="827"/>
      <c r="AGV97" s="829"/>
      <c r="AHA97" s="1464"/>
      <c r="AHB97" s="826"/>
      <c r="AHC97" s="836"/>
      <c r="AHD97" s="306" t="str">
        <f>IF(AHE97=IFERROR(SEARCH(".",AGZ$4,AHE96),99999),".",
IF(AHE97=IFERROR(SEARCH(",",AGZ$4,AHE96),99999),",",
IF(AHE97=IFERROR(SEARCH(" за период",AGZ$4,AHE96),999999)," за период",
IF(AHE97=IFERROR(SEARCH(" в размере",AGZ$4,AHE96),99999)," в размере",
))))</f>
        <v>.</v>
      </c>
      <c r="AHE97" s="306">
        <f>MIN(
IFERROR(SEARCH(".",AGZ$4,AHE96),99999),
IFERROR(SEARCH(",",AGZ$4,AHE96),99999),
IFERROR(SEARCH(" в размере",AGZ$4,AHE96),99999))</f>
        <v>99999</v>
      </c>
      <c r="AHF97" s="306"/>
      <c r="AHG97" s="827"/>
      <c r="AHH97" s="829"/>
    </row>
    <row r="98" spans="2:893" x14ac:dyDescent="0.3">
      <c r="B98" s="116"/>
      <c r="C98" s="116"/>
      <c r="D98" s="116"/>
      <c r="E98" s="116"/>
      <c r="F98" s="116"/>
      <c r="G98" s="116"/>
      <c r="H98" s="116"/>
      <c r="I98" s="116"/>
      <c r="DT98" t="s">
        <v>9433</v>
      </c>
      <c r="DU98" s="821" t="s">
        <v>4951</v>
      </c>
      <c r="DV98" s="1464"/>
      <c r="DW98" s="830" t="s">
        <v>8249</v>
      </c>
      <c r="DX98" s="836" t="str">
        <f>IF(OR(DY97=" в размере",DY94=" в размере"),SEARCH(" в размере",$C$3,DZ94)+LEN(" в размере")+1,"НЕТ")</f>
        <v>НЕТ</v>
      </c>
      <c r="DY98" s="306" t="s">
        <v>8431</v>
      </c>
      <c r="DZ98" s="306" t="e">
        <f>SEARCH(DY98,$C$3,DX98)</f>
        <v>#VALUE!</v>
      </c>
      <c r="EA98" s="306" t="e">
        <f>DZ98-DX98</f>
        <v>#VALUE!</v>
      </c>
      <c r="EB98" s="826" t="e">
        <f>IF(EC94="Штраф 50%","",MID($C$3,DX98,EA98))</f>
        <v>#VALUE!</v>
      </c>
      <c r="EC98" s="829"/>
      <c r="NK98" s="1464"/>
      <c r="NL98" s="830" t="s">
        <v>8249</v>
      </c>
      <c r="NM98" s="836" t="e">
        <f>SEARCH(" в размере",NJ$4,NO94)+LEN(" в размере")+1</f>
        <v>#VALUE!</v>
      </c>
      <c r="NN98" s="306" t="s">
        <v>8431</v>
      </c>
      <c r="NO98" s="306" t="e">
        <f>SEARCH(NN98,NJ$4,NM98)</f>
        <v>#VALUE!</v>
      </c>
      <c r="NP98" s="306" t="e">
        <f>NO98-NM98</f>
        <v>#VALUE!</v>
      </c>
      <c r="NQ98" s="826" t="e">
        <f>IF(NR94="Штраф 50%","",MID(NJ$4,NM98,NP98))</f>
        <v>#VALUE!</v>
      </c>
      <c r="NR98" s="829"/>
      <c r="SY98" s="1464"/>
      <c r="SZ98" s="830" t="s">
        <v>8249</v>
      </c>
      <c r="TA98" s="836" t="e">
        <f>IF(NOT(ISERROR(SEARCH("НДФЛ",SX$4))),MIN(SEARCH("в размере ",SX$4,TC94)+LEN("в размере "),SEARCH("исходя из суммы ",SX$4,TC94)+LEN("исходя из суммы ")),SEARCH(" в размере",SX$4,TC94)+LEN(" в размере")+1)</f>
        <v>#VALUE!</v>
      </c>
      <c r="TB98" s="306" t="s">
        <v>8431</v>
      </c>
      <c r="TC98" s="306" t="e">
        <f>SEARCH(TB98,$SQ$3,TA98)</f>
        <v>#VALUE!</v>
      </c>
      <c r="TD98" s="306" t="e">
        <f>TC98-TA98</f>
        <v>#VALUE!</v>
      </c>
      <c r="TE98" s="826" t="e">
        <f>IF(TF94="Штраф 50%","",MID($SQ$3,TA98,TD98))</f>
        <v>#VALUE!</v>
      </c>
      <c r="TF98" s="829"/>
      <c r="TK98" s="1004"/>
      <c r="TL98" s="1035"/>
      <c r="TM98" s="1036"/>
      <c r="TN98" s="1036"/>
      <c r="TO98" s="1036"/>
      <c r="TP98" s="1036"/>
      <c r="TQ98" s="1037"/>
      <c r="TR98" s="1037"/>
      <c r="TW98" s="1464"/>
      <c r="TX98" s="830" t="s">
        <v>8249</v>
      </c>
      <c r="TY98" s="836" t="e">
        <f>IF(NOT(ISERROR(SEARCH("НДФЛ",TV$4))),MIN(SEARCH("в размере ",TV$4,UA94)+LEN("в размере "),SEARCH("исходя из суммы ",TV$4,UA94)+LEN("исходя из суммы ")),SEARCH(" в размере",TV$4,UA94)+LEN(" в размере")+1)</f>
        <v>#VALUE!</v>
      </c>
      <c r="TZ98" s="306" t="s">
        <v>8431</v>
      </c>
      <c r="UA98" s="306" t="e">
        <f>SEARCH(TZ98,$SQ$4,TY98)</f>
        <v>#VALUE!</v>
      </c>
      <c r="UB98" s="306" t="e">
        <f>UA98-TY98</f>
        <v>#VALUE!</v>
      </c>
      <c r="UC98" s="826" t="e">
        <f>IF(UD94="Штраф 50%","",MID($SQ$4,TY98,UB98))</f>
        <v>#VALUE!</v>
      </c>
      <c r="UD98" s="829"/>
      <c r="UI98" s="1004"/>
      <c r="UJ98" s="1035"/>
      <c r="UK98" s="1036"/>
      <c r="UL98" s="1036"/>
      <c r="UM98" s="1036"/>
      <c r="UN98" s="1036"/>
      <c r="UO98" s="1037"/>
      <c r="UP98" s="1037"/>
      <c r="UU98" s="1464"/>
      <c r="UV98" s="830" t="s">
        <v>8249</v>
      </c>
      <c r="UW98" s="836" t="e">
        <f>IF(NOT(ISERROR(SEARCH("НДФЛ",UT$4))),MIN(SEARCH("в размере ",UT$4,UY94)+LEN("в размере "),SEARCH("исходя из суммы ",UT$4,UY94)+LEN("исходя из суммы ")),SEARCH(" в размере",UT$4,UY94)+LEN(" в размере")+1)</f>
        <v>#VALUE!</v>
      </c>
      <c r="UX98" s="306" t="s">
        <v>8431</v>
      </c>
      <c r="UY98" s="306" t="e">
        <f>SEARCH(UX98,$SQ$5,UW98)</f>
        <v>#VALUE!</v>
      </c>
      <c r="UZ98" s="306" t="e">
        <f>UY98-UW98</f>
        <v>#VALUE!</v>
      </c>
      <c r="VA98" s="826" t="e">
        <f>IF(VB94="Штраф 50%","",MID($SQ$5,UW98,UZ98))</f>
        <v>#VALUE!</v>
      </c>
      <c r="VB98" s="829"/>
      <c r="VG98" s="1004"/>
      <c r="VH98" s="1035"/>
      <c r="VI98" s="1036"/>
      <c r="VJ98" s="1036"/>
      <c r="VK98" s="1036"/>
      <c r="VL98" s="1036"/>
      <c r="VM98" s="1037"/>
      <c r="VN98" s="1037"/>
      <c r="VS98" s="1464"/>
      <c r="VT98" s="830" t="s">
        <v>8249</v>
      </c>
      <c r="VU98" s="836" t="e">
        <f>IF(NOT(ISERROR(SEARCH("НДФЛ",VR$4))),MIN(SEARCH("в размере ",VR$4,VW94)+LEN("в размере "),SEARCH("исходя из суммы ",VR$4,VW94)+LEN("исходя из суммы ")),SEARCH(" в размере",VR$4,VW94)+LEN(" в размере")+1)</f>
        <v>#VALUE!</v>
      </c>
      <c r="VV98" s="306" t="s">
        <v>8431</v>
      </c>
      <c r="VW98" s="306" t="e">
        <f>SEARCH(VV98,$SQ$6,VU98)</f>
        <v>#VALUE!</v>
      </c>
      <c r="VX98" s="306" t="e">
        <f>VW98-VU98</f>
        <v>#VALUE!</v>
      </c>
      <c r="VY98" s="826" t="e">
        <f>IF(VZ94="Штраф 50%","",MID($SQ$6,VU98,VX98))</f>
        <v>#VALUE!</v>
      </c>
      <c r="VZ98" s="829"/>
      <c r="WE98" s="1004"/>
      <c r="WF98" s="1035"/>
      <c r="WG98" s="1036"/>
      <c r="WH98" s="1036"/>
      <c r="WI98" s="1036"/>
      <c r="WJ98" s="1036"/>
      <c r="WK98" s="1037"/>
      <c r="WL98" s="1037"/>
      <c r="WQ98" s="1464"/>
      <c r="WR98" s="830" t="s">
        <v>8249</v>
      </c>
      <c r="WS98" s="836" t="e">
        <f>IF(NOT(ISERROR(SEARCH("НДФЛ",WP$4))),MIN(SEARCH("в размере ",WP$4,WU94)+LEN("в размере "),SEARCH("исходя из суммы ",WP$4,WU94)+LEN("исходя из суммы ")),SEARCH(" в размере",WP$4,WU94)+LEN(" в размере")+1)</f>
        <v>#VALUE!</v>
      </c>
      <c r="WT98" s="306" t="s">
        <v>8431</v>
      </c>
      <c r="WU98" s="306" t="e">
        <f>SEARCH(WT98,$SQ$7,WS98)</f>
        <v>#VALUE!</v>
      </c>
      <c r="WV98" s="306" t="e">
        <f>WU98-WS98</f>
        <v>#VALUE!</v>
      </c>
      <c r="WW98" s="826" t="e">
        <f>IF(WX94="Штраф 50%","",MID($SQ$7,WS98,WV98))</f>
        <v>#VALUE!</v>
      </c>
      <c r="WX98" s="829"/>
      <c r="XC98" s="1004"/>
      <c r="XD98" s="1035"/>
      <c r="XE98" s="1036"/>
      <c r="XF98" s="1036"/>
      <c r="XG98" s="1036"/>
      <c r="XH98" s="1036"/>
      <c r="XI98" s="1037"/>
      <c r="XJ98" s="1037"/>
      <c r="YG98" s="1464"/>
      <c r="YH98" s="830" t="s">
        <v>8249</v>
      </c>
      <c r="YI98" s="836" t="str">
        <f>IF(OR(YJ97=" в размере",YJ94=" в размере"),SEARCH(" в размере",$XU$3,YK94)+LEN(" в размере")+1,"НЕТ")</f>
        <v>НЕТ</v>
      </c>
      <c r="YJ98" s="306" t="s">
        <v>8431</v>
      </c>
      <c r="YK98" s="306" t="e">
        <f>SEARCH(YJ98,$XU$3,YI98)</f>
        <v>#VALUE!</v>
      </c>
      <c r="YL98" s="306" t="e">
        <f>YK98-YI98</f>
        <v>#VALUE!</v>
      </c>
      <c r="YM98" s="826" t="e">
        <f>IF(YN94="Штраф 50%","",MID($XU$3,YI98,YL98))</f>
        <v>#VALUE!</v>
      </c>
      <c r="YN98" s="829"/>
      <c r="YS98" s="1464"/>
      <c r="YT98" s="830" t="s">
        <v>8249</v>
      </c>
      <c r="YU98" s="836" t="e">
        <f>SEARCH(" в размере",$XU$4,YW94)+LEN(" в размере")+1</f>
        <v>#VALUE!</v>
      </c>
      <c r="YV98" s="306" t="s">
        <v>8431</v>
      </c>
      <c r="YW98" s="306" t="e">
        <f>SEARCH(YV98,$XU$4,YU98)</f>
        <v>#VALUE!</v>
      </c>
      <c r="YX98" s="306" t="e">
        <f>YW98-YU98</f>
        <v>#VALUE!</v>
      </c>
      <c r="YY98" s="826" t="e">
        <f>IF(YZ94="Штраф 50%","",MID($XU$4,YU98,YX98))</f>
        <v>#VALUE!</v>
      </c>
      <c r="YZ98" s="829"/>
      <c r="ZE98" s="1464"/>
      <c r="ZF98" s="830" t="s">
        <v>8249</v>
      </c>
      <c r="ZG98" s="836" t="e">
        <f>SEARCH(" в размере",$XU$5,ZI94)+LEN(" в размере")+1</f>
        <v>#VALUE!</v>
      </c>
      <c r="ZH98" s="306" t="s">
        <v>8431</v>
      </c>
      <c r="ZI98" s="306" t="e">
        <f>SEARCH(ZH98,$XU$5,ZG98)</f>
        <v>#VALUE!</v>
      </c>
      <c r="ZJ98" s="306" t="e">
        <f>ZI98-ZG98</f>
        <v>#VALUE!</v>
      </c>
      <c r="ZK98" s="826" t="e">
        <f>IF(ZL94="Штраф 50%","",MID($XU$5,ZG98,ZJ98))</f>
        <v>#VALUE!</v>
      </c>
      <c r="ZL98" s="829"/>
      <c r="ZQ98" s="1464"/>
      <c r="ZR98" s="830" t="s">
        <v>8249</v>
      </c>
      <c r="ZS98" s="836" t="e">
        <f>SEARCH(" в размере",$XU$6,ZU94)+LEN(" в размере")+1</f>
        <v>#VALUE!</v>
      </c>
      <c r="ZT98" s="306" t="s">
        <v>8431</v>
      </c>
      <c r="ZU98" s="306" t="e">
        <f>SEARCH(ZT98,$XU$6,ZS98)</f>
        <v>#VALUE!</v>
      </c>
      <c r="ZV98" s="306" t="e">
        <f>ZU98-ZS98</f>
        <v>#VALUE!</v>
      </c>
      <c r="ZW98" s="826" t="e">
        <f>IF(ZX94="Штраф 50%","",MID($XU$6,ZS98,ZV98))</f>
        <v>#VALUE!</v>
      </c>
      <c r="ZX98" s="829"/>
      <c r="AAC98" s="1464"/>
      <c r="AAD98" s="830" t="s">
        <v>8249</v>
      </c>
      <c r="AAE98" s="836" t="e">
        <f>SEARCH(" в размере",$XU$7,AAG94)+LEN(" в размере")+1</f>
        <v>#VALUE!</v>
      </c>
      <c r="AAF98" s="306" t="s">
        <v>8431</v>
      </c>
      <c r="AAG98" s="306" t="e">
        <f>SEARCH(AAF98,$XU$7,AAE98)</f>
        <v>#VALUE!</v>
      </c>
      <c r="AAH98" s="306" t="e">
        <f>AAG98-AAE98</f>
        <v>#VALUE!</v>
      </c>
      <c r="AAI98" s="826" t="e">
        <f>IF(AAJ94="Штраф 50%","",MID($XU$7,AAE98,AAH98))</f>
        <v>#VALUE!</v>
      </c>
      <c r="AAJ98" s="829"/>
      <c r="AFE98" s="1464"/>
      <c r="AFF98" s="830" t="s">
        <v>8249</v>
      </c>
      <c r="AFG98" s="836" t="e">
        <f>SEARCH(" в размере",AFD$4,AFI94)+LEN(" в размере")+1</f>
        <v>#VALUE!</v>
      </c>
      <c r="AFH98" s="306" t="s">
        <v>8431</v>
      </c>
      <c r="AFI98" s="306" t="e">
        <f>SEARCH(AFH98,AFD$4,AFG98)</f>
        <v>#VALUE!</v>
      </c>
      <c r="AFJ98" s="306" t="e">
        <f>AFI98-AFG98</f>
        <v>#VALUE!</v>
      </c>
      <c r="AFK98" s="826" t="e">
        <f>IF(AFL94="Штраф 50%","",MID(AFD$4,AFG98,AFJ98))</f>
        <v>#VALUE!</v>
      </c>
      <c r="AFL98" s="829"/>
      <c r="AFQ98" s="1464"/>
      <c r="AFR98" s="830" t="s">
        <v>8249</v>
      </c>
      <c r="AFS98" s="836" t="e">
        <f>SEARCH(" в размере",AFP$4,AFU94)+LEN(" в размере")+1</f>
        <v>#VALUE!</v>
      </c>
      <c r="AFT98" s="306" t="s">
        <v>8431</v>
      </c>
      <c r="AFU98" s="306" t="e">
        <f>SEARCH(AFT98,AFP$4,AFS98)</f>
        <v>#VALUE!</v>
      </c>
      <c r="AFV98" s="306" t="e">
        <f>AFU98-AFS98</f>
        <v>#VALUE!</v>
      </c>
      <c r="AFW98" s="826" t="e">
        <f>IF(AFX94="Штраф 50%","",MID(AFP$4,AFS98,AFV98))</f>
        <v>#VALUE!</v>
      </c>
      <c r="AFX98" s="829"/>
      <c r="AGC98" s="1464"/>
      <c r="AGD98" s="830" t="s">
        <v>8249</v>
      </c>
      <c r="AGE98" s="836" t="e">
        <f>SEARCH(" в размере",AGB$4,AGG94)+LEN(" в размере")+1</f>
        <v>#VALUE!</v>
      </c>
      <c r="AGF98" s="306" t="s">
        <v>8431</v>
      </c>
      <c r="AGG98" s="306" t="e">
        <f>SEARCH(AGF98,AGB$4,AGE98)</f>
        <v>#VALUE!</v>
      </c>
      <c r="AGH98" s="306" t="e">
        <f>AGG98-AGE98</f>
        <v>#VALUE!</v>
      </c>
      <c r="AGI98" s="826" t="e">
        <f>IF(AGJ94="Штраф 50%","",MID(AGB$4,AGE98,AGH98))</f>
        <v>#VALUE!</v>
      </c>
      <c r="AGJ98" s="829"/>
      <c r="AGO98" s="1464"/>
      <c r="AGP98" s="830" t="s">
        <v>8249</v>
      </c>
      <c r="AGQ98" s="836" t="e">
        <f>SEARCH(" в размере",AGN$4,AGS94)+LEN(" в размере")+1</f>
        <v>#VALUE!</v>
      </c>
      <c r="AGR98" s="306" t="s">
        <v>8431</v>
      </c>
      <c r="AGS98" s="306" t="e">
        <f>SEARCH(AGR98,AGN$4,AGQ98)</f>
        <v>#VALUE!</v>
      </c>
      <c r="AGT98" s="306" t="e">
        <f>AGS98-AGQ98</f>
        <v>#VALUE!</v>
      </c>
      <c r="AGU98" s="826" t="e">
        <f>IF(AGV94="Штраф 50%","",MID(AGN$4,AGQ98,AGT98))</f>
        <v>#VALUE!</v>
      </c>
      <c r="AGV98" s="829"/>
      <c r="AHA98" s="1464"/>
      <c r="AHB98" s="830" t="s">
        <v>8249</v>
      </c>
      <c r="AHC98" s="836" t="e">
        <f>SEARCH(" в размере",AGZ$4,AHE94)+LEN(" в размере")+1</f>
        <v>#VALUE!</v>
      </c>
      <c r="AHD98" s="306" t="s">
        <v>8431</v>
      </c>
      <c r="AHE98" s="306" t="e">
        <f>SEARCH(AHD98,AGZ$4,AHC98)</f>
        <v>#VALUE!</v>
      </c>
      <c r="AHF98" s="306" t="e">
        <f>AHE98-AHC98</f>
        <v>#VALUE!</v>
      </c>
      <c r="AHG98" s="826" t="e">
        <f>IF(AHH94="Штраф 50%","",MID(AGZ$4,AHC98,AHF98))</f>
        <v>#VALUE!</v>
      </c>
      <c r="AHH98" s="829"/>
    </row>
    <row r="99" spans="2:893" x14ac:dyDescent="0.3">
      <c r="B99" s="116"/>
      <c r="C99" s="116"/>
      <c r="D99" s="116"/>
      <c r="E99" s="116"/>
      <c r="F99" s="116"/>
      <c r="G99" s="116"/>
      <c r="H99" s="116"/>
      <c r="I99" s="116"/>
      <c r="DT99" t="s">
        <v>9434</v>
      </c>
      <c r="DU99" s="821" t="s">
        <v>1117</v>
      </c>
      <c r="DV99" s="1464"/>
      <c r="DW99" s="306"/>
      <c r="DX99" s="836" t="e">
        <f>SEARCH(" ",$C$3,DZ98+1)+1</f>
        <v>#VALUE!</v>
      </c>
      <c r="DY99" s="306" t="s">
        <v>8432</v>
      </c>
      <c r="DZ99" s="306" t="e">
        <f>SEARCH(DY99,$C$3,DX99)</f>
        <v>#VALUE!</v>
      </c>
      <c r="EA99" s="306" t="e">
        <f>DZ99-DX99</f>
        <v>#VALUE!</v>
      </c>
      <c r="EB99" s="826" t="e">
        <f>IF(EC94="Штраф 50%","",MID($C$3,DX99,EA99))</f>
        <v>#VALUE!</v>
      </c>
      <c r="EC99" s="829"/>
      <c r="NK99" s="1464"/>
      <c r="NL99" s="306"/>
      <c r="NM99" s="836" t="e">
        <f>SEARCH(" ",NJ$4,NO98+1)+1</f>
        <v>#VALUE!</v>
      </c>
      <c r="NN99" s="306" t="s">
        <v>8432</v>
      </c>
      <c r="NO99" s="306" t="e">
        <f>SEARCH(NN99,NJ$4,NM99)</f>
        <v>#VALUE!</v>
      </c>
      <c r="NP99" s="306" t="e">
        <f>NO99-NM99</f>
        <v>#VALUE!</v>
      </c>
      <c r="NQ99" s="826" t="e">
        <f>IF(NR94="Штраф 50%","",MID(NJ$4,NM99,NP99))</f>
        <v>#VALUE!</v>
      </c>
      <c r="NR99" s="829"/>
      <c r="SY99" s="1464"/>
      <c r="SZ99" s="306"/>
      <c r="TA99" s="836" t="e">
        <f>SEARCH(" ",$SQ$3,TC98+1)+1</f>
        <v>#VALUE!</v>
      </c>
      <c r="TB99" s="306" t="s">
        <v>8432</v>
      </c>
      <c r="TC99" s="306" t="e">
        <f>SEARCH(TB99,$SQ$3,TA99)</f>
        <v>#VALUE!</v>
      </c>
      <c r="TD99" s="306" t="e">
        <f>TC99-TA99</f>
        <v>#VALUE!</v>
      </c>
      <c r="TE99" s="826" t="e">
        <f>IF(TF94="Штраф 50%","",MID($SQ$3,TA99,TD99))</f>
        <v>#VALUE!</v>
      </c>
      <c r="TF99" s="829"/>
      <c r="TK99" s="1004"/>
      <c r="TL99" s="1035"/>
      <c r="TM99" s="1036"/>
      <c r="TN99" s="1036"/>
      <c r="TO99" s="1036"/>
      <c r="TP99" s="1036"/>
      <c r="TQ99" s="1037"/>
      <c r="TR99" s="1037"/>
      <c r="TW99" s="1464"/>
      <c r="TX99" s="306"/>
      <c r="TY99" s="836" t="e">
        <f>SEARCH(" ",$SQ$4,UA98+1)+1</f>
        <v>#VALUE!</v>
      </c>
      <c r="TZ99" s="306" t="s">
        <v>8432</v>
      </c>
      <c r="UA99" s="306" t="e">
        <f>SEARCH(TZ99,$SQ$4,TY99)</f>
        <v>#VALUE!</v>
      </c>
      <c r="UB99" s="306" t="e">
        <f>UA99-TY99</f>
        <v>#VALUE!</v>
      </c>
      <c r="UC99" s="826" t="e">
        <f>IF(UD94="Штраф 50%","",MID($SQ$4,TY99,UB99))</f>
        <v>#VALUE!</v>
      </c>
      <c r="UD99" s="829"/>
      <c r="UI99" s="1004"/>
      <c r="UJ99" s="1035"/>
      <c r="UK99" s="1036"/>
      <c r="UL99" s="1036"/>
      <c r="UM99" s="1036"/>
      <c r="UN99" s="1036"/>
      <c r="UO99" s="1037"/>
      <c r="UP99" s="1037"/>
      <c r="UU99" s="1464"/>
      <c r="UV99" s="306"/>
      <c r="UW99" s="836" t="e">
        <f>SEARCH(" ",$SQ$5,UY98+1)+1</f>
        <v>#VALUE!</v>
      </c>
      <c r="UX99" s="306" t="s">
        <v>8432</v>
      </c>
      <c r="UY99" s="306" t="e">
        <f>SEARCH(UX99,$SQ$5,UW99)</f>
        <v>#VALUE!</v>
      </c>
      <c r="UZ99" s="306" t="e">
        <f>UY99-UW99</f>
        <v>#VALUE!</v>
      </c>
      <c r="VA99" s="826" t="e">
        <f>IF(VB94="Штраф 50%","",MID($SQ$5,UW99,UZ99))</f>
        <v>#VALUE!</v>
      </c>
      <c r="VB99" s="829"/>
      <c r="VG99" s="1004"/>
      <c r="VH99" s="1035"/>
      <c r="VI99" s="1036"/>
      <c r="VJ99" s="1036"/>
      <c r="VK99" s="1036"/>
      <c r="VL99" s="1036"/>
      <c r="VM99" s="1037"/>
      <c r="VN99" s="1037"/>
      <c r="VS99" s="1464"/>
      <c r="VT99" s="306"/>
      <c r="VU99" s="836" t="e">
        <f>SEARCH(" ",$SQ$6,VW98+1)+1</f>
        <v>#VALUE!</v>
      </c>
      <c r="VV99" s="306" t="s">
        <v>8432</v>
      </c>
      <c r="VW99" s="306" t="e">
        <f>SEARCH(VV99,$SQ$6,VU99)</f>
        <v>#VALUE!</v>
      </c>
      <c r="VX99" s="306" t="e">
        <f>VW99-VU99</f>
        <v>#VALUE!</v>
      </c>
      <c r="VY99" s="826" t="e">
        <f>IF(VZ94="Штраф 50%","",MID($SQ$6,VU99,VX99))</f>
        <v>#VALUE!</v>
      </c>
      <c r="VZ99" s="829"/>
      <c r="WE99" s="1004"/>
      <c r="WF99" s="1035"/>
      <c r="WG99" s="1036"/>
      <c r="WH99" s="1036"/>
      <c r="WI99" s="1036"/>
      <c r="WJ99" s="1036"/>
      <c r="WK99" s="1037"/>
      <c r="WL99" s="1037"/>
      <c r="WQ99" s="1464"/>
      <c r="WR99" s="306"/>
      <c r="WS99" s="836" t="e">
        <f>SEARCH(" ",$SQ$7,WU98+1)+1</f>
        <v>#VALUE!</v>
      </c>
      <c r="WT99" s="306" t="s">
        <v>8432</v>
      </c>
      <c r="WU99" s="306" t="e">
        <f>SEARCH(WT99,$SQ$7,WS99)</f>
        <v>#VALUE!</v>
      </c>
      <c r="WV99" s="306" t="e">
        <f>WU99-WS99</f>
        <v>#VALUE!</v>
      </c>
      <c r="WW99" s="826" t="e">
        <f>IF(WX94="Штраф 50%","",MID($SQ$7,WS99,WV99))</f>
        <v>#VALUE!</v>
      </c>
      <c r="WX99" s="829"/>
      <c r="XC99" s="1004"/>
      <c r="XD99" s="1035"/>
      <c r="XE99" s="1036"/>
      <c r="XF99" s="1036"/>
      <c r="XG99" s="1036"/>
      <c r="XH99" s="1036"/>
      <c r="XI99" s="1037"/>
      <c r="XJ99" s="1037"/>
      <c r="YG99" s="1464"/>
      <c r="YH99" s="306"/>
      <c r="YI99" s="836" t="e">
        <f>SEARCH(" ",$XU$3,YK98+1)+1</f>
        <v>#VALUE!</v>
      </c>
      <c r="YJ99" s="306" t="s">
        <v>8432</v>
      </c>
      <c r="YK99" s="306" t="e">
        <f>SEARCH(YJ99,$XU$3,YI99)</f>
        <v>#VALUE!</v>
      </c>
      <c r="YL99" s="306" t="e">
        <f>YK99-YI99</f>
        <v>#VALUE!</v>
      </c>
      <c r="YM99" s="826" t="e">
        <f>IF(YN94="Штраф 50%","",MID($XU$3,YI99,YL99))</f>
        <v>#VALUE!</v>
      </c>
      <c r="YN99" s="829"/>
      <c r="YS99" s="1464"/>
      <c r="YT99" s="306"/>
      <c r="YU99" s="836" t="e">
        <f>SEARCH(" ",$XU$4,YW98+1)+1</f>
        <v>#VALUE!</v>
      </c>
      <c r="YV99" s="306" t="s">
        <v>8432</v>
      </c>
      <c r="YW99" s="306" t="e">
        <f>SEARCH(YV99,$XU$4,YU99)</f>
        <v>#VALUE!</v>
      </c>
      <c r="YX99" s="306" t="e">
        <f>YW99-YU99</f>
        <v>#VALUE!</v>
      </c>
      <c r="YY99" s="826" t="e">
        <f>IF(YZ94="Штраф 50%","",MID($XU$4,YU99,YX99))</f>
        <v>#VALUE!</v>
      </c>
      <c r="YZ99" s="829"/>
      <c r="ZE99" s="1464"/>
      <c r="ZF99" s="306"/>
      <c r="ZG99" s="836" t="e">
        <f>SEARCH(" ",$XU$5,ZI98+1)+1</f>
        <v>#VALUE!</v>
      </c>
      <c r="ZH99" s="306" t="s">
        <v>8432</v>
      </c>
      <c r="ZI99" s="306" t="e">
        <f>SEARCH(ZH99,$XU$5,ZG99)</f>
        <v>#VALUE!</v>
      </c>
      <c r="ZJ99" s="306" t="e">
        <f>ZI99-ZG99</f>
        <v>#VALUE!</v>
      </c>
      <c r="ZK99" s="826" t="e">
        <f>IF(ZL94="Штраф 50%","",MID($XU$5,ZG99,ZJ99))</f>
        <v>#VALUE!</v>
      </c>
      <c r="ZL99" s="829"/>
      <c r="ZQ99" s="1464"/>
      <c r="ZR99" s="306"/>
      <c r="ZS99" s="836" t="e">
        <f>SEARCH(" ",$XU$6,ZU98+1)+1</f>
        <v>#VALUE!</v>
      </c>
      <c r="ZT99" s="306" t="s">
        <v>8432</v>
      </c>
      <c r="ZU99" s="306" t="e">
        <f>SEARCH(ZT99,$XU$6,ZS99)</f>
        <v>#VALUE!</v>
      </c>
      <c r="ZV99" s="306" t="e">
        <f>ZU99-ZS99</f>
        <v>#VALUE!</v>
      </c>
      <c r="ZW99" s="826" t="e">
        <f>IF(ZX94="Штраф 50%","",MID($XU$6,ZS99,ZV99))</f>
        <v>#VALUE!</v>
      </c>
      <c r="ZX99" s="829"/>
      <c r="AAC99" s="1464"/>
      <c r="AAD99" s="306"/>
      <c r="AAE99" s="836" t="e">
        <f>SEARCH(" ",$XU$7,AAG98+1)+1</f>
        <v>#VALUE!</v>
      </c>
      <c r="AAF99" s="306" t="s">
        <v>8432</v>
      </c>
      <c r="AAG99" s="306" t="e">
        <f>SEARCH(AAF99,$XU$7,AAE99)</f>
        <v>#VALUE!</v>
      </c>
      <c r="AAH99" s="306" t="e">
        <f>AAG99-AAE99</f>
        <v>#VALUE!</v>
      </c>
      <c r="AAI99" s="826" t="e">
        <f>IF(AAJ94="Штраф 50%","",MID($XU$7,AAE99,AAH99))</f>
        <v>#VALUE!</v>
      </c>
      <c r="AAJ99" s="829"/>
      <c r="AFE99" s="1464"/>
      <c r="AFF99" s="306"/>
      <c r="AFG99" s="836" t="e">
        <f>SEARCH(" ",AFD$4,AFI98+1)+1</f>
        <v>#VALUE!</v>
      </c>
      <c r="AFH99" s="306" t="s">
        <v>8432</v>
      </c>
      <c r="AFI99" s="306" t="e">
        <f>SEARCH(AFH99,AFD$4,AFG99)</f>
        <v>#VALUE!</v>
      </c>
      <c r="AFJ99" s="306" t="e">
        <f>AFI99-AFG99</f>
        <v>#VALUE!</v>
      </c>
      <c r="AFK99" s="826" t="e">
        <f>IF(AFL94="Штраф 50%","",MID(AFD$4,AFG99,AFJ99))</f>
        <v>#VALUE!</v>
      </c>
      <c r="AFL99" s="829"/>
      <c r="AFQ99" s="1464"/>
      <c r="AFR99" s="306"/>
      <c r="AFS99" s="836" t="e">
        <f>SEARCH(" ",AFP$4,AFU98+1)+1</f>
        <v>#VALUE!</v>
      </c>
      <c r="AFT99" s="306" t="s">
        <v>8432</v>
      </c>
      <c r="AFU99" s="306" t="e">
        <f>SEARCH(AFT99,AFP$4,AFS99)</f>
        <v>#VALUE!</v>
      </c>
      <c r="AFV99" s="306" t="e">
        <f>AFU99-AFS99</f>
        <v>#VALUE!</v>
      </c>
      <c r="AFW99" s="826" t="e">
        <f>IF(AFX94="Штраф 50%","",MID(AFP$4,AFS99,AFV99))</f>
        <v>#VALUE!</v>
      </c>
      <c r="AFX99" s="829"/>
      <c r="AGC99" s="1464"/>
      <c r="AGD99" s="306"/>
      <c r="AGE99" s="836" t="e">
        <f>SEARCH(" ",AGB$4,AGG98+1)+1</f>
        <v>#VALUE!</v>
      </c>
      <c r="AGF99" s="306" t="s">
        <v>8432</v>
      </c>
      <c r="AGG99" s="306" t="e">
        <f>SEARCH(AGF99,AGB$4,AGE99)</f>
        <v>#VALUE!</v>
      </c>
      <c r="AGH99" s="306" t="e">
        <f>AGG99-AGE99</f>
        <v>#VALUE!</v>
      </c>
      <c r="AGI99" s="826" t="e">
        <f>IF(AGJ94="Штраф 50%","",MID(AGB$4,AGE99,AGH99))</f>
        <v>#VALUE!</v>
      </c>
      <c r="AGJ99" s="829"/>
      <c r="AGO99" s="1464"/>
      <c r="AGP99" s="306"/>
      <c r="AGQ99" s="836" t="e">
        <f>SEARCH(" ",AGN$4,AGS98+1)+1</f>
        <v>#VALUE!</v>
      </c>
      <c r="AGR99" s="306" t="s">
        <v>8432</v>
      </c>
      <c r="AGS99" s="306" t="e">
        <f>SEARCH(AGR99,AGN$4,AGQ99)</f>
        <v>#VALUE!</v>
      </c>
      <c r="AGT99" s="306" t="e">
        <f>AGS99-AGQ99</f>
        <v>#VALUE!</v>
      </c>
      <c r="AGU99" s="826" t="e">
        <f>IF(AGV94="Штраф 50%","",MID(AGN$4,AGQ99,AGT99))</f>
        <v>#VALUE!</v>
      </c>
      <c r="AGV99" s="829"/>
      <c r="AHA99" s="1464"/>
      <c r="AHB99" s="306"/>
      <c r="AHC99" s="836" t="e">
        <f>SEARCH(" ",AGZ$4,AHE98+1)+1</f>
        <v>#VALUE!</v>
      </c>
      <c r="AHD99" s="306" t="s">
        <v>8432</v>
      </c>
      <c r="AHE99" s="306" t="e">
        <f>SEARCH(AHD99,AGZ$4,AHC99)</f>
        <v>#VALUE!</v>
      </c>
      <c r="AHF99" s="306" t="e">
        <f>AHE99-AHC99</f>
        <v>#VALUE!</v>
      </c>
      <c r="AHG99" s="826" t="e">
        <f>IF(AHH94="Штраф 50%","",MID(AGZ$4,AHC99,AHF99))</f>
        <v>#VALUE!</v>
      </c>
      <c r="AHH99" s="829"/>
    </row>
    <row r="100" spans="2:893" ht="15" thickBot="1" x14ac:dyDescent="0.35">
      <c r="B100" s="116"/>
      <c r="C100" s="116"/>
      <c r="D100" s="116"/>
      <c r="E100" s="116"/>
      <c r="F100" s="116"/>
      <c r="G100" s="116"/>
      <c r="H100" s="116"/>
      <c r="I100" s="116"/>
      <c r="DT100" t="s">
        <v>9443</v>
      </c>
      <c r="DU100" s="821" t="s">
        <v>604</v>
      </c>
      <c r="DV100" s="1465"/>
      <c r="DW100" s="583"/>
      <c r="DX100" s="837"/>
      <c r="DY100" s="583"/>
      <c r="DZ100" s="583"/>
      <c r="EA100" s="583"/>
      <c r="EB100" s="831" t="e">
        <f>VALUE(CONCATENATE(EB98,",",EB99))</f>
        <v>#VALUE!</v>
      </c>
      <c r="EC100" s="832" t="str">
        <f>IF(EC94="Штраф 50%","",IF(OR(DY97=" в размере",DY94=" в размере"),EB100,""))</f>
        <v/>
      </c>
      <c r="NK100" s="1465"/>
      <c r="NL100" s="583"/>
      <c r="NM100" s="837"/>
      <c r="NN100" s="583"/>
      <c r="NO100" s="583"/>
      <c r="NP100" s="583"/>
      <c r="NQ100" s="831" t="e">
        <f>VALUE(CONCATENATE(NQ98,",",NQ99))</f>
        <v>#VALUE!</v>
      </c>
      <c r="NR100" s="832" t="str">
        <f>IF(NR94="Штраф 50%","",IF(OR(NN97=" в размере",NN94=" в размере"),NQ100,""))</f>
        <v/>
      </c>
      <c r="SY100" s="1465"/>
      <c r="SZ100" s="583"/>
      <c r="TA100" s="837"/>
      <c r="TB100" s="583"/>
      <c r="TC100" s="583"/>
      <c r="TD100" s="583"/>
      <c r="TE100" s="831" t="e">
        <f>VALUE(CONCATENATE(TE98,",",TE99))</f>
        <v>#VALUE!</v>
      </c>
      <c r="TF100" s="832" t="str">
        <f>IF(OR(TF94="Штраф 50%",TF94=""),"",TE100)</f>
        <v/>
      </c>
      <c r="TK100" s="1004"/>
      <c r="TL100" s="1035"/>
      <c r="TM100" s="1036"/>
      <c r="TN100" s="1036"/>
      <c r="TO100" s="1036"/>
      <c r="TP100" s="1036"/>
      <c r="TQ100" s="1037"/>
      <c r="TR100" s="1004"/>
      <c r="TW100" s="1465"/>
      <c r="TX100" s="583"/>
      <c r="TY100" s="837"/>
      <c r="TZ100" s="583"/>
      <c r="UA100" s="583"/>
      <c r="UB100" s="583"/>
      <c r="UC100" s="831" t="e">
        <f>VALUE(CONCATENATE(UC98,",",UC99))</f>
        <v>#VALUE!</v>
      </c>
      <c r="UD100" s="832" t="str">
        <f>IF(OR(UD94="Штраф 50%",UD94=""),"",UC100)</f>
        <v/>
      </c>
      <c r="UI100" s="1004"/>
      <c r="UJ100" s="1035"/>
      <c r="UK100" s="1036"/>
      <c r="UL100" s="1036"/>
      <c r="UM100" s="1036"/>
      <c r="UN100" s="1036"/>
      <c r="UO100" s="1037"/>
      <c r="UP100" s="1004"/>
      <c r="UU100" s="1465"/>
      <c r="UV100" s="583"/>
      <c r="UW100" s="837"/>
      <c r="UX100" s="583"/>
      <c r="UY100" s="583"/>
      <c r="UZ100" s="583"/>
      <c r="VA100" s="831" t="e">
        <f>VALUE(CONCATENATE(VA98,",",VA99))</f>
        <v>#VALUE!</v>
      </c>
      <c r="VB100" s="832" t="str">
        <f>IF(OR(VB94="Штраф 50%",VB94=""),"",VA100)</f>
        <v/>
      </c>
      <c r="VG100" s="1004"/>
      <c r="VH100" s="1035"/>
      <c r="VI100" s="1036"/>
      <c r="VJ100" s="1036"/>
      <c r="VK100" s="1036"/>
      <c r="VL100" s="1036"/>
      <c r="VM100" s="1037"/>
      <c r="VN100" s="1004"/>
      <c r="VS100" s="1465"/>
      <c r="VT100" s="583"/>
      <c r="VU100" s="837"/>
      <c r="VV100" s="583"/>
      <c r="VW100" s="583"/>
      <c r="VX100" s="583"/>
      <c r="VY100" s="831" t="e">
        <f>VALUE(CONCATENATE(VY98,",",VY99))</f>
        <v>#VALUE!</v>
      </c>
      <c r="VZ100" s="832" t="str">
        <f>IF(OR(VZ94="Штраф 50%",VZ94=""),"",VY100)</f>
        <v/>
      </c>
      <c r="WE100" s="1004"/>
      <c r="WF100" s="1035"/>
      <c r="WG100" s="1036"/>
      <c r="WH100" s="1036"/>
      <c r="WI100" s="1036"/>
      <c r="WJ100" s="1036"/>
      <c r="WK100" s="1037"/>
      <c r="WL100" s="1004"/>
      <c r="WQ100" s="1465"/>
      <c r="WR100" s="583"/>
      <c r="WS100" s="837"/>
      <c r="WT100" s="583"/>
      <c r="WU100" s="583"/>
      <c r="WV100" s="583"/>
      <c r="WW100" s="831" t="e">
        <f>VALUE(CONCATENATE(WW98,",",WW99))</f>
        <v>#VALUE!</v>
      </c>
      <c r="WX100" s="832" t="str">
        <f>IF(OR(WX94="Штраф 50%",WX94=""),"",WW100)</f>
        <v/>
      </c>
      <c r="XC100" s="1004"/>
      <c r="XD100" s="1035"/>
      <c r="XE100" s="1036"/>
      <c r="XF100" s="1036"/>
      <c r="XG100" s="1036"/>
      <c r="XH100" s="1036"/>
      <c r="XI100" s="1037"/>
      <c r="XJ100" s="1004"/>
      <c r="YG100" s="1465"/>
      <c r="YH100" s="583"/>
      <c r="YI100" s="837"/>
      <c r="YJ100" s="583"/>
      <c r="YK100" s="583"/>
      <c r="YL100" s="583"/>
      <c r="YM100" s="831" t="e">
        <f>VALUE(CONCATENATE(YM98,",",YM99))</f>
        <v>#VALUE!</v>
      </c>
      <c r="YN100" s="832" t="str">
        <f>IF(YN94="Штраф 50%","",IF(OR(YJ97=" в размере",YJ94=" в размере"),YM100,""))</f>
        <v/>
      </c>
      <c r="YS100" s="1465"/>
      <c r="YT100" s="583"/>
      <c r="YU100" s="837"/>
      <c r="YV100" s="583"/>
      <c r="YW100" s="583"/>
      <c r="YX100" s="583"/>
      <c r="YY100" s="831" t="e">
        <f>VALUE(CONCATENATE(YY98,",",YY99))</f>
        <v>#VALUE!</v>
      </c>
      <c r="YZ100" s="832" t="str">
        <f>IF(YZ94="Штраф 50%","",IF(OR(YV97=" в размере",YV94=" в размере"),YY100,""))</f>
        <v/>
      </c>
      <c r="ZE100" s="1465"/>
      <c r="ZF100" s="583"/>
      <c r="ZG100" s="837"/>
      <c r="ZH100" s="583"/>
      <c r="ZI100" s="583"/>
      <c r="ZJ100" s="583"/>
      <c r="ZK100" s="831" t="e">
        <f>VALUE(CONCATENATE(ZK98,",",ZK99))</f>
        <v>#VALUE!</v>
      </c>
      <c r="ZL100" s="832" t="str">
        <f>IF(ZL94="Штраф 50%","",IF(OR(ZH97=" в размере",ZH94=" в размере"),ZK100,""))</f>
        <v/>
      </c>
      <c r="ZQ100" s="1465"/>
      <c r="ZR100" s="583"/>
      <c r="ZS100" s="837"/>
      <c r="ZT100" s="583"/>
      <c r="ZU100" s="583"/>
      <c r="ZV100" s="583"/>
      <c r="ZW100" s="831" t="e">
        <f>VALUE(CONCATENATE(ZW98,",",ZW99))</f>
        <v>#VALUE!</v>
      </c>
      <c r="ZX100" s="832" t="str">
        <f>IF(ZX94="Штраф 50%","",IF(OR(ZT97=" в размере",ZT94=" в размере"),ZW100,""))</f>
        <v/>
      </c>
      <c r="AAC100" s="1465"/>
      <c r="AAD100" s="583"/>
      <c r="AAE100" s="837"/>
      <c r="AAF100" s="583"/>
      <c r="AAG100" s="583"/>
      <c r="AAH100" s="583"/>
      <c r="AAI100" s="831" t="e">
        <f>VALUE(CONCATENATE(AAI98,",",AAI99))</f>
        <v>#VALUE!</v>
      </c>
      <c r="AAJ100" s="832" t="str">
        <f>IF(AAJ94="Штраф 50%","",IF(OR(AAF97=" в размере",AAF94=" в размере"),AAI100,""))</f>
        <v/>
      </c>
      <c r="AFE100" s="1465"/>
      <c r="AFF100" s="583"/>
      <c r="AFG100" s="837"/>
      <c r="AFH100" s="583"/>
      <c r="AFI100" s="583"/>
      <c r="AFJ100" s="583"/>
      <c r="AFK100" s="831" t="e">
        <f>VALUE(CONCATENATE(AFK98,",",AFK99))</f>
        <v>#VALUE!</v>
      </c>
      <c r="AFL100" s="832" t="str">
        <f>IF(AFL94="Штраф 50%","",IF(OR(AFH97=" в размере",AFH94=" в размере"),AFK100,""))</f>
        <v/>
      </c>
      <c r="AFQ100" s="1465"/>
      <c r="AFR100" s="583"/>
      <c r="AFS100" s="837"/>
      <c r="AFT100" s="583"/>
      <c r="AFU100" s="583"/>
      <c r="AFV100" s="583"/>
      <c r="AFW100" s="831" t="e">
        <f>VALUE(CONCATENATE(AFW98,",",AFW99))</f>
        <v>#VALUE!</v>
      </c>
      <c r="AFX100" s="832" t="str">
        <f>IF(AFX94="Штраф 50%","",IF(OR(AFT97=" в размере",AFT94=" в размере"),AFW100,""))</f>
        <v/>
      </c>
      <c r="AGC100" s="1465"/>
      <c r="AGD100" s="583"/>
      <c r="AGE100" s="837"/>
      <c r="AGF100" s="583"/>
      <c r="AGG100" s="583"/>
      <c r="AGH100" s="583"/>
      <c r="AGI100" s="831" t="e">
        <f>VALUE(CONCATENATE(AGI98,",",AGI99))</f>
        <v>#VALUE!</v>
      </c>
      <c r="AGJ100" s="832" t="str">
        <f>IF(AGJ94="Штраф 50%","",IF(OR(AGF97=" в размере",AGF94=" в размере"),AGI100,""))</f>
        <v/>
      </c>
      <c r="AGO100" s="1465"/>
      <c r="AGP100" s="583"/>
      <c r="AGQ100" s="837"/>
      <c r="AGR100" s="583"/>
      <c r="AGS100" s="583"/>
      <c r="AGT100" s="583"/>
      <c r="AGU100" s="831" t="e">
        <f>VALUE(CONCATENATE(AGU98,",",AGU99))</f>
        <v>#VALUE!</v>
      </c>
      <c r="AGV100" s="832" t="str">
        <f>IF(AGV94="Штраф 50%","",IF(OR(AGR97=" в размере",AGR94=" в размере"),AGU100,""))</f>
        <v/>
      </c>
      <c r="AHA100" s="1465"/>
      <c r="AHB100" s="583"/>
      <c r="AHC100" s="837"/>
      <c r="AHD100" s="583"/>
      <c r="AHE100" s="583"/>
      <c r="AHF100" s="583"/>
      <c r="AHG100" s="831" t="e">
        <f>VALUE(CONCATENATE(AHG98,",",AHG99))</f>
        <v>#VALUE!</v>
      </c>
      <c r="AHH100" s="832" t="str">
        <f>IF(AHH94="Штраф 50%","",IF(OR(AHD97=" в размере",AHD94=" в размере"),AHG100,""))</f>
        <v/>
      </c>
    </row>
    <row r="101" spans="2:893" ht="15" thickTop="1" x14ac:dyDescent="0.3">
      <c r="B101" s="116"/>
      <c r="C101" s="116"/>
      <c r="D101" s="116"/>
      <c r="E101" s="116"/>
      <c r="F101" s="116"/>
      <c r="G101" s="116"/>
      <c r="H101" s="116"/>
      <c r="I101" s="116"/>
      <c r="DT101" t="s">
        <v>9444</v>
      </c>
      <c r="DU101" s="821" t="s">
        <v>1248</v>
      </c>
      <c r="DV101" s="1463">
        <v>15</v>
      </c>
      <c r="DW101" s="824" t="s">
        <v>8433</v>
      </c>
      <c r="DX101" s="838" t="e">
        <f>SEARCH(DS$4,$C$3,DZ94)+LEN(DS$4)</f>
        <v>#VALUE!</v>
      </c>
      <c r="DY101" s="406" t="str">
        <f>IF(DZ101=IFERROR(SEARCH(".",C$3,DX101),99999),".",
IF(DZ101=IFERROR(SEARCH(",",C$3,DX101),99999),",",
IF(DZ101=IFERROR(SEARCH(" за период",C$3,DX101),999999)," за период",
IF(DZ101=IFERROR(SEARCH(" в размере",C$3,DX101),99999)," в размере",
))))</f>
        <v>.</v>
      </c>
      <c r="DZ101" s="406">
        <f>IFERROR(MIN(IFERROR(SEARCH(".",$C$3,DX101),99999),IFERROR(SEARCH(",",$C$3,DX101),99999),IFERROR(SEARCH(" за период",$C$3,DX101),999999),IFERROR(SEARCH(" в размере",$C$3,DX101),99999)),"ОШИБКА")</f>
        <v>99999</v>
      </c>
      <c r="EA101" s="406" t="e">
        <f>DZ101-DX101</f>
        <v>#VALUE!</v>
      </c>
      <c r="EB101" s="824" t="e">
        <f>MID($C$3,DX101,EA101)</f>
        <v>#VALUE!</v>
      </c>
      <c r="EC101" s="825" t="str">
        <f>IFERROR(INDEX(DU:DU,MATCH(MID($C$3,DX101,EA101),DT:DT,0),1),"")</f>
        <v/>
      </c>
      <c r="ED101" s="754"/>
      <c r="NK101" s="1463">
        <v>15</v>
      </c>
      <c r="NL101" s="824" t="s">
        <v>8433</v>
      </c>
      <c r="NM101" s="838" t="e">
        <f>SEARCH(NH$4,NJ$4,NO94)+LEN(NH$4)</f>
        <v>#VALUE!</v>
      </c>
      <c r="NN101" s="406" t="str">
        <f>IF(NO101=IFERROR(SEARCH(".",NJ$4,NM101),99999),".",
IF(NO101=IFERROR(SEARCH(",",NJ$4,NM101),99999),",",
IF(NO101=IFERROR(SEARCH(" за период",NJ$4,NM101),999999)," за период",
IF(NO101=IFERROR(SEARCH(" в размере",NJ$4,NM101),99999)," в размере",
))))</f>
        <v>.</v>
      </c>
      <c r="NO101" s="406">
        <f>IFERROR(MIN(IFERROR(SEARCH(".",NJ$4,NM101),99999),IFERROR(SEARCH(",",NJ$4,NM101),99999),IFERROR(SEARCH(" за период",NJ$4,NM101),999999),IFERROR(SEARCH(" в размере",NJ$4,NM101),99999)),"ОШИБКА")</f>
        <v>99999</v>
      </c>
      <c r="NP101" s="406" t="e">
        <f>NO101-NM101</f>
        <v>#VALUE!</v>
      </c>
      <c r="NQ101" s="824" t="e">
        <f>MID(NJ$4,NM101,NP101)</f>
        <v>#VALUE!</v>
      </c>
      <c r="NR101" s="825" t="str">
        <f>IFERROR(INDEX($DU:$DU,MATCH(MID(NJ$4,NM101,NP101),$DT:$DT,0),1),"")</f>
        <v/>
      </c>
      <c r="NS101" s="754"/>
      <c r="NT101" s="754"/>
      <c r="SY101" s="1463">
        <v>15</v>
      </c>
      <c r="SZ101" s="824" t="s">
        <v>8433</v>
      </c>
      <c r="TA101" s="838" t="e">
        <f>SEARCH(SV$4,$SQ$3,TC94)+LEN(SV$4)</f>
        <v>#VALUE!</v>
      </c>
      <c r="TB101" s="406" t="str">
        <f>IF(TC101=IFERROR(SEARCH(".",$SQ$3,TA101),99999),".",
IF(TC101=IFERROR(SEARCH(",",$SQ$3,TA101),99999),",",
IF(TC101=IFERROR(SEARCH(" за период",$SQ$3,TA101),999999)," за период",
IF(TC101=IFERROR(SEARCH(" в размере",$SQ$3,TA101),99999)," в размере",
))))</f>
        <v>.</v>
      </c>
      <c r="TC101" s="406">
        <f>IFERROR(MIN(IFERROR(SEARCH(".",$SQ$3,TA101),99999),IFERROR(SEARCH(",",$SQ$3,TA101),99999),IFERROR(SEARCH(" за период",$SQ$3,TA101),999999),IFERROR(SEARCH(" в размере",$SQ$3,TA101),99999)),"ОШИБКА")</f>
        <v>99999</v>
      </c>
      <c r="TD101" s="406" t="e">
        <f>TC101-TA101</f>
        <v>#VALUE!</v>
      </c>
      <c r="TE101" s="824" t="e">
        <f>MID($SQ$3,TA101,TD101)</f>
        <v>#VALUE!</v>
      </c>
      <c r="TF101" s="825" t="str">
        <f>IFERROR(INDEX($DU:$DU,MATCH(MID($SQ$3,TA101,TD101),$DT:$DT,0),1),"")</f>
        <v/>
      </c>
      <c r="TG101" s="754"/>
      <c r="TK101" s="1004"/>
      <c r="TL101" s="1004"/>
      <c r="TM101" s="1036"/>
      <c r="TN101" s="1036"/>
      <c r="TO101" s="1036"/>
      <c r="TP101" s="1036"/>
      <c r="TQ101" s="1035"/>
      <c r="TR101" s="1004"/>
      <c r="TS101" s="754"/>
      <c r="TW101" s="1463">
        <v>15</v>
      </c>
      <c r="TX101" s="824" t="s">
        <v>8433</v>
      </c>
      <c r="TY101" s="838" t="e">
        <f>SEARCH(TT$4,$SQ$4,UA94)+LEN(TT$4)</f>
        <v>#VALUE!</v>
      </c>
      <c r="TZ101" s="406" t="str">
        <f>IF(UA101=IFERROR(SEARCH(".",$SQ$4,TY101),99999),".",
IF(UA101=IFERROR(SEARCH(",",$SQ$4,TY101),99999),",",
IF(UA101=IFERROR(SEARCH(" за период",$SQ$4,TY101),999999)," за период",
IF(UA101=IFERROR(SEARCH(" в размере",$SQ$4,TY101),99999)," в размере",
))))</f>
        <v>.</v>
      </c>
      <c r="UA101" s="406">
        <f>IFERROR(MIN(IFERROR(SEARCH(".",$SQ$4,TY101),99999),IFERROR(SEARCH(",",$SQ$4,TY101),99999),IFERROR(SEARCH(" за период",$SQ$4,TY101),999999),IFERROR(SEARCH(" в размере",$SQ$4,TY101),99999)),"ОШИБКА")</f>
        <v>99999</v>
      </c>
      <c r="UB101" s="406" t="e">
        <f>UA101-TY101</f>
        <v>#VALUE!</v>
      </c>
      <c r="UC101" s="824" t="e">
        <f>MID($SQ$4,TY101,UB101)</f>
        <v>#VALUE!</v>
      </c>
      <c r="UD101" s="825" t="str">
        <f>IFERROR(INDEX($DU:$DU,MATCH(MID($SQ$4,TY101,UB101),$DT:$DT,0),1),"")</f>
        <v/>
      </c>
      <c r="UE101" s="754"/>
      <c r="UI101" s="1004"/>
      <c r="UJ101" s="1004"/>
      <c r="UK101" s="1036"/>
      <c r="UL101" s="1036"/>
      <c r="UM101" s="1036"/>
      <c r="UN101" s="1036"/>
      <c r="UO101" s="1035"/>
      <c r="UP101" s="1004"/>
      <c r="UQ101" s="754"/>
      <c r="UU101" s="1463">
        <v>15</v>
      </c>
      <c r="UV101" s="824" t="s">
        <v>8433</v>
      </c>
      <c r="UW101" s="838" t="e">
        <f>SEARCH(UR$4,$SQ$5,UY94)+LEN(UR$4)</f>
        <v>#VALUE!</v>
      </c>
      <c r="UX101" s="406" t="str">
        <f>IF(UY101=IFERROR(SEARCH(".",$SQ$5,UW101),99999),".",
IF(UY101=IFERROR(SEARCH(",",$SQ$5,UW101),99999),",",
IF(UY101=IFERROR(SEARCH(" за период",$SQ$5,UW101),999999)," за период",
IF(UY101=IFERROR(SEARCH(" в размере",$SQ$5,UW101),99999)," в размере",
))))</f>
        <v>.</v>
      </c>
      <c r="UY101" s="406">
        <f>IFERROR(MIN(IFERROR(SEARCH(".",$SQ$5,UW101),99999),IFERROR(SEARCH(",",$SQ$5,UW101),99999),IFERROR(SEARCH(" за период",$SQ$5,UW101),999999),IFERROR(SEARCH(" в размере",$SQ$5,UW101),99999)),"ОШИБКА")</f>
        <v>99999</v>
      </c>
      <c r="UZ101" s="406" t="e">
        <f>UY101-UW101</f>
        <v>#VALUE!</v>
      </c>
      <c r="VA101" s="824" t="e">
        <f>MID($SQ$5,UW101,UZ101)</f>
        <v>#VALUE!</v>
      </c>
      <c r="VB101" s="825" t="str">
        <f>IFERROR(INDEX($DU:$DU,MATCH(MID($SQ$5,UW101,UZ101),$DT:$DT,0),1),"")</f>
        <v/>
      </c>
      <c r="VC101" s="754"/>
      <c r="VG101" s="1004"/>
      <c r="VH101" s="1004"/>
      <c r="VI101" s="1036"/>
      <c r="VJ101" s="1036"/>
      <c r="VK101" s="1036"/>
      <c r="VL101" s="1036"/>
      <c r="VM101" s="1035"/>
      <c r="VN101" s="1004"/>
      <c r="VO101" s="754"/>
      <c r="VS101" s="1463">
        <v>15</v>
      </c>
      <c r="VT101" s="824" t="s">
        <v>8433</v>
      </c>
      <c r="VU101" s="838" t="e">
        <f>SEARCH(VP$4,$SQ$6,VW94)+LEN(VP$4)</f>
        <v>#VALUE!</v>
      </c>
      <c r="VV101" s="406" t="str">
        <f>IF(VW101=IFERROR(SEARCH(".",$SQ$6,VU101),99999),".",
IF(VW101=IFERROR(SEARCH(",",$SQ$6,VU101),99999),",",
IF(VW101=IFERROR(SEARCH(" за период",$SQ$6,VU101),999999)," за период",
IF(VW101=IFERROR(SEARCH(" в размере",$SQ$6,VU101),99999)," в размере",
))))</f>
        <v>.</v>
      </c>
      <c r="VW101" s="406">
        <f>IFERROR(MIN(IFERROR(SEARCH(".",$SQ$6,VU101),99999),IFERROR(SEARCH(",",$SQ$6,VU101),99999),IFERROR(SEARCH(" за период",$SQ$6,VU101),999999),IFERROR(SEARCH(" в размере",$SQ$6,VU101),99999)),"ОШИБКА")</f>
        <v>99999</v>
      </c>
      <c r="VX101" s="406" t="e">
        <f>VW101-VU101</f>
        <v>#VALUE!</v>
      </c>
      <c r="VY101" s="824" t="e">
        <f>MID($SQ$6,VU101,VX101)</f>
        <v>#VALUE!</v>
      </c>
      <c r="VZ101" s="825" t="str">
        <f>IFERROR(INDEX($DU:$DU,MATCH(MID($SQ$6,VU101,VX101),$DT:$DT,0),1),"")</f>
        <v/>
      </c>
      <c r="WA101" s="754"/>
      <c r="WE101" s="1004"/>
      <c r="WF101" s="1004"/>
      <c r="WG101" s="1036"/>
      <c r="WH101" s="1036"/>
      <c r="WI101" s="1036"/>
      <c r="WJ101" s="1036"/>
      <c r="WK101" s="1035"/>
      <c r="WL101" s="1004"/>
      <c r="WM101" s="754"/>
      <c r="WQ101" s="1463">
        <v>15</v>
      </c>
      <c r="WR101" s="824" t="s">
        <v>8433</v>
      </c>
      <c r="WS101" s="838" t="e">
        <f>SEARCH(WN$4,$SQ$7,WU94)+LEN(WN$4)</f>
        <v>#VALUE!</v>
      </c>
      <c r="WT101" s="406" t="str">
        <f>IF(WU101=IFERROR(SEARCH(".",$SQ$7,WS101),99999),".",
IF(WU101=IFERROR(SEARCH(",",$SQ$7,WS101),99999),",",
IF(WU101=IFERROR(SEARCH(" за период",$SQ$7,WS101),999999)," за период",
IF(WU101=IFERROR(SEARCH(" в размере",$SQ$7,WS101),99999)," в размере",
))))</f>
        <v>.</v>
      </c>
      <c r="WU101" s="406">
        <f>IFERROR(MIN(IFERROR(SEARCH(".",$SQ$7,WS101),99999),IFERROR(SEARCH(",",$SQ$7,WS101),99999),IFERROR(SEARCH(" за период",$SQ$7,WS101),999999),IFERROR(SEARCH(" в размере",$SQ$7,WS101),99999)),"ОШИБКА")</f>
        <v>99999</v>
      </c>
      <c r="WV101" s="406" t="e">
        <f>WU101-WS101</f>
        <v>#VALUE!</v>
      </c>
      <c r="WW101" s="824" t="e">
        <f>MID($SQ$7,WS101,WV101)</f>
        <v>#VALUE!</v>
      </c>
      <c r="WX101" s="825" t="str">
        <f>IFERROR(INDEX($DU:$DU,MATCH(MID($SQ$7,WS101,WV101),$DT:$DT,0),1),"")</f>
        <v/>
      </c>
      <c r="WY101" s="754"/>
      <c r="XC101" s="1004"/>
      <c r="XD101" s="1004"/>
      <c r="XE101" s="1036"/>
      <c r="XF101" s="1036"/>
      <c r="XG101" s="1036"/>
      <c r="XH101" s="1036"/>
      <c r="XI101" s="1035"/>
      <c r="XJ101" s="1004"/>
      <c r="XK101" s="754"/>
      <c r="YG101" s="1463">
        <v>15</v>
      </c>
      <c r="YH101" s="824" t="s">
        <v>8433</v>
      </c>
      <c r="YI101" s="838" t="e">
        <f>SEARCH(YD$4,$XU$3,YK94)+LEN(YD$4)</f>
        <v>#VALUE!</v>
      </c>
      <c r="YJ101" s="406" t="str">
        <f>IF(YK101=IFERROR(SEARCH(".",$XU$3,YI101),99999),".",
IF(YK101=IFERROR(SEARCH(",",$XU$3,YI101),99999),",",
IF(YK101=IFERROR(SEARCH(" за период",$XU$3,YI101),999999)," за период",
IF(YK101=IFERROR(SEARCH(" в размере",$XU$3,YI101),99999)," в размере",
))))</f>
        <v>.</v>
      </c>
      <c r="YK101" s="406">
        <f>IFERROR(MIN(IFERROR(SEARCH(".",$XU$3,YI101),99999),IFERROR(SEARCH(",",$XU$3,YI101),99999),IFERROR(SEARCH(" за период",$XU$3,YI101),999999),IFERROR(SEARCH(" в размере",$XU$3,YI101),99999)),"ОШИБКА")</f>
        <v>99999</v>
      </c>
      <c r="YL101" s="406" t="e">
        <f>YK101-YI101</f>
        <v>#VALUE!</v>
      </c>
      <c r="YM101" s="824" t="e">
        <f>MID($XU$3,YI101,YL101)</f>
        <v>#VALUE!</v>
      </c>
      <c r="YN101" s="825" t="str">
        <f>IFERROR(INDEX($DU:$DU,MATCH(MID($XU$3,YI101,YL101),$DT:$DT,0),1),"")</f>
        <v/>
      </c>
      <c r="YO101" s="754"/>
      <c r="YS101" s="1463">
        <v>15</v>
      </c>
      <c r="YT101" s="824" t="s">
        <v>8433</v>
      </c>
      <c r="YU101" s="838" t="e">
        <f>SEARCH(YP$4,$XU$4,YW94)+LEN(YP$4)</f>
        <v>#VALUE!</v>
      </c>
      <c r="YV101" s="406" t="str">
        <f>IF(YW101=IFERROR(SEARCH(".",$XU$4,YU101),99999),".",
IF(YW101=IFERROR(SEARCH(",",$XU$4,YU101),99999),",",
IF(YW101=IFERROR(SEARCH(" за период",$XU$4,YU101),999999)," за период",
IF(YW101=IFERROR(SEARCH(" в размере",$XU$4,YU101),99999)," в размере",
))))</f>
        <v>.</v>
      </c>
      <c r="YW101" s="406">
        <f>IFERROR(MIN(IFERROR(SEARCH(".",$XU$4,YU101),99999),IFERROR(SEARCH(",",$XU$4,YU101),99999),IFERROR(SEARCH(" за период",$XU$4,YU101),999999),IFERROR(SEARCH(" в размере",$XU$4,YU101),99999)),"ОШИБКА")</f>
        <v>99999</v>
      </c>
      <c r="YX101" s="406" t="e">
        <f>YW101-YU101</f>
        <v>#VALUE!</v>
      </c>
      <c r="YY101" s="824" t="e">
        <f>MID($XU$4,YU101,YX101)</f>
        <v>#VALUE!</v>
      </c>
      <c r="YZ101" s="825" t="str">
        <f>IFERROR(INDEX(EE:EE,MATCH(MID($XU$4,YU101,YX101),ED:ED,0),1),"")</f>
        <v/>
      </c>
      <c r="ZA101" s="754"/>
      <c r="ZE101" s="1463">
        <v>15</v>
      </c>
      <c r="ZF101" s="824" t="s">
        <v>8433</v>
      </c>
      <c r="ZG101" s="838" t="e">
        <f>SEARCH(ZB$4,$XU$5,ZI94)+LEN(ZB$4)</f>
        <v>#VALUE!</v>
      </c>
      <c r="ZH101" s="406" t="str">
        <f>IF(ZI101=IFERROR(SEARCH(".",$XU$5,ZG101),99999),".",
IF(ZI101=IFERROR(SEARCH(",",$XU$5,ZG101),99999),",",
IF(ZI101=IFERROR(SEARCH(" за период",$XU$5,ZG101),999999)," за период",
IF(ZI101=IFERROR(SEARCH(" в размере",$XU$5,ZG101),99999)," в размере",
))))</f>
        <v>.</v>
      </c>
      <c r="ZI101" s="406">
        <f>IFERROR(MIN(IFERROR(SEARCH(".",$XU$5,ZG101),99999),IFERROR(SEARCH(",",$XU$5,ZG101),99999),IFERROR(SEARCH(" за период",$XU$5,ZG101),999999),IFERROR(SEARCH(" в размере",$XU$5,ZG101),99999)),"ОШИБКА")</f>
        <v>99999</v>
      </c>
      <c r="ZJ101" s="406" t="e">
        <f>ZI101-ZG101</f>
        <v>#VALUE!</v>
      </c>
      <c r="ZK101" s="824" t="e">
        <f>MID($XU$5,ZG101,ZJ101)</f>
        <v>#VALUE!</v>
      </c>
      <c r="ZL101" s="825" t="str">
        <f>IFERROR(INDEX($DU:$DU,MATCH(MID($XU$5,ZG101,ZJ101),$DT:$DT,0),1),"")</f>
        <v/>
      </c>
      <c r="ZM101" s="754"/>
      <c r="ZQ101" s="1463">
        <v>15</v>
      </c>
      <c r="ZR101" s="824" t="s">
        <v>8433</v>
      </c>
      <c r="ZS101" s="838" t="e">
        <f>SEARCH(ZN$4,$XU$6,ZU94)+LEN(ZN$4)</f>
        <v>#VALUE!</v>
      </c>
      <c r="ZT101" s="406" t="str">
        <f>IF(ZU101=IFERROR(SEARCH(".",$XU$6,ZS101),99999),".",
IF(ZU101=IFERROR(SEARCH(",",$XU$6,ZS101),99999),",",
IF(ZU101=IFERROR(SEARCH(" за период",$XU$6,ZS101),999999)," за период",
IF(ZU101=IFERROR(SEARCH(" в размере",$XU$6,ZS101),99999)," в размере",
))))</f>
        <v>.</v>
      </c>
      <c r="ZU101" s="406">
        <f>IFERROR(MIN(IFERROR(SEARCH(".",$XU$6,ZS101),99999),IFERROR(SEARCH(",",$XU$6,ZS101),99999),IFERROR(SEARCH(" за период",$XU$6,ZS101),999999),IFERROR(SEARCH(" в размере",$XU$6,ZS101),99999)),"ОШИБКА")</f>
        <v>99999</v>
      </c>
      <c r="ZV101" s="406" t="e">
        <f>ZU101-ZS101</f>
        <v>#VALUE!</v>
      </c>
      <c r="ZW101" s="824" t="e">
        <f>MID($XU$6,ZS101,ZV101)</f>
        <v>#VALUE!</v>
      </c>
      <c r="ZX101" s="825" t="str">
        <f>IFERROR(INDEX($DU:$DU,MATCH(MID($XU$6,ZS101,ZV101),$DT:$DT,0),1),"")</f>
        <v/>
      </c>
      <c r="ZY101" s="754"/>
      <c r="AAC101" s="1463">
        <v>15</v>
      </c>
      <c r="AAD101" s="824" t="s">
        <v>8433</v>
      </c>
      <c r="AAE101" s="838" t="e">
        <f>SEARCH(ZZ$4,$XU$7,AAG94)+LEN(ZZ$4)</f>
        <v>#VALUE!</v>
      </c>
      <c r="AAF101" s="406" t="str">
        <f>IF(AAG101=IFERROR(SEARCH(".",$XU$7,AAE101),99999),".",
IF(AAG101=IFERROR(SEARCH(",",$XU$7,AAE101),99999),",",
IF(AAG101=IFERROR(SEARCH(" за период",$XU$7,AAE101),999999)," за период",
IF(AAG101=IFERROR(SEARCH(" в размере",$XU$7,AAE101),99999)," в размере",
))))</f>
        <v>.</v>
      </c>
      <c r="AAG101" s="406">
        <f>IFERROR(MIN(IFERROR(SEARCH(".",$XU$7,AAE101),99999),IFERROR(SEARCH(",",$XU$7,AAE101),99999),IFERROR(SEARCH(" за период",$XU$7,AAE101),999999),IFERROR(SEARCH(" в размере",$XU$7,AAE101),99999)),"ОШИБКА")</f>
        <v>99999</v>
      </c>
      <c r="AAH101" s="406" t="e">
        <f>AAG101-AAE101</f>
        <v>#VALUE!</v>
      </c>
      <c r="AAI101" s="824" t="e">
        <f>MID($XU$7,AAE101,AAH101)</f>
        <v>#VALUE!</v>
      </c>
      <c r="AAJ101" s="825" t="str">
        <f>IFERROR(INDEX($DU:$DU,MATCH(MID($XU$7,AAE101,AAH101),$DT:$DT,0),1),"")</f>
        <v/>
      </c>
      <c r="AAK101" s="754"/>
      <c r="AAL101" s="754"/>
      <c r="AAM101" s="754"/>
      <c r="AFE101" s="1463">
        <v>15</v>
      </c>
      <c r="AFF101" s="824" t="s">
        <v>8433</v>
      </c>
      <c r="AFG101" s="838" t="e">
        <f>SEARCH(AFB$4,AFD$4,AFI94)+LEN(AFB$4)</f>
        <v>#VALUE!</v>
      </c>
      <c r="AFH101" s="406" t="str">
        <f>IF(AFI101=IFERROR(SEARCH(".",AFD$4,AFG101),99999),".",
IF(AFI101=IFERROR(SEARCH(",",AFD$4,AFG101),99999),",",
IF(AFI101=IFERROR(SEARCH(" за период",AFD$4,AFG101),999999)," за период",
IF(AFI101=IFERROR(SEARCH(" в размере",AFD$4,AFG101),99999)," в размере",
))))</f>
        <v>.</v>
      </c>
      <c r="AFI101" s="406">
        <f>IFERROR(MIN(IFERROR(SEARCH(".",AFD$4,AFG101),99999),IFERROR(SEARCH(",",AFD$4,AFG101),99999),IFERROR(SEARCH(" за период",AFD$4,AFG101),999999),IFERROR(SEARCH(" в размере",AFD$4,AFG101),99999)),"ОШИБКА")</f>
        <v>99999</v>
      </c>
      <c r="AFJ101" s="406" t="e">
        <f>AFI101-AFG101</f>
        <v>#VALUE!</v>
      </c>
      <c r="AFK101" s="824" t="e">
        <f>MID(AFD$4,AFG101,AFJ101)</f>
        <v>#VALUE!</v>
      </c>
      <c r="AFL101" s="825" t="str">
        <f>IFERROR(INDEX($DU:$DU,MATCH(MID(AFD$4,AFG101,AFJ101),$DT:$DT,0),1),"")</f>
        <v/>
      </c>
      <c r="AFM101" s="754"/>
      <c r="AFQ101" s="1463">
        <v>15</v>
      </c>
      <c r="AFR101" s="824" t="s">
        <v>8433</v>
      </c>
      <c r="AFS101" s="838" t="e">
        <f>SEARCH(AFN$4,AFP$4,AFU94)+LEN(AFN$4)</f>
        <v>#VALUE!</v>
      </c>
      <c r="AFT101" s="406" t="str">
        <f>IF(AFU101=IFERROR(SEARCH(".",AFP$4,AFS101),99999),".",
IF(AFU101=IFERROR(SEARCH(",",AFP$4,AFS101),99999),",",
IF(AFU101=IFERROR(SEARCH(" за период",AFP$4,AFS101),999999)," за период",
IF(AFU101=IFERROR(SEARCH(" в размере",AFP$4,AFS101),99999)," в размере",
))))</f>
        <v>.</v>
      </c>
      <c r="AFU101" s="406">
        <f>IFERROR(MIN(IFERROR(SEARCH(".",AFP$4,AFS101),99999),IFERROR(SEARCH(",",AFP$4,AFS101),99999),IFERROR(SEARCH(" за период",AFP$4,AFS101),999999),IFERROR(SEARCH(" в размере",AFP$4,AFS101),99999)),"ОШИБКА")</f>
        <v>99999</v>
      </c>
      <c r="AFV101" s="406" t="e">
        <f>AFU101-AFS101</f>
        <v>#VALUE!</v>
      </c>
      <c r="AFW101" s="824" t="e">
        <f>MID(AFP$4,AFS101,AFV101)</f>
        <v>#VALUE!</v>
      </c>
      <c r="AFX101" s="825" t="str">
        <f>IFERROR(INDEX($DU:$DU,MATCH(MID(AFP$4,AFS101,AFV101),$DT:$DT,0),1),"")</f>
        <v/>
      </c>
      <c r="AFY101" s="754"/>
      <c r="AGC101" s="1463">
        <v>15</v>
      </c>
      <c r="AGD101" s="824" t="s">
        <v>8433</v>
      </c>
      <c r="AGE101" s="838" t="e">
        <f>SEARCH(AFZ$4,AGB$4,AGG94)+LEN(AFZ$4)</f>
        <v>#VALUE!</v>
      </c>
      <c r="AGF101" s="406" t="str">
        <f>IF(AGG101=IFERROR(SEARCH(".",AGB$4,AGE101),99999),".",
IF(AGG101=IFERROR(SEARCH(",",AGB$4,AGE101),99999),",",
IF(AGG101=IFERROR(SEARCH(" за период",AGB$4,AGE101),999999)," за период",
IF(AGG101=IFERROR(SEARCH(" в размере",AGB$4,AGE101),99999)," в размере",
))))</f>
        <v>.</v>
      </c>
      <c r="AGG101" s="406">
        <f>IFERROR(MIN(IFERROR(SEARCH(".",AGB$4,AGE101),99999),IFERROR(SEARCH(",",AGB$4,AGE101),99999),IFERROR(SEARCH(" за период",AGB$4,AGE101),999999),IFERROR(SEARCH(" в размере",AGB$4,AGE101),99999)),"ОШИБКА")</f>
        <v>99999</v>
      </c>
      <c r="AGH101" s="406" t="e">
        <f>AGG101-AGE101</f>
        <v>#VALUE!</v>
      </c>
      <c r="AGI101" s="824" t="e">
        <f>MID(AGB$4,AGE101,AGH101)</f>
        <v>#VALUE!</v>
      </c>
      <c r="AGJ101" s="825" t="str">
        <f>IFERROR(INDEX($DU:$DU,MATCH(MID(AGB$4,AGE101,AGH101),$DT:$DT,0),1),"")</f>
        <v/>
      </c>
      <c r="AGK101" s="754"/>
      <c r="AGO101" s="1463">
        <v>15</v>
      </c>
      <c r="AGP101" s="824" t="s">
        <v>8433</v>
      </c>
      <c r="AGQ101" s="838" t="e">
        <f>SEARCH(AGL$4,AGN$4,AGS94)+LEN(AGL$4)</f>
        <v>#VALUE!</v>
      </c>
      <c r="AGR101" s="406" t="str">
        <f>IF(AGS101=IFERROR(SEARCH(".",AGN$4,AGQ101),99999),".",
IF(AGS101=IFERROR(SEARCH(",",AGN$4,AGQ101),99999),",",
IF(AGS101=IFERROR(SEARCH(" за период",AGN$4,AGQ101),999999)," за период",
IF(AGS101=IFERROR(SEARCH(" в размере",AGN$4,AGQ101),99999)," в размере",
))))</f>
        <v>.</v>
      </c>
      <c r="AGS101" s="406">
        <f>IFERROR(MIN(IFERROR(SEARCH(".",AGN$4,AGQ101),99999),IFERROR(SEARCH(",",AGN$4,AGQ101),99999),IFERROR(SEARCH(" за период",AGN$4,AGQ101),999999),IFERROR(SEARCH(" в размере",AGN$4,AGQ101),99999)),"ОШИБКА")</f>
        <v>99999</v>
      </c>
      <c r="AGT101" s="406" t="e">
        <f>AGS101-AGQ101</f>
        <v>#VALUE!</v>
      </c>
      <c r="AGU101" s="824" t="e">
        <f>MID(AGN$4,AGQ101,AGT101)</f>
        <v>#VALUE!</v>
      </c>
      <c r="AGV101" s="825" t="str">
        <f>IFERROR(INDEX($DU:$DU,MATCH(MID(AGN$4,AGQ101,AGT101),$DT:$DT,0),1),"")</f>
        <v/>
      </c>
      <c r="AGW101" s="754"/>
      <c r="AHA101" s="1463">
        <v>15</v>
      </c>
      <c r="AHB101" s="824" t="s">
        <v>8433</v>
      </c>
      <c r="AHC101" s="838" t="e">
        <f>SEARCH(AGX$4,AGZ$4,AHE94)+LEN(AGX$4)</f>
        <v>#VALUE!</v>
      </c>
      <c r="AHD101" s="406" t="str">
        <f>IF(AHE101=IFERROR(SEARCH(".",AGZ$4,AHC101),99999),".",
IF(AHE101=IFERROR(SEARCH(",",AGZ$4,AHC101),99999),",",
IF(AHE101=IFERROR(SEARCH(" за период",AGZ$4,AHC101),999999)," за период",
IF(AHE101=IFERROR(SEARCH(" в размере",AGZ$4,AHC101),99999)," в размере",
))))</f>
        <v>.</v>
      </c>
      <c r="AHE101" s="406">
        <f>IFERROR(MIN(IFERROR(SEARCH(".",AGZ$4,AHC101),99999),IFERROR(SEARCH(",",AGZ$4,AHC101),99999),IFERROR(SEARCH(" за период",AGZ$4,AHC101),999999),IFERROR(SEARCH(" в размере",AGZ$4,AHC101),99999)),"ОШИБКА")</f>
        <v>99999</v>
      </c>
      <c r="AHF101" s="406" t="e">
        <f>AHE101-AHC101</f>
        <v>#VALUE!</v>
      </c>
      <c r="AHG101" s="824" t="e">
        <f>MID(AGZ$4,AHC101,AHF101)</f>
        <v>#VALUE!</v>
      </c>
      <c r="AHH101" s="825" t="str">
        <f>IFERROR(INDEX($DU:$DU,MATCH(MID(AGZ$4,AHC101,AHF101),$DT:$DT,0),1),"")</f>
        <v/>
      </c>
      <c r="AHI101" s="754"/>
    </row>
    <row r="102" spans="2:893" x14ac:dyDescent="0.3">
      <c r="B102" s="116"/>
      <c r="C102" s="116"/>
      <c r="D102" s="116"/>
      <c r="E102" s="116"/>
      <c r="F102" s="116"/>
      <c r="G102" s="116"/>
      <c r="H102" s="116"/>
      <c r="I102" s="116"/>
      <c r="DT102" t="s">
        <v>9451</v>
      </c>
      <c r="DU102" s="821" t="s">
        <v>456</v>
      </c>
      <c r="DV102" s="1464"/>
      <c r="DW102" s="826" t="s">
        <v>8435</v>
      </c>
      <c r="DX102" s="836" t="str">
        <f>IF(DY101=" за период",SEARCH(" за период",$C$3,DZ101)+LEN(" за период")+3,"НЕТ")</f>
        <v>НЕТ</v>
      </c>
      <c r="DY102" s="306" t="s">
        <v>8434</v>
      </c>
      <c r="DZ102" s="306" t="e">
        <f>SEARCH(DY102,$C$3,DX102)</f>
        <v>#VALUE!</v>
      </c>
      <c r="EA102" s="306" t="e">
        <f>DZ102-DX102</f>
        <v>#VALUE!</v>
      </c>
      <c r="EB102" s="827" t="e">
        <f>DATEVALUE(MID($C$3,DX102,EA102))</f>
        <v>#VALUE!</v>
      </c>
      <c r="EC102" s="828" t="str">
        <f>IF(DY101=" за период",EB102,"")</f>
        <v/>
      </c>
      <c r="NK102" s="1464"/>
      <c r="NL102" s="826" t="s">
        <v>8435</v>
      </c>
      <c r="NM102" s="836" t="str">
        <f>IF(NN101=" за период",SEARCH(" за период",NJ$4,NO101)+LEN(" за период")+3,"НЕТ")</f>
        <v>НЕТ</v>
      </c>
      <c r="NN102" s="306" t="s">
        <v>8434</v>
      </c>
      <c r="NO102" s="306" t="e">
        <f>SEARCH(NN102,NJ$4,NM102)</f>
        <v>#VALUE!</v>
      </c>
      <c r="NP102" s="306" t="e">
        <f>NO102-NM102</f>
        <v>#VALUE!</v>
      </c>
      <c r="NQ102" s="827" t="e">
        <f>DATEVALUE(MID(NJ$4,NM102,NP102))</f>
        <v>#VALUE!</v>
      </c>
      <c r="NR102" s="828" t="str">
        <f>IF(NN101=" за период",NQ102,"")</f>
        <v/>
      </c>
      <c r="SY102" s="1464"/>
      <c r="SZ102" s="826" t="s">
        <v>8435</v>
      </c>
      <c r="TA102" s="836" t="str">
        <f>IF(TB101=" за период",SEARCH(" за период",$SQ$3,TC101)+LEN(" за период")+3,"НЕТ")</f>
        <v>НЕТ</v>
      </c>
      <c r="TB102" s="306" t="s">
        <v>8434</v>
      </c>
      <c r="TC102" s="306" t="e">
        <f>SEARCH(TB102,$SQ$3,TA102)</f>
        <v>#VALUE!</v>
      </c>
      <c r="TD102" s="306" t="e">
        <f>TC102-TA102</f>
        <v>#VALUE!</v>
      </c>
      <c r="TE102" s="827" t="e">
        <f>DATEVALUE(MID($SQ$3,TA102,TD102))</f>
        <v>#VALUE!</v>
      </c>
      <c r="TF102" s="828" t="str">
        <f>IF(TB101=" за период",TE102,"")</f>
        <v/>
      </c>
      <c r="TK102" s="1004"/>
      <c r="TL102" s="1036"/>
      <c r="TM102" s="1036"/>
      <c r="TN102" s="1036"/>
      <c r="TO102" s="1036"/>
      <c r="TP102" s="1036"/>
      <c r="TQ102" s="1035"/>
      <c r="TR102" s="1004"/>
      <c r="TW102" s="1464"/>
      <c r="TX102" s="826" t="s">
        <v>8435</v>
      </c>
      <c r="TY102" s="836" t="str">
        <f>IF(TZ101=" за период",SEARCH(" за период",$SQ$4,UA101)+LEN(" за период")+3,"НЕТ")</f>
        <v>НЕТ</v>
      </c>
      <c r="TZ102" s="306" t="s">
        <v>8434</v>
      </c>
      <c r="UA102" s="306" t="e">
        <f>SEARCH(TZ102,$SQ$4,TY102)</f>
        <v>#VALUE!</v>
      </c>
      <c r="UB102" s="306" t="e">
        <f>UA102-TY102</f>
        <v>#VALUE!</v>
      </c>
      <c r="UC102" s="827" t="e">
        <f>DATEVALUE(MID($SQ$4,TY102,UB102))</f>
        <v>#VALUE!</v>
      </c>
      <c r="UD102" s="828" t="str">
        <f>IF(TZ101=" за период",UC102,"")</f>
        <v/>
      </c>
      <c r="UI102" s="1004"/>
      <c r="UJ102" s="1036"/>
      <c r="UK102" s="1036"/>
      <c r="UL102" s="1036"/>
      <c r="UM102" s="1036"/>
      <c r="UN102" s="1036"/>
      <c r="UO102" s="1035"/>
      <c r="UP102" s="1004"/>
      <c r="UU102" s="1464"/>
      <c r="UV102" s="826" t="s">
        <v>8435</v>
      </c>
      <c r="UW102" s="836" t="str">
        <f>IF(UX101=" за период",SEARCH(" за период",$SQ$5,UY101)+LEN(" за период")+3,"НЕТ")</f>
        <v>НЕТ</v>
      </c>
      <c r="UX102" s="306" t="s">
        <v>8434</v>
      </c>
      <c r="UY102" s="306" t="e">
        <f>SEARCH(UX102,$SQ$5,UW102)</f>
        <v>#VALUE!</v>
      </c>
      <c r="UZ102" s="306" t="e">
        <f>UY102-UW102</f>
        <v>#VALUE!</v>
      </c>
      <c r="VA102" s="827" t="e">
        <f>DATEVALUE(MID($SQ$5,UW102,UZ102))</f>
        <v>#VALUE!</v>
      </c>
      <c r="VB102" s="828" t="str">
        <f>IF(UX101=" за период",VA102,"")</f>
        <v/>
      </c>
      <c r="VG102" s="1004"/>
      <c r="VH102" s="1036"/>
      <c r="VI102" s="1036"/>
      <c r="VJ102" s="1036"/>
      <c r="VK102" s="1036"/>
      <c r="VL102" s="1036"/>
      <c r="VM102" s="1035"/>
      <c r="VN102" s="1004"/>
      <c r="VS102" s="1464"/>
      <c r="VT102" s="826" t="s">
        <v>8435</v>
      </c>
      <c r="VU102" s="836" t="str">
        <f>IF(VV101=" за период",SEARCH(" за период",$SQ$6,VW101)+LEN(" за период")+3,"НЕТ")</f>
        <v>НЕТ</v>
      </c>
      <c r="VV102" s="306" t="s">
        <v>8434</v>
      </c>
      <c r="VW102" s="306" t="e">
        <f>SEARCH(VV102,$SQ$6,VU102)</f>
        <v>#VALUE!</v>
      </c>
      <c r="VX102" s="306" t="e">
        <f>VW102-VU102</f>
        <v>#VALUE!</v>
      </c>
      <c r="VY102" s="827" t="e">
        <f>DATEVALUE(MID($SQ$6,VU102,VX102))</f>
        <v>#VALUE!</v>
      </c>
      <c r="VZ102" s="828" t="str">
        <f>IF(VV101=" за период",VY102,"")</f>
        <v/>
      </c>
      <c r="WE102" s="1004"/>
      <c r="WF102" s="1036"/>
      <c r="WG102" s="1036"/>
      <c r="WH102" s="1036"/>
      <c r="WI102" s="1036"/>
      <c r="WJ102" s="1036"/>
      <c r="WK102" s="1035"/>
      <c r="WL102" s="1004"/>
      <c r="WQ102" s="1464"/>
      <c r="WR102" s="826" t="s">
        <v>8435</v>
      </c>
      <c r="WS102" s="836" t="str">
        <f>IF(WT101=" за период",SEARCH(" за период",$SQ$7,WU101)+LEN(" за период")+3,"НЕТ")</f>
        <v>НЕТ</v>
      </c>
      <c r="WT102" s="306" t="s">
        <v>8434</v>
      </c>
      <c r="WU102" s="306" t="e">
        <f>SEARCH(WT102,$SQ$7,WS102)</f>
        <v>#VALUE!</v>
      </c>
      <c r="WV102" s="306" t="e">
        <f>WU102-WS102</f>
        <v>#VALUE!</v>
      </c>
      <c r="WW102" s="827" t="e">
        <f>DATEVALUE(MID($SQ$7,WS102,WV102))</f>
        <v>#VALUE!</v>
      </c>
      <c r="WX102" s="828" t="str">
        <f>IF(WT101=" за период",WW102,"")</f>
        <v/>
      </c>
      <c r="XC102" s="1004"/>
      <c r="XD102" s="1036"/>
      <c r="XE102" s="1036"/>
      <c r="XF102" s="1036"/>
      <c r="XG102" s="1036"/>
      <c r="XH102" s="1036"/>
      <c r="XI102" s="1035"/>
      <c r="XJ102" s="1004"/>
      <c r="YG102" s="1464"/>
      <c r="YH102" s="826" t="s">
        <v>8435</v>
      </c>
      <c r="YI102" s="836" t="str">
        <f>IF(YJ101=" за период",SEARCH(" за период",$XU$3,YK101)+LEN(" за период")+3,"НЕТ")</f>
        <v>НЕТ</v>
      </c>
      <c r="YJ102" s="306" t="s">
        <v>8434</v>
      </c>
      <c r="YK102" s="306" t="e">
        <f>SEARCH(YJ102,$XU$3,YI102)</f>
        <v>#VALUE!</v>
      </c>
      <c r="YL102" s="306" t="e">
        <f>YK102-YI102</f>
        <v>#VALUE!</v>
      </c>
      <c r="YM102" s="827" t="e">
        <f>DATEVALUE(MID($XU$3,YI102,YL102))</f>
        <v>#VALUE!</v>
      </c>
      <c r="YN102" s="828" t="str">
        <f>IF(YJ101=" за период",YM102,"")</f>
        <v/>
      </c>
      <c r="YS102" s="1464"/>
      <c r="YT102" s="826" t="s">
        <v>8435</v>
      </c>
      <c r="YU102" s="836" t="str">
        <f>IF(YV101=" за период",SEARCH(" за период",$XU$4,YW101)+LEN(" за период")+3,"НЕТ")</f>
        <v>НЕТ</v>
      </c>
      <c r="YV102" s="306" t="s">
        <v>8434</v>
      </c>
      <c r="YW102" s="306" t="e">
        <f>SEARCH(YV102,$XU$4,YU102)</f>
        <v>#VALUE!</v>
      </c>
      <c r="YX102" s="306" t="e">
        <f>YW102-YU102</f>
        <v>#VALUE!</v>
      </c>
      <c r="YY102" s="827" t="e">
        <f>DATEVALUE(MID($XU$4,YU102,YX102))</f>
        <v>#VALUE!</v>
      </c>
      <c r="YZ102" s="828" t="str">
        <f>IF(YV101=" за период",YY102,"")</f>
        <v/>
      </c>
      <c r="ZE102" s="1464"/>
      <c r="ZF102" s="826" t="s">
        <v>8435</v>
      </c>
      <c r="ZG102" s="836" t="str">
        <f>IF(ZH101=" за период",SEARCH(" за период",$XU$5,ZI101)+LEN(" за период")+3,"НЕТ")</f>
        <v>НЕТ</v>
      </c>
      <c r="ZH102" s="306" t="s">
        <v>8434</v>
      </c>
      <c r="ZI102" s="306" t="e">
        <f>SEARCH(ZH102,$XU$5,ZG102)</f>
        <v>#VALUE!</v>
      </c>
      <c r="ZJ102" s="306" t="e">
        <f>ZI102-ZG102</f>
        <v>#VALUE!</v>
      </c>
      <c r="ZK102" s="827" t="e">
        <f>DATEVALUE(MID($XU$5,ZG102,ZJ102))</f>
        <v>#VALUE!</v>
      </c>
      <c r="ZL102" s="828" t="str">
        <f>IF(ZH101=" за период",ZK102,"")</f>
        <v/>
      </c>
      <c r="ZQ102" s="1464"/>
      <c r="ZR102" s="826" t="s">
        <v>8435</v>
      </c>
      <c r="ZS102" s="836" t="str">
        <f>IF(ZT101=" за период",SEARCH(" за период",$XU$6,ZU101)+LEN(" за период")+3,"НЕТ")</f>
        <v>НЕТ</v>
      </c>
      <c r="ZT102" s="306" t="s">
        <v>8434</v>
      </c>
      <c r="ZU102" s="306" t="e">
        <f>SEARCH(ZT102,$XU$6,ZS102)</f>
        <v>#VALUE!</v>
      </c>
      <c r="ZV102" s="306" t="e">
        <f>ZU102-ZS102</f>
        <v>#VALUE!</v>
      </c>
      <c r="ZW102" s="827" t="e">
        <f>DATEVALUE(MID($XU$6,ZS102,ZV102))</f>
        <v>#VALUE!</v>
      </c>
      <c r="ZX102" s="828" t="str">
        <f>IF(ZT101=" за период",ZW102,"")</f>
        <v/>
      </c>
      <c r="AAC102" s="1464"/>
      <c r="AAD102" s="826" t="s">
        <v>8435</v>
      </c>
      <c r="AAE102" s="836" t="str">
        <f>IF(AAF101=" за период",SEARCH(" за период",$XU$7,AAG101)+LEN(" за период")+3,"НЕТ")</f>
        <v>НЕТ</v>
      </c>
      <c r="AAF102" s="306" t="s">
        <v>8434</v>
      </c>
      <c r="AAG102" s="306" t="e">
        <f>SEARCH(AAF102,$XU$7,AAE102)</f>
        <v>#VALUE!</v>
      </c>
      <c r="AAH102" s="306" t="e">
        <f>AAG102-AAE102</f>
        <v>#VALUE!</v>
      </c>
      <c r="AAI102" s="827" t="e">
        <f>DATEVALUE(MID($XU$7,AAE102,AAH102))</f>
        <v>#VALUE!</v>
      </c>
      <c r="AAJ102" s="828" t="str">
        <f>IF(AAF101=" за период",AAI102,"")</f>
        <v/>
      </c>
      <c r="AFE102" s="1464"/>
      <c r="AFF102" s="826" t="s">
        <v>8435</v>
      </c>
      <c r="AFG102" s="836" t="str">
        <f>IF(AFH101=" за период",SEARCH(" за период",AFD$4,AFI101)+LEN(" за период")+3,"НЕТ")</f>
        <v>НЕТ</v>
      </c>
      <c r="AFH102" s="306" t="s">
        <v>8434</v>
      </c>
      <c r="AFI102" s="306" t="e">
        <f>SEARCH(AFH102,AFD$4,AFG102)</f>
        <v>#VALUE!</v>
      </c>
      <c r="AFJ102" s="306" t="e">
        <f>AFI102-AFG102</f>
        <v>#VALUE!</v>
      </c>
      <c r="AFK102" s="827" t="e">
        <f>DATEVALUE(MID(AFD$4,AFG102,AFJ102))</f>
        <v>#VALUE!</v>
      </c>
      <c r="AFL102" s="828" t="str">
        <f>IF(AFH101=" за период",AFK102,"")</f>
        <v/>
      </c>
      <c r="AFQ102" s="1464"/>
      <c r="AFR102" s="826" t="s">
        <v>8435</v>
      </c>
      <c r="AFS102" s="836" t="str">
        <f>IF(AFT101=" за период",SEARCH(" за период",AFP$4,AFU101)+LEN(" за период")+3,"НЕТ")</f>
        <v>НЕТ</v>
      </c>
      <c r="AFT102" s="306" t="s">
        <v>8434</v>
      </c>
      <c r="AFU102" s="306" t="e">
        <f>SEARCH(AFT102,AFP$4,AFS102)</f>
        <v>#VALUE!</v>
      </c>
      <c r="AFV102" s="306" t="e">
        <f>AFU102-AFS102</f>
        <v>#VALUE!</v>
      </c>
      <c r="AFW102" s="827" t="e">
        <f>DATEVALUE(MID(AFP$4,AFS102,AFV102))</f>
        <v>#VALUE!</v>
      </c>
      <c r="AFX102" s="828" t="str">
        <f>IF(AFT101=" за период",AFW102,"")</f>
        <v/>
      </c>
      <c r="AGC102" s="1464"/>
      <c r="AGD102" s="826" t="s">
        <v>8435</v>
      </c>
      <c r="AGE102" s="836" t="str">
        <f>IF(AGF101=" за период",SEARCH(" за период",AGB$4,AGG101)+LEN(" за период")+3,"НЕТ")</f>
        <v>НЕТ</v>
      </c>
      <c r="AGF102" s="306" t="s">
        <v>8434</v>
      </c>
      <c r="AGG102" s="306" t="e">
        <f>SEARCH(AGF102,AGB$4,AGE102)</f>
        <v>#VALUE!</v>
      </c>
      <c r="AGH102" s="306" t="e">
        <f>AGG102-AGE102</f>
        <v>#VALUE!</v>
      </c>
      <c r="AGI102" s="827" t="e">
        <f>DATEVALUE(MID(AGB$4,AGE102,AGH102))</f>
        <v>#VALUE!</v>
      </c>
      <c r="AGJ102" s="828" t="str">
        <f>IF(AGF101=" за период",AGI102,"")</f>
        <v/>
      </c>
      <c r="AGO102" s="1464"/>
      <c r="AGP102" s="826" t="s">
        <v>8435</v>
      </c>
      <c r="AGQ102" s="836" t="str">
        <f>IF(AGR101=" за период",SEARCH(" за период",AGN$4,AGS101)+LEN(" за период")+3,"НЕТ")</f>
        <v>НЕТ</v>
      </c>
      <c r="AGR102" s="306" t="s">
        <v>8434</v>
      </c>
      <c r="AGS102" s="306" t="e">
        <f>SEARCH(AGR102,AGN$4,AGQ102)</f>
        <v>#VALUE!</v>
      </c>
      <c r="AGT102" s="306" t="e">
        <f>AGS102-AGQ102</f>
        <v>#VALUE!</v>
      </c>
      <c r="AGU102" s="827" t="e">
        <f>DATEVALUE(MID(AGN$4,AGQ102,AGT102))</f>
        <v>#VALUE!</v>
      </c>
      <c r="AGV102" s="828" t="str">
        <f>IF(AGR101=" за период",AGU102,"")</f>
        <v/>
      </c>
      <c r="AHA102" s="1464"/>
      <c r="AHB102" s="826" t="s">
        <v>8435</v>
      </c>
      <c r="AHC102" s="836" t="str">
        <f>IF(AHD101=" за период",SEARCH(" за период",AGZ$4,AHE101)+LEN(" за период")+3,"НЕТ")</f>
        <v>НЕТ</v>
      </c>
      <c r="AHD102" s="306" t="s">
        <v>8434</v>
      </c>
      <c r="AHE102" s="306" t="e">
        <f>SEARCH(AHD102,AGZ$4,AHC102)</f>
        <v>#VALUE!</v>
      </c>
      <c r="AHF102" s="306" t="e">
        <f>AHE102-AHC102</f>
        <v>#VALUE!</v>
      </c>
      <c r="AHG102" s="827" t="e">
        <f>DATEVALUE(MID(AGZ$4,AHC102,AHF102))</f>
        <v>#VALUE!</v>
      </c>
      <c r="AHH102" s="828" t="str">
        <f>IF(AHD101=" за период",AHG102,"")</f>
        <v/>
      </c>
    </row>
    <row r="103" spans="2:893" x14ac:dyDescent="0.3">
      <c r="B103" s="116"/>
      <c r="C103" s="116"/>
      <c r="D103" s="116"/>
      <c r="E103" s="116"/>
      <c r="F103" s="116"/>
      <c r="G103" s="116"/>
      <c r="H103" s="116"/>
      <c r="I103" s="116"/>
      <c r="DT103" s="5" t="s">
        <v>9455</v>
      </c>
      <c r="DU103" s="821" t="s">
        <v>456</v>
      </c>
      <c r="DV103" s="1464"/>
      <c r="DW103" s="826" t="s">
        <v>8436</v>
      </c>
      <c r="DX103" s="836" t="e">
        <f>SEARCH(" ",$C$3,DZ102+1)+1</f>
        <v>#VALUE!</v>
      </c>
      <c r="DY103" s="306"/>
      <c r="DZ103" s="306" t="e">
        <f>DX103+EA103</f>
        <v>#VALUE!</v>
      </c>
      <c r="EA103" s="306">
        <v>10</v>
      </c>
      <c r="EB103" s="827" t="e">
        <f>DATEVALUE(MID($C$3,DX103,EA103))</f>
        <v>#VALUE!</v>
      </c>
      <c r="EC103" s="828" t="str">
        <f>IF(DY101=" за период",EB103,"")</f>
        <v/>
      </c>
      <c r="NK103" s="1464"/>
      <c r="NL103" s="826" t="s">
        <v>8436</v>
      </c>
      <c r="NM103" s="836" t="e">
        <f>SEARCH(" ",NJ$4,NO102+1)+1</f>
        <v>#VALUE!</v>
      </c>
      <c r="NN103" s="306"/>
      <c r="NO103" s="306" t="e">
        <f>NM103+NP103</f>
        <v>#VALUE!</v>
      </c>
      <c r="NP103" s="306">
        <v>10</v>
      </c>
      <c r="NQ103" s="827" t="e">
        <f>DATEVALUE(MID(NJ$4,NM103,NP103))</f>
        <v>#VALUE!</v>
      </c>
      <c r="NR103" s="828" t="str">
        <f>IF(NN101=" за период",NQ103,"")</f>
        <v/>
      </c>
      <c r="SY103" s="1464"/>
      <c r="SZ103" s="826" t="s">
        <v>8436</v>
      </c>
      <c r="TA103" s="836" t="e">
        <f>SEARCH(" ",$SQ$3,TC102+1)+1</f>
        <v>#VALUE!</v>
      </c>
      <c r="TB103" s="306"/>
      <c r="TC103" s="306" t="e">
        <f>TA103+TD103</f>
        <v>#VALUE!</v>
      </c>
      <c r="TD103" s="306">
        <v>10</v>
      </c>
      <c r="TE103" s="827" t="e">
        <f>DATEVALUE(MID($SQ$3,TA103,TD103))</f>
        <v>#VALUE!</v>
      </c>
      <c r="TF103" s="828" t="str">
        <f>IF(TB101=" за период",TE103,"")</f>
        <v/>
      </c>
      <c r="TK103" s="1004"/>
      <c r="TL103" s="1036"/>
      <c r="TM103" s="1036"/>
      <c r="TN103" s="1036"/>
      <c r="TO103" s="1036"/>
      <c r="TP103" s="1036"/>
      <c r="TQ103" s="1038"/>
      <c r="TR103" s="1039"/>
      <c r="TW103" s="1464"/>
      <c r="TX103" s="826" t="s">
        <v>8436</v>
      </c>
      <c r="TY103" s="836" t="e">
        <f>SEARCH(" ",$SQ$4,UA102+1)+1</f>
        <v>#VALUE!</v>
      </c>
      <c r="TZ103" s="306"/>
      <c r="UA103" s="306" t="e">
        <f>TY103+UB103</f>
        <v>#VALUE!</v>
      </c>
      <c r="UB103" s="306">
        <v>10</v>
      </c>
      <c r="UC103" s="827" t="e">
        <f>DATEVALUE(MID($SQ$4,TY103,UB103))</f>
        <v>#VALUE!</v>
      </c>
      <c r="UD103" s="828" t="str">
        <f>IF(TZ101=" за период",UC103,"")</f>
        <v/>
      </c>
      <c r="UI103" s="1004"/>
      <c r="UJ103" s="1036"/>
      <c r="UK103" s="1036"/>
      <c r="UL103" s="1036"/>
      <c r="UM103" s="1036"/>
      <c r="UN103" s="1036"/>
      <c r="UO103" s="1038"/>
      <c r="UP103" s="1039"/>
      <c r="UU103" s="1464"/>
      <c r="UV103" s="826" t="s">
        <v>8436</v>
      </c>
      <c r="UW103" s="836" t="e">
        <f>SEARCH(" ",$SQ$5,UY102+1)+1</f>
        <v>#VALUE!</v>
      </c>
      <c r="UX103" s="306"/>
      <c r="UY103" s="306" t="e">
        <f>UW103+UZ103</f>
        <v>#VALUE!</v>
      </c>
      <c r="UZ103" s="306">
        <v>10</v>
      </c>
      <c r="VA103" s="827" t="e">
        <f>DATEVALUE(MID($SQ$5,UW103,UZ103))</f>
        <v>#VALUE!</v>
      </c>
      <c r="VB103" s="828" t="str">
        <f>IF(UX101=" за период",VA103,"")</f>
        <v/>
      </c>
      <c r="VG103" s="1004"/>
      <c r="VH103" s="1036"/>
      <c r="VI103" s="1036"/>
      <c r="VJ103" s="1036"/>
      <c r="VK103" s="1036"/>
      <c r="VL103" s="1036"/>
      <c r="VM103" s="1038"/>
      <c r="VN103" s="1039"/>
      <c r="VS103" s="1464"/>
      <c r="VT103" s="826" t="s">
        <v>8436</v>
      </c>
      <c r="VU103" s="836" t="e">
        <f>SEARCH(" ",$SQ$6,VW102+1)+1</f>
        <v>#VALUE!</v>
      </c>
      <c r="VV103" s="306"/>
      <c r="VW103" s="306" t="e">
        <f>VU103+VX103</f>
        <v>#VALUE!</v>
      </c>
      <c r="VX103" s="306">
        <v>10</v>
      </c>
      <c r="VY103" s="827" t="e">
        <f>DATEVALUE(MID($SQ$6,VU103,VX103))</f>
        <v>#VALUE!</v>
      </c>
      <c r="VZ103" s="828" t="str">
        <f>IF(VV101=" за период",VY103,"")</f>
        <v/>
      </c>
      <c r="WE103" s="1004"/>
      <c r="WF103" s="1036"/>
      <c r="WG103" s="1036"/>
      <c r="WH103" s="1036"/>
      <c r="WI103" s="1036"/>
      <c r="WJ103" s="1036"/>
      <c r="WK103" s="1038"/>
      <c r="WL103" s="1039"/>
      <c r="WQ103" s="1464"/>
      <c r="WR103" s="826" t="s">
        <v>8436</v>
      </c>
      <c r="WS103" s="836" t="e">
        <f>SEARCH(" ",$SQ$7,WU102+1)+1</f>
        <v>#VALUE!</v>
      </c>
      <c r="WT103" s="306"/>
      <c r="WU103" s="306" t="e">
        <f>WS103+WV103</f>
        <v>#VALUE!</v>
      </c>
      <c r="WV103" s="306">
        <v>10</v>
      </c>
      <c r="WW103" s="827" t="e">
        <f>DATEVALUE(MID($SQ$7,WS103,WV103))</f>
        <v>#VALUE!</v>
      </c>
      <c r="WX103" s="828" t="str">
        <f>IF(WT101=" за период",WW103,"")</f>
        <v/>
      </c>
      <c r="XC103" s="1004"/>
      <c r="XD103" s="1036"/>
      <c r="XE103" s="1036"/>
      <c r="XF103" s="1036"/>
      <c r="XG103" s="1036"/>
      <c r="XH103" s="1036"/>
      <c r="XI103" s="1038"/>
      <c r="XJ103" s="1039"/>
      <c r="YG103" s="1464"/>
      <c r="YH103" s="826" t="s">
        <v>8436</v>
      </c>
      <c r="YI103" s="836" t="e">
        <f>SEARCH(" ",$XU$3,YK102+1)+1</f>
        <v>#VALUE!</v>
      </c>
      <c r="YJ103" s="306"/>
      <c r="YK103" s="306" t="e">
        <f>YI103+YL103</f>
        <v>#VALUE!</v>
      </c>
      <c r="YL103" s="306">
        <v>10</v>
      </c>
      <c r="YM103" s="827" t="e">
        <f>DATEVALUE(MID($XU$3,YI103,YL103))</f>
        <v>#VALUE!</v>
      </c>
      <c r="YN103" s="828" t="str">
        <f>IF(YJ101=" за период",YM103,"")</f>
        <v/>
      </c>
      <c r="YS103" s="1464"/>
      <c r="YT103" s="826" t="s">
        <v>8436</v>
      </c>
      <c r="YU103" s="836" t="e">
        <f>SEARCH(" ",$XU$4,YW102+1)+1</f>
        <v>#VALUE!</v>
      </c>
      <c r="YV103" s="306"/>
      <c r="YW103" s="306" t="e">
        <f>YU103+YX103</f>
        <v>#VALUE!</v>
      </c>
      <c r="YX103" s="306">
        <v>10</v>
      </c>
      <c r="YY103" s="827" t="e">
        <f>DATEVALUE(MID($XU$4,YU103,YX103))</f>
        <v>#VALUE!</v>
      </c>
      <c r="YZ103" s="828" t="str">
        <f>IF(YV101=" за период",YY103,"")</f>
        <v/>
      </c>
      <c r="ZE103" s="1464"/>
      <c r="ZF103" s="826" t="s">
        <v>8436</v>
      </c>
      <c r="ZG103" s="836" t="e">
        <f>SEARCH(" ",$XU$5,ZI102+1)+1</f>
        <v>#VALUE!</v>
      </c>
      <c r="ZH103" s="306"/>
      <c r="ZI103" s="306" t="e">
        <f>ZG103+ZJ103</f>
        <v>#VALUE!</v>
      </c>
      <c r="ZJ103" s="306">
        <v>10</v>
      </c>
      <c r="ZK103" s="827" t="e">
        <f>DATEVALUE(MID($XU$5,ZG103,ZJ103))</f>
        <v>#VALUE!</v>
      </c>
      <c r="ZL103" s="828" t="str">
        <f>IF(ZH101=" за период",ZK103,"")</f>
        <v/>
      </c>
      <c r="ZQ103" s="1464"/>
      <c r="ZR103" s="826" t="s">
        <v>8436</v>
      </c>
      <c r="ZS103" s="836" t="e">
        <f>SEARCH(" ",$XU$6,ZU102+1)+1</f>
        <v>#VALUE!</v>
      </c>
      <c r="ZT103" s="306"/>
      <c r="ZU103" s="306" t="e">
        <f>ZS103+ZV103</f>
        <v>#VALUE!</v>
      </c>
      <c r="ZV103" s="306">
        <v>10</v>
      </c>
      <c r="ZW103" s="827" t="e">
        <f>DATEVALUE(MID($XU$6,ZS103,ZV103))</f>
        <v>#VALUE!</v>
      </c>
      <c r="ZX103" s="828" t="str">
        <f>IF(ZT101=" за период",ZW103,"")</f>
        <v/>
      </c>
      <c r="AAC103" s="1464"/>
      <c r="AAD103" s="826" t="s">
        <v>8436</v>
      </c>
      <c r="AAE103" s="836" t="e">
        <f>SEARCH(" ",$XU$7,AAG102+1)+1</f>
        <v>#VALUE!</v>
      </c>
      <c r="AAF103" s="306"/>
      <c r="AAG103" s="306" t="e">
        <f>AAE103+AAH103</f>
        <v>#VALUE!</v>
      </c>
      <c r="AAH103" s="306">
        <v>10</v>
      </c>
      <c r="AAI103" s="827" t="e">
        <f>DATEVALUE(MID($XU$7,AAE103,AAH103))</f>
        <v>#VALUE!</v>
      </c>
      <c r="AAJ103" s="828" t="str">
        <f>IF(AAF101=" за период",AAI103,"")</f>
        <v/>
      </c>
      <c r="AFE103" s="1464"/>
      <c r="AFF103" s="826" t="s">
        <v>8436</v>
      </c>
      <c r="AFG103" s="836" t="e">
        <f>SEARCH(" ",AFD$4,AFI102+1)+1</f>
        <v>#VALUE!</v>
      </c>
      <c r="AFH103" s="306"/>
      <c r="AFI103" s="306" t="e">
        <f>AFG103+AFJ103</f>
        <v>#VALUE!</v>
      </c>
      <c r="AFJ103" s="306">
        <v>10</v>
      </c>
      <c r="AFK103" s="827" t="e">
        <f>DATEVALUE(MID(AFD$4,AFG103,AFJ103))</f>
        <v>#VALUE!</v>
      </c>
      <c r="AFL103" s="828" t="str">
        <f>IF(AFH101=" за период",AFK103,"")</f>
        <v/>
      </c>
      <c r="AFQ103" s="1464"/>
      <c r="AFR103" s="826" t="s">
        <v>8436</v>
      </c>
      <c r="AFS103" s="836" t="e">
        <f>SEARCH(" ",AFP$4,AFU102+1)+1</f>
        <v>#VALUE!</v>
      </c>
      <c r="AFT103" s="306"/>
      <c r="AFU103" s="306" t="e">
        <f>AFS103+AFV103</f>
        <v>#VALUE!</v>
      </c>
      <c r="AFV103" s="306">
        <v>10</v>
      </c>
      <c r="AFW103" s="827" t="e">
        <f>DATEVALUE(MID(AFP$4,AFS103,AFV103))</f>
        <v>#VALUE!</v>
      </c>
      <c r="AFX103" s="828" t="str">
        <f>IF(AFT101=" за период",AFW103,"")</f>
        <v/>
      </c>
      <c r="AGC103" s="1464"/>
      <c r="AGD103" s="826" t="s">
        <v>8436</v>
      </c>
      <c r="AGE103" s="836" t="e">
        <f>SEARCH(" ",AGB$4,AGG102+1)+1</f>
        <v>#VALUE!</v>
      </c>
      <c r="AGF103" s="306"/>
      <c r="AGG103" s="306" t="e">
        <f>AGE103+AGH103</f>
        <v>#VALUE!</v>
      </c>
      <c r="AGH103" s="306">
        <v>10</v>
      </c>
      <c r="AGI103" s="827" t="e">
        <f>DATEVALUE(MID(AGB$4,AGE103,AGH103))</f>
        <v>#VALUE!</v>
      </c>
      <c r="AGJ103" s="828" t="str">
        <f>IF(AGF101=" за период",AGI103,"")</f>
        <v/>
      </c>
      <c r="AGO103" s="1464"/>
      <c r="AGP103" s="826" t="s">
        <v>8436</v>
      </c>
      <c r="AGQ103" s="836" t="e">
        <f>SEARCH(" ",AGN$4,AGS102+1)+1</f>
        <v>#VALUE!</v>
      </c>
      <c r="AGR103" s="306"/>
      <c r="AGS103" s="306" t="e">
        <f>AGQ103+AGT103</f>
        <v>#VALUE!</v>
      </c>
      <c r="AGT103" s="306">
        <v>10</v>
      </c>
      <c r="AGU103" s="827" t="e">
        <f>DATEVALUE(MID(AGN$4,AGQ103,AGT103))</f>
        <v>#VALUE!</v>
      </c>
      <c r="AGV103" s="828" t="str">
        <f>IF(AGR101=" за период",AGU103,"")</f>
        <v/>
      </c>
      <c r="AHA103" s="1464"/>
      <c r="AHB103" s="826" t="s">
        <v>8436</v>
      </c>
      <c r="AHC103" s="836" t="e">
        <f>SEARCH(" ",AGZ$4,AHE102+1)+1</f>
        <v>#VALUE!</v>
      </c>
      <c r="AHD103" s="306"/>
      <c r="AHE103" s="306" t="e">
        <f>AHC103+AHF103</f>
        <v>#VALUE!</v>
      </c>
      <c r="AHF103" s="306">
        <v>10</v>
      </c>
      <c r="AHG103" s="827" t="e">
        <f>DATEVALUE(MID(AGZ$4,AHC103,AHF103))</f>
        <v>#VALUE!</v>
      </c>
      <c r="AHH103" s="828" t="str">
        <f>IF(AHD101=" за период",AHG103,"")</f>
        <v/>
      </c>
    </row>
    <row r="104" spans="2:893" x14ac:dyDescent="0.3">
      <c r="B104" s="116"/>
      <c r="C104" s="116"/>
      <c r="D104" s="116"/>
      <c r="E104" s="116"/>
      <c r="F104" s="116"/>
      <c r="G104" s="116"/>
      <c r="H104" s="116"/>
      <c r="I104" s="116"/>
      <c r="DT104" t="s">
        <v>9462</v>
      </c>
      <c r="DU104" s="821" t="s">
        <v>1702</v>
      </c>
      <c r="DV104" s="1464"/>
      <c r="DW104" s="826"/>
      <c r="DX104" s="836"/>
      <c r="DY104" s="306" t="str">
        <f>IF(DZ104=IFERROR(SEARCH(".",C$3,DZ103),99999),".",
IF(DZ104=IFERROR(SEARCH(",",C$3,DZ103),99999),",",
IF(DZ104=IFERROR(SEARCH(" за период",C$3,DZ103),999999)," за период",
IF(DZ104=IFERROR(SEARCH(" в размере",C$3,DZ103),99999)," в размере",
))))</f>
        <v>.</v>
      </c>
      <c r="DZ104" s="306">
        <f>MIN(
IFERROR(SEARCH(".",$C$3,DZ103),99999),
IFERROR(SEARCH(",",$C$3,DZ103),99999),
IFERROR(SEARCH(" в размере",$C$3,DZ103),99999))</f>
        <v>99999</v>
      </c>
      <c r="EA104" s="306"/>
      <c r="EB104" s="827"/>
      <c r="EC104" s="829"/>
      <c r="NK104" s="1464"/>
      <c r="NL104" s="826"/>
      <c r="NM104" s="836"/>
      <c r="NN104" s="306" t="str">
        <f>IF(NO104=IFERROR(SEARCH(".",NJ$4,NO103),99999),".",
IF(NO104=IFERROR(SEARCH(",",NJ$4,NO103),99999),",",
IF(NO104=IFERROR(SEARCH(" за период",NJ$4,NO103),999999)," за период",
IF(NO104=IFERROR(SEARCH(" в размере",NJ$4,NO103),99999)," в размере",
))))</f>
        <v>.</v>
      </c>
      <c r="NO104" s="306">
        <f>MIN(
IFERROR(SEARCH(".",NJ$4,NO103),99999),
IFERROR(SEARCH(",",NJ$4,NO103),99999),
IFERROR(SEARCH(" в размере",NJ$4,NO103),99999))</f>
        <v>99999</v>
      </c>
      <c r="NP104" s="306"/>
      <c r="NQ104" s="827"/>
      <c r="NR104" s="829"/>
      <c r="SY104" s="1464"/>
      <c r="SZ104" s="826"/>
      <c r="TA104" s="836"/>
      <c r="TB104" s="306" t="str">
        <f>IF(TC104=IFERROR(SEARCH(".",$SQ$3,TC103),99999),".",
IF(TC104=IFERROR(SEARCH(",",$SQ$3,TC103),99999),",",
IF(TC104=IFERROR(SEARCH(" за период",$SQ$3,TC103),999999)," за период",
IF(TC104=IFERROR(SEARCH(" в размере",$SQ$3,TC103),99999)," в размере",
))))</f>
        <v>.</v>
      </c>
      <c r="TC104" s="306">
        <f>MIN(
IFERROR(SEARCH(".",$SQ$3,TC103),99999),
IFERROR(SEARCH(",",$SQ$3,TC103),99999),
IFERROR(SEARCH(" в размере",$SQ$3,TC103),99999))</f>
        <v>99999</v>
      </c>
      <c r="TD104" s="306"/>
      <c r="TE104" s="827"/>
      <c r="TF104" s="829"/>
      <c r="TK104" s="1004"/>
      <c r="TL104" s="884"/>
      <c r="TM104" s="884"/>
      <c r="TN104" s="884"/>
      <c r="TO104" s="884"/>
      <c r="TP104" s="884"/>
      <c r="TQ104" s="884"/>
      <c r="TR104" s="884"/>
      <c r="TW104" s="1464"/>
      <c r="TX104" s="826"/>
      <c r="TY104" s="836"/>
      <c r="TZ104" s="306" t="str">
        <f>IF(UA104=IFERROR(SEARCH(".",$SQ$4,UA103),99999),".",
IF(UA104=IFERROR(SEARCH(",",$SQ$4,UA103),99999),",",
IF(UA104=IFERROR(SEARCH(" за период",$SQ$4,UA103),999999)," за период",
IF(UA104=IFERROR(SEARCH(" в размере",$SQ$4,UA103),99999)," в размере",
))))</f>
        <v>.</v>
      </c>
      <c r="UA104" s="306">
        <f>MIN(
IFERROR(SEARCH(".",$SQ$4,UA103),99999),
IFERROR(SEARCH(",",$SQ$4,UA103),99999),
IFERROR(SEARCH(" в размере",$SQ$4,UA103),99999))</f>
        <v>99999</v>
      </c>
      <c r="UB104" s="306"/>
      <c r="UC104" s="827"/>
      <c r="UD104" s="829"/>
      <c r="UI104" s="1004"/>
      <c r="UJ104" s="884"/>
      <c r="UK104" s="884"/>
      <c r="UL104" s="884"/>
      <c r="UM104" s="884"/>
      <c r="UN104" s="884"/>
      <c r="UO104" s="884"/>
      <c r="UP104" s="884"/>
      <c r="UU104" s="1464"/>
      <c r="UV104" s="826"/>
      <c r="UW104" s="836"/>
      <c r="UX104" s="306" t="str">
        <f>IF(UY104=IFERROR(SEARCH(".",$SQ$5,UY103),99999),".",
IF(UY104=IFERROR(SEARCH(",",$SQ$5,UY103),99999),",",
IF(UY104=IFERROR(SEARCH(" за период",$SQ$5,UY103),999999)," за период",
IF(UY104=IFERROR(SEARCH(" в размере",$SQ$5,UY103),99999)," в размере",
))))</f>
        <v>.</v>
      </c>
      <c r="UY104" s="306">
        <f>MIN(
IFERROR(SEARCH(".",$SQ$5,UY103),99999),
IFERROR(SEARCH(",",$SQ$5,UY103),99999),
IFERROR(SEARCH(" в размере",$SQ$5,UY103),99999))</f>
        <v>99999</v>
      </c>
      <c r="UZ104" s="306"/>
      <c r="VA104" s="827"/>
      <c r="VB104" s="829"/>
      <c r="VG104" s="1004"/>
      <c r="VH104" s="884"/>
      <c r="VI104" s="884"/>
      <c r="VJ104" s="884"/>
      <c r="VK104" s="884"/>
      <c r="VL104" s="884"/>
      <c r="VM104" s="884"/>
      <c r="VN104" s="884"/>
      <c r="VS104" s="1464"/>
      <c r="VT104" s="826"/>
      <c r="VU104" s="836"/>
      <c r="VV104" s="306" t="str">
        <f>IF(VW104=IFERROR(SEARCH(".",$SQ$6,VW103),99999),".",
IF(VW104=IFERROR(SEARCH(",",$SQ$6,VW103),99999),",",
IF(VW104=IFERROR(SEARCH(" за период",$SQ$6,VW103),999999)," за период",
IF(VW104=IFERROR(SEARCH(" в размере",$SQ$6,VW103),99999)," в размере",
))))</f>
        <v>.</v>
      </c>
      <c r="VW104" s="306">
        <f>MIN(
IFERROR(SEARCH(".",$SQ$6,VW103),99999),
IFERROR(SEARCH(",",$SQ$6,VW103),99999),
IFERROR(SEARCH(" в размере",$SQ$6,VW103),99999))</f>
        <v>99999</v>
      </c>
      <c r="VX104" s="306"/>
      <c r="VY104" s="827"/>
      <c r="VZ104" s="829"/>
      <c r="WE104" s="1004"/>
      <c r="WF104" s="884"/>
      <c r="WG104" s="884"/>
      <c r="WH104" s="884"/>
      <c r="WI104" s="884"/>
      <c r="WJ104" s="884"/>
      <c r="WK104" s="884"/>
      <c r="WL104" s="884"/>
      <c r="WQ104" s="1464"/>
      <c r="WR104" s="826"/>
      <c r="WS104" s="836"/>
      <c r="WT104" s="306" t="str">
        <f>IF(WU104=IFERROR(SEARCH(".",$SQ$7,WU103),99999),".",
IF(WU104=IFERROR(SEARCH(",",$SQ$7,WU103),99999),",",
IF(WU104=IFERROR(SEARCH(" за период",$SQ$7,WU103),999999)," за период",
IF(WU104=IFERROR(SEARCH(" в размере",$SQ$7,WU103),99999)," в размере",
))))</f>
        <v>.</v>
      </c>
      <c r="WU104" s="306">
        <f>MIN(
IFERROR(SEARCH(".",$SQ$7,WU103),99999),
IFERROR(SEARCH(",",$SQ$7,WU103),99999),
IFERROR(SEARCH(" в размере",$SQ$7,WU103),99999))</f>
        <v>99999</v>
      </c>
      <c r="WV104" s="306"/>
      <c r="WW104" s="827"/>
      <c r="WX104" s="829"/>
      <c r="XC104" s="1004"/>
      <c r="XD104" s="884"/>
      <c r="XE104" s="884"/>
      <c r="XF104" s="884"/>
      <c r="XG104" s="884"/>
      <c r="XH104" s="884"/>
      <c r="XI104" s="884"/>
      <c r="XJ104" s="884"/>
      <c r="YG104" s="1464"/>
      <c r="YH104" s="826"/>
      <c r="YI104" s="836"/>
      <c r="YJ104" s="306" t="str">
        <f>IF(YK104=IFERROR(SEARCH(".",$XU$3,YK103),99999),".",
IF(YK104=IFERROR(SEARCH(",",$XU$3,YK103),99999),",",
IF(YK104=IFERROR(SEARCH(" за период",$XU$3,YK103),999999)," за период",
IF(YK104=IFERROR(SEARCH(" в размере",$XU$3,YK103),99999)," в размере",
))))</f>
        <v>.</v>
      </c>
      <c r="YK104" s="306">
        <f>MIN(
IFERROR(SEARCH(".",$XU$3,YK103),99999),
IFERROR(SEARCH(",",$XU$3,YK103),99999),
IFERROR(SEARCH(" в размере",$XU$3,YK103),99999))</f>
        <v>99999</v>
      </c>
      <c r="YL104" s="306"/>
      <c r="YM104" s="827"/>
      <c r="YN104" s="829"/>
      <c r="YS104" s="1464"/>
      <c r="YT104" s="826"/>
      <c r="YU104" s="836"/>
      <c r="YV104" s="306" t="str">
        <f>IF(YW104=IFERROR(SEARCH(".",$XU$4,YW103),99999),".",
IF(YW104=IFERROR(SEARCH(",",$XU$4,YW103),99999),",",
IF(YW104=IFERROR(SEARCH(" за период",$XU$4,YW103),999999)," за период",
IF(YW104=IFERROR(SEARCH(" в размере",$XU$4,YW103),99999)," в размере",
))))</f>
        <v>.</v>
      </c>
      <c r="YW104" s="306">
        <f>MIN(
IFERROR(SEARCH(".",$XU$4,YW103),99999),
IFERROR(SEARCH(",",$XU$4,YW103),99999),
IFERROR(SEARCH(" в размере",$XU$4,YW103),99999))</f>
        <v>99999</v>
      </c>
      <c r="YX104" s="306"/>
      <c r="YY104" s="827"/>
      <c r="YZ104" s="829"/>
      <c r="ZE104" s="1464"/>
      <c r="ZF104" s="826"/>
      <c r="ZG104" s="836"/>
      <c r="ZH104" s="306" t="str">
        <f>IF(ZI104=IFERROR(SEARCH(".",$XU$5,ZI103),99999),".",
IF(ZI104=IFERROR(SEARCH(",",$XU$5,ZI103),99999),",",
IF(ZI104=IFERROR(SEARCH(" за период",$XU$5,ZI103),999999)," за период",
IF(ZI104=IFERROR(SEARCH(" в размере",$XU$5,ZI103),99999)," в размере",
))))</f>
        <v>.</v>
      </c>
      <c r="ZI104" s="306">
        <f>MIN(
IFERROR(SEARCH(".",$XU$5,ZI103),99999),
IFERROR(SEARCH(",",$XU$5,ZI103),99999),
IFERROR(SEARCH(" в размере",$XU$5,ZI103),99999))</f>
        <v>99999</v>
      </c>
      <c r="ZJ104" s="306"/>
      <c r="ZK104" s="827"/>
      <c r="ZL104" s="829"/>
      <c r="ZQ104" s="1464"/>
      <c r="ZR104" s="826"/>
      <c r="ZS104" s="836"/>
      <c r="ZT104" s="306" t="str">
        <f>IF(ZU104=IFERROR(SEARCH(".",$XU$6,ZU103),99999),".",
IF(ZU104=IFERROR(SEARCH(",",$XU$6,ZU103),99999),",",
IF(ZU104=IFERROR(SEARCH(" за период",$XU$6,ZU103),999999)," за период",
IF(ZU104=IFERROR(SEARCH(" в размере",$XU$6,ZU103),99999)," в размере",
))))</f>
        <v>.</v>
      </c>
      <c r="ZU104" s="306">
        <f>MIN(
IFERROR(SEARCH(".",$XU$6,ZU103),99999),
IFERROR(SEARCH(",",$XU$6,ZU103),99999),
IFERROR(SEARCH(" в размере",$XU$6,ZU103),99999))</f>
        <v>99999</v>
      </c>
      <c r="ZV104" s="306"/>
      <c r="ZW104" s="827"/>
      <c r="ZX104" s="829"/>
      <c r="AAC104" s="1464"/>
      <c r="AAD104" s="826"/>
      <c r="AAE104" s="836"/>
      <c r="AAF104" s="306" t="str">
        <f>IF(AAG104=IFERROR(SEARCH(".",$XU$7,AAG103),99999),".",
IF(AAG104=IFERROR(SEARCH(",",$XU$7,AAG103),99999),",",
IF(AAG104=IFERROR(SEARCH(" за период",$XU$7,AAG103),999999)," за период",
IF(AAG104=IFERROR(SEARCH(" в размере",$XU$7,AAG103),99999)," в размере",
))))</f>
        <v>.</v>
      </c>
      <c r="AAG104" s="306">
        <f>MIN(
IFERROR(SEARCH(".",$XU$7,AAG103),99999),
IFERROR(SEARCH(",",$XU$7,AAG103),99999),
IFERROR(SEARCH(" в размере",$XU$7,AAG103),99999))</f>
        <v>99999</v>
      </c>
      <c r="AAH104" s="306"/>
      <c r="AAI104" s="827"/>
      <c r="AAJ104" s="829"/>
      <c r="AFE104" s="1464"/>
      <c r="AFF104" s="826"/>
      <c r="AFG104" s="836"/>
      <c r="AFH104" s="306" t="str">
        <f>IF(AFI104=IFERROR(SEARCH(".",AFD$4,AFI103),99999),".",
IF(AFI104=IFERROR(SEARCH(",",AFD$4,AFI103),99999),",",
IF(AFI104=IFERROR(SEARCH(" за период",AFD$4,AFI103),999999)," за период",
IF(AFI104=IFERROR(SEARCH(" в размере",AFD$4,AFI103),99999)," в размере",
))))</f>
        <v>.</v>
      </c>
      <c r="AFI104" s="306">
        <f>MIN(
IFERROR(SEARCH(".",AFD$4,AFI103),99999),
IFERROR(SEARCH(",",AFD$4,AFI103),99999),
IFERROR(SEARCH(" в размере",AFD$4,AFI103),99999))</f>
        <v>99999</v>
      </c>
      <c r="AFJ104" s="306"/>
      <c r="AFK104" s="827"/>
      <c r="AFL104" s="829"/>
      <c r="AFQ104" s="1464"/>
      <c r="AFR104" s="826"/>
      <c r="AFS104" s="836"/>
      <c r="AFT104" s="306" t="str">
        <f>IF(AFU104=IFERROR(SEARCH(".",AFP$4,AFU103),99999),".",
IF(AFU104=IFERROR(SEARCH(",",AFP$4,AFU103),99999),",",
IF(AFU104=IFERROR(SEARCH(" за период",AFP$4,AFU103),999999)," за период",
IF(AFU104=IFERROR(SEARCH(" в размере",AFP$4,AFU103),99999)," в размере",
))))</f>
        <v>.</v>
      </c>
      <c r="AFU104" s="306">
        <f>MIN(
IFERROR(SEARCH(".",AFP$4,AFU103),99999),
IFERROR(SEARCH(",",AFP$4,AFU103),99999),
IFERROR(SEARCH(" в размере",AFP$4,AFU103),99999))</f>
        <v>99999</v>
      </c>
      <c r="AFV104" s="306"/>
      <c r="AFW104" s="827"/>
      <c r="AFX104" s="829"/>
      <c r="AGC104" s="1464"/>
      <c r="AGD104" s="826"/>
      <c r="AGE104" s="836"/>
      <c r="AGF104" s="306" t="str">
        <f>IF(AGG104=IFERROR(SEARCH(".",AGB$4,AGG103),99999),".",
IF(AGG104=IFERROR(SEARCH(",",AGB$4,AGG103),99999),",",
IF(AGG104=IFERROR(SEARCH(" за период",AGB$4,AGG103),999999)," за период",
IF(AGG104=IFERROR(SEARCH(" в размере",AGB$4,AGG103),99999)," в размере",
))))</f>
        <v>.</v>
      </c>
      <c r="AGG104" s="306">
        <f>MIN(
IFERROR(SEARCH(".",AGB$4,AGG103),99999),
IFERROR(SEARCH(",",AGB$4,AGG103),99999),
IFERROR(SEARCH(" в размере",AGB$4,AGG103),99999))</f>
        <v>99999</v>
      </c>
      <c r="AGH104" s="306"/>
      <c r="AGI104" s="827"/>
      <c r="AGJ104" s="829"/>
      <c r="AGO104" s="1464"/>
      <c r="AGP104" s="826"/>
      <c r="AGQ104" s="836"/>
      <c r="AGR104" s="306" t="str">
        <f>IF(AGS104=IFERROR(SEARCH(".",AGN$4,AGS103),99999),".",
IF(AGS104=IFERROR(SEARCH(",",AGN$4,AGS103),99999),",",
IF(AGS104=IFERROR(SEARCH(" за период",AGN$4,AGS103),999999)," за период",
IF(AGS104=IFERROR(SEARCH(" в размере",AGN$4,AGS103),99999)," в размере",
))))</f>
        <v>.</v>
      </c>
      <c r="AGS104" s="306">
        <f>MIN(
IFERROR(SEARCH(".",AGN$4,AGS103),99999),
IFERROR(SEARCH(",",AGN$4,AGS103),99999),
IFERROR(SEARCH(" в размере",AGN$4,AGS103),99999))</f>
        <v>99999</v>
      </c>
      <c r="AGT104" s="306"/>
      <c r="AGU104" s="827"/>
      <c r="AGV104" s="829"/>
      <c r="AHA104" s="1464"/>
      <c r="AHB104" s="826"/>
      <c r="AHC104" s="836"/>
      <c r="AHD104" s="306" t="str">
        <f>IF(AHE104=IFERROR(SEARCH(".",AGZ$4,AHE103),99999),".",
IF(AHE104=IFERROR(SEARCH(",",AGZ$4,AHE103),99999),",",
IF(AHE104=IFERROR(SEARCH(" за период",AGZ$4,AHE103),999999)," за период",
IF(AHE104=IFERROR(SEARCH(" в размере",AGZ$4,AHE103),99999)," в размере",
))))</f>
        <v>.</v>
      </c>
      <c r="AHE104" s="306">
        <f>MIN(
IFERROR(SEARCH(".",AGZ$4,AHE103),99999),
IFERROR(SEARCH(",",AGZ$4,AHE103),99999),
IFERROR(SEARCH(" в размере",AGZ$4,AHE103),99999))</f>
        <v>99999</v>
      </c>
      <c r="AHF104" s="306"/>
      <c r="AHG104" s="827"/>
      <c r="AHH104" s="829"/>
    </row>
    <row r="105" spans="2:893" x14ac:dyDescent="0.3">
      <c r="B105" s="116"/>
      <c r="C105" s="116"/>
      <c r="D105" s="116"/>
      <c r="E105" s="116"/>
      <c r="F105" s="116"/>
      <c r="G105" s="116"/>
      <c r="H105" s="116"/>
      <c r="I105" s="116"/>
      <c r="DT105" t="s">
        <v>9469</v>
      </c>
      <c r="DU105" s="821" t="s">
        <v>456</v>
      </c>
      <c r="DV105" s="1464"/>
      <c r="DW105" s="830" t="s">
        <v>8249</v>
      </c>
      <c r="DX105" s="836" t="str">
        <f>IF(OR(DY104=" в размере",DY101=" в размере"),SEARCH(" в размере",$C$3,DZ101)+LEN(" в размере")+1,"НЕТ")</f>
        <v>НЕТ</v>
      </c>
      <c r="DY105" s="306" t="s">
        <v>8431</v>
      </c>
      <c r="DZ105" s="306" t="e">
        <f>SEARCH(DY105,$C$3,DX105)</f>
        <v>#VALUE!</v>
      </c>
      <c r="EA105" s="306" t="e">
        <f>DZ105-DX105</f>
        <v>#VALUE!</v>
      </c>
      <c r="EB105" s="826" t="e">
        <f>IF(EC101="Штраф 50%","",MID($C$3,DX105,EA105))</f>
        <v>#VALUE!</v>
      </c>
      <c r="EC105" s="829"/>
      <c r="NK105" s="1464"/>
      <c r="NL105" s="830" t="s">
        <v>8249</v>
      </c>
      <c r="NM105" s="836" t="e">
        <f>SEARCH(" в размере",NJ$4,NO101)+LEN(" в размере")+1</f>
        <v>#VALUE!</v>
      </c>
      <c r="NN105" s="306" t="s">
        <v>8431</v>
      </c>
      <c r="NO105" s="306" t="e">
        <f>SEARCH(NN105,NJ$4,NM105)</f>
        <v>#VALUE!</v>
      </c>
      <c r="NP105" s="306" t="e">
        <f>NO105-NM105</f>
        <v>#VALUE!</v>
      </c>
      <c r="NQ105" s="826" t="e">
        <f>IF(NR101="Штраф 50%","",MID(NJ$4,NM105,NP105))</f>
        <v>#VALUE!</v>
      </c>
      <c r="NR105" s="829"/>
      <c r="SY105" s="1464"/>
      <c r="SZ105" s="830" t="s">
        <v>8249</v>
      </c>
      <c r="TA105" s="836" t="e">
        <f>IF(NOT(ISERROR(SEARCH("НДФЛ",SX$4))),MIN(SEARCH("в размере ",SX$4,TC101)+LEN("в размере "),SEARCH("исходя из суммы ",SX$4,TC101)+LEN("исходя из суммы ")),SEARCH(" в размере",SX$4,TC101)+LEN(" в размере")+1)</f>
        <v>#VALUE!</v>
      </c>
      <c r="TB105" s="306" t="s">
        <v>8431</v>
      </c>
      <c r="TC105" s="306" t="e">
        <f>SEARCH(TB105,$SQ$3,TA105)</f>
        <v>#VALUE!</v>
      </c>
      <c r="TD105" s="306" t="e">
        <f>TC105-TA105</f>
        <v>#VALUE!</v>
      </c>
      <c r="TE105" s="826" t="e">
        <f>IF(TF101="Штраф 50%","",MID($SQ$3,TA105,TD105))</f>
        <v>#VALUE!</v>
      </c>
      <c r="TF105" s="829"/>
      <c r="TK105" s="1004"/>
      <c r="TL105" s="884"/>
      <c r="TM105" s="884"/>
      <c r="TN105" s="884"/>
      <c r="TO105" s="884"/>
      <c r="TP105" s="884"/>
      <c r="TQ105" s="884"/>
      <c r="TR105" s="884"/>
      <c r="TW105" s="1464"/>
      <c r="TX105" s="830" t="s">
        <v>8249</v>
      </c>
      <c r="TY105" s="836" t="e">
        <f>IF(NOT(ISERROR(SEARCH("НДФЛ",TV$4))),MIN(SEARCH("в размере ",TV$4,UA101)+LEN("в размере "),SEARCH("исходя из суммы ",TV$4,UA101)+LEN("исходя из суммы ")),SEARCH(" в размере",TV$4,UA101)+LEN(" в размере")+1)</f>
        <v>#VALUE!</v>
      </c>
      <c r="TZ105" s="306" t="s">
        <v>8431</v>
      </c>
      <c r="UA105" s="306" t="e">
        <f>SEARCH(TZ105,$SQ$4,TY105)</f>
        <v>#VALUE!</v>
      </c>
      <c r="UB105" s="306" t="e">
        <f>UA105-TY105</f>
        <v>#VALUE!</v>
      </c>
      <c r="UC105" s="826" t="e">
        <f>IF(UD101="Штраф 50%","",MID($SQ$4,TY105,UB105))</f>
        <v>#VALUE!</v>
      </c>
      <c r="UD105" s="829"/>
      <c r="UI105" s="1004"/>
      <c r="UJ105" s="884"/>
      <c r="UK105" s="884"/>
      <c r="UL105" s="884"/>
      <c r="UM105" s="884"/>
      <c r="UN105" s="884"/>
      <c r="UO105" s="884"/>
      <c r="UP105" s="884"/>
      <c r="UU105" s="1464"/>
      <c r="UV105" s="830" t="s">
        <v>8249</v>
      </c>
      <c r="UW105" s="836" t="e">
        <f>IF(NOT(ISERROR(SEARCH("НДФЛ",UT$4))),MIN(SEARCH("в размере ",UT$4,UY101)+LEN("в размере "),SEARCH("исходя из суммы ",UT$4,UY101)+LEN("исходя из суммы ")),SEARCH(" в размере",UT$4,UY101)+LEN(" в размере")+1)</f>
        <v>#VALUE!</v>
      </c>
      <c r="UX105" s="306" t="s">
        <v>8431</v>
      </c>
      <c r="UY105" s="306" t="e">
        <f>SEARCH(UX105,$SQ$5,UW105)</f>
        <v>#VALUE!</v>
      </c>
      <c r="UZ105" s="306" t="e">
        <f>UY105-UW105</f>
        <v>#VALUE!</v>
      </c>
      <c r="VA105" s="826" t="e">
        <f>IF(VB101="Штраф 50%","",MID($SQ$5,UW105,UZ105))</f>
        <v>#VALUE!</v>
      </c>
      <c r="VB105" s="829"/>
      <c r="VG105" s="1004"/>
      <c r="VH105" s="884"/>
      <c r="VI105" s="884"/>
      <c r="VJ105" s="884"/>
      <c r="VK105" s="884"/>
      <c r="VL105" s="884"/>
      <c r="VM105" s="884"/>
      <c r="VN105" s="884"/>
      <c r="VS105" s="1464"/>
      <c r="VT105" s="830" t="s">
        <v>8249</v>
      </c>
      <c r="VU105" s="836" t="e">
        <f>IF(NOT(ISERROR(SEARCH("НДФЛ",VR$4))),MIN(SEARCH("в размере ",VR$4,VW101)+LEN("в размере "),SEARCH("исходя из суммы ",VR$4,VW101)+LEN("исходя из суммы ")),SEARCH(" в размере",VR$4,VW101)+LEN(" в размере")+1)</f>
        <v>#VALUE!</v>
      </c>
      <c r="VV105" s="306" t="s">
        <v>8431</v>
      </c>
      <c r="VW105" s="306" t="e">
        <f>SEARCH(VV105,$SQ$6,VU105)</f>
        <v>#VALUE!</v>
      </c>
      <c r="VX105" s="306" t="e">
        <f>VW105-VU105</f>
        <v>#VALUE!</v>
      </c>
      <c r="VY105" s="826" t="e">
        <f>IF(VZ101="Штраф 50%","",MID($SQ$6,VU105,VX105))</f>
        <v>#VALUE!</v>
      </c>
      <c r="VZ105" s="829"/>
      <c r="WE105" s="1004"/>
      <c r="WF105" s="884"/>
      <c r="WG105" s="884"/>
      <c r="WH105" s="884"/>
      <c r="WI105" s="884"/>
      <c r="WJ105" s="884"/>
      <c r="WK105" s="884"/>
      <c r="WL105" s="884"/>
      <c r="WQ105" s="1464"/>
      <c r="WR105" s="830" t="s">
        <v>8249</v>
      </c>
      <c r="WS105" s="836" t="e">
        <f>IF(NOT(ISERROR(SEARCH("НДФЛ",WP$4))),MIN(SEARCH("в размере ",WP$4,WU101)+LEN("в размере "),SEARCH("исходя из суммы ",WP$4,WU101)+LEN("исходя из суммы ")),SEARCH(" в размере",WP$4,WU101)+LEN(" в размере")+1)</f>
        <v>#VALUE!</v>
      </c>
      <c r="WT105" s="306" t="s">
        <v>8431</v>
      </c>
      <c r="WU105" s="306" t="e">
        <f>SEARCH(WT105,$SQ$7,WS105)</f>
        <v>#VALUE!</v>
      </c>
      <c r="WV105" s="306" t="e">
        <f>WU105-WS105</f>
        <v>#VALUE!</v>
      </c>
      <c r="WW105" s="826" t="e">
        <f>IF(WX101="Штраф 50%","",MID($SQ$7,WS105,WV105))</f>
        <v>#VALUE!</v>
      </c>
      <c r="WX105" s="829"/>
      <c r="XC105" s="1004"/>
      <c r="XD105" s="884"/>
      <c r="XE105" s="884"/>
      <c r="XF105" s="884"/>
      <c r="XG105" s="884"/>
      <c r="XH105" s="884"/>
      <c r="XI105" s="884"/>
      <c r="XJ105" s="884"/>
      <c r="YG105" s="1464"/>
      <c r="YH105" s="830" t="s">
        <v>8249</v>
      </c>
      <c r="YI105" s="836" t="str">
        <f>IF(OR(YJ104=" в размере",YJ101=" в размере"),SEARCH(" в размере",$XU$3,YK101)+LEN(" в размере")+1,"НЕТ")</f>
        <v>НЕТ</v>
      </c>
      <c r="YJ105" s="306" t="s">
        <v>8431</v>
      </c>
      <c r="YK105" s="306" t="e">
        <f>SEARCH(YJ105,$XU$3,YI105)</f>
        <v>#VALUE!</v>
      </c>
      <c r="YL105" s="306" t="e">
        <f>YK105-YI105</f>
        <v>#VALUE!</v>
      </c>
      <c r="YM105" s="826" t="e">
        <f>IF(YN101="Штраф 50%","",MID($XU$3,YI105,YL105))</f>
        <v>#VALUE!</v>
      </c>
      <c r="YN105" s="829"/>
      <c r="YS105" s="1464"/>
      <c r="YT105" s="830" t="s">
        <v>8249</v>
      </c>
      <c r="YU105" s="836" t="e">
        <f>SEARCH(" в размере",$XU$4,YW101)+LEN(" в размере")+1</f>
        <v>#VALUE!</v>
      </c>
      <c r="YV105" s="306" t="s">
        <v>8431</v>
      </c>
      <c r="YW105" s="306" t="e">
        <f>SEARCH(YV105,$XU$4,YU105)</f>
        <v>#VALUE!</v>
      </c>
      <c r="YX105" s="306" t="e">
        <f>YW105-YU105</f>
        <v>#VALUE!</v>
      </c>
      <c r="YY105" s="826" t="e">
        <f>IF(YZ101="Штраф 50%","",MID($XU$4,YU105,YX105))</f>
        <v>#VALUE!</v>
      </c>
      <c r="YZ105" s="829"/>
      <c r="ZE105" s="1464"/>
      <c r="ZF105" s="830" t="s">
        <v>8249</v>
      </c>
      <c r="ZG105" s="836" t="e">
        <f>SEARCH(" в размере",$XU$5,ZI101)+LEN(" в размере")+1</f>
        <v>#VALUE!</v>
      </c>
      <c r="ZH105" s="306" t="s">
        <v>8431</v>
      </c>
      <c r="ZI105" s="306" t="e">
        <f>SEARCH(ZH105,$XU$5,ZG105)</f>
        <v>#VALUE!</v>
      </c>
      <c r="ZJ105" s="306" t="e">
        <f>ZI105-ZG105</f>
        <v>#VALUE!</v>
      </c>
      <c r="ZK105" s="826" t="e">
        <f>IF(ZL101="Штраф 50%","",MID($XU$5,ZG105,ZJ105))</f>
        <v>#VALUE!</v>
      </c>
      <c r="ZL105" s="829"/>
      <c r="ZQ105" s="1464"/>
      <c r="ZR105" s="830" t="s">
        <v>8249</v>
      </c>
      <c r="ZS105" s="836" t="e">
        <f>SEARCH(" в размере",$XU$6,ZU101)+LEN(" в размере")+1</f>
        <v>#VALUE!</v>
      </c>
      <c r="ZT105" s="306" t="s">
        <v>8431</v>
      </c>
      <c r="ZU105" s="306" t="e">
        <f>SEARCH(ZT105,$XU$6,ZS105)</f>
        <v>#VALUE!</v>
      </c>
      <c r="ZV105" s="306" t="e">
        <f>ZU105-ZS105</f>
        <v>#VALUE!</v>
      </c>
      <c r="ZW105" s="826" t="e">
        <f>IF(ZX101="Штраф 50%","",MID($XU$6,ZS105,ZV105))</f>
        <v>#VALUE!</v>
      </c>
      <c r="ZX105" s="829"/>
      <c r="AAC105" s="1464"/>
      <c r="AAD105" s="830" t="s">
        <v>8249</v>
      </c>
      <c r="AAE105" s="836" t="e">
        <f>SEARCH(" в размере",$XU$7,AAG101)+LEN(" в размере")+1</f>
        <v>#VALUE!</v>
      </c>
      <c r="AAF105" s="306" t="s">
        <v>8431</v>
      </c>
      <c r="AAG105" s="306" t="e">
        <f>SEARCH(AAF105,$XU$7,AAE105)</f>
        <v>#VALUE!</v>
      </c>
      <c r="AAH105" s="306" t="e">
        <f>AAG105-AAE105</f>
        <v>#VALUE!</v>
      </c>
      <c r="AAI105" s="826" t="e">
        <f>IF(AAJ101="Штраф 50%","",MID($XU$7,AAE105,AAH105))</f>
        <v>#VALUE!</v>
      </c>
      <c r="AAJ105" s="829"/>
      <c r="AFE105" s="1464"/>
      <c r="AFF105" s="830" t="s">
        <v>8249</v>
      </c>
      <c r="AFG105" s="836" t="e">
        <f>SEARCH(" в размере",AFD$4,AFI101)+LEN(" в размере")+1</f>
        <v>#VALUE!</v>
      </c>
      <c r="AFH105" s="306" t="s">
        <v>8431</v>
      </c>
      <c r="AFI105" s="306" t="e">
        <f>SEARCH(AFH105,AFD$4,AFG105)</f>
        <v>#VALUE!</v>
      </c>
      <c r="AFJ105" s="306" t="e">
        <f>AFI105-AFG105</f>
        <v>#VALUE!</v>
      </c>
      <c r="AFK105" s="826" t="e">
        <f>IF(AFL101="Штраф 50%","",MID(AFD$4,AFG105,AFJ105))</f>
        <v>#VALUE!</v>
      </c>
      <c r="AFL105" s="829"/>
      <c r="AFQ105" s="1464"/>
      <c r="AFR105" s="830" t="s">
        <v>8249</v>
      </c>
      <c r="AFS105" s="836" t="e">
        <f>SEARCH(" в размере",AFP$4,AFU101)+LEN(" в размере")+1</f>
        <v>#VALUE!</v>
      </c>
      <c r="AFT105" s="306" t="s">
        <v>8431</v>
      </c>
      <c r="AFU105" s="306" t="e">
        <f>SEARCH(AFT105,AFP$4,AFS105)</f>
        <v>#VALUE!</v>
      </c>
      <c r="AFV105" s="306" t="e">
        <f>AFU105-AFS105</f>
        <v>#VALUE!</v>
      </c>
      <c r="AFW105" s="826" t="e">
        <f>IF(AFX101="Штраф 50%","",MID(AFP$4,AFS105,AFV105))</f>
        <v>#VALUE!</v>
      </c>
      <c r="AFX105" s="829"/>
      <c r="AGC105" s="1464"/>
      <c r="AGD105" s="830" t="s">
        <v>8249</v>
      </c>
      <c r="AGE105" s="836" t="e">
        <f>SEARCH(" в размере",AGB$4,AGG101)+LEN(" в размере")+1</f>
        <v>#VALUE!</v>
      </c>
      <c r="AGF105" s="306" t="s">
        <v>8431</v>
      </c>
      <c r="AGG105" s="306" t="e">
        <f>SEARCH(AGF105,AGB$4,AGE105)</f>
        <v>#VALUE!</v>
      </c>
      <c r="AGH105" s="306" t="e">
        <f>AGG105-AGE105</f>
        <v>#VALUE!</v>
      </c>
      <c r="AGI105" s="826" t="e">
        <f>IF(AGJ101="Штраф 50%","",MID(AGB$4,AGE105,AGH105))</f>
        <v>#VALUE!</v>
      </c>
      <c r="AGJ105" s="829"/>
      <c r="AGO105" s="1464"/>
      <c r="AGP105" s="830" t="s">
        <v>8249</v>
      </c>
      <c r="AGQ105" s="836" t="e">
        <f>SEARCH(" в размере",AGN$4,AGS101)+LEN(" в размере")+1</f>
        <v>#VALUE!</v>
      </c>
      <c r="AGR105" s="306" t="s">
        <v>8431</v>
      </c>
      <c r="AGS105" s="306" t="e">
        <f>SEARCH(AGR105,AGN$4,AGQ105)</f>
        <v>#VALUE!</v>
      </c>
      <c r="AGT105" s="306" t="e">
        <f>AGS105-AGQ105</f>
        <v>#VALUE!</v>
      </c>
      <c r="AGU105" s="826" t="e">
        <f>IF(AGV101="Штраф 50%","",MID(AGN$4,AGQ105,AGT105))</f>
        <v>#VALUE!</v>
      </c>
      <c r="AGV105" s="829"/>
      <c r="AHA105" s="1464"/>
      <c r="AHB105" s="830" t="s">
        <v>8249</v>
      </c>
      <c r="AHC105" s="836" t="e">
        <f>SEARCH(" в размере",AGZ$4,AHE101)+LEN(" в размере")+1</f>
        <v>#VALUE!</v>
      </c>
      <c r="AHD105" s="306" t="s">
        <v>8431</v>
      </c>
      <c r="AHE105" s="306" t="e">
        <f>SEARCH(AHD105,AGZ$4,AHC105)</f>
        <v>#VALUE!</v>
      </c>
      <c r="AHF105" s="306" t="e">
        <f>AHE105-AHC105</f>
        <v>#VALUE!</v>
      </c>
      <c r="AHG105" s="826" t="e">
        <f>IF(AHH101="Штраф 50%","",MID(AGZ$4,AHC105,AHF105))</f>
        <v>#VALUE!</v>
      </c>
      <c r="AHH105" s="829"/>
    </row>
    <row r="106" spans="2:893" x14ac:dyDescent="0.3">
      <c r="B106" s="116"/>
      <c r="C106" s="116"/>
      <c r="D106" s="116"/>
      <c r="E106" s="116"/>
      <c r="F106" s="116"/>
      <c r="G106" s="116"/>
      <c r="H106" s="116"/>
      <c r="I106" s="116"/>
      <c r="DT106" t="s">
        <v>9470</v>
      </c>
      <c r="DU106" s="821" t="s">
        <v>1702</v>
      </c>
      <c r="DV106" s="1464"/>
      <c r="DW106" s="306"/>
      <c r="DX106" s="306" t="e">
        <f>SEARCH(" ",$C$3,DZ105+1)+1</f>
        <v>#VALUE!</v>
      </c>
      <c r="DY106" s="306" t="s">
        <v>8432</v>
      </c>
      <c r="DZ106" s="306" t="e">
        <f>SEARCH(DY106,$C$3,DX106)</f>
        <v>#VALUE!</v>
      </c>
      <c r="EA106" s="306" t="e">
        <f>DZ106-DX106</f>
        <v>#VALUE!</v>
      </c>
      <c r="EB106" s="826" t="e">
        <f>IF(EC101="Штраф 50%","",MID($C$3,DX106,EA106))</f>
        <v>#VALUE!</v>
      </c>
      <c r="EC106" s="829"/>
      <c r="NK106" s="1464"/>
      <c r="NL106" s="306"/>
      <c r="NM106" s="836" t="e">
        <f>SEARCH(" ",NJ$4,NO105+1)+1</f>
        <v>#VALUE!</v>
      </c>
      <c r="NN106" s="306" t="s">
        <v>8432</v>
      </c>
      <c r="NO106" s="306" t="e">
        <f>SEARCH(NN106,NJ$4,NM106)</f>
        <v>#VALUE!</v>
      </c>
      <c r="NP106" s="306" t="e">
        <f>NO106-NM106</f>
        <v>#VALUE!</v>
      </c>
      <c r="NQ106" s="826" t="e">
        <f>IF(NR101="Штраф 50%","",MID(NJ$4,NM106,NP106))</f>
        <v>#VALUE!</v>
      </c>
      <c r="NR106" s="829"/>
      <c r="SY106" s="1464"/>
      <c r="SZ106" s="306"/>
      <c r="TA106" s="836" t="e">
        <f>SEARCH(" ",$SQ$3,TC105+1)+1</f>
        <v>#VALUE!</v>
      </c>
      <c r="TB106" s="306" t="s">
        <v>8432</v>
      </c>
      <c r="TC106" s="306" t="e">
        <f>SEARCH(TB106,$SQ$3,TA106)</f>
        <v>#VALUE!</v>
      </c>
      <c r="TD106" s="306" t="e">
        <f>TC106-TA106</f>
        <v>#VALUE!</v>
      </c>
      <c r="TE106" s="826" t="e">
        <f>IF(TF101="Штраф 50%","",MID($SQ$3,TA106,TD106))</f>
        <v>#VALUE!</v>
      </c>
      <c r="TF106" s="829"/>
      <c r="TK106" s="1004"/>
      <c r="TL106" s="884"/>
      <c r="TM106" s="884"/>
      <c r="TN106" s="884"/>
      <c r="TO106" s="884"/>
      <c r="TP106" s="884"/>
      <c r="TQ106" s="884"/>
      <c r="TR106" s="884"/>
      <c r="TW106" s="1464"/>
      <c r="TX106" s="306"/>
      <c r="TY106" s="836" t="e">
        <f>SEARCH(" ",$SQ$4,UA105+1)+1</f>
        <v>#VALUE!</v>
      </c>
      <c r="TZ106" s="306" t="s">
        <v>8432</v>
      </c>
      <c r="UA106" s="306" t="e">
        <f>SEARCH(TZ106,$SQ$4,TY106)</f>
        <v>#VALUE!</v>
      </c>
      <c r="UB106" s="306" t="e">
        <f>UA106-TY106</f>
        <v>#VALUE!</v>
      </c>
      <c r="UC106" s="826" t="e">
        <f>IF(UD101="Штраф 50%","",MID($SQ$4,TY106,UB106))</f>
        <v>#VALUE!</v>
      </c>
      <c r="UD106" s="829"/>
      <c r="UI106" s="1004"/>
      <c r="UJ106" s="884"/>
      <c r="UK106" s="884"/>
      <c r="UL106" s="884"/>
      <c r="UM106" s="884"/>
      <c r="UN106" s="884"/>
      <c r="UO106" s="884"/>
      <c r="UP106" s="884"/>
      <c r="UU106" s="1464"/>
      <c r="UV106" s="306"/>
      <c r="UW106" s="836" t="e">
        <f>SEARCH(" ",$SQ$5,UY105+1)+1</f>
        <v>#VALUE!</v>
      </c>
      <c r="UX106" s="306" t="s">
        <v>8432</v>
      </c>
      <c r="UY106" s="306" t="e">
        <f>SEARCH(UX106,$SQ$5,UW106)</f>
        <v>#VALUE!</v>
      </c>
      <c r="UZ106" s="306" t="e">
        <f>UY106-UW106</f>
        <v>#VALUE!</v>
      </c>
      <c r="VA106" s="826" t="e">
        <f>IF(VB101="Штраф 50%","",MID($SQ$5,UW106,UZ106))</f>
        <v>#VALUE!</v>
      </c>
      <c r="VB106" s="829"/>
      <c r="VG106" s="1004"/>
      <c r="VH106" s="884"/>
      <c r="VI106" s="884"/>
      <c r="VJ106" s="884"/>
      <c r="VK106" s="884"/>
      <c r="VL106" s="884"/>
      <c r="VM106" s="884"/>
      <c r="VN106" s="884"/>
      <c r="VS106" s="1464"/>
      <c r="VT106" s="306"/>
      <c r="VU106" s="836" t="e">
        <f>SEARCH(" ",$SQ$6,VW105+1)+1</f>
        <v>#VALUE!</v>
      </c>
      <c r="VV106" s="306" t="s">
        <v>8432</v>
      </c>
      <c r="VW106" s="306" t="e">
        <f>SEARCH(VV106,$SQ$6,VU106)</f>
        <v>#VALUE!</v>
      </c>
      <c r="VX106" s="306" t="e">
        <f>VW106-VU106</f>
        <v>#VALUE!</v>
      </c>
      <c r="VY106" s="826" t="e">
        <f>IF(VZ101="Штраф 50%","",MID($SQ$6,VU106,VX106))</f>
        <v>#VALUE!</v>
      </c>
      <c r="VZ106" s="829"/>
      <c r="WE106" s="1004"/>
      <c r="WF106" s="884"/>
      <c r="WG106" s="884"/>
      <c r="WH106" s="884"/>
      <c r="WI106" s="884"/>
      <c r="WJ106" s="884"/>
      <c r="WK106" s="884"/>
      <c r="WL106" s="884"/>
      <c r="WQ106" s="1464"/>
      <c r="WR106" s="306"/>
      <c r="WS106" s="836" t="e">
        <f>SEARCH(" ",$SQ$7,WU105+1)+1</f>
        <v>#VALUE!</v>
      </c>
      <c r="WT106" s="306" t="s">
        <v>8432</v>
      </c>
      <c r="WU106" s="306" t="e">
        <f>SEARCH(WT106,$SQ$7,WS106)</f>
        <v>#VALUE!</v>
      </c>
      <c r="WV106" s="306" t="e">
        <f>WU106-WS106</f>
        <v>#VALUE!</v>
      </c>
      <c r="WW106" s="826" t="e">
        <f>IF(WX101="Штраф 50%","",MID($SQ$7,WS106,WV106))</f>
        <v>#VALUE!</v>
      </c>
      <c r="WX106" s="829"/>
      <c r="XC106" s="1004"/>
      <c r="XD106" s="884"/>
      <c r="XE106" s="884"/>
      <c r="XF106" s="884"/>
      <c r="XG106" s="884"/>
      <c r="XH106" s="884"/>
      <c r="XI106" s="884"/>
      <c r="XJ106" s="884"/>
      <c r="YG106" s="1464"/>
      <c r="YH106" s="306"/>
      <c r="YI106" s="836" t="e">
        <f>SEARCH(" ",$XU$3,YK105+1)+1</f>
        <v>#VALUE!</v>
      </c>
      <c r="YJ106" s="306" t="s">
        <v>8432</v>
      </c>
      <c r="YK106" s="306" t="e">
        <f>SEARCH(YJ106,$XU$3,YI106)</f>
        <v>#VALUE!</v>
      </c>
      <c r="YL106" s="306" t="e">
        <f>YK106-YI106</f>
        <v>#VALUE!</v>
      </c>
      <c r="YM106" s="826" t="e">
        <f>IF(YN101="Штраф 50%","",MID($XU$3,YI106,YL106))</f>
        <v>#VALUE!</v>
      </c>
      <c r="YN106" s="829"/>
      <c r="YS106" s="1464"/>
      <c r="YT106" s="306"/>
      <c r="YU106" s="836" t="e">
        <f>SEARCH(" ",$XU$4,YW105+1)+1</f>
        <v>#VALUE!</v>
      </c>
      <c r="YV106" s="306" t="s">
        <v>8432</v>
      </c>
      <c r="YW106" s="306" t="e">
        <f>SEARCH(YV106,$XU$4,YU106)</f>
        <v>#VALUE!</v>
      </c>
      <c r="YX106" s="306" t="e">
        <f>YW106-YU106</f>
        <v>#VALUE!</v>
      </c>
      <c r="YY106" s="826" t="e">
        <f>IF(YZ101="Штраф 50%","",MID($XU$4,YU106,YX106))</f>
        <v>#VALUE!</v>
      </c>
      <c r="YZ106" s="829"/>
      <c r="ZE106" s="1464"/>
      <c r="ZF106" s="306"/>
      <c r="ZG106" s="836" t="e">
        <f>SEARCH(" ",$XU$5,ZI105+1)+1</f>
        <v>#VALUE!</v>
      </c>
      <c r="ZH106" s="306" t="s">
        <v>8432</v>
      </c>
      <c r="ZI106" s="306" t="e">
        <f>SEARCH(ZH106,$XU$5,ZG106)</f>
        <v>#VALUE!</v>
      </c>
      <c r="ZJ106" s="306" t="e">
        <f>ZI106-ZG106</f>
        <v>#VALUE!</v>
      </c>
      <c r="ZK106" s="826" t="e">
        <f>IF(ZL101="Штраф 50%","",MID($XU$5,ZG106,ZJ106))</f>
        <v>#VALUE!</v>
      </c>
      <c r="ZL106" s="829"/>
      <c r="ZQ106" s="1464"/>
      <c r="ZR106" s="306"/>
      <c r="ZS106" s="836" t="e">
        <f>SEARCH(" ",$XU$6,ZU105+1)+1</f>
        <v>#VALUE!</v>
      </c>
      <c r="ZT106" s="306" t="s">
        <v>8432</v>
      </c>
      <c r="ZU106" s="306" t="e">
        <f>SEARCH(ZT106,$XU$6,ZS106)</f>
        <v>#VALUE!</v>
      </c>
      <c r="ZV106" s="306" t="e">
        <f>ZU106-ZS106</f>
        <v>#VALUE!</v>
      </c>
      <c r="ZW106" s="826" t="e">
        <f>IF(ZX101="Штраф 50%","",MID($XU$6,ZS106,ZV106))</f>
        <v>#VALUE!</v>
      </c>
      <c r="ZX106" s="829"/>
      <c r="AAC106" s="1464"/>
      <c r="AAD106" s="306"/>
      <c r="AAE106" s="836" t="e">
        <f>SEARCH(" ",$XU$7,AAG105+1)+1</f>
        <v>#VALUE!</v>
      </c>
      <c r="AAF106" s="306" t="s">
        <v>8432</v>
      </c>
      <c r="AAG106" s="306" t="e">
        <f>SEARCH(AAF106,$XU$7,AAE106)</f>
        <v>#VALUE!</v>
      </c>
      <c r="AAH106" s="306" t="e">
        <f>AAG106-AAE106</f>
        <v>#VALUE!</v>
      </c>
      <c r="AAI106" s="826" t="e">
        <f>IF(AAJ101="Штраф 50%","",MID($XU$7,AAE106,AAH106))</f>
        <v>#VALUE!</v>
      </c>
      <c r="AAJ106" s="829"/>
      <c r="AFE106" s="1464"/>
      <c r="AFF106" s="306"/>
      <c r="AFG106" s="836" t="e">
        <f>SEARCH(" ",AFD$4,AFI105+1)+1</f>
        <v>#VALUE!</v>
      </c>
      <c r="AFH106" s="306" t="s">
        <v>8432</v>
      </c>
      <c r="AFI106" s="306" t="e">
        <f>SEARCH(AFH106,AFD$4,AFG106)</f>
        <v>#VALUE!</v>
      </c>
      <c r="AFJ106" s="306" t="e">
        <f>AFI106-AFG106</f>
        <v>#VALUE!</v>
      </c>
      <c r="AFK106" s="826" t="e">
        <f>IF(AFL101="Штраф 50%","",MID(AFD$4,AFG106,AFJ106))</f>
        <v>#VALUE!</v>
      </c>
      <c r="AFL106" s="829"/>
      <c r="AFQ106" s="1464"/>
      <c r="AFR106" s="306"/>
      <c r="AFS106" s="836" t="e">
        <f>SEARCH(" ",AFP$4,AFU105+1)+1</f>
        <v>#VALUE!</v>
      </c>
      <c r="AFT106" s="306" t="s">
        <v>8432</v>
      </c>
      <c r="AFU106" s="306" t="e">
        <f>SEARCH(AFT106,AFP$4,AFS106)</f>
        <v>#VALUE!</v>
      </c>
      <c r="AFV106" s="306" t="e">
        <f>AFU106-AFS106</f>
        <v>#VALUE!</v>
      </c>
      <c r="AFW106" s="826" t="e">
        <f>IF(AFX101="Штраф 50%","",MID(AFP$4,AFS106,AFV106))</f>
        <v>#VALUE!</v>
      </c>
      <c r="AFX106" s="829"/>
      <c r="AGC106" s="1464"/>
      <c r="AGD106" s="306"/>
      <c r="AGE106" s="836" t="e">
        <f>SEARCH(" ",AGB$4,AGG105+1)+1</f>
        <v>#VALUE!</v>
      </c>
      <c r="AGF106" s="306" t="s">
        <v>8432</v>
      </c>
      <c r="AGG106" s="306" t="e">
        <f>SEARCH(AGF106,AGB$4,AGE106)</f>
        <v>#VALUE!</v>
      </c>
      <c r="AGH106" s="306" t="e">
        <f>AGG106-AGE106</f>
        <v>#VALUE!</v>
      </c>
      <c r="AGI106" s="826" t="e">
        <f>IF(AGJ101="Штраф 50%","",MID(AGB$4,AGE106,AGH106))</f>
        <v>#VALUE!</v>
      </c>
      <c r="AGJ106" s="829"/>
      <c r="AGO106" s="1464"/>
      <c r="AGP106" s="306"/>
      <c r="AGQ106" s="836" t="e">
        <f>SEARCH(" ",AGN$4,AGS105+1)+1</f>
        <v>#VALUE!</v>
      </c>
      <c r="AGR106" s="306" t="s">
        <v>8432</v>
      </c>
      <c r="AGS106" s="306" t="e">
        <f>SEARCH(AGR106,AGN$4,AGQ106)</f>
        <v>#VALUE!</v>
      </c>
      <c r="AGT106" s="306" t="e">
        <f>AGS106-AGQ106</f>
        <v>#VALUE!</v>
      </c>
      <c r="AGU106" s="826" t="e">
        <f>IF(AGV101="Штраф 50%","",MID(AGN$4,AGQ106,AGT106))</f>
        <v>#VALUE!</v>
      </c>
      <c r="AGV106" s="829"/>
      <c r="AHA106" s="1464"/>
      <c r="AHB106" s="306"/>
      <c r="AHC106" s="836" t="e">
        <f>SEARCH(" ",AGZ$4,AHE105+1)+1</f>
        <v>#VALUE!</v>
      </c>
      <c r="AHD106" s="306" t="s">
        <v>8432</v>
      </c>
      <c r="AHE106" s="306" t="e">
        <f>SEARCH(AHD106,AGZ$4,AHC106)</f>
        <v>#VALUE!</v>
      </c>
      <c r="AHF106" s="306" t="e">
        <f>AHE106-AHC106</f>
        <v>#VALUE!</v>
      </c>
      <c r="AHG106" s="826" t="e">
        <f>IF(AHH101="Штраф 50%","",MID(AGZ$4,AHC106,AHF106))</f>
        <v>#VALUE!</v>
      </c>
      <c r="AHH106" s="829"/>
    </row>
    <row r="107" spans="2:893" ht="15" thickBot="1" x14ac:dyDescent="0.35">
      <c r="B107" s="116"/>
      <c r="C107" s="116"/>
      <c r="D107" s="116"/>
      <c r="E107" s="116"/>
      <c r="F107" s="116"/>
      <c r="G107" s="116"/>
      <c r="H107" s="116"/>
      <c r="I107" s="116"/>
      <c r="DT107" t="s">
        <v>9471</v>
      </c>
      <c r="DU107" s="821" t="s">
        <v>1118</v>
      </c>
      <c r="DV107" s="1465"/>
      <c r="DW107" s="583"/>
      <c r="DX107" s="583"/>
      <c r="DY107" s="583"/>
      <c r="DZ107" s="583"/>
      <c r="EA107" s="583"/>
      <c r="EB107" s="831" t="e">
        <f>VALUE(CONCATENATE(EB105,",",EB106))</f>
        <v>#VALUE!</v>
      </c>
      <c r="EC107" s="832" t="str">
        <f>IF(EC101="Штраф 50%","",IF(OR(DY104=" в размере",DY101=" в размере"),EB107,""))</f>
        <v/>
      </c>
      <c r="NK107" s="1465"/>
      <c r="NL107" s="583"/>
      <c r="NM107" s="837"/>
      <c r="NN107" s="583"/>
      <c r="NO107" s="583"/>
      <c r="NP107" s="583"/>
      <c r="NQ107" s="831" t="e">
        <f>VALUE(CONCATENATE(NQ105,",",NQ106))</f>
        <v>#VALUE!</v>
      </c>
      <c r="NR107" s="832" t="str">
        <f>IF(NR101="Штраф 50%","",IF(OR(NN104=" в размере",NN101=" в размере"),NQ107,""))</f>
        <v/>
      </c>
      <c r="SY107" s="1465"/>
      <c r="SZ107" s="583"/>
      <c r="TA107" s="837"/>
      <c r="TB107" s="583"/>
      <c r="TC107" s="583"/>
      <c r="TD107" s="583"/>
      <c r="TE107" s="831" t="e">
        <f>VALUE(CONCATENATE(TE105,",",TE106))</f>
        <v>#VALUE!</v>
      </c>
      <c r="TF107" s="832" t="str">
        <f>IF(OR(TF101="Штраф 50%",TF101=""),"",TE107)</f>
        <v/>
      </c>
      <c r="TK107" s="1004"/>
      <c r="TL107" s="884"/>
      <c r="TM107" s="884"/>
      <c r="TN107" s="884"/>
      <c r="TO107" s="884"/>
      <c r="TP107" s="884"/>
      <c r="TQ107" s="884"/>
      <c r="TR107" s="884"/>
      <c r="TW107" s="1465"/>
      <c r="TX107" s="583"/>
      <c r="TY107" s="837"/>
      <c r="TZ107" s="583"/>
      <c r="UA107" s="583"/>
      <c r="UB107" s="583"/>
      <c r="UC107" s="831" t="e">
        <f>VALUE(CONCATENATE(UC105,",",UC106))</f>
        <v>#VALUE!</v>
      </c>
      <c r="UD107" s="832" t="str">
        <f>IF(OR(UD101="Штраф 50%",UD101=""),"",UC107)</f>
        <v/>
      </c>
      <c r="UI107" s="1004"/>
      <c r="UJ107" s="884"/>
      <c r="UK107" s="884"/>
      <c r="UL107" s="884"/>
      <c r="UM107" s="884"/>
      <c r="UN107" s="884"/>
      <c r="UO107" s="884"/>
      <c r="UP107" s="884"/>
      <c r="UU107" s="1465"/>
      <c r="UV107" s="583"/>
      <c r="UW107" s="837"/>
      <c r="UX107" s="583"/>
      <c r="UY107" s="583"/>
      <c r="UZ107" s="583"/>
      <c r="VA107" s="831" t="e">
        <f>VALUE(CONCATENATE(VA105,",",VA106))</f>
        <v>#VALUE!</v>
      </c>
      <c r="VB107" s="832" t="str">
        <f>IF(OR(VB101="Штраф 50%",VB101=""),"",VA107)</f>
        <v/>
      </c>
      <c r="VG107" s="1004"/>
      <c r="VH107" s="884"/>
      <c r="VI107" s="884"/>
      <c r="VJ107" s="884"/>
      <c r="VK107" s="884"/>
      <c r="VL107" s="884"/>
      <c r="VM107" s="884"/>
      <c r="VN107" s="884"/>
      <c r="VS107" s="1465"/>
      <c r="VT107" s="583"/>
      <c r="VU107" s="837"/>
      <c r="VV107" s="583"/>
      <c r="VW107" s="583"/>
      <c r="VX107" s="583"/>
      <c r="VY107" s="831" t="e">
        <f>VALUE(CONCATENATE(VY105,",",VY106))</f>
        <v>#VALUE!</v>
      </c>
      <c r="VZ107" s="832" t="str">
        <f>IF(OR(VZ101="Штраф 50%",VZ101=""),"",VY107)</f>
        <v/>
      </c>
      <c r="WE107" s="1004"/>
      <c r="WF107" s="884"/>
      <c r="WG107" s="884"/>
      <c r="WH107" s="884"/>
      <c r="WI107" s="884"/>
      <c r="WJ107" s="884"/>
      <c r="WK107" s="884"/>
      <c r="WL107" s="884"/>
      <c r="WQ107" s="1465"/>
      <c r="WR107" s="583"/>
      <c r="WS107" s="837"/>
      <c r="WT107" s="583"/>
      <c r="WU107" s="583"/>
      <c r="WV107" s="583"/>
      <c r="WW107" s="831" t="e">
        <f>VALUE(CONCATENATE(WW105,",",WW106))</f>
        <v>#VALUE!</v>
      </c>
      <c r="WX107" s="832" t="str">
        <f>IF(OR(WX101="Штраф 50%",WX101=""),"",WW107)</f>
        <v/>
      </c>
      <c r="XC107" s="1004"/>
      <c r="XD107" s="884"/>
      <c r="XE107" s="884"/>
      <c r="XF107" s="884"/>
      <c r="XG107" s="884"/>
      <c r="XH107" s="884"/>
      <c r="XI107" s="884"/>
      <c r="XJ107" s="884"/>
      <c r="YG107" s="1465"/>
      <c r="YH107" s="583"/>
      <c r="YI107" s="837"/>
      <c r="YJ107" s="583"/>
      <c r="YK107" s="583"/>
      <c r="YL107" s="583"/>
      <c r="YM107" s="831" t="e">
        <f>VALUE(CONCATENATE(YM105,",",YM106))</f>
        <v>#VALUE!</v>
      </c>
      <c r="YN107" s="832" t="str">
        <f>IF(YN101="Штраф 50%","",IF(OR(YJ104=" в размере",YJ101=" в размере"),YM107,""))</f>
        <v/>
      </c>
      <c r="YS107" s="1465"/>
      <c r="YT107" s="583"/>
      <c r="YU107" s="837"/>
      <c r="YV107" s="583"/>
      <c r="YW107" s="583"/>
      <c r="YX107" s="583"/>
      <c r="YY107" s="831" t="e">
        <f>VALUE(CONCATENATE(YY105,",",YY106))</f>
        <v>#VALUE!</v>
      </c>
      <c r="YZ107" s="832" t="str">
        <f>IF(YZ101="Штраф 50%","",IF(OR(YV104=" в размере",YV101=" в размере"),YY107,""))</f>
        <v/>
      </c>
      <c r="ZE107" s="1465"/>
      <c r="ZF107" s="583"/>
      <c r="ZG107" s="837"/>
      <c r="ZH107" s="583"/>
      <c r="ZI107" s="583"/>
      <c r="ZJ107" s="583"/>
      <c r="ZK107" s="831" t="e">
        <f>VALUE(CONCATENATE(ZK105,",",ZK106))</f>
        <v>#VALUE!</v>
      </c>
      <c r="ZL107" s="832" t="str">
        <f>IF(ZL101="Штраф 50%","",IF(OR(ZH104=" в размере",ZH101=" в размере"),ZK107,""))</f>
        <v/>
      </c>
      <c r="ZQ107" s="1465"/>
      <c r="ZR107" s="583"/>
      <c r="ZS107" s="837"/>
      <c r="ZT107" s="583"/>
      <c r="ZU107" s="583"/>
      <c r="ZV107" s="583"/>
      <c r="ZW107" s="831" t="e">
        <f>VALUE(CONCATENATE(ZW105,",",ZW106))</f>
        <v>#VALUE!</v>
      </c>
      <c r="ZX107" s="832" t="str">
        <f>IF(ZX101="Штраф 50%","",IF(OR(ZT104=" в размере",ZT101=" в размере"),ZW107,""))</f>
        <v/>
      </c>
      <c r="AAC107" s="1465"/>
      <c r="AAD107" s="583"/>
      <c r="AAE107" s="837"/>
      <c r="AAF107" s="583"/>
      <c r="AAG107" s="583"/>
      <c r="AAH107" s="583"/>
      <c r="AAI107" s="831" t="e">
        <f>VALUE(CONCATENATE(AAI105,",",AAI106))</f>
        <v>#VALUE!</v>
      </c>
      <c r="AAJ107" s="832" t="str">
        <f>IF(AAJ101="Штраф 50%","",IF(OR(AAF104=" в размере",AAF101=" в размере"),AAI107,""))</f>
        <v/>
      </c>
      <c r="AFE107" s="1465"/>
      <c r="AFF107" s="583"/>
      <c r="AFG107" s="837"/>
      <c r="AFH107" s="583"/>
      <c r="AFI107" s="583"/>
      <c r="AFJ107" s="583"/>
      <c r="AFK107" s="831" t="e">
        <f>VALUE(CONCATENATE(AFK105,",",AFK106))</f>
        <v>#VALUE!</v>
      </c>
      <c r="AFL107" s="832" t="str">
        <f>IF(AFL101="Штраф 50%","",IF(OR(AFH104=" в размере",AFH101=" в размере"),AFK107,""))</f>
        <v/>
      </c>
      <c r="AFQ107" s="1465"/>
      <c r="AFR107" s="583"/>
      <c r="AFS107" s="837"/>
      <c r="AFT107" s="583"/>
      <c r="AFU107" s="583"/>
      <c r="AFV107" s="583"/>
      <c r="AFW107" s="831" t="e">
        <f>VALUE(CONCATENATE(AFW105,",",AFW106))</f>
        <v>#VALUE!</v>
      </c>
      <c r="AFX107" s="832" t="str">
        <f>IF(AFX101="Штраф 50%","",IF(OR(AFT104=" в размере",AFT101=" в размере"),AFW107,""))</f>
        <v/>
      </c>
      <c r="AGC107" s="1465"/>
      <c r="AGD107" s="583"/>
      <c r="AGE107" s="837"/>
      <c r="AGF107" s="583"/>
      <c r="AGG107" s="583"/>
      <c r="AGH107" s="583"/>
      <c r="AGI107" s="831" t="e">
        <f>VALUE(CONCATENATE(AGI105,",",AGI106))</f>
        <v>#VALUE!</v>
      </c>
      <c r="AGJ107" s="832" t="str">
        <f>IF(AGJ101="Штраф 50%","",IF(OR(AGF104=" в размере",AGF101=" в размере"),AGI107,""))</f>
        <v/>
      </c>
      <c r="AGO107" s="1465"/>
      <c r="AGP107" s="583"/>
      <c r="AGQ107" s="837"/>
      <c r="AGR107" s="583"/>
      <c r="AGS107" s="583"/>
      <c r="AGT107" s="583"/>
      <c r="AGU107" s="831" t="e">
        <f>VALUE(CONCATENATE(AGU105,",",AGU106))</f>
        <v>#VALUE!</v>
      </c>
      <c r="AGV107" s="832" t="str">
        <f>IF(AGV101="Штраф 50%","",IF(OR(AGR104=" в размере",AGR101=" в размере"),AGU107,""))</f>
        <v/>
      </c>
      <c r="AHA107" s="1465"/>
      <c r="AHB107" s="583"/>
      <c r="AHC107" s="837"/>
      <c r="AHD107" s="583"/>
      <c r="AHE107" s="583"/>
      <c r="AHF107" s="583"/>
      <c r="AHG107" s="831" t="e">
        <f>VALUE(CONCATENATE(AHG105,",",AHG106))</f>
        <v>#VALUE!</v>
      </c>
      <c r="AHH107" s="832" t="str">
        <f>IF(AHH101="Штраф 50%","",IF(OR(AHD104=" в размере",AHD101=" в размере"),AHG107,""))</f>
        <v/>
      </c>
    </row>
    <row r="108" spans="2:893" ht="15" thickTop="1" x14ac:dyDescent="0.3">
      <c r="B108" s="116"/>
      <c r="C108" s="116"/>
      <c r="D108" s="116"/>
      <c r="E108" s="116"/>
      <c r="F108" s="116"/>
      <c r="G108" s="116"/>
      <c r="H108" s="116"/>
      <c r="I108" s="116"/>
      <c r="DT108" t="s">
        <v>9479</v>
      </c>
      <c r="DU108" s="821" t="s">
        <v>1116</v>
      </c>
      <c r="TK108" s="1004"/>
      <c r="TL108" s="884"/>
      <c r="TM108" s="884"/>
      <c r="TN108" s="884"/>
      <c r="TO108" s="884"/>
      <c r="TP108" s="884"/>
      <c r="TQ108" s="884"/>
      <c r="TR108" s="884"/>
      <c r="UI108" s="1004"/>
      <c r="UJ108" s="884"/>
      <c r="UK108" s="884"/>
      <c r="UL108" s="884"/>
      <c r="UM108" s="884"/>
      <c r="UN108" s="884"/>
      <c r="UO108" s="884"/>
      <c r="UP108" s="884"/>
      <c r="VG108" s="1004"/>
      <c r="VH108" s="884"/>
      <c r="VI108" s="884"/>
      <c r="VJ108" s="884"/>
      <c r="VK108" s="884"/>
      <c r="VL108" s="884"/>
      <c r="VM108" s="884"/>
      <c r="VN108" s="884"/>
      <c r="WE108" s="1004"/>
      <c r="WF108" s="884"/>
      <c r="WG108" s="884"/>
      <c r="WH108" s="884"/>
      <c r="WI108" s="884"/>
      <c r="WJ108" s="884"/>
      <c r="WK108" s="884"/>
      <c r="WL108" s="884"/>
      <c r="XC108" s="1004"/>
      <c r="XD108" s="884"/>
      <c r="XE108" s="884"/>
      <c r="XF108" s="884"/>
      <c r="XG108" s="884"/>
      <c r="XH108" s="884"/>
      <c r="XI108" s="884"/>
      <c r="XJ108" s="884"/>
    </row>
    <row r="109" spans="2:893" x14ac:dyDescent="0.3">
      <c r="B109" s="116"/>
      <c r="C109" s="116"/>
      <c r="D109" s="116"/>
      <c r="E109" s="116"/>
      <c r="F109" s="116"/>
      <c r="G109" s="116"/>
      <c r="H109" s="116"/>
      <c r="I109" s="116"/>
      <c r="DT109" t="s">
        <v>9481</v>
      </c>
      <c r="DU109" s="821" t="s">
        <v>1116</v>
      </c>
      <c r="TK109" s="1004"/>
      <c r="TL109" s="884"/>
      <c r="TM109" s="884"/>
      <c r="TN109" s="884"/>
      <c r="TO109" s="884"/>
      <c r="TP109" s="884"/>
      <c r="TQ109" s="884"/>
      <c r="TR109" s="884"/>
      <c r="UI109" s="1004"/>
      <c r="UJ109" s="884"/>
      <c r="UK109" s="884"/>
      <c r="UL109" s="884"/>
      <c r="UM109" s="884"/>
      <c r="UN109" s="884"/>
      <c r="UO109" s="884"/>
      <c r="UP109" s="884"/>
      <c r="VG109" s="1004"/>
      <c r="VH109" s="884"/>
      <c r="VI109" s="884"/>
      <c r="VJ109" s="884"/>
      <c r="VK109" s="884"/>
      <c r="VL109" s="884"/>
      <c r="VM109" s="884"/>
      <c r="VN109" s="884"/>
      <c r="WE109" s="1004"/>
      <c r="WF109" s="884"/>
      <c r="WG109" s="884"/>
      <c r="WH109" s="884"/>
      <c r="WI109" s="884"/>
      <c r="WJ109" s="884"/>
      <c r="WK109" s="884"/>
      <c r="WL109" s="884"/>
      <c r="XC109" s="1004"/>
      <c r="XD109" s="884"/>
      <c r="XE109" s="884"/>
      <c r="XF109" s="884"/>
      <c r="XG109" s="884"/>
      <c r="XH109" s="884"/>
      <c r="XI109" s="884"/>
      <c r="XJ109" s="884"/>
    </row>
    <row r="110" spans="2:893" x14ac:dyDescent="0.3">
      <c r="B110" s="116"/>
      <c r="C110" s="116"/>
      <c r="D110" s="116"/>
      <c r="E110" s="116"/>
      <c r="F110" s="116"/>
      <c r="G110" s="116"/>
      <c r="H110" s="116"/>
      <c r="I110" s="116"/>
      <c r="DT110" t="s">
        <v>9483</v>
      </c>
      <c r="DU110" t="s">
        <v>1119</v>
      </c>
      <c r="TK110" s="884"/>
      <c r="TL110" s="884"/>
      <c r="TM110" s="884"/>
      <c r="TN110" s="884"/>
      <c r="TO110" s="884"/>
      <c r="TP110" s="884"/>
      <c r="TQ110" s="884"/>
      <c r="TR110" s="884"/>
      <c r="UI110" s="884"/>
      <c r="UJ110" s="884"/>
      <c r="UK110" s="884"/>
      <c r="UL110" s="884"/>
      <c r="UM110" s="884"/>
      <c r="UN110" s="884"/>
      <c r="UO110" s="884"/>
      <c r="UP110" s="884"/>
      <c r="VG110" s="884"/>
      <c r="VH110" s="884"/>
      <c r="VI110" s="884"/>
      <c r="VJ110" s="884"/>
      <c r="VK110" s="884"/>
      <c r="VL110" s="884"/>
      <c r="VM110" s="884"/>
      <c r="VN110" s="884"/>
      <c r="WE110" s="884"/>
      <c r="WF110" s="884"/>
      <c r="WG110" s="884"/>
      <c r="WH110" s="884"/>
      <c r="WI110" s="884"/>
      <c r="WJ110" s="884"/>
      <c r="WK110" s="884"/>
      <c r="WL110" s="884"/>
      <c r="XC110" s="884"/>
      <c r="XD110" s="884"/>
      <c r="XE110" s="884"/>
      <c r="XF110" s="884"/>
      <c r="XG110" s="884"/>
      <c r="XH110" s="884"/>
      <c r="XI110" s="884"/>
      <c r="XJ110" s="884"/>
    </row>
    <row r="111" spans="2:893" x14ac:dyDescent="0.3">
      <c r="B111" s="116"/>
      <c r="C111" s="116"/>
      <c r="D111" s="116"/>
      <c r="E111" s="116"/>
      <c r="F111" s="116"/>
      <c r="G111" s="116"/>
      <c r="H111" s="116"/>
      <c r="I111" s="116"/>
      <c r="DT111" t="s">
        <v>9484</v>
      </c>
      <c r="DU111" s="821" t="s">
        <v>1116</v>
      </c>
      <c r="TK111" s="884"/>
      <c r="TL111" s="884"/>
      <c r="TM111" s="884"/>
      <c r="TN111" s="884"/>
      <c r="TO111" s="884"/>
      <c r="TP111" s="884"/>
      <c r="TQ111" s="884"/>
      <c r="TR111" s="884"/>
      <c r="UI111" s="884"/>
      <c r="UJ111" s="884"/>
      <c r="UK111" s="884"/>
      <c r="UL111" s="884"/>
      <c r="UM111" s="884"/>
      <c r="UN111" s="884"/>
      <c r="UO111" s="884"/>
      <c r="UP111" s="884"/>
      <c r="VG111" s="884"/>
      <c r="VH111" s="884"/>
      <c r="VI111" s="884"/>
      <c r="VJ111" s="884"/>
      <c r="VK111" s="884"/>
      <c r="VL111" s="884"/>
      <c r="VM111" s="884"/>
      <c r="VN111" s="884"/>
      <c r="WE111" s="884"/>
      <c r="WF111" s="884"/>
      <c r="WG111" s="884"/>
      <c r="WH111" s="884"/>
      <c r="WI111" s="884"/>
      <c r="WJ111" s="884"/>
      <c r="WK111" s="884"/>
      <c r="WL111" s="884"/>
      <c r="XC111" s="884"/>
      <c r="XD111" s="884"/>
      <c r="XE111" s="884"/>
      <c r="XF111" s="884"/>
      <c r="XG111" s="884"/>
      <c r="XH111" s="884"/>
      <c r="XI111" s="884"/>
      <c r="XJ111" s="884"/>
    </row>
    <row r="112" spans="2:893" x14ac:dyDescent="0.3">
      <c r="B112" s="116"/>
      <c r="C112" s="116"/>
      <c r="D112" s="116"/>
      <c r="E112" s="116"/>
      <c r="F112" s="116"/>
      <c r="G112" s="116"/>
      <c r="H112" s="116"/>
      <c r="I112" s="116"/>
      <c r="DT112" t="s">
        <v>9485</v>
      </c>
      <c r="DU112" t="s">
        <v>1119</v>
      </c>
    </row>
    <row r="113" spans="2:125" x14ac:dyDescent="0.3">
      <c r="B113" s="116"/>
      <c r="C113" s="116"/>
      <c r="D113" s="116"/>
      <c r="E113" s="116"/>
      <c r="F113" s="116"/>
      <c r="G113" s="116"/>
      <c r="H113" s="116"/>
      <c r="I113" s="116"/>
      <c r="DT113" t="s">
        <v>9500</v>
      </c>
      <c r="DU113" s="821" t="s">
        <v>456</v>
      </c>
    </row>
    <row r="114" spans="2:125" x14ac:dyDescent="0.3">
      <c r="B114" s="116"/>
      <c r="C114" s="116"/>
      <c r="D114" s="116"/>
      <c r="E114" s="116"/>
      <c r="F114" s="116"/>
      <c r="G114" s="116"/>
      <c r="H114" s="116"/>
      <c r="I114" s="116"/>
      <c r="DT114" t="s">
        <v>9502</v>
      </c>
      <c r="DU114" s="821" t="s">
        <v>1246</v>
      </c>
    </row>
    <row r="115" spans="2:125" x14ac:dyDescent="0.3">
      <c r="B115" s="116"/>
      <c r="C115" s="116"/>
      <c r="D115" s="116"/>
      <c r="E115" s="116"/>
      <c r="F115" s="116"/>
      <c r="G115" s="116"/>
      <c r="H115" s="116"/>
      <c r="I115" s="116"/>
      <c r="DT115" t="s">
        <v>9503</v>
      </c>
      <c r="DU115" s="821" t="s">
        <v>1116</v>
      </c>
    </row>
    <row r="116" spans="2:125" x14ac:dyDescent="0.3">
      <c r="B116" s="116"/>
      <c r="C116" s="116"/>
      <c r="D116" s="116"/>
      <c r="E116" s="116"/>
      <c r="F116" s="116"/>
      <c r="G116" s="116"/>
      <c r="H116" s="116"/>
      <c r="I116" s="116"/>
      <c r="DT116" t="s">
        <v>9504</v>
      </c>
      <c r="DU116" s="821" t="s">
        <v>9505</v>
      </c>
    </row>
    <row r="117" spans="2:125" x14ac:dyDescent="0.3">
      <c r="B117" s="116"/>
      <c r="C117" s="116"/>
      <c r="D117" s="116"/>
      <c r="E117" s="116"/>
      <c r="F117" s="116"/>
      <c r="G117" s="116"/>
      <c r="H117" s="116"/>
      <c r="I117" s="116"/>
      <c r="DT117" t="s">
        <v>9507</v>
      </c>
      <c r="DU117" s="821" t="s">
        <v>1248</v>
      </c>
    </row>
    <row r="118" spans="2:125" x14ac:dyDescent="0.3">
      <c r="B118" s="116"/>
      <c r="C118" s="116"/>
      <c r="D118" s="116"/>
      <c r="E118" s="116"/>
      <c r="F118" s="116"/>
      <c r="G118" s="116"/>
      <c r="H118" s="116"/>
      <c r="I118" s="116"/>
      <c r="DT118" t="s">
        <v>9509</v>
      </c>
      <c r="DU118" s="821" t="s">
        <v>1716</v>
      </c>
    </row>
    <row r="119" spans="2:125" x14ac:dyDescent="0.3">
      <c r="B119" s="116"/>
      <c r="C119" s="116"/>
      <c r="D119" s="116"/>
      <c r="E119" s="116"/>
      <c r="F119" s="116"/>
      <c r="G119" s="116"/>
      <c r="H119" s="116"/>
      <c r="I119" s="116"/>
      <c r="DT119" t="s">
        <v>9510</v>
      </c>
      <c r="DU119" s="821" t="s">
        <v>456</v>
      </c>
    </row>
    <row r="120" spans="2:125" x14ac:dyDescent="0.3">
      <c r="B120" s="116"/>
      <c r="C120" s="116"/>
      <c r="D120" s="116"/>
      <c r="E120" s="116"/>
      <c r="F120" s="116"/>
      <c r="G120" s="116"/>
      <c r="H120" s="116"/>
      <c r="I120" s="116"/>
      <c r="DT120" t="s">
        <v>9563</v>
      </c>
      <c r="DU120" s="821" t="s">
        <v>1118</v>
      </c>
    </row>
    <row r="121" spans="2:125" x14ac:dyDescent="0.3">
      <c r="B121" s="116"/>
      <c r="C121" s="116"/>
      <c r="D121" s="116"/>
      <c r="E121" s="116"/>
      <c r="F121" s="116"/>
      <c r="G121" s="116"/>
      <c r="H121" s="116"/>
      <c r="I121" s="116"/>
      <c r="DT121" t="s">
        <v>9565</v>
      </c>
      <c r="DU121" s="821" t="s">
        <v>456</v>
      </c>
    </row>
    <row r="122" spans="2:125" x14ac:dyDescent="0.3">
      <c r="B122" s="116"/>
      <c r="C122" s="116"/>
      <c r="D122" s="116"/>
      <c r="E122" s="116"/>
      <c r="F122" s="116"/>
      <c r="G122" s="116"/>
      <c r="H122" s="116"/>
      <c r="I122" s="116"/>
      <c r="DT122" t="s">
        <v>9566</v>
      </c>
      <c r="DU122" s="821" t="s">
        <v>1248</v>
      </c>
    </row>
    <row r="123" spans="2:125" x14ac:dyDescent="0.3">
      <c r="B123" s="116"/>
      <c r="C123" s="116"/>
      <c r="D123" s="116"/>
      <c r="E123" s="116"/>
      <c r="F123" s="116"/>
      <c r="G123" s="116"/>
      <c r="H123" s="116"/>
      <c r="I123" s="116"/>
      <c r="DT123" t="s">
        <v>9567</v>
      </c>
      <c r="DU123" s="821" t="s">
        <v>1246</v>
      </c>
    </row>
    <row r="124" spans="2:125" x14ac:dyDescent="0.3">
      <c r="B124" s="116"/>
      <c r="C124" s="116"/>
      <c r="D124" s="116"/>
      <c r="E124" s="116"/>
      <c r="F124" s="116"/>
      <c r="G124" s="116"/>
      <c r="H124" s="116"/>
      <c r="I124" s="116"/>
      <c r="DT124" s="5" t="s">
        <v>9502</v>
      </c>
      <c r="DU124" s="821" t="s">
        <v>1246</v>
      </c>
    </row>
    <row r="125" spans="2:125" x14ac:dyDescent="0.3">
      <c r="B125" s="116"/>
      <c r="C125" s="116"/>
      <c r="D125" s="116"/>
      <c r="E125" s="116"/>
      <c r="F125" s="116"/>
      <c r="G125" s="116"/>
      <c r="H125" s="116"/>
      <c r="I125" s="116"/>
      <c r="DT125" t="s">
        <v>9576</v>
      </c>
      <c r="DU125" s="821" t="s">
        <v>4395</v>
      </c>
    </row>
    <row r="126" spans="2:125" x14ac:dyDescent="0.3">
      <c r="B126" s="116"/>
      <c r="C126" s="116"/>
      <c r="D126" s="116"/>
      <c r="E126" s="116"/>
      <c r="F126" s="116"/>
      <c r="G126" s="116"/>
      <c r="H126" s="116"/>
      <c r="I126" s="116"/>
      <c r="DT126" t="s">
        <v>9605</v>
      </c>
      <c r="DU126" s="821" t="s">
        <v>456</v>
      </c>
    </row>
    <row r="127" spans="2:125" x14ac:dyDescent="0.3">
      <c r="B127" s="116"/>
      <c r="C127" s="116"/>
      <c r="D127" s="116"/>
      <c r="E127" s="116"/>
      <c r="F127" s="116"/>
      <c r="G127" s="116"/>
      <c r="H127" s="116"/>
      <c r="I127" s="116"/>
      <c r="DT127" t="s">
        <v>9607</v>
      </c>
      <c r="DU127" s="821" t="s">
        <v>9608</v>
      </c>
    </row>
    <row r="128" spans="2:125" x14ac:dyDescent="0.3">
      <c r="B128" s="116"/>
      <c r="C128" s="116"/>
      <c r="D128" s="116"/>
      <c r="E128" s="116"/>
      <c r="F128" s="116"/>
      <c r="G128" s="116"/>
      <c r="H128" s="116"/>
      <c r="I128" s="116"/>
      <c r="DT128" t="s">
        <v>9618</v>
      </c>
      <c r="DU128" s="821" t="s">
        <v>1246</v>
      </c>
    </row>
    <row r="129" spans="2:125" x14ac:dyDescent="0.3">
      <c r="B129" s="116"/>
      <c r="C129" s="116"/>
      <c r="D129" s="116"/>
      <c r="E129" s="116"/>
      <c r="F129" s="116"/>
      <c r="G129" s="116"/>
      <c r="H129" s="116"/>
      <c r="I129" s="116"/>
      <c r="DT129" t="s">
        <v>9641</v>
      </c>
      <c r="DU129" s="821" t="s">
        <v>604</v>
      </c>
    </row>
    <row r="130" spans="2:125" x14ac:dyDescent="0.3">
      <c r="B130" s="116"/>
      <c r="C130" s="116"/>
      <c r="D130" s="116"/>
      <c r="E130" s="116"/>
      <c r="F130" s="116"/>
      <c r="G130" s="116"/>
      <c r="H130" s="116"/>
      <c r="I130" s="116"/>
      <c r="DT130" t="s">
        <v>9644</v>
      </c>
      <c r="DU130" s="821" t="s">
        <v>604</v>
      </c>
    </row>
    <row r="131" spans="2:125" x14ac:dyDescent="0.3">
      <c r="B131" s="116"/>
      <c r="C131" s="116"/>
      <c r="D131" s="116"/>
      <c r="E131" s="116"/>
      <c r="F131" s="116"/>
      <c r="G131" s="116"/>
      <c r="H131" s="116"/>
      <c r="I131" s="116"/>
      <c r="DT131" t="s">
        <v>9811</v>
      </c>
      <c r="DU131" s="821" t="s">
        <v>3037</v>
      </c>
    </row>
    <row r="132" spans="2:125" x14ac:dyDescent="0.3">
      <c r="B132" s="116"/>
      <c r="C132" s="116"/>
      <c r="D132" s="116"/>
      <c r="E132" s="116"/>
      <c r="F132" s="116"/>
      <c r="G132" s="116"/>
      <c r="H132" s="116"/>
      <c r="I132" s="116"/>
      <c r="DT132" t="s">
        <v>9819</v>
      </c>
      <c r="DU132" s="821" t="s">
        <v>1117</v>
      </c>
    </row>
    <row r="133" spans="2:125" x14ac:dyDescent="0.3">
      <c r="B133" s="116"/>
      <c r="C133" s="116"/>
      <c r="D133" s="116"/>
      <c r="E133" s="116"/>
      <c r="F133" s="116"/>
      <c r="G133" s="116"/>
      <c r="H133" s="116"/>
      <c r="I133" s="116"/>
      <c r="DT133" t="s">
        <v>9827</v>
      </c>
      <c r="DU133" s="821" t="s">
        <v>1117</v>
      </c>
    </row>
    <row r="134" spans="2:125" x14ac:dyDescent="0.3">
      <c r="B134" s="116"/>
      <c r="C134" s="116"/>
      <c r="D134" s="116"/>
      <c r="E134" s="116"/>
      <c r="F134" s="116"/>
      <c r="G134" s="116"/>
      <c r="H134" s="116"/>
      <c r="I134" s="116"/>
      <c r="DT134" t="s">
        <v>9843</v>
      </c>
      <c r="DU134" s="821" t="s">
        <v>1117</v>
      </c>
    </row>
    <row r="135" spans="2:125" x14ac:dyDescent="0.3">
      <c r="B135" s="116"/>
      <c r="C135" s="116"/>
      <c r="D135" s="116"/>
      <c r="E135" s="116"/>
      <c r="F135" s="116"/>
      <c r="G135" s="116"/>
      <c r="H135" s="116"/>
      <c r="I135" s="116"/>
      <c r="DT135" t="s">
        <v>9863</v>
      </c>
      <c r="DU135" s="821" t="s">
        <v>8114</v>
      </c>
    </row>
    <row r="136" spans="2:125" x14ac:dyDescent="0.3">
      <c r="B136" s="116"/>
      <c r="C136" s="116"/>
      <c r="D136" s="116"/>
      <c r="E136" s="116"/>
      <c r="F136" s="116"/>
      <c r="G136" s="116"/>
      <c r="H136" s="116"/>
      <c r="I136" s="116"/>
      <c r="DT136" t="s">
        <v>9867</v>
      </c>
      <c r="DU136" s="821" t="s">
        <v>1246</v>
      </c>
    </row>
    <row r="137" spans="2:125" x14ac:dyDescent="0.3">
      <c r="B137" s="116"/>
      <c r="C137" s="116"/>
      <c r="D137" s="116"/>
      <c r="E137" s="116"/>
      <c r="F137" s="116"/>
      <c r="G137" s="116"/>
      <c r="H137" s="116"/>
      <c r="I137" s="116"/>
      <c r="DT137" t="s">
        <v>9887</v>
      </c>
      <c r="DU137" s="821" t="s">
        <v>4395</v>
      </c>
    </row>
    <row r="138" spans="2:125" x14ac:dyDescent="0.3">
      <c r="B138" s="116"/>
      <c r="C138" s="116"/>
      <c r="D138" s="116"/>
      <c r="E138" s="116"/>
      <c r="F138" s="116"/>
      <c r="G138" s="116"/>
      <c r="H138" s="116"/>
      <c r="I138" s="116"/>
      <c r="DT138" t="s">
        <v>9890</v>
      </c>
      <c r="DU138" s="821" t="s">
        <v>604</v>
      </c>
    </row>
    <row r="139" spans="2:125" x14ac:dyDescent="0.3">
      <c r="B139" s="116"/>
      <c r="C139" s="116"/>
      <c r="D139" s="116"/>
      <c r="E139" s="116"/>
      <c r="F139" s="116"/>
      <c r="G139" s="116"/>
      <c r="H139" s="116"/>
      <c r="I139" s="116"/>
      <c r="DT139" t="s">
        <v>9902</v>
      </c>
      <c r="DU139" s="821" t="s">
        <v>456</v>
      </c>
    </row>
    <row r="140" spans="2:125" x14ac:dyDescent="0.3">
      <c r="B140" s="116"/>
      <c r="C140" s="116"/>
      <c r="D140" s="116"/>
      <c r="E140" s="116"/>
      <c r="F140" s="116"/>
      <c r="G140" s="116"/>
      <c r="H140" s="116"/>
      <c r="I140" s="116"/>
      <c r="DT140" t="s">
        <v>10046</v>
      </c>
      <c r="DU140" s="821" t="s">
        <v>1250</v>
      </c>
    </row>
    <row r="141" spans="2:125" x14ac:dyDescent="0.3">
      <c r="B141" s="116"/>
      <c r="C141" s="116"/>
      <c r="D141" s="116"/>
      <c r="E141" s="116"/>
      <c r="F141" s="116"/>
      <c r="G141" s="116"/>
      <c r="H141" s="116"/>
      <c r="I141" s="116"/>
      <c r="DT141" t="s">
        <v>10048</v>
      </c>
      <c r="DU141" s="821" t="s">
        <v>456</v>
      </c>
    </row>
    <row r="142" spans="2:125" x14ac:dyDescent="0.3">
      <c r="B142" s="116"/>
      <c r="C142" s="116"/>
      <c r="D142" s="116"/>
      <c r="E142" s="116"/>
      <c r="F142" s="116"/>
      <c r="G142" s="116"/>
      <c r="H142" s="116"/>
      <c r="I142" s="116"/>
      <c r="DT142" t="s">
        <v>10053</v>
      </c>
      <c r="DU142" s="821" t="s">
        <v>2861</v>
      </c>
    </row>
    <row r="143" spans="2:125" x14ac:dyDescent="0.3">
      <c r="B143" s="116"/>
      <c r="C143" s="116"/>
      <c r="D143" s="116"/>
      <c r="E143" s="116"/>
      <c r="F143" s="116"/>
      <c r="G143" s="116"/>
      <c r="H143" s="116"/>
      <c r="I143" s="116"/>
      <c r="DT143" t="s">
        <v>10054</v>
      </c>
      <c r="DU143" s="821" t="s">
        <v>1246</v>
      </c>
    </row>
    <row r="144" spans="2:125" x14ac:dyDescent="0.3">
      <c r="B144" s="116"/>
      <c r="C144" s="116"/>
      <c r="D144" s="116"/>
      <c r="E144" s="116"/>
      <c r="F144" s="116"/>
      <c r="G144" s="116"/>
      <c r="H144" s="116"/>
      <c r="I144" s="116"/>
      <c r="DT144" t="s">
        <v>10058</v>
      </c>
      <c r="DU144" s="821" t="s">
        <v>8555</v>
      </c>
    </row>
    <row r="145" spans="2:125" x14ac:dyDescent="0.3">
      <c r="B145" s="116"/>
      <c r="C145" s="116"/>
      <c r="D145" s="116"/>
      <c r="E145" s="116"/>
      <c r="F145" s="116"/>
      <c r="G145" s="116"/>
      <c r="H145" s="116"/>
      <c r="I145" s="116"/>
      <c r="DT145" t="s">
        <v>10059</v>
      </c>
      <c r="DU145" s="821" t="s">
        <v>10060</v>
      </c>
    </row>
    <row r="146" spans="2:125" x14ac:dyDescent="0.3">
      <c r="B146" s="116"/>
      <c r="C146" s="116"/>
      <c r="D146" s="116"/>
      <c r="E146" s="116"/>
      <c r="F146" s="116"/>
      <c r="G146" s="116"/>
      <c r="H146" s="116"/>
      <c r="I146" s="116"/>
      <c r="DT146" t="s">
        <v>10073</v>
      </c>
      <c r="DU146" s="821" t="s">
        <v>604</v>
      </c>
    </row>
    <row r="147" spans="2:125" x14ac:dyDescent="0.3">
      <c r="B147" s="116"/>
      <c r="C147" s="116"/>
      <c r="D147" s="116"/>
      <c r="E147" s="116"/>
      <c r="F147" s="116"/>
      <c r="G147" s="116"/>
      <c r="H147" s="116"/>
      <c r="I147" s="116"/>
      <c r="DT147" t="s">
        <v>3135</v>
      </c>
      <c r="DU147" s="821" t="s">
        <v>1117</v>
      </c>
    </row>
    <row r="148" spans="2:125" x14ac:dyDescent="0.3">
      <c r="B148" s="116"/>
      <c r="C148" s="116"/>
      <c r="D148" s="116"/>
      <c r="E148" s="116"/>
      <c r="F148" s="116"/>
      <c r="G148" s="116"/>
      <c r="H148" s="116"/>
      <c r="I148" s="116"/>
      <c r="DT148" t="s">
        <v>10095</v>
      </c>
      <c r="DU148" s="821" t="s">
        <v>8555</v>
      </c>
    </row>
    <row r="149" spans="2:125" x14ac:dyDescent="0.3">
      <c r="B149" s="116"/>
      <c r="C149" s="116"/>
      <c r="D149" s="116"/>
      <c r="E149" s="116"/>
      <c r="F149" s="116"/>
      <c r="G149" s="116"/>
      <c r="H149" s="116"/>
      <c r="I149" s="116"/>
      <c r="DT149" s="5" t="s">
        <v>10209</v>
      </c>
      <c r="DU149" s="10" t="s">
        <v>8280</v>
      </c>
    </row>
    <row r="150" spans="2:125" x14ac:dyDescent="0.3">
      <c r="B150" s="116"/>
      <c r="C150" s="116"/>
      <c r="D150" s="116"/>
      <c r="E150" s="116"/>
      <c r="F150" s="116"/>
      <c r="G150" s="116"/>
      <c r="H150" s="116"/>
      <c r="I150" s="116"/>
      <c r="DT150" s="5" t="s">
        <v>10383</v>
      </c>
      <c r="DU150" s="821" t="s">
        <v>9220</v>
      </c>
    </row>
    <row r="151" spans="2:125" x14ac:dyDescent="0.3">
      <c r="B151" s="116"/>
      <c r="C151" s="116"/>
      <c r="D151" s="116"/>
      <c r="E151" s="116"/>
      <c r="F151" s="116"/>
      <c r="G151" s="116"/>
      <c r="H151" s="116"/>
      <c r="I151" s="116"/>
      <c r="DT151" t="s">
        <v>10648</v>
      </c>
      <c r="DU151" s="821" t="s">
        <v>604</v>
      </c>
    </row>
    <row r="152" spans="2:125" x14ac:dyDescent="0.3">
      <c r="B152" s="116"/>
      <c r="C152" s="116"/>
      <c r="D152" s="116"/>
      <c r="E152" s="116"/>
      <c r="F152" s="116"/>
      <c r="G152" s="116"/>
      <c r="H152" s="116"/>
      <c r="I152" s="116"/>
      <c r="DT152" t="s">
        <v>10649</v>
      </c>
      <c r="DU152" s="821" t="s">
        <v>1248</v>
      </c>
    </row>
    <row r="153" spans="2:125" x14ac:dyDescent="0.3">
      <c r="B153" s="116"/>
      <c r="C153" s="116"/>
      <c r="D153" s="116"/>
      <c r="E153" s="116"/>
      <c r="F153" s="116"/>
      <c r="G153" s="116"/>
      <c r="H153" s="116"/>
      <c r="I153" s="116"/>
      <c r="DT153" t="s">
        <v>10654</v>
      </c>
      <c r="DU153" s="821" t="s">
        <v>1248</v>
      </c>
    </row>
    <row r="154" spans="2:125" x14ac:dyDescent="0.3">
      <c r="B154" s="116"/>
      <c r="C154" s="116"/>
      <c r="D154" s="116"/>
      <c r="E154" s="116"/>
      <c r="F154" s="116"/>
      <c r="G154" s="116"/>
      <c r="H154" s="116"/>
      <c r="I154" s="116"/>
      <c r="DT154" t="s">
        <v>10660</v>
      </c>
      <c r="DU154" s="821" t="s">
        <v>10661</v>
      </c>
    </row>
    <row r="155" spans="2:125" x14ac:dyDescent="0.3">
      <c r="B155" s="116"/>
      <c r="C155" s="116"/>
      <c r="D155" s="116"/>
      <c r="E155" s="116"/>
      <c r="F155" s="116"/>
      <c r="G155" s="116"/>
      <c r="H155" s="116"/>
      <c r="I155" s="116"/>
      <c r="DT155" t="s">
        <v>10667</v>
      </c>
      <c r="DU155" s="821" t="s">
        <v>1248</v>
      </c>
    </row>
    <row r="156" spans="2:125" x14ac:dyDescent="0.3">
      <c r="B156" s="116"/>
      <c r="C156" s="116"/>
      <c r="D156" s="116"/>
      <c r="E156" s="116"/>
      <c r="F156" s="116"/>
      <c r="G156" s="116"/>
      <c r="H156" s="116"/>
      <c r="I156" s="116"/>
      <c r="DT156" s="5" t="s">
        <v>10054</v>
      </c>
      <c r="DU156" s="821" t="s">
        <v>1246</v>
      </c>
    </row>
    <row r="157" spans="2:125" x14ac:dyDescent="0.3">
      <c r="B157" s="116"/>
      <c r="C157" s="116"/>
      <c r="D157" s="116"/>
      <c r="E157" s="116"/>
      <c r="F157" s="116"/>
      <c r="G157" s="116"/>
      <c r="H157" s="116"/>
      <c r="I157" s="116"/>
      <c r="DT157" t="s">
        <v>10894</v>
      </c>
      <c r="DU157" s="821" t="s">
        <v>1716</v>
      </c>
    </row>
    <row r="158" spans="2:125" x14ac:dyDescent="0.3">
      <c r="B158" s="116"/>
      <c r="C158" s="116"/>
      <c r="D158" s="116"/>
      <c r="E158" s="116"/>
      <c r="F158" s="116"/>
      <c r="G158" s="116"/>
      <c r="H158" s="116"/>
      <c r="I158" s="116"/>
      <c r="DT158" t="s">
        <v>10895</v>
      </c>
      <c r="DU158" s="821" t="s">
        <v>456</v>
      </c>
    </row>
    <row r="159" spans="2:125" x14ac:dyDescent="0.3">
      <c r="B159" s="116"/>
      <c r="C159" s="116"/>
      <c r="D159" s="116"/>
      <c r="E159" s="116"/>
      <c r="F159" s="116"/>
      <c r="G159" s="116"/>
      <c r="H159" s="116"/>
      <c r="I159" s="116"/>
      <c r="DT159" t="s">
        <v>11167</v>
      </c>
      <c r="DU159" s="821" t="s">
        <v>8114</v>
      </c>
    </row>
    <row r="160" spans="2:125" x14ac:dyDescent="0.3">
      <c r="B160" s="116"/>
      <c r="C160" s="116"/>
      <c r="D160" s="116"/>
      <c r="E160" s="116"/>
      <c r="F160" s="116"/>
      <c r="G160" s="116"/>
      <c r="H160" s="116"/>
      <c r="I160" s="116"/>
    </row>
    <row r="161" spans="2:9" x14ac:dyDescent="0.3">
      <c r="B161" s="116"/>
      <c r="C161" s="116"/>
      <c r="D161" s="116"/>
      <c r="E161" s="116"/>
      <c r="F161" s="116"/>
      <c r="G161" s="116"/>
      <c r="H161" s="116"/>
      <c r="I161" s="116"/>
    </row>
    <row r="162" spans="2:9" x14ac:dyDescent="0.3">
      <c r="B162" s="116"/>
      <c r="C162" s="116"/>
      <c r="D162" s="116"/>
      <c r="E162" s="116"/>
      <c r="F162" s="116"/>
      <c r="G162" s="116"/>
      <c r="H162" s="116"/>
      <c r="I162" s="116"/>
    </row>
    <row r="163" spans="2:9" x14ac:dyDescent="0.3">
      <c r="B163" s="116"/>
      <c r="C163" s="116"/>
      <c r="D163" s="116"/>
      <c r="E163" s="116"/>
      <c r="F163" s="116"/>
      <c r="G163" s="116"/>
      <c r="H163" s="116"/>
      <c r="I163" s="116"/>
    </row>
    <row r="164" spans="2:9" x14ac:dyDescent="0.3">
      <c r="B164" s="116"/>
      <c r="C164" s="116"/>
      <c r="D164" s="116"/>
      <c r="E164" s="116"/>
      <c r="F164" s="116"/>
      <c r="G164" s="116"/>
      <c r="H164" s="116"/>
      <c r="I164" s="116"/>
    </row>
    <row r="165" spans="2:9" x14ac:dyDescent="0.3">
      <c r="B165" s="116"/>
      <c r="C165" s="116"/>
      <c r="D165" s="116"/>
      <c r="E165" s="116"/>
      <c r="F165" s="116"/>
      <c r="G165" s="116"/>
      <c r="H165" s="116"/>
      <c r="I165" s="116"/>
    </row>
    <row r="166" spans="2:9" x14ac:dyDescent="0.3">
      <c r="B166" s="116"/>
      <c r="C166" s="116"/>
      <c r="D166" s="116"/>
      <c r="E166" s="116"/>
      <c r="F166" s="116"/>
      <c r="G166" s="116"/>
      <c r="H166" s="116"/>
      <c r="I166" s="116"/>
    </row>
    <row r="167" spans="2:9" x14ac:dyDescent="0.3">
      <c r="B167" s="116"/>
      <c r="C167" s="116"/>
      <c r="D167" s="116"/>
      <c r="E167" s="116"/>
      <c r="F167" s="116"/>
      <c r="G167" s="116"/>
      <c r="H167" s="116"/>
      <c r="I167" s="116"/>
    </row>
    <row r="168" spans="2:9" x14ac:dyDescent="0.3">
      <c r="B168" s="116"/>
      <c r="C168" s="116"/>
      <c r="D168" s="116"/>
      <c r="E168" s="116"/>
      <c r="F168" s="116"/>
      <c r="G168" s="116"/>
      <c r="H168" s="116"/>
      <c r="I168" s="116"/>
    </row>
    <row r="169" spans="2:9" x14ac:dyDescent="0.3">
      <c r="B169" s="116"/>
      <c r="C169" s="116"/>
      <c r="D169" s="116"/>
      <c r="E169" s="116"/>
      <c r="F169" s="116"/>
      <c r="G169" s="116"/>
      <c r="H169" s="116"/>
      <c r="I169" s="116"/>
    </row>
    <row r="170" spans="2:9" x14ac:dyDescent="0.3">
      <c r="B170" s="116"/>
      <c r="C170" s="116"/>
      <c r="D170" s="116"/>
      <c r="E170" s="116"/>
      <c r="F170" s="116"/>
      <c r="G170" s="116"/>
      <c r="H170" s="116"/>
      <c r="I170" s="116"/>
    </row>
    <row r="171" spans="2:9" x14ac:dyDescent="0.3">
      <c r="B171" s="116"/>
      <c r="C171" s="116"/>
      <c r="D171" s="116"/>
      <c r="E171" s="116"/>
      <c r="F171" s="116"/>
      <c r="G171" s="116"/>
      <c r="H171" s="116"/>
      <c r="I171" s="116"/>
    </row>
    <row r="172" spans="2:9" x14ac:dyDescent="0.3">
      <c r="B172" s="116"/>
      <c r="C172" s="116"/>
      <c r="D172" s="116"/>
      <c r="E172" s="116"/>
      <c r="F172" s="116"/>
      <c r="G172" s="116"/>
      <c r="H172" s="116"/>
      <c r="I172" s="116"/>
    </row>
    <row r="173" spans="2:9" x14ac:dyDescent="0.3">
      <c r="B173" s="116"/>
      <c r="C173" s="116"/>
      <c r="D173" s="116"/>
      <c r="E173" s="116"/>
      <c r="F173" s="116"/>
      <c r="G173" s="116"/>
      <c r="H173" s="116"/>
      <c r="I173" s="116"/>
    </row>
    <row r="174" spans="2:9" x14ac:dyDescent="0.3">
      <c r="B174" s="116"/>
      <c r="C174" s="116"/>
      <c r="D174" s="116"/>
      <c r="E174" s="116"/>
      <c r="F174" s="116"/>
      <c r="G174" s="116"/>
      <c r="H174" s="116"/>
      <c r="I174" s="116"/>
    </row>
    <row r="175" spans="2:9" x14ac:dyDescent="0.3">
      <c r="B175" s="116"/>
      <c r="C175" s="116"/>
      <c r="D175" s="116"/>
      <c r="E175" s="116"/>
      <c r="F175" s="116"/>
      <c r="G175" s="116"/>
      <c r="H175" s="116"/>
      <c r="I175" s="116"/>
    </row>
    <row r="176" spans="2:9" x14ac:dyDescent="0.3">
      <c r="B176" s="116"/>
      <c r="C176" s="116"/>
      <c r="D176" s="116"/>
      <c r="E176" s="116"/>
      <c r="F176" s="116"/>
      <c r="G176" s="116"/>
      <c r="H176" s="116"/>
      <c r="I176" s="116"/>
    </row>
    <row r="177" spans="2:9" x14ac:dyDescent="0.3">
      <c r="B177" s="116"/>
      <c r="C177" s="116"/>
      <c r="D177" s="116"/>
      <c r="E177" s="116"/>
      <c r="F177" s="116"/>
      <c r="G177" s="116"/>
      <c r="H177" s="116"/>
      <c r="I177" s="116"/>
    </row>
    <row r="178" spans="2:9" x14ac:dyDescent="0.3">
      <c r="B178" s="116"/>
      <c r="C178" s="116"/>
      <c r="D178" s="116"/>
      <c r="E178" s="116"/>
      <c r="F178" s="116"/>
      <c r="G178" s="116"/>
      <c r="H178" s="116"/>
      <c r="I178" s="116"/>
    </row>
    <row r="179" spans="2:9" x14ac:dyDescent="0.3">
      <c r="B179" s="116"/>
      <c r="C179" s="116"/>
      <c r="D179" s="116"/>
      <c r="E179" s="116"/>
      <c r="F179" s="116"/>
      <c r="G179" s="116"/>
      <c r="H179" s="116"/>
      <c r="I179" s="116"/>
    </row>
    <row r="180" spans="2:9" x14ac:dyDescent="0.3">
      <c r="B180" s="116"/>
      <c r="C180" s="116"/>
      <c r="D180" s="116"/>
      <c r="E180" s="116"/>
      <c r="F180" s="116"/>
      <c r="G180" s="116"/>
      <c r="H180" s="116"/>
      <c r="I180" s="116"/>
    </row>
    <row r="181" spans="2:9" x14ac:dyDescent="0.3">
      <c r="B181" s="116"/>
      <c r="C181" s="116"/>
      <c r="D181" s="116"/>
      <c r="E181" s="116"/>
      <c r="F181" s="116"/>
      <c r="G181" s="116"/>
      <c r="H181" s="116"/>
      <c r="I181" s="116"/>
    </row>
    <row r="182" spans="2:9" x14ac:dyDescent="0.3">
      <c r="B182" s="116"/>
      <c r="C182" s="116"/>
      <c r="D182" s="116"/>
      <c r="E182" s="116"/>
      <c r="F182" s="116"/>
      <c r="G182" s="116"/>
      <c r="H182" s="116"/>
      <c r="I182" s="116"/>
    </row>
    <row r="183" spans="2:9" x14ac:dyDescent="0.3">
      <c r="B183" s="116"/>
      <c r="C183" s="116"/>
      <c r="D183" s="116"/>
      <c r="E183" s="116"/>
      <c r="F183" s="116"/>
      <c r="G183" s="116"/>
      <c r="H183" s="116"/>
      <c r="I183" s="116"/>
    </row>
    <row r="184" spans="2:9" x14ac:dyDescent="0.3">
      <c r="B184" s="116"/>
      <c r="C184" s="116"/>
      <c r="D184" s="116"/>
      <c r="E184" s="116"/>
      <c r="F184" s="116"/>
      <c r="G184" s="116"/>
      <c r="H184" s="116"/>
      <c r="I184" s="116"/>
    </row>
    <row r="185" spans="2:9" x14ac:dyDescent="0.3">
      <c r="B185" s="116"/>
      <c r="C185" s="116"/>
      <c r="D185" s="116"/>
      <c r="E185" s="116"/>
      <c r="F185" s="116"/>
      <c r="G185" s="116"/>
      <c r="H185" s="116"/>
      <c r="I185" s="116"/>
    </row>
    <row r="186" spans="2:9" x14ac:dyDescent="0.3">
      <c r="B186" s="116"/>
      <c r="C186" s="116"/>
      <c r="D186" s="116"/>
      <c r="E186" s="116"/>
      <c r="F186" s="116"/>
      <c r="G186" s="116"/>
      <c r="H186" s="116"/>
      <c r="I186" s="116"/>
    </row>
    <row r="187" spans="2:9" x14ac:dyDescent="0.3">
      <c r="B187" s="116"/>
      <c r="C187" s="116"/>
      <c r="D187" s="116"/>
      <c r="E187" s="116"/>
      <c r="F187" s="116"/>
      <c r="G187" s="116"/>
      <c r="H187" s="116"/>
      <c r="I187" s="116"/>
    </row>
    <row r="188" spans="2:9" x14ac:dyDescent="0.3">
      <c r="B188" s="116"/>
      <c r="C188" s="116"/>
      <c r="D188" s="116"/>
      <c r="E188" s="116"/>
      <c r="F188" s="116"/>
      <c r="G188" s="116"/>
      <c r="H188" s="116"/>
      <c r="I188" s="116"/>
    </row>
    <row r="189" spans="2:9" x14ac:dyDescent="0.3">
      <c r="B189" s="116"/>
      <c r="C189" s="116"/>
      <c r="D189" s="116"/>
      <c r="E189" s="116"/>
      <c r="F189" s="116"/>
      <c r="G189" s="116"/>
      <c r="H189" s="116"/>
      <c r="I189" s="116"/>
    </row>
    <row r="190" spans="2:9" x14ac:dyDescent="0.3">
      <c r="B190" s="116"/>
      <c r="C190" s="116"/>
      <c r="D190" s="116"/>
      <c r="E190" s="116"/>
      <c r="F190" s="116"/>
      <c r="G190" s="116"/>
      <c r="H190" s="116"/>
      <c r="I190" s="116"/>
    </row>
    <row r="191" spans="2:9" x14ac:dyDescent="0.3">
      <c r="B191" s="116"/>
      <c r="C191" s="116"/>
      <c r="D191" s="116"/>
      <c r="E191" s="116"/>
      <c r="F191" s="116"/>
      <c r="G191" s="116"/>
      <c r="H191" s="116"/>
      <c r="I191" s="116"/>
    </row>
    <row r="192" spans="2:9" x14ac:dyDescent="0.3">
      <c r="B192" s="116"/>
      <c r="C192" s="116"/>
      <c r="D192" s="116"/>
      <c r="E192" s="116"/>
      <c r="F192" s="116"/>
      <c r="G192" s="116"/>
      <c r="H192" s="116"/>
      <c r="I192" s="116"/>
    </row>
    <row r="193" spans="2:9" x14ac:dyDescent="0.3">
      <c r="B193" s="116"/>
      <c r="C193" s="116"/>
      <c r="D193" s="116"/>
      <c r="E193" s="116"/>
      <c r="F193" s="116"/>
      <c r="G193" s="116"/>
      <c r="H193" s="116"/>
      <c r="I193" s="116"/>
    </row>
    <row r="194" spans="2:9" x14ac:dyDescent="0.3">
      <c r="B194" s="116"/>
      <c r="C194" s="116"/>
      <c r="D194" s="116"/>
      <c r="E194" s="116"/>
      <c r="F194" s="116"/>
      <c r="G194" s="116"/>
      <c r="H194" s="116"/>
      <c r="I194" s="116"/>
    </row>
    <row r="195" spans="2:9" x14ac:dyDescent="0.3">
      <c r="B195" s="116"/>
      <c r="C195" s="116"/>
      <c r="D195" s="116"/>
      <c r="E195" s="116"/>
      <c r="F195" s="116"/>
      <c r="G195" s="116"/>
      <c r="H195" s="116"/>
      <c r="I195" s="116"/>
    </row>
    <row r="196" spans="2:9" x14ac:dyDescent="0.3">
      <c r="B196" s="116"/>
      <c r="C196" s="116"/>
      <c r="D196" s="116"/>
      <c r="E196" s="116"/>
      <c r="F196" s="116"/>
      <c r="G196" s="116"/>
      <c r="H196" s="116"/>
      <c r="I196" s="116"/>
    </row>
    <row r="197" spans="2:9" x14ac:dyDescent="0.3">
      <c r="B197" s="116"/>
      <c r="C197" s="116"/>
      <c r="D197" s="116"/>
      <c r="E197" s="116"/>
      <c r="F197" s="116"/>
      <c r="G197" s="116"/>
      <c r="H197" s="116"/>
      <c r="I197" s="116"/>
    </row>
    <row r="198" spans="2:9" x14ac:dyDescent="0.3">
      <c r="B198" s="116"/>
      <c r="C198" s="116"/>
      <c r="D198" s="116"/>
      <c r="E198" s="116"/>
      <c r="F198" s="116"/>
      <c r="G198" s="116"/>
      <c r="H198" s="116"/>
      <c r="I198" s="116"/>
    </row>
    <row r="199" spans="2:9" x14ac:dyDescent="0.3">
      <c r="B199" s="116"/>
      <c r="C199" s="116"/>
      <c r="D199" s="116"/>
      <c r="E199" s="116"/>
      <c r="F199" s="116"/>
      <c r="G199" s="116"/>
      <c r="H199" s="116"/>
      <c r="I199" s="116"/>
    </row>
    <row r="200" spans="2:9" x14ac:dyDescent="0.3">
      <c r="B200" s="116"/>
      <c r="C200" s="116"/>
      <c r="D200" s="116"/>
      <c r="E200" s="116"/>
      <c r="F200" s="116"/>
      <c r="G200" s="116"/>
      <c r="H200" s="116"/>
      <c r="I200" s="116"/>
    </row>
    <row r="201" spans="2:9" x14ac:dyDescent="0.3">
      <c r="B201" s="116"/>
      <c r="C201" s="116"/>
      <c r="D201" s="116"/>
      <c r="E201" s="116"/>
      <c r="F201" s="116"/>
      <c r="G201" s="116"/>
      <c r="H201" s="116"/>
      <c r="I201" s="116"/>
    </row>
    <row r="202" spans="2:9" x14ac:dyDescent="0.3">
      <c r="B202" s="116"/>
      <c r="C202" s="116"/>
      <c r="D202" s="116"/>
      <c r="E202" s="116"/>
      <c r="F202" s="116"/>
      <c r="G202" s="116"/>
      <c r="H202" s="116"/>
      <c r="I202" s="116"/>
    </row>
    <row r="203" spans="2:9" x14ac:dyDescent="0.3">
      <c r="B203" s="116"/>
      <c r="C203" s="116"/>
      <c r="D203" s="116"/>
      <c r="E203" s="116"/>
      <c r="F203" s="116"/>
      <c r="G203" s="116"/>
      <c r="H203" s="116"/>
      <c r="I203" s="116"/>
    </row>
    <row r="204" spans="2:9" x14ac:dyDescent="0.3">
      <c r="B204" s="116"/>
      <c r="C204" s="116"/>
      <c r="D204" s="116"/>
      <c r="E204" s="116"/>
      <c r="F204" s="116"/>
      <c r="G204" s="116"/>
      <c r="H204" s="116"/>
      <c r="I204" s="116"/>
    </row>
    <row r="205" spans="2:9" x14ac:dyDescent="0.3">
      <c r="B205" s="116"/>
      <c r="C205" s="116"/>
      <c r="D205" s="116"/>
      <c r="E205" s="116"/>
      <c r="F205" s="116"/>
      <c r="G205" s="116"/>
      <c r="H205" s="116"/>
      <c r="I205" s="116"/>
    </row>
    <row r="206" spans="2:9" x14ac:dyDescent="0.3">
      <c r="B206" s="116"/>
      <c r="C206" s="116"/>
      <c r="D206" s="116"/>
      <c r="E206" s="116"/>
      <c r="F206" s="116"/>
      <c r="G206" s="116"/>
      <c r="H206" s="116"/>
      <c r="I206" s="116"/>
    </row>
    <row r="207" spans="2:9" x14ac:dyDescent="0.3">
      <c r="B207" s="116"/>
      <c r="C207" s="116"/>
      <c r="D207" s="116"/>
      <c r="E207" s="116"/>
      <c r="F207" s="116"/>
      <c r="G207" s="116"/>
      <c r="H207" s="116"/>
      <c r="I207" s="116"/>
    </row>
    <row r="208" spans="2:9" x14ac:dyDescent="0.3">
      <c r="B208" s="116"/>
      <c r="C208" s="116"/>
      <c r="D208" s="116"/>
      <c r="E208" s="116"/>
      <c r="F208" s="116"/>
      <c r="G208" s="116"/>
      <c r="H208" s="116"/>
      <c r="I208" s="116"/>
    </row>
    <row r="209" spans="2:9" x14ac:dyDescent="0.3">
      <c r="B209" s="116"/>
      <c r="C209" s="116"/>
      <c r="D209" s="116"/>
      <c r="E209" s="116"/>
      <c r="F209" s="116"/>
      <c r="G209" s="116"/>
      <c r="H209" s="116"/>
      <c r="I209" s="116"/>
    </row>
    <row r="210" spans="2:9" x14ac:dyDescent="0.3">
      <c r="B210" s="116"/>
      <c r="C210" s="116"/>
      <c r="D210" s="116"/>
      <c r="E210" s="116"/>
      <c r="F210" s="116"/>
      <c r="G210" s="116"/>
      <c r="H210" s="116"/>
      <c r="I210" s="116"/>
    </row>
    <row r="211" spans="2:9" x14ac:dyDescent="0.3">
      <c r="B211" s="116"/>
      <c r="C211" s="116"/>
      <c r="D211" s="116"/>
      <c r="E211" s="116"/>
      <c r="F211" s="116"/>
      <c r="G211" s="116"/>
      <c r="H211" s="116"/>
      <c r="I211" s="116"/>
    </row>
    <row r="212" spans="2:9" x14ac:dyDescent="0.3">
      <c r="B212" s="116"/>
      <c r="C212" s="116"/>
      <c r="D212" s="116"/>
      <c r="E212" s="116"/>
      <c r="F212" s="116"/>
      <c r="G212" s="116"/>
      <c r="H212" s="116"/>
      <c r="I212" s="116"/>
    </row>
    <row r="213" spans="2:9" x14ac:dyDescent="0.3">
      <c r="B213" s="116"/>
      <c r="C213" s="116"/>
      <c r="D213" s="116"/>
      <c r="E213" s="116"/>
      <c r="F213" s="116"/>
      <c r="G213" s="116"/>
      <c r="H213" s="116"/>
      <c r="I213" s="116"/>
    </row>
    <row r="214" spans="2:9" x14ac:dyDescent="0.3">
      <c r="B214" s="116"/>
      <c r="C214" s="116"/>
      <c r="D214" s="116"/>
      <c r="E214" s="116"/>
      <c r="F214" s="116"/>
      <c r="G214" s="116"/>
      <c r="H214" s="116"/>
      <c r="I214" s="116"/>
    </row>
    <row r="215" spans="2:9" x14ac:dyDescent="0.3">
      <c r="B215" s="116"/>
      <c r="C215" s="116"/>
      <c r="D215" s="116"/>
      <c r="E215" s="116"/>
      <c r="F215" s="116"/>
      <c r="G215" s="116"/>
      <c r="H215" s="116"/>
      <c r="I215" s="116"/>
    </row>
    <row r="216" spans="2:9" x14ac:dyDescent="0.3">
      <c r="B216" s="116"/>
      <c r="C216" s="116"/>
      <c r="D216" s="116"/>
      <c r="E216" s="116"/>
      <c r="F216" s="116"/>
      <c r="G216" s="116"/>
      <c r="H216" s="116"/>
      <c r="I216" s="116"/>
    </row>
    <row r="217" spans="2:9" x14ac:dyDescent="0.3">
      <c r="B217" s="116"/>
      <c r="C217" s="116"/>
      <c r="D217" s="116"/>
      <c r="E217" s="116"/>
      <c r="F217" s="116"/>
      <c r="G217" s="116"/>
      <c r="H217" s="116"/>
      <c r="I217" s="116"/>
    </row>
    <row r="218" spans="2:9" x14ac:dyDescent="0.3">
      <c r="B218" s="116"/>
      <c r="C218" s="116"/>
      <c r="D218" s="116"/>
      <c r="E218" s="116"/>
      <c r="F218" s="116"/>
      <c r="G218" s="116"/>
      <c r="H218" s="116"/>
      <c r="I218" s="116"/>
    </row>
    <row r="219" spans="2:9" x14ac:dyDescent="0.3">
      <c r="B219" s="116"/>
      <c r="C219" s="116"/>
      <c r="D219" s="116"/>
      <c r="E219" s="116"/>
      <c r="F219" s="116"/>
      <c r="G219" s="116"/>
      <c r="H219" s="116"/>
      <c r="I219" s="116"/>
    </row>
    <row r="220" spans="2:9" x14ac:dyDescent="0.3">
      <c r="B220" s="116"/>
      <c r="C220" s="116"/>
      <c r="D220" s="116"/>
      <c r="E220" s="116"/>
      <c r="F220" s="116"/>
      <c r="G220" s="116"/>
      <c r="H220" s="116"/>
      <c r="I220" s="116"/>
    </row>
    <row r="221" spans="2:9" x14ac:dyDescent="0.3">
      <c r="B221" s="116"/>
      <c r="C221" s="116"/>
      <c r="D221" s="116"/>
      <c r="E221" s="116"/>
      <c r="F221" s="116"/>
      <c r="G221" s="116"/>
      <c r="H221" s="116"/>
      <c r="I221" s="116"/>
    </row>
    <row r="222" spans="2:9" x14ac:dyDescent="0.3">
      <c r="B222" s="116"/>
      <c r="C222" s="116"/>
      <c r="D222" s="116"/>
      <c r="E222" s="116"/>
      <c r="F222" s="116"/>
      <c r="G222" s="116"/>
      <c r="H222" s="116"/>
      <c r="I222" s="116"/>
    </row>
    <row r="223" spans="2:9" x14ac:dyDescent="0.3">
      <c r="B223" s="116"/>
      <c r="C223" s="116"/>
      <c r="D223" s="116"/>
      <c r="E223" s="116"/>
      <c r="F223" s="116"/>
      <c r="G223" s="116"/>
      <c r="H223" s="116"/>
      <c r="I223" s="116"/>
    </row>
    <row r="224" spans="2:9" x14ac:dyDescent="0.3">
      <c r="B224" s="116"/>
      <c r="C224" s="116"/>
      <c r="D224" s="116"/>
      <c r="E224" s="116"/>
      <c r="F224" s="116"/>
      <c r="G224" s="116"/>
      <c r="H224" s="116"/>
      <c r="I224" s="116"/>
    </row>
    <row r="225" spans="2:9" x14ac:dyDescent="0.3">
      <c r="B225" s="116"/>
      <c r="C225" s="116"/>
      <c r="D225" s="116"/>
      <c r="E225" s="116"/>
      <c r="F225" s="116"/>
      <c r="G225" s="116"/>
      <c r="H225" s="116"/>
      <c r="I225" s="116"/>
    </row>
    <row r="226" spans="2:9" x14ac:dyDescent="0.3">
      <c r="B226" s="116"/>
      <c r="C226" s="116"/>
      <c r="D226" s="116"/>
      <c r="E226" s="116"/>
      <c r="F226" s="116"/>
      <c r="G226" s="116"/>
      <c r="H226" s="116"/>
      <c r="I226" s="116"/>
    </row>
    <row r="227" spans="2:9" x14ac:dyDescent="0.3">
      <c r="B227" s="116"/>
      <c r="C227" s="116"/>
      <c r="D227" s="116"/>
      <c r="E227" s="116"/>
      <c r="F227" s="116"/>
      <c r="G227" s="116"/>
      <c r="H227" s="116"/>
      <c r="I227" s="116"/>
    </row>
    <row r="228" spans="2:9" x14ac:dyDescent="0.3">
      <c r="B228" s="116"/>
      <c r="C228" s="116"/>
      <c r="D228" s="116"/>
      <c r="E228" s="116"/>
      <c r="F228" s="116"/>
      <c r="G228" s="116"/>
      <c r="H228" s="116"/>
      <c r="I228" s="116"/>
    </row>
    <row r="229" spans="2:9" x14ac:dyDescent="0.3">
      <c r="B229" s="116"/>
      <c r="C229" s="116"/>
      <c r="D229" s="116"/>
      <c r="E229" s="116"/>
      <c r="F229" s="116"/>
      <c r="G229" s="116"/>
      <c r="H229" s="116"/>
      <c r="I229" s="116"/>
    </row>
    <row r="230" spans="2:9" x14ac:dyDescent="0.3">
      <c r="B230" s="116"/>
      <c r="C230" s="116"/>
      <c r="D230" s="116"/>
      <c r="E230" s="116"/>
      <c r="F230" s="116"/>
      <c r="G230" s="116"/>
      <c r="H230" s="116"/>
      <c r="I230" s="116"/>
    </row>
    <row r="231" spans="2:9" x14ac:dyDescent="0.3">
      <c r="B231" s="116"/>
      <c r="C231" s="116"/>
      <c r="D231" s="116"/>
      <c r="E231" s="116"/>
      <c r="F231" s="116"/>
      <c r="G231" s="116"/>
      <c r="H231" s="116"/>
      <c r="I231" s="116"/>
    </row>
    <row r="232" spans="2:9" x14ac:dyDescent="0.3">
      <c r="B232" s="116"/>
      <c r="C232" s="116"/>
      <c r="D232" s="116"/>
      <c r="E232" s="116"/>
      <c r="F232" s="116"/>
      <c r="G232" s="116"/>
      <c r="H232" s="116"/>
      <c r="I232" s="116"/>
    </row>
    <row r="233" spans="2:9" x14ac:dyDescent="0.3">
      <c r="B233" s="116"/>
      <c r="C233" s="116"/>
      <c r="D233" s="116"/>
      <c r="E233" s="116"/>
      <c r="F233" s="116"/>
      <c r="G233" s="116"/>
      <c r="H233" s="116"/>
      <c r="I233" s="116"/>
    </row>
    <row r="234" spans="2:9" x14ac:dyDescent="0.3">
      <c r="B234" s="116"/>
      <c r="C234" s="116"/>
      <c r="D234" s="116"/>
      <c r="E234" s="116"/>
      <c r="F234" s="116"/>
      <c r="G234" s="116"/>
      <c r="H234" s="116"/>
      <c r="I234" s="116"/>
    </row>
    <row r="235" spans="2:9" x14ac:dyDescent="0.3">
      <c r="B235" s="116"/>
      <c r="C235" s="116"/>
      <c r="D235" s="116"/>
      <c r="E235" s="116"/>
      <c r="F235" s="116"/>
      <c r="G235" s="116"/>
      <c r="H235" s="116"/>
      <c r="I235" s="116"/>
    </row>
    <row r="236" spans="2:9" x14ac:dyDescent="0.3">
      <c r="B236" s="116"/>
      <c r="C236" s="116"/>
      <c r="D236" s="116"/>
      <c r="E236" s="116"/>
      <c r="F236" s="116"/>
      <c r="G236" s="116"/>
      <c r="H236" s="116"/>
      <c r="I236" s="116"/>
    </row>
    <row r="237" spans="2:9" x14ac:dyDescent="0.3">
      <c r="B237" s="116"/>
      <c r="C237" s="116"/>
      <c r="D237" s="116"/>
      <c r="E237" s="116"/>
      <c r="F237" s="116"/>
      <c r="G237" s="116"/>
      <c r="H237" s="116"/>
      <c r="I237" s="116"/>
    </row>
    <row r="238" spans="2:9" x14ac:dyDescent="0.3">
      <c r="B238" s="116"/>
      <c r="C238" s="116"/>
      <c r="D238" s="116"/>
      <c r="E238" s="116"/>
      <c r="F238" s="116"/>
      <c r="G238" s="116"/>
      <c r="H238" s="116"/>
      <c r="I238" s="116"/>
    </row>
    <row r="239" spans="2:9" x14ac:dyDescent="0.3">
      <c r="B239" s="116"/>
      <c r="C239" s="116"/>
      <c r="D239" s="116"/>
      <c r="E239" s="116"/>
      <c r="F239" s="116"/>
      <c r="G239" s="116"/>
      <c r="H239" s="116"/>
      <c r="I239" s="116"/>
    </row>
    <row r="240" spans="2:9" x14ac:dyDescent="0.3">
      <c r="B240" s="116"/>
      <c r="C240" s="116"/>
      <c r="D240" s="116"/>
      <c r="E240" s="116"/>
      <c r="F240" s="116"/>
      <c r="G240" s="116"/>
      <c r="H240" s="116"/>
      <c r="I240" s="116"/>
    </row>
    <row r="241" spans="2:9" x14ac:dyDescent="0.3">
      <c r="B241" s="116"/>
      <c r="C241" s="116"/>
      <c r="D241" s="116"/>
      <c r="E241" s="116"/>
      <c r="F241" s="116"/>
      <c r="G241" s="116"/>
      <c r="H241" s="116"/>
      <c r="I241" s="116"/>
    </row>
    <row r="242" spans="2:9" x14ac:dyDescent="0.3">
      <c r="B242" s="116"/>
      <c r="C242" s="116"/>
      <c r="D242" s="116"/>
      <c r="E242" s="116"/>
      <c r="F242" s="116"/>
      <c r="G242" s="116"/>
      <c r="H242" s="116"/>
      <c r="I242" s="116"/>
    </row>
    <row r="243" spans="2:9" x14ac:dyDescent="0.3">
      <c r="B243" s="116"/>
      <c r="C243" s="116"/>
      <c r="D243" s="116"/>
      <c r="E243" s="116"/>
      <c r="F243" s="116"/>
      <c r="G243" s="116"/>
      <c r="H243" s="116"/>
      <c r="I243" s="116"/>
    </row>
    <row r="244" spans="2:9" x14ac:dyDescent="0.3">
      <c r="B244" s="116"/>
      <c r="C244" s="116"/>
      <c r="D244" s="116"/>
      <c r="E244" s="116"/>
      <c r="F244" s="116"/>
      <c r="G244" s="116"/>
      <c r="H244" s="116"/>
      <c r="I244" s="116"/>
    </row>
    <row r="245" spans="2:9" x14ac:dyDescent="0.3">
      <c r="B245" s="116"/>
      <c r="C245" s="116"/>
      <c r="D245" s="116"/>
      <c r="E245" s="116"/>
      <c r="F245" s="116"/>
      <c r="G245" s="116"/>
      <c r="H245" s="116"/>
      <c r="I245" s="116"/>
    </row>
    <row r="246" spans="2:9" x14ac:dyDescent="0.3">
      <c r="B246" s="116"/>
      <c r="C246" s="116"/>
      <c r="D246" s="116"/>
      <c r="E246" s="116"/>
      <c r="F246" s="116"/>
      <c r="G246" s="116"/>
      <c r="H246" s="116"/>
      <c r="I246" s="116"/>
    </row>
    <row r="247" spans="2:9" x14ac:dyDescent="0.3">
      <c r="B247" s="116"/>
      <c r="C247" s="116"/>
      <c r="D247" s="116"/>
      <c r="E247" s="116"/>
      <c r="F247" s="116"/>
      <c r="G247" s="116"/>
      <c r="H247" s="116"/>
      <c r="I247" s="116"/>
    </row>
    <row r="248" spans="2:9" x14ac:dyDescent="0.3">
      <c r="B248" s="116"/>
      <c r="C248" s="116"/>
      <c r="D248" s="116"/>
      <c r="E248" s="116"/>
      <c r="F248" s="116"/>
      <c r="G248" s="116"/>
      <c r="H248" s="116"/>
      <c r="I248" s="116"/>
    </row>
    <row r="249" spans="2:9" x14ac:dyDescent="0.3">
      <c r="B249" s="116"/>
      <c r="C249" s="116"/>
      <c r="D249" s="116"/>
      <c r="E249" s="116"/>
      <c r="F249" s="116"/>
      <c r="G249" s="116"/>
      <c r="H249" s="116"/>
      <c r="I249" s="116"/>
    </row>
    <row r="250" spans="2:9" x14ac:dyDescent="0.3">
      <c r="B250" s="116"/>
      <c r="C250" s="116"/>
      <c r="D250" s="116"/>
      <c r="E250" s="116"/>
      <c r="F250" s="116"/>
      <c r="G250" s="116"/>
      <c r="H250" s="116"/>
      <c r="I250" s="116"/>
    </row>
    <row r="251" spans="2:9" x14ac:dyDescent="0.3">
      <c r="B251" s="116"/>
      <c r="C251" s="116"/>
      <c r="D251" s="116"/>
      <c r="E251" s="116"/>
      <c r="F251" s="116"/>
      <c r="G251" s="116"/>
      <c r="H251" s="116"/>
      <c r="I251" s="116"/>
    </row>
    <row r="252" spans="2:9" x14ac:dyDescent="0.3">
      <c r="B252" s="116"/>
      <c r="C252" s="116"/>
      <c r="D252" s="116"/>
      <c r="E252" s="116"/>
      <c r="F252" s="116"/>
      <c r="G252" s="116"/>
      <c r="H252" s="116"/>
      <c r="I252" s="116"/>
    </row>
    <row r="253" spans="2:9" x14ac:dyDescent="0.3">
      <c r="B253" s="116"/>
      <c r="C253" s="116"/>
      <c r="D253" s="116"/>
      <c r="E253" s="116"/>
      <c r="F253" s="116"/>
      <c r="G253" s="116"/>
      <c r="H253" s="116"/>
      <c r="I253" s="116"/>
    </row>
    <row r="254" spans="2:9" x14ac:dyDescent="0.3">
      <c r="B254" s="116"/>
      <c r="C254" s="116"/>
      <c r="D254" s="116"/>
      <c r="E254" s="116"/>
      <c r="F254" s="116"/>
      <c r="G254" s="116"/>
      <c r="H254" s="116"/>
      <c r="I254" s="116"/>
    </row>
    <row r="255" spans="2:9" x14ac:dyDescent="0.3">
      <c r="B255" s="116"/>
      <c r="C255" s="116"/>
      <c r="D255" s="116"/>
      <c r="E255" s="116"/>
      <c r="F255" s="116"/>
      <c r="G255" s="116"/>
      <c r="H255" s="116"/>
      <c r="I255" s="116"/>
    </row>
    <row r="256" spans="2:9" x14ac:dyDescent="0.3">
      <c r="B256" s="116"/>
      <c r="C256" s="116"/>
      <c r="D256" s="116"/>
      <c r="E256" s="116"/>
      <c r="F256" s="116"/>
      <c r="G256" s="116"/>
      <c r="H256" s="116"/>
      <c r="I256" s="116"/>
    </row>
    <row r="257" spans="2:9" x14ac:dyDescent="0.3">
      <c r="B257" s="116"/>
      <c r="C257" s="116"/>
      <c r="D257" s="116"/>
      <c r="E257" s="116"/>
      <c r="F257" s="116"/>
      <c r="G257" s="116"/>
      <c r="H257" s="116"/>
      <c r="I257" s="116"/>
    </row>
    <row r="258" spans="2:9" x14ac:dyDescent="0.3">
      <c r="B258" s="116"/>
      <c r="C258" s="116"/>
      <c r="D258" s="116"/>
      <c r="E258" s="116"/>
      <c r="F258" s="116"/>
      <c r="G258" s="116"/>
      <c r="H258" s="116"/>
      <c r="I258" s="116"/>
    </row>
    <row r="259" spans="2:9" x14ac:dyDescent="0.3">
      <c r="B259" s="116"/>
      <c r="C259" s="116"/>
      <c r="D259" s="116"/>
      <c r="E259" s="116"/>
      <c r="F259" s="116"/>
      <c r="G259" s="116"/>
      <c r="H259" s="116"/>
      <c r="I259" s="116"/>
    </row>
    <row r="260" spans="2:9" x14ac:dyDescent="0.3">
      <c r="B260" s="116"/>
      <c r="C260" s="116"/>
      <c r="D260" s="116"/>
      <c r="E260" s="116"/>
      <c r="F260" s="116"/>
      <c r="G260" s="116"/>
      <c r="H260" s="116"/>
      <c r="I260" s="116"/>
    </row>
    <row r="261" spans="2:9" x14ac:dyDescent="0.3">
      <c r="B261" s="116"/>
      <c r="C261" s="116"/>
      <c r="D261" s="116"/>
      <c r="E261" s="116"/>
      <c r="F261" s="116"/>
      <c r="G261" s="116"/>
      <c r="H261" s="116"/>
      <c r="I261" s="116"/>
    </row>
    <row r="262" spans="2:9" x14ac:dyDescent="0.3">
      <c r="B262" s="116"/>
      <c r="C262" s="116"/>
      <c r="D262" s="116"/>
      <c r="E262" s="116"/>
      <c r="F262" s="116"/>
      <c r="G262" s="116"/>
      <c r="H262" s="116"/>
      <c r="I262" s="116"/>
    </row>
    <row r="263" spans="2:9" x14ac:dyDescent="0.3">
      <c r="B263" s="116"/>
      <c r="C263" s="116"/>
      <c r="D263" s="116"/>
      <c r="E263" s="116"/>
      <c r="F263" s="116"/>
      <c r="G263" s="116"/>
      <c r="H263" s="116"/>
      <c r="I263" s="116"/>
    </row>
    <row r="264" spans="2:9" x14ac:dyDescent="0.3">
      <c r="B264" s="116"/>
      <c r="C264" s="116"/>
      <c r="D264" s="116"/>
      <c r="E264" s="116"/>
      <c r="F264" s="116"/>
      <c r="G264" s="116"/>
      <c r="H264" s="116"/>
      <c r="I264" s="116"/>
    </row>
    <row r="265" spans="2:9" x14ac:dyDescent="0.3">
      <c r="B265" s="116"/>
      <c r="C265" s="116"/>
      <c r="D265" s="116"/>
      <c r="E265" s="116"/>
      <c r="F265" s="116"/>
      <c r="G265" s="116"/>
      <c r="H265" s="116"/>
      <c r="I265" s="116"/>
    </row>
    <row r="266" spans="2:9" x14ac:dyDescent="0.3">
      <c r="B266" s="116"/>
      <c r="C266" s="116"/>
      <c r="D266" s="116"/>
      <c r="E266" s="116"/>
      <c r="F266" s="116"/>
      <c r="G266" s="116"/>
      <c r="H266" s="116"/>
      <c r="I266" s="116"/>
    </row>
    <row r="267" spans="2:9" x14ac:dyDescent="0.3">
      <c r="B267" s="116"/>
      <c r="C267" s="116"/>
      <c r="D267" s="116"/>
      <c r="E267" s="116"/>
      <c r="F267" s="116"/>
      <c r="G267" s="116"/>
      <c r="H267" s="116"/>
      <c r="I267" s="116"/>
    </row>
    <row r="268" spans="2:9" x14ac:dyDescent="0.3">
      <c r="B268" s="116"/>
      <c r="C268" s="116"/>
      <c r="D268" s="116"/>
      <c r="E268" s="116"/>
      <c r="F268" s="116"/>
      <c r="G268" s="116"/>
      <c r="H268" s="116"/>
      <c r="I268" s="116"/>
    </row>
    <row r="269" spans="2:9" x14ac:dyDescent="0.3">
      <c r="B269" s="116"/>
      <c r="C269" s="116"/>
      <c r="D269" s="116"/>
      <c r="E269" s="116"/>
      <c r="F269" s="116"/>
      <c r="G269" s="116"/>
      <c r="H269" s="116"/>
      <c r="I269" s="116"/>
    </row>
    <row r="270" spans="2:9" x14ac:dyDescent="0.3">
      <c r="B270" s="116"/>
      <c r="C270" s="116"/>
      <c r="D270" s="116"/>
      <c r="E270" s="116"/>
      <c r="F270" s="116"/>
      <c r="G270" s="116"/>
      <c r="H270" s="116"/>
      <c r="I270" s="116"/>
    </row>
    <row r="271" spans="2:9" x14ac:dyDescent="0.3">
      <c r="B271" s="116"/>
      <c r="C271" s="116"/>
      <c r="D271" s="116"/>
      <c r="E271" s="116"/>
      <c r="F271" s="116"/>
      <c r="G271" s="116"/>
      <c r="H271" s="116"/>
      <c r="I271" s="116"/>
    </row>
    <row r="272" spans="2:9" x14ac:dyDescent="0.3">
      <c r="B272" s="116"/>
      <c r="C272" s="116"/>
      <c r="D272" s="116"/>
      <c r="E272" s="116"/>
      <c r="F272" s="116"/>
      <c r="G272" s="116"/>
      <c r="H272" s="116"/>
      <c r="I272" s="116"/>
    </row>
    <row r="273" spans="2:9" x14ac:dyDescent="0.3">
      <c r="B273" s="116"/>
      <c r="C273" s="116"/>
      <c r="D273" s="116"/>
      <c r="E273" s="116"/>
      <c r="F273" s="116"/>
      <c r="G273" s="116"/>
      <c r="H273" s="116"/>
      <c r="I273" s="116"/>
    </row>
    <row r="274" spans="2:9" x14ac:dyDescent="0.3">
      <c r="B274" s="116"/>
      <c r="C274" s="116"/>
      <c r="D274" s="116"/>
      <c r="E274" s="116"/>
      <c r="F274" s="116"/>
      <c r="G274" s="116"/>
      <c r="H274" s="116"/>
      <c r="I274" s="116"/>
    </row>
    <row r="275" spans="2:9" x14ac:dyDescent="0.3">
      <c r="B275" s="116"/>
      <c r="C275" s="116"/>
      <c r="D275" s="116"/>
      <c r="E275" s="116"/>
      <c r="F275" s="116"/>
      <c r="G275" s="116"/>
      <c r="H275" s="116"/>
      <c r="I275" s="116"/>
    </row>
    <row r="276" spans="2:9" x14ac:dyDescent="0.3">
      <c r="B276" s="116"/>
      <c r="C276" s="116"/>
      <c r="D276" s="116"/>
      <c r="E276" s="116"/>
      <c r="F276" s="116"/>
      <c r="G276" s="116"/>
      <c r="H276" s="116"/>
      <c r="I276" s="116"/>
    </row>
    <row r="277" spans="2:9" x14ac:dyDescent="0.3">
      <c r="B277" s="116"/>
      <c r="C277" s="116"/>
      <c r="D277" s="116"/>
      <c r="E277" s="116"/>
      <c r="F277" s="116"/>
      <c r="G277" s="116"/>
      <c r="H277" s="116"/>
      <c r="I277" s="116"/>
    </row>
    <row r="278" spans="2:9" x14ac:dyDescent="0.3">
      <c r="B278" s="116"/>
      <c r="C278" s="116"/>
      <c r="D278" s="116"/>
      <c r="E278" s="116"/>
      <c r="F278" s="116"/>
      <c r="G278" s="116"/>
      <c r="H278" s="116"/>
      <c r="I278" s="116"/>
    </row>
    <row r="279" spans="2:9" x14ac:dyDescent="0.3">
      <c r="B279" s="116"/>
      <c r="C279" s="116"/>
      <c r="D279" s="116"/>
      <c r="E279" s="116"/>
      <c r="F279" s="116"/>
      <c r="G279" s="116"/>
      <c r="H279" s="116"/>
      <c r="I279" s="116"/>
    </row>
  </sheetData>
  <mergeCells count="606">
    <mergeCell ref="QQ27:QQ38"/>
    <mergeCell ref="QZ39:QZ50"/>
    <mergeCell ref="TW45:TW51"/>
    <mergeCell ref="WE41:WE44"/>
    <mergeCell ref="WE45:WE48"/>
    <mergeCell ref="WE49:WE52"/>
    <mergeCell ref="WE53:WE56"/>
    <mergeCell ref="WE57:WE60"/>
    <mergeCell ref="TH1:TS1"/>
    <mergeCell ref="TK17:TK20"/>
    <mergeCell ref="TK3:TK4"/>
    <mergeCell ref="QZ27:QZ38"/>
    <mergeCell ref="VG49:VG52"/>
    <mergeCell ref="VG53:VG56"/>
    <mergeCell ref="VG57:VG60"/>
    <mergeCell ref="UU59:UU65"/>
    <mergeCell ref="VG61:VG64"/>
    <mergeCell ref="UU38:UU44"/>
    <mergeCell ref="UU45:UU51"/>
    <mergeCell ref="UU52:UU58"/>
    <mergeCell ref="SY10:SY16"/>
    <mergeCell ref="SY17:SY23"/>
    <mergeCell ref="TK9:TK12"/>
    <mergeCell ref="TK13:TK16"/>
    <mergeCell ref="APN1:APV1"/>
    <mergeCell ref="QQ3:QQ14"/>
    <mergeCell ref="PY3:PY14"/>
    <mergeCell ref="HJ3:HJ5"/>
    <mergeCell ref="HK11:HK13"/>
    <mergeCell ref="HK14:HK16"/>
    <mergeCell ref="HK17:HK19"/>
    <mergeCell ref="IV3:IV5"/>
    <mergeCell ref="LB3:LB5"/>
    <mergeCell ref="LK3:LK5"/>
    <mergeCell ref="QQ15:QQ26"/>
    <mergeCell ref="OC15:OC26"/>
    <mergeCell ref="NG3:NG14"/>
    <mergeCell ref="LQ3:LQ5"/>
    <mergeCell ref="SB1:SG1"/>
    <mergeCell ref="SH1:SH2"/>
    <mergeCell ref="VG25:VG28"/>
    <mergeCell ref="VG3:VG4"/>
    <mergeCell ref="VG5:VG8"/>
    <mergeCell ref="VG9:VG12"/>
    <mergeCell ref="VG13:VG16"/>
    <mergeCell ref="VG17:VG20"/>
    <mergeCell ref="VG21:VG24"/>
    <mergeCell ref="UR1:VC1"/>
    <mergeCell ref="TW17:TW23"/>
    <mergeCell ref="SY3:SY9"/>
    <mergeCell ref="TT1:UE1"/>
    <mergeCell ref="TW3:TW9"/>
    <mergeCell ref="TW10:TW16"/>
    <mergeCell ref="UF1:UQ1"/>
    <mergeCell ref="TK5:TK8"/>
    <mergeCell ref="SR1:SU1"/>
    <mergeCell ref="UI3:UI4"/>
    <mergeCell ref="UI5:UI8"/>
    <mergeCell ref="FZ9:FZ10"/>
    <mergeCell ref="DQ8:DQ9"/>
    <mergeCell ref="DQ13:DQ14"/>
    <mergeCell ref="GX7:GX8"/>
    <mergeCell ref="DQ10:DQ11"/>
    <mergeCell ref="GX9:GX10"/>
    <mergeCell ref="GX3:GX4"/>
    <mergeCell ref="GX5:GX6"/>
    <mergeCell ref="FZ11:FZ12"/>
    <mergeCell ref="GP9:GP10"/>
    <mergeCell ref="GX11:GX12"/>
    <mergeCell ref="GH11:GH12"/>
    <mergeCell ref="GP11:GP12"/>
    <mergeCell ref="FZ7:FZ8"/>
    <mergeCell ref="GH7:GH8"/>
    <mergeCell ref="GH9:GH10"/>
    <mergeCell ref="GP7:GP8"/>
    <mergeCell ref="AAL1:AAL2"/>
    <mergeCell ref="WN1:WY1"/>
    <mergeCell ref="WQ3:WQ9"/>
    <mergeCell ref="WQ10:WQ16"/>
    <mergeCell ref="WQ17:WQ23"/>
    <mergeCell ref="WQ24:WQ30"/>
    <mergeCell ref="WQ31:WQ37"/>
    <mergeCell ref="WQ38:WQ44"/>
    <mergeCell ref="WQ45:WQ51"/>
    <mergeCell ref="YC9:YC10"/>
    <mergeCell ref="XL1:XL2"/>
    <mergeCell ref="AAC3:AAC9"/>
    <mergeCell ref="AAC10:AAC16"/>
    <mergeCell ref="AAC17:AAC23"/>
    <mergeCell ref="WZ1:XK1"/>
    <mergeCell ref="XC17:XC20"/>
    <mergeCell ref="XC45:XC48"/>
    <mergeCell ref="XC9:XC12"/>
    <mergeCell ref="XC13:XC16"/>
    <mergeCell ref="ZB1:ZM1"/>
    <mergeCell ref="ZE3:ZE9"/>
    <mergeCell ref="ZE10:ZE16"/>
    <mergeCell ref="ZE17:ZE23"/>
    <mergeCell ref="ZE24:ZE30"/>
    <mergeCell ref="ZZ1:AAK1"/>
    <mergeCell ref="XC33:XC36"/>
    <mergeCell ref="XC37:XC40"/>
    <mergeCell ref="XC49:XC52"/>
    <mergeCell ref="XC53:XC56"/>
    <mergeCell ref="XC57:XC60"/>
    <mergeCell ref="XC61:XC64"/>
    <mergeCell ref="XC41:XC44"/>
    <mergeCell ref="ZQ3:ZQ9"/>
    <mergeCell ref="ZQ10:ZQ16"/>
    <mergeCell ref="ZQ17:ZQ23"/>
    <mergeCell ref="ZQ24:ZQ30"/>
    <mergeCell ref="ZQ31:ZQ37"/>
    <mergeCell ref="ZQ38:ZQ44"/>
    <mergeCell ref="ZQ45:ZQ51"/>
    <mergeCell ref="ZQ52:ZQ58"/>
    <mergeCell ref="ZQ59:ZQ65"/>
    <mergeCell ref="AAC52:AAC58"/>
    <mergeCell ref="AAC59:AAC65"/>
    <mergeCell ref="YG3:YG9"/>
    <mergeCell ref="YG10:YG16"/>
    <mergeCell ref="YG17:YG23"/>
    <mergeCell ref="YG24:YG30"/>
    <mergeCell ref="YG31:YG37"/>
    <mergeCell ref="YP1:ZA1"/>
    <mergeCell ref="YS3:YS9"/>
    <mergeCell ref="YS10:YS16"/>
    <mergeCell ref="YS17:YS23"/>
    <mergeCell ref="YS24:YS30"/>
    <mergeCell ref="YS31:YS37"/>
    <mergeCell ref="YS38:YS44"/>
    <mergeCell ref="YS45:YS51"/>
    <mergeCell ref="YS52:YS58"/>
    <mergeCell ref="NU1:OB1"/>
    <mergeCell ref="OB3:OB24"/>
    <mergeCell ref="MX3:MX14"/>
    <mergeCell ref="DP1:DQ2"/>
    <mergeCell ref="KQ3:KQ5"/>
    <mergeCell ref="JH3:JH5"/>
    <mergeCell ref="JN3:JN5"/>
    <mergeCell ref="JZ1:KB1"/>
    <mergeCell ref="KB3:KB5"/>
    <mergeCell ref="HF3:HF5"/>
    <mergeCell ref="DP8:DP9"/>
    <mergeCell ref="DP10:DP11"/>
    <mergeCell ref="DP13:DP14"/>
    <mergeCell ref="DP15:DP16"/>
    <mergeCell ref="FT3:FT5"/>
    <mergeCell ref="FZ3:FZ4"/>
    <mergeCell ref="GH3:GH4"/>
    <mergeCell ref="FZ5:FZ6"/>
    <mergeCell ref="DQ15:DQ16"/>
    <mergeCell ref="HK6:HK7"/>
    <mergeCell ref="HK8:HK10"/>
    <mergeCell ref="GH5:GH6"/>
    <mergeCell ref="GP3:GP4"/>
    <mergeCell ref="GP5:GP6"/>
    <mergeCell ref="MI1:MK1"/>
    <mergeCell ref="ML1:MO1"/>
    <mergeCell ref="FU1:FY1"/>
    <mergeCell ref="FY3:FY5"/>
    <mergeCell ref="EO1:ET1"/>
    <mergeCell ref="ET3:ET5"/>
    <mergeCell ref="EV1:FC1"/>
    <mergeCell ref="FC3:FC5"/>
    <mergeCell ref="EE1:EH1"/>
    <mergeCell ref="EH3:EH5"/>
    <mergeCell ref="EI1:EN1"/>
    <mergeCell ref="EN3:EN5"/>
    <mergeCell ref="GI1:GP1"/>
    <mergeCell ref="FD1:FG1"/>
    <mergeCell ref="FG3:FG5"/>
    <mergeCell ref="FH1:FT1"/>
    <mergeCell ref="MH3:MH5"/>
    <mergeCell ref="EU1:EU2"/>
    <mergeCell ref="HM1:HT1"/>
    <mergeCell ref="HU1:HY1"/>
    <mergeCell ref="HT3:HT5"/>
    <mergeCell ref="HZ1:ID1"/>
    <mergeCell ref="JO1:JO2"/>
    <mergeCell ref="IW1:JB1"/>
    <mergeCell ref="AL1:AL2"/>
    <mergeCell ref="AL3:AL5"/>
    <mergeCell ref="BB1:BB2"/>
    <mergeCell ref="AO3:AO5"/>
    <mergeCell ref="AP3:AP5"/>
    <mergeCell ref="AW3:AW4"/>
    <mergeCell ref="AT1:AT2"/>
    <mergeCell ref="AT3:AT5"/>
    <mergeCell ref="AM1:AM2"/>
    <mergeCell ref="AN1:AP1"/>
    <mergeCell ref="AU1:AU2"/>
    <mergeCell ref="AV1:AX1"/>
    <mergeCell ref="AR3:AR5"/>
    <mergeCell ref="AS3:AS5"/>
    <mergeCell ref="AX3:AX4"/>
    <mergeCell ref="AQ1:AS1"/>
    <mergeCell ref="AD3:AD5"/>
    <mergeCell ref="AE1:AK1"/>
    <mergeCell ref="AK3:AK5"/>
    <mergeCell ref="B1:I1"/>
    <mergeCell ref="J1:M1"/>
    <mergeCell ref="AJ3:AJ5"/>
    <mergeCell ref="U1:AD1"/>
    <mergeCell ref="N1:N2"/>
    <mergeCell ref="O1:T1"/>
    <mergeCell ref="T3:T5"/>
    <mergeCell ref="DV87:DV93"/>
    <mergeCell ref="DR1:DR2"/>
    <mergeCell ref="DV3:DV9"/>
    <mergeCell ref="BM1:BQ1"/>
    <mergeCell ref="CC3:CC5"/>
    <mergeCell ref="CH3:CH5"/>
    <mergeCell ref="CD1:CH1"/>
    <mergeCell ref="BQ3:BQ5"/>
    <mergeCell ref="DF1:DJ1"/>
    <mergeCell ref="DJ3:DJ5"/>
    <mergeCell ref="DK1:DO1"/>
    <mergeCell ref="DO3:DO5"/>
    <mergeCell ref="BR1:CC1"/>
    <mergeCell ref="CN1:CU1"/>
    <mergeCell ref="CU3:CU5"/>
    <mergeCell ref="CV1:CZ1"/>
    <mergeCell ref="CI1:CM1"/>
    <mergeCell ref="CM3:CM5"/>
    <mergeCell ref="CZ3:CZ5"/>
    <mergeCell ref="DA1:DE1"/>
    <mergeCell ref="DE3:DE5"/>
    <mergeCell ref="DV31:DV37"/>
    <mergeCell ref="DV38:DV44"/>
    <mergeCell ref="DV80:DV86"/>
    <mergeCell ref="BG1:BL1"/>
    <mergeCell ref="BF3:BF5"/>
    <mergeCell ref="BL3:BL5"/>
    <mergeCell ref="AZ3:AZ4"/>
    <mergeCell ref="BA3:BA4"/>
    <mergeCell ref="BB3:BB5"/>
    <mergeCell ref="BC1:BF1"/>
    <mergeCell ref="AY1:BA1"/>
    <mergeCell ref="LR1:LW1"/>
    <mergeCell ref="LW3:LW5"/>
    <mergeCell ref="GY1:HF1"/>
    <mergeCell ref="JC1:JH1"/>
    <mergeCell ref="HK1:HL2"/>
    <mergeCell ref="KR1:KT1"/>
    <mergeCell ref="HG1:HJ1"/>
    <mergeCell ref="JP1:JY1"/>
    <mergeCell ref="KC1:KG1"/>
    <mergeCell ref="KG3:KG5"/>
    <mergeCell ref="KT3:KT5"/>
    <mergeCell ref="IN3:IN5"/>
    <mergeCell ref="HK4:HK5"/>
    <mergeCell ref="HY3:HY5"/>
    <mergeCell ref="IE1:IN1"/>
    <mergeCell ref="IO1:IV1"/>
    <mergeCell ref="NK45:NK51"/>
    <mergeCell ref="DV94:DV100"/>
    <mergeCell ref="OL51:OL62"/>
    <mergeCell ref="OC27:OC38"/>
    <mergeCell ref="OL27:OL38"/>
    <mergeCell ref="NK101:NK107"/>
    <mergeCell ref="NK10:NK16"/>
    <mergeCell ref="NK17:NK23"/>
    <mergeCell ref="NK24:NK30"/>
    <mergeCell ref="NK31:NK37"/>
    <mergeCell ref="NK38:NK44"/>
    <mergeCell ref="JY3:JY12"/>
    <mergeCell ref="ID3:ID5"/>
    <mergeCell ref="DV101:DV107"/>
    <mergeCell ref="DV45:DV51"/>
    <mergeCell ref="DV52:DV58"/>
    <mergeCell ref="DV59:DV65"/>
    <mergeCell ref="DV66:DV72"/>
    <mergeCell ref="DV73:DV79"/>
    <mergeCell ref="DV10:DV16"/>
    <mergeCell ref="DV17:DV23"/>
    <mergeCell ref="DV24:DV30"/>
    <mergeCell ref="NK52:NK58"/>
    <mergeCell ref="JB3:JB5"/>
    <mergeCell ref="LY1:MH1"/>
    <mergeCell ref="KU1:LB1"/>
    <mergeCell ref="LC1:LK1"/>
    <mergeCell ref="LX1:LX2"/>
    <mergeCell ref="MW1:MW2"/>
    <mergeCell ref="TW87:TW93"/>
    <mergeCell ref="TW94:TW100"/>
    <mergeCell ref="TW101:TW107"/>
    <mergeCell ref="TW73:TW79"/>
    <mergeCell ref="TW80:TW86"/>
    <mergeCell ref="SY87:SY93"/>
    <mergeCell ref="SY94:SY100"/>
    <mergeCell ref="SY101:SY107"/>
    <mergeCell ref="TK21:TK24"/>
    <mergeCell ref="TK25:TK28"/>
    <mergeCell ref="TK29:TK32"/>
    <mergeCell ref="TK33:TK36"/>
    <mergeCell ref="TK37:TK40"/>
    <mergeCell ref="TK41:TK44"/>
    <mergeCell ref="TK45:TK48"/>
    <mergeCell ref="TK49:TK52"/>
    <mergeCell ref="TK53:TK56"/>
    <mergeCell ref="SY66:SY72"/>
    <mergeCell ref="SY73:SY79"/>
    <mergeCell ref="SY80:SY86"/>
    <mergeCell ref="TW59:TW65"/>
    <mergeCell ref="SY52:SY58"/>
    <mergeCell ref="SY59:SY65"/>
    <mergeCell ref="TK61:TK64"/>
    <mergeCell ref="AAC94:AAC100"/>
    <mergeCell ref="VS94:VS100"/>
    <mergeCell ref="YS94:YS100"/>
    <mergeCell ref="ZE52:ZE58"/>
    <mergeCell ref="ZE59:ZE65"/>
    <mergeCell ref="YS59:YS65"/>
    <mergeCell ref="YS66:YS72"/>
    <mergeCell ref="YS73:YS79"/>
    <mergeCell ref="YS80:YS86"/>
    <mergeCell ref="YS87:YS93"/>
    <mergeCell ref="VS52:VS58"/>
    <mergeCell ref="VS59:VS65"/>
    <mergeCell ref="ZQ87:ZQ93"/>
    <mergeCell ref="ZQ94:ZQ100"/>
    <mergeCell ref="TK57:TK60"/>
    <mergeCell ref="YG80:YG86"/>
    <mergeCell ref="WQ52:WQ58"/>
    <mergeCell ref="YG52:YG58"/>
    <mergeCell ref="YG59:YG65"/>
    <mergeCell ref="AAC66:AAC72"/>
    <mergeCell ref="AAC73:AAC79"/>
    <mergeCell ref="AAC80:AAC86"/>
    <mergeCell ref="WQ87:WQ93"/>
    <mergeCell ref="YG94:YG100"/>
    <mergeCell ref="YG101:YG107"/>
    <mergeCell ref="ZE94:ZE100"/>
    <mergeCell ref="AAC101:AAC107"/>
    <mergeCell ref="YG87:YG93"/>
    <mergeCell ref="ZE66:ZE72"/>
    <mergeCell ref="ZE73:ZE79"/>
    <mergeCell ref="ZE80:ZE86"/>
    <mergeCell ref="ZE87:ZE93"/>
    <mergeCell ref="AAC87:AAC93"/>
    <mergeCell ref="UU101:UU107"/>
    <mergeCell ref="ZQ66:ZQ72"/>
    <mergeCell ref="ZQ73:ZQ79"/>
    <mergeCell ref="ZQ80:ZQ86"/>
    <mergeCell ref="ZQ101:ZQ107"/>
    <mergeCell ref="YG66:YG72"/>
    <mergeCell ref="YG73:YG79"/>
    <mergeCell ref="VS66:VS72"/>
    <mergeCell ref="VS73:VS79"/>
    <mergeCell ref="VS80:VS86"/>
    <mergeCell ref="WQ66:WQ72"/>
    <mergeCell ref="WQ73:WQ79"/>
    <mergeCell ref="WQ80:WQ86"/>
    <mergeCell ref="UU73:UU79"/>
    <mergeCell ref="VS87:VS93"/>
    <mergeCell ref="VS101:VS107"/>
    <mergeCell ref="UU80:UU86"/>
    <mergeCell ref="ZE101:ZE107"/>
    <mergeCell ref="WQ94:WQ100"/>
    <mergeCell ref="WQ101:WQ107"/>
    <mergeCell ref="UU87:UU93"/>
    <mergeCell ref="UU94:UU100"/>
    <mergeCell ref="YS101:YS107"/>
    <mergeCell ref="ADH1:ADQ1"/>
    <mergeCell ref="ACD1:ACM1"/>
    <mergeCell ref="ACN1:ACW1"/>
    <mergeCell ref="DS1:EC1"/>
    <mergeCell ref="ED1:ED2"/>
    <mergeCell ref="OC1:OL1"/>
    <mergeCell ref="AAV1:ABA1"/>
    <mergeCell ref="AAM1:AAU1"/>
    <mergeCell ref="ABB1:ABB2"/>
    <mergeCell ref="ABL1:ABQ1"/>
    <mergeCell ref="ABC1:ABK1"/>
    <mergeCell ref="PQ1:PY1"/>
    <mergeCell ref="RA1:RB2"/>
    <mergeCell ref="QI1:QQ1"/>
    <mergeCell ref="MP1:MS1"/>
    <mergeCell ref="NT1:NT2"/>
    <mergeCell ref="MX1:NG1"/>
    <mergeCell ref="OM1:ON1"/>
    <mergeCell ref="MT1:MV1"/>
    <mergeCell ref="LL1:LQ1"/>
    <mergeCell ref="GQ1:GX1"/>
    <mergeCell ref="KH1:KQ1"/>
    <mergeCell ref="JI1:JN1"/>
    <mergeCell ref="FZ1:GH1"/>
    <mergeCell ref="YC11:YC12"/>
    <mergeCell ref="UI25:UI28"/>
    <mergeCell ref="UU24:UU30"/>
    <mergeCell ref="UU10:UU16"/>
    <mergeCell ref="VS3:VS9"/>
    <mergeCell ref="VS10:VS16"/>
    <mergeCell ref="VS17:VS23"/>
    <mergeCell ref="VS24:VS30"/>
    <mergeCell ref="UU3:UU9"/>
    <mergeCell ref="UI29:UI32"/>
    <mergeCell ref="UU31:UU37"/>
    <mergeCell ref="UI33:UI36"/>
    <mergeCell ref="UI37:UI40"/>
    <mergeCell ref="UU17:UU23"/>
    <mergeCell ref="VS38:VS44"/>
    <mergeCell ref="XC25:XC28"/>
    <mergeCell ref="XC29:XC32"/>
    <mergeCell ref="WE29:WE32"/>
    <mergeCell ref="VS31:VS37"/>
    <mergeCell ref="WE33:WE36"/>
    <mergeCell ref="UI9:UI12"/>
    <mergeCell ref="UI13:UI16"/>
    <mergeCell ref="UI17:UI20"/>
    <mergeCell ref="UI21:UI24"/>
    <mergeCell ref="XM1:XU1"/>
    <mergeCell ref="XV1:XY1"/>
    <mergeCell ref="XC21:XC24"/>
    <mergeCell ref="WE5:WE8"/>
    <mergeCell ref="WE9:WE12"/>
    <mergeCell ref="WE13:WE16"/>
    <mergeCell ref="WE17:WE20"/>
    <mergeCell ref="WE21:WE24"/>
    <mergeCell ref="VG29:VG32"/>
    <mergeCell ref="WE25:WE28"/>
    <mergeCell ref="XC3:XC4"/>
    <mergeCell ref="XC5:XC8"/>
    <mergeCell ref="WB1:WM1"/>
    <mergeCell ref="WE3:WE4"/>
    <mergeCell ref="VD1:VO1"/>
    <mergeCell ref="TW66:TW72"/>
    <mergeCell ref="UU66:UU72"/>
    <mergeCell ref="WE37:WE40"/>
    <mergeCell ref="VG33:VG36"/>
    <mergeCell ref="VG37:VG40"/>
    <mergeCell ref="ZE31:ZE37"/>
    <mergeCell ref="ZE38:ZE44"/>
    <mergeCell ref="ZE45:ZE51"/>
    <mergeCell ref="TW24:TW30"/>
    <mergeCell ref="TW31:TW37"/>
    <mergeCell ref="TW38:TW44"/>
    <mergeCell ref="TW52:TW58"/>
    <mergeCell ref="YG38:YG44"/>
    <mergeCell ref="YG45:YG51"/>
    <mergeCell ref="VS45:VS51"/>
    <mergeCell ref="WE61:WE64"/>
    <mergeCell ref="UI41:UI44"/>
    <mergeCell ref="UI45:UI48"/>
    <mergeCell ref="UI49:UI52"/>
    <mergeCell ref="UI53:UI56"/>
    <mergeCell ref="UI57:UI60"/>
    <mergeCell ref="UI61:UI64"/>
    <mergeCell ref="VG41:VG44"/>
    <mergeCell ref="VG45:VG48"/>
    <mergeCell ref="AFQ80:AFQ86"/>
    <mergeCell ref="AFQ87:AFQ93"/>
    <mergeCell ref="AFQ94:AFQ100"/>
    <mergeCell ref="AFQ101:AFQ107"/>
    <mergeCell ref="AFE87:AFE93"/>
    <mergeCell ref="AFE94:AFE100"/>
    <mergeCell ref="AFE101:AFE107"/>
    <mergeCell ref="AFB1:AFM1"/>
    <mergeCell ref="AFE3:AFE9"/>
    <mergeCell ref="AFE10:AFE16"/>
    <mergeCell ref="AFE17:AFE23"/>
    <mergeCell ref="AFE24:AFE30"/>
    <mergeCell ref="AFE31:AFE37"/>
    <mergeCell ref="AFE38:AFE44"/>
    <mergeCell ref="AFE45:AFE51"/>
    <mergeCell ref="AFE52:AFE58"/>
    <mergeCell ref="AFE59:AFE65"/>
    <mergeCell ref="AFE66:AFE72"/>
    <mergeCell ref="AFE73:AFE79"/>
    <mergeCell ref="AFE80:AFE86"/>
    <mergeCell ref="AHA59:AHA65"/>
    <mergeCell ref="AHA66:AHA72"/>
    <mergeCell ref="AHA73:AHA79"/>
    <mergeCell ref="AHA80:AHA86"/>
    <mergeCell ref="AHA87:AHA93"/>
    <mergeCell ref="AHA94:AHA100"/>
    <mergeCell ref="AHA101:AHA107"/>
    <mergeCell ref="AGL1:AGW1"/>
    <mergeCell ref="AGO3:AGO9"/>
    <mergeCell ref="AGO10:AGO16"/>
    <mergeCell ref="AGO17:AGO23"/>
    <mergeCell ref="AGX1:AHI1"/>
    <mergeCell ref="AHA3:AHA9"/>
    <mergeCell ref="AHA10:AHA16"/>
    <mergeCell ref="AHA17:AHA23"/>
    <mergeCell ref="AHA24:AHA30"/>
    <mergeCell ref="AHA31:AHA37"/>
    <mergeCell ref="AHA38:AHA44"/>
    <mergeCell ref="AHA45:AHA51"/>
    <mergeCell ref="AHA52:AHA58"/>
    <mergeCell ref="AGO66:AGO72"/>
    <mergeCell ref="AGO73:AGO79"/>
    <mergeCell ref="AGO24:AGO30"/>
    <mergeCell ref="AGO31:AGO37"/>
    <mergeCell ref="AAC24:AAC30"/>
    <mergeCell ref="AAC31:AAC37"/>
    <mergeCell ref="AAC38:AAC44"/>
    <mergeCell ref="AAC45:AAC51"/>
    <mergeCell ref="ACX1:ADG1"/>
    <mergeCell ref="AGO80:AGO86"/>
    <mergeCell ref="AGO87:AGO93"/>
    <mergeCell ref="AGO94:AGO100"/>
    <mergeCell ref="AGO101:AGO107"/>
    <mergeCell ref="AGC80:AGC86"/>
    <mergeCell ref="AGC87:AGC93"/>
    <mergeCell ref="AGC94:AGC100"/>
    <mergeCell ref="AGC101:AGC107"/>
    <mergeCell ref="AFN1:AFY1"/>
    <mergeCell ref="AFQ3:AFQ9"/>
    <mergeCell ref="AFQ10:AFQ16"/>
    <mergeCell ref="AFQ17:AFQ23"/>
    <mergeCell ref="AFZ1:AGK1"/>
    <mergeCell ref="AGC3:AGC9"/>
    <mergeCell ref="AGC10:AGC16"/>
    <mergeCell ref="AGC17:AGC23"/>
    <mergeCell ref="AGC24:AGC30"/>
    <mergeCell ref="AGC31:AGC37"/>
    <mergeCell ref="AGC38:AGC44"/>
    <mergeCell ref="AGO38:AGO44"/>
    <mergeCell ref="AGO45:AGO51"/>
    <mergeCell ref="AGO52:AGO58"/>
    <mergeCell ref="AFQ59:AFQ65"/>
    <mergeCell ref="AFQ66:AFQ72"/>
    <mergeCell ref="AFQ73:AFQ79"/>
    <mergeCell ref="AFQ24:AFQ30"/>
    <mergeCell ref="AFQ31:AFQ37"/>
    <mergeCell ref="AFQ38:AFQ44"/>
    <mergeCell ref="AFQ45:AFQ51"/>
    <mergeCell ref="AFQ52:AFQ58"/>
    <mergeCell ref="AGC59:AGC65"/>
    <mergeCell ref="AGC66:AGC72"/>
    <mergeCell ref="AGC73:AGC79"/>
    <mergeCell ref="AGC45:AGC51"/>
    <mergeCell ref="AGC52:AGC58"/>
    <mergeCell ref="AHJ1:AHJ2"/>
    <mergeCell ref="AGO59:AGO65"/>
    <mergeCell ref="ADR1:ADR2"/>
    <mergeCell ref="ADS1:AEA1"/>
    <mergeCell ref="AEJ1:AEK1"/>
    <mergeCell ref="AEM1:AER1"/>
    <mergeCell ref="ABA3:ABA14"/>
    <mergeCell ref="VP1:WA1"/>
    <mergeCell ref="ZN1:ZY1"/>
    <mergeCell ref="ABX1:ACC1"/>
    <mergeCell ref="ABR1:ABW1"/>
    <mergeCell ref="WQ59:WQ65"/>
    <mergeCell ref="ABA15:ABA26"/>
    <mergeCell ref="ABA27:ABA38"/>
    <mergeCell ref="ABA39:ABA50"/>
    <mergeCell ref="ABA51:ABA62"/>
    <mergeCell ref="AEB1:AEI1"/>
    <mergeCell ref="AEY1:AFA1"/>
    <mergeCell ref="AES1:AEX1"/>
    <mergeCell ref="XZ1:YC1"/>
    <mergeCell ref="YC3:YC4"/>
    <mergeCell ref="YC5:YC6"/>
    <mergeCell ref="YC7:YC8"/>
    <mergeCell ref="YD1:YO1"/>
    <mergeCell ref="SY45:SY51"/>
    <mergeCell ref="RC1:RK1"/>
    <mergeCell ref="SI1:SQ1"/>
    <mergeCell ref="SV1:TG1"/>
    <mergeCell ref="OC39:OC50"/>
    <mergeCell ref="OL39:OL50"/>
    <mergeCell ref="OC51:OC56"/>
    <mergeCell ref="PY27:PY38"/>
    <mergeCell ref="PY39:PY50"/>
    <mergeCell ref="PY51:PY62"/>
    <mergeCell ref="QH27:QH38"/>
    <mergeCell ref="QH39:QH50"/>
    <mergeCell ref="QH51:QH62"/>
    <mergeCell ref="SY24:SY30"/>
    <mergeCell ref="SY31:SY37"/>
    <mergeCell ref="PE1:PJ1"/>
    <mergeCell ref="OO1:OO2"/>
    <mergeCell ref="OY1:PD1"/>
    <mergeCell ref="QZ51:QZ62"/>
    <mergeCell ref="QQ39:QQ50"/>
    <mergeCell ref="PK1:PP1"/>
    <mergeCell ref="RL1:RO1"/>
    <mergeCell ref="RP1:RU1"/>
    <mergeCell ref="RV1:SA1"/>
    <mergeCell ref="AHK1:AHS1"/>
    <mergeCell ref="AHT1:ALP1"/>
    <mergeCell ref="ALQ1:APM1"/>
    <mergeCell ref="NK73:NK79"/>
    <mergeCell ref="NK80:NK86"/>
    <mergeCell ref="NK59:NK65"/>
    <mergeCell ref="NK66:NK72"/>
    <mergeCell ref="NK87:NK93"/>
    <mergeCell ref="NK94:NK100"/>
    <mergeCell ref="QR1:QZ1"/>
    <mergeCell ref="QZ3:QZ14"/>
    <mergeCell ref="QZ15:QZ26"/>
    <mergeCell ref="OC3:OC14"/>
    <mergeCell ref="OL3:OL14"/>
    <mergeCell ref="OL15:OL26"/>
    <mergeCell ref="PY15:PY26"/>
    <mergeCell ref="NH1:NS1"/>
    <mergeCell ref="NK3:NK9"/>
    <mergeCell ref="QQ51:QQ62"/>
    <mergeCell ref="QH3:QH14"/>
    <mergeCell ref="QH15:QH26"/>
    <mergeCell ref="OP1:OX1"/>
    <mergeCell ref="PZ1:QH1"/>
    <mergeCell ref="SY38:SY44"/>
  </mergeCells>
  <conditionalFormatting sqref="V1:V8 V66:V1048576">
    <cfRule type="duplicateValues" dxfId="89" priority="572"/>
  </conditionalFormatting>
  <conditionalFormatting sqref="DT2:DT1048576">
    <cfRule type="duplicateValues" dxfId="88" priority="571"/>
  </conditionalFormatting>
  <conditionalFormatting sqref="ML7:ML9">
    <cfRule type="duplicateValues" dxfId="87" priority="551"/>
  </conditionalFormatting>
  <conditionalFormatting sqref="MP7:MP9">
    <cfRule type="duplicateValues" dxfId="86" priority="550"/>
  </conditionalFormatting>
  <conditionalFormatting sqref="FU7:FV9">
    <cfRule type="duplicateValues" dxfId="85" priority="423"/>
  </conditionalFormatting>
  <conditionalFormatting sqref="JO1:JO2">
    <cfRule type="expression" dxfId="84" priority="169">
      <formula>$ID$3="ТОТ"</formula>
    </cfRule>
  </conditionalFormatting>
  <conditionalFormatting sqref="LX1:LX3 JO3">
    <cfRule type="expression" dxfId="83" priority="168">
      <formula>$KG$3="ТОТ"</formula>
    </cfRule>
  </conditionalFormatting>
  <conditionalFormatting sqref="MW4">
    <cfRule type="expression" dxfId="82" priority="166">
      <formula>OR(AND($MW$4="К ВИНОВНИКУ",$ID$3="ТОТ"),AND($MW$4="ПВУ",$KG$3="ТОТ"))</formula>
    </cfRule>
  </conditionalFormatting>
  <conditionalFormatting sqref="MT7:MT9">
    <cfRule type="duplicateValues" dxfId="81" priority="2"/>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46" id="{30FF19E1-3528-46FF-A43A-8E39CE29F355}">
            <xm:f>CHALLANGE!$E$6=0</xm:f>
            <x14:dxf>
              <font>
                <color rgb="FFFF0000"/>
              </font>
            </x14:dxf>
          </x14:cfRule>
          <x14:cfRule type="expression" priority="48" id="{55C63DD8-922D-40D3-8DBC-78F10F4202CB}">
            <xm:f>CHALLANGE!$E$6=1</xm:f>
            <x14:dxf>
              <font>
                <color rgb="FF92D050"/>
              </font>
            </x14:dxf>
          </x14:cfRule>
          <xm:sqref>AL3:AL5</xm:sqref>
        </x14:conditionalFormatting>
        <x14:conditionalFormatting xmlns:xm="http://schemas.microsoft.com/office/excel/2006/main">
          <x14:cfRule type="expression" priority="45" id="{15D1AACF-59F8-4D26-8393-A659A98C2345}">
            <xm:f>CHALLANGE!$E$7=0</xm:f>
            <x14:dxf>
              <font>
                <color rgb="FFFF0000"/>
              </font>
            </x14:dxf>
          </x14:cfRule>
          <x14:cfRule type="expression" priority="47" id="{15362F01-6917-4D71-9DF0-3D546B13EC64}">
            <xm:f>CHALLANGE!$E$7=1</xm:f>
            <x14:dxf>
              <font>
                <color rgb="FF92D050"/>
              </font>
            </x14:dxf>
          </x14:cfRule>
          <xm:sqref>DQ3</xm:sqref>
        </x14:conditionalFormatting>
        <x14:conditionalFormatting xmlns:xm="http://schemas.microsoft.com/office/excel/2006/main">
          <x14:cfRule type="expression" priority="43" id="{FEDCA09A-18F1-480E-8740-8A68875D2F26}">
            <xm:f>CHALLANGE!$E$3=0</xm:f>
            <x14:dxf>
              <font>
                <color rgb="FFFF0000"/>
              </font>
            </x14:dxf>
          </x14:cfRule>
          <x14:cfRule type="expression" priority="44" id="{F5E1C19A-ADC2-4E47-9631-2C97A5F3CC15}">
            <xm:f>CHALLANGE!$E$3=1</xm:f>
            <x14:dxf>
              <font>
                <color rgb="FF92D050"/>
              </font>
            </x14:dxf>
          </x14:cfRule>
          <xm:sqref>DQ4</xm:sqref>
        </x14:conditionalFormatting>
        <x14:conditionalFormatting xmlns:xm="http://schemas.microsoft.com/office/excel/2006/main">
          <x14:cfRule type="expression" priority="41" id="{568C9CDA-BD76-44EB-902D-CEA668EFA398}">
            <xm:f>CHALLANGE!$E$2=0</xm:f>
            <x14:dxf>
              <font>
                <color rgb="FFFF0000"/>
              </font>
            </x14:dxf>
          </x14:cfRule>
          <x14:cfRule type="expression" priority="42" id="{FCA538C9-5F7A-4A16-B4AA-E05D31E8D5A8}">
            <xm:f>CHALLANGE!$E$2=1</xm:f>
            <x14:dxf>
              <font>
                <color rgb="FF92D050"/>
              </font>
            </x14:dxf>
          </x14:cfRule>
          <xm:sqref>DQ5</xm:sqref>
        </x14:conditionalFormatting>
        <x14:conditionalFormatting xmlns:xm="http://schemas.microsoft.com/office/excel/2006/main">
          <x14:cfRule type="expression" priority="39" id="{5C8F2BCD-36CB-4047-9DB2-4D47B06BA117}">
            <xm:f>CHALLANGE!$E$9=0</xm:f>
            <x14:dxf>
              <font>
                <color rgb="FFFF0000"/>
              </font>
            </x14:dxf>
          </x14:cfRule>
          <x14:cfRule type="expression" priority="40" id="{0987C561-424B-4DCB-A2AE-E0537F9E846B}">
            <xm:f>CHALLANGE!$E$9=1</xm:f>
            <x14:dxf>
              <font>
                <color rgb="FF92D050"/>
              </font>
            </x14:dxf>
          </x14:cfRule>
          <xm:sqref>DQ6</xm:sqref>
        </x14:conditionalFormatting>
        <x14:conditionalFormatting xmlns:xm="http://schemas.microsoft.com/office/excel/2006/main">
          <x14:cfRule type="expression" priority="37" id="{691B4034-8CCA-4719-8CC3-816AC2DEB87C}">
            <xm:f>CHALLANGE!$E$11=0</xm:f>
            <x14:dxf>
              <font>
                <color rgb="FFFF0000"/>
              </font>
            </x14:dxf>
          </x14:cfRule>
          <x14:cfRule type="expression" priority="38" id="{8EC92B0A-96B0-45F3-AC4F-049FADA4BAD1}">
            <xm:f>CHALLANGE!$E$11=1</xm:f>
            <x14:dxf>
              <font>
                <color rgb="FF92D050"/>
              </font>
            </x14:dxf>
          </x14:cfRule>
          <xm:sqref>DQ7</xm:sqref>
        </x14:conditionalFormatting>
        <x14:conditionalFormatting xmlns:xm="http://schemas.microsoft.com/office/excel/2006/main">
          <x14:cfRule type="expression" priority="35" id="{A808D7DB-B781-4405-BE66-0AAB8F25E13C}">
            <xm:f>CHALLANGE!$E$12=0</xm:f>
            <x14:dxf>
              <font>
                <color rgb="FFFF0000"/>
              </font>
            </x14:dxf>
          </x14:cfRule>
          <x14:cfRule type="expression" priority="36" id="{85C7A7A5-4836-491A-92B9-221376E7AE79}">
            <xm:f>CHALLANGE!$E$12=1</xm:f>
            <x14:dxf>
              <font>
                <color rgb="FF92D050"/>
              </font>
            </x14:dxf>
          </x14:cfRule>
          <xm:sqref>DQ8:DQ9</xm:sqref>
        </x14:conditionalFormatting>
        <x14:conditionalFormatting xmlns:xm="http://schemas.microsoft.com/office/excel/2006/main">
          <x14:cfRule type="expression" priority="33" id="{3CCB8B7C-5F78-46BC-B157-0767E221F1D5}">
            <xm:f>CHALLANGE!$E$13=0</xm:f>
            <x14:dxf>
              <font>
                <color rgb="FFFF0000"/>
              </font>
            </x14:dxf>
          </x14:cfRule>
          <x14:cfRule type="expression" priority="34" id="{D403E2C3-1820-42F6-AF8F-C3CAA3003D44}">
            <xm:f>CHALLANGE!$E$13=1</xm:f>
            <x14:dxf>
              <font>
                <color rgb="FF92D050"/>
              </font>
            </x14:dxf>
          </x14:cfRule>
          <xm:sqref>DQ10:DQ11</xm:sqref>
        </x14:conditionalFormatting>
        <x14:conditionalFormatting xmlns:xm="http://schemas.microsoft.com/office/excel/2006/main">
          <x14:cfRule type="expression" priority="31" id="{E75AA2F4-B3D9-4DC9-9FF0-9CCB99F422A5}">
            <xm:f>CHALLANGE!$E$14=0</xm:f>
            <x14:dxf>
              <font>
                <color rgb="FFFF0000"/>
              </font>
            </x14:dxf>
          </x14:cfRule>
          <x14:cfRule type="expression" priority="32" id="{75CDC8C0-5D1E-4D6D-9081-90C010E9D8BA}">
            <xm:f>CHALLANGE!$E$14=1</xm:f>
            <x14:dxf>
              <font>
                <color rgb="FF92D050"/>
              </font>
            </x14:dxf>
          </x14:cfRule>
          <xm:sqref>DQ12</xm:sqref>
        </x14:conditionalFormatting>
        <x14:conditionalFormatting xmlns:xm="http://schemas.microsoft.com/office/excel/2006/main">
          <x14:cfRule type="expression" priority="29" id="{0391CA27-DE2B-46E2-9F26-371386FC5512}">
            <xm:f>CHALLANGE!$E$15=0</xm:f>
            <x14:dxf>
              <font>
                <color rgb="FFFF0000"/>
              </font>
            </x14:dxf>
          </x14:cfRule>
          <x14:cfRule type="expression" priority="30" id="{5CCEEFBE-5BC3-4037-ACCB-AA55A12FF4F2}">
            <xm:f>CHALLANGE!$E$15=1</xm:f>
            <x14:dxf>
              <font>
                <color rgb="FF92D050"/>
              </font>
            </x14:dxf>
          </x14:cfRule>
          <xm:sqref>DQ13:DQ14</xm:sqref>
        </x14:conditionalFormatting>
        <x14:conditionalFormatting xmlns:xm="http://schemas.microsoft.com/office/excel/2006/main">
          <x14:cfRule type="expression" priority="27" id="{1B85AD21-E843-4519-821A-07F84582944D}">
            <xm:f>CHALLANGE!$E$16=0</xm:f>
            <x14:dxf>
              <font>
                <color rgb="FFFF0000"/>
              </font>
            </x14:dxf>
          </x14:cfRule>
          <x14:cfRule type="expression" priority="28" id="{973B2D33-F5C3-4FA3-BEDF-373736337102}">
            <xm:f>CHALLANGE!$E$16=1</xm:f>
            <x14:dxf>
              <font>
                <color rgb="FF92D050"/>
              </font>
            </x14:dxf>
          </x14:cfRule>
          <xm:sqref>DQ15:DQ16</xm:sqref>
        </x14:conditionalFormatting>
        <x14:conditionalFormatting xmlns:xm="http://schemas.microsoft.com/office/excel/2006/main">
          <x14:cfRule type="expression" priority="25" id="{23A99076-FB61-417C-B454-E743F58D0747}">
            <xm:f>CHALLANGE!$E$17=0</xm:f>
            <x14:dxf>
              <font>
                <color rgb="FFFF0000"/>
              </font>
            </x14:dxf>
          </x14:cfRule>
          <x14:cfRule type="expression" priority="26" id="{F1EF0F80-559C-4920-B004-38884DF0713E}">
            <xm:f>CHALLANGE!$E$17=1</xm:f>
            <x14:dxf>
              <font>
                <color rgb="FF92D050"/>
              </font>
            </x14:dxf>
          </x14:cfRule>
          <xm:sqref>DQ17</xm:sqref>
        </x14:conditionalFormatting>
        <x14:conditionalFormatting xmlns:xm="http://schemas.microsoft.com/office/excel/2006/main">
          <x14:cfRule type="expression" priority="23" id="{F70A2E90-B1A0-4445-B1E3-DFECEADEA59B}">
            <xm:f>CHALLANGE!$E$18=0</xm:f>
            <x14:dxf>
              <font>
                <color rgb="FFFF0000"/>
              </font>
            </x14:dxf>
          </x14:cfRule>
          <x14:cfRule type="expression" priority="24" id="{3DED761C-9A87-42EA-8E3E-0DC40D7D17AF}">
            <xm:f>CHALLANGE!$E$18=1</xm:f>
            <x14:dxf>
              <font>
                <color rgb="FF92D050"/>
              </font>
            </x14:dxf>
          </x14:cfRule>
          <xm:sqref>DQ18</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hallange">
    <tabColor rgb="FF9933FF"/>
  </sheetPr>
  <dimension ref="A1:L122"/>
  <sheetViews>
    <sheetView workbookViewId="0">
      <pane xSplit="1" ySplit="1" topLeftCell="B2" activePane="bottomRight" state="frozen"/>
      <selection pane="topRight" activeCell="B1" sqref="B1"/>
      <selection pane="bottomLeft" activeCell="A2" sqref="A2"/>
      <selection pane="bottomRight" activeCell="D6" sqref="D6"/>
    </sheetView>
  </sheetViews>
  <sheetFormatPr defaultRowHeight="14.4" x14ac:dyDescent="0.3"/>
  <cols>
    <col min="1" max="1" width="16.5546875" customWidth="1"/>
    <col min="2" max="2" width="16.5546875" style="1120" customWidth="1"/>
    <col min="3" max="4" width="35.6640625" style="1215" customWidth="1"/>
    <col min="5" max="5" width="10.88671875" style="7" customWidth="1"/>
    <col min="6" max="6" width="52.88671875" style="1212" customWidth="1"/>
    <col min="7" max="7" width="23.109375" customWidth="1"/>
    <col min="8" max="8" width="8.109375" customWidth="1"/>
    <col min="10" max="10" width="8.44140625" customWidth="1"/>
    <col min="13" max="13" width="11.33203125" bestFit="1" customWidth="1"/>
  </cols>
  <sheetData>
    <row r="1" spans="1:12" s="8" customFormat="1" ht="15" customHeight="1" thickTop="1" thickBot="1" x14ac:dyDescent="0.35">
      <c r="A1" s="765" t="s">
        <v>8223</v>
      </c>
      <c r="B1" s="765" t="s">
        <v>8921</v>
      </c>
      <c r="C1" s="765" t="s">
        <v>8300</v>
      </c>
      <c r="D1" s="765" t="s">
        <v>8222</v>
      </c>
      <c r="E1" s="766" t="s">
        <v>8224</v>
      </c>
      <c r="F1" s="1220" t="s">
        <v>8689</v>
      </c>
      <c r="G1" s="767" t="str">
        <f>CHALLANGE_draft!A1</f>
        <v>СЛУЖБА ФИНАНСОВОГО УПОЛНОМОЧЕННОГОРЕШЕНИЕ«_____» _______________20____ г.  дата подписания№ г. Москва ОБ УДОВЛЕТВОРЕНИИ ТРЕБОВАНИЙУполномоченный по правам потребителей финансовых услуг в сферах страхования, микрофинансирования, кредитной кооперации и деятельности кредитных организаций Е.Л. Писаревский (далее – Финансовый уполномоченный) по результатам рассмотрения обращения от 26.11.2020 № У-20-175174 (далее – Обращение) Истомина Владимира Васильевича (паспорт серия 60 03 № 672915; место жительства: 344092, г. Ростов-на-Дону, ул. Верная, д. 17/88; почтовый адрес: 344092, г. Ростов-на-Дону, ул. Верная, д. 17/88) (далее – Заявитель) в отношении АО СК «БАСК» (место нахождения: 652600, Кемеровская область, г. Белово, пер. Цинкзаводской, д. 8 А; почтовый адрес: 652600, Кемеровская область, г. Белово, пер. Цинкзаводской, д. 8 А; дата государственной регистрации: 07.05.1993; идентификационный номер налогоплательщика: 4202000716) (далее – Финансовая организация),УСТАНОВИЛФинансовому уполномоченному на рассмотрение поступило Обращение в отношении Финансовой организации с требованием о взыскании неустойки за несоблюдение срока выплаты страхового возмещения по договору обязательного страхования гражданской ответственности владельцев транспортных средств (далее – ОСАГО) в размере 100 000 рублей 00 копеек.В рамках рассмотрения Обращения в адрес Финансовой организации направлено уведомление о принятии Обращения к рассмотрению от 26.11.2020 № У-20-175174/2040-002, содержащее требование о предоставлении сведений и документов по предмету спора, указанному в Обращении.Финансовой организацией запрошенные сведения и документы предоставлены.Рассмотрев имеющиеся в деле документы, Финансовый уполномоченный установил следующее.05.04.2019 между Заявителем и Финансовой организацией заключен договор ОСАГО серия ККК № 3002162227 со сроком страхования с 05.04.2019 до 04.04.2020 (далее – Договор ОСАГО).В результате дорожно-транспортного происшествия, произошедшего 10.06.2019 (далее – ДТП), вследствие действий Женишбека Бекназара, управлявшего транспортным средством ВАЗ 2106, государственный регистрационный номер А086НТ61, был причинен вред принадлежащему Заявителю транспортному средству Toyota Camry, государственный регистрационный номер Е718ТР161, год выпуска 2016 (далее – Транспортное средство).Гражданская ответственность Женишбека Бекназара застрахована в СПАО «РЕСО-Гарантия» в рамках договора ОСАГО серия ККК № 3001108454.11.06.2019 Заявитель обратился в Финансовую организацию с заявлением о прямом возмещении убытков, предоставив все документы, предусмотренные Правилами обязательного страхования гражданской ответственности владельцев транспортных средств, утвержденными Положением Банка России от 19.09.2014 № 431-П (далее – Правила ОСАГО).Заявление также содержало требования о выплате расходов на проведение независимой технической экспертизы.11.06.2019 Финансовой организацей проведен осмотр принадлежащего Заявителю Транспортного средства с привлечением независимой экспертной организации ООО «Альянс».На основании результатов осмотра от 11.06.2019 независимой экспертной организацией ООО «Сибирская Ассистанская Компания» подготовлено экспертное заключение от 28.06.2019 № 45/06/19, согласно которому стоимость восстановительного ремонта Транспортного средства Повреждения на Транспортном средстве возникли вне заявленных обстоятельств дорожно-транспортного происшествия от 10.06.2019.Финансовая организация направила Заявителю письмо от 08.07.2019 № 757/19, в котором сообщалось, что согласно выводам проведенной экспертизы, все повреждения Транспортного средства Заявителя не могли образоваться при заявленных обстоятельствах ДТП, в связи с чем, правовых оснований для урегулирования данного убытка у Финансовой организации не имеется.02.08.2019 Заявитель обратился в Финансовую организацию с заявлением (претензией) о несогласии с отказом Финансовой организации в выплате страхового возмещения, содержащим требование о выплате страхового возмещения по Договору ОСАГО, неустойки за несоблюдение срока выплаты страхового возмещения по Договору ОСАГО.Финансовая организация в ответ на заявление (претензию) от 02.08.2019 письмом от 05.08.2019 № 902/19 отказала Заявителю в удовлетворении заявленных требований.Не согласившись с отказом в выплате страхового возмещения, Заявитель 02.09.2019 обратился в порядке, установленным Федеральным законом от 04.06.2018 № 123-ФЗ «Об уполномоченном по правам потребителей финансовых услуг» (далее – Закон № 123-ФЗ), с обращением к Финансовому уполномоченному с требованиями о взыскании с Финансовой организации страхового возмещения по Договору ОСАГО в размере 400 000 рублей 00 копеек.Руководствуясь частью 4 статьи 18 Закона № 123-ФЗ, Финансовым уполномоченным Обращение Заявителя от 02.09.2019 принято к рассмотрению, Обращению от 02.09.2019 присвоен № У-19-24659.22.10.2019 Финансовым уполномоченным по Обращению от 02.09.2019 № У-19-24659 вынесено решение об отказе в удовлетворении требований № У-19-24659/5010-010 (далее – Решение от 22.10.2019 № У-19-24659/5010-010). Требования о взыскании неустойки при рассмотрении Обращения от 22.10.2019 № У-19-24659 не заявлялись и не рассматривались.Решение от 22.10.2019 № У-19-24659/5010-010 вступило в силу 07.11.2019.Не согласившись с Решением от 22.10.2019 № У-19-24659/5010-010, Заявитель обратился в суд с исковыми требованиями к Финансовой организации о взыскании страхового возмещения по Договору ОСАГО в размере 400 000 рублей 00 копеек, неустойки за несоблюдение срока выплаты страхового возмещения по Договору ОСАГО за период с 02.07.2019 по 30.12.2019 в размере 400 000 рублей 00 копеек, расходов на проведение независимой технической экспертизы в размере 7 000 рублей 00 копеек и иных расходов.20.02.2020 Ворошиловским районным судом города Ростова-на-Дону по делу № 2-129/2020 вынесено решение об удовлетворении исковых требований Заявителя (далее – Решение Суда), в соответствии с которым с Финансовой организации в пользу Заявителя взыскано страховое возмещение по Договору ОСАГО в размере 400 000 рублей 00 копеек, неустойка за несоблюдение срока выплаты страхового возмещения по Договору ОСАГО за период с 02.07.2019 по 30.12.2019 в размере 300 000 рублей 00 копеек, расходы на проведение независимой технической экспертизы в размере 7 000 рублей 00 копеек и иные расходы.Решением Суда установлено, что Решение Суда вступило в силу 27.03.2020.25.05.2020 Решение Суда было исполнено в полном объеме, что подтверждается инкассовым поручением от 22.05.2020 № 7856.19.10.2020 Заявитель обратился в Финансовую организацию с заявлением (претензией), содержащим требование о выплате неустойки за несоблюдение срока выплаты страхового возмещения по Договору ОСАГО за период с 08.01.2020 по 20.02.2020 в размере 100 000 рублей 00 копеек.В соответствии со статьей 16 Закона № 123-ФЗ Финансовая организация должна рассмотреть заявление (претензию) и направить Заявителю ответ не позднее 18.11.2020.Финансовая организация в ответ на заявление (претензию) от 19.10.2020 письмом от 09.11.2020 № 1560/20 отказала Заявителю в удовлетворении заявленных требований.Рассмотрев требования Заявителя о взыскании с Финансовой организации неустойки за несоблюдение срока выплаты страхового возмещения по Договору ОСАГО, Финансовый уполномоченный приходит к следующему.Согласно статье 12 Гражданского кодекса Российской Федерации (далее – ГК РФ) взыскание неустойки является одним из способов защиты нарушенного гражданского права.По смыслу статьи 330 ГК РФ неустойкой (штрафом, пеней) признается определенная законом или договором денежная сумма, которую должник обязан уплатить кредитору в случае неисполнения или ненадлежащего исполнения обязательства, в частности в случае просрочки исполнения. По требованию об уплате неустойки кредитор не обязан доказывать причинение ему убытков.Положения пункта 21 статьи 12 Федерального закона от 25.04.2002 № 40-ФЗ «Об обязательном страховании гражданской ответственности владельцев транспортных средств» (далее – Закон № 40-ФЗ) предусматривают выплату страховщиком потерпевшему неустойки за нарушение сроков исполнения обязательств.Таким образом, требования о взыскании неустойки по правилам статьи 12 Закона № 40-ФЗ подлежат рассмотрению финансовым уполномоченным, поскольку обязанность страховщика по выплате неустойки в случае нарушения срока исполнения обязательств прямо предусмотрена Законом № 40-ФЗ, не связана с вопросами взыскания обязательных платежей и санкций. Пунктом 21 статьи 12 Федерального закона от 25.04.2002 № 40-ФЗ «Об обязательном страховании гражданской ответственности владельцев транспортных средств» (далее – Закон № 40-ФЗ) установлено, что в течение 20 календарных дней, за исключением нерабочих праздничных дней, а в случае, предусмотренном пунктом 15.3 статьи 12 Закона № 40-ФЗ, 30 календарных дней, за исключением нерабочих праздничных дней, со дня принятия к рассмотрению заявления потерпевшего о страховом возмещении или прямом возмещении убытков и приложенных к нему документов, предусмотренных Правилами ОСАГО, страховщик обязан произвести страховую выплату потерпевшему или после осмотра и (или) независимой технической экспертизы поврежденного транспортного средства выдать потерпевшему направление на ремонт транспортного средства с указанием станции технического обслуживания, на которой будет отремонтировано его транспортное средство и которой страховщик оплатит восстановительный ремонт поврежденного транспортного средства, и срока ремонта либо направить потерпевшему мотивированный отказ в страховом возмещении.При несоблюдении срока осуществления страховой выплаты или срока выдачи потерпевшему направления на ремонт транспортного средства страховщик за каждый день просрочки уплачивает потерпевшему неустойку (пеню) в размере одного процента от определенного в соответствии с Законом № 40-ФЗ размера страхового возмещения по виду причиненного вреда каждому потерпевшему.В пункте 78 постановления Пленума Верховного Суда Российской Федерации от 26.12.2017 № 58 «О применении судами законодательства об обязательном страховании гражданской ответственности владельцев транспортных средств» указано, что неустойка исчисляется со дня, следующего за днем, установленным для принятия решения о выплате страхового возмещения, то есть с 21-го дня после получения страховщиком заявления потерпевшего о страховой выплате и документов, предусмотренных Правилами ОСАГО, и до дня фактического исполнения страховщиком обязательства по договору включительно.Следовательно, неустойка является мерой гражданско-правовой ответственности, которая при наличии условий, необходимых для наступления гражданско-правовой ответственности, подлежит взысканию в случае неисполнения или ненадлежащего исполнения обязательства, то есть при наличии противоправного поведения.В силу части 1 статьи 2 Закона № 123-ФЗ должность финансового уполномоченного учреждена для рассмотрения обращений потребителей финансовых услуг об удовлетворении требований имущественного характера, предъявляемых к финансовым организациям, оказавшим им финансовые услуги.Финансовая организация, являясь участником обязательного взаимодействия с финансовым уполномоченным, в силу пункта 4 части 3 статьи 28 Закона № 123-ФЗ обязана добровольно исполнять решения финансового уполномоченного.В силу статьи 24 Закона № 123-ФЗ исполнение финансовой организацией вступившего в силу решения финансового уполномоченного признается надлежащим исполнением финансовой организацией обязанностей по соответствующему договору с потребителем финансовых услуг об оказании ему или в его пользу финансовой услуги.В случае неисполнения финансовой организацией вступившего в силу решения финансового уполномоченного либо условий соглашения финансовый уполномоченный выдает потребителю финансовых услуг удостоверение, являющееся исполнительным документом, форма которого устанавливается Правительством Российской Федерации (часть 3 статьи 23 Закона № 123-ФЗ).Принимая Решение от 22.10.2019 № У-19-24659/5010-010 об отказе Заявителю во взыскании страхового возмещения, финансовый уполномоченный исходил из отсутствия обязательства по выплате страхового возмещения.Учитывая, что данное решение вынесено официальным должностным лицом в рамках предоставленных ему публичных полномочий, финансовая организация была вправе разумно полагаться на содержащиеся в нем выводы и ссылаться на них в своих взаимоотношениях с потребителем финансовых услуг.При таких обстоятельствах Финансовый уполномоченный приходит к выводу, что в рассматриваемом случае взыскание неустойки в связи с невыплатой Заявителю страхового возмещения, не основано на законе.Вместе с тем, Решением Суда частично удовлетворены требования Заявителя к Финансовой организации.Согласно части 2 статьи 13 Гражданского процессуального кодекса Российской Федерации (далее – ГПК РФ), вступившие в законную силу судебные постановления, а также законные распоряжения, требования, поручения, вызовы и обращения судов являются обязательными для всех без исключения органов государственной власти, органов местного самоуправления, общественных объединений, должностных лиц, граждан, организаций и подлежат неукоснительному исполнению на всей территории Российской Федерации.По смыслу положений части 1 статьи 209, части 2 статьи 321, части 5 статьи 329 ГПК РФ решение суда вступает в законную силу по истечении месячного срока на апелляционное обжалование со дня принятия решения суда в окончательной форме, если оно не было обжаловано; апелляционное определение вступает в законную силу со дня его принятия.В соответствии с частью 1 статьи 108 ГПК РФ срок, исчисляемый месяцами, истекает в соответствующее число последнего месяца срока.Таким образом, обязанность по возмещению взысканного Решением Суда ущерба, причиненного Заявителю, возникла у Финансовой организации с момента вступления Решения Суда в законную силу – 27.03.2020.20.02.2020 Решением Суда с Финансовой организации в пользу Заявителя взыскано страховое возмещение по Договору ОСАГО в размере 400 000 рублей 00 копеек, неустойка за несоблюдение срока выплаты страхового возмещения по Договору ОСАГО за период с 02.07.2019 по 30.12.2019 в размере 300 000 рублей 00 копеек, расходы на проведение независимой технической экспертизы в размере 7 000 рублей 00 копеек и иные расходы.25.05.2020 Решение Суда было исполнено в полном объеме, что подтверждается инкассовым поручением от 22.05.2020 № 7856.Таким образом, с Финансовой организации подлежит взысканию неустойка на сумму страхового возмещения в размере 400 000 рублей 00 копеек, взысканную по Решению Суда, за период с 27.03.2020 по 22.05.2020 (57 дней).В соответствии с требованиями, установленными пунктом 21 статьи 12 Закона № 40-ФЗ, размер неустойки, подлежащий выплате за период с 27.03.2020 по 22.05.2020 (включительно) составляет 228 000 рублей 00 копеек (400 000 рублей 00 копеек × 57 дней × 1%).В силу пункта 6 статьи 16.1 Закона № 40-ФЗ общий размер неустойки (пени), суммы финансовой санкции, которые подлежат выплате потерпевшему – физическому лицу, не может превышать размер страховой суммы по виду причиненного вреда, установленный Законом № 40-ФЗ.Согласно статье 7 Закона № 40-ФЗ страховая сумма, в пределах которой страховщик при наступлении каждого страхового случая (независимо от их числа в течение срока действия договора обязательного страховая) обязуется возместить потерпевшим причиненный вред, составляет: в части возмещения вреда, причиненного имуществу каждого потерпевшего, 400 000 рублей 00 копеек.20.02.2020 Решением Суда с Финансовой организации в пользу Заявителя взыскана в том числе неустойка за несоблюдение срока выплаты страхового возмещения по Договору ОСАГО за период с 02.07.2019 по 30.12.2019 в размере 300 000 рублей 00 копеек.25.05.2020 Решение Суда было исполнено в полном объеме, что подтверждается инкассовым поручением от 22.05.2020 № 7856.Таким образом, общий размер неустойки за несоблюдение срока выплаты страхового возмещения по Договору ОСАГО подлежащий взысканию в пользу Заявителя составляет 100 000 рублей 00 копеек (400 000 рублей 00 копеек – 300 000 рублей 00 копеек).Заявление Финансовой организации об уменьшении неустойки на основании пункта 1 статьи 333 ГК РФ удовлетворению не подлежит, в силу того, что согласно положениям указанной статьи, вопрос о снижении неустойки находится в исключительной компетенции суда.Руководствуясь статьей 22 Закона № 123-ФЗ, Финансовый уполномоченныйРЕШИЛтребования Истомина Владимира Васильевича о взыскании с АО СК «БАСК» неустойки за несоблюдение срока выплаты страхового возмещения по Договору ОСАГО удовлетворить.Взыскать с АО СК «БАСК» в пользу Истомина Владимира Васильевича неустойку за несоблюдение срока выплаты страхового возмещения по Договору ОСАГО в размере 100 000 (сто тысяч) рублей 00 копеек.Решение вступает в силу по истечении десяти рабочих дней после даты его подписания.Решение подлежит исполнению АО СК «БАСК» в течение 10 рабочих дней после дня вступления в силу.В случае несогласия с решением Финансового уполномоченного в соответствии с частью 1 статьи 26 Закона № 123-ФЗ АО СК «БАСК» вправе в течение десяти рабочих дней после дня вступления в силу решения Финансового уполномоченного обратиться в суд в порядке, установленном законодательством Российской Федерации. В случае обращения финансовой организации в суд копия заявления подлежит направлению финансовому уполномоченному, рассматривавшему дело, и потребителю финансовых услуг, в отношении обращения которого принято решение Финансового уполномоченного, в течение одного дня со дня подачи указанного заявления.В соответствии с частью 2 статьи 26 Закона № 123-ФЗ финансовая организация при обращении в суд вправе направить финансовому уполномоченному ходатайство о приостановлении исполнения его решения. При получении ходатайства финансовый уполномоченный выносит решение о приостановлении исполнения решения, которое оспаривается финансовой организацией, до вынесения решения судом.В случае несогласия с вступившим в силу решением Финансового уполномоченного Заявитель в соответствии с частью 3 статьи 25 Закона № 123-ФЗ вправе в течение тридцати дней после дня вступления в силу указанного решения обратиться в суд и заявить требования к финансовой организации по предмету, содержащемуся в обращении, в порядке, установленном законодательством Российской Федерации. Копия обращения в суд подлежит направлению Финансовому уполномоченному.Уполномоченный по правам потребителей финансовых услуг в сферах страхования, микрофинансирования, кредитной кооперации и деятельности кредитных организаций PodpisantЕ.Л. Писаревский</v>
      </c>
      <c r="H1" s="769">
        <f ca="1">SUM(E2:E122)</f>
        <v>106</v>
      </c>
      <c r="I1" s="770">
        <f ca="1">COUNT(E2:E122)</f>
        <v>121</v>
      </c>
      <c r="J1" s="782">
        <f ca="1">H1/I1</f>
        <v>0.87603305785123964</v>
      </c>
      <c r="K1" s="783">
        <f>LEN(G1)</f>
        <v>18484</v>
      </c>
      <c r="L1" s="783"/>
    </row>
    <row r="2" spans="1:12" ht="15" thickTop="1" x14ac:dyDescent="0.3">
      <c r="A2" s="761" t="s">
        <v>8226</v>
      </c>
      <c r="B2" s="1118"/>
      <c r="C2" s="764">
        <f>IFERROR(INDEX(STATUS!A:K,MATCH("РЕШ шаблон",STATUS!K:K,0),3),"")</f>
        <v>43725</v>
      </c>
      <c r="D2" s="764">
        <f>CHALLANGE_draft!BF3</f>
        <v>44161</v>
      </c>
      <c r="E2" s="398">
        <f t="shared" ref="E2:E34" si="0">IFERROR(IF(C2=D2,1,0),0)</f>
        <v>0</v>
      </c>
      <c r="F2" s="1221">
        <v>44147</v>
      </c>
      <c r="G2" s="6"/>
    </row>
    <row r="3" spans="1:12" x14ac:dyDescent="0.3">
      <c r="A3" s="761" t="s">
        <v>8225</v>
      </c>
      <c r="B3" s="1118"/>
      <c r="C3" s="760" t="str">
        <f>IFERROR(INDEX(STATUS!A:K,MATCH("РЕШ шаблон",STATUS!K:K,0),1),"")</f>
        <v>У-19-32531</v>
      </c>
      <c r="D3" s="764" t="str">
        <f>CHALLANGE_draft!BL3</f>
        <v>У-20-175174</v>
      </c>
      <c r="E3" s="398">
        <f t="shared" si="0"/>
        <v>0</v>
      </c>
      <c r="F3" s="1222" t="s">
        <v>12658</v>
      </c>
      <c r="G3" s="6"/>
    </row>
    <row r="4" spans="1:12" x14ac:dyDescent="0.3">
      <c r="A4" s="761" t="s">
        <v>8264</v>
      </c>
      <c r="B4" s="1118"/>
      <c r="C4" s="760" t="str">
        <f>IFERROR(INDEX(STATUS!A:K,MATCH("РЕШ шаблон",STATUS!K:K,0),8),"")</f>
        <v>ОСАГО</v>
      </c>
      <c r="D4" s="764"/>
      <c r="E4" s="398">
        <f t="shared" si="0"/>
        <v>0</v>
      </c>
      <c r="F4" s="1214"/>
    </row>
    <row r="5" spans="1:12" x14ac:dyDescent="0.3">
      <c r="A5" s="761" t="s">
        <v>8882</v>
      </c>
      <c r="B5" s="1118"/>
      <c r="C5" s="760" t="str">
        <f>IFERROR(INDEX(STATUS!A:K,MATCH("РЕШ шаблон",STATUS!K:K,0),9),"")</f>
        <v>УЩЕРБ</v>
      </c>
      <c r="D5" s="764"/>
      <c r="E5" s="398">
        <f t="shared" si="0"/>
        <v>0</v>
      </c>
      <c r="F5" s="1222">
        <v>0</v>
      </c>
    </row>
    <row r="6" spans="1:12" x14ac:dyDescent="0.3">
      <c r="A6" s="762" t="s">
        <v>8222</v>
      </c>
      <c r="B6" s="1119" t="s">
        <v>17</v>
      </c>
      <c r="C6" s="758" t="str">
        <f t="shared" ref="C6:C8" si="1">IF(ISBLANK(B6),D6,B6)</f>
        <v>Удовлетворить</v>
      </c>
      <c r="D6" s="764" t="str">
        <f>CHALLANGE_draft!AL3</f>
        <v>ОШИБКИ</v>
      </c>
      <c r="E6" s="398">
        <f t="shared" si="0"/>
        <v>0</v>
      </c>
      <c r="F6" s="1223" t="s">
        <v>8990</v>
      </c>
      <c r="G6" s="8"/>
      <c r="H6" s="8"/>
    </row>
    <row r="7" spans="1:12" x14ac:dyDescent="0.3">
      <c r="A7" s="762" t="s">
        <v>3</v>
      </c>
      <c r="B7" s="1119" t="s">
        <v>925</v>
      </c>
      <c r="C7" s="758" t="str">
        <f t="shared" si="1"/>
        <v>Е.Л. Писаревский</v>
      </c>
      <c r="D7" s="758" t="str">
        <f>CHALLANGE_draft!AT3</f>
        <v>Е.Л. Писаревский</v>
      </c>
      <c r="E7" s="398">
        <f t="shared" si="0"/>
        <v>1</v>
      </c>
      <c r="F7" s="1223" t="s">
        <v>924</v>
      </c>
    </row>
    <row r="8" spans="1:12" ht="57.6" x14ac:dyDescent="0.3">
      <c r="A8" s="762" t="s">
        <v>8423</v>
      </c>
      <c r="B8" s="1119" t="str">
        <f>IF(B7=DRAFT!C2,DRAFT!D2,IF(B7=DRAFT!C3,DRAFT!D3,IF(B7=DRAFT!C4,DRAFT!D4,"НЕТ")))</f>
        <v>Уполномоченный по правам потребителей финансовых услуг в сферах страхования, микрофинансирования, кредитной кооперации и деятельности кредитных организаций</v>
      </c>
      <c r="C8" s="758" t="str">
        <f t="shared" si="1"/>
        <v>Уполномоченный по правам потребителей финансовых услуг в сферах страхования, микрофинансирования, кредитной кооперации и деятельности кредитных организаций</v>
      </c>
      <c r="D8" s="760" t="str">
        <f>CHALLANGE_draft!BB3</f>
        <v>Уполномоченный по правам потребителей финансовых услуг в сферах страхования, микрофинансирования, кредитной кооперации и деятельности кредитных организаций</v>
      </c>
      <c r="E8" s="398">
        <f t="shared" si="0"/>
        <v>1</v>
      </c>
      <c r="F8" s="1222" t="s">
        <v>8293</v>
      </c>
    </row>
    <row r="9" spans="1:12" x14ac:dyDescent="0.3">
      <c r="A9" s="762" t="s">
        <v>8227</v>
      </c>
      <c r="B9" s="1119"/>
      <c r="C9" s="758" t="str">
        <f ca="1">[1]!GenitiveCase(IFERROR((INDEX(STATUS!A:K,MATCH("РЕШ шаблон",STATUS!K:K,0),6)),""))</f>
        <v>Герасименко Робэра Валериевича</v>
      </c>
      <c r="D9" s="764" t="str">
        <f>CHALLANGE_draft!BQ3</f>
        <v>Истомина Владимира Васильевича</v>
      </c>
      <c r="E9" s="398">
        <f t="shared" ca="1" si="0"/>
        <v>0</v>
      </c>
      <c r="F9" s="1222" t="s">
        <v>12659</v>
      </c>
    </row>
    <row r="10" spans="1:12" x14ac:dyDescent="0.3">
      <c r="A10" s="762" t="s">
        <v>122</v>
      </c>
      <c r="B10" s="1119"/>
      <c r="C10" s="758">
        <f t="shared" ref="C10" si="2">IF(ISBLANK(B10),D10,B10)</f>
        <v>0</v>
      </c>
      <c r="D10" s="764"/>
      <c r="E10" s="398">
        <f t="shared" si="0"/>
        <v>1</v>
      </c>
      <c r="F10" s="1222">
        <v>0</v>
      </c>
    </row>
    <row r="11" spans="1:12" x14ac:dyDescent="0.3">
      <c r="A11" s="762" t="s">
        <v>9</v>
      </c>
      <c r="B11" s="1119"/>
      <c r="C11" s="758" t="str">
        <f>CHALLANGE_draft!AHS3</f>
        <v>60 03 № 672915</v>
      </c>
      <c r="D11" s="764" t="str">
        <f>CHALLANGE_draft!CC3</f>
        <v>60 03 № 672915</v>
      </c>
      <c r="E11" s="398">
        <f>IFERROR(IF(OR(C11=D11,C11=CONCATENATE(LEFT(D11,2)," ",RIGHT(D11,LEN(D11)-2))),1,0),0)</f>
        <v>1</v>
      </c>
      <c r="F11" s="1222" t="s">
        <v>12660</v>
      </c>
    </row>
    <row r="12" spans="1:12" ht="48.75" customHeight="1" x14ac:dyDescent="0.3">
      <c r="A12" s="762" t="s">
        <v>8228</v>
      </c>
      <c r="B12" s="1119"/>
      <c r="C12" s="1218" t="str">
        <f>CHALLANGE_draft!ALP3</f>
        <v>344092, г. Ростов-на-Дону, ул. Верная, д. 17/88</v>
      </c>
      <c r="D12" s="1219" t="str">
        <f>CHALLANGE_draft!CH3</f>
        <v>344092, г. Ростов-на-Дону, ул. Верная, д. 17/88</v>
      </c>
      <c r="E12" s="398">
        <f t="shared" si="0"/>
        <v>1</v>
      </c>
      <c r="F12" s="1223" t="s">
        <v>12661</v>
      </c>
      <c r="G12" s="6"/>
      <c r="H12" s="6"/>
    </row>
    <row r="13" spans="1:12" ht="28.8" x14ac:dyDescent="0.3">
      <c r="A13" s="762" t="s">
        <v>8229</v>
      </c>
      <c r="B13" s="1119"/>
      <c r="C13" s="1218" t="str">
        <f>CHALLANGE_draft!APM3</f>
        <v>344092, г. Ростов-на-Дону, ул. Верная, д. 17/88</v>
      </c>
      <c r="D13" s="1219" t="str">
        <f>CHALLANGE_draft!CM3</f>
        <v>344092, г. Ростов-на-Дону, ул. Верная, д. 17/88</v>
      </c>
      <c r="E13" s="398">
        <f t="shared" si="0"/>
        <v>1</v>
      </c>
      <c r="F13" s="1223" t="s">
        <v>12661</v>
      </c>
      <c r="H13" s="6"/>
    </row>
    <row r="14" spans="1:12" x14ac:dyDescent="0.3">
      <c r="A14" s="762" t="s">
        <v>12</v>
      </c>
      <c r="B14" s="1119"/>
      <c r="C14" s="758" t="str">
        <f>IFERROR(INDEX(STATUS!A:K,MATCH("РЕШ шаблон",STATUS!K:K,0),7),"")</f>
        <v>АО СК «Чулпан»</v>
      </c>
      <c r="D14" s="764" t="str">
        <f>CHALLANGE_draft!CU3</f>
        <v>АО СК «БАСК»</v>
      </c>
      <c r="E14" s="398">
        <f t="shared" si="0"/>
        <v>0</v>
      </c>
      <c r="F14" s="1222" t="s">
        <v>166</v>
      </c>
      <c r="G14" s="6"/>
    </row>
    <row r="15" spans="1:12" ht="43.2" x14ac:dyDescent="0.3">
      <c r="A15" s="762" t="s">
        <v>8231</v>
      </c>
      <c r="B15" s="1119"/>
      <c r="C15" s="1218" t="str">
        <f>IFERROR(INDEX(ФО!A:E,MATCH(C14,ФО!A:A,0),3),"")</f>
        <v>423452, Республика Татарстан, г. Альметьевск, Альметьевский район, ул. Пушкина, д. 66, пом. 1</v>
      </c>
      <c r="D15" s="1219" t="str">
        <f>CHALLANGE_draft!CZ3</f>
        <v>652600, Кемеровская область, г. Белово, пер. Цинкзаводской, д. 8 А</v>
      </c>
      <c r="E15" s="398">
        <f>IFERROR(IF(C15=D15,1,0),0)</f>
        <v>0</v>
      </c>
      <c r="F15" s="1222" t="s">
        <v>167</v>
      </c>
      <c r="G15" s="6"/>
      <c r="H15" s="6"/>
    </row>
    <row r="16" spans="1:12" ht="43.2" x14ac:dyDescent="0.3">
      <c r="A16" s="762" t="s">
        <v>8229</v>
      </c>
      <c r="B16" s="1119"/>
      <c r="C16" s="1218" t="str">
        <f>IFERROR(INDEX(ФО!A:E,MATCH(C14,ФО!A:A,0),4),"")</f>
        <v>423452, Республика Татарстан, г. Альметьевск, Альметьевский район, ул. Пушкина, д. 66, пом. 1</v>
      </c>
      <c r="D16" s="1219" t="str">
        <f>CHALLANGE_draft!DE3</f>
        <v>652600, Кемеровская область, г. Белово, пер. Цинкзаводской, д. 8 А</v>
      </c>
      <c r="E16" s="398">
        <f t="shared" si="0"/>
        <v>0</v>
      </c>
      <c r="F16" s="1222" t="s">
        <v>167</v>
      </c>
      <c r="G16" s="6"/>
    </row>
    <row r="17" spans="1:7" x14ac:dyDescent="0.3">
      <c r="A17" s="762" t="s">
        <v>8230</v>
      </c>
      <c r="B17" s="1119"/>
      <c r="C17" s="759">
        <f>IFERROR(INDEX(ФО!A:E,MATCH(C14,ФО!A:A,0),5),"")</f>
        <v>37411</v>
      </c>
      <c r="D17" s="764">
        <f>CHALLANGE_draft!DJ3</f>
        <v>34096</v>
      </c>
      <c r="E17" s="398">
        <f t="shared" si="0"/>
        <v>0</v>
      </c>
      <c r="F17" s="1221">
        <v>36371</v>
      </c>
      <c r="G17" s="6"/>
    </row>
    <row r="18" spans="1:7" x14ac:dyDescent="0.3">
      <c r="A18" s="762" t="s">
        <v>13</v>
      </c>
      <c r="B18" s="1119"/>
      <c r="C18" s="1170" t="str">
        <f>TEXT(IFERROR(INDEX(ФО!A:E,MATCH(C14,ФО!A:A,0),2),""),"##########")</f>
        <v>1644001196</v>
      </c>
      <c r="D18" s="1224" t="str">
        <f>CHALLANGE_draft!DO3</f>
        <v>4202000716</v>
      </c>
      <c r="E18" s="398">
        <f>IFERROR(IF(C18=D18,1,0),0)</f>
        <v>0</v>
      </c>
      <c r="F18" s="1222">
        <v>7706196090</v>
      </c>
    </row>
    <row r="19" spans="1:7" x14ac:dyDescent="0.3">
      <c r="A19" s="762" t="s">
        <v>8238</v>
      </c>
      <c r="B19" s="1119"/>
      <c r="C19" s="758" t="str">
        <f>IF(ISBLANK(B19),D19,B19)</f>
        <v>Неустойка</v>
      </c>
      <c r="D19" s="1219" t="str">
        <f>CHALLANGE_draft!EC3</f>
        <v>Неустойка</v>
      </c>
      <c r="E19" s="398">
        <f t="shared" si="0"/>
        <v>1</v>
      </c>
      <c r="F19" s="1222" t="s">
        <v>1246</v>
      </c>
    </row>
    <row r="20" spans="1:7" x14ac:dyDescent="0.3">
      <c r="A20" s="762" t="s">
        <v>8249</v>
      </c>
      <c r="B20" s="1119"/>
      <c r="C20" s="758">
        <f>IF(ISBLANK(B20),D20,B20)</f>
        <v>100000</v>
      </c>
      <c r="D20" s="1225">
        <f>CHALLANGE_draft!EC9</f>
        <v>100000</v>
      </c>
      <c r="E20" s="398">
        <f t="shared" si="0"/>
        <v>1</v>
      </c>
      <c r="F20" s="1222">
        <v>270000</v>
      </c>
      <c r="G20" s="324"/>
    </row>
    <row r="21" spans="1:7" x14ac:dyDescent="0.3">
      <c r="A21" s="762" t="s">
        <v>8435</v>
      </c>
      <c r="B21" s="1119"/>
      <c r="C21" s="758" t="str">
        <f t="shared" ref="C21:C78" si="3">IF(ISBLANK(B21),D21,B21)</f>
        <v/>
      </c>
      <c r="D21" s="764" t="str">
        <f>CHALLANGE_draft!EC4</f>
        <v/>
      </c>
      <c r="E21" s="398">
        <f t="shared" si="0"/>
        <v>1</v>
      </c>
      <c r="F21" s="1222"/>
      <c r="G21" s="324"/>
    </row>
    <row r="22" spans="1:7" x14ac:dyDescent="0.3">
      <c r="A22" s="762" t="s">
        <v>8436</v>
      </c>
      <c r="B22" s="1119"/>
      <c r="C22" s="758" t="str">
        <f t="shared" si="3"/>
        <v/>
      </c>
      <c r="D22" s="764" t="str">
        <f>CHALLANGE_draft!EC5</f>
        <v/>
      </c>
      <c r="E22" s="398">
        <f t="shared" si="0"/>
        <v>1</v>
      </c>
      <c r="F22" s="1222"/>
      <c r="G22" s="324"/>
    </row>
    <row r="23" spans="1:7" x14ac:dyDescent="0.3">
      <c r="A23" s="762" t="s">
        <v>8239</v>
      </c>
      <c r="B23" s="1119"/>
      <c r="C23" s="758" t="str">
        <f t="shared" si="3"/>
        <v/>
      </c>
      <c r="D23" s="1219" t="str">
        <f>CHALLANGE_draft!EC10</f>
        <v/>
      </c>
      <c r="E23" s="398">
        <f t="shared" si="0"/>
        <v>1</v>
      </c>
      <c r="F23" s="1222" t="s">
        <v>456</v>
      </c>
    </row>
    <row r="24" spans="1:7" x14ac:dyDescent="0.3">
      <c r="A24" s="762" t="s">
        <v>8249</v>
      </c>
      <c r="B24" s="1119"/>
      <c r="C24" s="758" t="str">
        <f t="shared" si="3"/>
        <v/>
      </c>
      <c r="D24" s="1225" t="str">
        <f>CHALLANGE_draft!EC16</f>
        <v/>
      </c>
      <c r="E24" s="398">
        <f t="shared" si="0"/>
        <v>1</v>
      </c>
      <c r="F24" s="1222">
        <v>100000</v>
      </c>
      <c r="G24" s="324"/>
    </row>
    <row r="25" spans="1:7" x14ac:dyDescent="0.3">
      <c r="A25" s="762" t="s">
        <v>8435</v>
      </c>
      <c r="B25" s="1119"/>
      <c r="C25" s="758" t="str">
        <f t="shared" si="3"/>
        <v/>
      </c>
      <c r="D25" s="764" t="str">
        <f>CHALLANGE_draft!EC11</f>
        <v/>
      </c>
      <c r="E25" s="398">
        <f t="shared" si="0"/>
        <v>1</v>
      </c>
      <c r="F25" s="1222"/>
      <c r="G25" s="324"/>
    </row>
    <row r="26" spans="1:7" x14ac:dyDescent="0.3">
      <c r="A26" s="762" t="s">
        <v>8436</v>
      </c>
      <c r="B26" s="1119"/>
      <c r="C26" s="758" t="str">
        <f t="shared" si="3"/>
        <v/>
      </c>
      <c r="D26" s="764" t="str">
        <f>CHALLANGE_draft!EC12</f>
        <v/>
      </c>
      <c r="E26" s="398">
        <f t="shared" si="0"/>
        <v>1</v>
      </c>
      <c r="F26" s="1222"/>
      <c r="G26" s="324"/>
    </row>
    <row r="27" spans="1:7" x14ac:dyDescent="0.3">
      <c r="A27" s="762" t="s">
        <v>8240</v>
      </c>
      <c r="B27" s="1119"/>
      <c r="C27" s="758" t="str">
        <f t="shared" si="3"/>
        <v/>
      </c>
      <c r="D27" s="1219" t="str">
        <f>CHALLANGE_draft!EC17</f>
        <v/>
      </c>
      <c r="E27" s="398">
        <f t="shared" si="0"/>
        <v>1</v>
      </c>
      <c r="F27" s="1222"/>
    </row>
    <row r="28" spans="1:7" x14ac:dyDescent="0.3">
      <c r="A28" s="762" t="s">
        <v>8249</v>
      </c>
      <c r="B28" s="1119"/>
      <c r="C28" s="758" t="str">
        <f t="shared" si="3"/>
        <v/>
      </c>
      <c r="D28" s="1225" t="str">
        <f>CHALLANGE_draft!EC23</f>
        <v/>
      </c>
      <c r="E28" s="398">
        <f t="shared" si="0"/>
        <v>1</v>
      </c>
      <c r="F28" s="1222"/>
      <c r="G28" s="324"/>
    </row>
    <row r="29" spans="1:7" x14ac:dyDescent="0.3">
      <c r="A29" s="762" t="s">
        <v>8435</v>
      </c>
      <c r="B29" s="1119"/>
      <c r="C29" s="758" t="str">
        <f t="shared" si="3"/>
        <v/>
      </c>
      <c r="D29" s="764" t="str">
        <f>CHALLANGE_draft!EC18</f>
        <v/>
      </c>
      <c r="E29" s="398">
        <f t="shared" si="0"/>
        <v>1</v>
      </c>
      <c r="F29" s="1222"/>
      <c r="G29" s="324"/>
    </row>
    <row r="30" spans="1:7" x14ac:dyDescent="0.3">
      <c r="A30" s="762" t="s">
        <v>8436</v>
      </c>
      <c r="B30" s="1119"/>
      <c r="C30" s="758" t="str">
        <f t="shared" si="3"/>
        <v/>
      </c>
      <c r="D30" s="764" t="str">
        <f>CHALLANGE_draft!EC19</f>
        <v/>
      </c>
      <c r="E30" s="398">
        <f t="shared" si="0"/>
        <v>1</v>
      </c>
      <c r="F30" s="1222"/>
      <c r="G30" s="324"/>
    </row>
    <row r="31" spans="1:7" x14ac:dyDescent="0.3">
      <c r="A31" s="762" t="s">
        <v>8241</v>
      </c>
      <c r="B31" s="1119"/>
      <c r="C31" s="758" t="str">
        <f t="shared" si="3"/>
        <v/>
      </c>
      <c r="D31" s="1219" t="str">
        <f>CHALLANGE_draft!EC24</f>
        <v/>
      </c>
      <c r="E31" s="398">
        <f t="shared" si="0"/>
        <v>1</v>
      </c>
      <c r="F31" s="1222"/>
    </row>
    <row r="32" spans="1:7" x14ac:dyDescent="0.3">
      <c r="A32" s="762" t="s">
        <v>8249</v>
      </c>
      <c r="B32" s="1119"/>
      <c r="C32" s="758" t="str">
        <f t="shared" si="3"/>
        <v/>
      </c>
      <c r="D32" s="1225" t="str">
        <f>CHALLANGE_draft!EC30</f>
        <v/>
      </c>
      <c r="E32" s="398">
        <f t="shared" si="0"/>
        <v>1</v>
      </c>
      <c r="F32" s="1222"/>
      <c r="G32" s="324"/>
    </row>
    <row r="33" spans="1:7" x14ac:dyDescent="0.3">
      <c r="A33" s="762" t="s">
        <v>8435</v>
      </c>
      <c r="B33" s="1119"/>
      <c r="C33" s="758" t="str">
        <f t="shared" si="3"/>
        <v/>
      </c>
      <c r="D33" s="764" t="str">
        <f>CHALLANGE_draft!EC25</f>
        <v/>
      </c>
      <c r="E33" s="398">
        <f t="shared" si="0"/>
        <v>1</v>
      </c>
      <c r="F33" s="1222"/>
      <c r="G33" s="324"/>
    </row>
    <row r="34" spans="1:7" x14ac:dyDescent="0.3">
      <c r="A34" s="762" t="s">
        <v>8436</v>
      </c>
      <c r="B34" s="1119"/>
      <c r="C34" s="758" t="str">
        <f t="shared" si="3"/>
        <v/>
      </c>
      <c r="D34" s="764" t="str">
        <f>CHALLANGE_draft!EC26</f>
        <v/>
      </c>
      <c r="E34" s="398">
        <f t="shared" si="0"/>
        <v>1</v>
      </c>
      <c r="F34" s="1222"/>
      <c r="G34" s="324"/>
    </row>
    <row r="35" spans="1:7" x14ac:dyDescent="0.3">
      <c r="A35" s="762" t="s">
        <v>8242</v>
      </c>
      <c r="B35" s="1119"/>
      <c r="C35" s="758" t="str">
        <f t="shared" si="3"/>
        <v/>
      </c>
      <c r="D35" s="1219" t="str">
        <f>CHALLANGE_draft!EC31</f>
        <v/>
      </c>
      <c r="E35" s="398">
        <f t="shared" ref="E35:E66" si="4">IFERROR(IF(C35=D35,1,0),0)</f>
        <v>1</v>
      </c>
      <c r="F35" s="1222"/>
    </row>
    <row r="36" spans="1:7" x14ac:dyDescent="0.3">
      <c r="A36" s="762" t="s">
        <v>8249</v>
      </c>
      <c r="B36" s="1119"/>
      <c r="C36" s="758" t="str">
        <f t="shared" si="3"/>
        <v/>
      </c>
      <c r="D36" s="1225" t="str">
        <f>CHALLANGE_draft!EC37</f>
        <v/>
      </c>
      <c r="E36" s="398">
        <f t="shared" si="4"/>
        <v>1</v>
      </c>
      <c r="F36" s="1222"/>
      <c r="G36" s="324"/>
    </row>
    <row r="37" spans="1:7" x14ac:dyDescent="0.3">
      <c r="A37" s="762" t="s">
        <v>8435</v>
      </c>
      <c r="B37" s="1119"/>
      <c r="C37" s="758" t="str">
        <f t="shared" si="3"/>
        <v/>
      </c>
      <c r="D37" s="764" t="str">
        <f>CHALLANGE_draft!EC32</f>
        <v/>
      </c>
      <c r="E37" s="398">
        <f t="shared" si="4"/>
        <v>1</v>
      </c>
      <c r="F37" s="1222"/>
      <c r="G37" s="324"/>
    </row>
    <row r="38" spans="1:7" x14ac:dyDescent="0.3">
      <c r="A38" s="762" t="s">
        <v>8436</v>
      </c>
      <c r="B38" s="1119"/>
      <c r="C38" s="758" t="str">
        <f t="shared" si="3"/>
        <v/>
      </c>
      <c r="D38" s="764" t="str">
        <f>CHALLANGE_draft!EC33</f>
        <v/>
      </c>
      <c r="E38" s="398">
        <f t="shared" si="4"/>
        <v>1</v>
      </c>
      <c r="F38" s="1222"/>
      <c r="G38" s="324"/>
    </row>
    <row r="39" spans="1:7" x14ac:dyDescent="0.3">
      <c r="A39" s="762" t="s">
        <v>8243</v>
      </c>
      <c r="B39" s="1119"/>
      <c r="C39" s="758" t="str">
        <f t="shared" si="3"/>
        <v/>
      </c>
      <c r="D39" s="1219" t="str">
        <f>CHALLANGE_draft!EC38</f>
        <v/>
      </c>
      <c r="E39" s="398">
        <f t="shared" si="4"/>
        <v>1</v>
      </c>
      <c r="F39" s="1222"/>
    </row>
    <row r="40" spans="1:7" x14ac:dyDescent="0.3">
      <c r="A40" s="762" t="s">
        <v>8249</v>
      </c>
      <c r="B40" s="1119"/>
      <c r="C40" s="758" t="str">
        <f t="shared" si="3"/>
        <v/>
      </c>
      <c r="D40" s="1225" t="str">
        <f>CHALLANGE_draft!EC44</f>
        <v/>
      </c>
      <c r="E40" s="398">
        <f t="shared" si="4"/>
        <v>1</v>
      </c>
      <c r="F40" s="1222"/>
      <c r="G40" s="324"/>
    </row>
    <row r="41" spans="1:7" x14ac:dyDescent="0.3">
      <c r="A41" s="762" t="s">
        <v>8435</v>
      </c>
      <c r="B41" s="1119"/>
      <c r="C41" s="758" t="str">
        <f t="shared" si="3"/>
        <v/>
      </c>
      <c r="D41" s="764" t="str">
        <f>CHALLANGE_draft!EC39</f>
        <v/>
      </c>
      <c r="E41" s="398">
        <f t="shared" si="4"/>
        <v>1</v>
      </c>
      <c r="F41" s="1222"/>
      <c r="G41" s="324"/>
    </row>
    <row r="42" spans="1:7" x14ac:dyDescent="0.3">
      <c r="A42" s="762" t="s">
        <v>8436</v>
      </c>
      <c r="B42" s="1119"/>
      <c r="C42" s="758" t="str">
        <f t="shared" si="3"/>
        <v/>
      </c>
      <c r="D42" s="764" t="str">
        <f>CHALLANGE_draft!EC40</f>
        <v/>
      </c>
      <c r="E42" s="398">
        <f t="shared" si="4"/>
        <v>1</v>
      </c>
      <c r="F42" s="1222"/>
      <c r="G42" s="324"/>
    </row>
    <row r="43" spans="1:7" x14ac:dyDescent="0.3">
      <c r="A43" s="762" t="s">
        <v>8244</v>
      </c>
      <c r="B43" s="1119"/>
      <c r="C43" s="758" t="str">
        <f t="shared" si="3"/>
        <v/>
      </c>
      <c r="D43" s="1219" t="str">
        <f>CHALLANGE_draft!EC45</f>
        <v/>
      </c>
      <c r="E43" s="398">
        <f t="shared" si="4"/>
        <v>1</v>
      </c>
      <c r="F43" s="1222"/>
    </row>
    <row r="44" spans="1:7" x14ac:dyDescent="0.3">
      <c r="A44" s="762" t="s">
        <v>8249</v>
      </c>
      <c r="B44" s="1119"/>
      <c r="C44" s="758" t="str">
        <f t="shared" si="3"/>
        <v/>
      </c>
      <c r="D44" s="1225" t="str">
        <f>CHALLANGE_draft!EC51</f>
        <v/>
      </c>
      <c r="E44" s="398">
        <f t="shared" si="4"/>
        <v>1</v>
      </c>
      <c r="F44" s="1222"/>
      <c r="G44" s="324"/>
    </row>
    <row r="45" spans="1:7" x14ac:dyDescent="0.3">
      <c r="A45" s="762" t="s">
        <v>8435</v>
      </c>
      <c r="B45" s="1119"/>
      <c r="C45" s="758" t="str">
        <f t="shared" si="3"/>
        <v/>
      </c>
      <c r="D45" s="764" t="str">
        <f>CHALLANGE_draft!EC46</f>
        <v/>
      </c>
      <c r="E45" s="398">
        <f t="shared" si="4"/>
        <v>1</v>
      </c>
      <c r="F45" s="1222"/>
      <c r="G45" s="324"/>
    </row>
    <row r="46" spans="1:7" x14ac:dyDescent="0.3">
      <c r="A46" s="762" t="s">
        <v>8436</v>
      </c>
      <c r="B46" s="1119"/>
      <c r="C46" s="758" t="str">
        <f t="shared" si="3"/>
        <v/>
      </c>
      <c r="D46" s="764" t="str">
        <f>CHALLANGE_draft!EC47</f>
        <v/>
      </c>
      <c r="E46" s="398">
        <f t="shared" si="4"/>
        <v>1</v>
      </c>
      <c r="F46" s="1222"/>
      <c r="G46" s="324"/>
    </row>
    <row r="47" spans="1:7" x14ac:dyDescent="0.3">
      <c r="A47" s="762" t="s">
        <v>8245</v>
      </c>
      <c r="B47" s="1119"/>
      <c r="C47" s="758" t="str">
        <f t="shared" si="3"/>
        <v/>
      </c>
      <c r="D47" s="1219" t="str">
        <f>CHALLANGE_draft!EC52</f>
        <v/>
      </c>
      <c r="E47" s="398">
        <f t="shared" si="4"/>
        <v>1</v>
      </c>
      <c r="F47" s="1222"/>
    </row>
    <row r="48" spans="1:7" x14ac:dyDescent="0.3">
      <c r="A48" s="762" t="s">
        <v>8249</v>
      </c>
      <c r="B48" s="1119"/>
      <c r="C48" s="758" t="str">
        <f t="shared" si="3"/>
        <v/>
      </c>
      <c r="D48" s="1225" t="str">
        <f>CHALLANGE_draft!EC58</f>
        <v/>
      </c>
      <c r="E48" s="398">
        <f t="shared" si="4"/>
        <v>1</v>
      </c>
      <c r="F48" s="1222"/>
      <c r="G48" s="324"/>
    </row>
    <row r="49" spans="1:7" x14ac:dyDescent="0.3">
      <c r="A49" s="762" t="s">
        <v>8435</v>
      </c>
      <c r="B49" s="1119"/>
      <c r="C49" s="758" t="str">
        <f t="shared" si="3"/>
        <v/>
      </c>
      <c r="D49" s="764" t="str">
        <f>CHALLANGE_draft!EC53</f>
        <v/>
      </c>
      <c r="E49" s="398">
        <f t="shared" si="4"/>
        <v>1</v>
      </c>
      <c r="F49" s="1222"/>
      <c r="G49" s="324"/>
    </row>
    <row r="50" spans="1:7" x14ac:dyDescent="0.3">
      <c r="A50" s="762" t="s">
        <v>8436</v>
      </c>
      <c r="B50" s="1119"/>
      <c r="C50" s="758" t="str">
        <f t="shared" si="3"/>
        <v/>
      </c>
      <c r="D50" s="764" t="str">
        <f>CHALLANGE_draft!EC54</f>
        <v/>
      </c>
      <c r="E50" s="398">
        <f t="shared" si="4"/>
        <v>1</v>
      </c>
      <c r="F50" s="1222"/>
      <c r="G50" s="324"/>
    </row>
    <row r="51" spans="1:7" x14ac:dyDescent="0.3">
      <c r="A51" s="762" t="s">
        <v>8246</v>
      </c>
      <c r="B51" s="1119"/>
      <c r="C51" s="758" t="str">
        <f t="shared" si="3"/>
        <v/>
      </c>
      <c r="D51" s="1219" t="str">
        <f>CHALLANGE_draft!EC59</f>
        <v/>
      </c>
      <c r="E51" s="398">
        <f t="shared" si="4"/>
        <v>1</v>
      </c>
      <c r="F51" s="1222"/>
    </row>
    <row r="52" spans="1:7" x14ac:dyDescent="0.3">
      <c r="A52" s="762" t="s">
        <v>8249</v>
      </c>
      <c r="B52" s="1119"/>
      <c r="C52" s="758" t="str">
        <f t="shared" si="3"/>
        <v/>
      </c>
      <c r="D52" s="1225" t="str">
        <f>CHALLANGE_draft!EC65</f>
        <v/>
      </c>
      <c r="E52" s="398">
        <f t="shared" si="4"/>
        <v>1</v>
      </c>
      <c r="F52" s="1222"/>
      <c r="G52" s="324"/>
    </row>
    <row r="53" spans="1:7" x14ac:dyDescent="0.3">
      <c r="A53" s="762" t="s">
        <v>8435</v>
      </c>
      <c r="B53" s="1119"/>
      <c r="C53" s="758" t="str">
        <f t="shared" si="3"/>
        <v/>
      </c>
      <c r="D53" s="764" t="str">
        <f>CHALLANGE_draft!EC60</f>
        <v/>
      </c>
      <c r="E53" s="398">
        <f t="shared" si="4"/>
        <v>1</v>
      </c>
      <c r="F53" s="1222"/>
      <c r="G53" s="324"/>
    </row>
    <row r="54" spans="1:7" x14ac:dyDescent="0.3">
      <c r="A54" s="762" t="s">
        <v>8436</v>
      </c>
      <c r="B54" s="1119"/>
      <c r="C54" s="758" t="str">
        <f t="shared" si="3"/>
        <v/>
      </c>
      <c r="D54" s="764" t="str">
        <f>CHALLANGE_draft!EC61</f>
        <v/>
      </c>
      <c r="E54" s="398">
        <f t="shared" si="4"/>
        <v>1</v>
      </c>
      <c r="F54" s="1222"/>
      <c r="G54" s="324"/>
    </row>
    <row r="55" spans="1:7" x14ac:dyDescent="0.3">
      <c r="A55" s="762" t="s">
        <v>8247</v>
      </c>
      <c r="B55" s="1119"/>
      <c r="C55" s="758" t="str">
        <f t="shared" si="3"/>
        <v/>
      </c>
      <c r="D55" s="1219" t="str">
        <f>CHALLANGE_draft!EC66</f>
        <v/>
      </c>
      <c r="E55" s="398">
        <f t="shared" si="4"/>
        <v>1</v>
      </c>
      <c r="F55" s="1222"/>
    </row>
    <row r="56" spans="1:7" x14ac:dyDescent="0.3">
      <c r="A56" s="762" t="s">
        <v>8248</v>
      </c>
      <c r="B56" s="1119"/>
      <c r="C56" s="758" t="str">
        <f t="shared" si="3"/>
        <v/>
      </c>
      <c r="D56" s="1225" t="str">
        <f>CHALLANGE_draft!EC72</f>
        <v/>
      </c>
      <c r="E56" s="398">
        <f t="shared" si="4"/>
        <v>1</v>
      </c>
      <c r="F56" s="1222"/>
      <c r="G56" s="324"/>
    </row>
    <row r="57" spans="1:7" x14ac:dyDescent="0.3">
      <c r="A57" s="762" t="s">
        <v>8435</v>
      </c>
      <c r="B57" s="1119"/>
      <c r="C57" s="758" t="str">
        <f t="shared" si="3"/>
        <v/>
      </c>
      <c r="D57" s="764" t="str">
        <f>CHALLANGE_draft!EC67</f>
        <v/>
      </c>
      <c r="E57" s="398">
        <f t="shared" si="4"/>
        <v>1</v>
      </c>
      <c r="F57" s="1222"/>
      <c r="G57" s="324"/>
    </row>
    <row r="58" spans="1:7" x14ac:dyDescent="0.3">
      <c r="A58" s="762" t="s">
        <v>8436</v>
      </c>
      <c r="B58" s="1119"/>
      <c r="C58" s="758" t="str">
        <f t="shared" si="3"/>
        <v/>
      </c>
      <c r="D58" s="764" t="str">
        <f>CHALLANGE_draft!EC68</f>
        <v/>
      </c>
      <c r="E58" s="398">
        <f t="shared" si="4"/>
        <v>1</v>
      </c>
      <c r="F58" s="1222"/>
      <c r="G58" s="324"/>
    </row>
    <row r="59" spans="1:7" x14ac:dyDescent="0.3">
      <c r="A59" s="762" t="s">
        <v>8265</v>
      </c>
      <c r="B59" s="1119"/>
      <c r="C59" s="758" t="str">
        <f t="shared" si="3"/>
        <v/>
      </c>
      <c r="D59" s="1219" t="str">
        <f>CHALLANGE_draft!EC73</f>
        <v/>
      </c>
      <c r="E59" s="398">
        <f t="shared" si="4"/>
        <v>1</v>
      </c>
      <c r="F59" s="1222"/>
    </row>
    <row r="60" spans="1:7" x14ac:dyDescent="0.3">
      <c r="A60" s="762" t="s">
        <v>8248</v>
      </c>
      <c r="B60" s="1119"/>
      <c r="C60" s="758" t="str">
        <f t="shared" si="3"/>
        <v/>
      </c>
      <c r="D60" s="1225" t="str">
        <f>CHALLANGE_draft!EC79</f>
        <v/>
      </c>
      <c r="E60" s="398">
        <f t="shared" si="4"/>
        <v>1</v>
      </c>
      <c r="F60" s="1222"/>
      <c r="G60" s="324"/>
    </row>
    <row r="61" spans="1:7" x14ac:dyDescent="0.3">
      <c r="A61" s="762" t="s">
        <v>8435</v>
      </c>
      <c r="B61" s="1119"/>
      <c r="C61" s="758" t="str">
        <f t="shared" si="3"/>
        <v/>
      </c>
      <c r="D61" s="764" t="str">
        <f>CHALLANGE_draft!EC74</f>
        <v/>
      </c>
      <c r="E61" s="398">
        <f t="shared" si="4"/>
        <v>1</v>
      </c>
      <c r="F61" s="1222"/>
      <c r="G61" s="324"/>
    </row>
    <row r="62" spans="1:7" x14ac:dyDescent="0.3">
      <c r="A62" s="762" t="s">
        <v>8436</v>
      </c>
      <c r="B62" s="1119"/>
      <c r="C62" s="758" t="str">
        <f t="shared" si="3"/>
        <v/>
      </c>
      <c r="D62" s="764" t="str">
        <f>CHALLANGE_draft!EC75</f>
        <v/>
      </c>
      <c r="E62" s="398">
        <f t="shared" si="4"/>
        <v>1</v>
      </c>
      <c r="F62" s="1222"/>
      <c r="G62" s="324"/>
    </row>
    <row r="63" spans="1:7" x14ac:dyDescent="0.3">
      <c r="A63" s="762" t="s">
        <v>8266</v>
      </c>
      <c r="B63" s="1119"/>
      <c r="C63" s="758" t="str">
        <f t="shared" si="3"/>
        <v/>
      </c>
      <c r="D63" s="1219" t="str">
        <f>CHALLANGE_draft!EC80</f>
        <v/>
      </c>
      <c r="E63" s="398">
        <f t="shared" si="4"/>
        <v>1</v>
      </c>
      <c r="F63" s="1222"/>
    </row>
    <row r="64" spans="1:7" x14ac:dyDescent="0.3">
      <c r="A64" s="762" t="s">
        <v>8248</v>
      </c>
      <c r="B64" s="1119"/>
      <c r="C64" s="758" t="str">
        <f t="shared" si="3"/>
        <v/>
      </c>
      <c r="D64" s="1225" t="str">
        <f>CHALLANGE_draft!EC86</f>
        <v/>
      </c>
      <c r="E64" s="398">
        <f t="shared" si="4"/>
        <v>1</v>
      </c>
      <c r="F64" s="1222"/>
      <c r="G64" s="324"/>
    </row>
    <row r="65" spans="1:7" x14ac:dyDescent="0.3">
      <c r="A65" s="762" t="s">
        <v>8435</v>
      </c>
      <c r="B65" s="1119"/>
      <c r="C65" s="758" t="str">
        <f t="shared" si="3"/>
        <v/>
      </c>
      <c r="D65" s="764" t="str">
        <f>CHALLANGE_draft!EC81</f>
        <v/>
      </c>
      <c r="E65" s="398">
        <f t="shared" si="4"/>
        <v>1</v>
      </c>
      <c r="F65" s="1222"/>
      <c r="G65" s="324"/>
    </row>
    <row r="66" spans="1:7" x14ac:dyDescent="0.3">
      <c r="A66" s="762" t="s">
        <v>8436</v>
      </c>
      <c r="B66" s="1119"/>
      <c r="C66" s="758" t="str">
        <f t="shared" si="3"/>
        <v/>
      </c>
      <c r="D66" s="764" t="str">
        <f>CHALLANGE_draft!EC82</f>
        <v/>
      </c>
      <c r="E66" s="398">
        <f t="shared" si="4"/>
        <v>1</v>
      </c>
      <c r="F66" s="1222"/>
      <c r="G66" s="324"/>
    </row>
    <row r="67" spans="1:7" x14ac:dyDescent="0.3">
      <c r="A67" s="762" t="s">
        <v>8267</v>
      </c>
      <c r="B67" s="1119"/>
      <c r="C67" s="758" t="str">
        <f t="shared" si="3"/>
        <v/>
      </c>
      <c r="D67" s="1219" t="str">
        <f>CHALLANGE_draft!EC87</f>
        <v/>
      </c>
      <c r="E67" s="398">
        <f t="shared" ref="E67:E98" si="5">IFERROR(IF(C67=D67,1,0),0)</f>
        <v>1</v>
      </c>
      <c r="F67" s="1222"/>
    </row>
    <row r="68" spans="1:7" x14ac:dyDescent="0.3">
      <c r="A68" s="762" t="s">
        <v>8248</v>
      </c>
      <c r="B68" s="1119"/>
      <c r="C68" s="758" t="str">
        <f t="shared" si="3"/>
        <v/>
      </c>
      <c r="D68" s="1225" t="str">
        <f>CHALLANGE_draft!EC93</f>
        <v/>
      </c>
      <c r="E68" s="398">
        <f t="shared" si="5"/>
        <v>1</v>
      </c>
      <c r="F68" s="1222"/>
      <c r="G68" s="324"/>
    </row>
    <row r="69" spans="1:7" x14ac:dyDescent="0.3">
      <c r="A69" s="762" t="s">
        <v>8435</v>
      </c>
      <c r="B69" s="1119"/>
      <c r="C69" s="758" t="str">
        <f>IF(ISBLANK(B69),D69,B69)</f>
        <v/>
      </c>
      <c r="D69" s="764" t="str">
        <f>CHALLANGE_draft!EC88</f>
        <v/>
      </c>
      <c r="E69" s="398">
        <f t="shared" si="5"/>
        <v>1</v>
      </c>
      <c r="F69" s="1222"/>
      <c r="G69" s="324"/>
    </row>
    <row r="70" spans="1:7" x14ac:dyDescent="0.3">
      <c r="A70" s="762" t="s">
        <v>8436</v>
      </c>
      <c r="B70" s="1119"/>
      <c r="C70" s="758" t="str">
        <f t="shared" si="3"/>
        <v/>
      </c>
      <c r="D70" s="764" t="str">
        <f>CHALLANGE_draft!EC89</f>
        <v/>
      </c>
      <c r="E70" s="398">
        <f t="shared" si="5"/>
        <v>1</v>
      </c>
      <c r="F70" s="1222"/>
      <c r="G70" s="324"/>
    </row>
    <row r="71" spans="1:7" x14ac:dyDescent="0.3">
      <c r="A71" s="762" t="s">
        <v>8268</v>
      </c>
      <c r="B71" s="1119"/>
      <c r="C71" s="758" t="str">
        <f t="shared" si="3"/>
        <v/>
      </c>
      <c r="D71" s="1219" t="str">
        <f>CHALLANGE_draft!EC94</f>
        <v/>
      </c>
      <c r="E71" s="398">
        <f t="shared" si="5"/>
        <v>1</v>
      </c>
      <c r="F71" s="1222"/>
    </row>
    <row r="72" spans="1:7" x14ac:dyDescent="0.3">
      <c r="A72" s="762" t="s">
        <v>8248</v>
      </c>
      <c r="B72" s="1119"/>
      <c r="C72" s="758" t="str">
        <f t="shared" si="3"/>
        <v/>
      </c>
      <c r="D72" s="1225" t="str">
        <f>CHALLANGE_draft!EC100</f>
        <v/>
      </c>
      <c r="E72" s="398">
        <f t="shared" si="5"/>
        <v>1</v>
      </c>
      <c r="F72" s="1222"/>
      <c r="G72" s="324"/>
    </row>
    <row r="73" spans="1:7" x14ac:dyDescent="0.3">
      <c r="A73" s="762" t="s">
        <v>8435</v>
      </c>
      <c r="B73" s="1119"/>
      <c r="C73" s="758" t="str">
        <f t="shared" si="3"/>
        <v/>
      </c>
      <c r="D73" s="764" t="str">
        <f>CHALLANGE_draft!EC95</f>
        <v/>
      </c>
      <c r="E73" s="398">
        <f t="shared" si="5"/>
        <v>1</v>
      </c>
      <c r="F73" s="1222"/>
      <c r="G73" s="324"/>
    </row>
    <row r="74" spans="1:7" x14ac:dyDescent="0.3">
      <c r="A74" s="762" t="s">
        <v>8436</v>
      </c>
      <c r="B74" s="1119"/>
      <c r="C74" s="758" t="str">
        <f>IF(ISBLANK(B74),D74,B74)</f>
        <v/>
      </c>
      <c r="D74" s="764" t="str">
        <f>CHALLANGE_draft!EC96</f>
        <v/>
      </c>
      <c r="E74" s="398">
        <f t="shared" si="5"/>
        <v>1</v>
      </c>
      <c r="F74" s="1222"/>
      <c r="G74" s="324"/>
    </row>
    <row r="75" spans="1:7" x14ac:dyDescent="0.3">
      <c r="A75" s="762" t="s">
        <v>8269</v>
      </c>
      <c r="B75" s="1119"/>
      <c r="C75" s="758" t="str">
        <f t="shared" si="3"/>
        <v/>
      </c>
      <c r="D75" s="1219" t="str">
        <f>CHALLANGE_draft!EC101</f>
        <v/>
      </c>
      <c r="E75" s="398">
        <f t="shared" si="5"/>
        <v>1</v>
      </c>
      <c r="F75" s="1222"/>
    </row>
    <row r="76" spans="1:7" x14ac:dyDescent="0.3">
      <c r="A76" s="762" t="s">
        <v>8248</v>
      </c>
      <c r="B76" s="1119"/>
      <c r="C76" s="758" t="str">
        <f t="shared" si="3"/>
        <v/>
      </c>
      <c r="D76" s="1225" t="str">
        <f>CHALLANGE_draft!EC107</f>
        <v/>
      </c>
      <c r="E76" s="398">
        <f t="shared" si="5"/>
        <v>1</v>
      </c>
      <c r="F76" s="1222"/>
      <c r="G76" s="324"/>
    </row>
    <row r="77" spans="1:7" x14ac:dyDescent="0.3">
      <c r="A77" s="762" t="s">
        <v>8435</v>
      </c>
      <c r="B77" s="1119"/>
      <c r="C77" s="758" t="str">
        <f t="shared" si="3"/>
        <v/>
      </c>
      <c r="D77" s="764" t="str">
        <f>CHALLANGE_draft!EC102</f>
        <v/>
      </c>
      <c r="E77" s="398">
        <f t="shared" si="5"/>
        <v>1</v>
      </c>
      <c r="F77" s="1222"/>
      <c r="G77" s="324"/>
    </row>
    <row r="78" spans="1:7" x14ac:dyDescent="0.3">
      <c r="A78" s="762" t="s">
        <v>8436</v>
      </c>
      <c r="B78" s="1119"/>
      <c r="C78" s="758" t="str">
        <f t="shared" si="3"/>
        <v/>
      </c>
      <c r="D78" s="764" t="str">
        <f>CHALLANGE_draft!EC103</f>
        <v/>
      </c>
      <c r="E78" s="398">
        <f t="shared" si="5"/>
        <v>1</v>
      </c>
      <c r="F78" s="1222"/>
      <c r="G78" s="324"/>
    </row>
    <row r="79" spans="1:7" x14ac:dyDescent="0.3">
      <c r="A79" s="762" t="s">
        <v>8270</v>
      </c>
      <c r="B79" s="1119"/>
      <c r="C79" s="759">
        <f>C2</f>
        <v>43725</v>
      </c>
      <c r="D79" s="764">
        <f>CHALLANGE_draft!EH3</f>
        <v>44161</v>
      </c>
      <c r="E79" s="398">
        <f>IFERROR(IF(D79-C79&lt;5,1,0),0)</f>
        <v>0</v>
      </c>
      <c r="F79" s="1221">
        <v>44147</v>
      </c>
    </row>
    <row r="80" spans="1:7" ht="28.8" x14ac:dyDescent="0.3">
      <c r="A80" s="762" t="s">
        <v>8271</v>
      </c>
      <c r="B80" s="1119"/>
      <c r="C80" s="759" t="str">
        <f>C3</f>
        <v>У-19-32531</v>
      </c>
      <c r="D80" s="764" t="str">
        <f>CHALLANGE_draft!EN3</f>
        <v>У-20-175174/2040-002</v>
      </c>
      <c r="E80" s="398">
        <f>IFERROR(IF(RIGHT(C80,LEN(C80)-5)=RIGHT(LEFT(D80,SEARCH("/",D80)-1),LEN(LEFT(D80,SEARCH("/",D80)-1))-5),1,0),0)</f>
        <v>0</v>
      </c>
      <c r="F80" s="1223" t="s">
        <v>12662</v>
      </c>
    </row>
    <row r="81" spans="1:7" x14ac:dyDescent="0.3">
      <c r="A81" s="762" t="s">
        <v>8272</v>
      </c>
      <c r="B81" s="1119"/>
      <c r="C81" s="758" t="s">
        <v>8446</v>
      </c>
      <c r="D81" s="764" t="str">
        <f>CHALLANGE_draft!ET3</f>
        <v>Предоставлены</v>
      </c>
      <c r="E81" s="398">
        <f t="shared" si="5"/>
        <v>1</v>
      </c>
      <c r="F81" s="1222" t="s">
        <v>8446</v>
      </c>
    </row>
    <row r="82" spans="1:7" x14ac:dyDescent="0.3">
      <c r="A82" s="762" t="s">
        <v>8520</v>
      </c>
      <c r="B82" s="1119"/>
      <c r="C82" s="758" t="str">
        <f t="shared" ref="C82:C121" si="6">IF(ISBLANK(B82),D82,B82)</f>
        <v>Финансовой организацией</v>
      </c>
      <c r="D82" s="764" t="str">
        <f>CHALLANGE_draft!KQ3</f>
        <v>Финансовой организацией</v>
      </c>
      <c r="E82" s="398">
        <f t="shared" si="5"/>
        <v>1</v>
      </c>
      <c r="F82" s="1222" t="s">
        <v>166</v>
      </c>
    </row>
    <row r="83" spans="1:7" x14ac:dyDescent="0.3">
      <c r="A83" s="762" t="s">
        <v>8321</v>
      </c>
      <c r="B83" s="1119"/>
      <c r="C83" s="759">
        <f t="shared" si="6"/>
        <v>43560</v>
      </c>
      <c r="D83" s="764">
        <f>CHALLANGE_draft!KT3</f>
        <v>43560</v>
      </c>
      <c r="E83" s="398">
        <f t="shared" si="5"/>
        <v>1</v>
      </c>
      <c r="F83" s="1221" t="e">
        <v>#VALUE!</v>
      </c>
    </row>
    <row r="84" spans="1:7" x14ac:dyDescent="0.3">
      <c r="A84" s="762" t="s">
        <v>8322</v>
      </c>
      <c r="B84" s="1119"/>
      <c r="C84" s="758" t="str">
        <f t="shared" si="6"/>
        <v>ККК</v>
      </c>
      <c r="D84" s="764" t="str">
        <f>CHALLANGE_draft!LB3</f>
        <v>ККК</v>
      </c>
      <c r="E84" s="398">
        <f t="shared" si="5"/>
        <v>1</v>
      </c>
      <c r="F84" s="1222" t="s">
        <v>10900</v>
      </c>
    </row>
    <row r="85" spans="1:7" x14ac:dyDescent="0.3">
      <c r="A85" s="762" t="s">
        <v>8323</v>
      </c>
      <c r="B85" s="1119"/>
      <c r="C85" s="758" t="str">
        <f t="shared" si="6"/>
        <v>3002162227</v>
      </c>
      <c r="D85" s="1224" t="str">
        <f>CHALLANGE_draft!LK3</f>
        <v>3002162227</v>
      </c>
      <c r="E85" s="398">
        <f t="shared" si="5"/>
        <v>1</v>
      </c>
      <c r="F85" s="1222">
        <v>129351797</v>
      </c>
      <c r="G85" s="6"/>
    </row>
    <row r="86" spans="1:7" x14ac:dyDescent="0.3">
      <c r="A86" s="762" t="s">
        <v>8325</v>
      </c>
      <c r="B86" s="1119"/>
      <c r="C86" s="759">
        <f t="shared" si="6"/>
        <v>43560</v>
      </c>
      <c r="D86" s="764">
        <f>CHALLANGE_draft!LQ3</f>
        <v>43560</v>
      </c>
      <c r="E86" s="398">
        <f t="shared" si="5"/>
        <v>1</v>
      </c>
      <c r="F86" s="1221" t="e">
        <v>#VALUE!</v>
      </c>
    </row>
    <row r="87" spans="1:7" x14ac:dyDescent="0.3">
      <c r="A87" s="762" t="s">
        <v>8326</v>
      </c>
      <c r="B87" s="1119"/>
      <c r="C87" s="759">
        <f t="shared" si="6"/>
        <v>43925</v>
      </c>
      <c r="D87" s="764">
        <f>CHALLANGE_draft!LW3</f>
        <v>43925</v>
      </c>
      <c r="E87" s="398">
        <f t="shared" si="5"/>
        <v>1</v>
      </c>
      <c r="F87" s="1221" t="e">
        <v>#VALUE!</v>
      </c>
    </row>
    <row r="88" spans="1:7" x14ac:dyDescent="0.3">
      <c r="A88" s="762" t="s">
        <v>8327</v>
      </c>
      <c r="B88" s="1119"/>
      <c r="C88" s="758">
        <f t="shared" si="6"/>
        <v>0</v>
      </c>
      <c r="D88" s="764"/>
      <c r="E88" s="398">
        <f t="shared" si="5"/>
        <v>1</v>
      </c>
      <c r="F88" s="1222">
        <v>0</v>
      </c>
    </row>
    <row r="89" spans="1:7" x14ac:dyDescent="0.3">
      <c r="A89" s="762" t="s">
        <v>8328</v>
      </c>
      <c r="B89" s="1119"/>
      <c r="C89" s="759">
        <f t="shared" si="6"/>
        <v>43626</v>
      </c>
      <c r="D89" s="764">
        <f>CHALLANGE_draft!FG3</f>
        <v>43626</v>
      </c>
      <c r="E89" s="398">
        <f t="shared" si="5"/>
        <v>1</v>
      </c>
      <c r="F89" s="1221">
        <v>44096</v>
      </c>
    </row>
    <row r="90" spans="1:7" x14ac:dyDescent="0.3">
      <c r="A90" s="762" t="s">
        <v>8349</v>
      </c>
      <c r="B90" s="1119"/>
      <c r="C90" s="758" t="str">
        <f t="shared" si="6"/>
        <v>ГИБДД</v>
      </c>
      <c r="D90" s="764" t="str">
        <f>CHALLANGE_draft!HJ3</f>
        <v>ГИБДД</v>
      </c>
      <c r="E90" s="398">
        <f t="shared" si="5"/>
        <v>1</v>
      </c>
      <c r="F90" s="1222" t="s">
        <v>9631</v>
      </c>
    </row>
    <row r="91" spans="1:7" x14ac:dyDescent="0.3">
      <c r="A91" s="762" t="s">
        <v>8519</v>
      </c>
      <c r="B91" s="1119"/>
      <c r="C91" s="758" t="str">
        <f t="shared" si="6"/>
        <v>Женишбека Бекназара</v>
      </c>
      <c r="D91" s="764" t="str">
        <f>CHALLANGE_draft!FT3</f>
        <v>Женишбека Бекназара</v>
      </c>
      <c r="E91" s="398">
        <f t="shared" si="5"/>
        <v>1</v>
      </c>
      <c r="F91" s="1222" t="s">
        <v>12663</v>
      </c>
    </row>
    <row r="92" spans="1:7" x14ac:dyDescent="0.3">
      <c r="A92" s="762" t="s">
        <v>8518</v>
      </c>
      <c r="B92" s="1119"/>
      <c r="C92" s="758" t="str">
        <f t="shared" si="6"/>
        <v>МУЖ</v>
      </c>
      <c r="D92" s="764" t="str">
        <f>CHALLANGE_draft!FY3</f>
        <v>МУЖ</v>
      </c>
      <c r="E92" s="398">
        <f t="shared" si="5"/>
        <v>1</v>
      </c>
      <c r="F92" s="1222" t="s">
        <v>717</v>
      </c>
    </row>
    <row r="93" spans="1:7" x14ac:dyDescent="0.3">
      <c r="A93" s="762" t="s">
        <v>8330</v>
      </c>
      <c r="B93" s="1119"/>
      <c r="C93" s="758" t="str">
        <f t="shared" si="6"/>
        <v>ВАЗ 2106</v>
      </c>
      <c r="D93" s="764" t="str">
        <f>CHALLANGE_draft!GH3</f>
        <v>ВАЗ 2106</v>
      </c>
      <c r="E93" s="398">
        <f t="shared" si="5"/>
        <v>1</v>
      </c>
      <c r="F93" s="1222" t="s">
        <v>12664</v>
      </c>
    </row>
    <row r="94" spans="1:7" x14ac:dyDescent="0.3">
      <c r="A94" s="762" t="s">
        <v>8331</v>
      </c>
      <c r="B94" s="1119"/>
      <c r="C94" s="758" t="str">
        <f t="shared" si="6"/>
        <v>А086НТ61</v>
      </c>
      <c r="D94" s="764" t="str">
        <f>CHALLANGE_draft!GP3</f>
        <v>А086НТ61</v>
      </c>
      <c r="E94" s="398">
        <f t="shared" si="5"/>
        <v>1</v>
      </c>
      <c r="F94" s="1222" t="s">
        <v>12665</v>
      </c>
    </row>
    <row r="95" spans="1:7" x14ac:dyDescent="0.3">
      <c r="A95" s="762" t="s">
        <v>8332</v>
      </c>
      <c r="B95" s="1119"/>
      <c r="C95" s="758" t="str">
        <f t="shared" si="6"/>
        <v>Toyota Camry</v>
      </c>
      <c r="D95" s="764" t="str">
        <f>CHALLANGE_draft!GH5</f>
        <v>Toyota Camry</v>
      </c>
      <c r="E95" s="398">
        <f t="shared" si="5"/>
        <v>1</v>
      </c>
      <c r="F95" s="1222" t="e">
        <v>#VALUE!</v>
      </c>
    </row>
    <row r="96" spans="1:7" x14ac:dyDescent="0.3">
      <c r="A96" s="762" t="s">
        <v>8333</v>
      </c>
      <c r="B96" s="1119"/>
      <c r="C96" s="758" t="str">
        <f t="shared" si="6"/>
        <v>Е718ТР161</v>
      </c>
      <c r="D96" s="764" t="str">
        <f>CHALLANGE_draft!GP5</f>
        <v>Е718ТР161</v>
      </c>
      <c r="E96" s="398">
        <f t="shared" si="5"/>
        <v>1</v>
      </c>
      <c r="F96" s="1222" t="e">
        <v>#VALUE!</v>
      </c>
    </row>
    <row r="97" spans="1:6" x14ac:dyDescent="0.3">
      <c r="A97" s="762" t="s">
        <v>8334</v>
      </c>
      <c r="B97" s="1119"/>
      <c r="C97" s="758" t="str">
        <f t="shared" si="6"/>
        <v>2016</v>
      </c>
      <c r="D97" s="1224" t="str">
        <f>CHALLANGE_draft!HF3</f>
        <v>2016</v>
      </c>
      <c r="E97" s="398">
        <f t="shared" si="5"/>
        <v>1</v>
      </c>
      <c r="F97" s="1222" t="e">
        <v>#VALUE!</v>
      </c>
    </row>
    <row r="98" spans="1:6" x14ac:dyDescent="0.3">
      <c r="A98" s="762" t="s">
        <v>8336</v>
      </c>
      <c r="B98" s="1119"/>
      <c r="C98" s="758" t="str">
        <f t="shared" si="6"/>
        <v>СПАО «РЕСО-Гарантия»</v>
      </c>
      <c r="D98" s="764" t="str">
        <f>CHALLANGE_draft!IN3</f>
        <v>СПАО «РЕСО-Гарантия»</v>
      </c>
      <c r="E98" s="398">
        <f t="shared" si="5"/>
        <v>1</v>
      </c>
      <c r="F98" s="1222" t="s">
        <v>1682</v>
      </c>
    </row>
    <row r="99" spans="1:6" x14ac:dyDescent="0.3">
      <c r="A99" s="762" t="s">
        <v>8337</v>
      </c>
      <c r="B99" s="1119"/>
      <c r="C99" s="758" t="str">
        <f t="shared" si="6"/>
        <v>ККК</v>
      </c>
      <c r="D99" s="764" t="str">
        <f>CHALLANGE_draft!IV3</f>
        <v>ККК</v>
      </c>
      <c r="E99" s="398">
        <f t="shared" ref="E99:E121" si="7">IFERROR(IF(C99=D99,1,0),0)</f>
        <v>1</v>
      </c>
      <c r="F99" s="1222" t="s">
        <v>12666</v>
      </c>
    </row>
    <row r="100" spans="1:6" x14ac:dyDescent="0.3">
      <c r="A100" s="762" t="s">
        <v>8338</v>
      </c>
      <c r="B100" s="1119"/>
      <c r="C100" s="758" t="str">
        <f t="shared" si="6"/>
        <v>3001108454</v>
      </c>
      <c r="D100" s="1224" t="str">
        <f>CHALLANGE_draft!JB3</f>
        <v>3001108454</v>
      </c>
      <c r="E100" s="398">
        <f t="shared" si="7"/>
        <v>1</v>
      </c>
      <c r="F100" s="1222">
        <v>5033649281</v>
      </c>
    </row>
    <row r="101" spans="1:6" x14ac:dyDescent="0.3">
      <c r="A101" s="762" t="s">
        <v>8325</v>
      </c>
      <c r="B101" s="1121"/>
      <c r="C101" s="759" t="e">
        <f t="shared" si="6"/>
        <v>#VALUE!</v>
      </c>
      <c r="D101" s="764" t="e">
        <f>CHALLANGE_draft!JH3</f>
        <v>#VALUE!</v>
      </c>
      <c r="E101" s="398">
        <f t="shared" si="7"/>
        <v>0</v>
      </c>
      <c r="F101" s="1221" t="e">
        <v>#VALUE!</v>
      </c>
    </row>
    <row r="102" spans="1:6" x14ac:dyDescent="0.3">
      <c r="A102" s="762" t="s">
        <v>8326</v>
      </c>
      <c r="B102" s="1121"/>
      <c r="C102" s="759" t="e">
        <f t="shared" si="6"/>
        <v>#VALUE!</v>
      </c>
      <c r="D102" s="764" t="e">
        <f>CHALLANGE_draft!JN3</f>
        <v>#VALUE!</v>
      </c>
      <c r="E102" s="398">
        <f t="shared" si="7"/>
        <v>0</v>
      </c>
      <c r="F102" s="1221" t="e">
        <v>#VALUE!</v>
      </c>
    </row>
    <row r="103" spans="1:6" x14ac:dyDescent="0.3">
      <c r="A103" s="762" t="s">
        <v>8339</v>
      </c>
      <c r="B103" s="1119"/>
      <c r="C103" s="759">
        <f t="shared" si="6"/>
        <v>43627</v>
      </c>
      <c r="D103" s="764">
        <f>CHALLANGE_draft!MW3</f>
        <v>43627</v>
      </c>
      <c r="E103" s="398">
        <f t="shared" si="7"/>
        <v>1</v>
      </c>
      <c r="F103" s="1221">
        <v>44106</v>
      </c>
    </row>
    <row r="104" spans="1:6" x14ac:dyDescent="0.3">
      <c r="A104" s="762" t="s">
        <v>8340</v>
      </c>
      <c r="B104" s="1119"/>
      <c r="C104" s="758">
        <f t="shared" si="6"/>
        <v>0</v>
      </c>
      <c r="D104" s="764"/>
      <c r="E104" s="398">
        <f t="shared" si="7"/>
        <v>1</v>
      </c>
      <c r="F104" s="1222">
        <v>0</v>
      </c>
    </row>
    <row r="105" spans="1:6" x14ac:dyDescent="0.3">
      <c r="A105" s="762" t="s">
        <v>8343</v>
      </c>
      <c r="B105" s="1119"/>
      <c r="C105" s="758" t="str">
        <f t="shared" si="6"/>
        <v>ПВУ</v>
      </c>
      <c r="D105" s="764" t="str">
        <f>CHALLANGE_draft!MO3</f>
        <v>ПВУ</v>
      </c>
      <c r="E105" s="398">
        <f t="shared" si="7"/>
        <v>1</v>
      </c>
      <c r="F105" s="1222" t="s">
        <v>4594</v>
      </c>
    </row>
    <row r="106" spans="1:6" x14ac:dyDescent="0.3">
      <c r="A106" s="762" t="s">
        <v>8344</v>
      </c>
      <c r="B106" s="1119"/>
      <c r="C106" s="758">
        <f t="shared" si="6"/>
        <v>0</v>
      </c>
      <c r="D106" s="764"/>
      <c r="E106" s="398">
        <f t="shared" si="7"/>
        <v>1</v>
      </c>
      <c r="F106" s="1222">
        <v>0</v>
      </c>
    </row>
    <row r="107" spans="1:6" x14ac:dyDescent="0.3">
      <c r="A107" s="762" t="s">
        <v>8238</v>
      </c>
      <c r="B107" s="1119"/>
      <c r="C107" s="758">
        <f t="shared" si="6"/>
        <v>0</v>
      </c>
      <c r="D107" s="1226"/>
      <c r="E107" s="398">
        <f t="shared" si="7"/>
        <v>1</v>
      </c>
      <c r="F107" s="1222">
        <v>0</v>
      </c>
    </row>
    <row r="108" spans="1:6" x14ac:dyDescent="0.3">
      <c r="A108" s="762" t="s">
        <v>8239</v>
      </c>
      <c r="B108" s="1119"/>
      <c r="C108" s="758">
        <f t="shared" si="6"/>
        <v>0</v>
      </c>
      <c r="D108" s="1226"/>
      <c r="E108" s="398">
        <f t="shared" si="7"/>
        <v>1</v>
      </c>
      <c r="F108" s="1222">
        <v>0</v>
      </c>
    </row>
    <row r="109" spans="1:6" x14ac:dyDescent="0.3">
      <c r="A109" s="762" t="s">
        <v>8240</v>
      </c>
      <c r="B109" s="1119"/>
      <c r="C109" s="758">
        <f t="shared" si="6"/>
        <v>0</v>
      </c>
      <c r="D109" s="1226"/>
      <c r="E109" s="398">
        <f t="shared" si="7"/>
        <v>1</v>
      </c>
      <c r="F109" s="1222">
        <v>0</v>
      </c>
    </row>
    <row r="110" spans="1:6" x14ac:dyDescent="0.3">
      <c r="A110" s="762" t="s">
        <v>8241</v>
      </c>
      <c r="B110" s="1119"/>
      <c r="C110" s="758">
        <f t="shared" si="6"/>
        <v>0</v>
      </c>
      <c r="D110" s="1226"/>
      <c r="E110" s="398">
        <f t="shared" si="7"/>
        <v>1</v>
      </c>
      <c r="F110" s="1222">
        <v>0</v>
      </c>
    </row>
    <row r="111" spans="1:6" x14ac:dyDescent="0.3">
      <c r="A111" s="762" t="s">
        <v>8242</v>
      </c>
      <c r="B111" s="1119"/>
      <c r="C111" s="758">
        <f t="shared" si="6"/>
        <v>0</v>
      </c>
      <c r="D111" s="1226"/>
      <c r="E111" s="398">
        <f t="shared" si="7"/>
        <v>1</v>
      </c>
      <c r="F111" s="1222">
        <v>0</v>
      </c>
    </row>
    <row r="112" spans="1:6" x14ac:dyDescent="0.3">
      <c r="A112" s="762" t="s">
        <v>8243</v>
      </c>
      <c r="B112" s="1119"/>
      <c r="C112" s="758">
        <f t="shared" si="6"/>
        <v>0</v>
      </c>
      <c r="D112" s="1226"/>
      <c r="E112" s="398">
        <f t="shared" si="7"/>
        <v>1</v>
      </c>
      <c r="F112" s="1222">
        <v>0</v>
      </c>
    </row>
    <row r="113" spans="1:6" x14ac:dyDescent="0.3">
      <c r="A113" s="762" t="s">
        <v>8244</v>
      </c>
      <c r="B113" s="1119"/>
      <c r="C113" s="758">
        <f t="shared" si="6"/>
        <v>0</v>
      </c>
      <c r="D113" s="1226"/>
      <c r="E113" s="398">
        <f t="shared" si="7"/>
        <v>1</v>
      </c>
      <c r="F113" s="1222">
        <v>0</v>
      </c>
    </row>
    <row r="114" spans="1:6" x14ac:dyDescent="0.3">
      <c r="A114" s="762" t="s">
        <v>8245</v>
      </c>
      <c r="B114" s="1119"/>
      <c r="C114" s="758">
        <f t="shared" si="6"/>
        <v>0</v>
      </c>
      <c r="D114" s="1226"/>
      <c r="E114" s="398">
        <f t="shared" si="7"/>
        <v>1</v>
      </c>
      <c r="F114" s="1222">
        <v>0</v>
      </c>
    </row>
    <row r="115" spans="1:6" x14ac:dyDescent="0.3">
      <c r="A115" s="762" t="s">
        <v>8246</v>
      </c>
      <c r="B115" s="1119"/>
      <c r="C115" s="758">
        <f t="shared" si="6"/>
        <v>0</v>
      </c>
      <c r="D115" s="1226"/>
      <c r="E115" s="398">
        <f t="shared" si="7"/>
        <v>1</v>
      </c>
      <c r="F115" s="1222">
        <v>0</v>
      </c>
    </row>
    <row r="116" spans="1:6" x14ac:dyDescent="0.3">
      <c r="A116" s="762" t="s">
        <v>8247</v>
      </c>
      <c r="B116" s="1119"/>
      <c r="C116" s="758">
        <f t="shared" si="6"/>
        <v>0</v>
      </c>
      <c r="D116" s="1226"/>
      <c r="E116" s="398">
        <f t="shared" si="7"/>
        <v>1</v>
      </c>
      <c r="F116" s="1222">
        <v>0</v>
      </c>
    </row>
    <row r="117" spans="1:6" x14ac:dyDescent="0.3">
      <c r="A117" s="762" t="s">
        <v>8265</v>
      </c>
      <c r="B117" s="1119"/>
      <c r="C117" s="758">
        <f t="shared" si="6"/>
        <v>0</v>
      </c>
      <c r="D117" s="1226"/>
      <c r="E117" s="398">
        <f t="shared" si="7"/>
        <v>1</v>
      </c>
      <c r="F117" s="1222">
        <v>0</v>
      </c>
    </row>
    <row r="118" spans="1:6" x14ac:dyDescent="0.3">
      <c r="A118" s="762" t="s">
        <v>8266</v>
      </c>
      <c r="B118" s="1119"/>
      <c r="C118" s="758">
        <f t="shared" si="6"/>
        <v>0</v>
      </c>
      <c r="D118" s="1226"/>
      <c r="E118" s="398">
        <f t="shared" si="7"/>
        <v>1</v>
      </c>
      <c r="F118" s="1222">
        <v>0</v>
      </c>
    </row>
    <row r="119" spans="1:6" x14ac:dyDescent="0.3">
      <c r="A119" s="762" t="s">
        <v>8267</v>
      </c>
      <c r="B119" s="1119"/>
      <c r="C119" s="758">
        <f t="shared" si="6"/>
        <v>0</v>
      </c>
      <c r="D119" s="1226"/>
      <c r="E119" s="398">
        <f t="shared" si="7"/>
        <v>1</v>
      </c>
      <c r="F119" s="1222">
        <v>0</v>
      </c>
    </row>
    <row r="120" spans="1:6" x14ac:dyDescent="0.3">
      <c r="A120" s="762" t="s">
        <v>8268</v>
      </c>
      <c r="B120" s="1119"/>
      <c r="C120" s="758">
        <f t="shared" si="6"/>
        <v>0</v>
      </c>
      <c r="D120" s="1226"/>
      <c r="E120" s="398">
        <f t="shared" si="7"/>
        <v>1</v>
      </c>
      <c r="F120" s="1222">
        <v>0</v>
      </c>
    </row>
    <row r="121" spans="1:6" x14ac:dyDescent="0.3">
      <c r="A121" s="762" t="s">
        <v>8269</v>
      </c>
      <c r="B121" s="1119"/>
      <c r="C121" s="758">
        <f t="shared" si="6"/>
        <v>0</v>
      </c>
      <c r="D121" s="1226"/>
      <c r="E121" s="398">
        <f t="shared" si="7"/>
        <v>1</v>
      </c>
      <c r="F121" s="1222">
        <v>0</v>
      </c>
    </row>
    <row r="122" spans="1:6" x14ac:dyDescent="0.3">
      <c r="A122" s="762" t="s">
        <v>8678</v>
      </c>
      <c r="B122" s="1119"/>
      <c r="C122" s="1227">
        <f>DATES!G58</f>
        <v>0</v>
      </c>
      <c r="D122" s="1228">
        <f>IFERROR('MOT (penalty)'!AC3,0)</f>
        <v>0</v>
      </c>
      <c r="E122" s="398">
        <f t="shared" ref="E122" si="8">IFERROR(IF(C122=D122,1,0),0)</f>
        <v>1</v>
      </c>
      <c r="F122" s="1324">
        <v>0</v>
      </c>
    </row>
  </sheetData>
  <conditionalFormatting sqref="J1">
    <cfRule type="colorScale" priority="13">
      <colorScale>
        <cfvo type="num" val="0"/>
        <cfvo type="num" val="0.5"/>
        <cfvo type="num" val="1"/>
        <color rgb="FFFF0000"/>
        <color rgb="FFFFC000"/>
        <color rgb="FF92D050"/>
      </colorScale>
    </cfRule>
  </conditionalFormatting>
  <pageMargins left="0.7" right="0.7" top="0.75" bottom="0.75" header="0.3" footer="0.3"/>
  <pageSetup paperSize="9" orientation="portrait" horizontalDpi="300" verticalDpi="300" r:id="rId1"/>
  <extLst>
    <ext xmlns:x14="http://schemas.microsoft.com/office/spreadsheetml/2009/9/main" uri="{78C0D931-6437-407d-A8EE-F0AAD7539E65}">
      <x14:conditionalFormattings>
        <x14:conditionalFormatting xmlns:xm="http://schemas.microsoft.com/office/excel/2006/main">
          <x14:cfRule type="iconSet" priority="1" id="{75DE775C-359F-4204-82EA-F604D429B48C}">
            <x14:iconSet iconSet="3Symbols" showValue="0" custom="1">
              <x14:cfvo type="percent">
                <xm:f>0</xm:f>
              </x14:cfvo>
              <x14:cfvo type="num">
                <xm:f>0.5</xm:f>
              </x14:cfvo>
              <x14:cfvo type="num">
                <xm:f>1</xm:f>
              </x14:cfvo>
              <x14:cfIcon iconSet="3Symbols" iconId="0"/>
              <x14:cfIcon iconSet="3Symbols" iconId="0"/>
              <x14:cfIcon iconSet="3Symbols" iconId="2"/>
            </x14:iconSet>
          </x14:cfRule>
          <xm:sqref>E1:E1048576</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List">
    <tabColor rgb="FFC00000"/>
  </sheetPr>
  <dimension ref="A1:GW4"/>
  <sheetViews>
    <sheetView topLeftCell="G1" workbookViewId="0">
      <selection activeCell="M5" sqref="M5"/>
    </sheetView>
  </sheetViews>
  <sheetFormatPr defaultRowHeight="14.4" x14ac:dyDescent="0.3"/>
  <cols>
    <col min="1" max="1" width="14.44140625" style="7" customWidth="1"/>
    <col min="2" max="2" width="15.44140625" style="7" customWidth="1"/>
    <col min="3" max="3" width="12.5546875" style="7" customWidth="1"/>
    <col min="4" max="4" width="12.5546875" style="793" customWidth="1"/>
    <col min="5" max="5" width="12.5546875" style="1013" customWidth="1"/>
    <col min="6" max="6" width="14.88671875" style="7" customWidth="1"/>
    <col min="7" max="7" width="22.44140625" customWidth="1"/>
    <col min="8" max="8" width="15" customWidth="1"/>
    <col min="9" max="9" width="13.6640625" customWidth="1"/>
    <col min="10" max="10" width="15.5546875" customWidth="1"/>
    <col min="11" max="12" width="22.109375" customWidth="1"/>
    <col min="18" max="18" width="8.6640625" customWidth="1"/>
    <col min="31" max="31" width="12.109375" customWidth="1"/>
    <col min="32" max="33" width="14.109375" customWidth="1"/>
    <col min="113" max="113" width="11.6640625" customWidth="1"/>
    <col min="114" max="114" width="11.5546875" customWidth="1"/>
  </cols>
  <sheetData>
    <row r="1" spans="1:205" ht="15.6" thickTop="1" thickBot="1" x14ac:dyDescent="0.35">
      <c r="A1" s="1405" t="s">
        <v>2</v>
      </c>
      <c r="B1" s="1405" t="s">
        <v>3</v>
      </c>
      <c r="C1" s="1401" t="s">
        <v>0</v>
      </c>
      <c r="D1" s="1548"/>
      <c r="E1" s="1546" t="s">
        <v>197</v>
      </c>
      <c r="F1" s="1405" t="s">
        <v>198</v>
      </c>
      <c r="G1" s="1371" t="s">
        <v>6</v>
      </c>
      <c r="H1" s="1372"/>
      <c r="I1" s="1372"/>
      <c r="J1" s="1373"/>
      <c r="K1" s="1405" t="s">
        <v>12</v>
      </c>
      <c r="L1" s="1040" t="s">
        <v>1</v>
      </c>
      <c r="M1" s="1371" t="s">
        <v>114</v>
      </c>
      <c r="N1" s="1372"/>
      <c r="O1" s="1372"/>
      <c r="P1" s="1372"/>
      <c r="Q1" s="1372"/>
      <c r="R1" s="1372"/>
      <c r="S1" s="1372"/>
      <c r="T1" s="1372"/>
      <c r="U1" s="1373"/>
      <c r="V1" s="1376" t="s">
        <v>123</v>
      </c>
      <c r="W1" s="1377"/>
      <c r="X1" s="1377"/>
      <c r="Y1" s="1377"/>
      <c r="Z1" s="1377"/>
      <c r="AA1" s="1377"/>
      <c r="AB1" s="1377"/>
      <c r="AC1" s="1377"/>
      <c r="AD1" s="1378"/>
      <c r="AE1" s="1405" t="s">
        <v>142</v>
      </c>
      <c r="AF1" s="1549" t="s">
        <v>5678</v>
      </c>
      <c r="AG1" s="1549" t="s">
        <v>7300</v>
      </c>
      <c r="AH1" s="1403" t="s">
        <v>656</v>
      </c>
      <c r="AI1" s="1404"/>
      <c r="AJ1" s="1371" t="s">
        <v>144</v>
      </c>
      <c r="AK1" s="1373"/>
      <c r="AL1" s="1410" t="s">
        <v>593</v>
      </c>
      <c r="AM1" s="1411"/>
      <c r="AN1" s="1412"/>
      <c r="AO1" s="1376" t="s">
        <v>610</v>
      </c>
      <c r="AP1" s="1378"/>
      <c r="AQ1" s="1376" t="s">
        <v>594</v>
      </c>
      <c r="AR1" s="1378"/>
      <c r="AS1" s="1551" t="s">
        <v>7301</v>
      </c>
      <c r="AT1" s="1552"/>
      <c r="AU1" s="1552"/>
      <c r="AV1" s="1552"/>
      <c r="AW1" s="1552"/>
      <c r="AX1" s="1552"/>
      <c r="AY1" s="1552"/>
      <c r="AZ1" s="1552"/>
      <c r="BA1" s="1552"/>
      <c r="BB1" s="1552"/>
      <c r="BC1" s="1552"/>
      <c r="BD1" s="1552"/>
      <c r="BE1" s="1552"/>
      <c r="BF1" s="1552"/>
      <c r="BG1" s="1552"/>
      <c r="BH1" s="1552"/>
      <c r="BI1" s="1552"/>
      <c r="BJ1" s="1552"/>
      <c r="BK1" s="1552"/>
      <c r="BL1" s="1552"/>
      <c r="BM1" s="1376" t="s">
        <v>581</v>
      </c>
      <c r="BN1" s="1377"/>
      <c r="BO1" s="1377"/>
      <c r="BP1" s="1377"/>
      <c r="BQ1" s="1377"/>
      <c r="BR1" s="1378"/>
      <c r="BS1" s="1410" t="s">
        <v>629</v>
      </c>
      <c r="BT1" s="1411"/>
      <c r="BU1" s="1411"/>
      <c r="BV1" s="1411"/>
      <c r="BW1" s="1411"/>
      <c r="BX1" s="1411"/>
      <c r="BY1" s="1411"/>
      <c r="BZ1" s="1412"/>
      <c r="CA1" s="1410" t="s">
        <v>630</v>
      </c>
      <c r="CB1" s="1411"/>
      <c r="CC1" s="1411"/>
      <c r="CD1" s="1412"/>
      <c r="CE1" s="1418" t="s">
        <v>613</v>
      </c>
      <c r="CF1" s="1419"/>
      <c r="CG1" s="1419"/>
      <c r="CH1" s="1419"/>
      <c r="CI1" s="1419"/>
      <c r="CJ1" s="1419"/>
      <c r="CK1" s="1419"/>
      <c r="CL1" s="1420"/>
      <c r="CM1" s="1418" t="s">
        <v>614</v>
      </c>
      <c r="CN1" s="1419"/>
      <c r="CO1" s="1419"/>
      <c r="CP1" s="1420"/>
      <c r="CQ1" s="1437" t="s">
        <v>616</v>
      </c>
      <c r="CR1" s="1438"/>
      <c r="CS1" s="1438"/>
      <c r="CT1" s="1438"/>
      <c r="CU1" s="1438"/>
      <c r="CV1" s="1438"/>
      <c r="CW1" s="1438"/>
      <c r="CX1" s="1438"/>
      <c r="CY1" s="1438"/>
      <c r="CZ1" s="1438"/>
      <c r="DA1" s="1439"/>
      <c r="DB1" s="1437" t="s">
        <v>615</v>
      </c>
      <c r="DC1" s="1438"/>
      <c r="DD1" s="1438"/>
      <c r="DE1" s="1438"/>
      <c r="DF1" s="1438"/>
      <c r="DG1" s="1438"/>
      <c r="DH1" s="1439"/>
      <c r="DI1" s="1422" t="s">
        <v>40</v>
      </c>
      <c r="DJ1" s="1423"/>
      <c r="DK1" s="1423"/>
      <c r="DL1" s="1423"/>
      <c r="DM1" s="1423"/>
      <c r="DN1" s="1423"/>
      <c r="DO1" s="1423"/>
      <c r="DP1" s="1423"/>
      <c r="DQ1" s="1423"/>
      <c r="DR1" s="1423"/>
      <c r="DS1" s="1423"/>
      <c r="DT1" s="1423"/>
      <c r="DU1" s="1423"/>
      <c r="DV1" s="1423"/>
      <c r="DW1" s="1423"/>
      <c r="DX1" s="1423"/>
      <c r="DY1" s="1423"/>
      <c r="DZ1" s="1423"/>
      <c r="EA1" s="1423"/>
      <c r="EB1" s="1423"/>
      <c r="EC1" s="1422" t="s">
        <v>42</v>
      </c>
      <c r="ED1" s="1423"/>
      <c r="EE1" s="1423"/>
      <c r="EF1" s="1423"/>
      <c r="EG1" s="1423"/>
      <c r="EH1" s="1423"/>
      <c r="EI1" s="1423"/>
      <c r="EJ1" s="1423"/>
      <c r="EK1" s="1423"/>
      <c r="EL1" s="1423"/>
      <c r="EM1" s="1423"/>
      <c r="EN1" s="1423"/>
      <c r="EO1" s="1423"/>
      <c r="EP1" s="1423"/>
      <c r="EQ1" s="1423"/>
      <c r="ER1" s="1423"/>
      <c r="ES1" s="1423"/>
      <c r="ET1" s="1423"/>
      <c r="EU1" s="1423"/>
      <c r="EV1" s="1423"/>
      <c r="EW1" s="1363" t="s">
        <v>622</v>
      </c>
      <c r="EX1" s="1363"/>
      <c r="EY1" s="1363"/>
      <c r="EZ1" s="1422" t="s">
        <v>7302</v>
      </c>
      <c r="FA1" s="1423"/>
      <c r="FB1" s="1423"/>
      <c r="FC1" s="1423"/>
      <c r="FD1" s="1423"/>
      <c r="FE1" s="1423"/>
      <c r="FF1" s="1423"/>
      <c r="FG1" s="1423"/>
      <c r="FH1" s="1423"/>
      <c r="FI1" s="1423"/>
      <c r="FJ1" s="1423"/>
      <c r="FK1" s="1423"/>
      <c r="FL1" s="1423"/>
      <c r="FM1" s="1423"/>
      <c r="FN1" s="1423"/>
      <c r="FO1" s="1423"/>
      <c r="FP1" s="1423"/>
      <c r="FQ1" s="1423"/>
      <c r="FR1" s="1423"/>
      <c r="FS1" s="1423"/>
      <c r="FT1" s="1422" t="s">
        <v>7306</v>
      </c>
      <c r="FU1" s="1423"/>
      <c r="FV1" s="1423"/>
      <c r="FW1" s="1423"/>
      <c r="FX1" s="1423"/>
      <c r="FY1" s="1423"/>
      <c r="FZ1" s="1423"/>
      <c r="GA1" s="1423"/>
      <c r="GB1" s="1423"/>
      <c r="GC1" s="1423"/>
      <c r="GD1" s="1423"/>
      <c r="GE1" s="1423"/>
      <c r="GF1" s="1423"/>
      <c r="GG1" s="1423"/>
      <c r="GH1" s="1423"/>
      <c r="GI1" s="1423"/>
      <c r="GJ1" s="1423"/>
      <c r="GK1" s="1423"/>
      <c r="GL1" s="1423"/>
      <c r="GM1" s="1423"/>
      <c r="GN1" s="1423"/>
      <c r="GO1" s="1423"/>
      <c r="GP1" s="1423"/>
      <c r="GQ1" s="1423"/>
      <c r="GR1" s="1423"/>
      <c r="GS1" s="1423"/>
      <c r="GT1" s="1423"/>
      <c r="GU1" s="1423"/>
      <c r="GV1" s="1423"/>
      <c r="GW1" s="1423"/>
    </row>
    <row r="2" spans="1:205" ht="15.6" thickTop="1" thickBot="1" x14ac:dyDescent="0.35">
      <c r="A2" s="1406"/>
      <c r="B2" s="1406"/>
      <c r="C2" s="795" t="s">
        <v>5</v>
      </c>
      <c r="D2" s="795" t="s">
        <v>4</v>
      </c>
      <c r="E2" s="1547"/>
      <c r="F2" s="1406"/>
      <c r="G2" s="262" t="s">
        <v>8</v>
      </c>
      <c r="H2" s="262" t="s">
        <v>9</v>
      </c>
      <c r="I2" s="262" t="s">
        <v>10</v>
      </c>
      <c r="J2" s="262" t="s">
        <v>11</v>
      </c>
      <c r="K2" s="1406"/>
      <c r="L2" s="1014"/>
      <c r="M2" s="262" t="s">
        <v>115</v>
      </c>
      <c r="N2" s="262" t="s">
        <v>116</v>
      </c>
      <c r="O2" s="262" t="s">
        <v>117</v>
      </c>
      <c r="P2" s="262" t="s">
        <v>12</v>
      </c>
      <c r="Q2" s="34" t="s">
        <v>118</v>
      </c>
      <c r="R2" s="35" t="s">
        <v>119</v>
      </c>
      <c r="S2" s="262" t="s">
        <v>120</v>
      </c>
      <c r="T2" s="262" t="s">
        <v>121</v>
      </c>
      <c r="U2" s="262" t="s">
        <v>122</v>
      </c>
      <c r="V2" s="262" t="s">
        <v>115</v>
      </c>
      <c r="W2" s="262" t="s">
        <v>116</v>
      </c>
      <c r="X2" s="262" t="s">
        <v>124</v>
      </c>
      <c r="Y2" s="262" t="s">
        <v>12</v>
      </c>
      <c r="Z2" s="34" t="s">
        <v>118</v>
      </c>
      <c r="AA2" s="35" t="s">
        <v>119</v>
      </c>
      <c r="AB2" s="262" t="s">
        <v>120</v>
      </c>
      <c r="AC2" s="262" t="s">
        <v>121</v>
      </c>
      <c r="AD2" s="262" t="s">
        <v>122</v>
      </c>
      <c r="AE2" s="1406"/>
      <c r="AF2" s="1550"/>
      <c r="AG2" s="1550"/>
      <c r="AH2" s="35" t="s">
        <v>5</v>
      </c>
      <c r="AI2" s="55" t="s">
        <v>627</v>
      </c>
      <c r="AJ2" s="262" t="s">
        <v>5</v>
      </c>
      <c r="AK2" s="262" t="s">
        <v>605</v>
      </c>
      <c r="AL2" s="262" t="s">
        <v>5</v>
      </c>
      <c r="AM2" s="262" t="s">
        <v>4</v>
      </c>
      <c r="AN2" s="262" t="s">
        <v>595</v>
      </c>
      <c r="AO2" s="692" t="s">
        <v>5</v>
      </c>
      <c r="AP2" s="262" t="s">
        <v>599</v>
      </c>
      <c r="AQ2" s="262" t="s">
        <v>5</v>
      </c>
      <c r="AR2" s="262" t="s">
        <v>596</v>
      </c>
      <c r="AS2" s="692" t="s">
        <v>605</v>
      </c>
      <c r="AT2" s="692" t="s">
        <v>627</v>
      </c>
      <c r="AU2" s="692" t="s">
        <v>605</v>
      </c>
      <c r="AV2" s="692" t="s">
        <v>627</v>
      </c>
      <c r="AW2" s="692" t="s">
        <v>605</v>
      </c>
      <c r="AX2" s="692" t="s">
        <v>627</v>
      </c>
      <c r="AY2" s="692" t="s">
        <v>605</v>
      </c>
      <c r="AZ2" s="692" t="s">
        <v>627</v>
      </c>
      <c r="BA2" s="692" t="s">
        <v>605</v>
      </c>
      <c r="BB2" s="692" t="s">
        <v>627</v>
      </c>
      <c r="BC2" s="692" t="s">
        <v>605</v>
      </c>
      <c r="BD2" s="692" t="s">
        <v>627</v>
      </c>
      <c r="BE2" s="692" t="s">
        <v>605</v>
      </c>
      <c r="BF2" s="692" t="s">
        <v>627</v>
      </c>
      <c r="BG2" s="692" t="s">
        <v>605</v>
      </c>
      <c r="BH2" s="692" t="s">
        <v>627</v>
      </c>
      <c r="BI2" s="692" t="s">
        <v>605</v>
      </c>
      <c r="BJ2" s="692" t="s">
        <v>627</v>
      </c>
      <c r="BK2" s="692" t="s">
        <v>605</v>
      </c>
      <c r="BL2" s="692" t="s">
        <v>627</v>
      </c>
      <c r="BM2" s="262" t="s">
        <v>5</v>
      </c>
      <c r="BN2" s="262" t="s">
        <v>4</v>
      </c>
      <c r="BO2" s="262" t="s">
        <v>597</v>
      </c>
      <c r="BP2" s="692" t="s">
        <v>5</v>
      </c>
      <c r="BQ2" s="262" t="s">
        <v>4</v>
      </c>
      <c r="BR2" s="262" t="s">
        <v>659</v>
      </c>
      <c r="BS2" s="262" t="s">
        <v>5</v>
      </c>
      <c r="BT2" s="262" t="s">
        <v>4</v>
      </c>
      <c r="BU2" s="180" t="s">
        <v>599</v>
      </c>
      <c r="BV2" s="180" t="s">
        <v>600</v>
      </c>
      <c r="BW2" s="180" t="s">
        <v>601</v>
      </c>
      <c r="BX2" s="180" t="s">
        <v>602</v>
      </c>
      <c r="BY2" s="180" t="s">
        <v>603</v>
      </c>
      <c r="BZ2" s="180" t="s">
        <v>611</v>
      </c>
      <c r="CA2" s="262" t="s">
        <v>5</v>
      </c>
      <c r="CB2" s="262" t="s">
        <v>4</v>
      </c>
      <c r="CC2" s="180" t="s">
        <v>599</v>
      </c>
      <c r="CD2" s="180" t="s">
        <v>604</v>
      </c>
      <c r="CE2" s="262" t="s">
        <v>5</v>
      </c>
      <c r="CF2" s="262" t="s">
        <v>4</v>
      </c>
      <c r="CG2" s="180" t="s">
        <v>599</v>
      </c>
      <c r="CH2" s="180" t="s">
        <v>600</v>
      </c>
      <c r="CI2" s="180" t="s">
        <v>601</v>
      </c>
      <c r="CJ2" s="180" t="s">
        <v>602</v>
      </c>
      <c r="CK2" s="180" t="s">
        <v>603</v>
      </c>
      <c r="CL2" s="180" t="s">
        <v>611</v>
      </c>
      <c r="CM2" s="262" t="s">
        <v>5</v>
      </c>
      <c r="CN2" s="262" t="s">
        <v>4</v>
      </c>
      <c r="CO2" s="180" t="s">
        <v>599</v>
      </c>
      <c r="CP2" s="180" t="s">
        <v>604</v>
      </c>
      <c r="CQ2" s="262" t="s">
        <v>5</v>
      </c>
      <c r="CR2" s="262" t="s">
        <v>4</v>
      </c>
      <c r="CS2" s="180" t="s">
        <v>599</v>
      </c>
      <c r="CT2" s="180" t="s">
        <v>618</v>
      </c>
      <c r="CU2" s="180" t="s">
        <v>617</v>
      </c>
      <c r="CV2" s="180" t="s">
        <v>600</v>
      </c>
      <c r="CW2" s="180" t="s">
        <v>601</v>
      </c>
      <c r="CX2" s="180" t="s">
        <v>602</v>
      </c>
      <c r="CY2" s="180" t="s">
        <v>603</v>
      </c>
      <c r="CZ2" s="262" t="s">
        <v>604</v>
      </c>
      <c r="DA2" s="180" t="s">
        <v>611</v>
      </c>
      <c r="DB2" s="262" t="s">
        <v>5</v>
      </c>
      <c r="DC2" s="262" t="s">
        <v>4</v>
      </c>
      <c r="DD2" s="180" t="s">
        <v>599</v>
      </c>
      <c r="DE2" s="180" t="s">
        <v>618</v>
      </c>
      <c r="DF2" s="180" t="s">
        <v>617</v>
      </c>
      <c r="DG2" s="180" t="s">
        <v>611</v>
      </c>
      <c r="DH2" s="180" t="s">
        <v>1254</v>
      </c>
      <c r="DI2" s="262" t="s">
        <v>605</v>
      </c>
      <c r="DJ2" s="262" t="s">
        <v>627</v>
      </c>
      <c r="DK2" s="262" t="s">
        <v>605</v>
      </c>
      <c r="DL2" s="262" t="s">
        <v>627</v>
      </c>
      <c r="DM2" s="262" t="s">
        <v>605</v>
      </c>
      <c r="DN2" s="262" t="s">
        <v>627</v>
      </c>
      <c r="DO2" s="262" t="s">
        <v>605</v>
      </c>
      <c r="DP2" s="262" t="s">
        <v>627</v>
      </c>
      <c r="DQ2" s="262" t="s">
        <v>605</v>
      </c>
      <c r="DR2" s="262" t="s">
        <v>627</v>
      </c>
      <c r="DS2" s="262" t="s">
        <v>605</v>
      </c>
      <c r="DT2" s="262" t="s">
        <v>627</v>
      </c>
      <c r="DU2" s="262" t="s">
        <v>605</v>
      </c>
      <c r="DV2" s="262" t="s">
        <v>627</v>
      </c>
      <c r="DW2" s="262" t="s">
        <v>605</v>
      </c>
      <c r="DX2" s="262" t="s">
        <v>627</v>
      </c>
      <c r="DY2" s="262" t="s">
        <v>605</v>
      </c>
      <c r="DZ2" s="262" t="s">
        <v>627</v>
      </c>
      <c r="EA2" s="262" t="s">
        <v>605</v>
      </c>
      <c r="EB2" s="262" t="s">
        <v>627</v>
      </c>
      <c r="EC2" s="262" t="s">
        <v>605</v>
      </c>
      <c r="ED2" s="262" t="s">
        <v>627</v>
      </c>
      <c r="EE2" s="262" t="s">
        <v>605</v>
      </c>
      <c r="EF2" s="262" t="s">
        <v>627</v>
      </c>
      <c r="EG2" s="262" t="s">
        <v>605</v>
      </c>
      <c r="EH2" s="262" t="s">
        <v>627</v>
      </c>
      <c r="EI2" s="262" t="s">
        <v>605</v>
      </c>
      <c r="EJ2" s="262" t="s">
        <v>627</v>
      </c>
      <c r="EK2" s="262" t="s">
        <v>605</v>
      </c>
      <c r="EL2" s="262" t="s">
        <v>627</v>
      </c>
      <c r="EM2" s="262" t="s">
        <v>605</v>
      </c>
      <c r="EN2" s="262" t="s">
        <v>627</v>
      </c>
      <c r="EO2" s="262" t="s">
        <v>605</v>
      </c>
      <c r="EP2" s="262" t="s">
        <v>627</v>
      </c>
      <c r="EQ2" s="262" t="s">
        <v>605</v>
      </c>
      <c r="ER2" s="262" t="s">
        <v>627</v>
      </c>
      <c r="ES2" s="262" t="s">
        <v>605</v>
      </c>
      <c r="ET2" s="262" t="s">
        <v>627</v>
      </c>
      <c r="EU2" s="262" t="s">
        <v>605</v>
      </c>
      <c r="EV2" s="693" t="s">
        <v>627</v>
      </c>
      <c r="EW2" s="692" t="s">
        <v>7303</v>
      </c>
      <c r="EX2" s="692" t="s">
        <v>7304</v>
      </c>
      <c r="EY2" s="692" t="s">
        <v>7305</v>
      </c>
      <c r="EZ2" s="692" t="s">
        <v>605</v>
      </c>
      <c r="FA2" s="692" t="s">
        <v>627</v>
      </c>
      <c r="FB2" s="692" t="s">
        <v>605</v>
      </c>
      <c r="FC2" s="692" t="s">
        <v>627</v>
      </c>
      <c r="FD2" s="692" t="s">
        <v>605</v>
      </c>
      <c r="FE2" s="692" t="s">
        <v>627</v>
      </c>
      <c r="FF2" s="692" t="s">
        <v>605</v>
      </c>
      <c r="FG2" s="692" t="s">
        <v>627</v>
      </c>
      <c r="FH2" s="692" t="s">
        <v>605</v>
      </c>
      <c r="FI2" s="692" t="s">
        <v>627</v>
      </c>
      <c r="FJ2" s="692" t="s">
        <v>605</v>
      </c>
      <c r="FK2" s="692" t="s">
        <v>627</v>
      </c>
      <c r="FL2" s="692" t="s">
        <v>605</v>
      </c>
      <c r="FM2" s="692" t="s">
        <v>627</v>
      </c>
      <c r="FN2" s="692" t="s">
        <v>605</v>
      </c>
      <c r="FO2" s="692" t="s">
        <v>627</v>
      </c>
      <c r="FP2" s="692" t="s">
        <v>605</v>
      </c>
      <c r="FQ2" s="692" t="s">
        <v>627</v>
      </c>
      <c r="FR2" s="692" t="s">
        <v>605</v>
      </c>
      <c r="FS2" s="692" t="s">
        <v>627</v>
      </c>
      <c r="FT2" s="692" t="s">
        <v>605</v>
      </c>
      <c r="FU2" s="692" t="s">
        <v>627</v>
      </c>
      <c r="FV2" s="692" t="s">
        <v>7307</v>
      </c>
      <c r="FW2" s="692" t="s">
        <v>605</v>
      </c>
      <c r="FX2" s="692" t="s">
        <v>627</v>
      </c>
      <c r="FY2" s="692" t="s">
        <v>7307</v>
      </c>
      <c r="FZ2" s="692" t="s">
        <v>605</v>
      </c>
      <c r="GA2" s="692" t="s">
        <v>627</v>
      </c>
      <c r="GB2" s="692" t="s">
        <v>7307</v>
      </c>
      <c r="GC2" s="692" t="s">
        <v>605</v>
      </c>
      <c r="GD2" s="692" t="s">
        <v>627</v>
      </c>
      <c r="GE2" s="692" t="s">
        <v>7307</v>
      </c>
      <c r="GF2" s="692" t="s">
        <v>605</v>
      </c>
      <c r="GG2" s="692" t="s">
        <v>627</v>
      </c>
      <c r="GH2" s="692" t="s">
        <v>7307</v>
      </c>
      <c r="GI2" s="692" t="s">
        <v>605</v>
      </c>
      <c r="GJ2" s="692" t="s">
        <v>627</v>
      </c>
      <c r="GK2" s="692" t="s">
        <v>7307</v>
      </c>
      <c r="GL2" s="692" t="s">
        <v>605</v>
      </c>
      <c r="GM2" s="692" t="s">
        <v>627</v>
      </c>
      <c r="GN2" s="692" t="s">
        <v>7307</v>
      </c>
      <c r="GO2" s="692" t="s">
        <v>605</v>
      </c>
      <c r="GP2" s="692" t="s">
        <v>627</v>
      </c>
      <c r="GQ2" s="692" t="s">
        <v>7307</v>
      </c>
      <c r="GR2" s="692" t="s">
        <v>605</v>
      </c>
      <c r="GS2" s="692" t="s">
        <v>627</v>
      </c>
      <c r="GT2" s="692" t="s">
        <v>7307</v>
      </c>
      <c r="GU2" s="692" t="s">
        <v>605</v>
      </c>
      <c r="GV2" s="692" t="s">
        <v>627</v>
      </c>
      <c r="GW2" s="692" t="s">
        <v>7307</v>
      </c>
    </row>
    <row r="3" spans="1:205" ht="15" thickTop="1" x14ac:dyDescent="0.3">
      <c r="A3" s="7" t="s">
        <v>17</v>
      </c>
      <c r="B3" s="7" t="s">
        <v>924</v>
      </c>
      <c r="C3" s="561">
        <v>43927</v>
      </c>
      <c r="D3" s="7" t="s">
        <v>6825</v>
      </c>
      <c r="E3" s="1013" t="s">
        <v>213</v>
      </c>
      <c r="F3" s="7" t="s">
        <v>645</v>
      </c>
      <c r="G3" t="s">
        <v>7310</v>
      </c>
      <c r="K3" t="s">
        <v>154</v>
      </c>
    </row>
    <row r="4" spans="1:205" x14ac:dyDescent="0.3">
      <c r="C4" s="561"/>
      <c r="D4" s="7"/>
    </row>
  </sheetData>
  <autoFilter ref="C2:GW2"/>
  <mergeCells count="30">
    <mergeCell ref="AL1:AN1"/>
    <mergeCell ref="AO1:AP1"/>
    <mergeCell ref="AQ1:AR1"/>
    <mergeCell ref="BM1:BR1"/>
    <mergeCell ref="C1:D1"/>
    <mergeCell ref="AF1:AF2"/>
    <mergeCell ref="AG1:AG2"/>
    <mergeCell ref="AS1:BL1"/>
    <mergeCell ref="A1:A2"/>
    <mergeCell ref="B1:B2"/>
    <mergeCell ref="G1:J1"/>
    <mergeCell ref="M1:U1"/>
    <mergeCell ref="F1:F2"/>
    <mergeCell ref="E1:E2"/>
    <mergeCell ref="EZ1:FS1"/>
    <mergeCell ref="EW1:EY1"/>
    <mergeCell ref="FT1:GW1"/>
    <mergeCell ref="EC1:EV1"/>
    <mergeCell ref="K1:K2"/>
    <mergeCell ref="AE1:AE2"/>
    <mergeCell ref="DI1:EB1"/>
    <mergeCell ref="DB1:DH1"/>
    <mergeCell ref="BS1:BZ1"/>
    <mergeCell ref="CA1:CD1"/>
    <mergeCell ref="CE1:CL1"/>
    <mergeCell ref="CM1:CP1"/>
    <mergeCell ref="CQ1:DA1"/>
    <mergeCell ref="V1:AD1"/>
    <mergeCell ref="AH1:AI1"/>
    <mergeCell ref="AJ1:AK1"/>
  </mergeCells>
  <hyperlinks>
    <hyperlink ref="C1:D1" location="STATUS!A1" display="ОБРАЩЕНИЕ"/>
  </hyperlinks>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J129"/>
  <sheetViews>
    <sheetView topLeftCell="E1" workbookViewId="0">
      <selection activeCell="K9" sqref="K9"/>
    </sheetView>
  </sheetViews>
  <sheetFormatPr defaultRowHeight="14.4" outlineLevelCol="1" x14ac:dyDescent="0.3"/>
  <cols>
    <col min="1" max="1" width="6.109375" style="264" hidden="1" customWidth="1" outlineLevel="1"/>
    <col min="2" max="3" width="12.88671875" style="264" hidden="1" customWidth="1" outlineLevel="1"/>
    <col min="4" max="4" width="9.33203125" hidden="1" customWidth="1" outlineLevel="1"/>
    <col min="5" max="5" width="38.44140625" customWidth="1" collapsed="1"/>
    <col min="6" max="6" width="6.109375" style="264" hidden="1" customWidth="1" outlineLevel="1"/>
    <col min="7" max="8" width="12.88671875" style="264" hidden="1" customWidth="1" outlineLevel="1"/>
    <col min="9" max="9" width="9.33203125" hidden="1" customWidth="1" outlineLevel="1"/>
    <col min="10" max="10" width="36.33203125" customWidth="1" collapsed="1"/>
  </cols>
  <sheetData>
    <row r="1" spans="1:10" x14ac:dyDescent="0.3">
      <c r="A1" s="1478" t="s">
        <v>8659</v>
      </c>
      <c r="B1" s="1479"/>
      <c r="C1" s="1479"/>
      <c r="D1" s="1479"/>
      <c r="E1" s="1480"/>
      <c r="F1" s="1478" t="s">
        <v>8660</v>
      </c>
      <c r="G1" s="1479"/>
      <c r="H1" s="1479"/>
      <c r="I1" s="1479"/>
      <c r="J1" s="1480"/>
    </row>
    <row r="2" spans="1:10" x14ac:dyDescent="0.3">
      <c r="A2" s="823" t="s">
        <v>4</v>
      </c>
      <c r="B2" s="792" t="s">
        <v>8392</v>
      </c>
      <c r="C2" s="792" t="s">
        <v>8393</v>
      </c>
      <c r="D2" s="792" t="s">
        <v>8394</v>
      </c>
      <c r="E2" s="972" t="s">
        <v>8360</v>
      </c>
      <c r="F2" s="823" t="s">
        <v>4</v>
      </c>
      <c r="G2" s="792" t="s">
        <v>8392</v>
      </c>
      <c r="H2" s="792" t="s">
        <v>8393</v>
      </c>
      <c r="I2" s="792" t="s">
        <v>8394</v>
      </c>
      <c r="J2" s="972" t="s">
        <v>8360</v>
      </c>
    </row>
    <row r="3" spans="1:10" x14ac:dyDescent="0.3">
      <c r="A3" s="974">
        <v>1</v>
      </c>
      <c r="B3" s="973">
        <v>1</v>
      </c>
      <c r="C3" s="973">
        <f>IFERROR(SEARCH(CHAR(10),CHALLANGE_draft!$E$4,B3),"")</f>
        <v>174</v>
      </c>
      <c r="D3" s="854">
        <f t="shared" ref="D3:D34" si="0">IFERROR(C3-B3,"")</f>
        <v>173</v>
      </c>
      <c r="E3" s="980" t="str">
        <f>IFERROR(MID(CHALLANGE_draft!$E$4,B3,D3),"")</f>
        <v>05.04.2019 между Заявителем и Финансовой организацией заключен договор ОСАГО серия ККК № 3002162227 со сроком страхования с 05.04.2019 до 04.04.2020 (далее – Договор ОСАГО).</v>
      </c>
      <c r="F3" s="974">
        <v>1</v>
      </c>
      <c r="G3" s="973">
        <v>1</v>
      </c>
      <c r="H3" s="973">
        <f>IFERROR(SEARCH(CHAR(10),CHALLANGE_draft!$G$3,G3),"")</f>
        <v>163</v>
      </c>
      <c r="I3" s="854">
        <f t="shared" ref="I3:I34" si="1">IFERROR(H3-G3,"")</f>
        <v>162</v>
      </c>
      <c r="J3" s="980" t="str">
        <f>IFERROR(MID(CHALLANGE_draft!$G$3,G3,I3),"")</f>
        <v>Согласно статье 12 Гражданского кодекса Российской Федерации (далее – ГК РФ) взыскание неустойки является одним из способов защиты нарушенного гражданского права.</v>
      </c>
    </row>
    <row r="4" spans="1:10" x14ac:dyDescent="0.3">
      <c r="A4" s="974">
        <v>2</v>
      </c>
      <c r="B4" s="973">
        <f t="shared" ref="B4:B35" si="2">IFERROR(C3+1,"")</f>
        <v>175</v>
      </c>
      <c r="C4" s="973">
        <f>IFERROR(SEARCH(CHAR(10),CHALLANGE_draft!$E$4,B4),"")</f>
        <v>577</v>
      </c>
      <c r="D4" s="854">
        <f t="shared" si="0"/>
        <v>402</v>
      </c>
      <c r="E4" s="981" t="str">
        <f>IFERROR(MID(CHALLANGE_draft!$E$4,B4,D4),"")</f>
        <v>В результате дорожно-транспортного происшествия, произошедшего 10.06.2019 (далее – ДТП), вследствие действий Женишбека Бекназара, управлявшего транспортным средством ВАЗ 2106, государственный регистрационный номер А086НТ61, был причинен вред принадлежащему Заявителю транспортному средству Toyota Camry, государственный регистрационный номер Е718ТР161, год выпуска 2016 (далее – Транспортное средство).</v>
      </c>
      <c r="F4" s="974">
        <v>2</v>
      </c>
      <c r="G4" s="973">
        <f t="shared" ref="G4:G35" si="3">IFERROR(H3+1,"")</f>
        <v>164</v>
      </c>
      <c r="H4" s="973">
        <f>IFERROR(SEARCH(CHAR(10),CHALLANGE_draft!$G$3,G4),"")</f>
        <v>519</v>
      </c>
      <c r="I4" s="854">
        <f t="shared" si="1"/>
        <v>355</v>
      </c>
      <c r="J4" s="981" t="str">
        <f>IFERROR(MID(CHALLANGE_draft!$G$3,G4,I4),"")</f>
        <v>По смыслу статьи 330 ГК РФ неустойкой (штрафом, пеней) признается определенная законом или договором денежная сумма, которую должник обязан уплатить кредитору в случае неисполнения или ненадлежащего исполнения обязательства, в частности в случае просрочки исполнения. По требованию об уплате неустойки кредитор не обязан доказывать причинение ему убытков.</v>
      </c>
    </row>
    <row r="5" spans="1:10" x14ac:dyDescent="0.3">
      <c r="A5" s="974">
        <v>3</v>
      </c>
      <c r="B5" s="973">
        <f t="shared" si="2"/>
        <v>578</v>
      </c>
      <c r="C5" s="973">
        <f>IFERROR(SEARCH(CHAR(10),CHALLANGE_draft!$E$4,B5),"")</f>
        <v>709</v>
      </c>
      <c r="D5" s="854">
        <f t="shared" si="0"/>
        <v>131</v>
      </c>
      <c r="E5" s="981" t="str">
        <f>IFERROR(MID(CHALLANGE_draft!$E$4,B5,D5),"")</f>
        <v>Гражданская ответственность Женишбека Бекназара застрахована в СПАО «РЕСО-Гарантия» в рамках договора ОСАГО серия ККК № 3001108454.</v>
      </c>
      <c r="F5" s="974">
        <v>3</v>
      </c>
      <c r="G5" s="973">
        <f t="shared" si="3"/>
        <v>520</v>
      </c>
      <c r="H5" s="973">
        <f>IFERROR(SEARCH(CHAR(10),CHALLANGE_draft!$G$3,G5),"")</f>
        <v>810</v>
      </c>
      <c r="I5" s="854">
        <f t="shared" si="1"/>
        <v>290</v>
      </c>
      <c r="J5" s="981" t="str">
        <f>IFERROR(MID(CHALLANGE_draft!$G$3,G5,I5),"")</f>
        <v>Положения пункта 21 статьи 12 Федерального закона от 25.04.2002 № 40-ФЗ «Об обязательном страховании гражданской ответственности владельцев транспортных средств» (далее – Закон № 40-ФЗ) предусматривают выплату страховщиком потерпевшему неустойки за нарушение сроков исполнения обязательств.</v>
      </c>
    </row>
    <row r="6" spans="1:10" x14ac:dyDescent="0.3">
      <c r="A6" s="974">
        <v>4</v>
      </c>
      <c r="B6" s="973">
        <f t="shared" si="2"/>
        <v>710</v>
      </c>
      <c r="C6" s="973">
        <f>IFERROR(SEARCH(CHAR(10),CHALLANGE_draft!$E$4,B6),"")</f>
        <v>1032</v>
      </c>
      <c r="D6" s="854">
        <f t="shared" si="0"/>
        <v>322</v>
      </c>
      <c r="E6" s="981" t="str">
        <f>IFERROR(MID(CHALLANGE_draft!$E$4,B6,D6),"")</f>
        <v>11.06.2019 Заявитель обратился в Финансовую организацию с заявлением о прямом возмещении убытков, предоставив все документы, предусмотренные Правилами обязательного страхования гражданской ответственности владельцев транспортных средств, утвержденными Положением Банка России от 19.09.2014 № 431-П (далее – Правила ОСАГО).</v>
      </c>
      <c r="F6" s="974">
        <v>4</v>
      </c>
      <c r="G6" s="973">
        <f t="shared" si="3"/>
        <v>811</v>
      </c>
      <c r="H6" s="973">
        <f>IFERROR(SEARCH(CHAR(10),CHALLANGE_draft!$G$3,G6),"")</f>
        <v>1152</v>
      </c>
      <c r="I6" s="854">
        <f t="shared" si="1"/>
        <v>341</v>
      </c>
      <c r="J6" s="981" t="str">
        <f>IFERROR(MID(CHALLANGE_draft!$G$3,G6,I6),"")</f>
        <v xml:space="preserve">Таким образом, требования о взыскании неустойки по правилам статьи 12 Закона № 40-ФЗ подлежат рассмотрению финансовым уполномоченным, поскольку обязанность страховщика по выплате неустойки в случае нарушения срока исполнения обязательств прямо предусмотрена Законом № 40-ФЗ, не связана с вопросами взыскания обязательных платежей и санкций. </v>
      </c>
    </row>
    <row r="7" spans="1:10" x14ac:dyDescent="0.3">
      <c r="A7" s="974">
        <v>5</v>
      </c>
      <c r="B7" s="973">
        <f t="shared" si="2"/>
        <v>1033</v>
      </c>
      <c r="C7" s="973">
        <f>IFERROR(SEARCH(CHAR(10),CHALLANGE_draft!$E$4,B7),"")</f>
        <v>1138</v>
      </c>
      <c r="D7" s="854">
        <f t="shared" si="0"/>
        <v>105</v>
      </c>
      <c r="E7" s="981" t="str">
        <f>IFERROR(MID(CHALLANGE_draft!$E$4,B7,D7),"")</f>
        <v>Заявление также содержало требования о выплате расходов на проведение независимой технической экспертизы.</v>
      </c>
      <c r="F7" s="974">
        <v>5</v>
      </c>
      <c r="G7" s="973">
        <f t="shared" si="3"/>
        <v>1153</v>
      </c>
      <c r="H7" s="973">
        <f>IFERROR(SEARCH(CHAR(10),CHALLANGE_draft!$G$3,G7),"")</f>
        <v>2234</v>
      </c>
      <c r="I7" s="854">
        <f t="shared" si="1"/>
        <v>1081</v>
      </c>
      <c r="J7" s="981" t="str">
        <f>IFERROR(MID(CHALLANGE_draft!$G$3,G7,I7),"")</f>
        <v>Пунктом 21 статьи 12 Федерального закона от 25.04.2002 № 40-ФЗ «Об обязательном страховании гражданской ответственности владельцев транспортных средств» (далее – Закон № 40-ФЗ) установлено, что в течение 20 календарных дней, за исключением нерабочих праздничных дней, а в случае, предусмотренном пунктом 15.3 статьи 12 Закона № 40-ФЗ, 30 календарных дней, за исключением нерабочих праздничных дней, со дня принятия к рассмотрению заявления потерпевшего о страховом возмещении или прямом возмещении убытков и приложенных к нему документов, предусмотренных Правилами ОСАГО, страховщик обязан произвести страховую выплату потерпевшему или после осмотра и (или) независимой технической экспертизы поврежденного транспортного средства выдать потерпевшему направление на ремонт транспортного средства с указанием станции технического обслуживания, на которой будет отремонтировано его транспортное средство и которой страховщик оплатит восстановительный ремонт поврежденного транспортного средства, и срока ремонта либо направить потерпевшему мотивированный отказ в страховом возмещении.</v>
      </c>
    </row>
    <row r="8" spans="1:10" x14ac:dyDescent="0.3">
      <c r="A8" s="974">
        <v>6</v>
      </c>
      <c r="B8" s="973">
        <f t="shared" si="2"/>
        <v>1139</v>
      </c>
      <c r="C8" s="973">
        <f>IFERROR(SEARCH(CHAR(10),CHALLANGE_draft!$E$4,B8),"")</f>
        <v>1300</v>
      </c>
      <c r="D8" s="854">
        <f t="shared" si="0"/>
        <v>161</v>
      </c>
      <c r="E8" s="981" t="str">
        <f>IFERROR(MID(CHALLANGE_draft!$E$4,B8,D8),"")</f>
        <v>11.06.2019 Финансовой организацей проведен осмотр принадлежащего Заявителю Транспортного средства с привлечением независимой экспертной организации ООО «Альянс».</v>
      </c>
      <c r="F8" s="974">
        <v>6</v>
      </c>
      <c r="G8" s="973">
        <f t="shared" si="3"/>
        <v>2235</v>
      </c>
      <c r="H8" s="973">
        <f>IFERROR(SEARCH(CHAR(10),CHALLANGE_draft!$G$3,G8),"")</f>
        <v>2596</v>
      </c>
      <c r="I8" s="854">
        <f t="shared" si="1"/>
        <v>361</v>
      </c>
      <c r="J8" s="981" t="str">
        <f>IFERROR(MID(CHALLANGE_draft!$G$3,G8,I8),"")</f>
        <v>При несоблюдении срока осуществления страховой выплаты или срока выдачи потерпевшему направления на ремонт транспортного средства страховщик за каждый день просрочки уплачивает потерпевшему неустойку (пеню) в размере одного процента от определенного в соответствии с Законом № 40-ФЗ размера страхового возмещения по виду причиненного вреда каждому потерпевшему.</v>
      </c>
    </row>
    <row r="9" spans="1:10" x14ac:dyDescent="0.3">
      <c r="A9" s="974">
        <v>7</v>
      </c>
      <c r="B9" s="973">
        <f t="shared" si="2"/>
        <v>1301</v>
      </c>
      <c r="C9" s="973">
        <f>IFERROR(SEARCH(CHAR(10),CHALLANGE_draft!$E$4,B9),"")</f>
        <v>1685</v>
      </c>
      <c r="D9" s="854">
        <f t="shared" si="0"/>
        <v>384</v>
      </c>
      <c r="E9" s="981" t="str">
        <f>IFERROR(MID(CHALLANGE_draft!$E$4,B9,D9),"")</f>
        <v>На основании результатов осмотра от 11.06.2019 независимой экспертной организацией ООО «Сибирская Ассистанская Компания» подготовлено экспертное заключение от 28.06.2019 № 45/06/19, согласно которому стоимость восстановительного ремонта Транспортного средства Повреждения на Транспортном средстве возникли вне заявленных обстоятельств дорожно-транспортного происшествия от 10.06.2019.</v>
      </c>
      <c r="F9" s="974">
        <v>7</v>
      </c>
      <c r="G9" s="973">
        <f t="shared" si="3"/>
        <v>2597</v>
      </c>
      <c r="H9" s="973">
        <f>IFERROR(SEARCH(CHAR(10),CHALLANGE_draft!$G$3,G9),"")</f>
        <v>3169</v>
      </c>
      <c r="I9" s="854">
        <f t="shared" si="1"/>
        <v>572</v>
      </c>
      <c r="J9" s="981" t="str">
        <f>IFERROR(MID(CHALLANGE_draft!$G$3,G9,I9),"")</f>
        <v>В пункте 78 постановления Пленума Верховного Суда Российской Федерации от 26.12.2017 № 58 «О применении судами законодательства об обязательном страховании гражданской ответственности владельцев транспортных средств» указано, что неустойка исчисляется со дня, следующего за днем, установленным для принятия решения о выплате страхового возмещения, то есть с 21-го дня после получения страховщиком заявления потерпевшего о страховой выплате и документов, предусмотренных Правилами ОСАГО, и до дня фактического исполнения страховщиком обязательства по договору включительно.</v>
      </c>
    </row>
    <row r="10" spans="1:10" x14ac:dyDescent="0.3">
      <c r="A10" s="974">
        <v>8</v>
      </c>
      <c r="B10" s="973">
        <f t="shared" si="2"/>
        <v>1686</v>
      </c>
      <c r="C10" s="973">
        <f>IFERROR(SEARCH(CHAR(10),CHALLANGE_draft!$E$4,B10),"")</f>
        <v>2038</v>
      </c>
      <c r="D10" s="854">
        <f t="shared" si="0"/>
        <v>352</v>
      </c>
      <c r="E10" s="981" t="str">
        <f>IFERROR(MID(CHALLANGE_draft!$E$4,B10,D10),"")</f>
        <v>Финансовая организация направила Заявителю письмо от 08.07.2019 № 757/19, в котором сообщалось, что согласно выводам проведенной экспертизы, все повреждения Транспортного средства Заявителя не могли образоваться при заявленных обстоятельствах ДТП, в связи с чем, правовых оснований для урегулирования данного убытка у Финансовой организации не имеется.</v>
      </c>
      <c r="F10" s="974">
        <v>8</v>
      </c>
      <c r="G10" s="973">
        <f t="shared" si="3"/>
        <v>3170</v>
      </c>
      <c r="H10" s="973">
        <f>IFERROR(SEARCH(CHAR(10),CHALLANGE_draft!$G$3,G10),"")</f>
        <v>3472</v>
      </c>
      <c r="I10" s="854">
        <f t="shared" si="1"/>
        <v>302</v>
      </c>
      <c r="J10" s="981" t="str">
        <f>IFERROR(MID(CHALLANGE_draft!$G$3,G10,I10),"")</f>
        <v>Следовательно, неустойка является мерой гражданско-правовой ответственности, которая при наличии условий, необходимых для наступления гражданско-правовой ответственности, подлежит взысканию в случае неисполнения или ненадлежащего исполнения обязательства, то есть при наличии противоправного поведения.</v>
      </c>
    </row>
    <row r="11" spans="1:10" x14ac:dyDescent="0.3">
      <c r="A11" s="974">
        <v>9</v>
      </c>
      <c r="B11" s="973">
        <f t="shared" si="2"/>
        <v>2039</v>
      </c>
      <c r="C11" s="973">
        <f>IFERROR(SEARCH(CHAR(10),CHALLANGE_draft!$E$4,B11),"")</f>
        <v>2353</v>
      </c>
      <c r="D11" s="854">
        <f t="shared" si="0"/>
        <v>314</v>
      </c>
      <c r="E11" s="981" t="str">
        <f>IFERROR(MID(CHALLANGE_draft!$E$4,B11,D11),"")</f>
        <v>02.08.2019 Заявитель обратился в Финансовую организацию с заявлением (претензией) о несогласии с отказом Финансовой организации в выплате страхового возмещения, содержащим требование о выплате страхового возмещения по Договору ОСАГО, неустойки за несоблюдение срока выплаты страхового возмещения по Договору ОСАГО.</v>
      </c>
      <c r="F11" s="974">
        <v>9</v>
      </c>
      <c r="G11" s="973">
        <f t="shared" si="3"/>
        <v>3473</v>
      </c>
      <c r="H11" s="973">
        <f>IFERROR(SEARCH(CHAR(10),CHALLANGE_draft!$G$3,G11),"")</f>
        <v>3745</v>
      </c>
      <c r="I11" s="854">
        <f t="shared" si="1"/>
        <v>272</v>
      </c>
      <c r="J11" s="981" t="str">
        <f>IFERROR(MID(CHALLANGE_draft!$G$3,G11,I11),"")</f>
        <v>В силу части 1 статьи 2 Закона № 123-ФЗ должность финансового уполномоченного учреждена для рассмотрения обращений потребителей финансовых услуг об удовлетворении требований имущественного характера, предъявляемых к финансовым организациям, оказавшим им финансовые услуги.</v>
      </c>
    </row>
    <row r="12" spans="1:10" x14ac:dyDescent="0.3">
      <c r="A12" s="974">
        <v>10</v>
      </c>
      <c r="B12" s="973">
        <f t="shared" si="2"/>
        <v>2354</v>
      </c>
      <c r="C12" s="973">
        <f>IFERROR(SEARCH(CHAR(10),CHALLANGE_draft!$E$4,B12),"")</f>
        <v>2513</v>
      </c>
      <c r="D12" s="854">
        <f t="shared" si="0"/>
        <v>159</v>
      </c>
      <c r="E12" s="981" t="str">
        <f>IFERROR(MID(CHALLANGE_draft!$E$4,B12,D12),"")</f>
        <v>Финансовая организация в ответ на заявление (претензию) от 02.08.2019 письмом от 05.08.2019 № 902/19 отказала Заявителю в удовлетворении заявленных требований.</v>
      </c>
      <c r="F12" s="974">
        <v>10</v>
      </c>
      <c r="G12" s="973">
        <f t="shared" si="3"/>
        <v>3746</v>
      </c>
      <c r="H12" s="973">
        <f>IFERROR(SEARCH(CHAR(10),CHALLANGE_draft!$G$3,G12),"")</f>
        <v>3963</v>
      </c>
      <c r="I12" s="854">
        <f t="shared" si="1"/>
        <v>217</v>
      </c>
      <c r="J12" s="981" t="str">
        <f>IFERROR(MID(CHALLANGE_draft!$G$3,G12,I12),"")</f>
        <v>Финансовая организация, являясь участником обязательного взаимодействия с финансовым уполномоченным, в силу пункта 4 части 3 статьи 28 Закона № 123-ФЗ обязана добровольно исполнять решения финансового уполномоченного.</v>
      </c>
    </row>
    <row r="13" spans="1:10" x14ac:dyDescent="0.3">
      <c r="A13" s="974">
        <v>11</v>
      </c>
      <c r="B13" s="973">
        <f t="shared" si="2"/>
        <v>2514</v>
      </c>
      <c r="C13" s="973">
        <f>IFERROR(SEARCH(CHAR(10),CHALLANGE_draft!$E$4,B13),"")</f>
        <v>2928</v>
      </c>
      <c r="D13" s="854">
        <f t="shared" si="0"/>
        <v>414</v>
      </c>
      <c r="E13" s="981" t="str">
        <f>IFERROR(MID(CHALLANGE_draft!$E$4,B13,D13),"")</f>
        <v>Не согласившись с отказом в выплате страхового возмещения, Заявитель 02.09.2019 обратился в порядке, установленным Федеральным законом от 04.06.2018 № 123-ФЗ «Об уполномоченном по правам потребителей финансовых услуг» (далее – Закон № 123-ФЗ), с обращением к Финансовому уполномоченному с требованиями о взыскании с Финансовой организации страхового возмещения по Договору ОСАГО в размере 400 000 рублей 00 копеек.</v>
      </c>
      <c r="F13" s="974">
        <v>11</v>
      </c>
      <c r="G13" s="973">
        <f t="shared" si="3"/>
        <v>3964</v>
      </c>
      <c r="H13" s="973">
        <f>IFERROR(SEARCH(CHAR(10),CHALLANGE_draft!$G$3,G13),"")</f>
        <v>4270</v>
      </c>
      <c r="I13" s="854">
        <f t="shared" si="1"/>
        <v>306</v>
      </c>
      <c r="J13" s="981" t="str">
        <f>IFERROR(MID(CHALLANGE_draft!$G$3,G13,I13),"")</f>
        <v>В силу статьи 24 Закона № 123-ФЗ исполнение финансовой организацией вступившего в силу решения финансового уполномоченного признается надлежащим исполнением финансовой организацией обязанностей по соответствующему договору с потребителем финансовых услуг об оказании ему или в его пользу финансовой услуги.</v>
      </c>
    </row>
    <row r="14" spans="1:10" x14ac:dyDescent="0.3">
      <c r="A14" s="974">
        <v>12</v>
      </c>
      <c r="B14" s="973">
        <f t="shared" si="2"/>
        <v>2929</v>
      </c>
      <c r="C14" s="973">
        <f>IFERROR(SEARCH(CHAR(10),CHALLANGE_draft!$E$4,B14),"")</f>
        <v>3110</v>
      </c>
      <c r="D14" s="854">
        <f t="shared" si="0"/>
        <v>181</v>
      </c>
      <c r="E14" s="981" t="str">
        <f>IFERROR(MID(CHALLANGE_draft!$E$4,B14,D14),"")</f>
        <v>Руководствуясь частью 4 статьи 18 Закона № 123-ФЗ, Финансовым уполномоченным Обращение Заявителя от 02.09.2019 принято к рассмотрению, Обращению от 02.09.2019 присвоен № У-19-24659.</v>
      </c>
      <c r="F14" s="974">
        <v>12</v>
      </c>
      <c r="G14" s="973">
        <f t="shared" si="3"/>
        <v>4271</v>
      </c>
      <c r="H14" s="973">
        <f>IFERROR(SEARCH(CHAR(10),CHALLANGE_draft!$G$3,G14),"")</f>
        <v>4614</v>
      </c>
      <c r="I14" s="854">
        <f t="shared" si="1"/>
        <v>343</v>
      </c>
      <c r="J14" s="981" t="str">
        <f>IFERROR(MID(CHALLANGE_draft!$G$3,G14,I14),"")</f>
        <v>В случае неисполнения финансовой организацией вступившего в силу решения финансового уполномоченного либо условий соглашения финансовый уполномоченный выдает потребителю финансовых услуг удостоверение, являющееся исполнительным документом, форма которого устанавливается Правительством Российской Федерации (часть 3 статьи 23 Закона № 123-ФЗ).</v>
      </c>
    </row>
    <row r="15" spans="1:10" x14ac:dyDescent="0.3">
      <c r="A15" s="974">
        <v>13</v>
      </c>
      <c r="B15" s="973">
        <f t="shared" si="2"/>
        <v>3111</v>
      </c>
      <c r="C15" s="973">
        <f>IFERROR(SEARCH(CHAR(10),CHALLANGE_draft!$E$4,B15),"")</f>
        <v>3442</v>
      </c>
      <c r="D15" s="854">
        <f t="shared" si="0"/>
        <v>331</v>
      </c>
      <c r="E15" s="981" t="str">
        <f>IFERROR(MID(CHALLANGE_draft!$E$4,B15,D15),"")</f>
        <v>22.10.2019 Финансовым уполномоченным по Обращению от 02.09.2019 № У-19-24659 вынесено решение об отказе в удовлетворении требований № У-19-24659/5010-010 (далее – Решение от 22.10.2019 № У-19-24659/5010-010). Требования о взыскании неустойки при рассмотрении Обращения от 22.10.2019 № У-19-24659 не заявлялись и не рассматривались.</v>
      </c>
      <c r="F15" s="974">
        <v>13</v>
      </c>
      <c r="G15" s="973">
        <f t="shared" si="3"/>
        <v>4615</v>
      </c>
      <c r="H15" s="973">
        <f>IFERROR(SEARCH(CHAR(10),CHALLANGE_draft!$G$3,G15),"")</f>
        <v>4819</v>
      </c>
      <c r="I15" s="854">
        <f t="shared" si="1"/>
        <v>204</v>
      </c>
      <c r="J15" s="981" t="str">
        <f>IFERROR(MID(CHALLANGE_draft!$G$3,G15,I15),"")</f>
        <v>Принимая Решение от 22.10.2019 № У-19-24659/5010-010 об отказе Заявителю во взыскании страхового возмещения, финансовый уполномоченный исходил из отсутствия обязательства по выплате страхового возмещения.</v>
      </c>
    </row>
    <row r="16" spans="1:10" x14ac:dyDescent="0.3">
      <c r="A16" s="974">
        <v>14</v>
      </c>
      <c r="B16" s="973">
        <f t="shared" si="2"/>
        <v>3443</v>
      </c>
      <c r="C16" s="973">
        <f>IFERROR(SEARCH(CHAR(10),CHALLANGE_draft!$E$4,B16),"")</f>
        <v>3514</v>
      </c>
      <c r="D16" s="854">
        <f t="shared" si="0"/>
        <v>71</v>
      </c>
      <c r="E16" s="981" t="str">
        <f>IFERROR(MID(CHALLANGE_draft!$E$4,B16,D16),"")</f>
        <v>Решение от 22.10.2019 № У-19-24659/5010-010 вступило в силу 07.11.2019.</v>
      </c>
      <c r="F16" s="974">
        <v>14</v>
      </c>
      <c r="G16" s="973">
        <f t="shared" si="3"/>
        <v>4820</v>
      </c>
      <c r="H16" s="973">
        <f>IFERROR(SEARCH(CHAR(10),CHALLANGE_draft!$G$3,G16),"")</f>
        <v>5098</v>
      </c>
      <c r="I16" s="854">
        <f t="shared" si="1"/>
        <v>278</v>
      </c>
      <c r="J16" s="981" t="str">
        <f>IFERROR(MID(CHALLANGE_draft!$G$3,G16,I16),"")</f>
        <v>Учитывая, что данное решение вынесено официальным должностным лицом в рамках предоставленных ему публичных полномочий, финансовая организация была вправе разумно полагаться на содержащиеся в нем выводы и ссылаться на них в своих взаимоотношениях с потребителем финансовых услуг.</v>
      </c>
    </row>
    <row r="17" spans="1:10" x14ac:dyDescent="0.3">
      <c r="A17" s="974">
        <v>15</v>
      </c>
      <c r="B17" s="973">
        <f t="shared" si="2"/>
        <v>3515</v>
      </c>
      <c r="C17" s="973">
        <f>IFERROR(SEARCH(CHAR(10),CHALLANGE_draft!$E$4,B17),"")</f>
        <v>4002</v>
      </c>
      <c r="D17" s="854">
        <f t="shared" si="0"/>
        <v>487</v>
      </c>
      <c r="E17" s="981" t="str">
        <f>IFERROR(MID(CHALLANGE_draft!$E$4,B17,D17),"")</f>
        <v>Не согласившись с Решением от 22.10.2019 № У-19-24659/5010-010, Заявитель обратился в суд с исковыми требованиями к Финансовой организации о взыскании страхового возмещения по Договору ОСАГО в размере 400 000 рублей 00 копеек, неустойки за несоблюдение срока выплаты страхового возмещения по Договору ОСАГО за период с 02.07.2019 по 30.12.2019 в размере 400 000 рублей 00 копеек, расходов на проведение независимой технической экспертизы в размере 7 000 рублей 00 копеек и иных расходов.</v>
      </c>
      <c r="F17" s="974">
        <v>15</v>
      </c>
      <c r="G17" s="973">
        <f t="shared" si="3"/>
        <v>5099</v>
      </c>
      <c r="H17" s="973">
        <f>IFERROR(SEARCH(CHAR(10),CHALLANGE_draft!$G$3,G17),"")</f>
        <v>5295</v>
      </c>
      <c r="I17" s="854">
        <f t="shared" si="1"/>
        <v>196</v>
      </c>
      <c r="J17" s="981" t="str">
        <f>IFERROR(MID(CHALLANGE_draft!$G$3,G17,I17),"")</f>
        <v>При таких обстоятельствах Финансовый уполномоченный приходит к выводу, что в рассматриваемом случае взыскание неустойки в связи с невыплатой Заявителю страхового возмещения, не основано на законе.</v>
      </c>
    </row>
    <row r="18" spans="1:10" x14ac:dyDescent="0.3">
      <c r="A18" s="974">
        <v>16</v>
      </c>
      <c r="B18" s="973">
        <f t="shared" si="2"/>
        <v>4003</v>
      </c>
      <c r="C18" s="973">
        <f>IFERROR(SEARCH(CHAR(10),CHALLANGE_draft!$E$4,B18),"")</f>
        <v>4586</v>
      </c>
      <c r="D18" s="854">
        <f t="shared" si="0"/>
        <v>583</v>
      </c>
      <c r="E18" s="981" t="str">
        <f>IFERROR(MID(CHALLANGE_draft!$E$4,B18,D18),"")</f>
        <v>20.02.2020 Ворошиловским районным судом города Ростова-на-Дону по делу № 2-129/2020 вынесено решение об удовлетворении исковых требований Заявителя (далее – Решение Суда), в соответствии с которым с Финансовой организации в пользу Заявителя взыскано страховое возмещение по Договору ОСАГО в размере 400 000 рублей 00 копеек, неустойка за несоблюдение срока выплаты страхового возмещения по Договору ОСАГО за период с 02.07.2019 по 30.12.2019 в размере 300 000 рублей 00 копеек, расходы на проведение независимой технической экспертизы в размере 7 000 рублей 00 копеек и иные расходы.</v>
      </c>
      <c r="F18" s="974">
        <v>16</v>
      </c>
      <c r="G18" s="973">
        <f t="shared" si="3"/>
        <v>5296</v>
      </c>
      <c r="H18" s="973">
        <f>IFERROR(SEARCH(CHAR(10),CHALLANGE_draft!$G$3,G18),"")</f>
        <v>5393</v>
      </c>
      <c r="I18" s="854">
        <f t="shared" si="1"/>
        <v>97</v>
      </c>
      <c r="J18" s="981" t="str">
        <f>IFERROR(MID(CHALLANGE_draft!$G$3,G18,I18),"")</f>
        <v>Вместе с тем, Решением Суда частично удовлетворены требования Заявителя к Финансовой организации.</v>
      </c>
    </row>
    <row r="19" spans="1:10" x14ac:dyDescent="0.3">
      <c r="A19" s="974">
        <v>17</v>
      </c>
      <c r="B19" s="973">
        <f t="shared" si="2"/>
        <v>4587</v>
      </c>
      <c r="C19" s="973">
        <f>IFERROR(SEARCH(CHAR(10),CHALLANGE_draft!$E$4,B19),"")</f>
        <v>4658</v>
      </c>
      <c r="D19" s="854">
        <f t="shared" si="0"/>
        <v>71</v>
      </c>
      <c r="E19" s="981" t="str">
        <f>IFERROR(MID(CHALLANGE_draft!$E$4,B19,D19),"")</f>
        <v>Решением Суда установлено, что Решение Суда вступило в силу 27.03.2020.</v>
      </c>
      <c r="F19" s="974">
        <v>17</v>
      </c>
      <c r="G19" s="973">
        <f t="shared" si="3"/>
        <v>5394</v>
      </c>
      <c r="H19" s="973">
        <f>IFERROR(SEARCH(CHAR(10),CHALLANGE_draft!$G$3,G19),"")</f>
        <v>5882</v>
      </c>
      <c r="I19" s="854">
        <f t="shared" si="1"/>
        <v>488</v>
      </c>
      <c r="J19" s="981" t="str">
        <f>IFERROR(MID(CHALLANGE_draft!$G$3,G19,I19),"")</f>
        <v>Согласно части 2 статьи 13 Гражданского процессуального кодекса Российской Федерации (далее – ГПК РФ), вступившие в законную силу судебные постановления, а также законные распоряжения, требования, поручения, вызовы и обращения судов являются обязательными для всех без исключения органов государственной власти, органов местного самоуправления, общественных объединений, должностных лиц, граждан, организаций и подлежат неукоснительному исполнению на всей территории Российской Федерации.</v>
      </c>
    </row>
    <row r="20" spans="1:10" x14ac:dyDescent="0.3">
      <c r="A20" s="974">
        <v>18</v>
      </c>
      <c r="B20" s="973">
        <f t="shared" si="2"/>
        <v>4659</v>
      </c>
      <c r="C20" s="973">
        <f>IFERROR(SEARCH(CHAR(10),CHALLANGE_draft!$E$4,B20),"")</f>
        <v>4777</v>
      </c>
      <c r="D20" s="854">
        <f t="shared" si="0"/>
        <v>118</v>
      </c>
      <c r="E20" s="981" t="str">
        <f>IFERROR(MID(CHALLANGE_draft!$E$4,B20,D20),"")</f>
        <v>25.05.2020 Решение Суда было исполнено в полном объеме, что подтверждается инкассовым поручением от 22.05.2020 № 7856.</v>
      </c>
      <c r="F20" s="974">
        <v>18</v>
      </c>
      <c r="G20" s="973">
        <f t="shared" si="3"/>
        <v>5883</v>
      </c>
      <c r="H20" s="973">
        <f>IFERROR(SEARCH(CHAR(10),CHALLANGE_draft!$G$3,G20),"")</f>
        <v>6217</v>
      </c>
      <c r="I20" s="854">
        <f t="shared" si="1"/>
        <v>334</v>
      </c>
      <c r="J20" s="981" t="str">
        <f>IFERROR(MID(CHALLANGE_draft!$G$3,G20,I20),"")</f>
        <v>По смыслу положений части 1 статьи 209, части 2 статьи 321, части 5 статьи 329 ГПК РФ решение суда вступает в законную силу по истечении месячного срока на апелляционное обжалование со дня принятия решения суда в окончательной форме, если оно не было обжаловано; апелляционное определение вступает в законную силу со дня его принятия.</v>
      </c>
    </row>
    <row r="21" spans="1:10" x14ac:dyDescent="0.3">
      <c r="A21" s="974">
        <v>19</v>
      </c>
      <c r="B21" s="973">
        <f t="shared" si="2"/>
        <v>4778</v>
      </c>
      <c r="C21" s="973">
        <f>IFERROR(SEARCH(CHAR(10),CHALLANGE_draft!$E$4,B21),"")</f>
        <v>5045</v>
      </c>
      <c r="D21" s="854">
        <f t="shared" si="0"/>
        <v>267</v>
      </c>
      <c r="E21" s="981" t="str">
        <f>IFERROR(MID(CHALLANGE_draft!$E$4,B21,D21),"")</f>
        <v>19.10.2020 Заявитель обратился в Финансовую организацию с заявлением (претензией), содержащим требование о выплате неустойки за несоблюдение срока выплаты страхового возмещения по Договору ОСАГО за период с 08.01.2020 по 20.02.2020 в размере 100 000 рублей 00 копеек.</v>
      </c>
      <c r="F21" s="974">
        <v>19</v>
      </c>
      <c r="G21" s="973">
        <f t="shared" si="3"/>
        <v>6218</v>
      </c>
      <c r="H21" s="973">
        <f>IFERROR(SEARCH(CHAR(10),CHALLANGE_draft!$G$3,G21),"")</f>
        <v>6347</v>
      </c>
      <c r="I21" s="854">
        <f t="shared" si="1"/>
        <v>129</v>
      </c>
      <c r="J21" s="981" t="str">
        <f>IFERROR(MID(CHALLANGE_draft!$G$3,G21,I21),"")</f>
        <v>В соответствии с частью 1 статьи 108 ГПК РФ срок, исчисляемый месяцами, истекает в соответствующее число последнего месяца срока.</v>
      </c>
    </row>
    <row r="22" spans="1:10" x14ac:dyDescent="0.3">
      <c r="A22" s="974">
        <v>20</v>
      </c>
      <c r="B22" s="973">
        <f t="shared" si="2"/>
        <v>5046</v>
      </c>
      <c r="C22" s="973">
        <f>IFERROR(SEARCH(CHAR(10),CHALLANGE_draft!$E$4,B22),"")</f>
        <v>5205</v>
      </c>
      <c r="D22" s="854">
        <f t="shared" si="0"/>
        <v>159</v>
      </c>
      <c r="E22" s="981" t="str">
        <f>IFERROR(MID(CHALLANGE_draft!$E$4,B22,D22),"")</f>
        <v>В соответствии со статьей 16 Закона № 123-ФЗ Финансовая организация должна рассмотреть заявление (претензию) и направить Заявителю ответ не позднее 18.11.2020.</v>
      </c>
      <c r="F22" s="974">
        <v>20</v>
      </c>
      <c r="G22" s="973">
        <f t="shared" si="3"/>
        <v>6348</v>
      </c>
      <c r="H22" s="973">
        <f>IFERROR(SEARCH(CHAR(10),CHALLANGE_draft!$G$3,G22),"")</f>
        <v>6544</v>
      </c>
      <c r="I22" s="854">
        <f t="shared" si="1"/>
        <v>196</v>
      </c>
      <c r="J22" s="981" t="str">
        <f>IFERROR(MID(CHALLANGE_draft!$G$3,G22,I22),"")</f>
        <v>Таким образом, обязанность по возмещению взысканного Решением Суда ущерба, причиненного Заявителю, возникла у Финансовой организации с момента вступления Решения Суда в законную силу – 27.03.2020.</v>
      </c>
    </row>
    <row r="23" spans="1:10" x14ac:dyDescent="0.3">
      <c r="A23" s="974">
        <v>21</v>
      </c>
      <c r="B23" s="973">
        <f t="shared" si="2"/>
        <v>5206</v>
      </c>
      <c r="C23" s="973">
        <f>IFERROR(SEARCH(CHAR(10),CHALLANGE_draft!$E$4,B23),"")</f>
        <v>5366</v>
      </c>
      <c r="D23" s="854">
        <f t="shared" si="0"/>
        <v>160</v>
      </c>
      <c r="E23" s="981" t="str">
        <f>IFERROR(MID(CHALLANGE_draft!$E$4,B23,D23),"")</f>
        <v>Финансовая организация в ответ на заявление (претензию) от 19.10.2020 письмом от 09.11.2020 № 1560/20 отказала Заявителю в удовлетворении заявленных требований.</v>
      </c>
      <c r="F23" s="974">
        <v>21</v>
      </c>
      <c r="G23" s="973">
        <f t="shared" si="3"/>
        <v>6545</v>
      </c>
      <c r="H23" s="973">
        <f>IFERROR(SEARCH(CHAR(10),CHALLANGE_draft!$G$3,G23),"")</f>
        <v>6956</v>
      </c>
      <c r="I23" s="854">
        <f t="shared" si="1"/>
        <v>411</v>
      </c>
      <c r="J23" s="981" t="str">
        <f>IFERROR(MID(CHALLANGE_draft!$G$3,G23,I23),"")</f>
        <v>20.02.2020 Решением Суда с Финансовой организации в пользу Заявителя взыскано страховое возмещение по Договору ОСАГО в размере 400 000 рублей 00 копеек, неустойка за несоблюдение срока выплаты страхового возмещения по Договору ОСАГО за период с 02.07.2019 по 30.12.2019 в размере 300 000 рублей 00 копеек, расходы на проведение независимой технической экспертизы в размере 7 000 рублей 00 копеек и иные расходы.</v>
      </c>
    </row>
    <row r="24" spans="1:10" x14ac:dyDescent="0.3">
      <c r="A24" s="974">
        <v>22</v>
      </c>
      <c r="B24" s="973">
        <f t="shared" si="2"/>
        <v>5367</v>
      </c>
      <c r="C24" s="973" t="str">
        <f>IFERROR(SEARCH(CHAR(10),CHALLANGE_draft!$E$4,B24),"")</f>
        <v/>
      </c>
      <c r="D24" s="854" t="str">
        <f t="shared" si="0"/>
        <v/>
      </c>
      <c r="E24" s="981" t="str">
        <f>IFERROR(MID(CHALLANGE_draft!$E$4,B24,D24),"")</f>
        <v/>
      </c>
      <c r="F24" s="974">
        <v>22</v>
      </c>
      <c r="G24" s="973">
        <f t="shared" si="3"/>
        <v>6957</v>
      </c>
      <c r="H24" s="973">
        <f>IFERROR(SEARCH(CHAR(10),CHALLANGE_draft!$G$3,G24),"")</f>
        <v>7075</v>
      </c>
      <c r="I24" s="854">
        <f t="shared" si="1"/>
        <v>118</v>
      </c>
      <c r="J24" s="981" t="str">
        <f>IFERROR(MID(CHALLANGE_draft!$G$3,G24,I24),"")</f>
        <v>25.05.2020 Решение Суда было исполнено в полном объеме, что подтверждается инкассовым поручением от 22.05.2020 № 7856.</v>
      </c>
    </row>
    <row r="25" spans="1:10" x14ac:dyDescent="0.3">
      <c r="A25" s="974">
        <v>23</v>
      </c>
      <c r="B25" s="973" t="str">
        <f t="shared" si="2"/>
        <v/>
      </c>
      <c r="C25" s="973" t="str">
        <f>IFERROR(SEARCH(CHAR(10),CHALLANGE_draft!$E$4,B25),"")</f>
        <v/>
      </c>
      <c r="D25" s="854" t="str">
        <f t="shared" si="0"/>
        <v/>
      </c>
      <c r="E25" s="981" t="str">
        <f>IFERROR(MID(CHALLANGE_draft!$E$4,B25,D25),"")</f>
        <v/>
      </c>
      <c r="F25" s="974">
        <v>23</v>
      </c>
      <c r="G25" s="973">
        <f t="shared" si="3"/>
        <v>7076</v>
      </c>
      <c r="H25" s="973">
        <f>IFERROR(SEARCH(CHAR(10),CHALLANGE_draft!$G$3,G25),"")</f>
        <v>7287</v>
      </c>
      <c r="I25" s="854">
        <f t="shared" si="1"/>
        <v>211</v>
      </c>
      <c r="J25" s="981" t="str">
        <f>IFERROR(MID(CHALLANGE_draft!$G$3,G25,I25),"")</f>
        <v>Таким образом, с Финансовой организации подлежит взысканию неустойка на сумму страхового возмещения в размере 400 000 рублей 00 копеек, взысканную по Решению Суда, за период с 27.03.2020 по 22.05.2020 (57 дней).</v>
      </c>
    </row>
    <row r="26" spans="1:10" x14ac:dyDescent="0.3">
      <c r="A26" s="974">
        <v>24</v>
      </c>
      <c r="B26" s="973" t="str">
        <f t="shared" si="2"/>
        <v/>
      </c>
      <c r="C26" s="973" t="str">
        <f>IFERROR(SEARCH(CHAR(10),CHALLANGE_draft!$E$4,B26),"")</f>
        <v/>
      </c>
      <c r="D26" s="854" t="str">
        <f t="shared" si="0"/>
        <v/>
      </c>
      <c r="E26" s="981" t="str">
        <f>IFERROR(MID(CHALLANGE_draft!$E$4,B26,D26),"")</f>
        <v/>
      </c>
      <c r="F26" s="974">
        <v>24</v>
      </c>
      <c r="G26" s="973">
        <f t="shared" si="3"/>
        <v>7288</v>
      </c>
      <c r="H26" s="973">
        <f>IFERROR(SEARCH(CHAR(10),CHALLANGE_draft!$G$3,G26),"")</f>
        <v>7538</v>
      </c>
      <c r="I26" s="854">
        <f t="shared" si="1"/>
        <v>250</v>
      </c>
      <c r="J26" s="981" t="str">
        <f>IFERROR(MID(CHALLANGE_draft!$G$3,G26,I26),"")</f>
        <v>В соответствии с требованиями, установленными пунктом 21 статьи 12 Закона № 40-ФЗ, размер неустойки, подлежащий выплате за период с 27.03.2020 по 22.05.2020 (включительно) составляет 228 000 рублей 00 копеек (400 000 рублей 00 копеек × 57 дней × 1%).</v>
      </c>
    </row>
    <row r="27" spans="1:10" x14ac:dyDescent="0.3">
      <c r="A27" s="973">
        <v>25</v>
      </c>
      <c r="B27" s="973" t="str">
        <f t="shared" si="2"/>
        <v/>
      </c>
      <c r="C27" s="973" t="str">
        <f>IFERROR(SEARCH(CHAR(10),CHALLANGE_draft!$E$4,B27),"")</f>
        <v/>
      </c>
      <c r="D27" s="854" t="str">
        <f t="shared" si="0"/>
        <v/>
      </c>
      <c r="E27" s="981" t="str">
        <f>IFERROR(MID(CHALLANGE_draft!$E$4,B27,D27),"")</f>
        <v/>
      </c>
      <c r="F27" s="973">
        <v>25</v>
      </c>
      <c r="G27" s="973">
        <f t="shared" si="3"/>
        <v>7539</v>
      </c>
      <c r="H27" s="973">
        <f>IFERROR(SEARCH(CHAR(10),CHALLANGE_draft!$G$3,G27),"")</f>
        <v>7797</v>
      </c>
      <c r="I27" s="854">
        <f t="shared" si="1"/>
        <v>258</v>
      </c>
      <c r="J27" s="981" t="str">
        <f>IFERROR(MID(CHALLANGE_draft!$G$3,G27,I27),"")</f>
        <v>В силу пункта 6 статьи 16.1 Закона № 40-ФЗ общий размер неустойки (пени), суммы финансовой санкции, которые подлежат выплате потерпевшему – физическому лицу, не может превышать размер страховой суммы по виду причиненного вреда, установленный Законом № 40-ФЗ.</v>
      </c>
    </row>
    <row r="28" spans="1:10" x14ac:dyDescent="0.3">
      <c r="A28" s="973">
        <v>26</v>
      </c>
      <c r="B28" s="973" t="str">
        <f t="shared" si="2"/>
        <v/>
      </c>
      <c r="C28" s="973" t="str">
        <f>IFERROR(SEARCH(CHAR(10),CHALLANGE_draft!$E$4,B28),"")</f>
        <v/>
      </c>
      <c r="D28" s="854" t="str">
        <f t="shared" si="0"/>
        <v/>
      </c>
      <c r="E28" s="981" t="str">
        <f>IFERROR(MID(CHALLANGE_draft!$E$4,B28,D28),"")</f>
        <v/>
      </c>
      <c r="F28" s="973">
        <v>26</v>
      </c>
      <c r="G28" s="973">
        <f t="shared" si="3"/>
        <v>7798</v>
      </c>
      <c r="H28" s="973">
        <f>IFERROR(SEARCH(CHAR(10),CHALLANGE_draft!$G$3,G28),"")</f>
        <v>8162</v>
      </c>
      <c r="I28" s="854">
        <f t="shared" si="1"/>
        <v>364</v>
      </c>
      <c r="J28" s="981" t="str">
        <f>IFERROR(MID(CHALLANGE_draft!$G$3,G28,I28),"")</f>
        <v>Согласно статье 7 Закона № 40-ФЗ страховая сумма, в пределах которой страховщик при наступлении каждого страхового случая (независимо от их числа в течение срока действия договора обязательного страховая) обязуется возместить потерпевшим причиненный вред, составляет: в части возмещения вреда, причиненного имуществу каждого потерпевшего, 400 000 рублей 00 копеек.</v>
      </c>
    </row>
    <row r="29" spans="1:10" x14ac:dyDescent="0.3">
      <c r="A29" s="973">
        <v>27</v>
      </c>
      <c r="B29" s="973" t="str">
        <f t="shared" si="2"/>
        <v/>
      </c>
      <c r="C29" s="973" t="str">
        <f>IFERROR(SEARCH(CHAR(10),CHALLANGE_draft!$E$4,B29),"")</f>
        <v/>
      </c>
      <c r="D29" s="854" t="str">
        <f t="shared" si="0"/>
        <v/>
      </c>
      <c r="E29" s="981" t="str">
        <f>IFERROR(MID(CHALLANGE_draft!$E$4,B29,D29),"")</f>
        <v/>
      </c>
      <c r="F29" s="973">
        <v>27</v>
      </c>
      <c r="G29" s="973">
        <f t="shared" si="3"/>
        <v>8163</v>
      </c>
      <c r="H29" s="973">
        <f>IFERROR(SEARCH(CHAR(10),CHALLANGE_draft!$G$3,G29),"")</f>
        <v>8405</v>
      </c>
      <c r="I29" s="854">
        <f t="shared" si="1"/>
        <v>242</v>
      </c>
      <c r="J29" s="981" t="str">
        <f>IFERROR(MID(CHALLANGE_draft!$G$3,G29,I29),"")</f>
        <v>20.02.2020 Решением Суда с Финансовой организации в пользу Заявителя взыскана в том числе неустойка за несоблюдение срока выплаты страхового возмещения по Договору ОСАГО за период с 02.07.2019 по 30.12.2019 в размере 300 000 рублей 00 копеек.</v>
      </c>
    </row>
    <row r="30" spans="1:10" x14ac:dyDescent="0.3">
      <c r="A30" s="973">
        <v>28</v>
      </c>
      <c r="B30" s="973" t="str">
        <f t="shared" si="2"/>
        <v/>
      </c>
      <c r="C30" s="973" t="str">
        <f>IFERROR(SEARCH(CHAR(10),CHALLANGE_draft!$E$4,B30),"")</f>
        <v/>
      </c>
      <c r="D30" s="854" t="str">
        <f t="shared" si="0"/>
        <v/>
      </c>
      <c r="E30" s="981" t="str">
        <f>IFERROR(MID(CHALLANGE_draft!$E$4,B30,D30),"")</f>
        <v/>
      </c>
      <c r="F30" s="973">
        <v>28</v>
      </c>
      <c r="G30" s="973">
        <f t="shared" si="3"/>
        <v>8406</v>
      </c>
      <c r="H30" s="973">
        <f>IFERROR(SEARCH(CHAR(10),CHALLANGE_draft!$G$3,G30),"")</f>
        <v>8524</v>
      </c>
      <c r="I30" s="854">
        <f t="shared" si="1"/>
        <v>118</v>
      </c>
      <c r="J30" s="981" t="str">
        <f>IFERROR(MID(CHALLANGE_draft!$G$3,G30,I30),"")</f>
        <v>25.05.2020 Решение Суда было исполнено в полном объеме, что подтверждается инкассовым поручением от 22.05.2020 № 7856.</v>
      </c>
    </row>
    <row r="31" spans="1:10" x14ac:dyDescent="0.3">
      <c r="A31" s="973">
        <v>29</v>
      </c>
      <c r="B31" s="973" t="str">
        <f t="shared" si="2"/>
        <v/>
      </c>
      <c r="C31" s="973" t="str">
        <f>IFERROR(SEARCH(CHAR(10),CHALLANGE_draft!$E$4,B31),"")</f>
        <v/>
      </c>
      <c r="D31" s="854" t="str">
        <f t="shared" si="0"/>
        <v/>
      </c>
      <c r="E31" s="981" t="str">
        <f>IFERROR(MID(CHALLANGE_draft!$E$4,B31,D31),"")</f>
        <v/>
      </c>
      <c r="F31" s="973">
        <v>29</v>
      </c>
      <c r="G31" s="973">
        <f t="shared" si="3"/>
        <v>8525</v>
      </c>
      <c r="H31" s="973">
        <f>IFERROR(SEARCH(CHAR(10),CHALLANGE_draft!$G$3,G31),"")</f>
        <v>8763</v>
      </c>
      <c r="I31" s="854">
        <f t="shared" si="1"/>
        <v>238</v>
      </c>
      <c r="J31" s="981" t="str">
        <f>IFERROR(MID(CHALLANGE_draft!$G$3,G31,I31),"")</f>
        <v>Таким образом, общий размер неустойки за несоблюдение срока выплаты страхового возмещения по Договору ОСАГО подлежащий взысканию в пользу Заявителя составляет 100 000 рублей 00 копеек (400 000 рублей 00 копеек – 300 000 рублей 00 копеек).</v>
      </c>
    </row>
    <row r="32" spans="1:10" x14ac:dyDescent="0.3">
      <c r="A32" s="973">
        <v>30</v>
      </c>
      <c r="B32" s="973" t="str">
        <f t="shared" si="2"/>
        <v/>
      </c>
      <c r="C32" s="973" t="str">
        <f>IFERROR(SEARCH(CHAR(10),CHALLANGE_draft!$E$4,B32),"")</f>
        <v/>
      </c>
      <c r="D32" s="854" t="str">
        <f t="shared" si="0"/>
        <v/>
      </c>
      <c r="E32" s="981" t="str">
        <f>IFERROR(MID(CHALLANGE_draft!$E$4,B32,D32),"")</f>
        <v/>
      </c>
      <c r="F32" s="973">
        <v>30</v>
      </c>
      <c r="G32" s="973">
        <f t="shared" si="3"/>
        <v>8764</v>
      </c>
      <c r="H32" s="973">
        <f>IFERROR(SEARCH(CHAR(10),CHALLANGE_draft!$G$3,G32),"")</f>
        <v>9015</v>
      </c>
      <c r="I32" s="854">
        <f t="shared" si="1"/>
        <v>251</v>
      </c>
      <c r="J32" s="981" t="str">
        <f>IFERROR(MID(CHALLANGE_draft!$G$3,G32,I32),"")</f>
        <v>Заявление Финансовой организации об уменьшении неустойки на основании пункта 1 статьи 333 ГК РФ удовлетворению не подлежит, в силу того, что согласно положениям указанной статьи, вопрос о снижении неустойки находится в исключительной компетенции суда.</v>
      </c>
    </row>
    <row r="33" spans="1:10" x14ac:dyDescent="0.3">
      <c r="A33" s="973">
        <v>31</v>
      </c>
      <c r="B33" s="973" t="str">
        <f t="shared" si="2"/>
        <v/>
      </c>
      <c r="C33" s="973" t="str">
        <f>IFERROR(SEARCH(CHAR(10),CHALLANGE_draft!$E$4,B33),"")</f>
        <v/>
      </c>
      <c r="D33" s="854" t="str">
        <f t="shared" si="0"/>
        <v/>
      </c>
      <c r="E33" s="981" t="str">
        <f>IFERROR(MID(CHALLANGE_draft!$E$4,B33,D33),"")</f>
        <v/>
      </c>
      <c r="F33" s="973">
        <v>31</v>
      </c>
      <c r="G33" s="973">
        <f t="shared" si="3"/>
        <v>9016</v>
      </c>
      <c r="H33" s="973">
        <f>IFERROR(SEARCH(CHAR(10),CHALLANGE_draft!$G$3,G33),"")</f>
        <v>9084</v>
      </c>
      <c r="I33" s="854">
        <f t="shared" si="1"/>
        <v>68</v>
      </c>
      <c r="J33" s="981" t="str">
        <f>IFERROR(MID(CHALLANGE_draft!$G$3,G33,I33),"")</f>
        <v>Руководствуясь статьей 22 Закона № 123-ФЗ, Финансовый уполномоченный</v>
      </c>
    </row>
    <row r="34" spans="1:10" x14ac:dyDescent="0.3">
      <c r="A34" s="973">
        <v>32</v>
      </c>
      <c r="B34" s="973" t="str">
        <f t="shared" si="2"/>
        <v/>
      </c>
      <c r="C34" s="973" t="str">
        <f>IFERROR(SEARCH(CHAR(10),CHALLANGE_draft!$E$4,B34),"")</f>
        <v/>
      </c>
      <c r="D34" s="854" t="str">
        <f t="shared" si="0"/>
        <v/>
      </c>
      <c r="E34" s="981" t="str">
        <f>IFERROR(MID(CHALLANGE_draft!$E$4,B34,D34),"")</f>
        <v/>
      </c>
      <c r="F34" s="973">
        <v>32</v>
      </c>
      <c r="G34" s="973">
        <f t="shared" si="3"/>
        <v>9085</v>
      </c>
      <c r="H34" s="973" t="str">
        <f>IFERROR(SEARCH(CHAR(10),CHALLANGE_draft!$G$3,G34),"")</f>
        <v/>
      </c>
      <c r="I34" s="854" t="str">
        <f t="shared" si="1"/>
        <v/>
      </c>
      <c r="J34" s="981" t="str">
        <f>IFERROR(MID(CHALLANGE_draft!$G$3,G34,I34),"")</f>
        <v/>
      </c>
    </row>
    <row r="35" spans="1:10" x14ac:dyDescent="0.3">
      <c r="A35" s="973">
        <v>33</v>
      </c>
      <c r="B35" s="973" t="str">
        <f t="shared" si="2"/>
        <v/>
      </c>
      <c r="C35" s="973" t="str">
        <f>IFERROR(SEARCH(CHAR(10),CHALLANGE_draft!$E$4,B35),"")</f>
        <v/>
      </c>
      <c r="D35" s="854" t="str">
        <f t="shared" ref="D35:D52" si="4">IFERROR(C35-B35,"")</f>
        <v/>
      </c>
      <c r="E35" s="981" t="str">
        <f>IFERROR(MID(CHALLANGE_draft!$E$4,B35,D35),"")</f>
        <v/>
      </c>
      <c r="F35" s="973">
        <v>33</v>
      </c>
      <c r="G35" s="973" t="str">
        <f t="shared" si="3"/>
        <v/>
      </c>
      <c r="H35" s="973" t="str">
        <f>IFERROR(SEARCH(CHAR(10),CHALLANGE_draft!$G$3,G35),"")</f>
        <v/>
      </c>
      <c r="I35" s="854" t="str">
        <f t="shared" ref="I35:I52" si="5">IFERROR(H35-G35,"")</f>
        <v/>
      </c>
      <c r="J35" s="981" t="str">
        <f>IFERROR(MID(CHALLANGE_draft!$G$3,G35,I35),"")</f>
        <v/>
      </c>
    </row>
    <row r="36" spans="1:10" x14ac:dyDescent="0.3">
      <c r="A36" s="973">
        <v>34</v>
      </c>
      <c r="B36" s="973" t="str">
        <f t="shared" ref="B36:B52" si="6">IFERROR(C35+1,"")</f>
        <v/>
      </c>
      <c r="C36" s="973" t="str">
        <f>IFERROR(SEARCH(CHAR(10),CHALLANGE_draft!$E$4,B36),"")</f>
        <v/>
      </c>
      <c r="D36" s="854" t="str">
        <f t="shared" si="4"/>
        <v/>
      </c>
      <c r="E36" s="981" t="str">
        <f>IFERROR(MID(CHALLANGE_draft!$E$4,B36,D36),"")</f>
        <v/>
      </c>
      <c r="F36" s="973">
        <v>34</v>
      </c>
      <c r="G36" s="973" t="str">
        <f t="shared" ref="G36:G52" si="7">IFERROR(H35+1,"")</f>
        <v/>
      </c>
      <c r="H36" s="973" t="str">
        <f>IFERROR(SEARCH(CHAR(10),CHALLANGE_draft!$G$3,G36),"")</f>
        <v/>
      </c>
      <c r="I36" s="854" t="str">
        <f t="shared" si="5"/>
        <v/>
      </c>
      <c r="J36" s="981" t="str">
        <f>IFERROR(MID(CHALLANGE_draft!$G$3,G36,I36),"")</f>
        <v/>
      </c>
    </row>
    <row r="37" spans="1:10" x14ac:dyDescent="0.3">
      <c r="A37" s="973">
        <v>35</v>
      </c>
      <c r="B37" s="973" t="str">
        <f t="shared" si="6"/>
        <v/>
      </c>
      <c r="C37" s="973" t="str">
        <f>IFERROR(SEARCH(CHAR(10),CHALLANGE_draft!$E$4,B37),"")</f>
        <v/>
      </c>
      <c r="D37" s="854" t="str">
        <f t="shared" si="4"/>
        <v/>
      </c>
      <c r="E37" s="981" t="str">
        <f>IFERROR(MID(CHALLANGE_draft!$E$4,B37,D37),"")</f>
        <v/>
      </c>
      <c r="F37" s="973">
        <v>35</v>
      </c>
      <c r="G37" s="973" t="str">
        <f t="shared" si="7"/>
        <v/>
      </c>
      <c r="H37" s="973" t="str">
        <f>IFERROR(SEARCH(CHAR(10),CHALLANGE_draft!$G$3,G37),"")</f>
        <v/>
      </c>
      <c r="I37" s="854" t="str">
        <f t="shared" si="5"/>
        <v/>
      </c>
      <c r="J37" s="981" t="str">
        <f>IFERROR(MID(CHALLANGE_draft!$G$3,G37,I37),"")</f>
        <v/>
      </c>
    </row>
    <row r="38" spans="1:10" x14ac:dyDescent="0.3">
      <c r="A38" s="973">
        <v>36</v>
      </c>
      <c r="B38" s="973" t="str">
        <f t="shared" si="6"/>
        <v/>
      </c>
      <c r="C38" s="973" t="str">
        <f>IFERROR(SEARCH(CHAR(10),CHALLANGE_draft!$E$4,B38),"")</f>
        <v/>
      </c>
      <c r="D38" s="854" t="str">
        <f t="shared" si="4"/>
        <v/>
      </c>
      <c r="E38" s="981" t="str">
        <f>IFERROR(MID(CHALLANGE_draft!$E$4,B38,D38),"")</f>
        <v/>
      </c>
      <c r="F38" s="973">
        <v>36</v>
      </c>
      <c r="G38" s="973" t="str">
        <f t="shared" si="7"/>
        <v/>
      </c>
      <c r="H38" s="973" t="str">
        <f>IFERROR(SEARCH(CHAR(10),CHALLANGE_draft!$G$3,G38),"")</f>
        <v/>
      </c>
      <c r="I38" s="854" t="str">
        <f t="shared" si="5"/>
        <v/>
      </c>
      <c r="J38" s="981" t="str">
        <f>IFERROR(MID(CHALLANGE_draft!$G$3,G38,I38),"")</f>
        <v/>
      </c>
    </row>
    <row r="39" spans="1:10" x14ac:dyDescent="0.3">
      <c r="A39" s="973">
        <v>37</v>
      </c>
      <c r="B39" s="973" t="str">
        <f t="shared" si="6"/>
        <v/>
      </c>
      <c r="C39" s="973" t="str">
        <f>IFERROR(SEARCH(CHAR(10),CHALLANGE_draft!$E$4,B39),"")</f>
        <v/>
      </c>
      <c r="D39" s="854" t="str">
        <f t="shared" si="4"/>
        <v/>
      </c>
      <c r="E39" s="981" t="str">
        <f>IFERROR(MID(CHALLANGE_draft!$E$4,B39,D39),"")</f>
        <v/>
      </c>
      <c r="F39" s="973">
        <v>37</v>
      </c>
      <c r="G39" s="973" t="str">
        <f t="shared" si="7"/>
        <v/>
      </c>
      <c r="H39" s="973" t="str">
        <f>IFERROR(SEARCH(CHAR(10),CHALLANGE_draft!$G$3,G39),"")</f>
        <v/>
      </c>
      <c r="I39" s="854" t="str">
        <f t="shared" si="5"/>
        <v/>
      </c>
      <c r="J39" s="981" t="str">
        <f>IFERROR(MID(CHALLANGE_draft!$G$3,G39,I39),"")</f>
        <v/>
      </c>
    </row>
    <row r="40" spans="1:10" x14ac:dyDescent="0.3">
      <c r="A40" s="973">
        <v>38</v>
      </c>
      <c r="B40" s="973" t="str">
        <f t="shared" si="6"/>
        <v/>
      </c>
      <c r="C40" s="973" t="str">
        <f>IFERROR(SEARCH(CHAR(10),CHALLANGE_draft!$E$4,B40),"")</f>
        <v/>
      </c>
      <c r="D40" s="854" t="str">
        <f t="shared" si="4"/>
        <v/>
      </c>
      <c r="E40" s="981" t="str">
        <f>IFERROR(MID(CHALLANGE_draft!$E$4,B40,D40),"")</f>
        <v/>
      </c>
      <c r="F40" s="973">
        <v>38</v>
      </c>
      <c r="G40" s="973" t="str">
        <f t="shared" si="7"/>
        <v/>
      </c>
      <c r="H40" s="973" t="str">
        <f>IFERROR(SEARCH(CHAR(10),CHALLANGE_draft!$G$3,G40),"")</f>
        <v/>
      </c>
      <c r="I40" s="854" t="str">
        <f t="shared" si="5"/>
        <v/>
      </c>
      <c r="J40" s="981" t="str">
        <f>IFERROR(MID(CHALLANGE_draft!$G$3,G40,I40),"")</f>
        <v/>
      </c>
    </row>
    <row r="41" spans="1:10" x14ac:dyDescent="0.3">
      <c r="A41" s="973">
        <v>39</v>
      </c>
      <c r="B41" s="973" t="str">
        <f t="shared" si="6"/>
        <v/>
      </c>
      <c r="C41" s="973" t="str">
        <f>IFERROR(SEARCH(CHAR(10),CHALLANGE_draft!$E$4,B41),"")</f>
        <v/>
      </c>
      <c r="D41" s="854" t="str">
        <f t="shared" si="4"/>
        <v/>
      </c>
      <c r="E41" s="981" t="str">
        <f>IFERROR(MID(CHALLANGE_draft!$E$4,B41,D41),"")</f>
        <v/>
      </c>
      <c r="F41" s="973">
        <v>39</v>
      </c>
      <c r="G41" s="973" t="str">
        <f t="shared" si="7"/>
        <v/>
      </c>
      <c r="H41" s="973" t="str">
        <f>IFERROR(SEARCH(CHAR(10),CHALLANGE_draft!$G$3,G41),"")</f>
        <v/>
      </c>
      <c r="I41" s="854" t="str">
        <f t="shared" si="5"/>
        <v/>
      </c>
      <c r="J41" s="981" t="str">
        <f>IFERROR(MID(CHALLANGE_draft!$G$3,G41,I41),"")</f>
        <v/>
      </c>
    </row>
    <row r="42" spans="1:10" x14ac:dyDescent="0.3">
      <c r="A42" s="973">
        <v>40</v>
      </c>
      <c r="B42" s="973" t="str">
        <f t="shared" si="6"/>
        <v/>
      </c>
      <c r="C42" s="973" t="str">
        <f>IFERROR(SEARCH(CHAR(10),CHALLANGE_draft!$E$4,B42),"")</f>
        <v/>
      </c>
      <c r="D42" s="854" t="str">
        <f t="shared" si="4"/>
        <v/>
      </c>
      <c r="E42" s="981" t="str">
        <f>IFERROR(MID(CHALLANGE_draft!$E$4,B42,D42),"")</f>
        <v/>
      </c>
      <c r="F42" s="973">
        <v>40</v>
      </c>
      <c r="G42" s="973" t="str">
        <f t="shared" si="7"/>
        <v/>
      </c>
      <c r="H42" s="973" t="str">
        <f>IFERROR(SEARCH(CHAR(10),CHALLANGE_draft!$G$3,G42),"")</f>
        <v/>
      </c>
      <c r="I42" s="854" t="str">
        <f t="shared" si="5"/>
        <v/>
      </c>
      <c r="J42" s="981" t="str">
        <f>IFERROR(MID(CHALLANGE_draft!$G$3,G42,I42),"")</f>
        <v/>
      </c>
    </row>
    <row r="43" spans="1:10" x14ac:dyDescent="0.3">
      <c r="A43" s="973">
        <v>41</v>
      </c>
      <c r="B43" s="973" t="str">
        <f t="shared" si="6"/>
        <v/>
      </c>
      <c r="C43" s="973" t="str">
        <f>IFERROR(SEARCH(CHAR(10),CHALLANGE_draft!$E$4,B43),"")</f>
        <v/>
      </c>
      <c r="D43" s="854" t="str">
        <f t="shared" si="4"/>
        <v/>
      </c>
      <c r="E43" s="981" t="str">
        <f>IFERROR(MID(CHALLANGE_draft!$E$4,B43,D43),"")</f>
        <v/>
      </c>
      <c r="F43" s="973">
        <v>41</v>
      </c>
      <c r="G43" s="973" t="str">
        <f t="shared" si="7"/>
        <v/>
      </c>
      <c r="H43" s="973" t="str">
        <f>IFERROR(SEARCH(CHAR(10),CHALLANGE_draft!$G$3,G43),"")</f>
        <v/>
      </c>
      <c r="I43" s="854" t="str">
        <f t="shared" si="5"/>
        <v/>
      </c>
      <c r="J43" s="981" t="str">
        <f>IFERROR(MID(CHALLANGE_draft!$G$3,G43,I43),"")</f>
        <v/>
      </c>
    </row>
    <row r="44" spans="1:10" x14ac:dyDescent="0.3">
      <c r="A44" s="973">
        <v>42</v>
      </c>
      <c r="B44" s="973" t="str">
        <f t="shared" si="6"/>
        <v/>
      </c>
      <c r="C44" s="973" t="str">
        <f>IFERROR(SEARCH(CHAR(10),CHALLANGE_draft!$E$4,B44),"")</f>
        <v/>
      </c>
      <c r="D44" s="854" t="str">
        <f t="shared" si="4"/>
        <v/>
      </c>
      <c r="E44" s="981" t="str">
        <f>IFERROR(MID(CHALLANGE_draft!$E$4,B44,D44),"")</f>
        <v/>
      </c>
      <c r="F44" s="973">
        <v>42</v>
      </c>
      <c r="G44" s="973" t="str">
        <f t="shared" si="7"/>
        <v/>
      </c>
      <c r="H44" s="973" t="str">
        <f>IFERROR(SEARCH(CHAR(10),CHALLANGE_draft!$G$3,G44),"")</f>
        <v/>
      </c>
      <c r="I44" s="854" t="str">
        <f t="shared" si="5"/>
        <v/>
      </c>
      <c r="J44" s="981" t="str">
        <f>IFERROR(MID(CHALLANGE_draft!$G$3,G44,I44),"")</f>
        <v/>
      </c>
    </row>
    <row r="45" spans="1:10" x14ac:dyDescent="0.3">
      <c r="A45" s="973">
        <v>43</v>
      </c>
      <c r="B45" s="973" t="str">
        <f t="shared" si="6"/>
        <v/>
      </c>
      <c r="C45" s="973" t="str">
        <f>IFERROR(SEARCH(CHAR(10),CHALLANGE_draft!$E$4,B45),"")</f>
        <v/>
      </c>
      <c r="D45" s="854" t="str">
        <f t="shared" si="4"/>
        <v/>
      </c>
      <c r="E45" s="981" t="str">
        <f>IFERROR(MID(CHALLANGE_draft!$E$4,B45,D45),"")</f>
        <v/>
      </c>
      <c r="F45" s="973">
        <v>43</v>
      </c>
      <c r="G45" s="973" t="str">
        <f t="shared" si="7"/>
        <v/>
      </c>
      <c r="H45" s="973" t="str">
        <f>IFERROR(SEARCH(CHAR(10),CHALLANGE_draft!$G$3,G45),"")</f>
        <v/>
      </c>
      <c r="I45" s="854" t="str">
        <f t="shared" si="5"/>
        <v/>
      </c>
      <c r="J45" s="981" t="str">
        <f>IFERROR(MID(CHALLANGE_draft!$G$3,G45,I45),"")</f>
        <v/>
      </c>
    </row>
    <row r="46" spans="1:10" x14ac:dyDescent="0.3">
      <c r="A46" s="973">
        <v>44</v>
      </c>
      <c r="B46" s="973" t="str">
        <f t="shared" si="6"/>
        <v/>
      </c>
      <c r="C46" s="973" t="str">
        <f>IFERROR(SEARCH(CHAR(10),CHALLANGE_draft!$E$4,B46),"")</f>
        <v/>
      </c>
      <c r="D46" s="854" t="str">
        <f t="shared" si="4"/>
        <v/>
      </c>
      <c r="E46" s="981" t="str">
        <f>IFERROR(MID(CHALLANGE_draft!$E$4,B46,D46),"")</f>
        <v/>
      </c>
      <c r="F46" s="973">
        <v>44</v>
      </c>
      <c r="G46" s="973" t="str">
        <f t="shared" si="7"/>
        <v/>
      </c>
      <c r="H46" s="973" t="str">
        <f>IFERROR(SEARCH(CHAR(10),CHALLANGE_draft!$G$3,G46),"")</f>
        <v/>
      </c>
      <c r="I46" s="854" t="str">
        <f t="shared" si="5"/>
        <v/>
      </c>
      <c r="J46" s="981" t="str">
        <f>IFERROR(MID(CHALLANGE_draft!$G$3,G46,I46),"")</f>
        <v/>
      </c>
    </row>
    <row r="47" spans="1:10" x14ac:dyDescent="0.3">
      <c r="A47" s="973">
        <v>45</v>
      </c>
      <c r="B47" s="973" t="str">
        <f t="shared" si="6"/>
        <v/>
      </c>
      <c r="C47" s="973" t="str">
        <f>IFERROR(SEARCH(CHAR(10),CHALLANGE_draft!$E$4,B47),"")</f>
        <v/>
      </c>
      <c r="D47" s="854" t="str">
        <f t="shared" si="4"/>
        <v/>
      </c>
      <c r="E47" s="981" t="str">
        <f>IFERROR(MID(CHALLANGE_draft!$E$4,B47,D47),"")</f>
        <v/>
      </c>
      <c r="F47" s="973">
        <v>45</v>
      </c>
      <c r="G47" s="973" t="str">
        <f t="shared" si="7"/>
        <v/>
      </c>
      <c r="H47" s="973" t="str">
        <f>IFERROR(SEARCH(CHAR(10),CHALLANGE_draft!$G$3,G47),"")</f>
        <v/>
      </c>
      <c r="I47" s="854" t="str">
        <f t="shared" si="5"/>
        <v/>
      </c>
      <c r="J47" s="981" t="str">
        <f>IFERROR(MID(CHALLANGE_draft!$G$3,G47,I47),"")</f>
        <v/>
      </c>
    </row>
    <row r="48" spans="1:10" x14ac:dyDescent="0.3">
      <c r="A48" s="973">
        <v>46</v>
      </c>
      <c r="B48" s="973" t="str">
        <f t="shared" si="6"/>
        <v/>
      </c>
      <c r="C48" s="973" t="str">
        <f>IFERROR(SEARCH(CHAR(10),CHALLANGE_draft!$E$4,B48),"")</f>
        <v/>
      </c>
      <c r="D48" s="854" t="str">
        <f t="shared" si="4"/>
        <v/>
      </c>
      <c r="E48" s="981" t="str">
        <f>IFERROR(MID(CHALLANGE_draft!$E$4,B48,D48),"")</f>
        <v/>
      </c>
      <c r="F48" s="973">
        <v>46</v>
      </c>
      <c r="G48" s="973" t="str">
        <f t="shared" si="7"/>
        <v/>
      </c>
      <c r="H48" s="973" t="str">
        <f>IFERROR(SEARCH(CHAR(10),CHALLANGE_draft!$G$3,G48),"")</f>
        <v/>
      </c>
      <c r="I48" s="854" t="str">
        <f t="shared" si="5"/>
        <v/>
      </c>
      <c r="J48" s="981" t="str">
        <f>IFERROR(MID(CHALLANGE_draft!$G$3,G48,I48),"")</f>
        <v/>
      </c>
    </row>
    <row r="49" spans="1:10" x14ac:dyDescent="0.3">
      <c r="A49" s="973">
        <v>47</v>
      </c>
      <c r="B49" s="973" t="str">
        <f t="shared" si="6"/>
        <v/>
      </c>
      <c r="C49" s="973" t="str">
        <f>IFERROR(SEARCH(CHAR(10),CHALLANGE_draft!$E$4,B49),"")</f>
        <v/>
      </c>
      <c r="D49" s="854" t="str">
        <f t="shared" si="4"/>
        <v/>
      </c>
      <c r="E49" s="981" t="str">
        <f>IFERROR(MID(CHALLANGE_draft!$E$4,B49,D49),"")</f>
        <v/>
      </c>
      <c r="F49" s="973">
        <v>47</v>
      </c>
      <c r="G49" s="973" t="str">
        <f t="shared" si="7"/>
        <v/>
      </c>
      <c r="H49" s="973" t="str">
        <f>IFERROR(SEARCH(CHAR(10),CHALLANGE_draft!$G$3,G49),"")</f>
        <v/>
      </c>
      <c r="I49" s="854" t="str">
        <f t="shared" si="5"/>
        <v/>
      </c>
      <c r="J49" s="981" t="str">
        <f>IFERROR(MID(CHALLANGE_draft!$G$3,G49,I49),"")</f>
        <v/>
      </c>
    </row>
    <row r="50" spans="1:10" x14ac:dyDescent="0.3">
      <c r="A50" s="973">
        <v>48</v>
      </c>
      <c r="B50" s="973" t="str">
        <f t="shared" si="6"/>
        <v/>
      </c>
      <c r="C50" s="973" t="str">
        <f>IFERROR(SEARCH(CHAR(10),CHALLANGE_draft!$E$4,B50),"")</f>
        <v/>
      </c>
      <c r="D50" s="854" t="str">
        <f t="shared" si="4"/>
        <v/>
      </c>
      <c r="E50" s="981" t="str">
        <f>IFERROR(MID(CHALLANGE_draft!$E$4,B50,D50),"")</f>
        <v/>
      </c>
      <c r="F50" s="973">
        <v>48</v>
      </c>
      <c r="G50" s="973" t="str">
        <f t="shared" si="7"/>
        <v/>
      </c>
      <c r="H50" s="973" t="str">
        <f>IFERROR(SEARCH(CHAR(10),CHALLANGE_draft!$G$3,G50),"")</f>
        <v/>
      </c>
      <c r="I50" s="854" t="str">
        <f t="shared" si="5"/>
        <v/>
      </c>
      <c r="J50" s="981" t="str">
        <f>IFERROR(MID(CHALLANGE_draft!$G$3,G50,I50),"")</f>
        <v/>
      </c>
    </row>
    <row r="51" spans="1:10" x14ac:dyDescent="0.3">
      <c r="A51" s="973">
        <v>49</v>
      </c>
      <c r="B51" s="973" t="str">
        <f t="shared" si="6"/>
        <v/>
      </c>
      <c r="C51" s="973" t="str">
        <f>IFERROR(SEARCH(CHAR(10),CHALLANGE_draft!$E$4,B51),"")</f>
        <v/>
      </c>
      <c r="D51" s="854" t="str">
        <f t="shared" si="4"/>
        <v/>
      </c>
      <c r="E51" s="981" t="str">
        <f>IFERROR(MID(CHALLANGE_draft!$E$4,B51,D51),"")</f>
        <v/>
      </c>
      <c r="F51" s="973">
        <v>49</v>
      </c>
      <c r="G51" s="973" t="str">
        <f t="shared" si="7"/>
        <v/>
      </c>
      <c r="H51" s="973" t="str">
        <f>IFERROR(SEARCH(CHAR(10),CHALLANGE_draft!$G$3,G51),"")</f>
        <v/>
      </c>
      <c r="I51" s="854" t="str">
        <f t="shared" si="5"/>
        <v/>
      </c>
      <c r="J51" s="981" t="str">
        <f>IFERROR(MID(CHALLANGE_draft!$G$3,G51,I51),"")</f>
        <v/>
      </c>
    </row>
    <row r="52" spans="1:10" x14ac:dyDescent="0.3">
      <c r="A52" s="973">
        <v>50</v>
      </c>
      <c r="B52" s="973" t="str">
        <f t="shared" si="6"/>
        <v/>
      </c>
      <c r="C52" s="973" t="str">
        <f>IFERROR(SEARCH(CHAR(10),CHALLANGE_draft!$E$4,B52),"")</f>
        <v/>
      </c>
      <c r="D52" s="854" t="str">
        <f t="shared" si="4"/>
        <v/>
      </c>
      <c r="E52" s="981" t="str">
        <f>IFERROR(MID(CHALLANGE_draft!$E$4,B52,D52),"")</f>
        <v/>
      </c>
      <c r="F52" s="973">
        <v>50</v>
      </c>
      <c r="G52" s="973" t="str">
        <f t="shared" si="7"/>
        <v/>
      </c>
      <c r="H52" s="973" t="str">
        <f>IFERROR(SEARCH(CHAR(10),CHALLANGE_draft!$G$3,G52),"")</f>
        <v/>
      </c>
      <c r="I52" s="854" t="str">
        <f t="shared" si="5"/>
        <v/>
      </c>
      <c r="J52" s="981" t="str">
        <f>IFERROR(MID(CHALLANGE_draft!$G$3,G52,I52),"")</f>
        <v/>
      </c>
    </row>
    <row r="53" spans="1:10" x14ac:dyDescent="0.3">
      <c r="A53" s="973"/>
      <c r="B53" s="973"/>
      <c r="C53" s="973"/>
      <c r="D53" s="973"/>
      <c r="E53" s="979"/>
      <c r="F53" s="973"/>
      <c r="G53" s="973"/>
      <c r="H53" s="973"/>
      <c r="I53" s="973"/>
      <c r="J53" s="979"/>
    </row>
    <row r="54" spans="1:10" x14ac:dyDescent="0.3">
      <c r="A54" s="973"/>
      <c r="B54" s="973"/>
      <c r="C54" s="973"/>
      <c r="E54" s="979"/>
      <c r="F54" s="973"/>
      <c r="G54" s="973"/>
      <c r="H54" s="973"/>
      <c r="J54" s="979"/>
    </row>
    <row r="55" spans="1:10" x14ac:dyDescent="0.3">
      <c r="A55" s="973"/>
      <c r="B55" s="973"/>
      <c r="C55" s="973"/>
      <c r="E55" s="979"/>
      <c r="F55" s="973"/>
      <c r="G55" s="973"/>
      <c r="H55" s="973"/>
      <c r="J55" s="979"/>
    </row>
    <row r="56" spans="1:10" x14ac:dyDescent="0.3">
      <c r="A56" s="973"/>
      <c r="B56" s="973"/>
      <c r="C56" s="973"/>
      <c r="E56" s="979"/>
      <c r="F56" s="973"/>
      <c r="G56" s="973"/>
      <c r="H56" s="973"/>
      <c r="J56" s="979"/>
    </row>
    <row r="57" spans="1:10" x14ac:dyDescent="0.3">
      <c r="A57" s="973"/>
      <c r="B57" s="973"/>
      <c r="C57" s="973"/>
      <c r="D57" s="116"/>
      <c r="E57" s="979"/>
      <c r="F57" s="973"/>
      <c r="G57" s="973"/>
      <c r="H57" s="973"/>
      <c r="I57" s="116"/>
      <c r="J57" s="979"/>
    </row>
    <row r="58" spans="1:10" x14ac:dyDescent="0.3">
      <c r="A58" s="973"/>
      <c r="B58" s="973"/>
      <c r="C58" s="973"/>
      <c r="D58" s="116"/>
      <c r="E58" s="979"/>
      <c r="F58" s="973"/>
      <c r="G58" s="973"/>
      <c r="H58" s="973"/>
      <c r="I58" s="116"/>
      <c r="J58" s="979"/>
    </row>
    <row r="59" spans="1:10" x14ac:dyDescent="0.3">
      <c r="A59" s="973"/>
      <c r="B59" s="973"/>
      <c r="C59" s="973"/>
      <c r="D59" s="116"/>
      <c r="E59" s="979"/>
      <c r="F59" s="973"/>
      <c r="G59" s="973"/>
      <c r="H59" s="973"/>
      <c r="I59" s="116"/>
      <c r="J59" s="979"/>
    </row>
    <row r="60" spans="1:10" x14ac:dyDescent="0.3">
      <c r="A60" s="973"/>
      <c r="B60" s="973"/>
      <c r="C60" s="973"/>
      <c r="D60" s="116"/>
      <c r="E60" s="979"/>
      <c r="F60" s="973"/>
      <c r="G60" s="973"/>
      <c r="H60" s="973"/>
      <c r="I60" s="116"/>
      <c r="J60" s="979"/>
    </row>
    <row r="61" spans="1:10" x14ac:dyDescent="0.3">
      <c r="A61" s="973"/>
      <c r="B61" s="973"/>
      <c r="C61" s="973"/>
      <c r="D61" s="116"/>
      <c r="E61" s="979"/>
      <c r="F61" s="973"/>
      <c r="G61" s="973"/>
      <c r="H61" s="973"/>
      <c r="I61" s="116"/>
      <c r="J61" s="979"/>
    </row>
    <row r="62" spans="1:10" x14ac:dyDescent="0.3">
      <c r="A62" s="973"/>
      <c r="B62" s="973"/>
      <c r="C62" s="973"/>
      <c r="D62" s="116"/>
      <c r="E62" s="979"/>
      <c r="F62" s="973"/>
      <c r="G62" s="973"/>
      <c r="H62" s="973"/>
      <c r="I62" s="116"/>
      <c r="J62" s="979"/>
    </row>
    <row r="63" spans="1:10" x14ac:dyDescent="0.3">
      <c r="B63" s="116"/>
      <c r="C63" s="116"/>
      <c r="D63" s="116"/>
      <c r="G63" s="116"/>
      <c r="H63" s="116"/>
      <c r="I63" s="116"/>
    </row>
    <row r="64" spans="1:10" x14ac:dyDescent="0.3">
      <c r="B64" s="116"/>
      <c r="C64" s="116"/>
      <c r="D64" s="116"/>
      <c r="G64" s="116"/>
      <c r="H64" s="116"/>
      <c r="I64" s="116"/>
    </row>
    <row r="79" spans="3:10" x14ac:dyDescent="0.3">
      <c r="C79" s="116"/>
      <c r="D79" s="116"/>
      <c r="E79" s="116"/>
      <c r="H79" s="116"/>
      <c r="I79" s="116"/>
      <c r="J79" s="116"/>
    </row>
    <row r="80" spans="3:10" x14ac:dyDescent="0.3">
      <c r="C80" s="116"/>
      <c r="D80" s="116"/>
      <c r="E80" s="116"/>
      <c r="H80" s="116"/>
      <c r="I80" s="116"/>
      <c r="J80" s="116"/>
    </row>
    <row r="81" spans="3:10" x14ac:dyDescent="0.3">
      <c r="C81" s="116"/>
      <c r="D81" s="116"/>
      <c r="E81" s="116"/>
      <c r="H81" s="116"/>
      <c r="I81" s="116"/>
      <c r="J81" s="116"/>
    </row>
    <row r="82" spans="3:10" x14ac:dyDescent="0.3">
      <c r="C82" s="116"/>
      <c r="D82" s="116"/>
      <c r="E82" s="116"/>
      <c r="H82" s="116"/>
      <c r="I82" s="116"/>
      <c r="J82" s="116"/>
    </row>
    <row r="83" spans="3:10" x14ac:dyDescent="0.3">
      <c r="C83" s="116"/>
      <c r="D83" s="116"/>
      <c r="E83" s="116"/>
      <c r="H83" s="116"/>
      <c r="I83" s="116"/>
      <c r="J83" s="116"/>
    </row>
    <row r="84" spans="3:10" x14ac:dyDescent="0.3">
      <c r="C84" s="116"/>
      <c r="D84" s="116"/>
      <c r="E84" s="116"/>
      <c r="H84" s="116"/>
      <c r="I84" s="116"/>
      <c r="J84" s="116"/>
    </row>
    <row r="85" spans="3:10" x14ac:dyDescent="0.3">
      <c r="C85" s="116"/>
      <c r="D85" s="116"/>
      <c r="E85" s="116"/>
      <c r="H85" s="116"/>
      <c r="I85" s="116"/>
      <c r="J85" s="116"/>
    </row>
    <row r="86" spans="3:10" x14ac:dyDescent="0.3">
      <c r="C86" s="116"/>
      <c r="D86" s="116"/>
      <c r="E86" s="116"/>
      <c r="H86" s="116"/>
      <c r="I86" s="116"/>
      <c r="J86" s="116"/>
    </row>
    <row r="87" spans="3:10" x14ac:dyDescent="0.3">
      <c r="C87" s="116"/>
      <c r="D87" s="116"/>
      <c r="E87" s="116"/>
      <c r="H87" s="116"/>
      <c r="I87" s="116"/>
      <c r="J87" s="116"/>
    </row>
    <row r="88" spans="3:10" x14ac:dyDescent="0.3">
      <c r="C88" s="116"/>
      <c r="D88" s="116"/>
      <c r="E88" s="116"/>
      <c r="H88" s="116"/>
      <c r="I88" s="116"/>
      <c r="J88" s="116"/>
    </row>
    <row r="89" spans="3:10" x14ac:dyDescent="0.3">
      <c r="C89" s="116"/>
      <c r="D89" s="116"/>
      <c r="E89" s="116"/>
      <c r="H89" s="116"/>
      <c r="I89" s="116"/>
      <c r="J89" s="116"/>
    </row>
    <row r="90" spans="3:10" x14ac:dyDescent="0.3">
      <c r="C90" s="116"/>
      <c r="D90" s="116"/>
      <c r="E90" s="116"/>
      <c r="H90" s="116"/>
      <c r="I90" s="116"/>
      <c r="J90" s="116"/>
    </row>
    <row r="91" spans="3:10" x14ac:dyDescent="0.3">
      <c r="C91" s="116"/>
      <c r="D91" s="116"/>
      <c r="E91" s="116"/>
      <c r="H91" s="116"/>
      <c r="I91" s="116"/>
      <c r="J91" s="116"/>
    </row>
    <row r="92" spans="3:10" x14ac:dyDescent="0.3">
      <c r="C92" s="116"/>
      <c r="D92" s="116"/>
      <c r="E92" s="116"/>
      <c r="H92" s="116"/>
      <c r="I92" s="116"/>
      <c r="J92" s="116"/>
    </row>
    <row r="93" spans="3:10" x14ac:dyDescent="0.3">
      <c r="C93" s="116"/>
      <c r="D93" s="116"/>
      <c r="E93" s="116"/>
      <c r="H93" s="116"/>
      <c r="I93" s="116"/>
      <c r="J93" s="116"/>
    </row>
    <row r="94" spans="3:10" x14ac:dyDescent="0.3">
      <c r="C94" s="116"/>
      <c r="D94" s="116"/>
      <c r="E94" s="116"/>
      <c r="H94" s="116"/>
      <c r="I94" s="116"/>
      <c r="J94" s="116"/>
    </row>
    <row r="95" spans="3:10" x14ac:dyDescent="0.3">
      <c r="C95" s="116"/>
      <c r="D95" s="116"/>
      <c r="E95" s="116"/>
      <c r="H95" s="116"/>
      <c r="I95" s="116"/>
      <c r="J95" s="116"/>
    </row>
    <row r="96" spans="3:10" x14ac:dyDescent="0.3">
      <c r="C96" s="116"/>
      <c r="D96" s="116"/>
      <c r="E96" s="116"/>
      <c r="H96" s="116"/>
      <c r="I96" s="116"/>
      <c r="J96" s="116"/>
    </row>
    <row r="97" spans="3:10" x14ac:dyDescent="0.3">
      <c r="C97" s="116"/>
      <c r="D97" s="116"/>
      <c r="E97" s="116"/>
      <c r="H97" s="116"/>
      <c r="I97" s="116"/>
      <c r="J97" s="116"/>
    </row>
    <row r="98" spans="3:10" x14ac:dyDescent="0.3">
      <c r="C98" s="116"/>
      <c r="D98" s="116"/>
      <c r="E98" s="116"/>
      <c r="H98" s="116"/>
      <c r="I98" s="116"/>
      <c r="J98" s="116"/>
    </row>
    <row r="99" spans="3:10" x14ac:dyDescent="0.3">
      <c r="C99" s="116"/>
      <c r="D99" s="116"/>
      <c r="E99" s="116"/>
      <c r="H99" s="116"/>
      <c r="I99" s="116"/>
      <c r="J99" s="116"/>
    </row>
    <row r="100" spans="3:10" x14ac:dyDescent="0.3">
      <c r="C100" s="116"/>
      <c r="D100" s="116"/>
      <c r="E100" s="116"/>
      <c r="H100" s="116"/>
      <c r="I100" s="116"/>
      <c r="J100" s="116"/>
    </row>
    <row r="101" spans="3:10" x14ac:dyDescent="0.3">
      <c r="C101" s="116"/>
      <c r="D101" s="116"/>
      <c r="E101" s="116"/>
      <c r="H101" s="116"/>
      <c r="I101" s="116"/>
      <c r="J101" s="116"/>
    </row>
    <row r="102" spans="3:10" x14ac:dyDescent="0.3">
      <c r="C102" s="116"/>
      <c r="D102" s="116"/>
      <c r="E102" s="116"/>
      <c r="H102" s="116"/>
      <c r="I102" s="116"/>
      <c r="J102" s="116"/>
    </row>
    <row r="103" spans="3:10" x14ac:dyDescent="0.3">
      <c r="C103" s="116"/>
      <c r="D103" s="116"/>
      <c r="E103" s="116"/>
      <c r="H103" s="116"/>
      <c r="I103" s="116"/>
      <c r="J103" s="116"/>
    </row>
    <row r="104" spans="3:10" x14ac:dyDescent="0.3">
      <c r="C104" s="116"/>
      <c r="D104" s="116"/>
      <c r="E104" s="116"/>
      <c r="H104" s="116"/>
      <c r="I104" s="116"/>
      <c r="J104" s="116"/>
    </row>
    <row r="105" spans="3:10" x14ac:dyDescent="0.3">
      <c r="C105" s="116"/>
      <c r="D105" s="116"/>
      <c r="E105" s="116"/>
      <c r="H105" s="116"/>
      <c r="I105" s="116"/>
      <c r="J105" s="116"/>
    </row>
    <row r="106" spans="3:10" x14ac:dyDescent="0.3">
      <c r="C106" s="116"/>
      <c r="D106" s="116"/>
      <c r="E106" s="116"/>
      <c r="H106" s="116"/>
      <c r="I106" s="116"/>
      <c r="J106" s="116"/>
    </row>
    <row r="107" spans="3:10" x14ac:dyDescent="0.3">
      <c r="C107" s="116"/>
      <c r="D107" s="116"/>
      <c r="E107" s="116"/>
      <c r="H107" s="116"/>
      <c r="I107" s="116"/>
      <c r="J107" s="116"/>
    </row>
    <row r="108" spans="3:10" x14ac:dyDescent="0.3">
      <c r="C108" s="116"/>
      <c r="D108" s="116"/>
      <c r="E108" s="116"/>
      <c r="H108" s="116"/>
      <c r="I108" s="116"/>
      <c r="J108" s="116"/>
    </row>
    <row r="109" spans="3:10" x14ac:dyDescent="0.3">
      <c r="C109" s="116"/>
      <c r="D109" s="116"/>
      <c r="E109" s="116"/>
      <c r="H109" s="116"/>
      <c r="I109" s="116"/>
      <c r="J109" s="116"/>
    </row>
    <row r="110" spans="3:10" x14ac:dyDescent="0.3">
      <c r="C110" s="116"/>
      <c r="D110" s="116"/>
      <c r="E110" s="116"/>
      <c r="H110" s="116"/>
      <c r="I110" s="116"/>
      <c r="J110" s="116"/>
    </row>
    <row r="111" spans="3:10" x14ac:dyDescent="0.3">
      <c r="C111" s="116"/>
      <c r="D111" s="116"/>
      <c r="E111" s="116"/>
      <c r="H111" s="116"/>
      <c r="I111" s="116"/>
      <c r="J111" s="116"/>
    </row>
    <row r="112" spans="3:10" x14ac:dyDescent="0.3">
      <c r="C112" s="116"/>
      <c r="D112" s="116"/>
      <c r="E112" s="116"/>
      <c r="H112" s="116"/>
      <c r="I112" s="116"/>
      <c r="J112" s="116"/>
    </row>
    <row r="113" spans="3:10" x14ac:dyDescent="0.3">
      <c r="C113" s="116"/>
      <c r="D113" s="116"/>
      <c r="E113" s="116"/>
      <c r="H113" s="116"/>
      <c r="I113" s="116"/>
      <c r="J113" s="116"/>
    </row>
    <row r="114" spans="3:10" x14ac:dyDescent="0.3">
      <c r="C114" s="116"/>
      <c r="D114" s="116"/>
      <c r="E114" s="116"/>
      <c r="H114" s="116"/>
      <c r="I114" s="116"/>
      <c r="J114" s="116"/>
    </row>
    <row r="115" spans="3:10" x14ac:dyDescent="0.3">
      <c r="C115" s="116"/>
      <c r="D115" s="116"/>
      <c r="E115" s="116"/>
      <c r="H115" s="116"/>
      <c r="I115" s="116"/>
      <c r="J115" s="116"/>
    </row>
    <row r="116" spans="3:10" x14ac:dyDescent="0.3">
      <c r="C116" s="116"/>
      <c r="D116" s="116"/>
      <c r="E116" s="116"/>
      <c r="H116" s="116"/>
      <c r="I116" s="116"/>
      <c r="J116" s="116"/>
    </row>
    <row r="117" spans="3:10" x14ac:dyDescent="0.3">
      <c r="C117" s="116"/>
      <c r="D117" s="116"/>
      <c r="E117" s="116"/>
      <c r="H117" s="116"/>
      <c r="I117" s="116"/>
      <c r="J117" s="116"/>
    </row>
    <row r="118" spans="3:10" x14ac:dyDescent="0.3">
      <c r="C118" s="116"/>
      <c r="D118" s="116"/>
      <c r="E118" s="116"/>
      <c r="H118" s="116"/>
      <c r="I118" s="116"/>
      <c r="J118" s="116"/>
    </row>
    <row r="119" spans="3:10" x14ac:dyDescent="0.3">
      <c r="C119" s="116"/>
      <c r="D119" s="116"/>
      <c r="E119" s="116"/>
      <c r="H119" s="116"/>
      <c r="I119" s="116"/>
      <c r="J119" s="116"/>
    </row>
    <row r="120" spans="3:10" x14ac:dyDescent="0.3">
      <c r="C120" s="116"/>
      <c r="D120" s="116"/>
      <c r="E120" s="116"/>
      <c r="H120" s="116"/>
      <c r="I120" s="116"/>
      <c r="J120" s="116"/>
    </row>
    <row r="121" spans="3:10" x14ac:dyDescent="0.3">
      <c r="C121" s="116"/>
      <c r="D121" s="116"/>
      <c r="E121" s="116"/>
      <c r="H121" s="116"/>
      <c r="I121" s="116"/>
      <c r="J121" s="116"/>
    </row>
    <row r="122" spans="3:10" x14ac:dyDescent="0.3">
      <c r="C122" s="116"/>
      <c r="D122" s="116"/>
      <c r="E122" s="116"/>
      <c r="H122" s="116"/>
      <c r="I122" s="116"/>
      <c r="J122" s="116"/>
    </row>
    <row r="123" spans="3:10" x14ac:dyDescent="0.3">
      <c r="C123" s="116"/>
      <c r="D123" s="116"/>
      <c r="E123" s="116"/>
      <c r="H123" s="116"/>
      <c r="I123" s="116"/>
      <c r="J123" s="116"/>
    </row>
    <row r="124" spans="3:10" x14ac:dyDescent="0.3">
      <c r="C124" s="116"/>
      <c r="D124" s="116"/>
      <c r="E124" s="116"/>
      <c r="H124" s="116"/>
      <c r="I124" s="116"/>
      <c r="J124" s="116"/>
    </row>
    <row r="125" spans="3:10" x14ac:dyDescent="0.3">
      <c r="C125" s="116"/>
      <c r="D125" s="116"/>
      <c r="E125" s="116"/>
      <c r="H125" s="116"/>
      <c r="I125" s="116"/>
      <c r="J125" s="116"/>
    </row>
    <row r="126" spans="3:10" x14ac:dyDescent="0.3">
      <c r="C126" s="116"/>
      <c r="D126" s="116"/>
      <c r="E126" s="116"/>
      <c r="H126" s="116"/>
      <c r="I126" s="116"/>
      <c r="J126" s="116"/>
    </row>
    <row r="127" spans="3:10" x14ac:dyDescent="0.3">
      <c r="C127" s="116"/>
      <c r="D127" s="116"/>
      <c r="E127" s="116"/>
      <c r="H127" s="116"/>
      <c r="I127" s="116"/>
      <c r="J127" s="116"/>
    </row>
    <row r="128" spans="3:10" x14ac:dyDescent="0.3">
      <c r="C128" s="116"/>
      <c r="D128" s="116"/>
      <c r="E128" s="116"/>
      <c r="H128" s="116"/>
      <c r="I128" s="116"/>
      <c r="J128" s="116"/>
    </row>
    <row r="129" spans="3:10" x14ac:dyDescent="0.3">
      <c r="C129" s="116"/>
      <c r="D129" s="116"/>
      <c r="E129" s="116"/>
      <c r="H129" s="116"/>
      <c r="I129" s="116"/>
      <c r="J129" s="116"/>
    </row>
  </sheetData>
  <mergeCells count="2">
    <mergeCell ref="F1:J1"/>
    <mergeCell ref="A1:E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tiv1"/>
  <dimension ref="A1:AS59"/>
  <sheetViews>
    <sheetView workbookViewId="0">
      <pane xSplit="1" topLeftCell="B1" activePane="topRight" state="frozen"/>
      <selection pane="topRight" activeCell="B3" sqref="B3"/>
    </sheetView>
  </sheetViews>
  <sheetFormatPr defaultColWidth="8.6640625" defaultRowHeight="14.4" x14ac:dyDescent="0.3"/>
  <cols>
    <col min="1" max="1" width="20" style="5" customWidth="1"/>
    <col min="2" max="2" width="20" style="254" customWidth="1"/>
    <col min="3" max="3" width="12.44140625" style="5" customWidth="1"/>
    <col min="4" max="16384" width="8.6640625" style="5"/>
  </cols>
  <sheetData>
    <row r="1" spans="1:22" ht="15" thickTop="1" x14ac:dyDescent="0.3">
      <c r="A1" s="1" t="s">
        <v>1107</v>
      </c>
      <c r="B1" s="3"/>
      <c r="C1" s="1" t="s">
        <v>1106</v>
      </c>
      <c r="D1" s="1"/>
      <c r="E1" s="1"/>
      <c r="F1" s="1"/>
      <c r="G1" s="1"/>
      <c r="H1" s="1"/>
      <c r="I1" s="1"/>
      <c r="J1" s="1"/>
      <c r="K1" s="1"/>
      <c r="L1" s="1"/>
      <c r="M1" s="1"/>
      <c r="N1" s="1"/>
      <c r="O1" s="1"/>
      <c r="P1" s="1"/>
    </row>
    <row r="2" spans="1:22" ht="15" thickBot="1" x14ac:dyDescent="0.35">
      <c r="A2" s="2"/>
      <c r="B2" s="4"/>
      <c r="C2" s="2"/>
      <c r="D2" s="2"/>
      <c r="E2" s="2"/>
      <c r="F2" s="2"/>
      <c r="G2" s="2"/>
      <c r="H2" s="2"/>
      <c r="I2" s="2"/>
      <c r="J2" s="2"/>
      <c r="K2" s="2"/>
      <c r="L2" s="2"/>
      <c r="M2" s="2"/>
      <c r="N2" s="2"/>
      <c r="O2" s="2"/>
      <c r="P2" s="2"/>
    </row>
    <row r="3" spans="1:22" ht="15" thickTop="1" x14ac:dyDescent="0.3">
      <c r="A3" s="142" t="s">
        <v>906</v>
      </c>
      <c r="B3" s="146" t="e">
        <f>CONCATENATE(C3,CHAR(10),D3," ",'MOT (Ущерб)'!CJ3," ",'MOTIV (2)'!E3," ",'MOT (Ущерб)'!CT3,'MOTIV (2)'!F3,CHAR(10),'MOT (Ущерб)'!DA3,CHAR(10),G3," ",'MOT (Ущерб)'!CJ3," ",'MOTIV (2)'!H3," ",'MOT (Ущерб)'!DK3," ",'MOTIV (2)'!I3," ",'MOT (Ущерб)'!DS3," ",J3," ",DRAFT!A116," ",'MOT (Ущерб)'!EU3)</f>
        <v>#VALUE!</v>
      </c>
      <c r="C3" s="5" t="s">
        <v>794</v>
      </c>
      <c r="D3" s="5" t="s">
        <v>889</v>
      </c>
      <c r="E3" s="5" t="s">
        <v>789</v>
      </c>
      <c r="F3" s="5" t="s">
        <v>790</v>
      </c>
      <c r="G3" s="5" t="s">
        <v>791</v>
      </c>
      <c r="H3" s="5" t="s">
        <v>573</v>
      </c>
      <c r="I3" s="5" t="s">
        <v>4</v>
      </c>
      <c r="J3" s="5" t="s">
        <v>793</v>
      </c>
      <c r="K3" s="241" t="s">
        <v>979</v>
      </c>
      <c r="L3" s="5" t="s">
        <v>1018</v>
      </c>
      <c r="M3" s="5" t="s">
        <v>1024</v>
      </c>
      <c r="N3" s="5" t="s">
        <v>1263</v>
      </c>
      <c r="O3" s="5" t="s">
        <v>1262</v>
      </c>
      <c r="S3" s="242" t="s">
        <v>979</v>
      </c>
      <c r="T3" s="5" t="s">
        <v>1018</v>
      </c>
      <c r="U3" s="5" t="s">
        <v>1019</v>
      </c>
      <c r="V3" s="5" t="s">
        <v>997</v>
      </c>
    </row>
    <row r="4" spans="1:22" x14ac:dyDescent="0.3">
      <c r="A4" s="143" t="s">
        <v>907</v>
      </c>
      <c r="B4" s="146"/>
      <c r="C4" s="5" t="s">
        <v>5689</v>
      </c>
      <c r="D4" s="5" t="s">
        <v>837</v>
      </c>
      <c r="E4" s="5" t="s">
        <v>788</v>
      </c>
      <c r="F4" s="5" t="s">
        <v>838</v>
      </c>
      <c r="G4" s="5" t="s">
        <v>839</v>
      </c>
      <c r="H4" s="5" t="s">
        <v>573</v>
      </c>
      <c r="I4" s="5" t="s">
        <v>4</v>
      </c>
      <c r="J4" s="241" t="s">
        <v>1140</v>
      </c>
      <c r="K4" s="242" t="s">
        <v>4725</v>
      </c>
      <c r="L4" s="254" t="s">
        <v>4723</v>
      </c>
      <c r="M4" s="377" t="s">
        <v>4724</v>
      </c>
      <c r="N4" s="254"/>
      <c r="S4" s="254"/>
    </row>
    <row r="5" spans="1:22" s="100" customFormat="1" x14ac:dyDescent="0.3">
      <c r="A5" s="144" t="s">
        <v>840</v>
      </c>
      <c r="B5" s="1004"/>
      <c r="C5" s="100" t="s">
        <v>841</v>
      </c>
      <c r="D5" s="100" t="s">
        <v>842</v>
      </c>
      <c r="E5" s="100" t="s">
        <v>843</v>
      </c>
      <c r="F5" s="100" t="s">
        <v>844</v>
      </c>
      <c r="G5" s="100" t="s">
        <v>845</v>
      </c>
      <c r="H5" s="100" t="s">
        <v>846</v>
      </c>
      <c r="I5" s="100" t="s">
        <v>847</v>
      </c>
    </row>
    <row r="6" spans="1:22" x14ac:dyDescent="0.3">
      <c r="A6" s="143" t="s">
        <v>848</v>
      </c>
      <c r="B6" s="146"/>
      <c r="C6" s="5" t="s">
        <v>849</v>
      </c>
      <c r="D6" s="5" t="s">
        <v>850</v>
      </c>
      <c r="E6" s="5" t="s">
        <v>851</v>
      </c>
      <c r="F6" s="5" t="s">
        <v>852</v>
      </c>
    </row>
    <row r="7" spans="1:22" x14ac:dyDescent="0.3">
      <c r="A7" s="143" t="s">
        <v>886</v>
      </c>
      <c r="B7" s="146"/>
      <c r="C7" s="5" t="s">
        <v>2018</v>
      </c>
      <c r="D7" s="5" t="s">
        <v>887</v>
      </c>
      <c r="E7" s="5" t="s">
        <v>888</v>
      </c>
    </row>
    <row r="8" spans="1:22" x14ac:dyDescent="0.3">
      <c r="A8" s="143" t="s">
        <v>890</v>
      </c>
      <c r="B8" s="146"/>
      <c r="C8" s="5" t="s">
        <v>891</v>
      </c>
      <c r="D8" s="5" t="s">
        <v>892</v>
      </c>
      <c r="E8" s="5" t="s">
        <v>893</v>
      </c>
      <c r="F8" s="5" t="s">
        <v>5243</v>
      </c>
      <c r="G8" s="5" t="s">
        <v>5240</v>
      </c>
      <c r="H8" s="5" t="s">
        <v>5241</v>
      </c>
      <c r="I8" s="5" t="s">
        <v>5242</v>
      </c>
      <c r="J8" s="5" t="s">
        <v>894</v>
      </c>
      <c r="K8" s="5" t="s">
        <v>901</v>
      </c>
    </row>
    <row r="9" spans="1:22" x14ac:dyDescent="0.3">
      <c r="A9" s="143" t="s">
        <v>641</v>
      </c>
      <c r="B9" s="146"/>
      <c r="C9" s="5" t="s">
        <v>898</v>
      </c>
      <c r="D9" s="5" t="s">
        <v>899</v>
      </c>
      <c r="E9" s="5" t="s">
        <v>900</v>
      </c>
      <c r="F9" s="110"/>
      <c r="G9" s="110"/>
    </row>
    <row r="10" spans="1:22" x14ac:dyDescent="0.3">
      <c r="A10" s="145" t="s">
        <v>905</v>
      </c>
      <c r="B10" s="146"/>
      <c r="C10" s="116" t="s">
        <v>908</v>
      </c>
    </row>
    <row r="11" spans="1:22" x14ac:dyDescent="0.3">
      <c r="A11" s="143" t="s">
        <v>909</v>
      </c>
      <c r="B11" s="146"/>
      <c r="C11" s="5" t="s">
        <v>1085</v>
      </c>
      <c r="D11" s="5" t="s">
        <v>910</v>
      </c>
      <c r="E11" s="5" t="s">
        <v>914</v>
      </c>
    </row>
    <row r="12" spans="1:22" x14ac:dyDescent="0.3">
      <c r="A12" s="143" t="s">
        <v>911</v>
      </c>
      <c r="B12" s="146"/>
      <c r="C12" s="5" t="s">
        <v>2413</v>
      </c>
    </row>
    <row r="13" spans="1:22" x14ac:dyDescent="0.3">
      <c r="A13" s="143" t="s">
        <v>912</v>
      </c>
      <c r="B13" s="146"/>
      <c r="C13" s="5" t="s">
        <v>2414</v>
      </c>
    </row>
    <row r="14" spans="1:22" x14ac:dyDescent="0.3">
      <c r="A14" s="145" t="s">
        <v>913</v>
      </c>
      <c r="B14" s="146"/>
      <c r="C14" s="5" t="s">
        <v>2412</v>
      </c>
      <c r="D14" s="5" t="s">
        <v>1280</v>
      </c>
      <c r="E14" s="116"/>
    </row>
    <row r="15" spans="1:22" x14ac:dyDescent="0.3">
      <c r="A15" s="384" t="s">
        <v>973</v>
      </c>
      <c r="B15" s="146"/>
      <c r="C15" s="5" t="s">
        <v>974</v>
      </c>
      <c r="D15" s="5" t="s">
        <v>975</v>
      </c>
      <c r="E15" s="5" t="s">
        <v>976</v>
      </c>
      <c r="F15" s="5" t="s">
        <v>977</v>
      </c>
      <c r="G15" s="5" t="s">
        <v>804</v>
      </c>
      <c r="H15" s="249" t="s">
        <v>978</v>
      </c>
      <c r="I15" s="5" t="s">
        <v>805</v>
      </c>
      <c r="J15" s="5" t="s">
        <v>979</v>
      </c>
      <c r="K15" s="5" t="s">
        <v>980</v>
      </c>
      <c r="L15" s="5" t="s">
        <v>987</v>
      </c>
      <c r="M15" s="5" t="s">
        <v>981</v>
      </c>
    </row>
    <row r="16" spans="1:22" x14ac:dyDescent="0.3">
      <c r="A16" s="143" t="s">
        <v>982</v>
      </c>
      <c r="B16" s="146"/>
      <c r="C16" s="5" t="s">
        <v>986</v>
      </c>
    </row>
    <row r="17" spans="1:29" x14ac:dyDescent="0.3">
      <c r="A17" s="143" t="s">
        <v>983</v>
      </c>
      <c r="B17" s="146"/>
      <c r="C17" s="5" t="s">
        <v>984</v>
      </c>
      <c r="D17" s="5" t="s">
        <v>985</v>
      </c>
    </row>
    <row r="18" spans="1:29" x14ac:dyDescent="0.3">
      <c r="A18" s="143" t="s">
        <v>658</v>
      </c>
      <c r="B18" s="146"/>
      <c r="C18" s="5" t="s">
        <v>1532</v>
      </c>
      <c r="D18" s="5" t="s">
        <v>989</v>
      </c>
      <c r="E18" s="5" t="s">
        <v>990</v>
      </c>
    </row>
    <row r="19" spans="1:29" x14ac:dyDescent="0.3">
      <c r="A19" s="143" t="s">
        <v>996</v>
      </c>
      <c r="B19" s="146"/>
      <c r="C19" s="5" t="s">
        <v>1533</v>
      </c>
      <c r="D19" s="5" t="s">
        <v>1015</v>
      </c>
      <c r="E19" s="5" t="s">
        <v>1016</v>
      </c>
      <c r="F19" s="5" t="s">
        <v>1017</v>
      </c>
      <c r="G19" s="5" t="s">
        <v>979</v>
      </c>
      <c r="H19" s="5" t="s">
        <v>1018</v>
      </c>
      <c r="I19" s="241" t="s">
        <v>1019</v>
      </c>
      <c r="J19" s="5" t="s">
        <v>1020</v>
      </c>
      <c r="K19" s="5" t="s">
        <v>1021</v>
      </c>
      <c r="L19" s="5" t="s">
        <v>1022</v>
      </c>
      <c r="M19" s="5" t="s">
        <v>997</v>
      </c>
      <c r="N19" s="242" t="s">
        <v>1024</v>
      </c>
      <c r="O19" s="5" t="s">
        <v>1025</v>
      </c>
      <c r="P19" s="5" t="s">
        <v>1026</v>
      </c>
      <c r="Q19" s="5" t="s">
        <v>1028</v>
      </c>
      <c r="R19" s="5" t="s">
        <v>1027</v>
      </c>
    </row>
    <row r="20" spans="1:29" x14ac:dyDescent="0.3">
      <c r="A20" s="384" t="s">
        <v>998</v>
      </c>
      <c r="B20" s="146"/>
      <c r="C20" s="5" t="s">
        <v>1528</v>
      </c>
      <c r="D20" s="5" t="s">
        <v>5224</v>
      </c>
      <c r="E20" s="5" t="s">
        <v>5223</v>
      </c>
      <c r="G20" s="5" t="s">
        <v>4920</v>
      </c>
      <c r="H20" s="254" t="s">
        <v>4921</v>
      </c>
    </row>
    <row r="21" spans="1:29" x14ac:dyDescent="0.3">
      <c r="A21" s="143" t="s">
        <v>1128</v>
      </c>
      <c r="B21" s="146"/>
      <c r="C21" s="5" t="s">
        <v>1086</v>
      </c>
      <c r="D21" s="5" t="s">
        <v>1087</v>
      </c>
      <c r="E21" s="5" t="s">
        <v>1534</v>
      </c>
      <c r="F21" s="63" t="s">
        <v>1088</v>
      </c>
      <c r="G21" s="5" t="s">
        <v>1126</v>
      </c>
      <c r="H21" s="5" t="s">
        <v>1130</v>
      </c>
      <c r="I21" s="5" t="s">
        <v>1089</v>
      </c>
      <c r="J21" s="5" t="s">
        <v>1090</v>
      </c>
      <c r="K21" s="5" t="s">
        <v>650</v>
      </c>
      <c r="L21" s="5" t="s">
        <v>1127</v>
      </c>
      <c r="M21" s="5" t="s">
        <v>1131</v>
      </c>
      <c r="N21" s="5" t="s">
        <v>1091</v>
      </c>
      <c r="O21" s="5" t="s">
        <v>1092</v>
      </c>
      <c r="P21" s="5" t="s">
        <v>1714</v>
      </c>
      <c r="Q21" s="5" t="s">
        <v>1132</v>
      </c>
      <c r="R21" s="5" t="s">
        <v>1129</v>
      </c>
      <c r="S21" s="5" t="s">
        <v>1133</v>
      </c>
      <c r="T21" s="63" t="s">
        <v>1908</v>
      </c>
      <c r="U21" s="5" t="s">
        <v>1909</v>
      </c>
    </row>
    <row r="22" spans="1:29" x14ac:dyDescent="0.3">
      <c r="A22" s="145" t="s">
        <v>1146</v>
      </c>
      <c r="B22" s="146"/>
      <c r="C22" s="5" t="s">
        <v>1529</v>
      </c>
      <c r="R22" s="5" t="s">
        <v>3799</v>
      </c>
    </row>
    <row r="23" spans="1:29" x14ac:dyDescent="0.3">
      <c r="A23" s="143" t="s">
        <v>1094</v>
      </c>
      <c r="B23" s="146"/>
      <c r="C23" s="5" t="s">
        <v>1265</v>
      </c>
      <c r="D23" s="5" t="s">
        <v>1266</v>
      </c>
      <c r="E23" s="5" t="s">
        <v>1267</v>
      </c>
      <c r="F23" s="5" t="s">
        <v>1130</v>
      </c>
      <c r="G23" s="5" t="s">
        <v>1089</v>
      </c>
      <c r="H23" s="5" t="s">
        <v>1268</v>
      </c>
      <c r="I23" s="5" t="s">
        <v>1269</v>
      </c>
      <c r="J23" s="5" t="s">
        <v>1270</v>
      </c>
      <c r="K23" s="5" t="s">
        <v>1271</v>
      </c>
      <c r="L23" s="5" t="s">
        <v>4918</v>
      </c>
      <c r="M23" s="5" t="s">
        <v>1272</v>
      </c>
      <c r="N23" s="5" t="s">
        <v>1273</v>
      </c>
      <c r="O23" s="241" t="s">
        <v>1274</v>
      </c>
      <c r="P23" s="5" t="s">
        <v>1275</v>
      </c>
      <c r="Q23" s="5" t="s">
        <v>1276</v>
      </c>
      <c r="R23" s="5" t="s">
        <v>1270</v>
      </c>
      <c r="S23" s="5" t="s">
        <v>4911</v>
      </c>
      <c r="T23" s="5" t="s">
        <v>4914</v>
      </c>
      <c r="U23" s="5" t="s">
        <v>4917</v>
      </c>
      <c r="V23" s="254" t="s">
        <v>4916</v>
      </c>
      <c r="W23" s="254" t="s">
        <v>801</v>
      </c>
      <c r="X23" s="254" t="s">
        <v>4915</v>
      </c>
      <c r="Y23" s="5" t="s">
        <v>4912</v>
      </c>
      <c r="Z23" s="63" t="s">
        <v>4919</v>
      </c>
    </row>
    <row r="24" spans="1:29" x14ac:dyDescent="0.3">
      <c r="A24" s="143" t="s">
        <v>1108</v>
      </c>
      <c r="B24" s="146"/>
      <c r="C24" s="5" t="s">
        <v>1109</v>
      </c>
      <c r="D24" s="5" t="s">
        <v>1110</v>
      </c>
      <c r="E24" s="5" t="s">
        <v>1111</v>
      </c>
      <c r="F24" s="5" t="s">
        <v>1112</v>
      </c>
    </row>
    <row r="25" spans="1:29" x14ac:dyDescent="0.3">
      <c r="A25" s="143" t="s">
        <v>1113</v>
      </c>
      <c r="B25" s="146"/>
      <c r="C25" s="5" t="s">
        <v>1114</v>
      </c>
      <c r="D25" s="5" t="s">
        <v>1115</v>
      </c>
    </row>
    <row r="26" spans="1:29" x14ac:dyDescent="0.3">
      <c r="A26" s="146" t="s">
        <v>1138</v>
      </c>
      <c r="B26" s="146"/>
      <c r="C26" s="5" t="s">
        <v>1139</v>
      </c>
    </row>
    <row r="27" spans="1:29" x14ac:dyDescent="0.3">
      <c r="A27" s="146" t="s">
        <v>1141</v>
      </c>
      <c r="B27" s="146"/>
      <c r="C27" s="5" t="s">
        <v>1259</v>
      </c>
      <c r="D27" s="5" t="s">
        <v>1257</v>
      </c>
    </row>
    <row r="28" spans="1:29" x14ac:dyDescent="0.3">
      <c r="A28" s="146" t="s">
        <v>652</v>
      </c>
      <c r="B28" s="146"/>
      <c r="D28" s="5" t="s">
        <v>1142</v>
      </c>
    </row>
    <row r="29" spans="1:29" x14ac:dyDescent="0.3">
      <c r="A29" s="157" t="s">
        <v>1147</v>
      </c>
      <c r="B29" s="146"/>
      <c r="C29" s="5" t="s">
        <v>1535</v>
      </c>
      <c r="D29" s="5" t="s">
        <v>1148</v>
      </c>
      <c r="E29" s="5" t="s">
        <v>1149</v>
      </c>
      <c r="F29" s="5" t="s">
        <v>1150</v>
      </c>
      <c r="G29" s="5" t="s">
        <v>1151</v>
      </c>
      <c r="H29" s="5" t="s">
        <v>1152</v>
      </c>
      <c r="I29" s="5" t="s">
        <v>1160</v>
      </c>
    </row>
    <row r="30" spans="1:29" x14ac:dyDescent="0.3">
      <c r="A30" s="146" t="s">
        <v>1176</v>
      </c>
      <c r="B30" s="146"/>
      <c r="C30" s="5" t="s">
        <v>1182</v>
      </c>
      <c r="D30" s="5" t="s">
        <v>1177</v>
      </c>
      <c r="E30" s="5" t="s">
        <v>789</v>
      </c>
      <c r="F30" s="5" t="s">
        <v>1178</v>
      </c>
      <c r="G30" s="5" t="s">
        <v>839</v>
      </c>
      <c r="H30" s="5" t="s">
        <v>573</v>
      </c>
      <c r="I30" s="5" t="s">
        <v>4</v>
      </c>
      <c r="J30" s="5" t="s">
        <v>1180</v>
      </c>
      <c r="K30" s="5" t="s">
        <v>1179</v>
      </c>
      <c r="L30" s="5" t="s">
        <v>1181</v>
      </c>
    </row>
    <row r="31" spans="1:29" x14ac:dyDescent="0.3">
      <c r="A31" s="157" t="s">
        <v>1617</v>
      </c>
      <c r="B31" s="146"/>
      <c r="C31" s="5" t="s">
        <v>1086</v>
      </c>
      <c r="D31" s="5" t="s">
        <v>1087</v>
      </c>
      <c r="E31" s="5" t="s">
        <v>1618</v>
      </c>
      <c r="F31" s="5" t="s">
        <v>1126</v>
      </c>
      <c r="G31" s="5" t="s">
        <v>1130</v>
      </c>
      <c r="H31" s="5" t="s">
        <v>1089</v>
      </c>
      <c r="I31" s="254" t="s">
        <v>1619</v>
      </c>
      <c r="J31" s="254" t="s">
        <v>1620</v>
      </c>
      <c r="K31" s="254" t="s">
        <v>1621</v>
      </c>
      <c r="L31" s="254" t="s">
        <v>44</v>
      </c>
      <c r="M31" s="254" t="s">
        <v>1628</v>
      </c>
      <c r="N31" s="254" t="s">
        <v>1622</v>
      </c>
      <c r="O31" s="254" t="s">
        <v>650</v>
      </c>
      <c r="P31" s="254" t="s">
        <v>4</v>
      </c>
      <c r="Q31" s="254" t="s">
        <v>1623</v>
      </c>
      <c r="R31" s="254" t="s">
        <v>1624</v>
      </c>
      <c r="S31" s="254" t="s">
        <v>1625</v>
      </c>
      <c r="T31" s="254" t="s">
        <v>44</v>
      </c>
      <c r="U31" s="254" t="s">
        <v>1629</v>
      </c>
      <c r="V31" s="254" t="s">
        <v>44</v>
      </c>
      <c r="W31" s="254" t="s">
        <v>1093</v>
      </c>
      <c r="X31" s="5" t="s">
        <v>1626</v>
      </c>
      <c r="Y31" s="5" t="s">
        <v>1132</v>
      </c>
      <c r="Z31" s="256" t="s">
        <v>1627</v>
      </c>
      <c r="AA31" s="256" t="s">
        <v>650</v>
      </c>
      <c r="AB31" s="256" t="s">
        <v>4</v>
      </c>
      <c r="AC31" s="5" t="s">
        <v>1630</v>
      </c>
    </row>
    <row r="32" spans="1:29" x14ac:dyDescent="0.3">
      <c r="A32" s="146" t="s">
        <v>1278</v>
      </c>
      <c r="B32" s="146"/>
      <c r="C32" s="5" t="s">
        <v>1530</v>
      </c>
      <c r="D32" s="5" t="s">
        <v>1279</v>
      </c>
    </row>
    <row r="33" spans="1:25" x14ac:dyDescent="0.3">
      <c r="A33" s="377" t="s">
        <v>1288</v>
      </c>
      <c r="B33" s="146"/>
      <c r="C33" s="5" t="s">
        <v>1759</v>
      </c>
      <c r="D33" s="5" t="s">
        <v>1536</v>
      </c>
      <c r="E33" s="5" t="s">
        <v>1755</v>
      </c>
      <c r="F33" s="5" t="s">
        <v>1751</v>
      </c>
      <c r="G33" s="5" t="s">
        <v>1752</v>
      </c>
      <c r="H33" s="5" t="s">
        <v>1753</v>
      </c>
      <c r="I33" s="5" t="s">
        <v>1757</v>
      </c>
      <c r="J33" s="5" t="s">
        <v>1758</v>
      </c>
      <c r="K33" s="5" t="s">
        <v>1754</v>
      </c>
      <c r="L33" s="5" t="s">
        <v>1756</v>
      </c>
      <c r="M33" s="263"/>
    </row>
    <row r="34" spans="1:25" x14ac:dyDescent="0.3">
      <c r="A34" s="146" t="s">
        <v>1295</v>
      </c>
      <c r="B34" s="146"/>
      <c r="C34" s="5" t="s">
        <v>1531</v>
      </c>
    </row>
    <row r="35" spans="1:25" x14ac:dyDescent="0.3">
      <c r="A35" s="377" t="s">
        <v>5726</v>
      </c>
      <c r="B35" s="146"/>
      <c r="C35" s="5" t="s">
        <v>5727</v>
      </c>
      <c r="D35" s="5" t="s">
        <v>1296</v>
      </c>
      <c r="E35" s="5" t="s">
        <v>1297</v>
      </c>
      <c r="F35" s="5" t="s">
        <v>1298</v>
      </c>
      <c r="G35" s="5" t="s">
        <v>791</v>
      </c>
      <c r="H35" s="5" t="s">
        <v>573</v>
      </c>
      <c r="I35" s="5" t="s">
        <v>4</v>
      </c>
      <c r="J35" s="5" t="s">
        <v>5722</v>
      </c>
      <c r="K35" s="5" t="s">
        <v>5723</v>
      </c>
      <c r="L35" s="5" t="s">
        <v>5724</v>
      </c>
    </row>
    <row r="36" spans="1:25" x14ac:dyDescent="0.3">
      <c r="A36" s="377" t="s">
        <v>1345</v>
      </c>
      <c r="B36" s="146"/>
      <c r="C36" s="5" t="s">
        <v>4943</v>
      </c>
      <c r="D36" s="5" t="s">
        <v>5253</v>
      </c>
      <c r="E36" s="63" t="s">
        <v>4944</v>
      </c>
      <c r="F36" s="5" t="s">
        <v>4945</v>
      </c>
      <c r="G36" s="5" t="s">
        <v>4946</v>
      </c>
      <c r="H36" s="5" t="s">
        <v>4947</v>
      </c>
      <c r="I36" s="5" t="s">
        <v>5245</v>
      </c>
      <c r="J36" s="5" t="s">
        <v>4948</v>
      </c>
      <c r="K36" s="63" t="s">
        <v>5246</v>
      </c>
      <c r="L36" s="241" t="s">
        <v>1090</v>
      </c>
      <c r="M36" s="254" t="s">
        <v>650</v>
      </c>
      <c r="N36" s="254" t="s">
        <v>4</v>
      </c>
      <c r="O36" s="256" t="s">
        <v>5256</v>
      </c>
      <c r="P36" s="254" t="s">
        <v>1872</v>
      </c>
      <c r="Q36" s="63" t="s">
        <v>4949</v>
      </c>
      <c r="R36" s="5" t="s">
        <v>44</v>
      </c>
      <c r="S36" s="5" t="s">
        <v>4950</v>
      </c>
      <c r="T36" s="5" t="s">
        <v>5250</v>
      </c>
      <c r="U36" s="5" t="s">
        <v>1093</v>
      </c>
      <c r="V36" s="5" t="s">
        <v>5251</v>
      </c>
      <c r="W36" s="5" t="s">
        <v>5252</v>
      </c>
      <c r="X36" s="63" t="s">
        <v>5254</v>
      </c>
      <c r="Y36" s="241" t="s">
        <v>5255</v>
      </c>
    </row>
    <row r="37" spans="1:25" x14ac:dyDescent="0.3">
      <c r="A37" s="146" t="s">
        <v>1415</v>
      </c>
      <c r="B37" s="146"/>
      <c r="C37" s="5" t="s">
        <v>1711</v>
      </c>
    </row>
    <row r="38" spans="1:25" x14ac:dyDescent="0.3">
      <c r="A38" s="157" t="s">
        <v>1636</v>
      </c>
      <c r="B38" s="146"/>
      <c r="C38" s="5" t="s">
        <v>1637</v>
      </c>
      <c r="D38" s="5" t="s">
        <v>842</v>
      </c>
      <c r="E38" s="5" t="s">
        <v>1638</v>
      </c>
      <c r="F38" s="5" t="s">
        <v>1639</v>
      </c>
      <c r="G38" s="5" t="s">
        <v>1640</v>
      </c>
    </row>
    <row r="39" spans="1:25" x14ac:dyDescent="0.3">
      <c r="A39" s="556" t="s">
        <v>5712</v>
      </c>
      <c r="B39" s="1005"/>
      <c r="C39" s="5" t="s">
        <v>5725</v>
      </c>
      <c r="D39" s="5" t="s">
        <v>5713</v>
      </c>
      <c r="E39" s="5" t="s">
        <v>5714</v>
      </c>
      <c r="F39" s="5" t="s">
        <v>5715</v>
      </c>
      <c r="G39" s="5" t="s">
        <v>5716</v>
      </c>
      <c r="H39" s="5" t="s">
        <v>5717</v>
      </c>
      <c r="I39" s="5" t="s">
        <v>5718</v>
      </c>
      <c r="J39" s="5" t="s">
        <v>5719</v>
      </c>
      <c r="K39" s="5" t="s">
        <v>5720</v>
      </c>
      <c r="L39" s="5" t="s">
        <v>5721</v>
      </c>
      <c r="M39" s="5" t="s">
        <v>573</v>
      </c>
      <c r="N39" s="5" t="s">
        <v>4</v>
      </c>
      <c r="O39" s="5" t="s">
        <v>5722</v>
      </c>
      <c r="P39" s="5" t="s">
        <v>5723</v>
      </c>
      <c r="Q39" s="5" t="s">
        <v>5724</v>
      </c>
    </row>
    <row r="40" spans="1:25" x14ac:dyDescent="0.3">
      <c r="A40" s="146" t="s">
        <v>1665</v>
      </c>
      <c r="B40" s="146"/>
      <c r="C40" s="5" t="s">
        <v>1666</v>
      </c>
      <c r="D40" s="5" t="s">
        <v>1667</v>
      </c>
      <c r="E40" s="8"/>
    </row>
    <row r="41" spans="1:25" x14ac:dyDescent="0.3">
      <c r="A41" s="146" t="s">
        <v>1668</v>
      </c>
      <c r="B41" s="146"/>
      <c r="C41" s="5" t="s">
        <v>5711</v>
      </c>
      <c r="D41" s="5" t="s">
        <v>2814</v>
      </c>
      <c r="E41" s="5" t="s">
        <v>2813</v>
      </c>
    </row>
    <row r="42" spans="1:25" x14ac:dyDescent="0.3">
      <c r="A42" s="157" t="s">
        <v>1673</v>
      </c>
      <c r="B42" s="146"/>
      <c r="C42" s="5" t="s">
        <v>1674</v>
      </c>
      <c r="D42" s="5" t="s">
        <v>1675</v>
      </c>
      <c r="E42" s="5" t="s">
        <v>1680</v>
      </c>
      <c r="F42" s="5" t="s">
        <v>774</v>
      </c>
      <c r="G42" s="242" t="s">
        <v>1677</v>
      </c>
      <c r="H42" s="241" t="s">
        <v>1676</v>
      </c>
      <c r="I42" s="5" t="s">
        <v>1678</v>
      </c>
      <c r="J42" s="5" t="s">
        <v>1681</v>
      </c>
      <c r="K42" s="5" t="s">
        <v>1679</v>
      </c>
    </row>
    <row r="43" spans="1:25" x14ac:dyDescent="0.3">
      <c r="A43" s="146" t="s">
        <v>1698</v>
      </c>
      <c r="B43" s="146"/>
      <c r="C43" s="5" t="s">
        <v>1699</v>
      </c>
      <c r="D43" s="5" t="s">
        <v>1700</v>
      </c>
    </row>
    <row r="44" spans="1:25" x14ac:dyDescent="0.3">
      <c r="A44" s="157" t="s">
        <v>1715</v>
      </c>
      <c r="B44" s="146"/>
      <c r="C44" s="5" t="s">
        <v>6780</v>
      </c>
      <c r="D44" s="5" t="s">
        <v>1726</v>
      </c>
      <c r="E44" s="5" t="s">
        <v>1727</v>
      </c>
      <c r="F44" s="5" t="s">
        <v>1728</v>
      </c>
      <c r="G44" s="5" t="s">
        <v>1731</v>
      </c>
      <c r="H44" s="5" t="s">
        <v>1729</v>
      </c>
      <c r="I44" s="5" t="s">
        <v>1730</v>
      </c>
    </row>
    <row r="45" spans="1:25" x14ac:dyDescent="0.3">
      <c r="A45" s="157" t="s">
        <v>1847</v>
      </c>
      <c r="B45" s="146"/>
      <c r="C45" s="5" t="s">
        <v>1848</v>
      </c>
    </row>
    <row r="46" spans="1:25" x14ac:dyDescent="0.3">
      <c r="A46" s="146" t="s">
        <v>1926</v>
      </c>
      <c r="B46" s="146"/>
      <c r="C46" s="5" t="s">
        <v>1927</v>
      </c>
    </row>
    <row r="47" spans="1:25" x14ac:dyDescent="0.3">
      <c r="A47" s="146" t="s">
        <v>1934</v>
      </c>
      <c r="B47" s="146"/>
      <c r="C47" s="5" t="s">
        <v>1933</v>
      </c>
    </row>
    <row r="48" spans="1:25" x14ac:dyDescent="0.3">
      <c r="A48" s="146" t="s">
        <v>1935</v>
      </c>
      <c r="B48" s="146"/>
      <c r="C48" s="5" t="s">
        <v>1936</v>
      </c>
    </row>
    <row r="49" spans="1:45" x14ac:dyDescent="0.3">
      <c r="A49" s="146" t="s">
        <v>2832</v>
      </c>
      <c r="B49" s="146"/>
      <c r="C49" s="5" t="s">
        <v>2833</v>
      </c>
    </row>
    <row r="50" spans="1:45" x14ac:dyDescent="0.3">
      <c r="A50" s="157" t="s">
        <v>3148</v>
      </c>
      <c r="B50" s="146"/>
      <c r="C50" s="5" t="s">
        <v>4721</v>
      </c>
      <c r="D50" s="5" t="s">
        <v>4722</v>
      </c>
      <c r="E50" s="5" t="s">
        <v>4732</v>
      </c>
      <c r="F50" s="5" t="s">
        <v>4734</v>
      </c>
      <c r="G50" s="5" t="s">
        <v>4733</v>
      </c>
    </row>
    <row r="51" spans="1:45" x14ac:dyDescent="0.3">
      <c r="A51" s="157" t="s">
        <v>4714</v>
      </c>
      <c r="B51" s="146"/>
      <c r="C51" s="5" t="s">
        <v>4720</v>
      </c>
      <c r="D51" s="5" t="s">
        <v>1088</v>
      </c>
      <c r="E51" s="5" t="s">
        <v>1126</v>
      </c>
      <c r="F51" s="5" t="s">
        <v>4719</v>
      </c>
      <c r="G51" s="5" t="s">
        <v>4715</v>
      </c>
      <c r="H51" s="5" t="s">
        <v>4716</v>
      </c>
      <c r="I51" s="5" t="s">
        <v>4717</v>
      </c>
      <c r="J51" s="5" t="s">
        <v>4718</v>
      </c>
    </row>
    <row r="52" spans="1:45" x14ac:dyDescent="0.3">
      <c r="A52" s="157" t="s">
        <v>5679</v>
      </c>
      <c r="B52" s="146"/>
      <c r="C52" s="5" t="s">
        <v>4943</v>
      </c>
      <c r="D52" s="5" t="s">
        <v>5225</v>
      </c>
      <c r="E52" s="5" t="s">
        <v>5232</v>
      </c>
      <c r="F52" s="5" t="s">
        <v>5226</v>
      </c>
      <c r="G52" s="5" t="s">
        <v>5227</v>
      </c>
      <c r="H52" s="5" t="s">
        <v>573</v>
      </c>
      <c r="I52" s="5" t="s">
        <v>4</v>
      </c>
      <c r="J52" s="5" t="s">
        <v>5228</v>
      </c>
      <c r="K52" s="5" t="s">
        <v>5229</v>
      </c>
      <c r="L52" s="5" t="s">
        <v>5230</v>
      </c>
      <c r="M52" s="5" t="s">
        <v>5231</v>
      </c>
      <c r="N52" s="5" t="s">
        <v>5237</v>
      </c>
    </row>
    <row r="53" spans="1:45" x14ac:dyDescent="0.3">
      <c r="A53" s="157" t="s">
        <v>3150</v>
      </c>
      <c r="B53" s="146"/>
      <c r="C53" s="5" t="s">
        <v>5681</v>
      </c>
      <c r="D53" s="5" t="s">
        <v>5690</v>
      </c>
      <c r="E53" s="5" t="s">
        <v>5682</v>
      </c>
      <c r="F53" s="5" t="s">
        <v>5691</v>
      </c>
      <c r="G53" s="5" t="s">
        <v>5692</v>
      </c>
      <c r="H53" s="5" t="s">
        <v>5683</v>
      </c>
      <c r="I53" s="5" t="s">
        <v>5688</v>
      </c>
    </row>
    <row r="54" spans="1:45" x14ac:dyDescent="0.3">
      <c r="A54" s="549" t="s">
        <v>5680</v>
      </c>
      <c r="B54" s="146"/>
      <c r="C54" s="5" t="s">
        <v>5684</v>
      </c>
      <c r="D54" s="5" t="s">
        <v>5685</v>
      </c>
      <c r="E54" s="5" t="s">
        <v>5686</v>
      </c>
    </row>
    <row r="55" spans="1:45" x14ac:dyDescent="0.3">
      <c r="A55" s="146" t="s">
        <v>2479</v>
      </c>
      <c r="B55" s="146"/>
      <c r="C55" s="5" t="s">
        <v>7086</v>
      </c>
    </row>
    <row r="56" spans="1:45" x14ac:dyDescent="0.3">
      <c r="A56" s="549" t="s">
        <v>8038</v>
      </c>
      <c r="B56" s="146"/>
      <c r="C56" s="5" t="s">
        <v>8074</v>
      </c>
      <c r="D56" s="5" t="s">
        <v>1126</v>
      </c>
      <c r="E56" s="5" t="s">
        <v>1130</v>
      </c>
      <c r="F56" s="5" t="s">
        <v>8039</v>
      </c>
      <c r="G56" s="5" t="s">
        <v>1090</v>
      </c>
      <c r="H56" s="5" t="s">
        <v>8040</v>
      </c>
      <c r="I56" s="5" t="s">
        <v>4</v>
      </c>
      <c r="J56" s="5" t="s">
        <v>8041</v>
      </c>
      <c r="K56" s="5" t="s">
        <v>8042</v>
      </c>
      <c r="L56" s="5" t="s">
        <v>8043</v>
      </c>
      <c r="M56" s="5" t="s">
        <v>8044</v>
      </c>
      <c r="N56" s="5" t="s">
        <v>8045</v>
      </c>
      <c r="O56" s="5" t="s">
        <v>8046</v>
      </c>
      <c r="P56" s="5" t="s">
        <v>8047</v>
      </c>
      <c r="Q56" s="241" t="s">
        <v>8048</v>
      </c>
      <c r="R56" s="256" t="s">
        <v>8051</v>
      </c>
      <c r="S56" s="5" t="s">
        <v>8049</v>
      </c>
      <c r="T56" s="5" t="s">
        <v>8050</v>
      </c>
      <c r="U56" s="5" t="s">
        <v>8052</v>
      </c>
      <c r="V56" s="5" t="s">
        <v>8053</v>
      </c>
      <c r="W56" s="5" t="s">
        <v>8054</v>
      </c>
      <c r="X56" s="5" t="s">
        <v>8055</v>
      </c>
      <c r="Y56" s="5" t="s">
        <v>8056</v>
      </c>
      <c r="Z56" s="5" t="s">
        <v>8057</v>
      </c>
      <c r="AA56" s="5" t="s">
        <v>8058</v>
      </c>
      <c r="AB56" s="5" t="s">
        <v>8059</v>
      </c>
      <c r="AC56" s="5" t="s">
        <v>8060</v>
      </c>
      <c r="AD56" s="5" t="s">
        <v>8062</v>
      </c>
      <c r="AE56" s="5" t="s">
        <v>8061</v>
      </c>
      <c r="AF56" s="5" t="s">
        <v>8063</v>
      </c>
      <c r="AG56" s="5" t="s">
        <v>8064</v>
      </c>
      <c r="AH56" s="5" t="s">
        <v>8065</v>
      </c>
      <c r="AI56" s="5" t="s">
        <v>8066</v>
      </c>
      <c r="AJ56" s="5" t="s">
        <v>44</v>
      </c>
      <c r="AK56" s="5" t="s">
        <v>8067</v>
      </c>
      <c r="AL56" s="5" t="s">
        <v>8068</v>
      </c>
      <c r="AM56" s="5" t="s">
        <v>804</v>
      </c>
      <c r="AN56" s="5" t="s">
        <v>8069</v>
      </c>
      <c r="AO56" s="5" t="s">
        <v>8070</v>
      </c>
      <c r="AP56" s="5" t="s">
        <v>8071</v>
      </c>
      <c r="AQ56" s="5" t="s">
        <v>8072</v>
      </c>
      <c r="AR56" s="5" t="s">
        <v>44</v>
      </c>
      <c r="AS56" s="5" t="s">
        <v>8073</v>
      </c>
    </row>
    <row r="57" spans="1:45" x14ac:dyDescent="0.3">
      <c r="A57" s="256" t="s">
        <v>8130</v>
      </c>
      <c r="C57" s="5" t="s">
        <v>8136</v>
      </c>
      <c r="D57" s="5" t="s">
        <v>8131</v>
      </c>
      <c r="E57" s="5" t="s">
        <v>8132</v>
      </c>
      <c r="F57" s="5" t="s">
        <v>8133</v>
      </c>
      <c r="G57" s="5" t="s">
        <v>8134</v>
      </c>
    </row>
    <row r="58" spans="1:45" x14ac:dyDescent="0.3">
      <c r="A58" s="256" t="s">
        <v>8138</v>
      </c>
      <c r="C58" s="5" t="s">
        <v>8137</v>
      </c>
    </row>
    <row r="59" spans="1:45" x14ac:dyDescent="0.3">
      <c r="A59" s="256" t="s">
        <v>6088</v>
      </c>
      <c r="C59" s="5" t="s">
        <v>8304</v>
      </c>
      <c r="D59" s="5" t="s">
        <v>8227</v>
      </c>
      <c r="E59" s="63" t="s">
        <v>8305</v>
      </c>
      <c r="F59" s="241" t="s">
        <v>8308</v>
      </c>
      <c r="G59" s="5" t="s">
        <v>8309</v>
      </c>
      <c r="H59" s="5" t="s">
        <v>8310</v>
      </c>
      <c r="I59" s="5" t="s">
        <v>8311</v>
      </c>
      <c r="J59" s="5" t="s">
        <v>8312</v>
      </c>
      <c r="K59" s="5" t="s">
        <v>8313</v>
      </c>
      <c r="L59" s="241" t="s">
        <v>132</v>
      </c>
      <c r="M59" s="5" t="s">
        <v>8314</v>
      </c>
      <c r="N59" s="5" t="s">
        <v>8315</v>
      </c>
      <c r="O59" s="5" t="s">
        <v>8316</v>
      </c>
      <c r="P59" s="5" t="s">
        <v>8317</v>
      </c>
      <c r="Q59" s="5" t="s">
        <v>8318</v>
      </c>
    </row>
  </sheetData>
  <mergeCells count="2">
    <mergeCell ref="A1:A2"/>
    <mergeCell ref="C1:P2"/>
  </mergeCells>
  <pageMargins left="0.7" right="0.7" top="0.75" bottom="0.75" header="0.3" footer="0.3"/>
  <pageSetup paperSize="9"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mparison">
    <tabColor rgb="FF7030A0"/>
  </sheetPr>
  <dimension ref="A2:X32"/>
  <sheetViews>
    <sheetView workbookViewId="0">
      <selection activeCell="A2" sqref="A2:H32"/>
    </sheetView>
  </sheetViews>
  <sheetFormatPr defaultRowHeight="14.4" x14ac:dyDescent="0.3"/>
  <sheetData>
    <row r="2" spans="1:24" ht="15" customHeight="1" x14ac:dyDescent="0.3">
      <c r="A2" s="1553" t="str">
        <f>CONCATENATE(CHALLANGE_draft!B3,CHAR(10),"УСТАНОВИЛ",CHALLANGE_draft!C3)</f>
        <v>Уполномоченный по правам потребителей финансовых услуг в сферах страхования, микрофинансирования, кредитной кооперации и деятельности кредитных организаций Е.Л. Писаревский (далее – Финансовый уполномоченный) по результатам рассмотрения обращения от 26.11.2020 № У-20-175174 (далее – Обращение) Истомина Владимира Васильевича (паспорт серия 60 03 № 672915; место жительства: 344092, г. Ростов-на-Дону, ул. Верная, д. 17/88; почтовый адрес: 344092, г. Ростов-на-Дону, ул. Верная, д. 17/88) (далее – Заявитель) в отношении АО СК «БАСК» (место нахождения: 652600, Кемеровская область, г. Белово, пер. Цинкзаводской, д. 8 А; почтовый адрес: 652600, Кемеровская область, г. Белово, пер. Цинкзаводской, д. 8 А; дата государственной регистрации: 07.05.1993; идентификационный номер налогоплательщика: 4202000716) (далее – Финансовая организация),
УСТАНОВИЛФинансовому уполномоченному на рассмотрение поступило Обращение в отношении Финансовой организации с требованием о взыскании неустойки за несоблюдение срока выплаты страхового возмещения по договору обязательного страхования гражданской ответственности владельцев транспортных средств (далее – ОСАГО) в размере 100 000 рублей 00 копеек.</v>
      </c>
      <c r="B2" s="1553"/>
      <c r="C2" s="1553"/>
      <c r="D2" s="1553"/>
      <c r="E2" s="1553"/>
      <c r="F2" s="1553"/>
      <c r="G2" s="1553"/>
      <c r="H2" s="1553"/>
      <c r="I2" s="1553" t="str">
        <f ca="1">CONCATENATE(CHALLANGE!C8," ",CHALLANGE!C7," (далее – Финансовый уполномоченный) по результатам рассмотрения обращения от ",TEXT(CHALLANGE!C2,"ДД.ММ.ГГГГ")," № ",CHALLANGE!C3," (далее – Обращение) ",CHALLANGE!C9," (паспорт серия ",CHALLANGE!C11,"; место жительства: ",CHALLANGE!C12,"; почтовый адрес: ",CHALLANGE!C13,") (далее – Заявитель) в отношении ",CHALLANGE!C14," (место нахождения: ",CHALLANGE!C15,"; почтовый адрес: ",CHALLANGE!C16,"; дата государственной регистрации: ",TEXT(CHALLANGE!C17,"ДД.ММ.ГГГГ"),"; идентификационный номер налогоплательщика: ",CHALLANGE!C18,"),",CHAR(10),"УСТАНОВИЛ",CHAR(10),"Финансовому уполномоченному на рассмотрение поступило Обращение в отношении ",CHALLANGE!C14," с требованием о взыскании ")</f>
        <v xml:space="preserve">Уполномоченный по правам потребителей финансовых услуг в сферах страхования, микрофинансирования, кредитной кооперации и деятельности кредитных организаций Е.Л. Писаревский (далее – Финансовый уполномоченный) по результатам рассмотрения обращения от 17.09.2019 № У-19-32531 (далее – Обращение) Герасименко Робэра Валериевича (паспорт серия 60 03 № 672915; место жительства: 344092, г. Ростов-на-Дону, ул. Верная, д. 17/88; почтовый адрес: 344092, г. Ростов-на-Дону, ул. Верная, д. 17/88) (далее – Заявитель) в отношении АО СК «Чулпан» (место нахождения: 423452, Республика Татарстан, г. Альметьевск, Альметьевский район, ул. Пушкина, д. 66, пом. 1; почтовый адрес: 423452, Республика Татарстан, г. Альметьевск, Альметьевский район, ул. Пушкина, д. 66, пом. 1; дата государственной регистрации: 04.06.2002; идентификационный номер налогоплательщика: 1644001196),
УСТАНОВИЛ
Финансовому уполномоченному на рассмотрение поступило Обращение в отношении АО СК «Чулпан» с требованием о взыскании </v>
      </c>
      <c r="J2" s="1553"/>
      <c r="K2" s="1553"/>
      <c r="L2" s="1553"/>
      <c r="M2" s="1553"/>
      <c r="N2" s="1553"/>
      <c r="O2" s="1553"/>
      <c r="P2" s="1553"/>
      <c r="Q2" s="1554" t="s">
        <v>9655</v>
      </c>
      <c r="R2" s="1554"/>
      <c r="S2" s="1554"/>
      <c r="T2" s="1554"/>
      <c r="U2" s="1554"/>
      <c r="V2" s="1554"/>
      <c r="W2" s="1554"/>
      <c r="X2" s="1554"/>
    </row>
    <row r="3" spans="1:24" x14ac:dyDescent="0.3">
      <c r="A3" s="1553"/>
      <c r="B3" s="1553"/>
      <c r="C3" s="1553"/>
      <c r="D3" s="1553"/>
      <c r="E3" s="1553"/>
      <c r="F3" s="1553"/>
      <c r="G3" s="1553"/>
      <c r="H3" s="1553"/>
      <c r="I3" s="1553"/>
      <c r="J3" s="1553"/>
      <c r="K3" s="1553"/>
      <c r="L3" s="1553"/>
      <c r="M3" s="1553"/>
      <c r="N3" s="1553"/>
      <c r="O3" s="1553"/>
      <c r="P3" s="1553"/>
      <c r="Q3" s="1554"/>
      <c r="R3" s="1554"/>
      <c r="S3" s="1554"/>
      <c r="T3" s="1554"/>
      <c r="U3" s="1554"/>
      <c r="V3" s="1554"/>
      <c r="W3" s="1554"/>
      <c r="X3" s="1554"/>
    </row>
    <row r="4" spans="1:24" x14ac:dyDescent="0.3">
      <c r="A4" s="1553"/>
      <c r="B4" s="1553"/>
      <c r="C4" s="1553"/>
      <c r="D4" s="1553"/>
      <c r="E4" s="1553"/>
      <c r="F4" s="1553"/>
      <c r="G4" s="1553"/>
      <c r="H4" s="1553"/>
      <c r="I4" s="1553"/>
      <c r="J4" s="1553"/>
      <c r="K4" s="1553"/>
      <c r="L4" s="1553"/>
      <c r="M4" s="1553"/>
      <c r="N4" s="1553"/>
      <c r="O4" s="1553"/>
      <c r="P4" s="1553"/>
      <c r="Q4" s="1554"/>
      <c r="R4" s="1554"/>
      <c r="S4" s="1554"/>
      <c r="T4" s="1554"/>
      <c r="U4" s="1554"/>
      <c r="V4" s="1554"/>
      <c r="W4" s="1554"/>
      <c r="X4" s="1554"/>
    </row>
    <row r="5" spans="1:24" x14ac:dyDescent="0.3">
      <c r="A5" s="1553"/>
      <c r="B5" s="1553"/>
      <c r="C5" s="1553"/>
      <c r="D5" s="1553"/>
      <c r="E5" s="1553"/>
      <c r="F5" s="1553"/>
      <c r="G5" s="1553"/>
      <c r="H5" s="1553"/>
      <c r="I5" s="1553"/>
      <c r="J5" s="1553"/>
      <c r="K5" s="1553"/>
      <c r="L5" s="1553"/>
      <c r="M5" s="1553"/>
      <c r="N5" s="1553"/>
      <c r="O5" s="1553"/>
      <c r="P5" s="1553"/>
      <c r="Q5" s="1554"/>
      <c r="R5" s="1554"/>
      <c r="S5" s="1554"/>
      <c r="T5" s="1554"/>
      <c r="U5" s="1554"/>
      <c r="V5" s="1554"/>
      <c r="W5" s="1554"/>
      <c r="X5" s="1554"/>
    </row>
    <row r="6" spans="1:24" x14ac:dyDescent="0.3">
      <c r="A6" s="1553"/>
      <c r="B6" s="1553"/>
      <c r="C6" s="1553"/>
      <c r="D6" s="1553"/>
      <c r="E6" s="1553"/>
      <c r="F6" s="1553"/>
      <c r="G6" s="1553"/>
      <c r="H6" s="1553"/>
      <c r="I6" s="1553"/>
      <c r="J6" s="1553"/>
      <c r="K6" s="1553"/>
      <c r="L6" s="1553"/>
      <c r="M6" s="1553"/>
      <c r="N6" s="1553"/>
      <c r="O6" s="1553"/>
      <c r="P6" s="1553"/>
      <c r="Q6" s="1554"/>
      <c r="R6" s="1554"/>
      <c r="S6" s="1554"/>
      <c r="T6" s="1554"/>
      <c r="U6" s="1554"/>
      <c r="V6" s="1554"/>
      <c r="W6" s="1554"/>
      <c r="X6" s="1554"/>
    </row>
    <row r="7" spans="1:24" x14ac:dyDescent="0.3">
      <c r="A7" s="1553"/>
      <c r="B7" s="1553"/>
      <c r="C7" s="1553"/>
      <c r="D7" s="1553"/>
      <c r="E7" s="1553"/>
      <c r="F7" s="1553"/>
      <c r="G7" s="1553"/>
      <c r="H7" s="1553"/>
      <c r="I7" s="1553"/>
      <c r="J7" s="1553"/>
      <c r="K7" s="1553"/>
      <c r="L7" s="1553"/>
      <c r="M7" s="1553"/>
      <c r="N7" s="1553"/>
      <c r="O7" s="1553"/>
      <c r="P7" s="1553"/>
      <c r="Q7" s="1554"/>
      <c r="R7" s="1554"/>
      <c r="S7" s="1554"/>
      <c r="T7" s="1554"/>
      <c r="U7" s="1554"/>
      <c r="V7" s="1554"/>
      <c r="W7" s="1554"/>
      <c r="X7" s="1554"/>
    </row>
    <row r="8" spans="1:24" x14ac:dyDescent="0.3">
      <c r="A8" s="1553"/>
      <c r="B8" s="1553"/>
      <c r="C8" s="1553"/>
      <c r="D8" s="1553"/>
      <c r="E8" s="1553"/>
      <c r="F8" s="1553"/>
      <c r="G8" s="1553"/>
      <c r="H8" s="1553"/>
      <c r="I8" s="1553"/>
      <c r="J8" s="1553"/>
      <c r="K8" s="1553"/>
      <c r="L8" s="1553"/>
      <c r="M8" s="1553"/>
      <c r="N8" s="1553"/>
      <c r="O8" s="1553"/>
      <c r="P8" s="1553"/>
      <c r="Q8" s="1554"/>
      <c r="R8" s="1554"/>
      <c r="S8" s="1554"/>
      <c r="T8" s="1554"/>
      <c r="U8" s="1554"/>
      <c r="V8" s="1554"/>
      <c r="W8" s="1554"/>
      <c r="X8" s="1554"/>
    </row>
    <row r="9" spans="1:24" x14ac:dyDescent="0.3">
      <c r="A9" s="1553"/>
      <c r="B9" s="1553"/>
      <c r="C9" s="1553"/>
      <c r="D9" s="1553"/>
      <c r="E9" s="1553"/>
      <c r="F9" s="1553"/>
      <c r="G9" s="1553"/>
      <c r="H9" s="1553"/>
      <c r="I9" s="1553"/>
      <c r="J9" s="1553"/>
      <c r="K9" s="1553"/>
      <c r="L9" s="1553"/>
      <c r="M9" s="1553"/>
      <c r="N9" s="1553"/>
      <c r="O9" s="1553"/>
      <c r="P9" s="1553"/>
      <c r="Q9" s="1554"/>
      <c r="R9" s="1554"/>
      <c r="S9" s="1554"/>
      <c r="T9" s="1554"/>
      <c r="U9" s="1554"/>
      <c r="V9" s="1554"/>
      <c r="W9" s="1554"/>
      <c r="X9" s="1554"/>
    </row>
    <row r="10" spans="1:24" x14ac:dyDescent="0.3">
      <c r="A10" s="1553"/>
      <c r="B10" s="1553"/>
      <c r="C10" s="1553"/>
      <c r="D10" s="1553"/>
      <c r="E10" s="1553"/>
      <c r="F10" s="1553"/>
      <c r="G10" s="1553"/>
      <c r="H10" s="1553"/>
      <c r="I10" s="1553"/>
      <c r="J10" s="1553"/>
      <c r="K10" s="1553"/>
      <c r="L10" s="1553"/>
      <c r="M10" s="1553"/>
      <c r="N10" s="1553"/>
      <c r="O10" s="1553"/>
      <c r="P10" s="1553"/>
      <c r="Q10" s="1554"/>
      <c r="R10" s="1554"/>
      <c r="S10" s="1554"/>
      <c r="T10" s="1554"/>
      <c r="U10" s="1554"/>
      <c r="V10" s="1554"/>
      <c r="W10" s="1554"/>
      <c r="X10" s="1554"/>
    </row>
    <row r="11" spans="1:24" x14ac:dyDescent="0.3">
      <c r="A11" s="1553"/>
      <c r="B11" s="1553"/>
      <c r="C11" s="1553"/>
      <c r="D11" s="1553"/>
      <c r="E11" s="1553"/>
      <c r="F11" s="1553"/>
      <c r="G11" s="1553"/>
      <c r="H11" s="1553"/>
      <c r="I11" s="1553"/>
      <c r="J11" s="1553"/>
      <c r="K11" s="1553"/>
      <c r="L11" s="1553"/>
      <c r="M11" s="1553"/>
      <c r="N11" s="1553"/>
      <c r="O11" s="1553"/>
      <c r="P11" s="1553"/>
      <c r="Q11" s="1554"/>
      <c r="R11" s="1554"/>
      <c r="S11" s="1554"/>
      <c r="T11" s="1554"/>
      <c r="U11" s="1554"/>
      <c r="V11" s="1554"/>
      <c r="W11" s="1554"/>
      <c r="X11" s="1554"/>
    </row>
    <row r="12" spans="1:24" x14ac:dyDescent="0.3">
      <c r="A12" s="1553"/>
      <c r="B12" s="1553"/>
      <c r="C12" s="1553"/>
      <c r="D12" s="1553"/>
      <c r="E12" s="1553"/>
      <c r="F12" s="1553"/>
      <c r="G12" s="1553"/>
      <c r="H12" s="1553"/>
      <c r="I12" s="1553"/>
      <c r="J12" s="1553"/>
      <c r="K12" s="1553"/>
      <c r="L12" s="1553"/>
      <c r="M12" s="1553"/>
      <c r="N12" s="1553"/>
      <c r="O12" s="1553"/>
      <c r="P12" s="1553"/>
      <c r="Q12" s="1554"/>
      <c r="R12" s="1554"/>
      <c r="S12" s="1554"/>
      <c r="T12" s="1554"/>
      <c r="U12" s="1554"/>
      <c r="V12" s="1554"/>
      <c r="W12" s="1554"/>
      <c r="X12" s="1554"/>
    </row>
    <row r="13" spans="1:24" x14ac:dyDescent="0.3">
      <c r="A13" s="1553"/>
      <c r="B13" s="1553"/>
      <c r="C13" s="1553"/>
      <c r="D13" s="1553"/>
      <c r="E13" s="1553"/>
      <c r="F13" s="1553"/>
      <c r="G13" s="1553"/>
      <c r="H13" s="1553"/>
      <c r="I13" s="1553"/>
      <c r="J13" s="1553"/>
      <c r="K13" s="1553"/>
      <c r="L13" s="1553"/>
      <c r="M13" s="1553"/>
      <c r="N13" s="1553"/>
      <c r="O13" s="1553"/>
      <c r="P13" s="1553"/>
      <c r="Q13" s="1554"/>
      <c r="R13" s="1554"/>
      <c r="S13" s="1554"/>
      <c r="T13" s="1554"/>
      <c r="U13" s="1554"/>
      <c r="V13" s="1554"/>
      <c r="W13" s="1554"/>
      <c r="X13" s="1554"/>
    </row>
    <row r="14" spans="1:24" x14ac:dyDescent="0.3">
      <c r="A14" s="1553"/>
      <c r="B14" s="1553"/>
      <c r="C14" s="1553"/>
      <c r="D14" s="1553"/>
      <c r="E14" s="1553"/>
      <c r="F14" s="1553"/>
      <c r="G14" s="1553"/>
      <c r="H14" s="1553"/>
      <c r="I14" s="1553"/>
      <c r="J14" s="1553"/>
      <c r="K14" s="1553"/>
      <c r="L14" s="1553"/>
      <c r="M14" s="1553"/>
      <c r="N14" s="1553"/>
      <c r="O14" s="1553"/>
      <c r="P14" s="1553"/>
      <c r="Q14" s="1554"/>
      <c r="R14" s="1554"/>
      <c r="S14" s="1554"/>
      <c r="T14" s="1554"/>
      <c r="U14" s="1554"/>
      <c r="V14" s="1554"/>
      <c r="W14" s="1554"/>
      <c r="X14" s="1554"/>
    </row>
    <row r="15" spans="1:24" x14ac:dyDescent="0.3">
      <c r="A15" s="1553"/>
      <c r="B15" s="1553"/>
      <c r="C15" s="1553"/>
      <c r="D15" s="1553"/>
      <c r="E15" s="1553"/>
      <c r="F15" s="1553"/>
      <c r="G15" s="1553"/>
      <c r="H15" s="1553"/>
      <c r="I15" s="1553"/>
      <c r="J15" s="1553"/>
      <c r="K15" s="1553"/>
      <c r="L15" s="1553"/>
      <c r="M15" s="1553"/>
      <c r="N15" s="1553"/>
      <c r="O15" s="1553"/>
      <c r="P15" s="1553"/>
      <c r="Q15" s="1554"/>
      <c r="R15" s="1554"/>
      <c r="S15" s="1554"/>
      <c r="T15" s="1554"/>
      <c r="U15" s="1554"/>
      <c r="V15" s="1554"/>
      <c r="W15" s="1554"/>
      <c r="X15" s="1554"/>
    </row>
    <row r="16" spans="1:24" x14ac:dyDescent="0.3">
      <c r="A16" s="1553"/>
      <c r="B16" s="1553"/>
      <c r="C16" s="1553"/>
      <c r="D16" s="1553"/>
      <c r="E16" s="1553"/>
      <c r="F16" s="1553"/>
      <c r="G16" s="1553"/>
      <c r="H16" s="1553"/>
      <c r="I16" s="1553"/>
      <c r="J16" s="1553"/>
      <c r="K16" s="1553"/>
      <c r="L16" s="1553"/>
      <c r="M16" s="1553"/>
      <c r="N16" s="1553"/>
      <c r="O16" s="1553"/>
      <c r="P16" s="1553"/>
      <c r="Q16" s="1554"/>
      <c r="R16" s="1554"/>
      <c r="S16" s="1554"/>
      <c r="T16" s="1554"/>
      <c r="U16" s="1554"/>
      <c r="V16" s="1554"/>
      <c r="W16" s="1554"/>
      <c r="X16" s="1554"/>
    </row>
    <row r="17" spans="1:24" x14ac:dyDescent="0.3">
      <c r="A17" s="1553"/>
      <c r="B17" s="1553"/>
      <c r="C17" s="1553"/>
      <c r="D17" s="1553"/>
      <c r="E17" s="1553"/>
      <c r="F17" s="1553"/>
      <c r="G17" s="1553"/>
      <c r="H17" s="1553"/>
      <c r="I17" s="1553"/>
      <c r="J17" s="1553"/>
      <c r="K17" s="1553"/>
      <c r="L17" s="1553"/>
      <c r="M17" s="1553"/>
      <c r="N17" s="1553"/>
      <c r="O17" s="1553"/>
      <c r="P17" s="1553"/>
      <c r="Q17" s="1554"/>
      <c r="R17" s="1554"/>
      <c r="S17" s="1554"/>
      <c r="T17" s="1554"/>
      <c r="U17" s="1554"/>
      <c r="V17" s="1554"/>
      <c r="W17" s="1554"/>
      <c r="X17" s="1554"/>
    </row>
    <row r="18" spans="1:24" x14ac:dyDescent="0.3">
      <c r="A18" s="1553"/>
      <c r="B18" s="1553"/>
      <c r="C18" s="1553"/>
      <c r="D18" s="1553"/>
      <c r="E18" s="1553"/>
      <c r="F18" s="1553"/>
      <c r="G18" s="1553"/>
      <c r="H18" s="1553"/>
      <c r="I18" s="1553"/>
      <c r="J18" s="1553"/>
      <c r="K18" s="1553"/>
      <c r="L18" s="1553"/>
      <c r="M18" s="1553"/>
      <c r="N18" s="1553"/>
      <c r="O18" s="1553"/>
      <c r="P18" s="1553"/>
      <c r="Q18" s="1554"/>
      <c r="R18" s="1554"/>
      <c r="S18" s="1554"/>
      <c r="T18" s="1554"/>
      <c r="U18" s="1554"/>
      <c r="V18" s="1554"/>
      <c r="W18" s="1554"/>
      <c r="X18" s="1554"/>
    </row>
    <row r="19" spans="1:24" x14ac:dyDescent="0.3">
      <c r="A19" s="1553"/>
      <c r="B19" s="1553"/>
      <c r="C19" s="1553"/>
      <c r="D19" s="1553"/>
      <c r="E19" s="1553"/>
      <c r="F19" s="1553"/>
      <c r="G19" s="1553"/>
      <c r="H19" s="1553"/>
      <c r="I19" s="1553"/>
      <c r="J19" s="1553"/>
      <c r="K19" s="1553"/>
      <c r="L19" s="1553"/>
      <c r="M19" s="1553"/>
      <c r="N19" s="1553"/>
      <c r="O19" s="1553"/>
      <c r="P19" s="1553"/>
      <c r="Q19" s="1554"/>
      <c r="R19" s="1554"/>
      <c r="S19" s="1554"/>
      <c r="T19" s="1554"/>
      <c r="U19" s="1554"/>
      <c r="V19" s="1554"/>
      <c r="W19" s="1554"/>
      <c r="X19" s="1554"/>
    </row>
    <row r="20" spans="1:24" x14ac:dyDescent="0.3">
      <c r="A20" s="1553"/>
      <c r="B20" s="1553"/>
      <c r="C20" s="1553"/>
      <c r="D20" s="1553"/>
      <c r="E20" s="1553"/>
      <c r="F20" s="1553"/>
      <c r="G20" s="1553"/>
      <c r="H20" s="1553"/>
      <c r="I20" s="1553"/>
      <c r="J20" s="1553"/>
      <c r="K20" s="1553"/>
      <c r="L20" s="1553"/>
      <c r="M20" s="1553"/>
      <c r="N20" s="1553"/>
      <c r="O20" s="1553"/>
      <c r="P20" s="1553"/>
      <c r="Q20" s="1554"/>
      <c r="R20" s="1554"/>
      <c r="S20" s="1554"/>
      <c r="T20" s="1554"/>
      <c r="U20" s="1554"/>
      <c r="V20" s="1554"/>
      <c r="W20" s="1554"/>
      <c r="X20" s="1554"/>
    </row>
    <row r="21" spans="1:24" x14ac:dyDescent="0.3">
      <c r="A21" s="1553"/>
      <c r="B21" s="1553"/>
      <c r="C21" s="1553"/>
      <c r="D21" s="1553"/>
      <c r="E21" s="1553"/>
      <c r="F21" s="1553"/>
      <c r="G21" s="1553"/>
      <c r="H21" s="1553"/>
      <c r="I21" s="1553"/>
      <c r="J21" s="1553"/>
      <c r="K21" s="1553"/>
      <c r="L21" s="1553"/>
      <c r="M21" s="1553"/>
      <c r="N21" s="1553"/>
      <c r="O21" s="1553"/>
      <c r="P21" s="1553"/>
      <c r="Q21" s="1554"/>
      <c r="R21" s="1554"/>
      <c r="S21" s="1554"/>
      <c r="T21" s="1554"/>
      <c r="U21" s="1554"/>
      <c r="V21" s="1554"/>
      <c r="W21" s="1554"/>
      <c r="X21" s="1554"/>
    </row>
    <row r="22" spans="1:24" x14ac:dyDescent="0.3">
      <c r="A22" s="1553"/>
      <c r="B22" s="1553"/>
      <c r="C22" s="1553"/>
      <c r="D22" s="1553"/>
      <c r="E22" s="1553"/>
      <c r="F22" s="1553"/>
      <c r="G22" s="1553"/>
      <c r="H22" s="1553"/>
      <c r="I22" s="1553"/>
      <c r="J22" s="1553"/>
      <c r="K22" s="1553"/>
      <c r="L22" s="1553"/>
      <c r="M22" s="1553"/>
      <c r="N22" s="1553"/>
      <c r="O22" s="1553"/>
      <c r="P22" s="1553"/>
      <c r="Q22" s="1554"/>
      <c r="R22" s="1554"/>
      <c r="S22" s="1554"/>
      <c r="T22" s="1554"/>
      <c r="U22" s="1554"/>
      <c r="V22" s="1554"/>
      <c r="W22" s="1554"/>
      <c r="X22" s="1554"/>
    </row>
    <row r="23" spans="1:24" x14ac:dyDescent="0.3">
      <c r="A23" s="1553"/>
      <c r="B23" s="1553"/>
      <c r="C23" s="1553"/>
      <c r="D23" s="1553"/>
      <c r="E23" s="1553"/>
      <c r="F23" s="1553"/>
      <c r="G23" s="1553"/>
      <c r="H23" s="1553"/>
      <c r="I23" s="1553"/>
      <c r="J23" s="1553"/>
      <c r="K23" s="1553"/>
      <c r="L23" s="1553"/>
      <c r="M23" s="1553"/>
      <c r="N23" s="1553"/>
      <c r="O23" s="1553"/>
      <c r="P23" s="1553"/>
      <c r="Q23" s="1554"/>
      <c r="R23" s="1554"/>
      <c r="S23" s="1554"/>
      <c r="T23" s="1554"/>
      <c r="U23" s="1554"/>
      <c r="V23" s="1554"/>
      <c r="W23" s="1554"/>
      <c r="X23" s="1554"/>
    </row>
    <row r="24" spans="1:24" x14ac:dyDescent="0.3">
      <c r="A24" s="1553"/>
      <c r="B24" s="1553"/>
      <c r="C24" s="1553"/>
      <c r="D24" s="1553"/>
      <c r="E24" s="1553"/>
      <c r="F24" s="1553"/>
      <c r="G24" s="1553"/>
      <c r="H24" s="1553"/>
      <c r="I24" s="1553"/>
      <c r="J24" s="1553"/>
      <c r="K24" s="1553"/>
      <c r="L24" s="1553"/>
      <c r="M24" s="1553"/>
      <c r="N24" s="1553"/>
      <c r="O24" s="1553"/>
      <c r="P24" s="1553"/>
      <c r="Q24" s="1554"/>
      <c r="R24" s="1554"/>
      <c r="S24" s="1554"/>
      <c r="T24" s="1554"/>
      <c r="U24" s="1554"/>
      <c r="V24" s="1554"/>
      <c r="W24" s="1554"/>
      <c r="X24" s="1554"/>
    </row>
    <row r="25" spans="1:24" x14ac:dyDescent="0.3">
      <c r="A25" s="1553"/>
      <c r="B25" s="1553"/>
      <c r="C25" s="1553"/>
      <c r="D25" s="1553"/>
      <c r="E25" s="1553"/>
      <c r="F25" s="1553"/>
      <c r="G25" s="1553"/>
      <c r="H25" s="1553"/>
      <c r="I25" s="1553"/>
      <c r="J25" s="1553"/>
      <c r="K25" s="1553"/>
      <c r="L25" s="1553"/>
      <c r="M25" s="1553"/>
      <c r="N25" s="1553"/>
      <c r="O25" s="1553"/>
      <c r="P25" s="1553"/>
      <c r="Q25" s="1554"/>
      <c r="R25" s="1554"/>
      <c r="S25" s="1554"/>
      <c r="T25" s="1554"/>
      <c r="U25" s="1554"/>
      <c r="V25" s="1554"/>
      <c r="W25" s="1554"/>
      <c r="X25" s="1554"/>
    </row>
    <row r="26" spans="1:24" x14ac:dyDescent="0.3">
      <c r="A26" s="1553"/>
      <c r="B26" s="1553"/>
      <c r="C26" s="1553"/>
      <c r="D26" s="1553"/>
      <c r="E26" s="1553"/>
      <c r="F26" s="1553"/>
      <c r="G26" s="1553"/>
      <c r="H26" s="1553"/>
      <c r="I26" s="1553"/>
      <c r="J26" s="1553"/>
      <c r="K26" s="1553"/>
      <c r="L26" s="1553"/>
      <c r="M26" s="1553"/>
      <c r="N26" s="1553"/>
      <c r="O26" s="1553"/>
      <c r="P26" s="1553"/>
      <c r="Q26" s="1554"/>
      <c r="R26" s="1554"/>
      <c r="S26" s="1554"/>
      <c r="T26" s="1554"/>
      <c r="U26" s="1554"/>
      <c r="V26" s="1554"/>
      <c r="W26" s="1554"/>
      <c r="X26" s="1554"/>
    </row>
    <row r="27" spans="1:24" x14ac:dyDescent="0.3">
      <c r="A27" s="1553"/>
      <c r="B27" s="1553"/>
      <c r="C27" s="1553"/>
      <c r="D27" s="1553"/>
      <c r="E27" s="1553"/>
      <c r="F27" s="1553"/>
      <c r="G27" s="1553"/>
      <c r="H27" s="1553"/>
      <c r="I27" s="1553"/>
      <c r="J27" s="1553"/>
      <c r="K27" s="1553"/>
      <c r="L27" s="1553"/>
      <c r="M27" s="1553"/>
      <c r="N27" s="1553"/>
      <c r="O27" s="1553"/>
      <c r="P27" s="1553"/>
      <c r="Q27" s="1554"/>
      <c r="R27" s="1554"/>
      <c r="S27" s="1554"/>
      <c r="T27" s="1554"/>
      <c r="U27" s="1554"/>
      <c r="V27" s="1554"/>
      <c r="W27" s="1554"/>
      <c r="X27" s="1554"/>
    </row>
    <row r="28" spans="1:24" x14ac:dyDescent="0.3">
      <c r="A28" s="1553"/>
      <c r="B28" s="1553"/>
      <c r="C28" s="1553"/>
      <c r="D28" s="1553"/>
      <c r="E28" s="1553"/>
      <c r="F28" s="1553"/>
      <c r="G28" s="1553"/>
      <c r="H28" s="1553"/>
      <c r="I28" s="1553"/>
      <c r="J28" s="1553"/>
      <c r="K28" s="1553"/>
      <c r="L28" s="1553"/>
      <c r="M28" s="1553"/>
      <c r="N28" s="1553"/>
      <c r="O28" s="1553"/>
      <c r="P28" s="1553"/>
      <c r="Q28" s="1554"/>
      <c r="R28" s="1554"/>
      <c r="S28" s="1554"/>
      <c r="T28" s="1554"/>
      <c r="U28" s="1554"/>
      <c r="V28" s="1554"/>
      <c r="W28" s="1554"/>
      <c r="X28" s="1554"/>
    </row>
    <row r="29" spans="1:24" x14ac:dyDescent="0.3">
      <c r="A29" s="1553"/>
      <c r="B29" s="1553"/>
      <c r="C29" s="1553"/>
      <c r="D29" s="1553"/>
      <c r="E29" s="1553"/>
      <c r="F29" s="1553"/>
      <c r="G29" s="1553"/>
      <c r="H29" s="1553"/>
      <c r="I29" s="1553"/>
      <c r="J29" s="1553"/>
      <c r="K29" s="1553"/>
      <c r="L29" s="1553"/>
      <c r="M29" s="1553"/>
      <c r="N29" s="1553"/>
      <c r="O29" s="1553"/>
      <c r="P29" s="1553"/>
      <c r="Q29" s="1554"/>
      <c r="R29" s="1554"/>
      <c r="S29" s="1554"/>
      <c r="T29" s="1554"/>
      <c r="U29" s="1554"/>
      <c r="V29" s="1554"/>
      <c r="W29" s="1554"/>
      <c r="X29" s="1554"/>
    </row>
    <row r="30" spans="1:24" x14ac:dyDescent="0.3">
      <c r="A30" s="1553"/>
      <c r="B30" s="1553"/>
      <c r="C30" s="1553"/>
      <c r="D30" s="1553"/>
      <c r="E30" s="1553"/>
      <c r="F30" s="1553"/>
      <c r="G30" s="1553"/>
      <c r="H30" s="1553"/>
      <c r="I30" s="1553"/>
      <c r="J30" s="1553"/>
      <c r="K30" s="1553"/>
      <c r="L30" s="1553"/>
      <c r="M30" s="1553"/>
      <c r="N30" s="1553"/>
      <c r="O30" s="1553"/>
      <c r="P30" s="1553"/>
      <c r="Q30" s="1554"/>
      <c r="R30" s="1554"/>
      <c r="S30" s="1554"/>
      <c r="T30" s="1554"/>
      <c r="U30" s="1554"/>
      <c r="V30" s="1554"/>
      <c r="W30" s="1554"/>
      <c r="X30" s="1554"/>
    </row>
    <row r="31" spans="1:24" x14ac:dyDescent="0.3">
      <c r="A31" s="1553"/>
      <c r="B31" s="1553"/>
      <c r="C31" s="1553"/>
      <c r="D31" s="1553"/>
      <c r="E31" s="1553"/>
      <c r="F31" s="1553"/>
      <c r="G31" s="1553"/>
      <c r="H31" s="1553"/>
      <c r="I31" s="1553"/>
      <c r="J31" s="1553"/>
      <c r="K31" s="1553"/>
      <c r="L31" s="1553"/>
      <c r="M31" s="1553"/>
      <c r="N31" s="1553"/>
      <c r="O31" s="1553"/>
      <c r="P31" s="1553"/>
      <c r="Q31" s="1554"/>
      <c r="R31" s="1554"/>
      <c r="S31" s="1554"/>
      <c r="T31" s="1554"/>
      <c r="U31" s="1554"/>
      <c r="V31" s="1554"/>
      <c r="W31" s="1554"/>
      <c r="X31" s="1554"/>
    </row>
    <row r="32" spans="1:24" x14ac:dyDescent="0.3">
      <c r="A32" s="1553"/>
      <c r="B32" s="1553"/>
      <c r="C32" s="1553"/>
      <c r="D32" s="1553"/>
      <c r="E32" s="1553"/>
      <c r="F32" s="1553"/>
      <c r="G32" s="1553"/>
      <c r="H32" s="1553"/>
      <c r="I32" s="1553"/>
      <c r="J32" s="1553"/>
      <c r="K32" s="1553"/>
      <c r="L32" s="1553"/>
      <c r="M32" s="1553"/>
      <c r="N32" s="1553"/>
      <c r="O32" s="1553"/>
      <c r="P32" s="1553"/>
      <c r="Q32" s="1554"/>
      <c r="R32" s="1554"/>
      <c r="S32" s="1554"/>
      <c r="T32" s="1554"/>
      <c r="U32" s="1554"/>
      <c r="V32" s="1554"/>
      <c r="W32" s="1554"/>
      <c r="X32" s="1554"/>
    </row>
  </sheetData>
  <mergeCells count="3">
    <mergeCell ref="A2:H32"/>
    <mergeCell ref="I2:P32"/>
    <mergeCell ref="Q2:X3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tabColor rgb="FFC00000"/>
  </sheetPr>
  <dimension ref="A1:HA39"/>
  <sheetViews>
    <sheetView workbookViewId="0">
      <pane xSplit="2" ySplit="1" topLeftCell="H2" activePane="bottomRight" state="frozen"/>
      <selection pane="topRight" activeCell="C1" sqref="C1"/>
      <selection pane="bottomLeft" activeCell="A2" sqref="A2"/>
      <selection pane="bottomRight" activeCell="BA20" sqref="BA20"/>
    </sheetView>
  </sheetViews>
  <sheetFormatPr defaultRowHeight="14.4" outlineLevelCol="1" x14ac:dyDescent="0.3"/>
  <cols>
    <col min="1" max="1" width="28.88671875" customWidth="1"/>
    <col min="2" max="2" width="10.5546875" customWidth="1"/>
    <col min="3" max="7" width="9.88671875" style="7" hidden="1" customWidth="1" outlineLevel="1"/>
    <col min="8" max="8" width="9.88671875" style="7" customWidth="1" collapsed="1"/>
    <col min="9" max="13" width="9.88671875" style="7" hidden="1" customWidth="1" outlineLevel="1"/>
    <col min="14" max="14" width="9.88671875" style="7" customWidth="1" collapsed="1"/>
    <col min="15" max="17" width="10.109375" style="7" hidden="1" customWidth="1" outlineLevel="1"/>
    <col min="18" max="18" width="10.109375" style="7" customWidth="1" collapsed="1"/>
    <col min="19" max="22" width="10.6640625" hidden="1" customWidth="1" outlineLevel="1"/>
    <col min="23" max="23" width="9.88671875" style="7" customWidth="1" collapsed="1"/>
    <col min="24" max="28" width="10.6640625" hidden="1" customWidth="1" outlineLevel="1"/>
    <col min="29" max="29" width="9.88671875" customWidth="1" collapsed="1"/>
    <col min="30" max="34" width="9.88671875" hidden="1" customWidth="1" outlineLevel="1"/>
    <col min="35" max="35" width="9.44140625" customWidth="1" collapsed="1"/>
    <col min="36" max="40" width="9.88671875" hidden="1" customWidth="1" outlineLevel="1"/>
    <col min="41" max="41" width="8.6640625" collapsed="1"/>
    <col min="42" max="46" width="9.88671875" hidden="1" customWidth="1" outlineLevel="1"/>
    <col min="47" max="47" width="8.6640625" collapsed="1"/>
    <col min="48" max="52" width="9.88671875" hidden="1" customWidth="1" outlineLevel="1"/>
    <col min="53" max="53" width="8.6640625" collapsed="1"/>
    <col min="54" max="58" width="9.88671875" hidden="1" customWidth="1" outlineLevel="1"/>
    <col min="59" max="59" width="8.6640625" collapsed="1"/>
    <col min="60" max="64" width="9.88671875" hidden="1" customWidth="1" outlineLevel="1"/>
    <col min="65" max="65" width="8.6640625" collapsed="1"/>
    <col min="66" max="70" width="9.88671875" hidden="1" customWidth="1" outlineLevel="1"/>
    <col min="71" max="71" width="9.109375" collapsed="1"/>
    <col min="72" max="76" width="9.88671875" hidden="1" customWidth="1" outlineLevel="1"/>
    <col min="77" max="77" width="9.109375" collapsed="1"/>
    <col min="78" max="82" width="9.88671875" hidden="1" customWidth="1" outlineLevel="1"/>
    <col min="83" max="83" width="9.109375" collapsed="1"/>
    <col min="84" max="88" width="9.88671875" hidden="1" customWidth="1" outlineLevel="1"/>
    <col min="89" max="89" width="9.109375" collapsed="1"/>
    <col min="90" max="94" width="9.88671875" hidden="1" customWidth="1" outlineLevel="1"/>
    <col min="95" max="95" width="9.109375" collapsed="1"/>
    <col min="96" max="100" width="9.88671875" hidden="1" customWidth="1" outlineLevel="1"/>
    <col min="101" max="101" width="9.109375" collapsed="1"/>
    <col min="102" max="106" width="9.88671875" hidden="1" customWidth="1" outlineLevel="1"/>
    <col min="107" max="107" width="9.109375" collapsed="1"/>
    <col min="108" max="112" width="9.88671875" hidden="1" customWidth="1" outlineLevel="1"/>
    <col min="113" max="113" width="9.109375" collapsed="1"/>
    <col min="114" max="118" width="9.88671875" hidden="1" customWidth="1" outlineLevel="1"/>
    <col min="119" max="119" width="9.109375" collapsed="1"/>
    <col min="120" max="124" width="9.88671875" hidden="1" customWidth="1" outlineLevel="1"/>
    <col min="125" max="125" width="9.109375" collapsed="1"/>
    <col min="126" max="130" width="9.88671875" hidden="1" customWidth="1" outlineLevel="1"/>
    <col min="131" max="131" width="9.109375" collapsed="1"/>
    <col min="132" max="136" width="9.88671875" hidden="1" customWidth="1" outlineLevel="1"/>
    <col min="137" max="137" width="9.109375" collapsed="1"/>
    <col min="138" max="142" width="9.88671875" hidden="1" customWidth="1" outlineLevel="1"/>
    <col min="143" max="143" width="9.109375" collapsed="1"/>
    <col min="144" max="148" width="9.88671875" hidden="1" customWidth="1" outlineLevel="1"/>
    <col min="149" max="149" width="9.109375" collapsed="1"/>
    <col min="150" max="154" width="9.88671875" hidden="1" customWidth="1" outlineLevel="1"/>
    <col min="155" max="155" width="9.109375" collapsed="1"/>
    <col min="156" max="160" width="9.88671875" hidden="1" customWidth="1" outlineLevel="1"/>
    <col min="161" max="161" width="9.109375" collapsed="1"/>
    <col min="162" max="166" width="9.88671875" hidden="1" customWidth="1" outlineLevel="1"/>
    <col min="167" max="167" width="9.109375" collapsed="1"/>
    <col min="168" max="172" width="9.88671875" hidden="1" customWidth="1" outlineLevel="1"/>
    <col min="173" max="173" width="9.109375" collapsed="1"/>
    <col min="174" max="178" width="9.88671875" hidden="1" customWidth="1" outlineLevel="1"/>
    <col min="179" max="179" width="9.109375" collapsed="1"/>
    <col min="180" max="184" width="9.88671875" hidden="1" customWidth="1" outlineLevel="1"/>
    <col min="185" max="185" width="9.109375" collapsed="1"/>
    <col min="186" max="190" width="9.88671875" hidden="1" customWidth="1" outlineLevel="1"/>
    <col min="191" max="191" width="9.109375" collapsed="1"/>
    <col min="192" max="196" width="9.88671875" hidden="1" customWidth="1" outlineLevel="1"/>
    <col min="197" max="197" width="9.109375" collapsed="1"/>
    <col min="198" max="202" width="9.88671875" hidden="1" customWidth="1" outlineLevel="1"/>
    <col min="203" max="203" width="9.109375" collapsed="1"/>
    <col min="204" max="208" width="9.88671875" hidden="1" customWidth="1" outlineLevel="1"/>
    <col min="209" max="209" width="9.109375" collapsed="1"/>
  </cols>
  <sheetData>
    <row r="1" spans="1:209" ht="15.6" thickTop="1" thickBot="1" x14ac:dyDescent="0.35">
      <c r="A1" s="730"/>
      <c r="B1" s="731"/>
      <c r="C1" s="429">
        <v>43913</v>
      </c>
      <c r="D1" s="429">
        <v>43914</v>
      </c>
      <c r="E1" s="429">
        <v>43915</v>
      </c>
      <c r="F1" s="429">
        <v>43916</v>
      </c>
      <c r="G1" s="438">
        <v>43917</v>
      </c>
      <c r="H1" s="445" t="s">
        <v>5305</v>
      </c>
      <c r="I1" s="442">
        <v>43927</v>
      </c>
      <c r="J1" s="429">
        <v>43928</v>
      </c>
      <c r="K1" s="429">
        <v>43929</v>
      </c>
      <c r="L1" s="429">
        <v>43930</v>
      </c>
      <c r="M1" s="438">
        <v>43931</v>
      </c>
      <c r="N1" s="445" t="s">
        <v>10225</v>
      </c>
      <c r="O1" s="442">
        <v>43957</v>
      </c>
      <c r="P1" s="429">
        <v>43958</v>
      </c>
      <c r="Q1" s="429">
        <v>43959</v>
      </c>
      <c r="R1" s="445" t="s">
        <v>6704</v>
      </c>
      <c r="S1" s="429">
        <v>43963</v>
      </c>
      <c r="T1" s="438">
        <v>43964</v>
      </c>
      <c r="U1" s="438">
        <v>43965</v>
      </c>
      <c r="V1" s="438">
        <v>43966</v>
      </c>
      <c r="W1" s="445" t="s">
        <v>6808</v>
      </c>
      <c r="X1" s="429">
        <v>43969</v>
      </c>
      <c r="Y1" s="429">
        <v>43970</v>
      </c>
      <c r="Z1" s="429">
        <v>43971</v>
      </c>
      <c r="AA1" s="429">
        <v>43972</v>
      </c>
      <c r="AB1" s="429">
        <v>43973</v>
      </c>
      <c r="AC1" s="445" t="s">
        <v>6809</v>
      </c>
      <c r="AD1" s="429">
        <v>43976</v>
      </c>
      <c r="AE1" s="429">
        <v>43977</v>
      </c>
      <c r="AF1" s="429">
        <v>43978</v>
      </c>
      <c r="AG1" s="429">
        <v>43979</v>
      </c>
      <c r="AH1" s="429">
        <v>43980</v>
      </c>
      <c r="AI1" s="445" t="s">
        <v>6810</v>
      </c>
      <c r="AJ1" s="429">
        <v>43983</v>
      </c>
      <c r="AK1" s="429">
        <v>43984</v>
      </c>
      <c r="AL1" s="429">
        <v>43985</v>
      </c>
      <c r="AM1" s="429">
        <v>43986</v>
      </c>
      <c r="AN1" s="429">
        <v>43987</v>
      </c>
      <c r="AO1" s="445" t="s">
        <v>7895</v>
      </c>
      <c r="AP1" s="429">
        <v>43990</v>
      </c>
      <c r="AQ1" s="429">
        <v>43991</v>
      </c>
      <c r="AR1" s="429">
        <v>43992</v>
      </c>
      <c r="AS1" s="429">
        <v>43993</v>
      </c>
      <c r="AT1" s="429">
        <v>43994</v>
      </c>
      <c r="AU1" s="445" t="s">
        <v>9795</v>
      </c>
      <c r="AV1" s="429">
        <v>43997</v>
      </c>
      <c r="AW1" s="429">
        <v>43998</v>
      </c>
      <c r="AX1" s="429">
        <v>43999</v>
      </c>
      <c r="AY1" s="429">
        <v>44000</v>
      </c>
      <c r="AZ1" s="429">
        <v>44001</v>
      </c>
      <c r="BA1" s="445" t="s">
        <v>9796</v>
      </c>
      <c r="BB1" s="429">
        <v>44004</v>
      </c>
      <c r="BC1" s="429">
        <v>44005</v>
      </c>
      <c r="BD1" s="429">
        <v>44006</v>
      </c>
      <c r="BE1" s="429">
        <v>44007</v>
      </c>
      <c r="BF1" s="429">
        <v>44008</v>
      </c>
      <c r="BG1" s="445" t="s">
        <v>9797</v>
      </c>
      <c r="BH1" s="429">
        <v>44011</v>
      </c>
      <c r="BI1" s="429">
        <v>44012</v>
      </c>
      <c r="BJ1" s="429">
        <v>44013</v>
      </c>
      <c r="BK1" s="429">
        <v>44014</v>
      </c>
      <c r="BL1" s="429">
        <v>44015</v>
      </c>
      <c r="BM1" s="445" t="s">
        <v>9798</v>
      </c>
      <c r="BN1" s="429">
        <v>44018</v>
      </c>
      <c r="BO1" s="429">
        <v>44019</v>
      </c>
      <c r="BP1" s="429">
        <v>44020</v>
      </c>
      <c r="BQ1" s="429">
        <v>44021</v>
      </c>
      <c r="BR1" s="429">
        <v>44022</v>
      </c>
      <c r="BS1" s="445" t="s">
        <v>9799</v>
      </c>
      <c r="BT1" s="429">
        <v>44025</v>
      </c>
      <c r="BU1" s="429">
        <v>44026</v>
      </c>
      <c r="BV1" s="429">
        <v>44027</v>
      </c>
      <c r="BW1" s="429">
        <v>44028</v>
      </c>
      <c r="BX1" s="429">
        <v>44029</v>
      </c>
      <c r="BY1" s="1302" t="s">
        <v>9800</v>
      </c>
      <c r="BZ1" s="429">
        <v>44032</v>
      </c>
      <c r="CA1" s="429">
        <v>44033</v>
      </c>
      <c r="CB1" s="429">
        <v>44034</v>
      </c>
      <c r="CC1" s="429">
        <v>44035</v>
      </c>
      <c r="CD1" s="429">
        <v>44036</v>
      </c>
      <c r="CE1" s="445" t="s">
        <v>9801</v>
      </c>
      <c r="CF1" s="429">
        <v>44039</v>
      </c>
      <c r="CG1" s="429">
        <v>44040</v>
      </c>
      <c r="CH1" s="429">
        <v>44041</v>
      </c>
      <c r="CI1" s="429">
        <v>44042</v>
      </c>
      <c r="CJ1" s="429">
        <v>44043</v>
      </c>
      <c r="CK1" s="445" t="s">
        <v>10219</v>
      </c>
      <c r="CL1" s="429">
        <v>44046</v>
      </c>
      <c r="CM1" s="429">
        <v>44047</v>
      </c>
      <c r="CN1" s="429">
        <v>44048</v>
      </c>
      <c r="CO1" s="429">
        <v>44049</v>
      </c>
      <c r="CP1" s="429">
        <v>44050</v>
      </c>
      <c r="CQ1" s="445" t="s">
        <v>10220</v>
      </c>
      <c r="CR1" s="429">
        <v>44053</v>
      </c>
      <c r="CS1" s="429">
        <v>44054</v>
      </c>
      <c r="CT1" s="429">
        <v>44055</v>
      </c>
      <c r="CU1" s="429">
        <v>44056</v>
      </c>
      <c r="CV1" s="429">
        <v>44057</v>
      </c>
      <c r="CW1" s="445" t="s">
        <v>10224</v>
      </c>
      <c r="CX1" s="429">
        <v>44060</v>
      </c>
      <c r="CY1" s="429">
        <v>44061</v>
      </c>
      <c r="CZ1" s="429">
        <v>44062</v>
      </c>
      <c r="DA1" s="429">
        <v>44063</v>
      </c>
      <c r="DB1" s="429">
        <v>44064</v>
      </c>
      <c r="DC1" s="445" t="s">
        <v>10223</v>
      </c>
      <c r="DD1" s="429">
        <v>44067</v>
      </c>
      <c r="DE1" s="429">
        <v>44068</v>
      </c>
      <c r="DF1" s="429">
        <v>44069</v>
      </c>
      <c r="DG1" s="429">
        <v>44070</v>
      </c>
      <c r="DH1" s="429">
        <v>44071</v>
      </c>
      <c r="DI1" s="445" t="s">
        <v>10221</v>
      </c>
      <c r="DJ1" s="429">
        <v>44074</v>
      </c>
      <c r="DK1" s="429">
        <v>44075</v>
      </c>
      <c r="DL1" s="429">
        <v>44076</v>
      </c>
      <c r="DM1" s="429">
        <v>44077</v>
      </c>
      <c r="DN1" s="429">
        <v>44078</v>
      </c>
      <c r="DO1" s="445" t="s">
        <v>10222</v>
      </c>
      <c r="DP1" s="429">
        <v>44081</v>
      </c>
      <c r="DQ1" s="429">
        <v>44082</v>
      </c>
      <c r="DR1" s="429">
        <v>44083</v>
      </c>
      <c r="DS1" s="429">
        <v>44084</v>
      </c>
      <c r="DT1" s="429">
        <v>44085</v>
      </c>
      <c r="DU1" s="445" t="s">
        <v>10943</v>
      </c>
      <c r="DV1" s="429">
        <v>44088</v>
      </c>
      <c r="DW1" s="429">
        <v>44089</v>
      </c>
      <c r="DX1" s="429">
        <v>44090</v>
      </c>
      <c r="DY1" s="429">
        <v>44091</v>
      </c>
      <c r="DZ1" s="429">
        <v>44092</v>
      </c>
      <c r="EA1" s="445" t="s">
        <v>10944</v>
      </c>
      <c r="EB1" s="429">
        <v>44095</v>
      </c>
      <c r="EC1" s="429">
        <v>44096</v>
      </c>
      <c r="ED1" s="429">
        <v>44097</v>
      </c>
      <c r="EE1" s="429">
        <v>44098</v>
      </c>
      <c r="EF1" s="429">
        <v>44099</v>
      </c>
      <c r="EG1" s="445" t="s">
        <v>11345</v>
      </c>
      <c r="EH1" s="429">
        <v>44102</v>
      </c>
      <c r="EI1" s="429">
        <v>44103</v>
      </c>
      <c r="EJ1" s="429">
        <v>44104</v>
      </c>
      <c r="EK1" s="429">
        <v>44105</v>
      </c>
      <c r="EL1" s="429">
        <v>44106</v>
      </c>
      <c r="EM1" s="445" t="s">
        <v>12449</v>
      </c>
      <c r="EN1" s="429">
        <v>44109</v>
      </c>
      <c r="EO1" s="429">
        <v>44110</v>
      </c>
      <c r="EP1" s="429">
        <v>44111</v>
      </c>
      <c r="EQ1" s="429">
        <v>44112</v>
      </c>
      <c r="ER1" s="429">
        <v>44113</v>
      </c>
      <c r="ES1" s="445" t="s">
        <v>12450</v>
      </c>
      <c r="ET1" s="429">
        <v>44116</v>
      </c>
      <c r="EU1" s="429">
        <v>44117</v>
      </c>
      <c r="EV1" s="429">
        <v>44118</v>
      </c>
      <c r="EW1" s="429">
        <v>44119</v>
      </c>
      <c r="EX1" s="429">
        <v>44120</v>
      </c>
      <c r="EY1" s="445" t="s">
        <v>12451</v>
      </c>
      <c r="EZ1" s="429">
        <v>44123</v>
      </c>
      <c r="FA1" s="429">
        <v>44124</v>
      </c>
      <c r="FB1" s="429">
        <v>44125</v>
      </c>
      <c r="FC1" s="429">
        <v>44126</v>
      </c>
      <c r="FD1" s="429">
        <v>44127</v>
      </c>
      <c r="FE1" s="1302" t="s">
        <v>12452</v>
      </c>
      <c r="FF1" s="429">
        <v>44130</v>
      </c>
      <c r="FG1" s="429">
        <v>44131</v>
      </c>
      <c r="FH1" s="429">
        <v>44132</v>
      </c>
      <c r="FI1" s="429">
        <v>44133</v>
      </c>
      <c r="FJ1" s="429">
        <v>44134</v>
      </c>
      <c r="FK1" s="1302" t="s">
        <v>12453</v>
      </c>
      <c r="FL1" s="429">
        <v>44137</v>
      </c>
      <c r="FM1" s="429">
        <v>44138</v>
      </c>
      <c r="FN1" s="429">
        <v>44139</v>
      </c>
      <c r="FO1" s="429">
        <v>44140</v>
      </c>
      <c r="FP1" s="429">
        <v>44141</v>
      </c>
      <c r="FQ1" s="445" t="s">
        <v>12454</v>
      </c>
      <c r="FR1" s="429">
        <v>44144</v>
      </c>
      <c r="FS1" s="429">
        <v>44145</v>
      </c>
      <c r="FT1" s="429">
        <v>44146</v>
      </c>
      <c r="FU1" s="429">
        <v>44147</v>
      </c>
      <c r="FV1" s="429">
        <v>44148</v>
      </c>
      <c r="FW1" s="445" t="s">
        <v>12455</v>
      </c>
      <c r="FX1" s="429">
        <v>44151</v>
      </c>
      <c r="FY1" s="429">
        <v>44152</v>
      </c>
      <c r="FZ1" s="429">
        <v>44153</v>
      </c>
      <c r="GA1" s="429">
        <v>44154</v>
      </c>
      <c r="GB1" s="429">
        <v>44155</v>
      </c>
      <c r="GC1" s="445" t="s">
        <v>12684</v>
      </c>
      <c r="GD1" s="429">
        <v>44158</v>
      </c>
      <c r="GE1" s="429">
        <v>44159</v>
      </c>
      <c r="GF1" s="429">
        <v>44160</v>
      </c>
      <c r="GG1" s="429">
        <v>44161</v>
      </c>
      <c r="GH1" s="429">
        <v>44162</v>
      </c>
      <c r="GI1" s="1302" t="s">
        <v>12685</v>
      </c>
      <c r="GJ1" s="429">
        <v>44165</v>
      </c>
      <c r="GK1" s="429">
        <v>44166</v>
      </c>
      <c r="GL1" s="429">
        <v>44167</v>
      </c>
      <c r="GM1" s="429">
        <v>44168</v>
      </c>
      <c r="GN1" s="429">
        <v>44169</v>
      </c>
      <c r="GO1" s="1302" t="s">
        <v>12686</v>
      </c>
      <c r="GP1" s="429">
        <v>44172</v>
      </c>
      <c r="GQ1" s="429">
        <v>44173</v>
      </c>
      <c r="GR1" s="429">
        <v>44174</v>
      </c>
      <c r="GS1" s="429">
        <v>44175</v>
      </c>
      <c r="GT1" s="429">
        <v>44176</v>
      </c>
      <c r="GU1" s="445" t="s">
        <v>12687</v>
      </c>
      <c r="GV1" s="429">
        <v>44149</v>
      </c>
      <c r="GW1" s="429">
        <v>44180</v>
      </c>
      <c r="GX1" s="429">
        <v>44181</v>
      </c>
      <c r="GY1" s="429">
        <v>44182</v>
      </c>
      <c r="GZ1" s="429">
        <v>44183</v>
      </c>
      <c r="HA1" s="445" t="s">
        <v>12688</v>
      </c>
    </row>
    <row r="2" spans="1:209" s="431" customFormat="1" ht="15" thickTop="1" x14ac:dyDescent="0.3">
      <c r="A2" s="1558" t="s">
        <v>2037</v>
      </c>
      <c r="B2" s="428">
        <f>SUM(H2,N2,R2,W2,AC2,AI2,AO2,AU2,BA2,BG2,BM2,BS2,BY2,CE2,CK2,CQ2,CW2,DC2,DI2,DO2,DU2,EA2,EG2,EM2,ES2,EY2,FE2,FK2,FQ2,FW2,GC2,GI2,GO2,GU2,HA2)</f>
        <v>428</v>
      </c>
      <c r="C2" s="406">
        <f>COUNTIFS(STATUS!$Q:$Q,$A2,STATUS!$D:$D,C$1,STATUS!$K:$K,"РЕШ УВ DONE")</f>
        <v>4</v>
      </c>
      <c r="D2" s="406">
        <f>COUNTIFS(STATUS!$Q:$Q,$A2,STATUS!$D:$D,D$1,STATUS!$K:$K,"РЕШ УВ DONE")</f>
        <v>3</v>
      </c>
      <c r="E2" s="406">
        <f>COUNTIFS(STATUS!$Q:$Q,$A2,STATUS!$D:$D,E$1,STATUS!$K:$K,"РЕШ УВ DONE")</f>
        <v>5</v>
      </c>
      <c r="F2" s="406">
        <f>COUNTIFS(STATUS!$Q:$Q,$A2,STATUS!$D:$D,F$1,STATUS!$K:$K,"РЕШ УВ DONE")</f>
        <v>5</v>
      </c>
      <c r="G2" s="439">
        <f>COUNTIFS(STATUS!$Q:$Q,$A2,STATUS!$D:$D,G$1,STATUS!$K:$K,"РЕШ УВ DONE")</f>
        <v>5</v>
      </c>
      <c r="H2" s="571">
        <f>SUM(C2:G2)</f>
        <v>22</v>
      </c>
      <c r="I2" s="443">
        <f>COUNTIFS(STATUS!$Q:$Q,$A2,STATUS!$D:$D,I$1,STATUS!$K:$K,"РЕШ УВ DONE")</f>
        <v>4</v>
      </c>
      <c r="J2" s="406">
        <f>COUNTIFS(STATUS!$Q:$Q,$A2,STATUS!$D:$D,J$1,STATUS!$K:$K,"РЕШ УВ DONE")</f>
        <v>2</v>
      </c>
      <c r="K2" s="406">
        <f>COUNTIFS(STATUS!$Q:$Q,$A2,STATUS!$D:$D,K$1,STATUS!$K:$K,"РЕШ УВ DONE")</f>
        <v>6</v>
      </c>
      <c r="L2" s="406">
        <f>COUNTIFS(STATUS!$Q:$Q,$A2,STATUS!$D:$D,L$1,STATUS!$K:$K,"РЕШ УВ DONE")</f>
        <v>1</v>
      </c>
      <c r="M2" s="439">
        <f>COUNTIFS(STATUS!$Q:$Q,$A2,STATUS!$D:$D,M$1,STATUS!$K:$K,"РЕШ УВ DONE")</f>
        <v>0</v>
      </c>
      <c r="N2" s="571">
        <f>SUM(I2:M2)</f>
        <v>13</v>
      </c>
      <c r="O2" s="443">
        <f>COUNTIFS(STATUS!$Q:$Q,$A2,STATUS!$D:$D,O$1,STATUS!$K:$K,"РЕШ УВ DONE")</f>
        <v>2</v>
      </c>
      <c r="P2" s="406">
        <f>COUNTIFS(STATUS!$Q:$Q,$A2,STATUS!$D:$D,P$1,STATUS!$K:$K,"РЕШ УВ DONE")</f>
        <v>0</v>
      </c>
      <c r="Q2" s="406">
        <f>COUNTIFS(STATUS!$Q:$Q,$A2,STATUS!$D:$D,Q$1,STATUS!$K:$K,"РЕШ УВ DONE")</f>
        <v>0</v>
      </c>
      <c r="R2" s="571">
        <f>SUM(O2:Q2)</f>
        <v>2</v>
      </c>
      <c r="S2" s="406">
        <f>COUNTIFS(STATUS!$Q:$Q,$A2,STATUS!$D:$D,S$1,STATUS!$K:$K,"РЕШ УВ DONE")</f>
        <v>3</v>
      </c>
      <c r="T2" s="406">
        <f>COUNTIFS(STATUS!$Q:$Q,$A2,STATUS!$D:$D,T$1,STATUS!$K:$K,"РЕШ УВ DONE")</f>
        <v>6</v>
      </c>
      <c r="U2" s="406">
        <f>COUNTIFS(STATUS!$Q:$Q,$A2,STATUS!$D:$D,U$1,STATUS!$K:$K,"РЕШ УВ DONE")</f>
        <v>3</v>
      </c>
      <c r="V2" s="439">
        <f>COUNTIFS(STATUS!$Q:$Q,$A2,STATUS!$D:$D,V$1,STATUS!$K:$K,"РЕШ УВ DONE")</f>
        <v>3</v>
      </c>
      <c r="W2" s="571">
        <f>SUM(S2:V2)</f>
        <v>15</v>
      </c>
      <c r="X2" s="406">
        <f>COUNTIFS(STATUS!$Q:$Q,$A2,STATUS!$D:$D,X$1,STATUS!$K:$K,"РЕШ УВ DONE")</f>
        <v>5</v>
      </c>
      <c r="Y2" s="406">
        <f>COUNTIFS(STATUS!$Q:$Q,$A2,STATUS!$D:$D,Y$1,STATUS!$K:$K,"РЕШ УВ DONE")</f>
        <v>5</v>
      </c>
      <c r="Z2" s="406">
        <f>COUNTIFS(STATUS!$Q:$Q,$A2,STATUS!$D:$D,Z$1,STATUS!$K:$K,"РЕШ УВ DONE")</f>
        <v>5</v>
      </c>
      <c r="AA2" s="439">
        <f>COUNTIFS(STATUS!$Q:$Q,$A2,STATUS!$D:$D,AA$1,STATUS!$K:$K,"РЕШ УВ DONE")</f>
        <v>5</v>
      </c>
      <c r="AB2" s="439">
        <f>COUNTIFS(STATUS!$Q:$Q,$A2,STATUS!$D:$D,AB$1,STATUS!$K:$K,"РЕШ УВ DONE")</f>
        <v>4</v>
      </c>
      <c r="AC2" s="571">
        <f>SUM(X2:AB2)</f>
        <v>24</v>
      </c>
      <c r="AD2" s="406">
        <f>COUNTIFS(STATUS!$Q:$Q,$A2,STATUS!$D:$D,AD$1,STATUS!$K:$K,"РЕШ УВ DONE")</f>
        <v>3</v>
      </c>
      <c r="AE2" s="406">
        <f>COUNTIFS(STATUS!$Q:$Q,$A2,STATUS!$D:$D,AE$1,STATUS!$K:$K,"РЕШ УВ DONE")</f>
        <v>3</v>
      </c>
      <c r="AF2" s="406">
        <f>COUNTIFS(STATUS!$Q:$Q,$A2,STATUS!$D:$D,AF$1,STATUS!$K:$K,"РЕШ УВ DONE")</f>
        <v>11</v>
      </c>
      <c r="AG2" s="439">
        <f>COUNTIFS(STATUS!$Q:$Q,$A2,STATUS!$D:$D,AG$1,STATUS!$K:$K,"РЕШ УВ DONE")</f>
        <v>0</v>
      </c>
      <c r="AH2" s="439">
        <f>COUNTIFS(STATUS!$Q:$Q,$A2,STATUS!$D:$D,AH$1,STATUS!$K:$K,"РЕШ УВ DONE")</f>
        <v>0</v>
      </c>
      <c r="AI2" s="571">
        <f>SUM(AD2:AH2)</f>
        <v>17</v>
      </c>
      <c r="AJ2" s="406">
        <f>COUNTIFS(STATUS!$Q:$Q,$A2,STATUS!$D:$D,AJ$1,STATUS!$K:$K,"РЕШ УВ DONE")</f>
        <v>17</v>
      </c>
      <c r="AK2" s="406">
        <f>COUNTIFS(STATUS!$Q:$Q,$A2,STATUS!$D:$D,AK$1,STATUS!$K:$K,"РЕШ УВ DONE")</f>
        <v>2</v>
      </c>
      <c r="AL2" s="406">
        <f>COUNTIFS(STATUS!$Q:$Q,$A2,STATUS!$D:$D,AL$1,STATUS!$K:$K,"РЕШ УВ DONE")</f>
        <v>1</v>
      </c>
      <c r="AM2" s="439">
        <f>COUNTIFS(STATUS!$Q:$Q,$A2,STATUS!$D:$D,AM$1,STATUS!$K:$K,"РЕШ УВ DONE")</f>
        <v>3</v>
      </c>
      <c r="AN2" s="439">
        <f>COUNTIFS(STATUS!$Q:$Q,$A2,STATUS!$D:$D,AN$1,STATUS!$K:$K,"РЕШ УВ DONE")</f>
        <v>3</v>
      </c>
      <c r="AO2" s="571">
        <f>SUM(AJ2:AN2)</f>
        <v>26</v>
      </c>
      <c r="AP2" s="406">
        <f>COUNTIFS(STATUS!$Q:$Q,$A2,STATUS!$D:$D,AP$1,STATUS!$K:$K,"РЕШ УВ DONE")</f>
        <v>3</v>
      </c>
      <c r="AQ2" s="406">
        <f>COUNTIFS(STATUS!$Q:$Q,$A2,STATUS!$D:$D,AQ$1,STATUS!$K:$K,"РЕШ УВ DONE")</f>
        <v>5</v>
      </c>
      <c r="AR2" s="406">
        <f>COUNTIFS(STATUS!$Q:$Q,$A2,STATUS!$D:$D,AR$1,STATUS!$K:$K,"РЕШ УВ DONE")</f>
        <v>3</v>
      </c>
      <c r="AS2" s="439">
        <f>COUNTIFS(STATUS!$Q:$Q,$A2,STATUS!$D:$D,AS$1,STATUS!$K:$K,"РЕШ УВ DONE")</f>
        <v>4</v>
      </c>
      <c r="AT2" s="439">
        <f>COUNTIFS(STATUS!$Q:$Q,$A2,STATUS!$D:$D,AT$1,STATUS!$K:$K,"РЕШ УВ DONE")</f>
        <v>0</v>
      </c>
      <c r="AU2" s="571">
        <f>SUM(AP2:AT2)</f>
        <v>15</v>
      </c>
      <c r="AV2" s="406">
        <f>COUNTIFS(STATUS!$Q:$Q,$A2,STATUS!$D:$D,AV$1,STATUS!$K:$K,"РЕШ УВ DONE")</f>
        <v>2</v>
      </c>
      <c r="AW2" s="406">
        <f>COUNTIFS(STATUS!$Q:$Q,$A2,STATUS!$D:$D,AW$1,STATUS!$K:$K,"РЕШ УВ DONE")</f>
        <v>42</v>
      </c>
      <c r="AX2" s="406">
        <f>COUNTIFS(STATUS!$Q:$Q,$A2,STATUS!$D:$D,AX$1,STATUS!$K:$K,"РЕШ УВ DONE")</f>
        <v>3</v>
      </c>
      <c r="AY2" s="439">
        <f>COUNTIFS(STATUS!$Q:$Q,$A2,STATUS!$D:$D,AY$1,STATUS!$K:$K,"РЕШ УВ DONE")</f>
        <v>2</v>
      </c>
      <c r="AZ2" s="439">
        <f>COUNTIFS(STATUS!$Q:$Q,$A2,STATUS!$D:$D,AZ$1,STATUS!$K:$K,"РЕШ УВ DONE")</f>
        <v>4</v>
      </c>
      <c r="BA2" s="571">
        <f>SUM(AV2:AZ2)</f>
        <v>53</v>
      </c>
      <c r="BB2" s="406">
        <f>COUNTIFS(STATUS!$Q:$Q,$A2,STATUS!$D:$D,BB$1,STATUS!$K:$K,"РЕШ УВ DONE")</f>
        <v>3</v>
      </c>
      <c r="BC2" s="406">
        <f>COUNTIFS(STATUS!$Q:$Q,$A2,STATUS!$D:$D,BC$1,STATUS!$K:$K,"РЕШ УВ DONE")</f>
        <v>7</v>
      </c>
      <c r="BD2" s="406">
        <f>COUNTIFS(STATUS!$Q:$Q,$A2,STATUS!$D:$D,BD$1,STATUS!$K:$K,"РЕШ УВ DONE")</f>
        <v>0</v>
      </c>
      <c r="BE2" s="439">
        <f>COUNTIFS(STATUS!$Q:$Q,$A2,STATUS!$D:$D,BE$1,STATUS!$K:$K,"РЕШ УВ DONE")</f>
        <v>7</v>
      </c>
      <c r="BF2" s="439">
        <f>COUNTIFS(STATUS!$Q:$Q,$A2,STATUS!$D:$D,BF$1,STATUS!$K:$K,"РЕШ УВ DONE")</f>
        <v>2</v>
      </c>
      <c r="BG2" s="571">
        <f>SUM(BB2:BF2)</f>
        <v>19</v>
      </c>
      <c r="BH2" s="406">
        <f>COUNTIFS(STATUS!$Q:$Q,$A2,STATUS!$D:$D,BH$1,STATUS!$K:$K,"РЕШ УВ DONE")</f>
        <v>5</v>
      </c>
      <c r="BI2" s="406">
        <f>COUNTIFS(STATUS!$Q:$Q,$A2,STATUS!$D:$D,BI$1,STATUS!$K:$K,"РЕШ УВ DONE")</f>
        <v>0</v>
      </c>
      <c r="BJ2" s="406">
        <f>COUNTIFS(STATUS!$Q:$Q,$A2,STATUS!$D:$D,BJ$1,STATUS!$K:$K,"РЕШ УВ DONE")</f>
        <v>0</v>
      </c>
      <c r="BK2" s="439">
        <f>COUNTIFS(STATUS!$Q:$Q,$A2,STATUS!$D:$D,BK$1,STATUS!$K:$K,"РЕШ УВ DONE")</f>
        <v>0</v>
      </c>
      <c r="BL2" s="439">
        <f>COUNTIFS(STATUS!$Q:$Q,$A2,STATUS!$D:$D,BL$1,STATUS!$K:$K,"РЕШ УВ DONE")</f>
        <v>0</v>
      </c>
      <c r="BM2" s="571">
        <f>SUM(BH2:BL2)</f>
        <v>5</v>
      </c>
      <c r="BN2" s="406">
        <f>COUNTIFS(STATUS!$Q:$Q,$A2,STATUS!$D:$D,BN$1,STATUS!$K:$K,"РЕШ УВ DONE")</f>
        <v>0</v>
      </c>
      <c r="BO2" s="406">
        <f>COUNTIFS(STATUS!$Q:$Q,$A2,STATUS!$D:$D,BO$1,STATUS!$K:$K,"РЕШ УВ DONE")</f>
        <v>0</v>
      </c>
      <c r="BP2" s="406">
        <f>COUNTIFS(STATUS!$Q:$Q,$A2,STATUS!$D:$D,BP$1,STATUS!$K:$K,"РЕШ УВ DONE")</f>
        <v>0</v>
      </c>
      <c r="BQ2" s="439">
        <f>COUNTIFS(STATUS!$Q:$Q,$A2,STATUS!$D:$D,BQ$1,STATUS!$K:$K,"РЕШ УВ DONE")</f>
        <v>0</v>
      </c>
      <c r="BR2" s="439">
        <f>COUNTIFS(STATUS!$Q:$Q,$A2,STATUS!$D:$D,BR$1,STATUS!$K:$K,"РЕШ УВ DONE")</f>
        <v>0</v>
      </c>
      <c r="BS2" s="1238">
        <f>SUM(BN2:BR2)</f>
        <v>0</v>
      </c>
      <c r="BT2" s="406">
        <f>COUNTIFS(STATUS!$Q:$Q,$A2,STATUS!$D:$D,BT$1,STATUS!$K:$K,"РЕШ УВ DONE")</f>
        <v>3</v>
      </c>
      <c r="BU2" s="406">
        <f>COUNTIFS(STATUS!$Q:$Q,$A2,STATUS!$D:$D,BU$1,STATUS!$K:$K,"РЕШ УВ DONE")</f>
        <v>0</v>
      </c>
      <c r="BV2" s="406">
        <f>COUNTIFS(STATUS!$Q:$Q,$A2,STATUS!$D:$D,BV$1,STATUS!$K:$K,"РЕШ УВ DONE")</f>
        <v>0</v>
      </c>
      <c r="BW2" s="439">
        <f>COUNTIFS(STATUS!$Q:$Q,$A2,STATUS!$D:$D,BW$1,STATUS!$K:$K,"РЕШ УВ DONE")</f>
        <v>0</v>
      </c>
      <c r="BX2" s="439">
        <f>COUNTIFS(STATUS!$Q:$Q,$A2,STATUS!$D:$D,BX$1,STATUS!$K:$K,"РЕШ УВ DONE")</f>
        <v>0</v>
      </c>
      <c r="BY2" s="571">
        <f>SUM(BT2:BX2)</f>
        <v>3</v>
      </c>
      <c r="BZ2" s="406">
        <f>COUNTIFS(STATUS!$Q:$Q,$A2,STATUS!$D:$D,BZ$1,STATUS!$K:$K,"РЕШ УВ DONE")</f>
        <v>0</v>
      </c>
      <c r="CA2" s="406">
        <f>COUNTIFS(STATUS!$Q:$Q,$A2,STATUS!$D:$D,CA$1,STATUS!$K:$K,"РЕШ УВ DONE")</f>
        <v>0</v>
      </c>
      <c r="CB2" s="406">
        <f>COUNTIFS(STATUS!$Q:$Q,$A2,STATUS!$D:$D,CB$1,STATUS!$K:$K,"РЕШ УВ DONE")</f>
        <v>0</v>
      </c>
      <c r="CC2" s="439">
        <f>COUNTIFS(STATUS!$Q:$Q,$A2,STATUS!$D:$D,CC$1,STATUS!$K:$K,"РЕШ УВ DONE")</f>
        <v>0</v>
      </c>
      <c r="CD2" s="439">
        <f>COUNTIFS(STATUS!$Q:$Q,$A2,STATUS!$D:$D,CD$1,STATUS!$K:$K,"РЕШ УВ DONE")</f>
        <v>0</v>
      </c>
      <c r="CE2" s="1238">
        <f>SUM(BZ2:CD2)</f>
        <v>0</v>
      </c>
      <c r="CF2" s="406">
        <f>COUNTIFS(STATUS!$Q:$Q,$A2,STATUS!$D:$D,CF$1,STATUS!$K:$K,"РЕШ УВ DONE")</f>
        <v>0</v>
      </c>
      <c r="CG2" s="406">
        <f>COUNTIFS(STATUS!$Q:$Q,$A2,STATUS!$D:$D,CG$1,STATUS!$K:$K,"РЕШ УВ DONE")</f>
        <v>0</v>
      </c>
      <c r="CH2" s="406">
        <f>COUNTIFS(STATUS!$Q:$Q,$A2,STATUS!$D:$D,CH$1,STATUS!$K:$K,"РЕШ УВ DONE")</f>
        <v>0</v>
      </c>
      <c r="CI2" s="439">
        <f>COUNTIFS(STATUS!$Q:$Q,$A2,STATUS!$D:$D,CI$1,STATUS!$K:$K,"РЕШ УВ DONE")</f>
        <v>0</v>
      </c>
      <c r="CJ2" s="439">
        <f>COUNTIFS(STATUS!$Q:$Q,$A2,STATUS!$D:$D,CJ$1,STATUS!$K:$K,"РЕШ УВ DONE")</f>
        <v>0</v>
      </c>
      <c r="CK2" s="1238">
        <f>SUM(CF2:CJ2)</f>
        <v>0</v>
      </c>
      <c r="CL2" s="406">
        <f>COUNTIFS(STATUS!$Q:$Q,$A2,STATUS!$D:$D,CL$1,STATUS!$K:$K,"РЕШ УВ DONE")</f>
        <v>4</v>
      </c>
      <c r="CM2" s="406">
        <f>COUNTIFS(STATUS!$Q:$Q,$A2,STATUS!$D:$D,CM$1,STATUS!$K:$K,"РЕШ УВ DONE")</f>
        <v>6</v>
      </c>
      <c r="CN2" s="406">
        <f>COUNTIFS(STATUS!$Q:$Q,$A2,STATUS!$D:$D,CN$1,STATUS!$K:$K,"РЕШ УВ DONE")</f>
        <v>3</v>
      </c>
      <c r="CO2" s="439">
        <f>COUNTIFS(STATUS!$Q:$Q,$A2,STATUS!$D:$D,CO$1,STATUS!$K:$K,"РЕШ УВ DONE")</f>
        <v>5</v>
      </c>
      <c r="CP2" s="439">
        <f>COUNTIFS(STATUS!$Q:$Q,$A2,STATUS!$D:$D,CP$1,STATUS!$K:$K,"РЕШ УВ DONE")</f>
        <v>5</v>
      </c>
      <c r="CQ2" s="571">
        <f>SUM(CL2:CP2)</f>
        <v>23</v>
      </c>
      <c r="CR2" s="406">
        <f>COUNTIFS(STATUS!$Q:$Q,$A2,STATUS!$D:$D,CR$1,STATUS!$K:$K,"РЕШ УВ DONE")</f>
        <v>4</v>
      </c>
      <c r="CS2" s="406">
        <f>COUNTIFS(STATUS!$Q:$Q,$A2,STATUS!$D:$D,CS$1,STATUS!$K:$K,"РЕШ УВ DONE")</f>
        <v>3</v>
      </c>
      <c r="CT2" s="406">
        <f>COUNTIFS(STATUS!$Q:$Q,$A2,STATUS!$D:$D,CT$1,STATUS!$K:$K,"РЕШ УВ DONE")</f>
        <v>3</v>
      </c>
      <c r="CU2" s="439">
        <f>COUNTIFS(STATUS!$Q:$Q,$A2,STATUS!$D:$D,CU$1,STATUS!$K:$K,"РЕШ УВ DONE")</f>
        <v>6</v>
      </c>
      <c r="CV2" s="439">
        <f>COUNTIFS(STATUS!$Q:$Q,$A2,STATUS!$D:$D,CV$1,STATUS!$K:$K,"РЕШ УВ DONE")</f>
        <v>4</v>
      </c>
      <c r="CW2" s="571">
        <f>SUM(CR2:CV2)</f>
        <v>20</v>
      </c>
      <c r="CX2" s="406">
        <f>COUNTIFS(STATUS!$Q:$Q,$A2,STATUS!$D:$D,CX$1,STATUS!$K:$K,"РЕШ УВ DONE")</f>
        <v>4</v>
      </c>
      <c r="CY2" s="406">
        <f>COUNTIFS(STATUS!$Q:$Q,$A2,STATUS!$D:$D,CY$1,STATUS!$K:$K,"РЕШ УВ DONE")</f>
        <v>4</v>
      </c>
      <c r="CZ2" s="406">
        <f>COUNTIFS(STATUS!$Q:$Q,$A2,STATUS!$D:$D,CZ$1,STATUS!$K:$K,"РЕШ УВ DONE")</f>
        <v>3</v>
      </c>
      <c r="DA2" s="439">
        <f>COUNTIFS(STATUS!$Q:$Q,$A2,STATUS!$D:$D,DA$1,STATUS!$K:$K,"РЕШ УВ DONE")</f>
        <v>3</v>
      </c>
      <c r="DB2" s="439">
        <f>COUNTIFS(STATUS!$Q:$Q,$A2,STATUS!$D:$D,DB$1,STATUS!$K:$K,"РЕШ УВ DONE")</f>
        <v>2</v>
      </c>
      <c r="DC2" s="571">
        <f>SUM(CX2:DB2)</f>
        <v>16</v>
      </c>
      <c r="DD2" s="574">
        <f>COUNTIFS(STATUS!$Q:$Q,$A2,STATUS!$D:$D,DD$1,STATUS!$K:$K,"РЕШ УВ DONE")</f>
        <v>0</v>
      </c>
      <c r="DE2" s="574">
        <f>COUNTIFS(STATUS!$Q:$Q,$A2,STATUS!$D:$D,DE$1,STATUS!$K:$K,"РЕШ УВ DONE")</f>
        <v>0</v>
      </c>
      <c r="DF2" s="574">
        <f>COUNTIFS(STATUS!$Q:$Q,$A2,STATUS!$D:$D,DF$1,STATUS!$K:$K,"РЕШ УВ DONE")</f>
        <v>0</v>
      </c>
      <c r="DG2" s="575">
        <f>COUNTIFS(STATUS!$Q:$Q,$A2,STATUS!$D:$D,DG$1,STATUS!$K:$K,"РЕШ УВ DONE")</f>
        <v>0</v>
      </c>
      <c r="DH2" s="575">
        <f>COUNTIFS(STATUS!$Q:$Q,$A2,STATUS!$D:$D,DH$1,STATUS!$K:$K,"РЕШ УВ DONE")</f>
        <v>0</v>
      </c>
      <c r="DI2" s="1238">
        <f>SUM(DD2:DH2)</f>
        <v>0</v>
      </c>
      <c r="DJ2" s="574">
        <f>COUNTIFS(STATUS!$Q:$Q,$A2,STATUS!$D:$D,DJ$1,STATUS!$K:$K,"РЕШ УВ DONE")</f>
        <v>0</v>
      </c>
      <c r="DK2" s="574">
        <f>COUNTIFS(STATUS!$Q:$Q,$A2,STATUS!$D:$D,DK$1,STATUS!$K:$K,"РЕШ УВ DONE")</f>
        <v>0</v>
      </c>
      <c r="DL2" s="574">
        <f>COUNTIFS(STATUS!$Q:$Q,$A2,STATUS!$D:$D,DL$1,STATUS!$K:$K,"РЕШ УВ DONE")</f>
        <v>0</v>
      </c>
      <c r="DM2" s="575">
        <f>COUNTIFS(STATUS!$Q:$Q,$A2,STATUS!$D:$D,DM$1,STATUS!$K:$K,"РЕШ УВ DONE")</f>
        <v>0</v>
      </c>
      <c r="DN2" s="575">
        <f>COUNTIFS(STATUS!$Q:$Q,$A2,STATUS!$D:$D,DN$1,STATUS!$K:$K,"РЕШ УВ DONE")</f>
        <v>0</v>
      </c>
      <c r="DO2" s="1238">
        <f>SUM(DJ2:DN2)</f>
        <v>0</v>
      </c>
      <c r="DP2" s="1298">
        <f>COUNTIFS(STATUS!$Q:$Q,$A2,STATUS!$D:$D,DP$1,STATUS!$K:$K,"РЕШ УВ DONE")</f>
        <v>3</v>
      </c>
      <c r="DQ2" s="1298">
        <f>COUNTIFS(STATUS!$Q:$Q,$A2,STATUS!$D:$D,DQ$1,STATUS!$K:$K,"РЕШ УВ DONE")</f>
        <v>6</v>
      </c>
      <c r="DR2" s="1298">
        <f>COUNTIFS(STATUS!$Q:$Q,$A2,STATUS!$D:$D,DR$1,STATUS!$K:$K,"РЕШ УВ DONE")</f>
        <v>5</v>
      </c>
      <c r="DS2" s="1299">
        <f>COUNTIFS(STATUS!$Q:$Q,$A2,STATUS!$D:$D,DS$1,STATUS!$K:$K,"РЕШ УВ DONE")</f>
        <v>2</v>
      </c>
      <c r="DT2" s="1299">
        <f>COUNTIFS(STATUS!$Q:$Q,$A2,STATUS!$D:$D,DT$1,STATUS!$K:$K,"РЕШ УВ DONE")</f>
        <v>5</v>
      </c>
      <c r="DU2" s="571">
        <f>SUM(DP2:DT2)</f>
        <v>21</v>
      </c>
      <c r="DV2" s="1298">
        <f>COUNTIFS(STATUS!$Q:$Q,$A2,STATUS!$D:$D,DV$1,STATUS!$K:$K,"РЕШ УВ DONE")</f>
        <v>3</v>
      </c>
      <c r="DW2" s="1298">
        <f>COUNTIFS(STATUS!$Q:$Q,$A2,STATUS!$D:$D,DW$1,STATUS!$K:$K,"РЕШ УВ DONE")</f>
        <v>4</v>
      </c>
      <c r="DX2" s="1298">
        <f>COUNTIFS(STATUS!$Q:$Q,$A2,STATUS!$D:$D,DX$1,STATUS!$K:$K,"РЕШ УВ DONE")</f>
        <v>4</v>
      </c>
      <c r="DY2" s="1299">
        <f>COUNTIFS(STATUS!$Q:$Q,$A2,STATUS!$D:$D,DY$1,STATUS!$K:$K,"РЕШ УВ DONE")</f>
        <v>5</v>
      </c>
      <c r="DZ2" s="1299">
        <f>COUNTIFS(STATUS!$Q:$Q,$A2,STATUS!$D:$D,DZ$1,STATUS!$K:$K,"РЕШ УВ DONE")</f>
        <v>2</v>
      </c>
      <c r="EA2" s="571">
        <f>SUM(DV2:DZ2)</f>
        <v>18</v>
      </c>
      <c r="EB2" s="1298">
        <f>COUNTIFS(STATUS!$Q:$Q,$A2,STATUS!$D:$D,EB$1,STATUS!$K:$K,"РЕШ УВ DONE")</f>
        <v>4</v>
      </c>
      <c r="EC2" s="1298">
        <f>COUNTIFS(STATUS!$Q:$Q,$A2,STATUS!$D:$D,EC$1,STATUS!$K:$K,"РЕШ УВ DONE")</f>
        <v>9</v>
      </c>
      <c r="ED2" s="1298">
        <f>COUNTIFS(STATUS!$Q:$Q,$A2,STATUS!$D:$D,ED$1,STATUS!$K:$K,"РЕШ УВ DONE")</f>
        <v>4</v>
      </c>
      <c r="EE2" s="1299">
        <f>COUNTIFS(STATUS!$Q:$Q,$A2,STATUS!$D:$D,EE$1,STATUS!$K:$K,"РЕШ УВ DONE")</f>
        <v>3</v>
      </c>
      <c r="EF2" s="1299">
        <f>COUNTIFS(STATUS!$Q:$Q,$A2,STATUS!$D:$D,EF$1,STATUS!$K:$K,"РЕШ УВ DONE")</f>
        <v>3</v>
      </c>
      <c r="EG2" s="571">
        <f>SUM(EB2:EF2)</f>
        <v>23</v>
      </c>
      <c r="EH2" s="1298">
        <f>COUNTIFS(STATUS!$Q:$Q,$A2,STATUS!$D:$D,EH$1,STATUS!$K:$K,"РЕШ УВ DONE")</f>
        <v>6</v>
      </c>
      <c r="EI2" s="1298">
        <f>COUNTIFS(STATUS!$Q:$Q,$A2,STATUS!$D:$D,EI$1,STATUS!$K:$K,"РЕШ УВ DONE")</f>
        <v>5</v>
      </c>
      <c r="EJ2" s="1298">
        <f>COUNTIFS(STATUS!$Q:$Q,$A2,STATUS!$D:$D,EJ$1,STATUS!$K:$K,"РЕШ УВ DONE")</f>
        <v>3</v>
      </c>
      <c r="EK2" s="1299">
        <f>COUNTIFS(STATUS!$Q:$Q,$A2,STATUS!$D:$D,EK$1,STATUS!$K:$K,"РЕШ УВ DONE")</f>
        <v>3</v>
      </c>
      <c r="EL2" s="1299">
        <f>COUNTIFS(STATUS!$Q:$Q,$A2,STATUS!$D:$D,EL$1,STATUS!$K:$K,"РЕШ УВ DONE")</f>
        <v>3</v>
      </c>
      <c r="EM2" s="571">
        <f>SUM(EH2:EL2)</f>
        <v>20</v>
      </c>
      <c r="EN2" s="1298">
        <f>COUNTIFS(STATUS!$Q:$Q,$A2,STATUS!$D:$D,EN$1,STATUS!$K:$K,"РЕШ УВ DONE")</f>
        <v>4</v>
      </c>
      <c r="EO2" s="1298">
        <f>COUNTIFS(STATUS!$Q:$Q,$A2,STATUS!$D:$D,EO$1,STATUS!$K:$K,"РЕШ УВ DONE")</f>
        <v>3</v>
      </c>
      <c r="EP2" s="1298">
        <f>COUNTIFS(STATUS!$Q:$Q,$A2,STATUS!$D:$D,EP$1,STATUS!$K:$K,"РЕШ УВ DONE")</f>
        <v>3</v>
      </c>
      <c r="EQ2" s="1299">
        <f>COUNTIFS(STATUS!$Q:$Q,$A2,STATUS!$D:$D,EQ$1,STATUS!$K:$K,"РЕШ УВ DONE")</f>
        <v>4</v>
      </c>
      <c r="ER2" s="1299">
        <f>COUNTIFS(STATUS!$Q:$Q,$A2,STATUS!$D:$D,ER$1,STATUS!$K:$K,"РЕШ УВ DONE")</f>
        <v>5</v>
      </c>
      <c r="ES2" s="571">
        <f>SUM(EN2:ER2)</f>
        <v>19</v>
      </c>
      <c r="ET2" s="1298">
        <f>COUNTIFS(STATUS!$Q:$Q,$A2,STATUS!$D:$D,ET$1,STATUS!$K:$K,"РЕШ УВ DONE")</f>
        <v>6</v>
      </c>
      <c r="EU2" s="1298">
        <f>COUNTIFS(STATUS!$Q:$Q,$A2,STATUS!$D:$D,EU$1,STATUS!$K:$K,"РЕШ УВ DONE")</f>
        <v>4</v>
      </c>
      <c r="EV2" s="1298">
        <f>COUNTIFS(STATUS!$Q:$Q,$A2,STATUS!$D:$D,EV$1,STATUS!$K:$K,"РЕШ УВ DONE")</f>
        <v>3</v>
      </c>
      <c r="EW2" s="1299">
        <f>COUNTIFS(STATUS!$Q:$Q,$A2,STATUS!$D:$D,EW$1,STATUS!$K:$K,"РЕШ УВ DONE")</f>
        <v>3</v>
      </c>
      <c r="EX2" s="1299">
        <f>COUNTIFS(STATUS!$Q:$Q,$A2,STATUS!$D:$D,EX$1,STATUS!$K:$K,"РЕШ УВ DONE")</f>
        <v>2</v>
      </c>
      <c r="EY2" s="571">
        <f>SUM(ET2:EX2)</f>
        <v>18</v>
      </c>
      <c r="EZ2" s="1298">
        <f>COUNTIFS(STATUS!$Q:$Q,$A2,STATUS!$D:$D,EZ$1,STATUS!$K:$K,"РЕШ УВ DONE")</f>
        <v>0</v>
      </c>
      <c r="FA2" s="1298">
        <f>COUNTIFS(STATUS!$Q:$Q,$A2,STATUS!$D:$D,FA$1,STATUS!$K:$K,"РЕШ УВ DONE")</f>
        <v>0</v>
      </c>
      <c r="FB2" s="1298">
        <f>COUNTIFS(STATUS!$Q:$Q,$A2,STATUS!$D:$D,FB$1,STATUS!$K:$K,"РЕШ УВ DONE")</f>
        <v>0</v>
      </c>
      <c r="FC2" s="1299">
        <f>COUNTIFS(STATUS!$Q:$Q,$A2,STATUS!$D:$D,FC$1,STATUS!$K:$K,"РЕШ УВ DONE")</f>
        <v>0</v>
      </c>
      <c r="FD2" s="1299">
        <f>COUNTIFS(STATUS!$Q:$Q,$A2,STATUS!$D:$D,FD$1,STATUS!$K:$K,"РЕШ УВ DONE")</f>
        <v>0</v>
      </c>
      <c r="FE2" s="1238">
        <f>SUM(EZ2:FD2)</f>
        <v>0</v>
      </c>
      <c r="FF2" s="574">
        <f>COUNTIFS(STATUS!$Q:$Q,$A2,STATUS!$D:$D,FF$1,STATUS!$K:$K,"РЕШ УВ DONE")</f>
        <v>0</v>
      </c>
      <c r="FG2" s="574">
        <f>COUNTIFS(STATUS!$Q:$Q,$A2,STATUS!$D:$D,FG$1,STATUS!$K:$K,"РЕШ УВ DONE")</f>
        <v>0</v>
      </c>
      <c r="FH2" s="574">
        <f>COUNTIFS(STATUS!$Q:$Q,$A2,STATUS!$D:$D,FH$1,STATUS!$K:$K,"РЕШ УВ DONE")</f>
        <v>0</v>
      </c>
      <c r="FI2" s="575">
        <f>COUNTIFS(STATUS!$Q:$Q,$A2,STATUS!$D:$D,FI$1,STATUS!$K:$K,"РЕШ УВ DONE")</f>
        <v>0</v>
      </c>
      <c r="FJ2" s="575">
        <f>COUNTIFS(STATUS!$Q:$Q,$A2,STATUS!$D:$D,FJ$1,STATUS!$K:$K,"РЕШ УВ DONE")</f>
        <v>0</v>
      </c>
      <c r="FK2" s="1238">
        <f>SUM(FF2:FJ2)</f>
        <v>0</v>
      </c>
      <c r="FL2" s="574">
        <f>COUNTIFS(STATUS!$Q:$Q,$A2,STATUS!$D:$D,FL$1,STATUS!$K:$K,"РЕШ УВ DONE")</f>
        <v>0</v>
      </c>
      <c r="FM2" s="574">
        <f>COUNTIFS(STATUS!$Q:$Q,$A2,STATUS!$D:$D,FM$1,STATUS!$K:$K,"РЕШ УВ DONE")</f>
        <v>0</v>
      </c>
      <c r="FN2" s="574">
        <f>COUNTIFS(STATUS!$Q:$Q,$A2,STATUS!$D:$D,FN$1,STATUS!$K:$K,"РЕШ УВ DONE")</f>
        <v>0</v>
      </c>
      <c r="FO2" s="575">
        <f>COUNTIFS(STATUS!$Q:$Q,$A2,STATUS!$D:$D,FO$1,STATUS!$K:$K,"РЕШ УВ DONE")</f>
        <v>0</v>
      </c>
      <c r="FP2" s="575">
        <f>COUNTIFS(STATUS!$Q:$Q,$A2,STATUS!$D:$D,FP$1,STATUS!$K:$K,"РЕШ УВ DONE")</f>
        <v>0</v>
      </c>
      <c r="FQ2" s="1238">
        <f>SUM(FL2:FP2)</f>
        <v>0</v>
      </c>
      <c r="FR2" s="574">
        <f>COUNTIFS(STATUS!$Q:$Q,$A2,STATUS!$D:$D,FR$1,STATUS!$K:$K,"РЕШ УВ DONE")</f>
        <v>0</v>
      </c>
      <c r="FS2" s="1298">
        <f>COUNTIFS(STATUS!$Q:$Q,$A2,STATUS!$D:$D,FS$1,STATUS!$K:$K,"РЕШ УВ DONE")</f>
        <v>3</v>
      </c>
      <c r="FT2" s="1298">
        <f>COUNTIFS(STATUS!$Q:$Q,$A2,STATUS!$D:$D,FT$1,STATUS!$K:$K,"РЕШ УВ DONE")</f>
        <v>6</v>
      </c>
      <c r="FU2" s="1299">
        <f>COUNTIFS(STATUS!$Q:$Q,$A2,STATUS!$D:$D,FU$1,STATUS!$K:$K,"РЕШ УВ DONE")</f>
        <v>5</v>
      </c>
      <c r="FV2" s="1299">
        <f>COUNTIFS(STATUS!$Q:$Q,$A2,STATUS!$D:$D,FV$1,STATUS!$K:$K,"РЕШ УВ DONE")</f>
        <v>6</v>
      </c>
      <c r="FW2" s="571">
        <f>SUM(FR2:FV2)</f>
        <v>20</v>
      </c>
      <c r="FX2" s="574">
        <f>COUNTIFS(STATUS!$Q:$Q,$A2,STATUS!$D:$D,FX$1,STATUS!$K:$K,"РЕШ УВ DONE")</f>
        <v>5</v>
      </c>
      <c r="FY2" s="1298">
        <f>COUNTIFS(STATUS!$Q:$Q,$A2,STATUS!$D:$D,FY$1,STATUS!$K:$K,"РЕШ УВ DONE")</f>
        <v>4</v>
      </c>
      <c r="FZ2" s="1298">
        <f>COUNTIFS(STATUS!$Q:$Q,$A2,STATUS!$D:$D,FZ$1,STATUS!$K:$K,"РЕШ УВ DONE")</f>
        <v>3</v>
      </c>
      <c r="GA2" s="1299">
        <f>COUNTIFS(STATUS!$Q:$Q,$A2,STATUS!$D:$D,GA$1,STATUS!$K:$K,"РЕШ УВ DONE")</f>
        <v>3</v>
      </c>
      <c r="GB2" s="1299">
        <f>COUNTIFS(STATUS!$Q:$Q,$A2,STATUS!$D:$D,GB$1,STATUS!$K:$K,"РЕШ УВ DONE")</f>
        <v>1</v>
      </c>
      <c r="GC2" s="571">
        <f>SUM(FX2:GB2)</f>
        <v>16</v>
      </c>
      <c r="GD2" s="574">
        <f>COUNTIFS(STATUS!$Q:$Q,$A2,STATUS!$D:$D,GD$1,STATUS!$K:$K,"РЕШ УВ DONE")</f>
        <v>0</v>
      </c>
      <c r="GE2" s="1298">
        <f>COUNTIFS(STATUS!$Q:$Q,$A2,STATUS!$D:$D,GE$1,STATUS!$K:$K,"РЕШ УВ DONE")</f>
        <v>0</v>
      </c>
      <c r="GF2" s="1298">
        <f>COUNTIFS(STATUS!$Q:$Q,$A2,STATUS!$D:$D,GF$1,STATUS!$K:$K,"РЕШ УВ DONE")</f>
        <v>0</v>
      </c>
      <c r="GG2" s="1299">
        <f>COUNTIFS(STATUS!$Q:$Q,$A2,STATUS!$D:$D,GG$1,STATUS!$K:$K,"РЕШ УВ DONE")</f>
        <v>0</v>
      </c>
      <c r="GH2" s="1299">
        <f>COUNTIFS(STATUS!$Q:$Q,$A2,STATUS!$D:$D,GH$1,STATUS!$K:$K,"РЕШ УВ DONE")</f>
        <v>0</v>
      </c>
      <c r="GI2" s="1238">
        <f>SUM(GD2:GH2)</f>
        <v>0</v>
      </c>
      <c r="GJ2" s="574">
        <f>COUNTIFS(STATUS!$Q:$Q,$A2,STATUS!$D:$D,GJ$1,STATUS!$K:$K,"РЕШ УВ DONE")</f>
        <v>0</v>
      </c>
      <c r="GK2" s="574">
        <f>COUNTIFS(STATUS!$Q:$Q,$A2,STATUS!$D:$D,GK$1,STATUS!$K:$K,"РЕШ УВ DONE")</f>
        <v>0</v>
      </c>
      <c r="GL2" s="574">
        <f>COUNTIFS(STATUS!$Q:$Q,$A2,STATUS!$D:$D,GL$1,STATUS!$K:$K,"РЕШ УВ DONE")</f>
        <v>0</v>
      </c>
      <c r="GM2" s="575">
        <f>COUNTIFS(STATUS!$Q:$Q,$A2,STATUS!$D:$D,GM$1,STATUS!$K:$K,"РЕШ УВ DONE")</f>
        <v>0</v>
      </c>
      <c r="GN2" s="575">
        <f>COUNTIFS(STATUS!$Q:$Q,$A2,STATUS!$D:$D,GN$1,STATUS!$K:$K,"РЕШ УВ DONE")</f>
        <v>0</v>
      </c>
      <c r="GO2" s="1238">
        <f>SUM(GJ2:GN2)</f>
        <v>0</v>
      </c>
      <c r="GP2" s="574">
        <f>COUNTIFS(STATUS!$Q:$Q,$A2,STATUS!$D:$D,GP$1,STATUS!$K:$K,"РЕШ УВ DONE")</f>
        <v>0</v>
      </c>
      <c r="GQ2" s="574">
        <f>COUNTIFS(STATUS!$Q:$Q,$A2,STATUS!$D:$D,GQ$1,STATUS!$K:$K,"РЕШ УВ DONE")</f>
        <v>0</v>
      </c>
      <c r="GR2" s="574">
        <f>COUNTIFS(STATUS!$Q:$Q,$A2,STATUS!$D:$D,GR$1,STATUS!$K:$K,"РЕШ УВ DONE")</f>
        <v>0</v>
      </c>
      <c r="GS2" s="575">
        <f>COUNTIFS(STATUS!$Q:$Q,$A2,STATUS!$D:$D,GS$1,STATUS!$K:$K,"РЕШ УВ DONE")</f>
        <v>0</v>
      </c>
      <c r="GT2" s="575">
        <f>COUNTIFS(STATUS!$Q:$Q,$A2,STATUS!$D:$D,GT$1,STATUS!$K:$K,"РЕШ УВ DONE")</f>
        <v>0</v>
      </c>
      <c r="GU2" s="1238">
        <f>SUM(GP2:GT2)</f>
        <v>0</v>
      </c>
      <c r="GV2" s="574">
        <f>COUNTIFS(STATUS!$Q:$Q,$A2,STATUS!$D:$D,GV$1,STATUS!$K:$K,"РЕШ УВ DONE")</f>
        <v>0</v>
      </c>
      <c r="GW2" s="574">
        <f>COUNTIFS(STATUS!$Q:$Q,$A2,STATUS!$D:$D,GW$1,STATUS!$K:$K,"РЕШ УВ DONE")</f>
        <v>0</v>
      </c>
      <c r="GX2" s="574">
        <f>COUNTIFS(STATUS!$Q:$Q,$A2,STATUS!$D:$D,GX$1,STATUS!$K:$K,"РЕШ УВ DONE")</f>
        <v>0</v>
      </c>
      <c r="GY2" s="575">
        <f>COUNTIFS(STATUS!$Q:$Q,$A2,STATUS!$D:$D,GY$1,STATUS!$K:$K,"РЕШ УВ DONE")</f>
        <v>0</v>
      </c>
      <c r="GZ2" s="575">
        <f>COUNTIFS(STATUS!$Q:$Q,$A2,STATUS!$D:$D,GZ$1,STATUS!$K:$K,"РЕШ УВ DONE")</f>
        <v>0</v>
      </c>
      <c r="HA2" s="1238">
        <f>SUM(GV2:GZ2)</f>
        <v>0</v>
      </c>
    </row>
    <row r="3" spans="1:209" s="431" customFormat="1" x14ac:dyDescent="0.3">
      <c r="A3" s="1559"/>
      <c r="B3" s="428">
        <f>SUM(H3,N3,R3,W3,AC3,AI3,AO3,AU3,BA3,BG3,BM3,BS3,BY3,CE3,CK3,CQ3,CW3,DC3,DI3,DO3,DU3,EA3,EG3,EM3,ES3,EY3,FE3,FK3,FQ3,FW3,GC3,GI3,GO3,GU3,HA3)</f>
        <v>68</v>
      </c>
      <c r="C3" s="306">
        <f>COUNTIFS(STATUS!$Q:$Q,$A2,STATUS!$D:$D,C$1,STATUS!$U:$U,"ВОЗВРАТ")</f>
        <v>0</v>
      </c>
      <c r="D3" s="306">
        <f>COUNTIFS(STATUS!$Q:$Q,$A2,STATUS!$D:$D,D$1,STATUS!$U:$U,"ВОЗВРАТ")</f>
        <v>1</v>
      </c>
      <c r="E3" s="306">
        <f>COUNTIFS(STATUS!$Q:$Q,$A2,STATUS!$D:$D,E$1,STATUS!$U:$U,"ВОЗВРАТ")</f>
        <v>1</v>
      </c>
      <c r="F3" s="306">
        <f>COUNTIFS(STATUS!$Q:$Q,$A2,STATUS!$D:$D,F$1,STATUS!$U:$U,"ВОЗВРАТ")</f>
        <v>2</v>
      </c>
      <c r="G3" s="440">
        <f>COUNTIFS(STATUS!$Q:$Q,$A2,STATUS!$D:$D,G$1,STATUS!$U:$U,"ВОЗВРАТ")</f>
        <v>1</v>
      </c>
      <c r="H3" s="572">
        <f>SUM(C3:G3)</f>
        <v>5</v>
      </c>
      <c r="I3" s="401">
        <f>COUNTIFS(STATUS!$Q:$Q,$A2,STATUS!$D:$D,I$1,STATUS!$U:$U,"ВОЗВРАТ")</f>
        <v>1</v>
      </c>
      <c r="J3" s="306">
        <f>COUNTIFS(STATUS!$Q:$Q,$A2,STATUS!$D:$D,J$1,STATUS!$U:$U,"ВОЗВРАТ")</f>
        <v>0</v>
      </c>
      <c r="K3" s="306">
        <f>COUNTIFS(STATUS!$Q:$Q,$A2,STATUS!$D:$D,K$1,STATUS!$U:$U,"ВОЗВРАТ")</f>
        <v>1</v>
      </c>
      <c r="L3" s="306">
        <f>COUNTIFS(STATUS!$Q:$Q,$A2,STATUS!$D:$D,L$1,STATUS!$U:$U,"ВОЗВРАТ")</f>
        <v>0</v>
      </c>
      <c r="M3" s="440">
        <f>COUNTIFS(STATUS!$Q:$Q,$A2,STATUS!$D:$D,M$1,STATUS!$U:$U,"ВОЗВРАТ")</f>
        <v>0</v>
      </c>
      <c r="N3" s="572">
        <f>SUM(I3:M3)</f>
        <v>2</v>
      </c>
      <c r="O3" s="401">
        <f>COUNTIFS(STATUS!$Q:$Q,$A2,STATUS!$D:$D,O$1,STATUS!$U:$U,"ВОЗВРАТ")</f>
        <v>1</v>
      </c>
      <c r="P3" s="306">
        <f>COUNTIFS(STATUS!$Q:$Q,$A2,STATUS!$D:$D,P$1,STATUS!$U:$U,"ВОЗВРАТ")</f>
        <v>0</v>
      </c>
      <c r="Q3" s="306">
        <f>COUNTIFS(STATUS!$Q:$Q,$A2,STATUS!$D:$D,Q$1,STATUS!$U:$U,"ВОЗВРАТ")</f>
        <v>0</v>
      </c>
      <c r="R3" s="572">
        <f>SUM(O3:Q3)</f>
        <v>1</v>
      </c>
      <c r="S3" s="306">
        <f>COUNTIFS(STATUS!$Q:$Q,$A2,STATUS!$D:$D,S$1,STATUS!$U:$U,"ВОЗВРАТ")</f>
        <v>1</v>
      </c>
      <c r="T3" s="306">
        <f>COUNTIFS(STATUS!$Q:$Q,$A2,STATUS!$D:$D,T$1,STATUS!$U:$U,"ВОЗВРАТ")</f>
        <v>3</v>
      </c>
      <c r="U3" s="306">
        <f>COUNTIFS(STATUS!$Q:$Q,$A2,STATUS!$D:$D,U$1,STATUS!$U:$U,"ВОЗВРАТ")</f>
        <v>0</v>
      </c>
      <c r="V3" s="440">
        <f>COUNTIFS(STATUS!$Q:$Q,$A2,STATUS!$D:$D,V$1,STATUS!$U:$U,"ВОЗВРАТ")</f>
        <v>1</v>
      </c>
      <c r="W3" s="572">
        <f>SUM(S3:V3)</f>
        <v>5</v>
      </c>
      <c r="X3" s="306">
        <f>COUNTIFS(STATUS!$Q:$Q,$A2,STATUS!$D:$D,X$1,STATUS!$U:$U,"ВОЗВРАТ")</f>
        <v>2</v>
      </c>
      <c r="Y3" s="306">
        <f>COUNTIFS(STATUS!$Q:$Q,$A2,STATUS!$D:$D,Y$1,STATUS!$U:$U,"ВОЗВРАТ")</f>
        <v>1</v>
      </c>
      <c r="Z3" s="306">
        <f>COUNTIFS(STATUS!$Q:$Q,$A2,STATUS!$D:$D,Z$1,STATUS!$U:$U,"ВОЗВРАТ")</f>
        <v>1</v>
      </c>
      <c r="AA3" s="440">
        <f>COUNTIFS(STATUS!$Q:$Q,$A2,STATUS!$D:$D,AA$1,STATUS!$U:$U,"ВОЗВРАТ")</f>
        <v>0</v>
      </c>
      <c r="AB3" s="440">
        <f>COUNTIFS(STATUS!$Q:$Q,$A2,STATUS!$D:$D,AB$1,STATUS!$U:$U,"ВОЗВРАТ")</f>
        <v>0</v>
      </c>
      <c r="AC3" s="572">
        <f>SUM(X3:AB3)</f>
        <v>4</v>
      </c>
      <c r="AD3" s="306">
        <f>COUNTIFS(STATUS!$Q:$Q,$A2,STATUS!$D:$D,AD$1,STATUS!$U:$U,"ВОЗВРАТ")</f>
        <v>1</v>
      </c>
      <c r="AE3" s="306">
        <f>COUNTIFS(STATUS!$Q:$Q,$A2,STATUS!$D:$D,AE$1,STATUS!$U:$U,"ВОЗВРАТ")</f>
        <v>1</v>
      </c>
      <c r="AF3" s="306">
        <f>COUNTIFS(STATUS!$Q:$Q,$A2,STATUS!$D:$D,AF$1,STATUS!$U:$U,"ВОЗВРАТ")</f>
        <v>1</v>
      </c>
      <c r="AG3" s="440">
        <f>COUNTIFS(STATUS!$Q:$Q,$A2,STATUS!$D:$D,AG$1,STATUS!$U:$U,"ВОЗВРАТ")</f>
        <v>0</v>
      </c>
      <c r="AH3" s="440">
        <f>COUNTIFS(STATUS!$Q:$Q,$A2,STATUS!$D:$D,AH$1,STATUS!$U:$U,"ВОЗВРАТ")</f>
        <v>0</v>
      </c>
      <c r="AI3" s="572">
        <f>SUM(AD3:AH3)</f>
        <v>3</v>
      </c>
      <c r="AJ3" s="306">
        <f>COUNTIFS(STATUS!$Q:$Q,$A2,STATUS!$D:$D,AJ$1,STATUS!$U:$U,"ВОЗВРАТ")</f>
        <v>4</v>
      </c>
      <c r="AK3" s="306">
        <f>COUNTIFS(STATUS!$Q:$Q,$A2,STATUS!$D:$D,AK$1,STATUS!$U:$U,"ВОЗВРАТ")</f>
        <v>0</v>
      </c>
      <c r="AL3" s="306">
        <f>COUNTIFS(STATUS!$Q:$Q,$A2,STATUS!$D:$D,AL$1,STATUS!$U:$U,"ВОЗВРАТ")</f>
        <v>0</v>
      </c>
      <c r="AM3" s="440">
        <f>COUNTIFS(STATUS!$Q:$Q,$A2,STATUS!$D:$D,AM$1,STATUS!$U:$U,"ВОЗВРАТ")</f>
        <v>0</v>
      </c>
      <c r="AN3" s="440">
        <f>COUNTIFS(STATUS!$Q:$Q,$A2,STATUS!$D:$D,AN$1,STATUS!$U:$U,"ВОЗВРАТ")</f>
        <v>1</v>
      </c>
      <c r="AO3" s="572">
        <f>SUM(AJ3:AN3)</f>
        <v>5</v>
      </c>
      <c r="AP3" s="306">
        <f>COUNTIFS(STATUS!$Q:$Q,$A2,STATUS!$D:$D,AP$1,STATUS!$U:$U,"ВОЗВРАТ")</f>
        <v>0</v>
      </c>
      <c r="AQ3" s="306">
        <f>COUNTIFS(STATUS!$Q:$Q,$A2,STATUS!$D:$D,AQ$1,STATUS!$U:$U,"ВОЗВРАТ")</f>
        <v>2</v>
      </c>
      <c r="AR3" s="306">
        <f>COUNTIFS(STATUS!$Q:$Q,$A2,STATUS!$D:$D,AR$1,STATUS!$U:$U,"ВОЗВРАТ")</f>
        <v>1</v>
      </c>
      <c r="AS3" s="440">
        <f>COUNTIFS(STATUS!$Q:$Q,$A2,STATUS!$D:$D,AS$1,STATUS!$U:$U,"ВОЗВРАТ")</f>
        <v>2</v>
      </c>
      <c r="AT3" s="440">
        <f>COUNTIFS(STATUS!$Q:$Q,$A2,STATUS!$D:$D,AT$1,STATUS!$U:$U,"ВОЗВРАТ")</f>
        <v>0</v>
      </c>
      <c r="AU3" s="572">
        <f>SUM(AP3:AT3)</f>
        <v>5</v>
      </c>
      <c r="AV3" s="306">
        <f>COUNTIFS(STATUS!$Q:$Q,$A2,STATUS!$D:$D,AV$1,STATUS!$U:$U,"ВОЗВРАТ")</f>
        <v>0</v>
      </c>
      <c r="AW3" s="306">
        <f>COUNTIFS(STATUS!$Q:$Q,$A2,STATUS!$D:$D,AW$1,STATUS!$U:$U,"ВОЗВРАТ")</f>
        <v>5</v>
      </c>
      <c r="AX3" s="306">
        <f>COUNTIFS(STATUS!$Q:$Q,$A2,STATUS!$D:$D,AX$1,STATUS!$U:$U,"ВОЗВРАТ")</f>
        <v>0</v>
      </c>
      <c r="AY3" s="440">
        <f>COUNTIFS(STATUS!$Q:$Q,$A2,STATUS!$D:$D,AY$1,STATUS!$U:$U,"ВОЗВРАТ")</f>
        <v>1</v>
      </c>
      <c r="AZ3" s="440">
        <f>COUNTIFS(STATUS!$Q:$Q,$A2,STATUS!$D:$D,AZ$1,STATUS!$U:$U,"ВОЗВРАТ")</f>
        <v>1</v>
      </c>
      <c r="BA3" s="572">
        <f>SUM(AV3:AZ3)</f>
        <v>7</v>
      </c>
      <c r="BB3" s="306">
        <f>COUNTIFS(STATUS!$Q:$Q,$A2,STATUS!$D:$D,BB$1,STATUS!$U:$U,"ВОЗВРАТ")</f>
        <v>0</v>
      </c>
      <c r="BC3" s="306">
        <f>COUNTIFS(STATUS!$Q:$Q,$A2,STATUS!$D:$D,BC$1,STATUS!$U:$U,"ВОЗВРАТ")</f>
        <v>0</v>
      </c>
      <c r="BD3" s="306">
        <f>COUNTIFS(STATUS!$Q:$Q,$A2,STATUS!$D:$D,BD$1,STATUS!$U:$U,"ВОЗВРАТ")</f>
        <v>0</v>
      </c>
      <c r="BE3" s="440">
        <f>COUNTIFS(STATUS!$Q:$Q,$A2,STATUS!$D:$D,BE$1,STATUS!$U:$U,"ВОЗВРАТ")</f>
        <v>0</v>
      </c>
      <c r="BF3" s="440">
        <f>COUNTIFS(STATUS!$Q:$Q,$A2,STATUS!$D:$D,BF$1,STATUS!$U:$U,"ВОЗВРАТ")</f>
        <v>0</v>
      </c>
      <c r="BG3" s="572">
        <f>SUM(BB3:BF3)</f>
        <v>0</v>
      </c>
      <c r="BH3" s="306">
        <f>COUNTIFS(STATUS!$Q:$Q,$A2,STATUS!$D:$D,BH$1,STATUS!$U:$U,"ВОЗВРАТ")</f>
        <v>2</v>
      </c>
      <c r="BI3" s="306">
        <f>COUNTIFS(STATUS!$Q:$Q,$A2,STATUS!$D:$D,BI$1,STATUS!$U:$U,"ВОЗВРАТ")</f>
        <v>0</v>
      </c>
      <c r="BJ3" s="306">
        <f>COUNTIFS(STATUS!$Q:$Q,$A2,STATUS!$D:$D,BJ$1,STATUS!$U:$U,"ВОЗВРАТ")</f>
        <v>0</v>
      </c>
      <c r="BK3" s="440">
        <f>COUNTIFS(STATUS!$Q:$Q,$A2,STATUS!$D:$D,BK$1,STATUS!$U:$U,"ВОЗВРАТ")</f>
        <v>0</v>
      </c>
      <c r="BL3" s="440">
        <f>COUNTIFS(STATUS!$Q:$Q,$A2,STATUS!$D:$D,BL$1,STATUS!$U:$U,"ВОЗВРАТ")</f>
        <v>0</v>
      </c>
      <c r="BM3" s="572">
        <f>SUM(BH3:BL3)</f>
        <v>2</v>
      </c>
      <c r="BN3" s="306">
        <f>COUNTIFS(STATUS!$Q:$Q,$A2,STATUS!$D:$D,BN$1,STATUS!$U:$U,"ВОЗВРАТ")</f>
        <v>0</v>
      </c>
      <c r="BO3" s="306">
        <f>COUNTIFS(STATUS!$Q:$Q,$A2,STATUS!$D:$D,BO$1,STATUS!$U:$U,"ВОЗВРАТ")</f>
        <v>0</v>
      </c>
      <c r="BP3" s="306">
        <f>COUNTIFS(STATUS!$Q:$Q,$A2,STATUS!$D:$D,BP$1,STATUS!$U:$U,"ВОЗВРАТ")</f>
        <v>0</v>
      </c>
      <c r="BQ3" s="440">
        <f>COUNTIFS(STATUS!$Q:$Q,$A2,STATUS!$D:$D,BQ$1,STATUS!$U:$U,"ВОЗВРАТ")</f>
        <v>0</v>
      </c>
      <c r="BR3" s="440">
        <f>COUNTIFS(STATUS!$Q:$Q,$A2,STATUS!$D:$D,BR$1,STATUS!$U:$U,"ВОЗВРАТ")</f>
        <v>0</v>
      </c>
      <c r="BS3" s="576">
        <f>SUM(BN3:BR3)</f>
        <v>0</v>
      </c>
      <c r="BT3" s="306">
        <f>COUNTIFS(STATUS!$Q:$Q,$A2,STATUS!$D:$D,BT$1,STATUS!$U:$U,"ВОЗВРАТ")</f>
        <v>0</v>
      </c>
      <c r="BU3" s="306">
        <f>COUNTIFS(STATUS!$Q:$Q,$A2,STATUS!$D:$D,BU$1,STATUS!$U:$U,"ВОЗВРАТ")</f>
        <v>0</v>
      </c>
      <c r="BV3" s="306">
        <f>COUNTIFS(STATUS!$Q:$Q,$A2,STATUS!$D:$D,BV$1,STATUS!$U:$U,"ВОЗВРАТ")</f>
        <v>0</v>
      </c>
      <c r="BW3" s="440">
        <f>COUNTIFS(STATUS!$Q:$Q,$A2,STATUS!$D:$D,BW$1,STATUS!$U:$U,"ВОЗВРАТ")</f>
        <v>0</v>
      </c>
      <c r="BX3" s="440">
        <f>COUNTIFS(STATUS!$Q:$Q,$A2,STATUS!$D:$D,BX$1,STATUS!$U:$U,"ВОЗВРАТ")</f>
        <v>0</v>
      </c>
      <c r="BY3" s="572">
        <f>SUM(BT3:BX3)</f>
        <v>0</v>
      </c>
      <c r="BZ3" s="306">
        <f>COUNTIFS(STATUS!$Q:$Q,$A2,STATUS!$D:$D,BZ$1,STATUS!$U:$U,"ВОЗВРАТ")</f>
        <v>0</v>
      </c>
      <c r="CA3" s="306">
        <f>COUNTIFS(STATUS!$Q:$Q,$A2,STATUS!$D:$D,CA$1,STATUS!$U:$U,"ВОЗВРАТ")</f>
        <v>0</v>
      </c>
      <c r="CB3" s="306">
        <f>COUNTIFS(STATUS!$Q:$Q,$A2,STATUS!$D:$D,CB$1,STATUS!$U:$U,"ВОЗВРАТ")</f>
        <v>0</v>
      </c>
      <c r="CC3" s="440">
        <f>COUNTIFS(STATUS!$Q:$Q,$A2,STATUS!$D:$D,CC$1,STATUS!$U:$U,"ВОЗВРАТ")</f>
        <v>0</v>
      </c>
      <c r="CD3" s="440">
        <f>COUNTIFS(STATUS!$Q:$Q,$A2,STATUS!$D:$D,CD$1,STATUS!$U:$U,"ВОЗВРАТ")</f>
        <v>0</v>
      </c>
      <c r="CE3" s="576">
        <f>SUM(BZ3:CD3)</f>
        <v>0</v>
      </c>
      <c r="CF3" s="306">
        <f>COUNTIFS(STATUS!$Q:$Q,$A2,STATUS!$D:$D,CF$1,STATUS!$U:$U,"ВОЗВРАТ")</f>
        <v>0</v>
      </c>
      <c r="CG3" s="306">
        <f>COUNTIFS(STATUS!$Q:$Q,$A2,STATUS!$D:$D,CG$1,STATUS!$U:$U,"ВОЗВРАТ")</f>
        <v>0</v>
      </c>
      <c r="CH3" s="306">
        <f>COUNTIFS(STATUS!$Q:$Q,$A2,STATUS!$D:$D,CH$1,STATUS!$U:$U,"ВОЗВРАТ")</f>
        <v>0</v>
      </c>
      <c r="CI3" s="440">
        <f>COUNTIFS(STATUS!$Q:$Q,$A2,STATUS!$D:$D,CI$1,STATUS!$U:$U,"ВОЗВРАТ")</f>
        <v>0</v>
      </c>
      <c r="CJ3" s="440">
        <f>COUNTIFS(STATUS!$Q:$Q,$A2,STATUS!$D:$D,CJ$1,STATUS!$U:$U,"ВОЗВРАТ")</f>
        <v>0</v>
      </c>
      <c r="CK3" s="576">
        <f>SUM(CF3:CJ3)</f>
        <v>0</v>
      </c>
      <c r="CL3" s="306">
        <f>COUNTIFS(STATUS!$Q:$Q,$A2,STATUS!$D:$D,CL$1,STATUS!$U:$U,"ВОЗВРАТ")</f>
        <v>1</v>
      </c>
      <c r="CM3" s="306">
        <f>COUNTIFS(STATUS!$Q:$Q,$A2,STATUS!$D:$D,CM$1,STATUS!$U:$U,"ВОЗВРАТ")</f>
        <v>0</v>
      </c>
      <c r="CN3" s="306">
        <f>COUNTIFS(STATUS!$Q:$Q,$A2,STATUS!$D:$D,CN$1,STATUS!$U:$U,"ВОЗВРАТ")</f>
        <v>1</v>
      </c>
      <c r="CO3" s="440">
        <f>COUNTIFS(STATUS!$Q:$Q,$A2,STATUS!$D:$D,CO$1,STATUS!$U:$U,"ВОЗВРАТ")</f>
        <v>0</v>
      </c>
      <c r="CP3" s="440">
        <f>COUNTIFS(STATUS!$Q:$Q,$A2,STATUS!$D:$D,CP$1,STATUS!$U:$U,"ВОЗВРАТ")</f>
        <v>0</v>
      </c>
      <c r="CQ3" s="572">
        <f>SUM(CL3:CP3)</f>
        <v>2</v>
      </c>
      <c r="CR3" s="306">
        <f>COUNTIFS(STATUS!$Q:$Q,$A2,STATUS!$D:$D,CR$1,STATUS!$U:$U,"ВОЗВРАТ")</f>
        <v>1</v>
      </c>
      <c r="CS3" s="306">
        <f>COUNTIFS(STATUS!$Q:$Q,$A2,STATUS!$D:$D,CS$1,STATUS!$U:$U,"ВОЗВРАТ")</f>
        <v>1</v>
      </c>
      <c r="CT3" s="306">
        <f>COUNTIFS(STATUS!$Q:$Q,$A2,STATUS!$D:$D,CT$1,STATUS!$U:$U,"ВОЗВРАТ")</f>
        <v>0</v>
      </c>
      <c r="CU3" s="440">
        <f>COUNTIFS(STATUS!$Q:$Q,$A2,STATUS!$D:$D,CU$1,STATUS!$U:$U,"ВОЗВРАТ")</f>
        <v>2</v>
      </c>
      <c r="CV3" s="440">
        <f>COUNTIFS(STATUS!$Q:$Q,$A2,STATUS!$D:$D,CV$1,STATUS!$U:$U,"ВОЗВРАТ")</f>
        <v>0</v>
      </c>
      <c r="CW3" s="572">
        <f>SUM(CR3:CV3)</f>
        <v>4</v>
      </c>
      <c r="CX3" s="306">
        <f>COUNTIFS(STATUS!$Q:$Q,$A2,STATUS!$D:$D,CX$1,STATUS!$U:$U,"ВОЗВРАТ")</f>
        <v>0</v>
      </c>
      <c r="CY3" s="306">
        <f>COUNTIFS(STATUS!$Q:$Q,$A2,STATUS!$D:$D,CY$1,STATUS!$U:$U,"ВОЗВРАТ")</f>
        <v>0</v>
      </c>
      <c r="CZ3" s="306">
        <f>COUNTIFS(STATUS!$Q:$Q,$A2,STATUS!$D:$D,CZ$1,STATUS!$U:$U,"ВОЗВРАТ")</f>
        <v>2</v>
      </c>
      <c r="DA3" s="440">
        <f>COUNTIFS(STATUS!$Q:$Q,$A2,STATUS!$D:$D,DA$1,STATUS!$U:$U,"ВОЗВРАТ")</f>
        <v>0</v>
      </c>
      <c r="DB3" s="440">
        <f>COUNTIFS(STATUS!$Q:$Q,$A2,STATUS!$D:$D,DB$1,STATUS!$U:$U,"ВОЗВРАТ")</f>
        <v>0</v>
      </c>
      <c r="DC3" s="572">
        <f>SUM(CX3:DB3)</f>
        <v>2</v>
      </c>
      <c r="DD3" s="577">
        <f>COUNTIFS(STATUS!$Q:$Q,$A2,STATUS!$D:$D,DD$1,STATUS!$U:$U,"ВОЗВРАТ")</f>
        <v>0</v>
      </c>
      <c r="DE3" s="577">
        <f>COUNTIFS(STATUS!$Q:$Q,$A2,STATUS!$D:$D,DE$1,STATUS!$U:$U,"ВОЗВРАТ")</f>
        <v>0</v>
      </c>
      <c r="DF3" s="577">
        <f>COUNTIFS(STATUS!$Q:$Q,$A2,STATUS!$D:$D,DF$1,STATUS!$U:$U,"ВОЗВРАТ")</f>
        <v>0</v>
      </c>
      <c r="DG3" s="578">
        <f>COUNTIFS(STATUS!$Q:$Q,$A2,STATUS!$D:$D,DG$1,STATUS!$U:$U,"ВОЗВРАТ")</f>
        <v>0</v>
      </c>
      <c r="DH3" s="578">
        <f>COUNTIFS(STATUS!$Q:$Q,$A2,STATUS!$D:$D,DH$1,STATUS!$U:$U,"ВОЗВРАТ")</f>
        <v>0</v>
      </c>
      <c r="DI3" s="576">
        <f>SUM(DD3:DH3)</f>
        <v>0</v>
      </c>
      <c r="DJ3" s="577">
        <f>COUNTIFS(STATUS!$Q:$Q,$A2,STATUS!$D:$D,DJ$1,STATUS!$U:$U,"ВОЗВРАТ")</f>
        <v>0</v>
      </c>
      <c r="DK3" s="577">
        <f>COUNTIFS(STATUS!$Q:$Q,$A2,STATUS!$D:$D,DK$1,STATUS!$U:$U,"ВОЗВРАТ")</f>
        <v>0</v>
      </c>
      <c r="DL3" s="577">
        <f>COUNTIFS(STATUS!$Q:$Q,$A2,STATUS!$D:$D,DL$1,STATUS!$U:$U,"ВОЗВРАТ")</f>
        <v>0</v>
      </c>
      <c r="DM3" s="578">
        <f>COUNTIFS(STATUS!$Q:$Q,$A2,STATUS!$D:$D,DM$1,STATUS!$U:$U,"ВОЗВРАТ")</f>
        <v>0</v>
      </c>
      <c r="DN3" s="578">
        <f>COUNTIFS(STATUS!$Q:$Q,$A2,STATUS!$D:$D,DN$1,STATUS!$U:$U,"ВОЗВРАТ")</f>
        <v>0</v>
      </c>
      <c r="DO3" s="576">
        <f>SUM(DJ3:DN3)</f>
        <v>0</v>
      </c>
      <c r="DP3" s="1300">
        <f>COUNTIFS(STATUS!$Q:$Q,$A2,STATUS!$D:$D,DP$1,STATUS!$U:$U,"ВОЗВРАТ")</f>
        <v>0</v>
      </c>
      <c r="DQ3" s="1300">
        <f>COUNTIFS(STATUS!$Q:$Q,$A2,STATUS!$D:$D,DQ$1,STATUS!$U:$U,"ВОЗВРАТ")</f>
        <v>1</v>
      </c>
      <c r="DR3" s="1300">
        <f>COUNTIFS(STATUS!$Q:$Q,$A2,STATUS!$D:$D,DR$1,STATUS!$U:$U,"ВОЗВРАТ")</f>
        <v>0</v>
      </c>
      <c r="DS3" s="1301">
        <f>COUNTIFS(STATUS!$Q:$Q,$A2,STATUS!$D:$D,DS$1,STATUS!$U:$U,"ВОЗВРАТ")</f>
        <v>0</v>
      </c>
      <c r="DT3" s="1301">
        <f>COUNTIFS(STATUS!$Q:$Q,$A2,STATUS!$D:$D,DT$1,STATUS!$U:$U,"ВОЗВРАТ")</f>
        <v>2</v>
      </c>
      <c r="DU3" s="572">
        <f>SUM(DP3:DT3)</f>
        <v>3</v>
      </c>
      <c r="DV3" s="1300">
        <f>COUNTIFS(STATUS!$Q:$Q,$A2,STATUS!$D:$D,DV$1,STATUS!$U:$U,"ВОЗВРАТ")</f>
        <v>1</v>
      </c>
      <c r="DW3" s="1300">
        <f>COUNTIFS(STATUS!$Q:$Q,$A2,STATUS!$D:$D,DW$1,STATUS!$U:$U,"ВОЗВРАТ")</f>
        <v>1</v>
      </c>
      <c r="DX3" s="1300">
        <f>COUNTIFS(STATUS!$Q:$Q,$A2,STATUS!$D:$D,DX$1,STATUS!$U:$U,"ВОЗВРАТ")</f>
        <v>1</v>
      </c>
      <c r="DY3" s="1301">
        <f>COUNTIFS(STATUS!$Q:$Q,$A2,STATUS!$D:$D,DY$1,STATUS!$U:$U,"ВОЗВРАТ")</f>
        <v>0</v>
      </c>
      <c r="DZ3" s="1301">
        <f>COUNTIFS(STATUS!$Q:$Q,$A2,STATUS!$D:$D,DZ$1,STATUS!$U:$U,"ВОЗВРАТ")</f>
        <v>0</v>
      </c>
      <c r="EA3" s="572">
        <f>SUM(DV3:DZ3)</f>
        <v>3</v>
      </c>
      <c r="EB3" s="1300">
        <f>COUNTIFS(STATUS!$Q:$Q,$A2,STATUS!$D:$D,EB$1,STATUS!$U:$U,"ВОЗВРАТ")</f>
        <v>0</v>
      </c>
      <c r="EC3" s="1300">
        <f>COUNTIFS(STATUS!$Q:$Q,$A2,STATUS!$D:$D,EC$1,STATUS!$U:$U,"ВОЗВРАТ")</f>
        <v>3</v>
      </c>
      <c r="ED3" s="1300">
        <f>COUNTIFS(STATUS!$Q:$Q,$A2,STATUS!$D:$D,ED$1,STATUS!$U:$U,"ВОЗВРАТ")</f>
        <v>0</v>
      </c>
      <c r="EE3" s="1301">
        <f>COUNTIFS(STATUS!$Q:$Q,$A2,STATUS!$D:$D,EE$1,STATUS!$U:$U,"ВОЗВРАТ")</f>
        <v>1</v>
      </c>
      <c r="EF3" s="1301">
        <f>COUNTIFS(STATUS!$Q:$Q,$A2,STATUS!$D:$D,EF$1,STATUS!$U:$U,"ВОЗВРАТ")</f>
        <v>1</v>
      </c>
      <c r="EG3" s="572">
        <f>SUM(EB3:EF3)</f>
        <v>5</v>
      </c>
      <c r="EH3" s="1300">
        <f>COUNTIFS(STATUS!$Q:$Q,$A2,STATUS!$D:$D,EH$1,STATUS!$U:$U,"ВОЗВРАТ")</f>
        <v>1</v>
      </c>
      <c r="EI3" s="1300">
        <f>COUNTIFS(STATUS!$Q:$Q,$A2,STATUS!$D:$D,EI$1,STATUS!$U:$U,"ВОЗВРАТ")</f>
        <v>0</v>
      </c>
      <c r="EJ3" s="1300">
        <f>COUNTIFS(STATUS!$Q:$Q,$A2,STATUS!$D:$D,EJ$1,STATUS!$U:$U,"ВОЗВРАТ")</f>
        <v>0</v>
      </c>
      <c r="EK3" s="1301">
        <f>COUNTIFS(STATUS!$Q:$Q,$A2,STATUS!$D:$D,EK$1,STATUS!$U:$U,"ВОЗВРАТ")</f>
        <v>1</v>
      </c>
      <c r="EL3" s="1301">
        <f>COUNTIFS(STATUS!$Q:$Q,$A2,STATUS!$D:$D,EL$1,STATUS!$U:$U,"ВОЗВРАТ")</f>
        <v>0</v>
      </c>
      <c r="EM3" s="572">
        <f>SUM(EH3:EL3)</f>
        <v>2</v>
      </c>
      <c r="EN3" s="1300">
        <f>COUNTIFS(STATUS!$Q:$Q,$A2,STATUS!$D:$D,EN$1,STATUS!$U:$U,"ВОЗВРАТ")</f>
        <v>0</v>
      </c>
      <c r="EO3" s="1300">
        <f>COUNTIFS(STATUS!$Q:$Q,$A2,STATUS!$D:$D,EO$1,STATUS!$U:$U,"ВОЗВРАТ")</f>
        <v>0</v>
      </c>
      <c r="EP3" s="1300">
        <f>COUNTIFS(STATUS!$Q:$Q,$A2,STATUS!$D:$D,EP$1,STATUS!$U:$U,"ВОЗВРАТ")</f>
        <v>2</v>
      </c>
      <c r="EQ3" s="1301">
        <f>COUNTIFS(STATUS!$Q:$Q,$A2,STATUS!$D:$D,EQ$1,STATUS!$U:$U,"ВОЗВРАТ")</f>
        <v>1</v>
      </c>
      <c r="ER3" s="1301">
        <f>COUNTIFS(STATUS!$Q:$Q,$A2,STATUS!$D:$D,ER$1,STATUS!$U:$U,"ВОЗВРАТ")</f>
        <v>0</v>
      </c>
      <c r="ES3" s="572">
        <f>SUM(EN3:ER3)</f>
        <v>3</v>
      </c>
      <c r="ET3" s="1300">
        <f>COUNTIFS(STATUS!$Q:$Q,$A2,STATUS!$D:$D,ET$1,STATUS!$U:$U,"ВОЗВРАТ")</f>
        <v>1</v>
      </c>
      <c r="EU3" s="1300">
        <f>COUNTIFS(STATUS!$Q:$Q,$A2,STATUS!$D:$D,EU$1,STATUS!$U:$U,"ВОЗВРАТ")</f>
        <v>1</v>
      </c>
      <c r="EV3" s="1300">
        <f>COUNTIFS(STATUS!$Q:$Q,$A2,STATUS!$D:$D,EV$1,STATUS!$U:$U,"ВОЗВРАТ")</f>
        <v>1</v>
      </c>
      <c r="EW3" s="1301">
        <f>COUNTIFS(STATUS!$Q:$Q,$A2,STATUS!$D:$D,EW$1,STATUS!$U:$U,"ВОЗВРАТ")</f>
        <v>0</v>
      </c>
      <c r="EX3" s="1301">
        <f>COUNTIFS(STATUS!$Q:$Q,$A2,STATUS!$D:$D,EX$1,STATUS!$U:$U,"ВОЗВРАТ")</f>
        <v>0</v>
      </c>
      <c r="EY3" s="572">
        <f>SUM(ET3:EX3)</f>
        <v>3</v>
      </c>
      <c r="EZ3" s="1300">
        <f>COUNTIFS(STATUS!$Q:$Q,$A2,STATUS!$D:$D,EZ$1,STATUS!$U:$U,"ВОЗВРАТ")</f>
        <v>0</v>
      </c>
      <c r="FA3" s="1300">
        <f>COUNTIFS(STATUS!$Q:$Q,$A2,STATUS!$D:$D,FA$1,STATUS!$U:$U,"ВОЗВРАТ")</f>
        <v>0</v>
      </c>
      <c r="FB3" s="1300">
        <f>COUNTIFS(STATUS!$Q:$Q,$A2,STATUS!$D:$D,FB$1,STATUS!$U:$U,"ВОЗВРАТ")</f>
        <v>0</v>
      </c>
      <c r="FC3" s="1301">
        <f>COUNTIFS(STATUS!$Q:$Q,$A2,STATUS!$D:$D,FC$1,STATUS!$U:$U,"ВОЗВРАТ")</f>
        <v>0</v>
      </c>
      <c r="FD3" s="1301">
        <f>COUNTIFS(STATUS!$Q:$Q,$A2,STATUS!$D:$D,FD$1,STATUS!$U:$U,"ВОЗВРАТ")</f>
        <v>0</v>
      </c>
      <c r="FE3" s="576">
        <f>SUM(EZ3:FD3)</f>
        <v>0</v>
      </c>
      <c r="FF3" s="577">
        <f>COUNTIFS(STATUS!$Q:$Q,$A2,STATUS!$D:$D,FF$1,STATUS!$U:$U,"ВОЗВРАТ")</f>
        <v>0</v>
      </c>
      <c r="FG3" s="577">
        <f>COUNTIFS(STATUS!$Q:$Q,$A2,STATUS!$D:$D,FG$1,STATUS!$U:$U,"ВОЗВРАТ")</f>
        <v>0</v>
      </c>
      <c r="FH3" s="577">
        <f>COUNTIFS(STATUS!$Q:$Q,$A2,STATUS!$D:$D,FH$1,STATUS!$U:$U,"ВОЗВРАТ")</f>
        <v>0</v>
      </c>
      <c r="FI3" s="578">
        <f>COUNTIFS(STATUS!$Q:$Q,$A2,STATUS!$D:$D,FI$1,STATUS!$U:$U,"ВОЗВРАТ")</f>
        <v>0</v>
      </c>
      <c r="FJ3" s="578">
        <f>COUNTIFS(STATUS!$Q:$Q,$A2,STATUS!$D:$D,FJ$1,STATUS!$U:$U,"ВОЗВРАТ")</f>
        <v>0</v>
      </c>
      <c r="FK3" s="576">
        <f>SUM(FF3:FJ3)</f>
        <v>0</v>
      </c>
      <c r="FL3" s="577">
        <f>COUNTIFS(STATUS!$Q:$Q,$A2,STATUS!$D:$D,FL$1,STATUS!$U:$U,"ВОЗВРАТ")</f>
        <v>0</v>
      </c>
      <c r="FM3" s="577">
        <f>COUNTIFS(STATUS!$Q:$Q,$A2,STATUS!$D:$D,FM$1,STATUS!$U:$U,"ВОЗВРАТ")</f>
        <v>0</v>
      </c>
      <c r="FN3" s="577">
        <f>COUNTIFS(STATUS!$Q:$Q,$A2,STATUS!$D:$D,FN$1,STATUS!$U:$U,"ВОЗВРАТ")</f>
        <v>0</v>
      </c>
      <c r="FO3" s="578">
        <f>COUNTIFS(STATUS!$Q:$Q,$A2,STATUS!$D:$D,FO$1,STATUS!$U:$U,"ВОЗВРАТ")</f>
        <v>0</v>
      </c>
      <c r="FP3" s="578">
        <f>COUNTIFS(STATUS!$Q:$Q,$A2,STATUS!$D:$D,FP$1,STATUS!$U:$U,"ВОЗВРАТ")</f>
        <v>0</v>
      </c>
      <c r="FQ3" s="576">
        <f>SUM(FL3:FP3)</f>
        <v>0</v>
      </c>
      <c r="FR3" s="577">
        <f>COUNTIFS(STATUS!$Q:$Q,$A2,STATUS!$D:$D,FR$1,STATUS!$U:$U,"ВОЗВРАТ")</f>
        <v>0</v>
      </c>
      <c r="FS3" s="1300">
        <f>COUNTIFS(STATUS!$Q:$Q,$A2,STATUS!$D:$D,FS$1,STATUS!$U:$U,"ВОЗВРАТ")</f>
        <v>0</v>
      </c>
      <c r="FT3" s="1300">
        <f>COUNTIFS(STATUS!$Q:$Q,$A2,STATUS!$D:$D,FT$1,STATUS!$U:$U,"ВОЗВРАТ")</f>
        <v>0</v>
      </c>
      <c r="FU3" s="1301">
        <f>COUNTIFS(STATUS!$Q:$Q,$A2,STATUS!$D:$D,FU$1,STATUS!$U:$U,"ВОЗВРАТ")</f>
        <v>0</v>
      </c>
      <c r="FV3" s="1301">
        <f>COUNTIFS(STATUS!$Q:$Q,$A2,STATUS!$D:$D,FV$1,STATUS!$U:$U,"ВОЗВРАТ")</f>
        <v>0</v>
      </c>
      <c r="FW3" s="572">
        <f>SUM(FR3:FV3)</f>
        <v>0</v>
      </c>
      <c r="FX3" s="577">
        <f>COUNTIFS(STATUS!$Q:$Q,$A2,STATUS!$D:$D,FX$1,STATUS!$U:$U,"ВОЗВРАТ")</f>
        <v>1</v>
      </c>
      <c r="FY3" s="1300">
        <f>COUNTIFS(STATUS!$Q:$Q,$A2,STATUS!$D:$D,FY$1,STATUS!$U:$U,"ВОЗВРАТ")</f>
        <v>1</v>
      </c>
      <c r="FZ3" s="1300">
        <f>COUNTIFS(STATUS!$Q:$Q,$A2,STATUS!$D:$D,FZ$1,STATUS!$U:$U,"ВОЗВРАТ")</f>
        <v>0</v>
      </c>
      <c r="GA3" s="1301">
        <f>COUNTIFS(STATUS!$Q:$Q,$A2,STATUS!$D:$D,GA$1,STATUS!$U:$U,"ВОЗВРАТ")</f>
        <v>0</v>
      </c>
      <c r="GB3" s="1301">
        <f>COUNTIFS(STATUS!$Q:$Q,$A2,STATUS!$D:$D,GB$1,STATUS!$U:$U,"ВОЗВРАТ")</f>
        <v>0</v>
      </c>
      <c r="GC3" s="572">
        <f>SUM(FX3:GB3)</f>
        <v>2</v>
      </c>
      <c r="GD3" s="577">
        <f>COUNTIFS(STATUS!$Q:$Q,$A2,STATUS!$D:$D,GD$1,STATUS!$U:$U,"ВОЗВРАТ")</f>
        <v>0</v>
      </c>
      <c r="GE3" s="1300">
        <f>COUNTIFS(STATUS!$Q:$Q,$A2,STATUS!$D:$D,GE$1,STATUS!$U:$U,"ВОЗВРАТ")</f>
        <v>0</v>
      </c>
      <c r="GF3" s="1300">
        <f>COUNTIFS(STATUS!$Q:$Q,$A2,STATUS!$D:$D,GF$1,STATUS!$U:$U,"ВОЗВРАТ")</f>
        <v>0</v>
      </c>
      <c r="GG3" s="1301">
        <f>COUNTIFS(STATUS!$Q:$Q,$A2,STATUS!$D:$D,GG$1,STATUS!$U:$U,"ВОЗВРАТ")</f>
        <v>0</v>
      </c>
      <c r="GH3" s="1301">
        <f>COUNTIFS(STATUS!$Q:$Q,$A2,STATUS!$D:$D,GH$1,STATUS!$U:$U,"ВОЗВРАТ")</f>
        <v>0</v>
      </c>
      <c r="GI3" s="576">
        <f>SUM(GD3:GH3)</f>
        <v>0</v>
      </c>
      <c r="GJ3" s="577">
        <f>COUNTIFS(STATUS!$Q:$Q,$A2,STATUS!$D:$D,GJ$1,STATUS!$U:$U,"ВОЗВРАТ")</f>
        <v>0</v>
      </c>
      <c r="GK3" s="577">
        <f>COUNTIFS(STATUS!$Q:$Q,$A2,STATUS!$D:$D,GK$1,STATUS!$U:$U,"ВОЗВРАТ")</f>
        <v>0</v>
      </c>
      <c r="GL3" s="577">
        <f>COUNTIFS(STATUS!$Q:$Q,$A2,STATUS!$D:$D,GL$1,STATUS!$U:$U,"ВОЗВРАТ")</f>
        <v>0</v>
      </c>
      <c r="GM3" s="578">
        <f>COUNTIFS(STATUS!$Q:$Q,$A2,STATUS!$D:$D,GM$1,STATUS!$U:$U,"ВОЗВРАТ")</f>
        <v>0</v>
      </c>
      <c r="GN3" s="578">
        <f>COUNTIFS(STATUS!$Q:$Q,$A2,STATUS!$D:$D,GN$1,STATUS!$U:$U,"ВОЗВРАТ")</f>
        <v>0</v>
      </c>
      <c r="GO3" s="576">
        <f>SUM(GJ3:GN3)</f>
        <v>0</v>
      </c>
      <c r="GP3" s="577">
        <f>COUNTIFS(STATUS!$Q:$Q,$A2,STATUS!$D:$D,GP$1,STATUS!$U:$U,"ВОЗВРАТ")</f>
        <v>0</v>
      </c>
      <c r="GQ3" s="577">
        <f>COUNTIFS(STATUS!$Q:$Q,$A2,STATUS!$D:$D,GQ$1,STATUS!$U:$U,"ВОЗВРАТ")</f>
        <v>0</v>
      </c>
      <c r="GR3" s="577">
        <f>COUNTIFS(STATUS!$Q:$Q,$A2,STATUS!$D:$D,GR$1,STATUS!$U:$U,"ВОЗВРАТ")</f>
        <v>0</v>
      </c>
      <c r="GS3" s="578">
        <f>COUNTIFS(STATUS!$Q:$Q,$A2,STATUS!$D:$D,GS$1,STATUS!$U:$U,"ВОЗВРАТ")</f>
        <v>0</v>
      </c>
      <c r="GT3" s="578">
        <f>COUNTIFS(STATUS!$Q:$Q,$A2,STATUS!$D:$D,GT$1,STATUS!$U:$U,"ВОЗВРАТ")</f>
        <v>0</v>
      </c>
      <c r="GU3" s="576">
        <f>SUM(GP3:GT3)</f>
        <v>0</v>
      </c>
      <c r="GV3" s="577">
        <f>COUNTIFS(STATUS!$Q:$Q,$A2,STATUS!$D:$D,GV$1,STATUS!$U:$U,"ВОЗВРАТ")</f>
        <v>0</v>
      </c>
      <c r="GW3" s="577">
        <f>COUNTIFS(STATUS!$Q:$Q,$A2,STATUS!$D:$D,GW$1,STATUS!$U:$U,"ВОЗВРАТ")</f>
        <v>0</v>
      </c>
      <c r="GX3" s="577">
        <f>COUNTIFS(STATUS!$Q:$Q,$A2,STATUS!$D:$D,GX$1,STATUS!$U:$U,"ВОЗВРАТ")</f>
        <v>0</v>
      </c>
      <c r="GY3" s="578">
        <f>COUNTIFS(STATUS!$Q:$Q,$A2,STATUS!$D:$D,GY$1,STATUS!$U:$U,"ВОЗВРАТ")</f>
        <v>0</v>
      </c>
      <c r="GZ3" s="578">
        <f>COUNTIFS(STATUS!$Q:$Q,$A2,STATUS!$D:$D,GZ$1,STATUS!$U:$U,"ВОЗВРАТ")</f>
        <v>0</v>
      </c>
      <c r="HA3" s="576">
        <f>SUM(GV3:GZ3)</f>
        <v>0</v>
      </c>
    </row>
    <row r="4" spans="1:209" s="431" customFormat="1" ht="21.6" thickBot="1" x14ac:dyDescent="0.35">
      <c r="A4" s="1560"/>
      <c r="B4" s="434">
        <f>B3/B2</f>
        <v>0.15887850467289719</v>
      </c>
      <c r="C4" s="397">
        <f>IFERROR(C3/C2,0)</f>
        <v>0</v>
      </c>
      <c r="D4" s="397">
        <f t="shared" ref="D4:Q4" si="0">IFERROR(D3/D2,0)</f>
        <v>0.33333333333333331</v>
      </c>
      <c r="E4" s="397">
        <f t="shared" si="0"/>
        <v>0.2</v>
      </c>
      <c r="F4" s="397">
        <f t="shared" si="0"/>
        <v>0.4</v>
      </c>
      <c r="G4" s="441">
        <f t="shared" si="0"/>
        <v>0.2</v>
      </c>
      <c r="H4" s="573">
        <f t="shared" si="0"/>
        <v>0.22727272727272727</v>
      </c>
      <c r="I4" s="444">
        <f t="shared" si="0"/>
        <v>0.25</v>
      </c>
      <c r="J4" s="397">
        <f t="shared" si="0"/>
        <v>0</v>
      </c>
      <c r="K4" s="397">
        <f t="shared" si="0"/>
        <v>0.16666666666666666</v>
      </c>
      <c r="L4" s="397">
        <f t="shared" si="0"/>
        <v>0</v>
      </c>
      <c r="M4" s="441">
        <f t="shared" si="0"/>
        <v>0</v>
      </c>
      <c r="N4" s="573">
        <f t="shared" ref="N4" si="1">IFERROR(N3/N2,0)</f>
        <v>0.15384615384615385</v>
      </c>
      <c r="O4" s="444">
        <f t="shared" si="0"/>
        <v>0.5</v>
      </c>
      <c r="P4" s="397">
        <f t="shared" si="0"/>
        <v>0</v>
      </c>
      <c r="Q4" s="397">
        <f t="shared" si="0"/>
        <v>0</v>
      </c>
      <c r="R4" s="573">
        <f>IFERROR(R3/R2,0)</f>
        <v>0.5</v>
      </c>
      <c r="S4" s="397">
        <f>IFERROR(S3/S2,0)</f>
        <v>0.33333333333333331</v>
      </c>
      <c r="T4" s="397">
        <f>IFERROR(T3/T2,0)</f>
        <v>0.5</v>
      </c>
      <c r="U4" s="397">
        <f>IFERROR(U3/U2,0)</f>
        <v>0</v>
      </c>
      <c r="V4" s="441">
        <f t="shared" ref="V4" si="2">IFERROR(V3/V2,0)</f>
        <v>0.33333333333333331</v>
      </c>
      <c r="W4" s="573">
        <f>IFERROR(W3/W2,0)</f>
        <v>0.33333333333333331</v>
      </c>
      <c r="X4" s="397">
        <f>IFERROR(X3/X2,0)</f>
        <v>0.4</v>
      </c>
      <c r="Y4" s="397">
        <f>IFERROR(Y3/Y2,0)</f>
        <v>0.2</v>
      </c>
      <c r="Z4" s="397">
        <f>IFERROR(Z3/Z2,0)</f>
        <v>0.2</v>
      </c>
      <c r="AA4" s="441">
        <f t="shared" ref="AA4:AB4" si="3">IFERROR(AA3/AA2,0)</f>
        <v>0</v>
      </c>
      <c r="AB4" s="441">
        <f t="shared" si="3"/>
        <v>0</v>
      </c>
      <c r="AC4" s="573">
        <f>IFERROR(AC3/AC2,0)</f>
        <v>0.16666666666666666</v>
      </c>
      <c r="AD4" s="397">
        <f>IFERROR(AD3/AD2,0)</f>
        <v>0.33333333333333331</v>
      </c>
      <c r="AE4" s="397">
        <f>IFERROR(AE3/AE2,0)</f>
        <v>0.33333333333333331</v>
      </c>
      <c r="AF4" s="397">
        <f>IFERROR(AF3/AF2,0)</f>
        <v>9.0909090909090912E-2</v>
      </c>
      <c r="AG4" s="441">
        <f t="shared" ref="AG4:AH4" si="4">IFERROR(AG3/AG2,0)</f>
        <v>0</v>
      </c>
      <c r="AH4" s="441">
        <f t="shared" si="4"/>
        <v>0</v>
      </c>
      <c r="AI4" s="573">
        <f>IFERROR(AI3/AI2,0)</f>
        <v>0.17647058823529413</v>
      </c>
      <c r="AJ4" s="397">
        <f>IFERROR(AJ3/AJ2,0)</f>
        <v>0.23529411764705882</v>
      </c>
      <c r="AK4" s="397">
        <f>IFERROR(AK3/AK2,0)</f>
        <v>0</v>
      </c>
      <c r="AL4" s="397">
        <f>IFERROR(AL3/AL2,0)</f>
        <v>0</v>
      </c>
      <c r="AM4" s="441">
        <f t="shared" ref="AM4:AN4" si="5">IFERROR(AM3/AM2,0)</f>
        <v>0</v>
      </c>
      <c r="AN4" s="441">
        <f t="shared" si="5"/>
        <v>0.33333333333333331</v>
      </c>
      <c r="AO4" s="573">
        <f>IFERROR(AO3/AO2,0)</f>
        <v>0.19230769230769232</v>
      </c>
      <c r="AP4" s="397">
        <f>IFERROR(AP3/AP2,0)</f>
        <v>0</v>
      </c>
      <c r="AQ4" s="397">
        <f>IFERROR(AQ3/AQ2,0)</f>
        <v>0.4</v>
      </c>
      <c r="AR4" s="397">
        <f>IFERROR(AR3/AR2,0)</f>
        <v>0.33333333333333331</v>
      </c>
      <c r="AS4" s="441">
        <f t="shared" ref="AS4:AT4" si="6">IFERROR(AS3/AS2,0)</f>
        <v>0.5</v>
      </c>
      <c r="AT4" s="441">
        <f t="shared" si="6"/>
        <v>0</v>
      </c>
      <c r="AU4" s="573">
        <f>IFERROR(AU3/AU2,0)</f>
        <v>0.33333333333333331</v>
      </c>
      <c r="AV4" s="397">
        <f>IFERROR(AV3/AV2,0)</f>
        <v>0</v>
      </c>
      <c r="AW4" s="397">
        <f>IFERROR(AW3/AW2,0)</f>
        <v>0.11904761904761904</v>
      </c>
      <c r="AX4" s="397">
        <f>IFERROR(AX3/AX2,0)</f>
        <v>0</v>
      </c>
      <c r="AY4" s="441">
        <f t="shared" ref="AY4:AZ4" si="7">IFERROR(AY3/AY2,0)</f>
        <v>0.5</v>
      </c>
      <c r="AZ4" s="441">
        <f t="shared" si="7"/>
        <v>0.25</v>
      </c>
      <c r="BA4" s="573">
        <f>IFERROR(BA3/BA2,0)</f>
        <v>0.13207547169811321</v>
      </c>
      <c r="BB4" s="397">
        <f>IFERROR(BB3/BB2,0)</f>
        <v>0</v>
      </c>
      <c r="BC4" s="397">
        <f>IFERROR(BC3/BC2,0)</f>
        <v>0</v>
      </c>
      <c r="BD4" s="397">
        <f>IFERROR(BD3/BD2,0)</f>
        <v>0</v>
      </c>
      <c r="BE4" s="441">
        <f t="shared" ref="BE4:BF4" si="8">IFERROR(BE3/BE2,0)</f>
        <v>0</v>
      </c>
      <c r="BF4" s="441">
        <f t="shared" si="8"/>
        <v>0</v>
      </c>
      <c r="BG4" s="573">
        <f>IFERROR(BG3/BG2,0)</f>
        <v>0</v>
      </c>
      <c r="BH4" s="397">
        <f>IFERROR(BH3/BH2,0)</f>
        <v>0.4</v>
      </c>
      <c r="BI4" s="397">
        <f>IFERROR(BI3/BI2,0)</f>
        <v>0</v>
      </c>
      <c r="BJ4" s="397">
        <f>IFERROR(BJ3/BJ2,0)</f>
        <v>0</v>
      </c>
      <c r="BK4" s="441">
        <f t="shared" ref="BK4:BL4" si="9">IFERROR(BK3/BK2,0)</f>
        <v>0</v>
      </c>
      <c r="BL4" s="441">
        <f t="shared" si="9"/>
        <v>0</v>
      </c>
      <c r="BM4" s="573">
        <f>IFERROR(BM3/BM2,0)</f>
        <v>0.4</v>
      </c>
      <c r="BN4" s="397">
        <f>IFERROR(BN3/BN2,0)</f>
        <v>0</v>
      </c>
      <c r="BO4" s="397">
        <f>IFERROR(BO3/BO2,0)</f>
        <v>0</v>
      </c>
      <c r="BP4" s="397">
        <f>IFERROR(BP3/BP2,0)</f>
        <v>0</v>
      </c>
      <c r="BQ4" s="441">
        <f t="shared" ref="BQ4:BR4" si="10">IFERROR(BQ3/BQ2,0)</f>
        <v>0</v>
      </c>
      <c r="BR4" s="441">
        <f t="shared" si="10"/>
        <v>0</v>
      </c>
      <c r="BS4" s="573">
        <f>IFERROR(BS3/BS2,0)</f>
        <v>0</v>
      </c>
      <c r="BT4" s="397">
        <f>IFERROR(BT3/BT2,0)</f>
        <v>0</v>
      </c>
      <c r="BU4" s="397">
        <f>IFERROR(BU3/BU2,0)</f>
        <v>0</v>
      </c>
      <c r="BV4" s="397">
        <f>IFERROR(BV3/BV2,0)</f>
        <v>0</v>
      </c>
      <c r="BW4" s="441">
        <f t="shared" ref="BW4:BX4" si="11">IFERROR(BW3/BW2,0)</f>
        <v>0</v>
      </c>
      <c r="BX4" s="441">
        <f t="shared" si="11"/>
        <v>0</v>
      </c>
      <c r="BY4" s="573">
        <f>IFERROR(BY3/BY2,0)</f>
        <v>0</v>
      </c>
      <c r="BZ4" s="397">
        <f>IFERROR(BZ3/BZ2,0)</f>
        <v>0</v>
      </c>
      <c r="CA4" s="397">
        <f>IFERROR(CA3/CA2,0)</f>
        <v>0</v>
      </c>
      <c r="CB4" s="397">
        <f>IFERROR(CB3/CB2,0)</f>
        <v>0</v>
      </c>
      <c r="CC4" s="441">
        <f t="shared" ref="CC4:CD4" si="12">IFERROR(CC3/CC2,0)</f>
        <v>0</v>
      </c>
      <c r="CD4" s="441">
        <f t="shared" si="12"/>
        <v>0</v>
      </c>
      <c r="CE4" s="573">
        <f>IFERROR(CE3/CE2,0)</f>
        <v>0</v>
      </c>
      <c r="CF4" s="397">
        <f>IFERROR(CF3/CF2,0)</f>
        <v>0</v>
      </c>
      <c r="CG4" s="397">
        <f>IFERROR(CG3/CG2,0)</f>
        <v>0</v>
      </c>
      <c r="CH4" s="397">
        <f>IFERROR(CH3/CH2,0)</f>
        <v>0</v>
      </c>
      <c r="CI4" s="441">
        <f t="shared" ref="CI4:CJ4" si="13">IFERROR(CI3/CI2,0)</f>
        <v>0</v>
      </c>
      <c r="CJ4" s="441">
        <f t="shared" si="13"/>
        <v>0</v>
      </c>
      <c r="CK4" s="573">
        <f>IFERROR(CK3/CK2,0)</f>
        <v>0</v>
      </c>
      <c r="CL4" s="397">
        <f>IFERROR(CL3/CL2,0)</f>
        <v>0.25</v>
      </c>
      <c r="CM4" s="397">
        <f>IFERROR(CM3/CM2,0)</f>
        <v>0</v>
      </c>
      <c r="CN4" s="397">
        <f>IFERROR(CN3/CN2,0)</f>
        <v>0.33333333333333331</v>
      </c>
      <c r="CO4" s="441">
        <f t="shared" ref="CO4:CP4" si="14">IFERROR(CO3/CO2,0)</f>
        <v>0</v>
      </c>
      <c r="CP4" s="441">
        <f t="shared" si="14"/>
        <v>0</v>
      </c>
      <c r="CQ4" s="573">
        <f>IFERROR(CQ3/CQ2,0)</f>
        <v>8.6956521739130432E-2</v>
      </c>
      <c r="CR4" s="397">
        <f>IFERROR(CR3/CR2,0)</f>
        <v>0.25</v>
      </c>
      <c r="CS4" s="397">
        <f>IFERROR(CS3/CS2,0)</f>
        <v>0.33333333333333331</v>
      </c>
      <c r="CT4" s="397">
        <f>IFERROR(CT3/CT2,0)</f>
        <v>0</v>
      </c>
      <c r="CU4" s="441">
        <f t="shared" ref="CU4:CV4" si="15">IFERROR(CU3/CU2,0)</f>
        <v>0.33333333333333331</v>
      </c>
      <c r="CV4" s="441">
        <f t="shared" si="15"/>
        <v>0</v>
      </c>
      <c r="CW4" s="573">
        <f>IFERROR(CW3/CW2,0)</f>
        <v>0.2</v>
      </c>
      <c r="CX4" s="397">
        <f>IFERROR(CX3/CX2,0)</f>
        <v>0</v>
      </c>
      <c r="CY4" s="397">
        <f>IFERROR(CY3/CY2,0)</f>
        <v>0</v>
      </c>
      <c r="CZ4" s="397">
        <f>IFERROR(CZ3/CZ2,0)</f>
        <v>0.66666666666666663</v>
      </c>
      <c r="DA4" s="441">
        <f t="shared" ref="DA4:DB4" si="16">IFERROR(DA3/DA2,0)</f>
        <v>0</v>
      </c>
      <c r="DB4" s="441">
        <f t="shared" si="16"/>
        <v>0</v>
      </c>
      <c r="DC4" s="573">
        <f>IFERROR(DC3/DC2,0)</f>
        <v>0.125</v>
      </c>
      <c r="DD4" s="397">
        <f>IFERROR(DD3/DD2,0)</f>
        <v>0</v>
      </c>
      <c r="DE4" s="397">
        <f>IFERROR(DE3/DE2,0)</f>
        <v>0</v>
      </c>
      <c r="DF4" s="397">
        <f>IFERROR(DF3/DF2,0)</f>
        <v>0</v>
      </c>
      <c r="DG4" s="441">
        <f t="shared" ref="DG4:DH4" si="17">IFERROR(DG3/DG2,0)</f>
        <v>0</v>
      </c>
      <c r="DH4" s="441">
        <f t="shared" si="17"/>
        <v>0</v>
      </c>
      <c r="DI4" s="573">
        <f>IFERROR(DI3/DI2,0)</f>
        <v>0</v>
      </c>
      <c r="DJ4" s="397">
        <f>IFERROR(DJ3/DJ2,0)</f>
        <v>0</v>
      </c>
      <c r="DK4" s="397">
        <f>IFERROR(DK3/DK2,0)</f>
        <v>0</v>
      </c>
      <c r="DL4" s="397">
        <f>IFERROR(DL3/DL2,0)</f>
        <v>0</v>
      </c>
      <c r="DM4" s="441">
        <f t="shared" ref="DM4:DN4" si="18">IFERROR(DM3/DM2,0)</f>
        <v>0</v>
      </c>
      <c r="DN4" s="441">
        <f t="shared" si="18"/>
        <v>0</v>
      </c>
      <c r="DO4" s="573">
        <f>IFERROR(DO3/DO2,0)</f>
        <v>0</v>
      </c>
      <c r="DP4" s="397">
        <f>IFERROR(DP3/DP2,0)</f>
        <v>0</v>
      </c>
      <c r="DQ4" s="397">
        <f>IFERROR(DQ3/DQ2,0)</f>
        <v>0.16666666666666666</v>
      </c>
      <c r="DR4" s="397">
        <f>IFERROR(DR3/DR2,0)</f>
        <v>0</v>
      </c>
      <c r="DS4" s="441">
        <f t="shared" ref="DS4:DT4" si="19">IFERROR(DS3/DS2,0)</f>
        <v>0</v>
      </c>
      <c r="DT4" s="441">
        <f t="shared" si="19"/>
        <v>0.4</v>
      </c>
      <c r="DU4" s="573">
        <f>IFERROR(DU3/DU2,0)</f>
        <v>0.14285714285714285</v>
      </c>
      <c r="DV4" s="397">
        <f>IFERROR(DV3/DV2,0)</f>
        <v>0.33333333333333331</v>
      </c>
      <c r="DW4" s="397">
        <f>IFERROR(DW3/DW2,0)</f>
        <v>0.25</v>
      </c>
      <c r="DX4" s="397">
        <f>IFERROR(DX3/DX2,0)</f>
        <v>0.25</v>
      </c>
      <c r="DY4" s="441">
        <f t="shared" ref="DY4:DZ4" si="20">IFERROR(DY3/DY2,0)</f>
        <v>0</v>
      </c>
      <c r="DZ4" s="441">
        <f t="shared" si="20"/>
        <v>0</v>
      </c>
      <c r="EA4" s="573">
        <f>IFERROR(EA3/EA2,0)</f>
        <v>0.16666666666666666</v>
      </c>
      <c r="EB4" s="397">
        <f>IFERROR(EB3/EB2,0)</f>
        <v>0</v>
      </c>
      <c r="EC4" s="397">
        <f>IFERROR(EC3/EC2,0)</f>
        <v>0.33333333333333331</v>
      </c>
      <c r="ED4" s="397">
        <f>IFERROR(ED3/ED2,0)</f>
        <v>0</v>
      </c>
      <c r="EE4" s="441">
        <f t="shared" ref="EE4:EF4" si="21">IFERROR(EE3/EE2,0)</f>
        <v>0.33333333333333331</v>
      </c>
      <c r="EF4" s="441">
        <f t="shared" si="21"/>
        <v>0.33333333333333331</v>
      </c>
      <c r="EG4" s="573">
        <f>IFERROR(EG3/EG2,0)</f>
        <v>0.21739130434782608</v>
      </c>
      <c r="EH4" s="397">
        <f>IFERROR(EH3/EH2,0)</f>
        <v>0.16666666666666666</v>
      </c>
      <c r="EI4" s="397">
        <f>IFERROR(EI3/EI2,0)</f>
        <v>0</v>
      </c>
      <c r="EJ4" s="397">
        <f>IFERROR(EJ3/EJ2,0)</f>
        <v>0</v>
      </c>
      <c r="EK4" s="441">
        <f t="shared" ref="EK4:EL4" si="22">IFERROR(EK3/EK2,0)</f>
        <v>0.33333333333333331</v>
      </c>
      <c r="EL4" s="441">
        <f t="shared" si="22"/>
        <v>0</v>
      </c>
      <c r="EM4" s="573">
        <f>IFERROR(EM3/EM2,0)</f>
        <v>0.1</v>
      </c>
      <c r="EN4" s="397">
        <f>IFERROR(EN3/EN2,0)</f>
        <v>0</v>
      </c>
      <c r="EO4" s="397">
        <f>IFERROR(EO3/EO2,0)</f>
        <v>0</v>
      </c>
      <c r="EP4" s="397">
        <f>IFERROR(EP3/EP2,0)</f>
        <v>0.66666666666666663</v>
      </c>
      <c r="EQ4" s="441">
        <f t="shared" ref="EQ4:ER4" si="23">IFERROR(EQ3/EQ2,0)</f>
        <v>0.25</v>
      </c>
      <c r="ER4" s="441">
        <f t="shared" si="23"/>
        <v>0</v>
      </c>
      <c r="ES4" s="573">
        <f>IFERROR(ES3/ES2,0)</f>
        <v>0.15789473684210525</v>
      </c>
      <c r="ET4" s="397">
        <f>IFERROR(ET3/ET2,0)</f>
        <v>0.16666666666666666</v>
      </c>
      <c r="EU4" s="397">
        <f>IFERROR(EU3/EU2,0)</f>
        <v>0.25</v>
      </c>
      <c r="EV4" s="397">
        <f>IFERROR(EV3/EV2,0)</f>
        <v>0.33333333333333331</v>
      </c>
      <c r="EW4" s="441">
        <f t="shared" ref="EW4:EX4" si="24">IFERROR(EW3/EW2,0)</f>
        <v>0</v>
      </c>
      <c r="EX4" s="441">
        <f t="shared" si="24"/>
        <v>0</v>
      </c>
      <c r="EY4" s="573">
        <f>IFERROR(EY3/EY2,0)</f>
        <v>0.16666666666666666</v>
      </c>
      <c r="EZ4" s="397">
        <f>IFERROR(EZ3/EZ2,0)</f>
        <v>0</v>
      </c>
      <c r="FA4" s="397">
        <f>IFERROR(FA3/FA2,0)</f>
        <v>0</v>
      </c>
      <c r="FB4" s="397">
        <f>IFERROR(FB3/FB2,0)</f>
        <v>0</v>
      </c>
      <c r="FC4" s="441">
        <f t="shared" ref="FC4:FD4" si="25">IFERROR(FC3/FC2,0)</f>
        <v>0</v>
      </c>
      <c r="FD4" s="441">
        <f t="shared" si="25"/>
        <v>0</v>
      </c>
      <c r="FE4" s="573">
        <f>IFERROR(FE3/FE2,0)</f>
        <v>0</v>
      </c>
      <c r="FF4" s="397">
        <f>IFERROR(FF3/FF2,0)</f>
        <v>0</v>
      </c>
      <c r="FG4" s="397">
        <f>IFERROR(FG3/FG2,0)</f>
        <v>0</v>
      </c>
      <c r="FH4" s="397">
        <f>IFERROR(FH3/FH2,0)</f>
        <v>0</v>
      </c>
      <c r="FI4" s="441">
        <f t="shared" ref="FI4:FJ4" si="26">IFERROR(FI3/FI2,0)</f>
        <v>0</v>
      </c>
      <c r="FJ4" s="441">
        <f t="shared" si="26"/>
        <v>0</v>
      </c>
      <c r="FK4" s="573">
        <f>IFERROR(FK3/FK2,0)</f>
        <v>0</v>
      </c>
      <c r="FL4" s="397">
        <f>IFERROR(FL3/FL2,0)</f>
        <v>0</v>
      </c>
      <c r="FM4" s="397">
        <f>IFERROR(FM3/FM2,0)</f>
        <v>0</v>
      </c>
      <c r="FN4" s="397">
        <f>IFERROR(FN3/FN2,0)</f>
        <v>0</v>
      </c>
      <c r="FO4" s="441">
        <f t="shared" ref="FO4:FP4" si="27">IFERROR(FO3/FO2,0)</f>
        <v>0</v>
      </c>
      <c r="FP4" s="441">
        <f t="shared" si="27"/>
        <v>0</v>
      </c>
      <c r="FQ4" s="573">
        <f>IFERROR(FQ3/FQ2,0)</f>
        <v>0</v>
      </c>
      <c r="FR4" s="397">
        <f>IFERROR(FR3/FR2,0)</f>
        <v>0</v>
      </c>
      <c r="FS4" s="397">
        <f>IFERROR(FS3/FS2,0)</f>
        <v>0</v>
      </c>
      <c r="FT4" s="397">
        <f>IFERROR(FT3/FT2,0)</f>
        <v>0</v>
      </c>
      <c r="FU4" s="441">
        <f t="shared" ref="FU4:FV4" si="28">IFERROR(FU3/FU2,0)</f>
        <v>0</v>
      </c>
      <c r="FV4" s="441">
        <f t="shared" si="28"/>
        <v>0</v>
      </c>
      <c r="FW4" s="573">
        <f>IFERROR(FW3/FW2,0)</f>
        <v>0</v>
      </c>
      <c r="FX4" s="397">
        <f>IFERROR(FX3/FX2,0)</f>
        <v>0.2</v>
      </c>
      <c r="FY4" s="397">
        <f>IFERROR(FY3/FY2,0)</f>
        <v>0.25</v>
      </c>
      <c r="FZ4" s="397">
        <f>IFERROR(FZ3/FZ2,0)</f>
        <v>0</v>
      </c>
      <c r="GA4" s="441">
        <f t="shared" ref="GA4:GB4" si="29">IFERROR(GA3/GA2,0)</f>
        <v>0</v>
      </c>
      <c r="GB4" s="441">
        <f t="shared" si="29"/>
        <v>0</v>
      </c>
      <c r="GC4" s="573">
        <f>IFERROR(GC3/GC2,0)</f>
        <v>0.125</v>
      </c>
      <c r="GD4" s="397">
        <f>IFERROR(GD3/GD2,0)</f>
        <v>0</v>
      </c>
      <c r="GE4" s="397">
        <f>IFERROR(GE3/GE2,0)</f>
        <v>0</v>
      </c>
      <c r="GF4" s="397">
        <f>IFERROR(GF3/GF2,0)</f>
        <v>0</v>
      </c>
      <c r="GG4" s="441">
        <f t="shared" ref="GG4:GH4" si="30">IFERROR(GG3/GG2,0)</f>
        <v>0</v>
      </c>
      <c r="GH4" s="441">
        <f t="shared" si="30"/>
        <v>0</v>
      </c>
      <c r="GI4" s="573">
        <f>IFERROR(GI3/GI2,0)</f>
        <v>0</v>
      </c>
      <c r="GJ4" s="397">
        <f>IFERROR(GJ3/GJ2,0)</f>
        <v>0</v>
      </c>
      <c r="GK4" s="397">
        <f>IFERROR(GK3/GK2,0)</f>
        <v>0</v>
      </c>
      <c r="GL4" s="397">
        <f>IFERROR(GL3/GL2,0)</f>
        <v>0</v>
      </c>
      <c r="GM4" s="441">
        <f t="shared" ref="GM4:GN4" si="31">IFERROR(GM3/GM2,0)</f>
        <v>0</v>
      </c>
      <c r="GN4" s="441">
        <f t="shared" si="31"/>
        <v>0</v>
      </c>
      <c r="GO4" s="573">
        <f>IFERROR(GO3/GO2,0)</f>
        <v>0</v>
      </c>
      <c r="GP4" s="397">
        <f>IFERROR(GP3/GP2,0)</f>
        <v>0</v>
      </c>
      <c r="GQ4" s="397">
        <f>IFERROR(GQ3/GQ2,0)</f>
        <v>0</v>
      </c>
      <c r="GR4" s="397">
        <f>IFERROR(GR3/GR2,0)</f>
        <v>0</v>
      </c>
      <c r="GS4" s="441">
        <f t="shared" ref="GS4:GT4" si="32">IFERROR(GS3/GS2,0)</f>
        <v>0</v>
      </c>
      <c r="GT4" s="441">
        <f t="shared" si="32"/>
        <v>0</v>
      </c>
      <c r="GU4" s="573">
        <f>IFERROR(GU3/GU2,0)</f>
        <v>0</v>
      </c>
      <c r="GV4" s="397">
        <f>IFERROR(GV3/GV2,0)</f>
        <v>0</v>
      </c>
      <c r="GW4" s="397">
        <f>IFERROR(GW3/GW2,0)</f>
        <v>0</v>
      </c>
      <c r="GX4" s="397">
        <f>IFERROR(GX3/GX2,0)</f>
        <v>0</v>
      </c>
      <c r="GY4" s="441">
        <f t="shared" ref="GY4:GZ4" si="33">IFERROR(GY3/GY2,0)</f>
        <v>0</v>
      </c>
      <c r="GZ4" s="441">
        <f t="shared" si="33"/>
        <v>0</v>
      </c>
      <c r="HA4" s="573">
        <f>IFERROR(HA3/HA2,0)</f>
        <v>0</v>
      </c>
    </row>
    <row r="5" spans="1:209" ht="15" thickTop="1" x14ac:dyDescent="0.3">
      <c r="A5" s="1561" t="s">
        <v>2076</v>
      </c>
      <c r="B5" s="428">
        <f>SUM(H5,N5,R5,W5,AC5,AI5,AO5,AU5,BA5,BG5,BM5,BS5,BY5,CE5,CK5,CQ5,CW5,DC5,DI5,DO5,DU5,EA5,EG5,EM5,ES5,EY5,FE5,FK5,FQ5,FW5,GC5,GI5,GO5,GU5,HA5)</f>
        <v>463</v>
      </c>
      <c r="C5" s="406">
        <f>COUNTIFS(STATUS!$Q:$Q,$A5,STATUS!$D:$D,C$1,STATUS!$K:$K,"РЕШ УВ DONE")</f>
        <v>5</v>
      </c>
      <c r="D5" s="406">
        <f>COUNTIFS(STATUS!$Q:$Q,$A5,STATUS!$D:$D,D$1,STATUS!$K:$K,"РЕШ УВ DONE")</f>
        <v>4</v>
      </c>
      <c r="E5" s="406">
        <f>COUNTIFS(STATUS!$Q:$Q,$A5,STATUS!$D:$D,E$1,STATUS!$K:$K,"РЕШ УВ DONE")</f>
        <v>3</v>
      </c>
      <c r="F5" s="406">
        <f>COUNTIFS(STATUS!$Q:$Q,$A5,STATUS!$D:$D,F$1,STATUS!$K:$K,"РЕШ УВ DONE")</f>
        <v>3</v>
      </c>
      <c r="G5" s="439">
        <f>COUNTIFS(STATUS!$Q:$Q,$A5,STATUS!$D:$D,G$1,STATUS!$K:$K,"РЕШ УВ DONE")</f>
        <v>2</v>
      </c>
      <c r="H5" s="572">
        <f>SUM(C5:G5)</f>
        <v>17</v>
      </c>
      <c r="I5" s="443">
        <f>COUNTIFS(STATUS!$Q:$Q,$A5,STATUS!$D:$D,I$1,STATUS!$K:$K,"РЕШ УВ DONE")</f>
        <v>4</v>
      </c>
      <c r="J5" s="406">
        <f>COUNTIFS(STATUS!$Q:$Q,$A5,STATUS!$D:$D,J$1,STATUS!$K:$K,"РЕШ УВ DONE")</f>
        <v>3</v>
      </c>
      <c r="K5" s="406">
        <f>COUNTIFS(STATUS!$Q:$Q,$A5,STATUS!$D:$D,K$1,STATUS!$K:$K,"РЕШ УВ DONE")</f>
        <v>0</v>
      </c>
      <c r="L5" s="406">
        <f>COUNTIFS(STATUS!$Q:$Q,$A5,STATUS!$D:$D,L$1,STATUS!$K:$K,"РЕШ УВ DONE")</f>
        <v>0</v>
      </c>
      <c r="M5" s="439">
        <f>COUNTIFS(STATUS!$Q:$Q,$A5,STATUS!$D:$D,M$1,STATUS!$K:$K,"РЕШ УВ DONE")</f>
        <v>0</v>
      </c>
      <c r="N5" s="572">
        <f>SUM(I5:M5)</f>
        <v>7</v>
      </c>
      <c r="O5" s="443">
        <f>COUNTIFS(STATUS!$Q:$Q,$A5,STATUS!$D:$D,O$1,STATUS!$K:$K,"РЕШ УВ DONE")</f>
        <v>1</v>
      </c>
      <c r="P5" s="406">
        <f>COUNTIFS(STATUS!$Q:$Q,$A5,STATUS!$D:$D,P$1,STATUS!$K:$K,"РЕШ УВ DONE")</f>
        <v>1</v>
      </c>
      <c r="Q5" s="406">
        <f>COUNTIFS(STATUS!$Q:$Q,$A5,STATUS!$D:$D,Q$1,STATUS!$K:$K,"РЕШ УВ DONE")</f>
        <v>3</v>
      </c>
      <c r="R5" s="571">
        <f>SUM(O5:Q5)</f>
        <v>5</v>
      </c>
      <c r="S5" s="406">
        <f>COUNTIFS(STATUS!$Q:$Q,$A5,STATUS!$D:$D,S$1,STATUS!$K:$K,"РЕШ УВ DONE")</f>
        <v>5</v>
      </c>
      <c r="T5" s="406">
        <f>COUNTIFS(STATUS!$Q:$Q,$A5,STATUS!$D:$D,T$1,STATUS!$K:$K,"РЕШ УВ DONE")</f>
        <v>2</v>
      </c>
      <c r="U5" s="406">
        <f>COUNTIFS(STATUS!$Q:$Q,$A5,STATUS!$D:$D,U$1,STATUS!$K:$K,"РЕШ УВ DONE")</f>
        <v>4</v>
      </c>
      <c r="V5" s="439">
        <f>COUNTIFS(STATUS!$Q:$Q,$A5,STATUS!$D:$D,V$1,STATUS!$K:$K,"РЕШ УВ DONE")</f>
        <v>4</v>
      </c>
      <c r="W5" s="572">
        <f>SUM(S5:V5)</f>
        <v>15</v>
      </c>
      <c r="X5" s="406">
        <f>COUNTIFS(STATUS!$Q:$Q,$A5,STATUS!$D:$D,X$1,STATUS!$K:$K,"РЕШ УВ DONE")</f>
        <v>3</v>
      </c>
      <c r="Y5" s="406">
        <f>COUNTIFS(STATUS!$Q:$Q,$A5,STATUS!$D:$D,Y$1,STATUS!$K:$K,"РЕШ УВ DONE")</f>
        <v>5</v>
      </c>
      <c r="Z5" s="406">
        <f>COUNTIFS(STATUS!$Q:$Q,$A5,STATUS!$D:$D,Z$1,STATUS!$K:$K,"РЕШ УВ DONE")</f>
        <v>6</v>
      </c>
      <c r="AA5" s="439">
        <f>COUNTIFS(STATUS!$Q:$Q,$A5,STATUS!$D:$D,AA$1,STATUS!$K:$K,"РЕШ УВ DONE")</f>
        <v>5</v>
      </c>
      <c r="AB5" s="439">
        <f>COUNTIFS(STATUS!$Q:$Q,$A5,STATUS!$D:$D,AB$1,STATUS!$K:$K,"РЕШ УВ DONE")</f>
        <v>5</v>
      </c>
      <c r="AC5" s="571">
        <f>SUM(X5:AB5)</f>
        <v>24</v>
      </c>
      <c r="AD5" s="406">
        <f>COUNTIFS(STATUS!$Q:$Q,$A5,STATUS!$D:$D,AD$1,STATUS!$K:$K,"РЕШ УВ DONE")</f>
        <v>6</v>
      </c>
      <c r="AE5" s="406">
        <f>COUNTIFS(STATUS!$Q:$Q,$A5,STATUS!$D:$D,AE$1,STATUS!$K:$K,"РЕШ УВ DONE")</f>
        <v>2</v>
      </c>
      <c r="AF5" s="406">
        <f>COUNTIFS(STATUS!$Q:$Q,$A5,STATUS!$D:$D,AF$1,STATUS!$K:$K,"РЕШ УВ DONE")</f>
        <v>17</v>
      </c>
      <c r="AG5" s="439">
        <f>COUNTIFS(STATUS!$Q:$Q,$A5,STATUS!$D:$D,AG$1,STATUS!$K:$K,"РЕШ УВ DONE")</f>
        <v>0</v>
      </c>
      <c r="AH5" s="439">
        <f>COUNTIFS(STATUS!$Q:$Q,$A5,STATUS!$D:$D,AH$1,STATUS!$K:$K,"РЕШ УВ DONE")</f>
        <v>0</v>
      </c>
      <c r="AI5" s="571">
        <f>SUM(AD5:AH5)</f>
        <v>25</v>
      </c>
      <c r="AJ5" s="406">
        <f>COUNTIFS(STATUS!$Q:$Q,$A5,STATUS!$D:$D,AJ$1,STATUS!$K:$K,"РЕШ УВ DONE")</f>
        <v>15</v>
      </c>
      <c r="AK5" s="406">
        <f>COUNTIFS(STATUS!$Q:$Q,$A5,STATUS!$D:$D,AK$1,STATUS!$K:$K,"РЕШ УВ DONE")</f>
        <v>5</v>
      </c>
      <c r="AL5" s="406">
        <f>COUNTIFS(STATUS!$Q:$Q,$A5,STATUS!$D:$D,AL$1,STATUS!$K:$K,"РЕШ УВ DONE")</f>
        <v>5</v>
      </c>
      <c r="AM5" s="439">
        <f>COUNTIFS(STATUS!$Q:$Q,$A5,STATUS!$D:$D,AM$1,STATUS!$K:$K,"РЕШ УВ DONE")</f>
        <v>3</v>
      </c>
      <c r="AN5" s="439">
        <f>COUNTIFS(STATUS!$Q:$Q,$A5,STATUS!$D:$D,AN$1,STATUS!$K:$K,"РЕШ УВ DONE")</f>
        <v>3</v>
      </c>
      <c r="AO5" s="571">
        <f>SUM(AJ5:AN5)</f>
        <v>31</v>
      </c>
      <c r="AP5" s="406">
        <f>COUNTIFS(STATUS!$Q:$Q,$A5,STATUS!$D:$D,AP$1,STATUS!$K:$K,"РЕШ УВ DONE")</f>
        <v>1</v>
      </c>
      <c r="AQ5" s="406">
        <f>COUNTIFS(STATUS!$Q:$Q,$A5,STATUS!$D:$D,AQ$1,STATUS!$K:$K,"РЕШ УВ DONE")</f>
        <v>5</v>
      </c>
      <c r="AR5" s="406">
        <f>COUNTIFS(STATUS!$Q:$Q,$A5,STATUS!$D:$D,AR$1,STATUS!$K:$K,"РЕШ УВ DONE")</f>
        <v>5</v>
      </c>
      <c r="AS5" s="439">
        <f>COUNTIFS(STATUS!$Q:$Q,$A5,STATUS!$D:$D,AS$1,STATUS!$K:$K,"РЕШ УВ DONE")</f>
        <v>4</v>
      </c>
      <c r="AT5" s="439">
        <f>COUNTIFS(STATUS!$Q:$Q,$A5,STATUS!$D:$D,AT$1,STATUS!$K:$K,"РЕШ УВ DONE")</f>
        <v>0</v>
      </c>
      <c r="AU5" s="571">
        <f>SUM(AP5:AT5)</f>
        <v>15</v>
      </c>
      <c r="AV5" s="406">
        <f>COUNTIFS(STATUS!$Q:$Q,$A5,STATUS!$D:$D,AV$1,STATUS!$K:$K,"РЕШ УВ DONE")</f>
        <v>3</v>
      </c>
      <c r="AW5" s="406">
        <f>COUNTIFS(STATUS!$Q:$Q,$A5,STATUS!$D:$D,AW$1,STATUS!$K:$K,"РЕШ УВ DONE")</f>
        <v>37</v>
      </c>
      <c r="AX5" s="406">
        <f>COUNTIFS(STATUS!$Q:$Q,$A5,STATUS!$D:$D,AX$1,STATUS!$K:$K,"РЕШ УВ DONE")</f>
        <v>2</v>
      </c>
      <c r="AY5" s="439">
        <f>COUNTIFS(STATUS!$Q:$Q,$A5,STATUS!$D:$D,AY$1,STATUS!$K:$K,"РЕШ УВ DONE")</f>
        <v>3</v>
      </c>
      <c r="AZ5" s="439">
        <f>COUNTIFS(STATUS!$Q:$Q,$A5,STATUS!$D:$D,AZ$1,STATUS!$K:$K,"РЕШ УВ DONE")</f>
        <v>1</v>
      </c>
      <c r="BA5" s="571">
        <f>SUM(AV5:AZ5)</f>
        <v>46</v>
      </c>
      <c r="BB5" s="406">
        <f>COUNTIFS(STATUS!$Q:$Q,$A5,STATUS!$D:$D,BB$1,STATUS!$K:$K,"РЕШ УВ DONE")</f>
        <v>2</v>
      </c>
      <c r="BC5" s="406">
        <f>COUNTIFS(STATUS!$Q:$Q,$A5,STATUS!$D:$D,BC$1,STATUS!$K:$K,"РЕШ УВ DONE")</f>
        <v>3</v>
      </c>
      <c r="BD5" s="406">
        <f>COUNTIFS(STATUS!$Q:$Q,$A5,STATUS!$D:$D,BD$1,STATUS!$K:$K,"РЕШ УВ DONE")</f>
        <v>0</v>
      </c>
      <c r="BE5" s="439">
        <f>COUNTIFS(STATUS!$Q:$Q,$A5,STATUS!$D:$D,BE$1,STATUS!$K:$K,"РЕШ УВ DONE")</f>
        <v>6</v>
      </c>
      <c r="BF5" s="439">
        <f>COUNTIFS(STATUS!$Q:$Q,$A5,STATUS!$D:$D,BF$1,STATUS!$K:$K,"РЕШ УВ DONE")</f>
        <v>4</v>
      </c>
      <c r="BG5" s="571">
        <f>SUM(BB5:BF5)</f>
        <v>15</v>
      </c>
      <c r="BH5" s="406">
        <f>COUNTIFS(STATUS!$Q:$Q,$A5,STATUS!$D:$D,BH$1,STATUS!$K:$K,"РЕШ УВ DONE")</f>
        <v>2</v>
      </c>
      <c r="BI5" s="406">
        <f>COUNTIFS(STATUS!$Q:$Q,$A5,STATUS!$D:$D,BI$1,STATUS!$K:$K,"РЕШ УВ DONE")</f>
        <v>2</v>
      </c>
      <c r="BJ5" s="406">
        <f>COUNTIFS(STATUS!$Q:$Q,$A5,STATUS!$D:$D,BJ$1,STATUS!$K:$K,"РЕШ УВ DONE")</f>
        <v>0</v>
      </c>
      <c r="BK5" s="439">
        <f>COUNTIFS(STATUS!$Q:$Q,$A5,STATUS!$D:$D,BK$1,STATUS!$K:$K,"РЕШ УВ DONE")</f>
        <v>6</v>
      </c>
      <c r="BL5" s="439">
        <f>COUNTIFS(STATUS!$Q:$Q,$A5,STATUS!$D:$D,BL$1,STATUS!$K:$K,"РЕШ УВ DONE")</f>
        <v>2</v>
      </c>
      <c r="BM5" s="571">
        <f>SUM(BH5:BL5)</f>
        <v>12</v>
      </c>
      <c r="BN5" s="406">
        <f>COUNTIFS(STATUS!$Q:$Q,$A5,STATUS!$D:$D,BN$1,STATUS!$K:$K,"РЕШ УВ DONE")</f>
        <v>3</v>
      </c>
      <c r="BO5" s="406">
        <f>COUNTIFS(STATUS!$Q:$Q,$A5,STATUS!$D:$D,BO$1,STATUS!$K:$K,"РЕШ УВ DONE")</f>
        <v>2</v>
      </c>
      <c r="BP5" s="406">
        <f>COUNTIFS(STATUS!$Q:$Q,$A5,STATUS!$D:$D,BP$1,STATUS!$K:$K,"РЕШ УВ DONE")</f>
        <v>2</v>
      </c>
      <c r="BQ5" s="439">
        <f>COUNTIFS(STATUS!$Q:$Q,$A5,STATUS!$D:$D,BQ$1,STATUS!$K:$K,"РЕШ УВ DONE")</f>
        <v>6</v>
      </c>
      <c r="BR5" s="439">
        <f>COUNTIFS(STATUS!$Q:$Q,$A5,STATUS!$D:$D,BR$1,STATUS!$K:$K,"РЕШ УВ DONE")</f>
        <v>6</v>
      </c>
      <c r="BS5" s="571">
        <f>SUM(BN5:BR5)</f>
        <v>19</v>
      </c>
      <c r="BT5" s="406">
        <f>COUNTIFS(STATUS!$Q:$Q,$A5,STATUS!$D:$D,BT$1,STATUS!$K:$K,"РЕШ УВ DONE")</f>
        <v>1</v>
      </c>
      <c r="BU5" s="406">
        <f>COUNTIFS(STATUS!$Q:$Q,$A5,STATUS!$D:$D,BU$1,STATUS!$K:$K,"РЕШ УВ DONE")</f>
        <v>3</v>
      </c>
      <c r="BV5" s="406">
        <f>COUNTIFS(STATUS!$Q:$Q,$A5,STATUS!$D:$D,BV$1,STATUS!$K:$K,"РЕШ УВ DONE")</f>
        <v>3</v>
      </c>
      <c r="BW5" s="439">
        <f>COUNTIFS(STATUS!$Q:$Q,$A5,STATUS!$D:$D,BW$1,STATUS!$K:$K,"РЕШ УВ DONE")</f>
        <v>4</v>
      </c>
      <c r="BX5" s="439">
        <f>COUNTIFS(STATUS!$Q:$Q,$A5,STATUS!$D:$D,BX$1,STATUS!$K:$K,"РЕШ УВ DONE")</f>
        <v>3</v>
      </c>
      <c r="BY5" s="571">
        <f>SUM(BT5:BX5)</f>
        <v>14</v>
      </c>
      <c r="BZ5" s="406">
        <f>COUNTIFS(STATUS!$Q:$Q,$A5,STATUS!$D:$D,BZ$1,STATUS!$K:$K,"РЕШ УВ DONE")</f>
        <v>2</v>
      </c>
      <c r="CA5" s="406">
        <f>COUNTIFS(STATUS!$Q:$Q,$A5,STATUS!$D:$D,CA$1,STATUS!$K:$K,"РЕШ УВ DONE")</f>
        <v>0</v>
      </c>
      <c r="CB5" s="406">
        <f>COUNTIFS(STATUS!$Q:$Q,$A5,STATUS!$D:$D,CB$1,STATUS!$K:$K,"РЕШ УВ DONE")</f>
        <v>3</v>
      </c>
      <c r="CC5" s="439">
        <f>COUNTIFS(STATUS!$Q:$Q,$A5,STATUS!$D:$D,CC$1,STATUS!$K:$K,"РЕШ УВ DONE")</f>
        <v>5</v>
      </c>
      <c r="CD5" s="439">
        <f>COUNTIFS(STATUS!$Q:$Q,$A5,STATUS!$D:$D,CD$1,STATUS!$K:$K,"РЕШ УВ DONE")</f>
        <v>4</v>
      </c>
      <c r="CE5" s="571">
        <f>SUM(BZ5:CD5)</f>
        <v>14</v>
      </c>
      <c r="CF5" s="406">
        <f>COUNTIFS(STATUS!$Q:$Q,$A5,STATUS!$D:$D,CF$1,STATUS!$K:$K,"РЕШ УВ DONE")</f>
        <v>0</v>
      </c>
      <c r="CG5" s="406">
        <f>COUNTIFS(STATUS!$Q:$Q,$A5,STATUS!$D:$D,CG$1,STATUS!$K:$K,"РЕШ УВ DONE")</f>
        <v>0</v>
      </c>
      <c r="CH5" s="406">
        <f>COUNTIFS(STATUS!$Q:$Q,$A5,STATUS!$D:$D,CH$1,STATUS!$K:$K,"РЕШ УВ DONE")</f>
        <v>0</v>
      </c>
      <c r="CI5" s="439">
        <f>COUNTIFS(STATUS!$Q:$Q,$A5,STATUS!$D:$D,CI$1,STATUS!$K:$K,"РЕШ УВ DONE")</f>
        <v>0</v>
      </c>
      <c r="CJ5" s="439">
        <f>COUNTIFS(STATUS!$Q:$Q,$A5,STATUS!$D:$D,CJ$1,STATUS!$K:$K,"РЕШ УВ DONE")</f>
        <v>0</v>
      </c>
      <c r="CK5" s="1238">
        <f>SUM(CF5:CJ5)</f>
        <v>0</v>
      </c>
      <c r="CL5" s="406">
        <f>COUNTIFS(STATUS!$Q:$Q,$A5,STATUS!$D:$D,CL$1,STATUS!$K:$K,"РЕШ УВ DONE")</f>
        <v>0</v>
      </c>
      <c r="CM5" s="406">
        <f>COUNTIFS(STATUS!$Q:$Q,$A5,STATUS!$D:$D,CM$1,STATUS!$K:$K,"РЕШ УВ DONE")</f>
        <v>0</v>
      </c>
      <c r="CN5" s="406">
        <f>COUNTIFS(STATUS!$Q:$Q,$A5,STATUS!$D:$D,CN$1,STATUS!$K:$K,"РЕШ УВ DONE")</f>
        <v>0</v>
      </c>
      <c r="CO5" s="439">
        <f>COUNTIFS(STATUS!$Q:$Q,$A5,STATUS!$D:$D,CO$1,STATUS!$K:$K,"РЕШ УВ DONE")</f>
        <v>0</v>
      </c>
      <c r="CP5" s="439">
        <f>COUNTIFS(STATUS!$Q:$Q,$A5,STATUS!$D:$D,CP$1,STATUS!$K:$K,"РЕШ УВ DONE")</f>
        <v>0</v>
      </c>
      <c r="CQ5" s="1238">
        <f>SUM(CL5:CP5)</f>
        <v>0</v>
      </c>
      <c r="CR5" s="406">
        <f>COUNTIFS(STATUS!$Q:$Q,$A5,STATUS!$D:$D,CR$1,STATUS!$K:$K,"РЕШ УВ DONE")</f>
        <v>0</v>
      </c>
      <c r="CS5" s="406">
        <f>COUNTIFS(STATUS!$Q:$Q,$A5,STATUS!$D:$D,CS$1,STATUS!$K:$K,"РЕШ УВ DONE")</f>
        <v>0</v>
      </c>
      <c r="CT5" s="406">
        <f>COUNTIFS(STATUS!$Q:$Q,$A5,STATUS!$D:$D,CT$1,STATUS!$K:$K,"РЕШ УВ DONE")</f>
        <v>0</v>
      </c>
      <c r="CU5" s="439">
        <f>COUNTIFS(STATUS!$Q:$Q,$A5,STATUS!$D:$D,CU$1,STATUS!$K:$K,"РЕШ УВ DONE")</f>
        <v>0</v>
      </c>
      <c r="CV5" s="439">
        <f>COUNTIFS(STATUS!$Q:$Q,$A5,STATUS!$D:$D,CV$1,STATUS!$K:$K,"РЕШ УВ DONE")</f>
        <v>0</v>
      </c>
      <c r="CW5" s="1238">
        <f>SUM(CR5:CV5)</f>
        <v>0</v>
      </c>
      <c r="CX5" s="574">
        <f>COUNTIFS(STATUS!$Q:$Q,$A5,STATUS!$D:$D,CX$1,STATUS!$K:$K,"РЕШ УВ DONE")</f>
        <v>0</v>
      </c>
      <c r="CY5" s="574">
        <f>COUNTIFS(STATUS!$Q:$Q,$A5,STATUS!$D:$D,CY$1,STATUS!$K:$K,"РЕШ УВ DONE")</f>
        <v>0</v>
      </c>
      <c r="CZ5" s="574">
        <f>COUNTIFS(STATUS!$Q:$Q,$A5,STATUS!$D:$D,CZ$1,STATUS!$K:$K,"РЕШ УВ DONE")</f>
        <v>0</v>
      </c>
      <c r="DA5" s="575">
        <f>COUNTIFS(STATUS!$Q:$Q,$A5,STATUS!$D:$D,DA$1,STATUS!$K:$K,"РЕШ УВ DONE")</f>
        <v>0</v>
      </c>
      <c r="DB5" s="575">
        <f>COUNTIFS(STATUS!$Q:$Q,$A5,STATUS!$D:$D,DB$1,STATUS!$K:$K,"РЕШ УВ DONE")</f>
        <v>0</v>
      </c>
      <c r="DC5" s="1238">
        <f>SUM(CX5:DB5)</f>
        <v>0</v>
      </c>
      <c r="DD5" s="406">
        <f>COUNTIFS(STATUS!$Q:$Q,$A5,STATUS!$D:$D,DD$1,STATUS!$K:$K,"РЕШ УВ DONE")</f>
        <v>2</v>
      </c>
      <c r="DE5" s="406">
        <f>COUNTIFS(STATUS!$Q:$Q,$A5,STATUS!$D:$D,DE$1,STATUS!$K:$K,"РЕШ УВ DONE")</f>
        <v>4</v>
      </c>
      <c r="DF5" s="406">
        <f>COUNTIFS(STATUS!$Q:$Q,$A5,STATUS!$D:$D,DF$1,STATUS!$K:$K,"РЕШ УВ DONE")</f>
        <v>3</v>
      </c>
      <c r="DG5" s="439">
        <f>COUNTIFS(STATUS!$Q:$Q,$A5,STATUS!$D:$D,DG$1,STATUS!$K:$K,"РЕШ УВ DONE")</f>
        <v>3</v>
      </c>
      <c r="DH5" s="439">
        <f>COUNTIFS(STATUS!$Q:$Q,$A5,STATUS!$D:$D,DH$1,STATUS!$K:$K,"РЕШ УВ DONE")</f>
        <v>5</v>
      </c>
      <c r="DI5" s="571">
        <f>SUM(DD5:DH5)</f>
        <v>17</v>
      </c>
      <c r="DJ5" s="406">
        <f>COUNTIFS(STATUS!$Q:$Q,$A5,STATUS!$D:$D,DJ$1,STATUS!$K:$K,"РЕШ УВ DONE")</f>
        <v>6</v>
      </c>
      <c r="DK5" s="406">
        <f>COUNTIFS(STATUS!$Q:$Q,$A5,STATUS!$D:$D,DK$1,STATUS!$K:$K,"РЕШ УВ DONE")</f>
        <v>4</v>
      </c>
      <c r="DL5" s="406">
        <f>COUNTIFS(STATUS!$Q:$Q,$A5,STATUS!$D:$D,DL$1,STATUS!$K:$K,"РЕШ УВ DONE")</f>
        <v>3</v>
      </c>
      <c r="DM5" s="439">
        <f>COUNTIFS(STATUS!$Q:$Q,$A5,STATUS!$D:$D,DM$1,STATUS!$K:$K,"РЕШ УВ DONE")</f>
        <v>5</v>
      </c>
      <c r="DN5" s="439">
        <f>COUNTIFS(STATUS!$Q:$Q,$A5,STATUS!$D:$D,DN$1,STATUS!$K:$K,"РЕШ УВ DONE")</f>
        <v>4</v>
      </c>
      <c r="DO5" s="571">
        <f>SUM(DJ5:DN5)</f>
        <v>22</v>
      </c>
      <c r="DP5" s="406">
        <f>COUNTIFS(STATUS!$Q:$Q,$A5,STATUS!$D:$D,DP$1,STATUS!$K:$K,"РЕШ УВ DONE")</f>
        <v>2</v>
      </c>
      <c r="DQ5" s="406">
        <f>COUNTIFS(STATUS!$Q:$Q,$A5,STATUS!$D:$D,DQ$1,STATUS!$K:$K,"РЕШ УВ DONE")</f>
        <v>5</v>
      </c>
      <c r="DR5" s="406">
        <f>COUNTIFS(STATUS!$Q:$Q,$A5,STATUS!$D:$D,DR$1,STATUS!$K:$K,"РЕШ УВ DONE")</f>
        <v>3</v>
      </c>
      <c r="DS5" s="439">
        <f>COUNTIFS(STATUS!$Q:$Q,$A5,STATUS!$D:$D,DS$1,STATUS!$K:$K,"РЕШ УВ DONE")</f>
        <v>4</v>
      </c>
      <c r="DT5" s="439">
        <f>COUNTIFS(STATUS!$Q:$Q,$A5,STATUS!$D:$D,DT$1,STATUS!$K:$K,"РЕШ УВ DONE")</f>
        <v>4</v>
      </c>
      <c r="DU5" s="571">
        <f>SUM(DP5:DT5)</f>
        <v>18</v>
      </c>
      <c r="DV5" s="406">
        <f>COUNTIFS(STATUS!$Q:$Q,$A5,STATUS!$D:$D,DV$1,STATUS!$K:$K,"РЕШ УВ DONE")</f>
        <v>4</v>
      </c>
      <c r="DW5" s="406">
        <f>COUNTIFS(STATUS!$Q:$Q,$A5,STATUS!$D:$D,DW$1,STATUS!$K:$K,"РЕШ УВ DONE")</f>
        <v>4</v>
      </c>
      <c r="DX5" s="406">
        <f>COUNTIFS(STATUS!$Q:$Q,$A5,STATUS!$D:$D,DX$1,STATUS!$K:$K,"РЕШ УВ DONE")</f>
        <v>3</v>
      </c>
      <c r="DY5" s="439">
        <f>COUNTIFS(STATUS!$Q:$Q,$A5,STATUS!$D:$D,DY$1,STATUS!$K:$K,"РЕШ УВ DONE")</f>
        <v>7</v>
      </c>
      <c r="DZ5" s="439">
        <f>COUNTIFS(STATUS!$Q:$Q,$A5,STATUS!$D:$D,DZ$1,STATUS!$K:$K,"РЕШ УВ DONE")</f>
        <v>4</v>
      </c>
      <c r="EA5" s="571">
        <f>SUM(DV5:DZ5)</f>
        <v>22</v>
      </c>
      <c r="EB5" s="406">
        <f>COUNTIFS(STATUS!$Q:$Q,$A5,STATUS!$D:$D,EB$1,STATUS!$K:$K,"РЕШ УВ DONE")</f>
        <v>2</v>
      </c>
      <c r="EC5" s="406">
        <f>COUNTIFS(STATUS!$Q:$Q,$A5,STATUS!$D:$D,EC$1,STATUS!$K:$K,"РЕШ УВ DONE")</f>
        <v>6</v>
      </c>
      <c r="ED5" s="406">
        <f>COUNTIFS(STATUS!$Q:$Q,$A5,STATUS!$D:$D,ED$1,STATUS!$K:$K,"РЕШ УВ DONE")</f>
        <v>6</v>
      </c>
      <c r="EE5" s="439">
        <f>COUNTIFS(STATUS!$Q:$Q,$A5,STATUS!$D:$D,EE$1,STATUS!$K:$K,"РЕШ УВ DONE")</f>
        <v>5</v>
      </c>
      <c r="EF5" s="439">
        <f>COUNTIFS(STATUS!$Q:$Q,$A5,STATUS!$D:$D,EF$1,STATUS!$K:$K,"РЕШ УВ DONE")</f>
        <v>4</v>
      </c>
      <c r="EG5" s="571">
        <f>SUM(EB5:EF5)</f>
        <v>23</v>
      </c>
      <c r="EH5" s="406">
        <f>COUNTIFS(STATUS!$Q:$Q,$A5,STATUS!$D:$D,EH$1,STATUS!$K:$K,"РЕШ УВ DONE")</f>
        <v>2</v>
      </c>
      <c r="EI5" s="406">
        <f>COUNTIFS(STATUS!$Q:$Q,$A5,STATUS!$D:$D,EI$1,STATUS!$K:$K,"РЕШ УВ DONE")</f>
        <v>5</v>
      </c>
      <c r="EJ5" s="406">
        <f>COUNTIFS(STATUS!$Q:$Q,$A5,STATUS!$D:$D,EJ$1,STATUS!$K:$K,"РЕШ УВ DONE")</f>
        <v>4</v>
      </c>
      <c r="EK5" s="439">
        <f>COUNTIFS(STATUS!$Q:$Q,$A5,STATUS!$D:$D,EK$1,STATUS!$K:$K,"РЕШ УВ DONE")</f>
        <v>7</v>
      </c>
      <c r="EL5" s="439">
        <f>COUNTIFS(STATUS!$Q:$Q,$A5,STATUS!$D:$D,EL$1,STATUS!$K:$K,"РЕШ УВ DONE")</f>
        <v>6</v>
      </c>
      <c r="EM5" s="571">
        <f>SUM(EH5:EL5)</f>
        <v>24</v>
      </c>
      <c r="EN5" s="406">
        <f>COUNTIFS(STATUS!$Q:$Q,$A5,STATUS!$D:$D,EN$1,STATUS!$K:$K,"РЕШ УВ DONE")</f>
        <v>4</v>
      </c>
      <c r="EO5" s="406">
        <f>COUNTIFS(STATUS!$Q:$Q,$A5,STATUS!$D:$D,EO$1,STATUS!$K:$K,"РЕШ УВ DONE")</f>
        <v>3</v>
      </c>
      <c r="EP5" s="406">
        <f>COUNTIFS(STATUS!$Q:$Q,$A5,STATUS!$D:$D,EP$1,STATUS!$K:$K,"РЕШ УВ DONE")</f>
        <v>5</v>
      </c>
      <c r="EQ5" s="439">
        <f>COUNTIFS(STATUS!$Q:$Q,$A5,STATUS!$D:$D,EQ$1,STATUS!$K:$K,"РЕШ УВ DONE")</f>
        <v>4</v>
      </c>
      <c r="ER5" s="439">
        <f>COUNTIFS(STATUS!$Q:$Q,$A5,STATUS!$D:$D,ER$1,STATUS!$K:$K,"РЕШ УВ DONE")</f>
        <v>5</v>
      </c>
      <c r="ES5" s="571">
        <f>SUM(EN5:ER5)</f>
        <v>21</v>
      </c>
      <c r="ET5" s="406">
        <f>COUNTIFS(STATUS!$Q:$Q,$A5,STATUS!$D:$D,ET$1,STATUS!$K:$K,"РЕШ УВ DONE")</f>
        <v>5</v>
      </c>
      <c r="EU5" s="406">
        <f>COUNTIFS(STATUS!$Q:$Q,$A5,STATUS!$D:$D,EU$1,STATUS!$K:$K,"РЕШ УВ DONE")</f>
        <v>4</v>
      </c>
      <c r="EV5" s="406">
        <f>COUNTIFS(STATUS!$Q:$Q,$A5,STATUS!$D:$D,EV$1,STATUS!$K:$K,"РЕШ УВ DONE")</f>
        <v>4</v>
      </c>
      <c r="EW5" s="439">
        <f>COUNTIFS(STATUS!$Q:$Q,$A5,STATUS!$D:$D,EW$1,STATUS!$K:$K,"РЕШ УВ DONE")</f>
        <v>4</v>
      </c>
      <c r="EX5" s="439">
        <f>COUNTIFS(STATUS!$Q:$Q,$A5,STATUS!$D:$D,EX$1,STATUS!$K:$K,"РЕШ УВ DONE")</f>
        <v>5</v>
      </c>
      <c r="EY5" s="571">
        <f>SUM(ET5:EX5)</f>
        <v>22</v>
      </c>
      <c r="EZ5" s="406">
        <f>COUNTIFS(STATUS!$Q:$Q,$A5,STATUS!$D:$D,EZ$1,STATUS!$K:$K,"РЕШ УВ DONE")</f>
        <v>0</v>
      </c>
      <c r="FA5" s="406">
        <f>COUNTIFS(STATUS!$Q:$Q,$A5,STATUS!$D:$D,FA$1,STATUS!$K:$K,"РЕШ УВ DONE")</f>
        <v>0</v>
      </c>
      <c r="FB5" s="406">
        <f>COUNTIFS(STATUS!$Q:$Q,$A5,STATUS!$D:$D,FB$1,STATUS!$K:$K,"РЕШ УВ DONE")</f>
        <v>0</v>
      </c>
      <c r="FC5" s="439">
        <f>COUNTIFS(STATUS!$Q:$Q,$A5,STATUS!$D:$D,FC$1,STATUS!$K:$K,"РЕШ УВ DONE")</f>
        <v>0</v>
      </c>
      <c r="FD5" s="439">
        <f>COUNTIFS(STATUS!$Q:$Q,$A5,STATUS!$D:$D,FD$1,STATUS!$K:$K,"РЕШ УВ DONE")</f>
        <v>0</v>
      </c>
      <c r="FE5" s="1238">
        <f>SUM(EZ5:FD5)</f>
        <v>0</v>
      </c>
      <c r="FF5" s="574">
        <f>COUNTIFS(STATUS!$Q:$Q,$A5,STATUS!$D:$D,FF$1,STATUS!$K:$K,"РЕШ УВ DONE")</f>
        <v>0</v>
      </c>
      <c r="FG5" s="574">
        <f>COUNTIFS(STATUS!$Q:$Q,$A5,STATUS!$D:$D,FG$1,STATUS!$K:$K,"РЕШ УВ DONE")</f>
        <v>0</v>
      </c>
      <c r="FH5" s="574">
        <f>COUNTIFS(STATUS!$Q:$Q,$A5,STATUS!$D:$D,FH$1,STATUS!$K:$K,"РЕШ УВ DONE")</f>
        <v>0</v>
      </c>
      <c r="FI5" s="575">
        <f>COUNTIFS(STATUS!$Q:$Q,$A5,STATUS!$D:$D,FI$1,STATUS!$K:$K,"РЕШ УВ DONE")</f>
        <v>0</v>
      </c>
      <c r="FJ5" s="575">
        <f>COUNTIFS(STATUS!$Q:$Q,$A5,STATUS!$D:$D,FJ$1,STATUS!$K:$K,"РЕШ УВ DONE")</f>
        <v>0</v>
      </c>
      <c r="FK5" s="1238">
        <f>SUM(FF5:FJ5)</f>
        <v>0</v>
      </c>
      <c r="FL5" s="574">
        <f>COUNTIFS(STATUS!$Q:$Q,$A5,STATUS!$D:$D,FL$1,STATUS!$K:$K,"РЕШ УВ DONE")</f>
        <v>0</v>
      </c>
      <c r="FM5" s="574">
        <f>COUNTIFS(STATUS!$Q:$Q,$A5,STATUS!$D:$D,FM$1,STATUS!$K:$K,"РЕШ УВ DONE")</f>
        <v>0</v>
      </c>
      <c r="FN5" s="574">
        <f>COUNTIFS(STATUS!$Q:$Q,$A5,STATUS!$D:$D,FN$1,STATUS!$K:$K,"РЕШ УВ DONE")</f>
        <v>0</v>
      </c>
      <c r="FO5" s="575">
        <f>COUNTIFS(STATUS!$Q:$Q,$A5,STATUS!$D:$D,FO$1,STATUS!$K:$K,"РЕШ УВ DONE")</f>
        <v>0</v>
      </c>
      <c r="FP5" s="439">
        <f>COUNTIFS(STATUS!$Q:$Q,$A5,STATUS!$D:$D,FP$1,STATUS!$K:$K,"РЕШ УВ DONE")</f>
        <v>2</v>
      </c>
      <c r="FQ5" s="571">
        <f>SUM(FL5:FP5)</f>
        <v>2</v>
      </c>
      <c r="FR5" s="1298">
        <f>COUNTIFS(STATUS!$Q:$Q,$A5,STATUS!$D:$D,FR$1,STATUS!$K:$K,"РЕШ УВ DONE")</f>
        <v>2</v>
      </c>
      <c r="FS5" s="1298">
        <f>COUNTIFS(STATUS!$Q:$Q,$A5,STATUS!$D:$D,FS$1,STATUS!$K:$K,"РЕШ УВ DONE")</f>
        <v>3</v>
      </c>
      <c r="FT5" s="1298">
        <f>COUNTIFS(STATUS!$Q:$Q,$A5,STATUS!$D:$D,FT$1,STATUS!$K:$K,"РЕШ УВ DONE")</f>
        <v>4</v>
      </c>
      <c r="FU5" s="1299">
        <f>COUNTIFS(STATUS!$Q:$Q,$A5,STATUS!$D:$D,FU$1,STATUS!$K:$K,"РЕШ УВ DONE")</f>
        <v>2</v>
      </c>
      <c r="FV5" s="439">
        <f>COUNTIFS(STATUS!$Q:$Q,$A5,STATUS!$D:$D,FV$1,STATUS!$K:$K,"РЕШ УВ DONE")</f>
        <v>5</v>
      </c>
      <c r="FW5" s="571">
        <f>SUM(FR5:FV5)</f>
        <v>16</v>
      </c>
      <c r="FX5" s="1298">
        <f>COUNTIFS(STATUS!$Q:$Q,$A5,STATUS!$D:$D,FX$1,STATUS!$K:$K,"РЕШ УВ DONE")</f>
        <v>3</v>
      </c>
      <c r="FY5" s="1298">
        <f>COUNTIFS(STATUS!$Q:$Q,$A5,STATUS!$D:$D,FY$1,STATUS!$K:$K,"РЕШ УВ DONE")</f>
        <v>6</v>
      </c>
      <c r="FZ5" s="1298">
        <f>COUNTIFS(STATUS!$Q:$Q,$A5,STATUS!$D:$D,FZ$1,STATUS!$K:$K,"РЕШ УВ DONE")</f>
        <v>4</v>
      </c>
      <c r="GA5" s="1299">
        <f>COUNTIFS(STATUS!$Q:$Q,$A5,STATUS!$D:$D,GA$1,STATUS!$K:$K,"РЕШ УВ DONE")</f>
        <v>3</v>
      </c>
      <c r="GB5" s="439">
        <f>COUNTIFS(STATUS!$Q:$Q,$A5,STATUS!$D:$D,GB$1,STATUS!$K:$K,"РЕШ УВ DONE")</f>
        <v>1</v>
      </c>
      <c r="GC5" s="571">
        <f>SUM(FX5:GB5)</f>
        <v>17</v>
      </c>
      <c r="GD5" s="1298">
        <f>COUNTIFS(STATUS!$Q:$Q,$A5,STATUS!$D:$D,GD$1,STATUS!$K:$K,"РЕШ УВ DONE")</f>
        <v>0</v>
      </c>
      <c r="GE5" s="1298">
        <f>COUNTIFS(STATUS!$Q:$Q,$A5,STATUS!$D:$D,GE$1,STATUS!$K:$K,"РЕШ УВ DONE")</f>
        <v>0</v>
      </c>
      <c r="GF5" s="1298">
        <f>COUNTIFS(STATUS!$Q:$Q,$A5,STATUS!$D:$D,GF$1,STATUS!$K:$K,"РЕШ УВ DONE")</f>
        <v>0</v>
      </c>
      <c r="GG5" s="1299">
        <f>COUNTIFS(STATUS!$Q:$Q,$A5,STATUS!$D:$D,GG$1,STATUS!$K:$K,"РЕШ УВ DONE")</f>
        <v>0</v>
      </c>
      <c r="GH5" s="439">
        <f>COUNTIFS(STATUS!$Q:$Q,$A5,STATUS!$D:$D,GH$1,STATUS!$K:$K,"РЕШ УВ DONE")</f>
        <v>0</v>
      </c>
      <c r="GI5" s="1238">
        <f>SUM(GD5:GH5)</f>
        <v>0</v>
      </c>
      <c r="GJ5" s="574">
        <f>COUNTIFS(STATUS!$Q:$Q,$A5,STATUS!$D:$D,GJ$1,STATUS!$K:$K,"РЕШ УВ DONE")</f>
        <v>0</v>
      </c>
      <c r="GK5" s="574">
        <f>COUNTIFS(STATUS!$Q:$Q,$A5,STATUS!$D:$D,GK$1,STATUS!$K:$K,"РЕШ УВ DONE")</f>
        <v>0</v>
      </c>
      <c r="GL5" s="574">
        <f>COUNTIFS(STATUS!$Q:$Q,$A5,STATUS!$D:$D,GL$1,STATUS!$K:$K,"РЕШ УВ DONE")</f>
        <v>0</v>
      </c>
      <c r="GM5" s="575">
        <f>COUNTIFS(STATUS!$Q:$Q,$A5,STATUS!$D:$D,GM$1,STATUS!$K:$K,"РЕШ УВ DONE")</f>
        <v>0</v>
      </c>
      <c r="GN5" s="575">
        <f>COUNTIFS(STATUS!$Q:$Q,$A5,STATUS!$D:$D,GN$1,STATUS!$K:$K,"РЕШ УВ DONE")</f>
        <v>0</v>
      </c>
      <c r="GO5" s="1238">
        <f>SUM(GJ5:GN5)</f>
        <v>0</v>
      </c>
      <c r="GP5" s="574">
        <f>COUNTIFS(STATUS!$Q:$Q,$A5,STATUS!$D:$D,GP$1,STATUS!$K:$K,"РЕШ УВ DONE")</f>
        <v>0</v>
      </c>
      <c r="GQ5" s="574">
        <f>COUNTIFS(STATUS!$Q:$Q,$A5,STATUS!$D:$D,GQ$1,STATUS!$K:$K,"РЕШ УВ DONE")</f>
        <v>0</v>
      </c>
      <c r="GR5" s="574">
        <f>COUNTIFS(STATUS!$Q:$Q,$A5,STATUS!$D:$D,GR$1,STATUS!$K:$K,"РЕШ УВ DONE")</f>
        <v>0</v>
      </c>
      <c r="GS5" s="575">
        <f>COUNTIFS(STATUS!$Q:$Q,$A5,STATUS!$D:$D,GS$1,STATUS!$K:$K,"РЕШ УВ DONE")</f>
        <v>0</v>
      </c>
      <c r="GT5" s="575">
        <f>COUNTIFS(STATUS!$Q:$Q,$A5,STATUS!$D:$D,GT$1,STATUS!$K:$K,"РЕШ УВ DONE")</f>
        <v>0</v>
      </c>
      <c r="GU5" s="1238">
        <f>SUM(GP5:GT5)</f>
        <v>0</v>
      </c>
      <c r="GV5" s="574">
        <f>COUNTIFS(STATUS!$Q:$Q,$A5,STATUS!$D:$D,GV$1,STATUS!$K:$K,"РЕШ УВ DONE")</f>
        <v>0</v>
      </c>
      <c r="GW5" s="574">
        <f>COUNTIFS(STATUS!$Q:$Q,$A5,STATUS!$D:$D,GW$1,STATUS!$K:$K,"РЕШ УВ DONE")</f>
        <v>0</v>
      </c>
      <c r="GX5" s="574">
        <f>COUNTIFS(STATUS!$Q:$Q,$A5,STATUS!$D:$D,GX$1,STATUS!$K:$K,"РЕШ УВ DONE")</f>
        <v>0</v>
      </c>
      <c r="GY5" s="575">
        <f>COUNTIFS(STATUS!$Q:$Q,$A5,STATUS!$D:$D,GY$1,STATUS!$K:$K,"РЕШ УВ DONE")</f>
        <v>0</v>
      </c>
      <c r="GZ5" s="575">
        <f>COUNTIFS(STATUS!$Q:$Q,$A5,STATUS!$D:$D,GZ$1,STATUS!$K:$K,"РЕШ УВ DONE")</f>
        <v>0</v>
      </c>
      <c r="HA5" s="1238">
        <f>SUM(GV5:GZ5)</f>
        <v>0</v>
      </c>
    </row>
    <row r="6" spans="1:209" x14ac:dyDescent="0.3">
      <c r="A6" s="1562"/>
      <c r="B6" s="428">
        <f>SUM(H6,N6,R6,W6,AC6,AI6,AO6,AU6,BA6,BG6,BM6,BS6,BY6,CE6,CK6,CQ6,CW6,DC6,DI6,DO6,DU6,EA6,EG6,EM6,ES6,EY6,FE6,FK6,FQ6,FW6,GC6,GI6,GO6,GU6,HA6)</f>
        <v>139</v>
      </c>
      <c r="C6" s="306">
        <f>COUNTIFS(STATUS!$Q:$Q,$A5,STATUS!$D:$D,C$1,STATUS!$U:$U,"ВОЗВРАТ")</f>
        <v>2</v>
      </c>
      <c r="D6" s="306">
        <f>COUNTIFS(STATUS!$Q:$Q,$A5,STATUS!$D:$D,D$1,STATUS!$U:$U,"ВОЗВРАТ")</f>
        <v>2</v>
      </c>
      <c r="E6" s="306">
        <f>COUNTIFS(STATUS!$Q:$Q,$A5,STATUS!$D:$D,E$1,STATUS!$U:$U,"ВОЗВРАТ")</f>
        <v>0</v>
      </c>
      <c r="F6" s="306">
        <f>COUNTIFS(STATUS!$Q:$Q,$A5,STATUS!$D:$D,F$1,STATUS!$U:$U,"ВОЗВРАТ")</f>
        <v>3</v>
      </c>
      <c r="G6" s="440">
        <f>COUNTIFS(STATUS!$Q:$Q,$A5,STATUS!$D:$D,G$1,STATUS!$U:$U,"ВОЗВРАТ")</f>
        <v>1</v>
      </c>
      <c r="H6" s="572">
        <f>SUM(C6:G6)</f>
        <v>8</v>
      </c>
      <c r="I6" s="401">
        <f>COUNTIFS(STATUS!$Q:$Q,$A5,STATUS!$D:$D,I$1,STATUS!$U:$U,"ВОЗВРАТ")</f>
        <v>1</v>
      </c>
      <c r="J6" s="306">
        <f>COUNTIFS(STATUS!$Q:$Q,$A5,STATUS!$D:$D,J$1,STATUS!$U:$U,"ВОЗВРАТ")</f>
        <v>0</v>
      </c>
      <c r="K6" s="306">
        <f>COUNTIFS(STATUS!$Q:$Q,$A5,STATUS!$D:$D,K$1,STATUS!$U:$U,"ВОЗВРАТ")</f>
        <v>0</v>
      </c>
      <c r="L6" s="306">
        <f>COUNTIFS(STATUS!$Q:$Q,$A5,STATUS!$D:$D,L$1,STATUS!$U:$U,"ВОЗВРАТ")</f>
        <v>0</v>
      </c>
      <c r="M6" s="440">
        <f>COUNTIFS(STATUS!$Q:$Q,$A5,STATUS!$D:$D,M$1,STATUS!$U:$U,"ВОЗВРАТ")</f>
        <v>0</v>
      </c>
      <c r="N6" s="572">
        <f>SUM(I6:M6)</f>
        <v>1</v>
      </c>
      <c r="O6" s="401">
        <f>COUNTIFS(STATUS!$Q:$Q,$A5,STATUS!$D:$D,O$1,STATUS!$U:$U,"ВОЗВРАТ")</f>
        <v>1</v>
      </c>
      <c r="P6" s="306">
        <f>COUNTIFS(STATUS!$Q:$Q,$A5,STATUS!$D:$D,P$1,STATUS!$U:$U,"ВОЗВРАТ")</f>
        <v>1</v>
      </c>
      <c r="Q6" s="306">
        <f>COUNTIFS(STATUS!$Q:$Q,$A5,STATUS!$D:$D,Q$1,STATUS!$U:$U,"ВОЗВРАТ")</f>
        <v>2</v>
      </c>
      <c r="R6" s="572">
        <f>SUM(O6:Q6)</f>
        <v>4</v>
      </c>
      <c r="S6" s="306">
        <f>COUNTIFS(STATUS!$Q:$Q,$A5,STATUS!$D:$D,S$1,STATUS!$U:$U,"ВОЗВРАТ")</f>
        <v>1</v>
      </c>
      <c r="T6" s="306">
        <f>COUNTIFS(STATUS!$Q:$Q,$A5,STATUS!$D:$D,T$1,STATUS!$U:$U,"ВОЗВРАТ")</f>
        <v>0</v>
      </c>
      <c r="U6" s="306">
        <f>COUNTIFS(STATUS!$Q:$Q,$A5,STATUS!$D:$D,U$1,STATUS!$U:$U,"ВОЗВРАТ")</f>
        <v>0</v>
      </c>
      <c r="V6" s="440">
        <f>COUNTIFS(STATUS!$Q:$Q,$A5,STATUS!$D:$D,V$1,STATUS!$U:$U,"ВОЗВРАТ")</f>
        <v>0</v>
      </c>
      <c r="W6" s="572">
        <f>SUM(S6:V6)</f>
        <v>1</v>
      </c>
      <c r="X6" s="306">
        <f>COUNTIFS(STATUS!$Q:$Q,$A5,STATUS!$D:$D,X$1,STATUS!$U:$U,"ВОЗВРАТ")</f>
        <v>2</v>
      </c>
      <c r="Y6" s="306">
        <f>COUNTIFS(STATUS!$Q:$Q,$A5,STATUS!$D:$D,Y$1,STATUS!$U:$U,"ВОЗВРАТ")</f>
        <v>0</v>
      </c>
      <c r="Z6" s="306">
        <f>COUNTIFS(STATUS!$Q:$Q,$A5,STATUS!$D:$D,Z$1,STATUS!$U:$U,"ВОЗВРАТ")</f>
        <v>2</v>
      </c>
      <c r="AA6" s="440">
        <f>COUNTIFS(STATUS!$Q:$Q,$A5,STATUS!$D:$D,AA$1,STATUS!$U:$U,"ВОЗВРАТ")</f>
        <v>1</v>
      </c>
      <c r="AB6" s="440">
        <f>COUNTIFS(STATUS!$Q:$Q,$A5,STATUS!$D:$D,AB$1,STATUS!$U:$U,"ВОЗВРАТ")</f>
        <v>2</v>
      </c>
      <c r="AC6" s="572">
        <f>SUM(X6:AB6)</f>
        <v>7</v>
      </c>
      <c r="AD6" s="306">
        <f>COUNTIFS(STATUS!$Q:$Q,$A5,STATUS!$D:$D,AD$1,STATUS!$U:$U,"ВОЗВРАТ")</f>
        <v>3</v>
      </c>
      <c r="AE6" s="306">
        <f>COUNTIFS(STATUS!$Q:$Q,$A5,STATUS!$D:$D,AE$1,STATUS!$U:$U,"ВОЗВРАТ")</f>
        <v>1</v>
      </c>
      <c r="AF6" s="306">
        <f>COUNTIFS(STATUS!$Q:$Q,$A5,STATUS!$D:$D,AF$1,STATUS!$U:$U,"ВОЗВРАТ")</f>
        <v>3</v>
      </c>
      <c r="AG6" s="440">
        <f>COUNTIFS(STATUS!$Q:$Q,$A5,STATUS!$D:$D,AG$1,STATUS!$U:$U,"ВОЗВРАТ")</f>
        <v>0</v>
      </c>
      <c r="AH6" s="440">
        <f>COUNTIFS(STATUS!$Q:$Q,$A5,STATUS!$D:$D,AH$1,STATUS!$U:$U,"ВОЗВРАТ")</f>
        <v>0</v>
      </c>
      <c r="AI6" s="572">
        <f>SUM(AD6:AH6)</f>
        <v>7</v>
      </c>
      <c r="AJ6" s="306">
        <f>COUNTIFS(STATUS!$Q:$Q,$A5,STATUS!$D:$D,AJ$1,STATUS!$U:$U,"ВОЗВРАТ")</f>
        <v>7</v>
      </c>
      <c r="AK6" s="306">
        <f>COUNTIFS(STATUS!$Q:$Q,$A5,STATUS!$D:$D,AK$1,STATUS!$U:$U,"ВОЗВРАТ")</f>
        <v>1</v>
      </c>
      <c r="AL6" s="306">
        <f>COUNTIFS(STATUS!$Q:$Q,$A5,STATUS!$D:$D,AL$1,STATUS!$U:$U,"ВОЗВРАТ")</f>
        <v>1</v>
      </c>
      <c r="AM6" s="440">
        <f>COUNTIFS(STATUS!$Q:$Q,$A5,STATUS!$D:$D,AM$1,STATUS!$U:$U,"ВОЗВРАТ")</f>
        <v>2</v>
      </c>
      <c r="AN6" s="440">
        <f>COUNTIFS(STATUS!$Q:$Q,$A5,STATUS!$D:$D,AN$1,STATUS!$U:$U,"ВОЗВРАТ")</f>
        <v>1</v>
      </c>
      <c r="AO6" s="572">
        <f>SUM(AJ6:AN6)</f>
        <v>12</v>
      </c>
      <c r="AP6" s="306">
        <f>COUNTIFS(STATUS!$Q:$Q,$A5,STATUS!$D:$D,AP$1,STATUS!$U:$U,"ВОЗВРАТ")</f>
        <v>0</v>
      </c>
      <c r="AQ6" s="306">
        <f>COUNTIFS(STATUS!$Q:$Q,$A5,STATUS!$D:$D,AQ$1,STATUS!$U:$U,"ВОЗВРАТ")</f>
        <v>2</v>
      </c>
      <c r="AR6" s="306">
        <f>COUNTIFS(STATUS!$Q:$Q,$A5,STATUS!$D:$D,AR$1,STATUS!$U:$U,"ВОЗВРАТ")</f>
        <v>2</v>
      </c>
      <c r="AS6" s="440">
        <f>COUNTIFS(STATUS!$Q:$Q,$A5,STATUS!$D:$D,AS$1,STATUS!$U:$U,"ВОЗВРАТ")</f>
        <v>1</v>
      </c>
      <c r="AT6" s="440">
        <f>COUNTIFS(STATUS!$Q:$Q,$A5,STATUS!$D:$D,AT$1,STATUS!$U:$U,"ВОЗВРАТ")</f>
        <v>0</v>
      </c>
      <c r="AU6" s="572">
        <f>SUM(AP6:AT6)</f>
        <v>5</v>
      </c>
      <c r="AV6" s="306">
        <f>COUNTIFS(STATUS!$Q:$Q,$A5,STATUS!$D:$D,AV$1,STATUS!$U:$U,"ВОЗВРАТ")</f>
        <v>0</v>
      </c>
      <c r="AW6" s="306">
        <f>COUNTIFS(STATUS!$Q:$Q,$A5,STATUS!$D:$D,AW$1,STATUS!$U:$U,"ВОЗВРАТ")</f>
        <v>4</v>
      </c>
      <c r="AX6" s="306">
        <f>COUNTIFS(STATUS!$Q:$Q,$A5,STATUS!$D:$D,AX$1,STATUS!$U:$U,"ВОЗВРАТ")</f>
        <v>0</v>
      </c>
      <c r="AY6" s="440">
        <f>COUNTIFS(STATUS!$Q:$Q,$A5,STATUS!$D:$D,AY$1,STATUS!$U:$U,"ВОЗВРАТ")</f>
        <v>2</v>
      </c>
      <c r="AZ6" s="440">
        <f>COUNTIFS(STATUS!$Q:$Q,$A5,STATUS!$D:$D,AZ$1,STATUS!$U:$U,"ВОЗВРАТ")</f>
        <v>1</v>
      </c>
      <c r="BA6" s="572">
        <f>SUM(AV6:AZ6)</f>
        <v>7</v>
      </c>
      <c r="BB6" s="306">
        <f>COUNTIFS(STATUS!$Q:$Q,$A5,STATUS!$D:$D,BB$1,STATUS!$U:$U,"ВОЗВРАТ")</f>
        <v>0</v>
      </c>
      <c r="BC6" s="306">
        <f>COUNTIFS(STATUS!$Q:$Q,$A5,STATUS!$D:$D,BC$1,STATUS!$U:$U,"ВОЗВРАТ")</f>
        <v>2</v>
      </c>
      <c r="BD6" s="306">
        <f>COUNTIFS(STATUS!$Q:$Q,$A5,STATUS!$D:$D,BD$1,STATUS!$U:$U,"ВОЗВРАТ")</f>
        <v>0</v>
      </c>
      <c r="BE6" s="440">
        <f>COUNTIFS(STATUS!$Q:$Q,$A5,STATUS!$D:$D,BE$1,STATUS!$U:$U,"ВОЗВРАТ")</f>
        <v>1</v>
      </c>
      <c r="BF6" s="440">
        <f>COUNTIFS(STATUS!$Q:$Q,$A5,STATUS!$D:$D,BF$1,STATUS!$U:$U,"ВОЗВРАТ")</f>
        <v>3</v>
      </c>
      <c r="BG6" s="572">
        <f>SUM(BB6:BF6)</f>
        <v>6</v>
      </c>
      <c r="BH6" s="306">
        <f>COUNTIFS(STATUS!$Q:$Q,$A5,STATUS!$D:$D,BH$1,STATUS!$U:$U,"ВОЗВРАТ")</f>
        <v>0</v>
      </c>
      <c r="BI6" s="306">
        <f>COUNTIFS(STATUS!$Q:$Q,$A5,STATUS!$D:$D,BI$1,STATUS!$U:$U,"ВОЗВРАТ")</f>
        <v>0</v>
      </c>
      <c r="BJ6" s="306">
        <f>COUNTIFS(STATUS!$Q:$Q,$A5,STATUS!$D:$D,BJ$1,STATUS!$U:$U,"ВОЗВРАТ")</f>
        <v>0</v>
      </c>
      <c r="BK6" s="440">
        <f>COUNTIFS(STATUS!$Q:$Q,$A5,STATUS!$D:$D,BK$1,STATUS!$U:$U,"ВОЗВРАТ")</f>
        <v>3</v>
      </c>
      <c r="BL6" s="440">
        <f>COUNTIFS(STATUS!$Q:$Q,$A5,STATUS!$D:$D,BL$1,STATUS!$U:$U,"ВОЗВРАТ")</f>
        <v>1</v>
      </c>
      <c r="BM6" s="572">
        <f>SUM(BH6:BL6)</f>
        <v>4</v>
      </c>
      <c r="BN6" s="306">
        <f>COUNTIFS(STATUS!$Q:$Q,$A5,STATUS!$D:$D,BN$1,STATUS!$U:$U,"ВОЗВРАТ")</f>
        <v>2</v>
      </c>
      <c r="BO6" s="306">
        <f>COUNTIFS(STATUS!$Q:$Q,$A5,STATUS!$D:$D,BO$1,STATUS!$U:$U,"ВОЗВРАТ")</f>
        <v>1</v>
      </c>
      <c r="BP6" s="306">
        <f>COUNTIFS(STATUS!$Q:$Q,$A5,STATUS!$D:$D,BP$1,STATUS!$U:$U,"ВОЗВРАТ")</f>
        <v>0</v>
      </c>
      <c r="BQ6" s="440">
        <f>COUNTIFS(STATUS!$Q:$Q,$A5,STATUS!$D:$D,BQ$1,STATUS!$U:$U,"ВОЗВРАТ")</f>
        <v>0</v>
      </c>
      <c r="BR6" s="440">
        <f>COUNTIFS(STATUS!$Q:$Q,$A5,STATUS!$D:$D,BR$1,STATUS!$U:$U,"ВОЗВРАТ")</f>
        <v>2</v>
      </c>
      <c r="BS6" s="572">
        <f>SUM(BN6:BR6)</f>
        <v>5</v>
      </c>
      <c r="BT6" s="306">
        <f>COUNTIFS(STATUS!$Q:$Q,$A5,STATUS!$D:$D,BT$1,STATUS!$U:$U,"ВОЗВРАТ")</f>
        <v>0</v>
      </c>
      <c r="BU6" s="306">
        <f>COUNTIFS(STATUS!$Q:$Q,$A5,STATUS!$D:$D,BU$1,STATUS!$U:$U,"ВОЗВРАТ")</f>
        <v>0</v>
      </c>
      <c r="BV6" s="306">
        <f>COUNTIFS(STATUS!$Q:$Q,$A5,STATUS!$D:$D,BV$1,STATUS!$U:$U,"ВОЗВРАТ")</f>
        <v>0</v>
      </c>
      <c r="BW6" s="440">
        <f>COUNTIFS(STATUS!$Q:$Q,$A5,STATUS!$D:$D,BW$1,STATUS!$U:$U,"ВОЗВРАТ")</f>
        <v>0</v>
      </c>
      <c r="BX6" s="440">
        <f>COUNTIFS(STATUS!$Q:$Q,$A5,STATUS!$D:$D,BX$1,STATUS!$U:$U,"ВОЗВРАТ")</f>
        <v>0</v>
      </c>
      <c r="BY6" s="572">
        <f>SUM(BT6:BX6)</f>
        <v>0</v>
      </c>
      <c r="BZ6" s="306">
        <f>COUNTIFS(STATUS!$Q:$Q,$A5,STATUS!$D:$D,BZ$1,STATUS!$U:$U,"ВОЗВРАТ")</f>
        <v>0</v>
      </c>
      <c r="CA6" s="306">
        <f>COUNTIFS(STATUS!$Q:$Q,$A5,STATUS!$D:$D,CA$1,STATUS!$U:$U,"ВОЗВРАТ")</f>
        <v>0</v>
      </c>
      <c r="CB6" s="306">
        <f>COUNTIFS(STATUS!$Q:$Q,$A5,STATUS!$D:$D,CB$1,STATUS!$U:$U,"ВОЗВРАТ")</f>
        <v>0</v>
      </c>
      <c r="CC6" s="440">
        <f>COUNTIFS(STATUS!$Q:$Q,$A5,STATUS!$D:$D,CC$1,STATUS!$U:$U,"ВОЗВРАТ")</f>
        <v>1</v>
      </c>
      <c r="CD6" s="440">
        <f>COUNTIFS(STATUS!$Q:$Q,$A5,STATUS!$D:$D,CD$1,STATUS!$U:$U,"ВОЗВРАТ")</f>
        <v>1</v>
      </c>
      <c r="CE6" s="572">
        <f>SUM(BZ6:CD6)</f>
        <v>2</v>
      </c>
      <c r="CF6" s="306">
        <f>COUNTIFS(STATUS!$Q:$Q,$A5,STATUS!$D:$D,CF$1,STATUS!$U:$U,"ВОЗВРАТ")</f>
        <v>0</v>
      </c>
      <c r="CG6" s="306">
        <f>COUNTIFS(STATUS!$Q:$Q,$A5,STATUS!$D:$D,CG$1,STATUS!$U:$U,"ВОЗВРАТ")</f>
        <v>0</v>
      </c>
      <c r="CH6" s="306">
        <f>COUNTIFS(STATUS!$Q:$Q,$A5,STATUS!$D:$D,CH$1,STATUS!$U:$U,"ВОЗВРАТ")</f>
        <v>0</v>
      </c>
      <c r="CI6" s="440">
        <f>COUNTIFS(STATUS!$Q:$Q,$A5,STATUS!$D:$D,CI$1,STATUS!$U:$U,"ВОЗВРАТ")</f>
        <v>0</v>
      </c>
      <c r="CJ6" s="440">
        <f>COUNTIFS(STATUS!$Q:$Q,$A5,STATUS!$D:$D,CJ$1,STATUS!$U:$U,"ВОЗВРАТ")</f>
        <v>0</v>
      </c>
      <c r="CK6" s="576">
        <f>SUM(CF6:CJ6)</f>
        <v>0</v>
      </c>
      <c r="CL6" s="306">
        <f>COUNTIFS(STATUS!$Q:$Q,$A5,STATUS!$D:$D,CL$1,STATUS!$U:$U,"ВОЗВРАТ")</f>
        <v>0</v>
      </c>
      <c r="CM6" s="306">
        <f>COUNTIFS(STATUS!$Q:$Q,$A5,STATUS!$D:$D,CM$1,STATUS!$U:$U,"ВОЗВРАТ")</f>
        <v>0</v>
      </c>
      <c r="CN6" s="306">
        <f>COUNTIFS(STATUS!$Q:$Q,$A5,STATUS!$D:$D,CN$1,STATUS!$U:$U,"ВОЗВРАТ")</f>
        <v>0</v>
      </c>
      <c r="CO6" s="440">
        <f>COUNTIFS(STATUS!$Q:$Q,$A5,STATUS!$D:$D,CO$1,STATUS!$U:$U,"ВОЗВРАТ")</f>
        <v>0</v>
      </c>
      <c r="CP6" s="440">
        <f>COUNTIFS(STATUS!$Q:$Q,$A5,STATUS!$D:$D,CP$1,STATUS!$U:$U,"ВОЗВРАТ")</f>
        <v>0</v>
      </c>
      <c r="CQ6" s="576">
        <f>SUM(CL6:CP6)</f>
        <v>0</v>
      </c>
      <c r="CR6" s="306">
        <f>COUNTIFS(STATUS!$Q:$Q,$A5,STATUS!$D:$D,CR$1,STATUS!$U:$U,"ВОЗВРАТ")</f>
        <v>0</v>
      </c>
      <c r="CS6" s="306">
        <f>COUNTIFS(STATUS!$Q:$Q,$A5,STATUS!$D:$D,CS$1,STATUS!$U:$U,"ВОЗВРАТ")</f>
        <v>0</v>
      </c>
      <c r="CT6" s="306">
        <f>COUNTIFS(STATUS!$Q:$Q,$A5,STATUS!$D:$D,CT$1,STATUS!$U:$U,"ВОЗВРАТ")</f>
        <v>0</v>
      </c>
      <c r="CU6" s="440">
        <f>COUNTIFS(STATUS!$Q:$Q,$A5,STATUS!$D:$D,CU$1,STATUS!$U:$U,"ВОЗВРАТ")</f>
        <v>0</v>
      </c>
      <c r="CV6" s="440">
        <f>COUNTIFS(STATUS!$Q:$Q,$A5,STATUS!$D:$D,CV$1,STATUS!$U:$U,"ВОЗВРАТ")</f>
        <v>0</v>
      </c>
      <c r="CW6" s="576">
        <f>SUM(CR6:CV6)</f>
        <v>0</v>
      </c>
      <c r="CX6" s="577">
        <f>COUNTIFS(STATUS!$Q:$Q,$A5,STATUS!$D:$D,CX$1,STATUS!$U:$U,"ВОЗВРАТ")</f>
        <v>0</v>
      </c>
      <c r="CY6" s="577">
        <f>COUNTIFS(STATUS!$Q:$Q,$A5,STATUS!$D:$D,CY$1,STATUS!$U:$U,"ВОЗВРАТ")</f>
        <v>0</v>
      </c>
      <c r="CZ6" s="577">
        <f>COUNTIFS(STATUS!$Q:$Q,$A5,STATUS!$D:$D,CZ$1,STATUS!$U:$U,"ВОЗВРАТ")</f>
        <v>0</v>
      </c>
      <c r="DA6" s="578">
        <f>COUNTIFS(STATUS!$Q:$Q,$A5,STATUS!$D:$D,DA$1,STATUS!$U:$U,"ВОЗВРАТ")</f>
        <v>0</v>
      </c>
      <c r="DB6" s="578">
        <f>COUNTIFS(STATUS!$Q:$Q,$A5,STATUS!$D:$D,DB$1,STATUS!$U:$U,"ВОЗВРАТ")</f>
        <v>0</v>
      </c>
      <c r="DC6" s="576">
        <f>SUM(CX6:DB6)</f>
        <v>0</v>
      </c>
      <c r="DD6" s="306">
        <f>COUNTIFS(STATUS!$Q:$Q,$A5,STATUS!$D:$D,DD$1,STATUS!$U:$U,"ВОЗВРАТ")</f>
        <v>2</v>
      </c>
      <c r="DE6" s="306">
        <f>COUNTIFS(STATUS!$Q:$Q,$A5,STATUS!$D:$D,DE$1,STATUS!$U:$U,"ВОЗВРАТ")</f>
        <v>3</v>
      </c>
      <c r="DF6" s="306">
        <f>COUNTIFS(STATUS!$Q:$Q,$A5,STATUS!$D:$D,DF$1,STATUS!$U:$U,"ВОЗВРАТ")</f>
        <v>0</v>
      </c>
      <c r="DG6" s="440">
        <f>COUNTIFS(STATUS!$Q:$Q,$A5,STATUS!$D:$D,DG$1,STATUS!$U:$U,"ВОЗВРАТ")</f>
        <v>2</v>
      </c>
      <c r="DH6" s="440">
        <f>COUNTIFS(STATUS!$Q:$Q,$A5,STATUS!$D:$D,DH$1,STATUS!$U:$U,"ВОЗВРАТ")</f>
        <v>1</v>
      </c>
      <c r="DI6" s="572">
        <f>SUM(DD6:DH6)</f>
        <v>8</v>
      </c>
      <c r="DJ6" s="306">
        <f>COUNTIFS(STATUS!$Q:$Q,$A5,STATUS!$D:$D,DJ$1,STATUS!$U:$U,"ВОЗВРАТ")</f>
        <v>1</v>
      </c>
      <c r="DK6" s="306">
        <f>COUNTIFS(STATUS!$Q:$Q,$A5,STATUS!$D:$D,DK$1,STATUS!$U:$U,"ВОЗВРАТ")</f>
        <v>0</v>
      </c>
      <c r="DL6" s="306">
        <f>COUNTIFS(STATUS!$Q:$Q,$A5,STATUS!$D:$D,DL$1,STATUS!$U:$U,"ВОЗВРАТ")</f>
        <v>1</v>
      </c>
      <c r="DM6" s="440">
        <f>COUNTIFS(STATUS!$Q:$Q,$A5,STATUS!$D:$D,DM$1,STATUS!$U:$U,"ВОЗВРАТ")</f>
        <v>1</v>
      </c>
      <c r="DN6" s="440">
        <f>COUNTIFS(STATUS!$Q:$Q,$A5,STATUS!$D:$D,DN$1,STATUS!$U:$U,"ВОЗВРАТ")</f>
        <v>2</v>
      </c>
      <c r="DO6" s="572">
        <f>SUM(DJ6:DN6)</f>
        <v>5</v>
      </c>
      <c r="DP6" s="306">
        <f>COUNTIFS(STATUS!$Q:$Q,$A5,STATUS!$D:$D,DP$1,STATUS!$U:$U,"ВОЗВРАТ")</f>
        <v>0</v>
      </c>
      <c r="DQ6" s="306">
        <f>COUNTIFS(STATUS!$Q:$Q,$A5,STATUS!$D:$D,DQ$1,STATUS!$U:$U,"ВОЗВРАТ")</f>
        <v>1</v>
      </c>
      <c r="DR6" s="306">
        <f>COUNTIFS(STATUS!$Q:$Q,$A5,STATUS!$D:$D,DR$1,STATUS!$U:$U,"ВОЗВРАТ")</f>
        <v>0</v>
      </c>
      <c r="DS6" s="440">
        <f>COUNTIFS(STATUS!$Q:$Q,$A5,STATUS!$D:$D,DS$1,STATUS!$U:$U,"ВОЗВРАТ")</f>
        <v>1</v>
      </c>
      <c r="DT6" s="440">
        <f>COUNTIFS(STATUS!$Q:$Q,$A5,STATUS!$D:$D,DT$1,STATUS!$U:$U,"ВОЗВРАТ")</f>
        <v>2</v>
      </c>
      <c r="DU6" s="572">
        <f>SUM(DP6:DT6)</f>
        <v>4</v>
      </c>
      <c r="DV6" s="306">
        <f>COUNTIFS(STATUS!$Q:$Q,$A5,STATUS!$D:$D,DV$1,STATUS!$U:$U,"ВОЗВРАТ")</f>
        <v>1</v>
      </c>
      <c r="DW6" s="306">
        <f>COUNTIFS(STATUS!$Q:$Q,$A5,STATUS!$D:$D,DW$1,STATUS!$U:$U,"ВОЗВРАТ")</f>
        <v>1</v>
      </c>
      <c r="DX6" s="306">
        <f>COUNTIFS(STATUS!$Q:$Q,$A5,STATUS!$D:$D,DX$1,STATUS!$U:$U,"ВОЗВРАТ")</f>
        <v>3</v>
      </c>
      <c r="DY6" s="440">
        <f>COUNTIFS(STATUS!$Q:$Q,$A5,STATUS!$D:$D,DY$1,STATUS!$U:$U,"ВОЗВРАТ")</f>
        <v>1</v>
      </c>
      <c r="DZ6" s="440">
        <f>COUNTIFS(STATUS!$Q:$Q,$A5,STATUS!$D:$D,DZ$1,STATUS!$U:$U,"ВОЗВРАТ")</f>
        <v>3</v>
      </c>
      <c r="EA6" s="572">
        <f>SUM(DV6:DZ6)</f>
        <v>9</v>
      </c>
      <c r="EB6" s="306">
        <f>COUNTIFS(STATUS!$Q:$Q,$A5,STATUS!$D:$D,EB$1,STATUS!$U:$U,"ВОЗВРАТ")</f>
        <v>0</v>
      </c>
      <c r="EC6" s="306">
        <f>COUNTIFS(STATUS!$Q:$Q,$A5,STATUS!$D:$D,EC$1,STATUS!$U:$U,"ВОЗВРАТ")</f>
        <v>1</v>
      </c>
      <c r="ED6" s="306">
        <f>COUNTIFS(STATUS!$Q:$Q,$A5,STATUS!$D:$D,ED$1,STATUS!$U:$U,"ВОЗВРАТ")</f>
        <v>4</v>
      </c>
      <c r="EE6" s="440">
        <f>COUNTIFS(STATUS!$Q:$Q,$A5,STATUS!$D:$D,EE$1,STATUS!$U:$U,"ВОЗВРАТ")</f>
        <v>3</v>
      </c>
      <c r="EF6" s="440">
        <f>COUNTIFS(STATUS!$Q:$Q,$A5,STATUS!$D:$D,EF$1,STATUS!$U:$U,"ВОЗВРАТ")</f>
        <v>0</v>
      </c>
      <c r="EG6" s="572">
        <f>SUM(EB6:EF6)</f>
        <v>8</v>
      </c>
      <c r="EH6" s="306">
        <f>COUNTIFS(STATUS!$Q:$Q,$A5,STATUS!$D:$D,EH$1,STATUS!$U:$U,"ВОЗВРАТ")</f>
        <v>0</v>
      </c>
      <c r="EI6" s="306">
        <f>COUNTIFS(STATUS!$Q:$Q,$A5,STATUS!$D:$D,EI$1,STATUS!$U:$U,"ВОЗВРАТ")</f>
        <v>2</v>
      </c>
      <c r="EJ6" s="306">
        <f>COUNTIFS(STATUS!$Q:$Q,$A5,STATUS!$D:$D,EJ$1,STATUS!$U:$U,"ВОЗВРАТ")</f>
        <v>0</v>
      </c>
      <c r="EK6" s="440">
        <f>COUNTIFS(STATUS!$Q:$Q,$A5,STATUS!$D:$D,EK$1,STATUS!$U:$U,"ВОЗВРАТ")</f>
        <v>1</v>
      </c>
      <c r="EL6" s="440">
        <f>COUNTIFS(STATUS!$Q:$Q,$A5,STATUS!$D:$D,EL$1,STATUS!$U:$U,"ВОЗВРАТ")</f>
        <v>1</v>
      </c>
      <c r="EM6" s="572">
        <f>SUM(EH6:EL6)</f>
        <v>4</v>
      </c>
      <c r="EN6" s="306">
        <f>COUNTIFS(STATUS!$Q:$Q,$A5,STATUS!$D:$D,EN$1,STATUS!$U:$U,"ВОЗВРАТ")</f>
        <v>0</v>
      </c>
      <c r="EO6" s="306">
        <f>COUNTIFS(STATUS!$Q:$Q,$A5,STATUS!$D:$D,EO$1,STATUS!$U:$U,"ВОЗВРАТ")</f>
        <v>0</v>
      </c>
      <c r="EP6" s="306">
        <f>COUNTIFS(STATUS!$Q:$Q,$A5,STATUS!$D:$D,EP$1,STATUS!$U:$U,"ВОЗВРАТ")</f>
        <v>4</v>
      </c>
      <c r="EQ6" s="440">
        <f>COUNTIFS(STATUS!$Q:$Q,$A5,STATUS!$D:$D,EQ$1,STATUS!$U:$U,"ВОЗВРАТ")</f>
        <v>1</v>
      </c>
      <c r="ER6" s="440">
        <f>COUNTIFS(STATUS!$Q:$Q,$A5,STATUS!$D:$D,ER$1,STATUS!$U:$U,"ВОЗВРАТ")</f>
        <v>3</v>
      </c>
      <c r="ES6" s="572">
        <f>SUM(EN6:ER6)</f>
        <v>8</v>
      </c>
      <c r="ET6" s="306">
        <f>COUNTIFS(STATUS!$Q:$Q,$A5,STATUS!$D:$D,ET$1,STATUS!$U:$U,"ВОЗВРАТ")</f>
        <v>2</v>
      </c>
      <c r="EU6" s="306">
        <f>COUNTIFS(STATUS!$Q:$Q,$A5,STATUS!$D:$D,EU$1,STATUS!$U:$U,"ВОЗВРАТ")</f>
        <v>2</v>
      </c>
      <c r="EV6" s="306">
        <f>COUNTIFS(STATUS!$Q:$Q,$A5,STATUS!$D:$D,EV$1,STATUS!$U:$U,"ВОЗВРАТ")</f>
        <v>0</v>
      </c>
      <c r="EW6" s="440">
        <f>COUNTIFS(STATUS!$Q:$Q,$A5,STATUS!$D:$D,EW$1,STATUS!$U:$U,"ВОЗВРАТ")</f>
        <v>0</v>
      </c>
      <c r="EX6" s="440">
        <f>COUNTIFS(STATUS!$Q:$Q,$A5,STATUS!$D:$D,EX$1,STATUS!$U:$U,"ВОЗВРАТ")</f>
        <v>0</v>
      </c>
      <c r="EY6" s="572">
        <f>SUM(ET6:EX6)</f>
        <v>4</v>
      </c>
      <c r="EZ6" s="306">
        <f>COUNTIFS(STATUS!$Q:$Q,$A5,STATUS!$D:$D,EZ$1,STATUS!$U:$U,"ВОЗВРАТ")</f>
        <v>0</v>
      </c>
      <c r="FA6" s="306">
        <f>COUNTIFS(STATUS!$Q:$Q,$A5,STATUS!$D:$D,FA$1,STATUS!$U:$U,"ВОЗВРАТ")</f>
        <v>0</v>
      </c>
      <c r="FB6" s="306">
        <f>COUNTIFS(STATUS!$Q:$Q,$A5,STATUS!$D:$D,FB$1,STATUS!$U:$U,"ВОЗВРАТ")</f>
        <v>0</v>
      </c>
      <c r="FC6" s="440">
        <f>COUNTIFS(STATUS!$Q:$Q,$A5,STATUS!$D:$D,FC$1,STATUS!$U:$U,"ВОЗВРАТ")</f>
        <v>0</v>
      </c>
      <c r="FD6" s="440">
        <f>COUNTIFS(STATUS!$Q:$Q,$A5,STATUS!$D:$D,FD$1,STATUS!$U:$U,"ВОЗВРАТ")</f>
        <v>0</v>
      </c>
      <c r="FE6" s="576">
        <f>SUM(EZ6:FD6)</f>
        <v>0</v>
      </c>
      <c r="FF6" s="577">
        <f>COUNTIFS(STATUS!$Q:$Q,$A5,STATUS!$D:$D,FF$1,STATUS!$U:$U,"ВОЗВРАТ")</f>
        <v>0</v>
      </c>
      <c r="FG6" s="577">
        <f>COUNTIFS(STATUS!$Q:$Q,$A5,STATUS!$D:$D,FG$1,STATUS!$U:$U,"ВОЗВРАТ")</f>
        <v>0</v>
      </c>
      <c r="FH6" s="577">
        <f>COUNTIFS(STATUS!$Q:$Q,$A5,STATUS!$D:$D,FH$1,STATUS!$U:$U,"ВОЗВРАТ")</f>
        <v>0</v>
      </c>
      <c r="FI6" s="578">
        <f>COUNTIFS(STATUS!$Q:$Q,$A5,STATUS!$D:$D,FI$1,STATUS!$U:$U,"ВОЗВРАТ")</f>
        <v>0</v>
      </c>
      <c r="FJ6" s="578">
        <f>COUNTIFS(STATUS!$Q:$Q,$A5,STATUS!$D:$D,FJ$1,STATUS!$U:$U,"ВОЗВРАТ")</f>
        <v>0</v>
      </c>
      <c r="FK6" s="576">
        <f>SUM(FF6:FJ6)</f>
        <v>0</v>
      </c>
      <c r="FL6" s="577">
        <f>COUNTIFS(STATUS!$Q:$Q,$A5,STATUS!$D:$D,FL$1,STATUS!$U:$U,"ВОЗВРАТ")</f>
        <v>0</v>
      </c>
      <c r="FM6" s="577">
        <f>COUNTIFS(STATUS!$Q:$Q,$A5,STATUS!$D:$D,FM$1,STATUS!$U:$U,"ВОЗВРАТ")</f>
        <v>0</v>
      </c>
      <c r="FN6" s="577">
        <f>COUNTIFS(STATUS!$Q:$Q,$A5,STATUS!$D:$D,FN$1,STATUS!$U:$U,"ВОЗВРАТ")</f>
        <v>0</v>
      </c>
      <c r="FO6" s="578">
        <f>COUNTIFS(STATUS!$Q:$Q,$A5,STATUS!$D:$D,FO$1,STATUS!$U:$U,"ВОЗВРАТ")</f>
        <v>0</v>
      </c>
      <c r="FP6" s="440">
        <f>COUNTIFS(STATUS!$Q:$Q,$A5,STATUS!$D:$D,FP$1,STATUS!$U:$U,"ВОЗВРАТ")</f>
        <v>1</v>
      </c>
      <c r="FQ6" s="572">
        <f>SUM(FL6:FP6)</f>
        <v>1</v>
      </c>
      <c r="FR6" s="1300">
        <f>COUNTIFS(STATUS!$Q:$Q,$A5,STATUS!$D:$D,FR$1,STATUS!$U:$U,"ВОЗВРАТ")</f>
        <v>0</v>
      </c>
      <c r="FS6" s="1300">
        <f>COUNTIFS(STATUS!$Q:$Q,$A5,STATUS!$D:$D,FS$1,STATUS!$U:$U,"ВОЗВРАТ")</f>
        <v>2</v>
      </c>
      <c r="FT6" s="1300">
        <f>COUNTIFS(STATUS!$Q:$Q,$A5,STATUS!$D:$D,FT$1,STATUS!$U:$U,"ВОЗВРАТ")</f>
        <v>4</v>
      </c>
      <c r="FU6" s="1301">
        <f>COUNTIFS(STATUS!$Q:$Q,$A5,STATUS!$D:$D,FU$1,STATUS!$U:$U,"ВОЗВРАТ")</f>
        <v>0</v>
      </c>
      <c r="FV6" s="440">
        <f>COUNTIFS(STATUS!$Q:$Q,$A5,STATUS!$D:$D,FV$1,STATUS!$U:$U,"ВОЗВРАТ")</f>
        <v>3</v>
      </c>
      <c r="FW6" s="572">
        <f>SUM(FR6:FV6)</f>
        <v>9</v>
      </c>
      <c r="FX6" s="1300">
        <f>COUNTIFS(STATUS!$Q:$Q,$A5,STATUS!$D:$D,FX$1,STATUS!$U:$U,"ВОЗВРАТ")</f>
        <v>1</v>
      </c>
      <c r="FY6" s="1300">
        <f>COUNTIFS(STATUS!$Q:$Q,$A5,STATUS!$D:$D,FY$1,STATUS!$U:$U,"ВОЗВРАТ")</f>
        <v>2</v>
      </c>
      <c r="FZ6" s="1300">
        <f>COUNTIFS(STATUS!$Q:$Q,$A5,STATUS!$D:$D,FZ$1,STATUS!$U:$U,"ВОЗВРАТ")</f>
        <v>4</v>
      </c>
      <c r="GA6" s="1301">
        <f>COUNTIFS(STATUS!$Q:$Q,$A5,STATUS!$D:$D,GA$1,STATUS!$U:$U,"ВОЗВРАТ")</f>
        <v>2</v>
      </c>
      <c r="GB6" s="440">
        <f>COUNTIFS(STATUS!$Q:$Q,$A5,STATUS!$D:$D,GB$1,STATUS!$U:$U,"ВОЗВРАТ")</f>
        <v>1</v>
      </c>
      <c r="GC6" s="572">
        <f>SUM(FX6:GB6)</f>
        <v>10</v>
      </c>
      <c r="GD6" s="1300">
        <f>COUNTIFS(STATUS!$Q:$Q,$A5,STATUS!$D:$D,GD$1,STATUS!$U:$U,"ВОЗВРАТ")</f>
        <v>0</v>
      </c>
      <c r="GE6" s="1300">
        <f>COUNTIFS(STATUS!$Q:$Q,$A5,STATUS!$D:$D,GE$1,STATUS!$U:$U,"ВОЗВРАТ")</f>
        <v>0</v>
      </c>
      <c r="GF6" s="1300">
        <f>COUNTIFS(STATUS!$Q:$Q,$A5,STATUS!$D:$D,GF$1,STATUS!$U:$U,"ВОЗВРАТ")</f>
        <v>0</v>
      </c>
      <c r="GG6" s="1301">
        <f>COUNTIFS(STATUS!$Q:$Q,$A5,STATUS!$D:$D,GG$1,STATUS!$U:$U,"ВОЗВРАТ")</f>
        <v>0</v>
      </c>
      <c r="GH6" s="440">
        <f>COUNTIFS(STATUS!$Q:$Q,$A5,STATUS!$D:$D,GH$1,STATUS!$U:$U,"ВОЗВРАТ")</f>
        <v>0</v>
      </c>
      <c r="GI6" s="576">
        <f>SUM(GD6:GH6)</f>
        <v>0</v>
      </c>
      <c r="GJ6" s="577">
        <f>COUNTIFS(STATUS!$Q:$Q,$A5,STATUS!$D:$D,GJ$1,STATUS!$U:$U,"ВОЗВРАТ")</f>
        <v>0</v>
      </c>
      <c r="GK6" s="577">
        <f>COUNTIFS(STATUS!$Q:$Q,$A5,STATUS!$D:$D,GK$1,STATUS!$U:$U,"ВОЗВРАТ")</f>
        <v>0</v>
      </c>
      <c r="GL6" s="577">
        <f>COUNTIFS(STATUS!$Q:$Q,$A5,STATUS!$D:$D,GL$1,STATUS!$U:$U,"ВОЗВРАТ")</f>
        <v>0</v>
      </c>
      <c r="GM6" s="578">
        <f>COUNTIFS(STATUS!$Q:$Q,$A5,STATUS!$D:$D,GM$1,STATUS!$U:$U,"ВОЗВРАТ")</f>
        <v>0</v>
      </c>
      <c r="GN6" s="578">
        <f>COUNTIFS(STATUS!$Q:$Q,$A5,STATUS!$D:$D,GN$1,STATUS!$U:$U,"ВОЗВРАТ")</f>
        <v>0</v>
      </c>
      <c r="GO6" s="576">
        <f>SUM(GJ6:GN6)</f>
        <v>0</v>
      </c>
      <c r="GP6" s="577">
        <f>COUNTIFS(STATUS!$Q:$Q,$A5,STATUS!$D:$D,GP$1,STATUS!$U:$U,"ВОЗВРАТ")</f>
        <v>0</v>
      </c>
      <c r="GQ6" s="577">
        <f>COUNTIFS(STATUS!$Q:$Q,$A5,STATUS!$D:$D,GQ$1,STATUS!$U:$U,"ВОЗВРАТ")</f>
        <v>0</v>
      </c>
      <c r="GR6" s="577">
        <f>COUNTIFS(STATUS!$Q:$Q,$A5,STATUS!$D:$D,GR$1,STATUS!$U:$U,"ВОЗВРАТ")</f>
        <v>0</v>
      </c>
      <c r="GS6" s="578">
        <f>COUNTIFS(STATUS!$Q:$Q,$A5,STATUS!$D:$D,GS$1,STATUS!$U:$U,"ВОЗВРАТ")</f>
        <v>0</v>
      </c>
      <c r="GT6" s="578">
        <f>COUNTIFS(STATUS!$Q:$Q,$A5,STATUS!$D:$D,GT$1,STATUS!$U:$U,"ВОЗВРАТ")</f>
        <v>0</v>
      </c>
      <c r="GU6" s="576">
        <f>SUM(GP6:GT6)</f>
        <v>0</v>
      </c>
      <c r="GV6" s="577">
        <f>COUNTIFS(STATUS!$Q:$Q,$A5,STATUS!$D:$D,GV$1,STATUS!$U:$U,"ВОЗВРАТ")</f>
        <v>0</v>
      </c>
      <c r="GW6" s="577">
        <f>COUNTIFS(STATUS!$Q:$Q,$A5,STATUS!$D:$D,GW$1,STATUS!$U:$U,"ВОЗВРАТ")</f>
        <v>0</v>
      </c>
      <c r="GX6" s="577">
        <f>COUNTIFS(STATUS!$Q:$Q,$A5,STATUS!$D:$D,GX$1,STATUS!$U:$U,"ВОЗВРАТ")</f>
        <v>0</v>
      </c>
      <c r="GY6" s="578">
        <f>COUNTIFS(STATUS!$Q:$Q,$A5,STATUS!$D:$D,GY$1,STATUS!$U:$U,"ВОЗВРАТ")</f>
        <v>0</v>
      </c>
      <c r="GZ6" s="578">
        <f>COUNTIFS(STATUS!$Q:$Q,$A5,STATUS!$D:$D,GZ$1,STATUS!$U:$U,"ВОЗВРАТ")</f>
        <v>0</v>
      </c>
      <c r="HA6" s="576">
        <f>SUM(GV6:GZ6)</f>
        <v>0</v>
      </c>
    </row>
    <row r="7" spans="1:209" ht="21.6" thickBot="1" x14ac:dyDescent="0.35">
      <c r="A7" s="1563"/>
      <c r="B7" s="434">
        <f>B6/B5</f>
        <v>0.30021598272138228</v>
      </c>
      <c r="C7" s="397">
        <f>IFERROR(C6/C5,0)</f>
        <v>0.4</v>
      </c>
      <c r="D7" s="397">
        <f t="shared" ref="D7" si="34">IFERROR(D6/D5,0)</f>
        <v>0.5</v>
      </c>
      <c r="E7" s="397">
        <f t="shared" ref="E7" si="35">IFERROR(E6/E5,0)</f>
        <v>0</v>
      </c>
      <c r="F7" s="397">
        <f t="shared" ref="F7" si="36">IFERROR(F6/F5,0)</f>
        <v>1</v>
      </c>
      <c r="G7" s="441">
        <f t="shared" ref="G7:H7" si="37">IFERROR(G6/G5,0)</f>
        <v>0.5</v>
      </c>
      <c r="H7" s="573">
        <f t="shared" si="37"/>
        <v>0.47058823529411764</v>
      </c>
      <c r="I7" s="444">
        <f t="shared" ref="I7" si="38">IFERROR(I6/I5,0)</f>
        <v>0.25</v>
      </c>
      <c r="J7" s="397">
        <f t="shared" ref="J7" si="39">IFERROR(J6/J5,0)</f>
        <v>0</v>
      </c>
      <c r="K7" s="397">
        <f t="shared" ref="K7" si="40">IFERROR(K6/K5,0)</f>
        <v>0</v>
      </c>
      <c r="L7" s="397">
        <f t="shared" ref="L7" si="41">IFERROR(L6/L5,0)</f>
        <v>0</v>
      </c>
      <c r="M7" s="441">
        <f t="shared" ref="M7:N7" si="42">IFERROR(M6/M5,0)</f>
        <v>0</v>
      </c>
      <c r="N7" s="573">
        <f t="shared" si="42"/>
        <v>0.14285714285714285</v>
      </c>
      <c r="O7" s="444">
        <f t="shared" ref="O7" si="43">IFERROR(O6/O5,0)</f>
        <v>1</v>
      </c>
      <c r="P7" s="397">
        <f t="shared" ref="P7" si="44">IFERROR(P6/P5,0)</f>
        <v>1</v>
      </c>
      <c r="Q7" s="397">
        <f t="shared" ref="Q7:S7" si="45">IFERROR(Q6/Q5,0)</f>
        <v>0.66666666666666663</v>
      </c>
      <c r="R7" s="573">
        <f t="shared" si="45"/>
        <v>0.8</v>
      </c>
      <c r="S7" s="397">
        <f t="shared" si="45"/>
        <v>0.2</v>
      </c>
      <c r="T7" s="397">
        <f>IFERROR(T6/T5,0)</f>
        <v>0</v>
      </c>
      <c r="U7" s="397">
        <f>IFERROR(U6/U5,0)</f>
        <v>0</v>
      </c>
      <c r="V7" s="441">
        <f t="shared" ref="V7:W7" si="46">IFERROR(V6/V5,0)</f>
        <v>0</v>
      </c>
      <c r="W7" s="573">
        <f t="shared" si="46"/>
        <v>6.6666666666666666E-2</v>
      </c>
      <c r="X7" s="397">
        <f>IFERROR(X6/X5,0)</f>
        <v>0.66666666666666663</v>
      </c>
      <c r="Y7" s="397">
        <f>IFERROR(Y6/Y5,0)</f>
        <v>0</v>
      </c>
      <c r="Z7" s="397">
        <f>IFERROR(Z6/Z5,0)</f>
        <v>0.33333333333333331</v>
      </c>
      <c r="AA7" s="441">
        <f t="shared" ref="AA7:AB7" si="47">IFERROR(AA6/AA5,0)</f>
        <v>0.2</v>
      </c>
      <c r="AB7" s="441">
        <f t="shared" si="47"/>
        <v>0.4</v>
      </c>
      <c r="AC7" s="573">
        <f>IFERROR(AC6/AC5,0)</f>
        <v>0.29166666666666669</v>
      </c>
      <c r="AD7" s="397">
        <f>IFERROR(AD6/AD5,0)</f>
        <v>0.5</v>
      </c>
      <c r="AE7" s="397">
        <f>IFERROR(AE6/AE5,0)</f>
        <v>0.5</v>
      </c>
      <c r="AF7" s="397">
        <f>IFERROR(AF6/AF5,0)</f>
        <v>0.17647058823529413</v>
      </c>
      <c r="AG7" s="441">
        <f t="shared" ref="AG7:AH7" si="48">IFERROR(AG6/AG5,0)</f>
        <v>0</v>
      </c>
      <c r="AH7" s="441">
        <f t="shared" si="48"/>
        <v>0</v>
      </c>
      <c r="AI7" s="573">
        <f>IFERROR(AI6/AI5,0)</f>
        <v>0.28000000000000003</v>
      </c>
      <c r="AJ7" s="397">
        <f>IFERROR(AJ6/AJ5,0)</f>
        <v>0.46666666666666667</v>
      </c>
      <c r="AK7" s="397">
        <f>IFERROR(AK6/AK5,0)</f>
        <v>0.2</v>
      </c>
      <c r="AL7" s="397">
        <f>IFERROR(AL6/AL5,0)</f>
        <v>0.2</v>
      </c>
      <c r="AM7" s="441">
        <f t="shared" ref="AM7:AN7" si="49">IFERROR(AM6/AM5,0)</f>
        <v>0.66666666666666663</v>
      </c>
      <c r="AN7" s="441">
        <f t="shared" si="49"/>
        <v>0.33333333333333331</v>
      </c>
      <c r="AO7" s="573">
        <f>IFERROR(AO6/AO5,0)</f>
        <v>0.38709677419354838</v>
      </c>
      <c r="AP7" s="397">
        <f>IFERROR(AP6/AP5,0)</f>
        <v>0</v>
      </c>
      <c r="AQ7" s="397">
        <f>IFERROR(AQ6/AQ5,0)</f>
        <v>0.4</v>
      </c>
      <c r="AR7" s="397">
        <f>IFERROR(AR6/AR5,0)</f>
        <v>0.4</v>
      </c>
      <c r="AS7" s="441">
        <f t="shared" ref="AS7:AT7" si="50">IFERROR(AS6/AS5,0)</f>
        <v>0.25</v>
      </c>
      <c r="AT7" s="441">
        <f t="shared" si="50"/>
        <v>0</v>
      </c>
      <c r="AU7" s="573">
        <f>IFERROR(AU6/AU5,0)</f>
        <v>0.33333333333333331</v>
      </c>
      <c r="AV7" s="397">
        <f>IFERROR(AV6/AV5,0)</f>
        <v>0</v>
      </c>
      <c r="AW7" s="397">
        <f>IFERROR(AW6/AW5,0)</f>
        <v>0.10810810810810811</v>
      </c>
      <c r="AX7" s="397">
        <f>IFERROR(AX6/AX5,0)</f>
        <v>0</v>
      </c>
      <c r="AY7" s="441">
        <f t="shared" ref="AY7:AZ7" si="51">IFERROR(AY6/AY5,0)</f>
        <v>0.66666666666666663</v>
      </c>
      <c r="AZ7" s="441">
        <f t="shared" si="51"/>
        <v>1</v>
      </c>
      <c r="BA7" s="573">
        <f>IFERROR(BA6/BA5,0)</f>
        <v>0.15217391304347827</v>
      </c>
      <c r="BB7" s="397">
        <f>IFERROR(BB6/BB5,0)</f>
        <v>0</v>
      </c>
      <c r="BC7" s="397">
        <f>IFERROR(BC6/BC5,0)</f>
        <v>0.66666666666666663</v>
      </c>
      <c r="BD7" s="397">
        <f>IFERROR(BD6/BD5,0)</f>
        <v>0</v>
      </c>
      <c r="BE7" s="441">
        <f t="shared" ref="BE7:BF7" si="52">IFERROR(BE6/BE5,0)</f>
        <v>0.16666666666666666</v>
      </c>
      <c r="BF7" s="441">
        <f t="shared" si="52"/>
        <v>0.75</v>
      </c>
      <c r="BG7" s="573">
        <f>IFERROR(BG6/BG5,0)</f>
        <v>0.4</v>
      </c>
      <c r="BH7" s="397">
        <f>IFERROR(BH6/BH5,0)</f>
        <v>0</v>
      </c>
      <c r="BI7" s="397">
        <f>IFERROR(BI6/BI5,0)</f>
        <v>0</v>
      </c>
      <c r="BJ7" s="397">
        <f>IFERROR(BJ6/BJ5,0)</f>
        <v>0</v>
      </c>
      <c r="BK7" s="441">
        <f t="shared" ref="BK7:BL7" si="53">IFERROR(BK6/BK5,0)</f>
        <v>0.5</v>
      </c>
      <c r="BL7" s="441">
        <f t="shared" si="53"/>
        <v>0.5</v>
      </c>
      <c r="BM7" s="573">
        <f>IFERROR(BM6/BM5,0)</f>
        <v>0.33333333333333331</v>
      </c>
      <c r="BN7" s="397">
        <f>IFERROR(BN6/BN5,0)</f>
        <v>0.66666666666666663</v>
      </c>
      <c r="BO7" s="397">
        <f>IFERROR(BO6/BO5,0)</f>
        <v>0.5</v>
      </c>
      <c r="BP7" s="397">
        <f>IFERROR(BP6/BP5,0)</f>
        <v>0</v>
      </c>
      <c r="BQ7" s="441">
        <f t="shared" ref="BQ7:BR7" si="54">IFERROR(BQ6/BQ5,0)</f>
        <v>0</v>
      </c>
      <c r="BR7" s="441">
        <f t="shared" si="54"/>
        <v>0.33333333333333331</v>
      </c>
      <c r="BS7" s="573">
        <f>IFERROR(BS6/BS5,0)</f>
        <v>0.26315789473684209</v>
      </c>
      <c r="BT7" s="397">
        <f>IFERROR(BT6/BT5,0)</f>
        <v>0</v>
      </c>
      <c r="BU7" s="397">
        <f>IFERROR(BU6/BU5,0)</f>
        <v>0</v>
      </c>
      <c r="BV7" s="397">
        <f>IFERROR(BV6/BV5,0)</f>
        <v>0</v>
      </c>
      <c r="BW7" s="441">
        <f t="shared" ref="BW7:BX7" si="55">IFERROR(BW6/BW5,0)</f>
        <v>0</v>
      </c>
      <c r="BX7" s="441">
        <f t="shared" si="55"/>
        <v>0</v>
      </c>
      <c r="BY7" s="573">
        <f>IFERROR(BY6/BY5,0)</f>
        <v>0</v>
      </c>
      <c r="BZ7" s="397">
        <f>IFERROR(BZ6/BZ5,0)</f>
        <v>0</v>
      </c>
      <c r="CA7" s="397">
        <f>IFERROR(CA6/CA5,0)</f>
        <v>0</v>
      </c>
      <c r="CB7" s="397">
        <f>IFERROR(CB6/CB5,0)</f>
        <v>0</v>
      </c>
      <c r="CC7" s="441">
        <f t="shared" ref="CC7:CD7" si="56">IFERROR(CC6/CC5,0)</f>
        <v>0.2</v>
      </c>
      <c r="CD7" s="441">
        <f t="shared" si="56"/>
        <v>0.25</v>
      </c>
      <c r="CE7" s="573">
        <f>IFERROR(CE6/CE5,0)</f>
        <v>0.14285714285714285</v>
      </c>
      <c r="CF7" s="397">
        <f>IFERROR(CF6/CF5,0)</f>
        <v>0</v>
      </c>
      <c r="CG7" s="397">
        <f>IFERROR(CG6/CG5,0)</f>
        <v>0</v>
      </c>
      <c r="CH7" s="397">
        <f>IFERROR(CH6/CH5,0)</f>
        <v>0</v>
      </c>
      <c r="CI7" s="441">
        <f t="shared" ref="CI7:CJ7" si="57">IFERROR(CI6/CI5,0)</f>
        <v>0</v>
      </c>
      <c r="CJ7" s="441">
        <f t="shared" si="57"/>
        <v>0</v>
      </c>
      <c r="CK7" s="573">
        <f>IFERROR(CK6/CK5,0)</f>
        <v>0</v>
      </c>
      <c r="CL7" s="397">
        <f>IFERROR(CL6/CL5,0)</f>
        <v>0</v>
      </c>
      <c r="CM7" s="397">
        <f>IFERROR(CM6/CM5,0)</f>
        <v>0</v>
      </c>
      <c r="CN7" s="397">
        <f>IFERROR(CN6/CN5,0)</f>
        <v>0</v>
      </c>
      <c r="CO7" s="441">
        <f t="shared" ref="CO7:CP7" si="58">IFERROR(CO6/CO5,0)</f>
        <v>0</v>
      </c>
      <c r="CP7" s="441">
        <f t="shared" si="58"/>
        <v>0</v>
      </c>
      <c r="CQ7" s="573">
        <f>IFERROR(CQ6/CQ5,0)</f>
        <v>0</v>
      </c>
      <c r="CR7" s="397">
        <f>IFERROR(CR6/CR5,0)</f>
        <v>0</v>
      </c>
      <c r="CS7" s="397">
        <f>IFERROR(CS6/CS5,0)</f>
        <v>0</v>
      </c>
      <c r="CT7" s="397">
        <f>IFERROR(CT6/CT5,0)</f>
        <v>0</v>
      </c>
      <c r="CU7" s="441">
        <f t="shared" ref="CU7:CV7" si="59">IFERROR(CU6/CU5,0)</f>
        <v>0</v>
      </c>
      <c r="CV7" s="441">
        <f t="shared" si="59"/>
        <v>0</v>
      </c>
      <c r="CW7" s="573">
        <f>IFERROR(CW6/CW5,0)</f>
        <v>0</v>
      </c>
      <c r="CX7" s="397">
        <f>IFERROR(CX6/CX5,0)</f>
        <v>0</v>
      </c>
      <c r="CY7" s="397">
        <f>IFERROR(CY6/CY5,0)</f>
        <v>0</v>
      </c>
      <c r="CZ7" s="397">
        <f>IFERROR(CZ6/CZ5,0)</f>
        <v>0</v>
      </c>
      <c r="DA7" s="441">
        <f t="shared" ref="DA7:DB7" si="60">IFERROR(DA6/DA5,0)</f>
        <v>0</v>
      </c>
      <c r="DB7" s="441">
        <f t="shared" si="60"/>
        <v>0</v>
      </c>
      <c r="DC7" s="573">
        <f>IFERROR(DC6/DC5,0)</f>
        <v>0</v>
      </c>
      <c r="DD7" s="397">
        <f>IFERROR(DD6/DD5,0)</f>
        <v>1</v>
      </c>
      <c r="DE7" s="397">
        <f>IFERROR(DE6/DE5,0)</f>
        <v>0.75</v>
      </c>
      <c r="DF7" s="397">
        <f>IFERROR(DF6/DF5,0)</f>
        <v>0</v>
      </c>
      <c r="DG7" s="441">
        <f t="shared" ref="DG7:DH7" si="61">IFERROR(DG6/DG5,0)</f>
        <v>0.66666666666666663</v>
      </c>
      <c r="DH7" s="441">
        <f t="shared" si="61"/>
        <v>0.2</v>
      </c>
      <c r="DI7" s="573">
        <f>IFERROR(DI6/DI5,0)</f>
        <v>0.47058823529411764</v>
      </c>
      <c r="DJ7" s="397">
        <f>IFERROR(DJ6/DJ5,0)</f>
        <v>0.16666666666666666</v>
      </c>
      <c r="DK7" s="397">
        <f>IFERROR(DK6/DK5,0)</f>
        <v>0</v>
      </c>
      <c r="DL7" s="397">
        <f>IFERROR(DL6/DL5,0)</f>
        <v>0.33333333333333331</v>
      </c>
      <c r="DM7" s="441">
        <f t="shared" ref="DM7:DN7" si="62">IFERROR(DM6/DM5,0)</f>
        <v>0.2</v>
      </c>
      <c r="DN7" s="441">
        <f t="shared" si="62"/>
        <v>0.5</v>
      </c>
      <c r="DO7" s="573">
        <f>IFERROR(DO6/DO5,0)</f>
        <v>0.22727272727272727</v>
      </c>
      <c r="DP7" s="397">
        <f>IFERROR(DP6/DP5,0)</f>
        <v>0</v>
      </c>
      <c r="DQ7" s="397">
        <f>IFERROR(DQ6/DQ5,0)</f>
        <v>0.2</v>
      </c>
      <c r="DR7" s="397">
        <f>IFERROR(DR6/DR5,0)</f>
        <v>0</v>
      </c>
      <c r="DS7" s="441">
        <f t="shared" ref="DS7:DT7" si="63">IFERROR(DS6/DS5,0)</f>
        <v>0.25</v>
      </c>
      <c r="DT7" s="441">
        <f t="shared" si="63"/>
        <v>0.5</v>
      </c>
      <c r="DU7" s="573">
        <f>IFERROR(DU6/DU5,0)</f>
        <v>0.22222222222222221</v>
      </c>
      <c r="DV7" s="397">
        <f>IFERROR(DV6/DV5,0)</f>
        <v>0.25</v>
      </c>
      <c r="DW7" s="397">
        <f>IFERROR(DW6/DW5,0)</f>
        <v>0.25</v>
      </c>
      <c r="DX7" s="397">
        <f>IFERROR(DX6/DX5,0)</f>
        <v>1</v>
      </c>
      <c r="DY7" s="441">
        <f t="shared" ref="DY7:DZ7" si="64">IFERROR(DY6/DY5,0)</f>
        <v>0.14285714285714285</v>
      </c>
      <c r="DZ7" s="441">
        <f t="shared" si="64"/>
        <v>0.75</v>
      </c>
      <c r="EA7" s="573">
        <f>IFERROR(EA6/EA5,0)</f>
        <v>0.40909090909090912</v>
      </c>
      <c r="EB7" s="397">
        <f>IFERROR(EB6/EB5,0)</f>
        <v>0</v>
      </c>
      <c r="EC7" s="397">
        <f>IFERROR(EC6/EC5,0)</f>
        <v>0.16666666666666666</v>
      </c>
      <c r="ED7" s="397">
        <f>IFERROR(ED6/ED5,0)</f>
        <v>0.66666666666666663</v>
      </c>
      <c r="EE7" s="441">
        <f t="shared" ref="EE7:EF7" si="65">IFERROR(EE6/EE5,0)</f>
        <v>0.6</v>
      </c>
      <c r="EF7" s="441">
        <f t="shared" si="65"/>
        <v>0</v>
      </c>
      <c r="EG7" s="573">
        <f>IFERROR(EG6/EG5,0)</f>
        <v>0.34782608695652173</v>
      </c>
      <c r="EH7" s="397">
        <f>IFERROR(EH6/EH5,0)</f>
        <v>0</v>
      </c>
      <c r="EI7" s="397">
        <f>IFERROR(EI6/EI5,0)</f>
        <v>0.4</v>
      </c>
      <c r="EJ7" s="397">
        <f>IFERROR(EJ6/EJ5,0)</f>
        <v>0</v>
      </c>
      <c r="EK7" s="441">
        <f t="shared" ref="EK7:EL7" si="66">IFERROR(EK6/EK5,0)</f>
        <v>0.14285714285714285</v>
      </c>
      <c r="EL7" s="441">
        <f t="shared" si="66"/>
        <v>0.16666666666666666</v>
      </c>
      <c r="EM7" s="573">
        <f>IFERROR(EM6/EM5,0)</f>
        <v>0.16666666666666666</v>
      </c>
      <c r="EN7" s="397">
        <f>IFERROR(EN6/EN5,0)</f>
        <v>0</v>
      </c>
      <c r="EO7" s="397">
        <f>IFERROR(EO6/EO5,0)</f>
        <v>0</v>
      </c>
      <c r="EP7" s="397">
        <f>IFERROR(EP6/EP5,0)</f>
        <v>0.8</v>
      </c>
      <c r="EQ7" s="441">
        <f t="shared" ref="EQ7:ER7" si="67">IFERROR(EQ6/EQ5,0)</f>
        <v>0.25</v>
      </c>
      <c r="ER7" s="441">
        <f t="shared" si="67"/>
        <v>0.6</v>
      </c>
      <c r="ES7" s="573">
        <f>IFERROR(ES6/ES5,0)</f>
        <v>0.38095238095238093</v>
      </c>
      <c r="ET7" s="397">
        <f>IFERROR(ET6/ET5,0)</f>
        <v>0.4</v>
      </c>
      <c r="EU7" s="397">
        <f>IFERROR(EU6/EU5,0)</f>
        <v>0.5</v>
      </c>
      <c r="EV7" s="397">
        <f>IFERROR(EV6/EV5,0)</f>
        <v>0</v>
      </c>
      <c r="EW7" s="441">
        <f t="shared" ref="EW7:EX7" si="68">IFERROR(EW6/EW5,0)</f>
        <v>0</v>
      </c>
      <c r="EX7" s="441">
        <f t="shared" si="68"/>
        <v>0</v>
      </c>
      <c r="EY7" s="573">
        <f>IFERROR(EY6/EY5,0)</f>
        <v>0.18181818181818182</v>
      </c>
      <c r="EZ7" s="397">
        <f>IFERROR(EZ6/EZ5,0)</f>
        <v>0</v>
      </c>
      <c r="FA7" s="397">
        <f>IFERROR(FA6/FA5,0)</f>
        <v>0</v>
      </c>
      <c r="FB7" s="397">
        <f>IFERROR(FB6/FB5,0)</f>
        <v>0</v>
      </c>
      <c r="FC7" s="441">
        <f t="shared" ref="FC7:FD7" si="69">IFERROR(FC6/FC5,0)</f>
        <v>0</v>
      </c>
      <c r="FD7" s="441">
        <f t="shared" si="69"/>
        <v>0</v>
      </c>
      <c r="FE7" s="573">
        <f>IFERROR(FE6/FE5,0)</f>
        <v>0</v>
      </c>
      <c r="FF7" s="397">
        <f>IFERROR(FF6/FF5,0)</f>
        <v>0</v>
      </c>
      <c r="FG7" s="397">
        <f>IFERROR(FG6/FG5,0)</f>
        <v>0</v>
      </c>
      <c r="FH7" s="397">
        <f>IFERROR(FH6/FH5,0)</f>
        <v>0</v>
      </c>
      <c r="FI7" s="441">
        <f t="shared" ref="FI7:FJ7" si="70">IFERROR(FI6/FI5,0)</f>
        <v>0</v>
      </c>
      <c r="FJ7" s="441">
        <f t="shared" si="70"/>
        <v>0</v>
      </c>
      <c r="FK7" s="573">
        <f>IFERROR(FK6/FK5,0)</f>
        <v>0</v>
      </c>
      <c r="FL7" s="397">
        <f>IFERROR(FL6/FL5,0)</f>
        <v>0</v>
      </c>
      <c r="FM7" s="397">
        <f>IFERROR(FM6/FM5,0)</f>
        <v>0</v>
      </c>
      <c r="FN7" s="397">
        <f>IFERROR(FN6/FN5,0)</f>
        <v>0</v>
      </c>
      <c r="FO7" s="441">
        <f t="shared" ref="FO7:FP7" si="71">IFERROR(FO6/FO5,0)</f>
        <v>0</v>
      </c>
      <c r="FP7" s="441">
        <f t="shared" si="71"/>
        <v>0.5</v>
      </c>
      <c r="FQ7" s="573">
        <f>IFERROR(FQ6/FQ5,0)</f>
        <v>0.5</v>
      </c>
      <c r="FR7" s="397">
        <f>IFERROR(FR6/FR5,0)</f>
        <v>0</v>
      </c>
      <c r="FS7" s="397">
        <f>IFERROR(FS6/FS5,0)</f>
        <v>0.66666666666666663</v>
      </c>
      <c r="FT7" s="397">
        <f>IFERROR(FT6/FT5,0)</f>
        <v>1</v>
      </c>
      <c r="FU7" s="441">
        <f t="shared" ref="FU7:FV7" si="72">IFERROR(FU6/FU5,0)</f>
        <v>0</v>
      </c>
      <c r="FV7" s="441">
        <f t="shared" si="72"/>
        <v>0.6</v>
      </c>
      <c r="FW7" s="573">
        <f>IFERROR(FW6/FW5,0)</f>
        <v>0.5625</v>
      </c>
      <c r="FX7" s="397">
        <f>IFERROR(FX6/FX5,0)</f>
        <v>0.33333333333333331</v>
      </c>
      <c r="FY7" s="397">
        <f>IFERROR(FY6/FY5,0)</f>
        <v>0.33333333333333331</v>
      </c>
      <c r="FZ7" s="397">
        <f>IFERROR(FZ6/FZ5,0)</f>
        <v>1</v>
      </c>
      <c r="GA7" s="441">
        <f t="shared" ref="GA7:GB7" si="73">IFERROR(GA6/GA5,0)</f>
        <v>0.66666666666666663</v>
      </c>
      <c r="GB7" s="441">
        <f t="shared" si="73"/>
        <v>1</v>
      </c>
      <c r="GC7" s="573">
        <f>IFERROR(GC6/GC5,0)</f>
        <v>0.58823529411764708</v>
      </c>
      <c r="GD7" s="397">
        <f>IFERROR(GD6/GD5,0)</f>
        <v>0</v>
      </c>
      <c r="GE7" s="397">
        <f>IFERROR(GE6/GE5,0)</f>
        <v>0</v>
      </c>
      <c r="GF7" s="397">
        <f>IFERROR(GF6/GF5,0)</f>
        <v>0</v>
      </c>
      <c r="GG7" s="441">
        <f t="shared" ref="GG7:GH7" si="74">IFERROR(GG6/GG5,0)</f>
        <v>0</v>
      </c>
      <c r="GH7" s="441">
        <f t="shared" si="74"/>
        <v>0</v>
      </c>
      <c r="GI7" s="573">
        <f>IFERROR(GI6/GI5,0)</f>
        <v>0</v>
      </c>
      <c r="GJ7" s="397">
        <f>IFERROR(GJ6/GJ5,0)</f>
        <v>0</v>
      </c>
      <c r="GK7" s="397">
        <f>IFERROR(GK6/GK5,0)</f>
        <v>0</v>
      </c>
      <c r="GL7" s="397">
        <f>IFERROR(GL6/GL5,0)</f>
        <v>0</v>
      </c>
      <c r="GM7" s="441">
        <f t="shared" ref="GM7:GN7" si="75">IFERROR(GM6/GM5,0)</f>
        <v>0</v>
      </c>
      <c r="GN7" s="441">
        <f t="shared" si="75"/>
        <v>0</v>
      </c>
      <c r="GO7" s="573">
        <f>IFERROR(GO6/GO5,0)</f>
        <v>0</v>
      </c>
      <c r="GP7" s="397">
        <f>IFERROR(GP6/GP5,0)</f>
        <v>0</v>
      </c>
      <c r="GQ7" s="397">
        <f>IFERROR(GQ6/GQ5,0)</f>
        <v>0</v>
      </c>
      <c r="GR7" s="397">
        <f>IFERROR(GR6/GR5,0)</f>
        <v>0</v>
      </c>
      <c r="GS7" s="441">
        <f t="shared" ref="GS7:GT7" si="76">IFERROR(GS6/GS5,0)</f>
        <v>0</v>
      </c>
      <c r="GT7" s="441">
        <f t="shared" si="76"/>
        <v>0</v>
      </c>
      <c r="GU7" s="573">
        <f>IFERROR(GU6/GU5,0)</f>
        <v>0</v>
      </c>
      <c r="GV7" s="397">
        <f>IFERROR(GV6/GV5,0)</f>
        <v>0</v>
      </c>
      <c r="GW7" s="397">
        <f>IFERROR(GW6/GW5,0)</f>
        <v>0</v>
      </c>
      <c r="GX7" s="397">
        <f>IFERROR(GX6/GX5,0)</f>
        <v>0</v>
      </c>
      <c r="GY7" s="441">
        <f t="shared" ref="GY7:GZ7" si="77">IFERROR(GY6/GY5,0)</f>
        <v>0</v>
      </c>
      <c r="GZ7" s="441">
        <f t="shared" si="77"/>
        <v>0</v>
      </c>
      <c r="HA7" s="573">
        <f>IFERROR(HA6/HA5,0)</f>
        <v>0</v>
      </c>
    </row>
    <row r="8" spans="1:209" ht="15" thickTop="1" x14ac:dyDescent="0.3">
      <c r="A8" s="1558" t="s">
        <v>2142</v>
      </c>
      <c r="B8" s="428">
        <f>SUM(H8,N8,R8,W8,AC8,AI8,AO8,AU8,BA8,BG8,BM8,BS8,BY8,CE8,CK8,CQ8,CW8,DC8,DI8,DO8,DU8,EA8,EG8,EM8,ES8,EY8,FE8,FK8,FQ8,FW8,GC8,GI8,GO8,GU8,HA8)</f>
        <v>575</v>
      </c>
      <c r="C8" s="406">
        <f>COUNTIFS(STATUS!$Q:$Q,$A8,STATUS!$D:$D,C$1,STATUS!$K:$K,"РЕШ УВ DONE")</f>
        <v>6</v>
      </c>
      <c r="D8" s="406">
        <f>COUNTIFS(STATUS!$Q:$Q,$A8,STATUS!$D:$D,D$1,STATUS!$K:$K,"РЕШ УВ DONE")</f>
        <v>3</v>
      </c>
      <c r="E8" s="406">
        <f>COUNTIFS(STATUS!$Q:$Q,$A8,STATUS!$D:$D,E$1,STATUS!$K:$K,"РЕШ УВ DONE")</f>
        <v>4</v>
      </c>
      <c r="F8" s="406">
        <f>COUNTIFS(STATUS!$Q:$Q,$A8,STATUS!$D:$D,F$1,STATUS!$K:$K,"РЕШ УВ DONE")</f>
        <v>4</v>
      </c>
      <c r="G8" s="439">
        <f>COUNTIFS(STATUS!$Q:$Q,$A8,STATUS!$D:$D,G$1,STATUS!$K:$K,"РЕШ УВ DONE")</f>
        <v>5</v>
      </c>
      <c r="H8" s="572">
        <f>SUM(C8:G8)</f>
        <v>22</v>
      </c>
      <c r="I8" s="443">
        <f>COUNTIFS(STATUS!$Q:$Q,$A8,STATUS!$D:$D,I$1,STATUS!$K:$K,"РЕШ УВ DONE")</f>
        <v>4</v>
      </c>
      <c r="J8" s="406">
        <f>COUNTIFS(STATUS!$Q:$Q,$A8,STATUS!$D:$D,J$1,STATUS!$K:$K,"РЕШ УВ DONE")</f>
        <v>6</v>
      </c>
      <c r="K8" s="406">
        <f>COUNTIFS(STATUS!$Q:$Q,$A8,STATUS!$D:$D,K$1,STATUS!$K:$K,"РЕШ УВ DONE")</f>
        <v>6</v>
      </c>
      <c r="L8" s="406">
        <f>COUNTIFS(STATUS!$Q:$Q,$A8,STATUS!$D:$D,L$1,STATUS!$K:$K,"РЕШ УВ DONE")</f>
        <v>0</v>
      </c>
      <c r="M8" s="439">
        <f>COUNTIFS(STATUS!$Q:$Q,$A8,STATUS!$D:$D,M$1,STATUS!$K:$K,"РЕШ УВ DONE")</f>
        <v>0</v>
      </c>
      <c r="N8" s="572">
        <f>SUM(I8:M8)</f>
        <v>16</v>
      </c>
      <c r="O8" s="443">
        <f>COUNTIFS(STATUS!$Q:$Q,$A8,STATUS!$D:$D,O$1,STATUS!$K:$K,"РЕШ УВ DONE")</f>
        <v>0</v>
      </c>
      <c r="P8" s="406">
        <f>COUNTIFS(STATUS!$Q:$Q,$A8,STATUS!$D:$D,P$1,STATUS!$K:$K,"РЕШ УВ DONE")</f>
        <v>0</v>
      </c>
      <c r="Q8" s="406">
        <f>COUNTIFS(STATUS!$Q:$Q,$A8,STATUS!$D:$D,Q$1,STATUS!$K:$K,"РЕШ УВ DONE")</f>
        <v>0</v>
      </c>
      <c r="R8" s="1238">
        <f>SUM(O8:Q8)</f>
        <v>0</v>
      </c>
      <c r="S8" s="406">
        <f>COUNTIFS(STATUS!$Q:$Q,$A8,STATUS!$D:$D,S$1,STATUS!$K:$K,"РЕШ УВ DONE")</f>
        <v>5</v>
      </c>
      <c r="T8" s="406">
        <f>COUNTIFS(STATUS!$Q:$Q,$A8,STATUS!$D:$D,T$1,STATUS!$K:$K,"РЕШ УВ DONE")</f>
        <v>7</v>
      </c>
      <c r="U8" s="406">
        <f>COUNTIFS(STATUS!$Q:$Q,$A8,STATUS!$D:$D,U$1,STATUS!$K:$K,"РЕШ УВ DONE")</f>
        <v>5</v>
      </c>
      <c r="V8" s="439">
        <f>COUNTIFS(STATUS!$Q:$Q,$A8,STATUS!$D:$D,V$1,STATUS!$K:$K,"РЕШ УВ DONE")</f>
        <v>3</v>
      </c>
      <c r="W8" s="571">
        <f>SUM(S8:V8)</f>
        <v>20</v>
      </c>
      <c r="X8" s="406">
        <f>COUNTIFS(STATUS!$Q:$Q,$A8,STATUS!$D:$D,X$1,STATUS!$K:$K,"РЕШ УВ DONE")</f>
        <v>6</v>
      </c>
      <c r="Y8" s="406">
        <f>COUNTIFS(STATUS!$Q:$Q,$A8,STATUS!$D:$D,Y$1,STATUS!$K:$K,"РЕШ УВ DONE")</f>
        <v>7</v>
      </c>
      <c r="Z8" s="406">
        <f>COUNTIFS(STATUS!$Q:$Q,$A8,STATUS!$D:$D,Z$1,STATUS!$K:$K,"РЕШ УВ DONE")</f>
        <v>5</v>
      </c>
      <c r="AA8" s="439">
        <f>COUNTIFS(STATUS!$Q:$Q,$A8,STATUS!$D:$D,AA$1,STATUS!$K:$K,"РЕШ УВ DONE")</f>
        <v>6</v>
      </c>
      <c r="AB8" s="439">
        <f>COUNTIFS(STATUS!$Q:$Q,$A8,STATUS!$D:$D,AB$1,STATUS!$K:$K,"РЕШ УВ DONE")</f>
        <v>4</v>
      </c>
      <c r="AC8" s="571">
        <f>SUM(X8:AB8)</f>
        <v>28</v>
      </c>
      <c r="AD8" s="406">
        <f>COUNTIFS(STATUS!$Q:$Q,$A8,STATUS!$D:$D,AD$1,STATUS!$K:$K,"РЕШ УВ DONE")</f>
        <v>3</v>
      </c>
      <c r="AE8" s="406">
        <f>COUNTIFS(STATUS!$Q:$Q,$A8,STATUS!$D:$D,AE$1,STATUS!$K:$K,"РЕШ УВ DONE")</f>
        <v>3</v>
      </c>
      <c r="AF8" s="406">
        <f>COUNTIFS(STATUS!$Q:$Q,$A8,STATUS!$D:$D,AF$1,STATUS!$K:$K,"РЕШ УВ DONE")</f>
        <v>12</v>
      </c>
      <c r="AG8" s="439">
        <f>COUNTIFS(STATUS!$Q:$Q,$A8,STATUS!$D:$D,AG$1,STATUS!$K:$K,"РЕШ УВ DONE")</f>
        <v>1</v>
      </c>
      <c r="AH8" s="439">
        <f>COUNTIFS(STATUS!$Q:$Q,$A8,STATUS!$D:$D,AH$1,STATUS!$K:$K,"РЕШ УВ DONE")</f>
        <v>1</v>
      </c>
      <c r="AI8" s="571">
        <f>SUM(AD8:AH8)</f>
        <v>20</v>
      </c>
      <c r="AJ8" s="406">
        <f>COUNTIFS(STATUS!$Q:$Q,$A8,STATUS!$D:$D,AJ$1,STATUS!$K:$K,"РЕШ УВ DONE")</f>
        <v>21</v>
      </c>
      <c r="AK8" s="406">
        <f>COUNTIFS(STATUS!$Q:$Q,$A8,STATUS!$D:$D,AK$1,STATUS!$K:$K,"РЕШ УВ DONE")</f>
        <v>1</v>
      </c>
      <c r="AL8" s="406">
        <f>COUNTIFS(STATUS!$Q:$Q,$A8,STATUS!$D:$D,AL$1,STATUS!$K:$K,"РЕШ УВ DONE")</f>
        <v>2</v>
      </c>
      <c r="AM8" s="439">
        <f>COUNTIFS(STATUS!$Q:$Q,$A8,STATUS!$D:$D,AM$1,STATUS!$K:$K,"РЕШ УВ DONE")</f>
        <v>4</v>
      </c>
      <c r="AN8" s="439">
        <f>COUNTIFS(STATUS!$Q:$Q,$A8,STATUS!$D:$D,AN$1,STATUS!$K:$K,"РЕШ УВ DONE")</f>
        <v>3</v>
      </c>
      <c r="AO8" s="571">
        <f>SUM(AJ8:AN8)</f>
        <v>31</v>
      </c>
      <c r="AP8" s="406">
        <f>COUNTIFS(STATUS!$Q:$Q,$A8,STATUS!$D:$D,AP$1,STATUS!$K:$K,"РЕШ УВ DONE")</f>
        <v>7</v>
      </c>
      <c r="AQ8" s="406">
        <f>COUNTIFS(STATUS!$Q:$Q,$A8,STATUS!$D:$D,AQ$1,STATUS!$K:$K,"РЕШ УВ DONE")</f>
        <v>3</v>
      </c>
      <c r="AR8" s="406">
        <f>COUNTIFS(STATUS!$Q:$Q,$A8,STATUS!$D:$D,AR$1,STATUS!$K:$K,"РЕШ УВ DONE")</f>
        <v>3</v>
      </c>
      <c r="AS8" s="439">
        <f>COUNTIFS(STATUS!$Q:$Q,$A8,STATUS!$D:$D,AS$1,STATUS!$K:$K,"РЕШ УВ DONE")</f>
        <v>2</v>
      </c>
      <c r="AT8" s="439">
        <f>COUNTIFS(STATUS!$Q:$Q,$A8,STATUS!$D:$D,AT$1,STATUS!$K:$K,"РЕШ УВ DONE")</f>
        <v>0</v>
      </c>
      <c r="AU8" s="571">
        <f>SUM(AP8:AT8)</f>
        <v>15</v>
      </c>
      <c r="AV8" s="406">
        <f>COUNTIFS(STATUS!$Q:$Q,$A8,STATUS!$D:$D,AV$1,STATUS!$K:$K,"РЕШ УВ DONE")</f>
        <v>3</v>
      </c>
      <c r="AW8" s="406">
        <f>COUNTIFS(STATUS!$Q:$Q,$A8,STATUS!$D:$D,AW$1,STATUS!$K:$K,"РЕШ УВ DONE")</f>
        <v>41</v>
      </c>
      <c r="AX8" s="406">
        <f>COUNTIFS(STATUS!$Q:$Q,$A8,STATUS!$D:$D,AX$1,STATUS!$K:$K,"РЕШ УВ DONE")</f>
        <v>3</v>
      </c>
      <c r="AY8" s="439">
        <f>COUNTIFS(STATUS!$Q:$Q,$A8,STATUS!$D:$D,AY$1,STATUS!$K:$K,"РЕШ УВ DONE")</f>
        <v>1</v>
      </c>
      <c r="AZ8" s="439">
        <f>COUNTIFS(STATUS!$Q:$Q,$A8,STATUS!$D:$D,AZ$1,STATUS!$K:$K,"РЕШ УВ DONE")</f>
        <v>4</v>
      </c>
      <c r="BA8" s="571">
        <f>SUM(AV8:AZ8)</f>
        <v>52</v>
      </c>
      <c r="BB8" s="406">
        <f>COUNTIFS(STATUS!$Q:$Q,$A8,STATUS!$D:$D,BB$1,STATUS!$K:$K,"РЕШ УВ DONE")</f>
        <v>3</v>
      </c>
      <c r="BC8" s="406">
        <f>COUNTIFS(STATUS!$Q:$Q,$A8,STATUS!$D:$D,BC$1,STATUS!$K:$K,"РЕШ УВ DONE")</f>
        <v>10</v>
      </c>
      <c r="BD8" s="406">
        <f>COUNTIFS(STATUS!$Q:$Q,$A8,STATUS!$D:$D,BD$1,STATUS!$K:$K,"РЕШ УВ DONE")</f>
        <v>0</v>
      </c>
      <c r="BE8" s="439">
        <f>COUNTIFS(STATUS!$Q:$Q,$A8,STATUS!$D:$D,BE$1,STATUS!$K:$K,"РЕШ УВ DONE")</f>
        <v>7</v>
      </c>
      <c r="BF8" s="439">
        <f>COUNTIFS(STATUS!$Q:$Q,$A8,STATUS!$D:$D,BF$1,STATUS!$K:$K,"РЕШ УВ DONE")</f>
        <v>4</v>
      </c>
      <c r="BG8" s="571">
        <f>SUM(BB8:BF8)</f>
        <v>24</v>
      </c>
      <c r="BH8" s="406">
        <f>COUNTIFS(STATUS!$Q:$Q,$A8,STATUS!$D:$D,BH$1,STATUS!$K:$K,"РЕШ УВ DONE")</f>
        <v>2</v>
      </c>
      <c r="BI8" s="406">
        <f>COUNTIFS(STATUS!$Q:$Q,$A8,STATUS!$D:$D,BI$1,STATUS!$K:$K,"РЕШ УВ DONE")</f>
        <v>4</v>
      </c>
      <c r="BJ8" s="406">
        <f>COUNTIFS(STATUS!$Q:$Q,$A8,STATUS!$D:$D,BJ$1,STATUS!$K:$K,"РЕШ УВ DONE")</f>
        <v>0</v>
      </c>
      <c r="BK8" s="439">
        <f>COUNTIFS(STATUS!$Q:$Q,$A8,STATUS!$D:$D,BK$1,STATUS!$K:$K,"РЕШ УВ DONE")</f>
        <v>8</v>
      </c>
      <c r="BL8" s="439">
        <f>COUNTIFS(STATUS!$Q:$Q,$A8,STATUS!$D:$D,BL$1,STATUS!$K:$K,"РЕШ УВ DONE")</f>
        <v>4</v>
      </c>
      <c r="BM8" s="571">
        <f>SUM(BH8:BL8)</f>
        <v>18</v>
      </c>
      <c r="BN8" s="406">
        <f>COUNTIFS(STATUS!$Q:$Q,$A8,STATUS!$D:$D,BN$1,STATUS!$K:$K,"РЕШ УВ DONE")</f>
        <v>4</v>
      </c>
      <c r="BO8" s="406">
        <f>COUNTIFS(STATUS!$Q:$Q,$A8,STATUS!$D:$D,BO$1,STATUS!$K:$K,"РЕШ УВ DONE")</f>
        <v>2</v>
      </c>
      <c r="BP8" s="406">
        <f>COUNTIFS(STATUS!$Q:$Q,$A8,STATUS!$D:$D,BP$1,STATUS!$K:$K,"РЕШ УВ DONE")</f>
        <v>2</v>
      </c>
      <c r="BQ8" s="439">
        <f>COUNTIFS(STATUS!$Q:$Q,$A8,STATUS!$D:$D,BQ$1,STATUS!$K:$K,"РЕШ УВ DONE")</f>
        <v>6</v>
      </c>
      <c r="BR8" s="439">
        <f>COUNTIFS(STATUS!$Q:$Q,$A8,STATUS!$D:$D,BR$1,STATUS!$K:$K,"РЕШ УВ DONE")</f>
        <v>4</v>
      </c>
      <c r="BS8" s="571">
        <f>SUM(BN8:BR8)</f>
        <v>18</v>
      </c>
      <c r="BT8" s="406">
        <f>COUNTIFS(STATUS!$Q:$Q,$A8,STATUS!$D:$D,BT$1,STATUS!$K:$K,"РЕШ УВ DONE")</f>
        <v>1</v>
      </c>
      <c r="BU8" s="406">
        <f>COUNTIFS(STATUS!$Q:$Q,$A8,STATUS!$D:$D,BU$1,STATUS!$K:$K,"РЕШ УВ DONE")</f>
        <v>2</v>
      </c>
      <c r="BV8" s="406">
        <f>COUNTIFS(STATUS!$Q:$Q,$A8,STATUS!$D:$D,BV$1,STATUS!$K:$K,"РЕШ УВ DONE")</f>
        <v>1</v>
      </c>
      <c r="BW8" s="439">
        <f>COUNTIFS(STATUS!$Q:$Q,$A8,STATUS!$D:$D,BW$1,STATUS!$K:$K,"РЕШ УВ DONE")</f>
        <v>1</v>
      </c>
      <c r="BX8" s="439">
        <f>COUNTIFS(STATUS!$Q:$Q,$A8,STATUS!$D:$D,BX$1,STATUS!$K:$K,"РЕШ УВ DONE")</f>
        <v>0</v>
      </c>
      <c r="BY8" s="571">
        <f>SUM(BT8:BX8)</f>
        <v>5</v>
      </c>
      <c r="BZ8" s="406">
        <f>COUNTIFS(STATUS!$Q:$Q,$A8,STATUS!$D:$D,BZ$1,STATUS!$K:$K,"РЕШ УВ DONE")</f>
        <v>0</v>
      </c>
      <c r="CA8" s="406">
        <f>COUNTIFS(STATUS!$Q:$Q,$A8,STATUS!$D:$D,CA$1,STATUS!$K:$K,"РЕШ УВ DONE")</f>
        <v>0</v>
      </c>
      <c r="CB8" s="406">
        <f>COUNTIFS(STATUS!$Q:$Q,$A8,STATUS!$D:$D,CB$1,STATUS!$K:$K,"РЕШ УВ DONE")</f>
        <v>0</v>
      </c>
      <c r="CC8" s="439">
        <f>COUNTIFS(STATUS!$Q:$Q,$A8,STATUS!$D:$D,CC$1,STATUS!$K:$K,"РЕШ УВ DONE")</f>
        <v>7</v>
      </c>
      <c r="CD8" s="439">
        <f>COUNTIFS(STATUS!$Q:$Q,$A8,STATUS!$D:$D,CD$1,STATUS!$K:$K,"РЕШ УВ DONE")</f>
        <v>5</v>
      </c>
      <c r="CE8" s="571">
        <f>SUM(BZ8:CD8)</f>
        <v>12</v>
      </c>
      <c r="CF8" s="406">
        <f>COUNTIFS(STATUS!$Q:$Q,$A8,STATUS!$D:$D,CF$1,STATUS!$K:$K,"РЕШ УВ DONE")</f>
        <v>5</v>
      </c>
      <c r="CG8" s="406">
        <f>COUNTIFS(STATUS!$Q:$Q,$A8,STATUS!$D:$D,CG$1,STATUS!$K:$K,"РЕШ УВ DONE")</f>
        <v>2</v>
      </c>
      <c r="CH8" s="406">
        <f>COUNTIFS(STATUS!$Q:$Q,$A8,STATUS!$D:$D,CH$1,STATUS!$K:$K,"РЕШ УВ DONE")</f>
        <v>4</v>
      </c>
      <c r="CI8" s="439">
        <f>COUNTIFS(STATUS!$Q:$Q,$A8,STATUS!$D:$D,CI$1,STATUS!$K:$K,"РЕШ УВ DONE")</f>
        <v>5</v>
      </c>
      <c r="CJ8" s="439">
        <f>COUNTIFS(STATUS!$Q:$Q,$A8,STATUS!$D:$D,CJ$1,STATUS!$K:$K,"РЕШ УВ DONE")</f>
        <v>4</v>
      </c>
      <c r="CK8" s="571">
        <f>SUM(CF8:CJ8)</f>
        <v>20</v>
      </c>
      <c r="CL8" s="406">
        <f>COUNTIFS(STATUS!$Q:$Q,$A8,STATUS!$D:$D,CL$1,STATUS!$K:$K,"РЕШ УВ DONE")</f>
        <v>6</v>
      </c>
      <c r="CM8" s="406">
        <f>COUNTIFS(STATUS!$Q:$Q,$A8,STATUS!$D:$D,CM$1,STATUS!$K:$K,"РЕШ УВ DONE")</f>
        <v>6</v>
      </c>
      <c r="CN8" s="406">
        <f>COUNTIFS(STATUS!$Q:$Q,$A8,STATUS!$D:$D,CN$1,STATUS!$K:$K,"РЕШ УВ DONE")</f>
        <v>6</v>
      </c>
      <c r="CO8" s="439">
        <f>COUNTIFS(STATUS!$Q:$Q,$A8,STATUS!$D:$D,CO$1,STATUS!$K:$K,"РЕШ УВ DONE")</f>
        <v>6</v>
      </c>
      <c r="CP8" s="439">
        <f>COUNTIFS(STATUS!$Q:$Q,$A8,STATUS!$D:$D,CP$1,STATUS!$K:$K,"РЕШ УВ DONE")</f>
        <v>4</v>
      </c>
      <c r="CQ8" s="571">
        <f>SUM(CL8:CP8)</f>
        <v>28</v>
      </c>
      <c r="CR8" s="406">
        <f>COUNTIFS(STATUS!$Q:$Q,$A8,STATUS!$D:$D,CR$1,STATUS!$K:$K,"РЕШ УВ DONE")</f>
        <v>5</v>
      </c>
      <c r="CS8" s="406">
        <f>COUNTIFS(STATUS!$Q:$Q,$A8,STATUS!$D:$D,CS$1,STATUS!$K:$K,"РЕШ УВ DONE")</f>
        <v>6</v>
      </c>
      <c r="CT8" s="406">
        <f>COUNTIFS(STATUS!$Q:$Q,$A8,STATUS!$D:$D,CT$1,STATUS!$K:$K,"РЕШ УВ DONE")</f>
        <v>3</v>
      </c>
      <c r="CU8" s="439">
        <f>COUNTIFS(STATUS!$Q:$Q,$A8,STATUS!$D:$D,CU$1,STATUS!$K:$K,"РЕШ УВ DONE")</f>
        <v>4</v>
      </c>
      <c r="CV8" s="439">
        <f>COUNTIFS(STATUS!$Q:$Q,$A8,STATUS!$D:$D,CV$1,STATUS!$K:$K,"РЕШ УВ DONE")</f>
        <v>5</v>
      </c>
      <c r="CW8" s="571">
        <f>SUM(CR8:CV8)</f>
        <v>23</v>
      </c>
      <c r="CX8" s="406">
        <f>COUNTIFS(STATUS!$Q:$Q,$A8,STATUS!$D:$D,CX$1,STATUS!$K:$K,"РЕШ УВ DONE")</f>
        <v>3</v>
      </c>
      <c r="CY8" s="406">
        <f>COUNTIFS(STATUS!$Q:$Q,$A8,STATUS!$D:$D,CY$1,STATUS!$K:$K,"РЕШ УВ DONE")</f>
        <v>6</v>
      </c>
      <c r="CZ8" s="406">
        <f>COUNTIFS(STATUS!$Q:$Q,$A8,STATUS!$D:$D,CZ$1,STATUS!$K:$K,"РЕШ УВ DONE")</f>
        <v>4</v>
      </c>
      <c r="DA8" s="439">
        <f>COUNTIFS(STATUS!$Q:$Q,$A8,STATUS!$D:$D,DA$1,STATUS!$K:$K,"РЕШ УВ DONE")</f>
        <v>4</v>
      </c>
      <c r="DB8" s="439">
        <f>COUNTIFS(STATUS!$Q:$Q,$A8,STATUS!$D:$D,DB$1,STATUS!$K:$K,"РЕШ УВ DONE")</f>
        <v>2</v>
      </c>
      <c r="DC8" s="571">
        <f>SUM(CX8:DB8)</f>
        <v>19</v>
      </c>
      <c r="DD8" s="406">
        <f>COUNTIFS(STATUS!$Q:$Q,$A8,STATUS!$D:$D,DD$1,STATUS!$K:$K,"РЕШ УВ DONE")</f>
        <v>3</v>
      </c>
      <c r="DE8" s="406">
        <f>COUNTIFS(STATUS!$Q:$Q,$A8,STATUS!$D:$D,DE$1,STATUS!$K:$K,"РЕШ УВ DONE")</f>
        <v>5</v>
      </c>
      <c r="DF8" s="406">
        <f>COUNTIFS(STATUS!$Q:$Q,$A8,STATUS!$D:$D,DF$1,STATUS!$K:$K,"РЕШ УВ DONE")</f>
        <v>3</v>
      </c>
      <c r="DG8" s="439">
        <f>COUNTIFS(STATUS!$Q:$Q,$A8,STATUS!$D:$D,DG$1,STATUS!$K:$K,"РЕШ УВ DONE")</f>
        <v>3</v>
      </c>
      <c r="DH8" s="439">
        <f>COUNTIFS(STATUS!$Q:$Q,$A8,STATUS!$D:$D,DH$1,STATUS!$K:$K,"РЕШ УВ DONE")</f>
        <v>3</v>
      </c>
      <c r="DI8" s="571">
        <f>SUM(DD8:DH8)</f>
        <v>17</v>
      </c>
      <c r="DJ8" s="574">
        <f>COUNTIFS(STATUS!$Q:$Q,$A8,STATUS!$D:$D,DJ$1,STATUS!$K:$K,"РЕШ УВ DONE")</f>
        <v>0</v>
      </c>
      <c r="DK8" s="574">
        <f>COUNTIFS(STATUS!$Q:$Q,$A8,STATUS!$D:$D,DK$1,STATUS!$K:$K,"РЕШ УВ DONE")</f>
        <v>0</v>
      </c>
      <c r="DL8" s="574">
        <f>COUNTIFS(STATUS!$Q:$Q,$A8,STATUS!$D:$D,DL$1,STATUS!$K:$K,"РЕШ УВ DONE")</f>
        <v>0</v>
      </c>
      <c r="DM8" s="575">
        <f>COUNTIFS(STATUS!$Q:$Q,$A8,STATUS!$D:$D,DM$1,STATUS!$K:$K,"РЕШ УВ DONE")</f>
        <v>0</v>
      </c>
      <c r="DN8" s="575">
        <f>COUNTIFS(STATUS!$Q:$Q,$A8,STATUS!$D:$D,DN$1,STATUS!$K:$K,"РЕШ УВ DONE")</f>
        <v>0</v>
      </c>
      <c r="DO8" s="1238">
        <f>SUM(DJ8:DN8)</f>
        <v>0</v>
      </c>
      <c r="DP8" s="574">
        <f>COUNTIFS(STATUS!$Q:$Q,$A8,STATUS!$D:$D,DP$1,STATUS!$K:$K,"РЕШ УВ DONE")</f>
        <v>0</v>
      </c>
      <c r="DQ8" s="574">
        <f>COUNTIFS(STATUS!$Q:$Q,$A8,STATUS!$D:$D,DQ$1,STATUS!$K:$K,"РЕШ УВ DONE")</f>
        <v>0</v>
      </c>
      <c r="DR8" s="574">
        <f>COUNTIFS(STATUS!$Q:$Q,$A8,STATUS!$D:$D,DR$1,STATUS!$K:$K,"РЕШ УВ DONE")</f>
        <v>0</v>
      </c>
      <c r="DS8" s="575">
        <f>COUNTIFS(STATUS!$Q:$Q,$A8,STATUS!$D:$D,DS$1,STATUS!$K:$K,"РЕШ УВ DONE")</f>
        <v>0</v>
      </c>
      <c r="DT8" s="575">
        <f>COUNTIFS(STATUS!$Q:$Q,$A8,STATUS!$D:$D,DT$1,STATUS!$K:$K,"РЕШ УВ DONE")</f>
        <v>0</v>
      </c>
      <c r="DU8" s="1238">
        <f>SUM(DP8:DT8)</f>
        <v>0</v>
      </c>
      <c r="DV8" s="1298">
        <f>COUNTIFS(STATUS!$Q:$Q,$A8,STATUS!$D:$D,DV$1,STATUS!$K:$K,"РЕШ УВ DONE")</f>
        <v>3</v>
      </c>
      <c r="DW8" s="1298">
        <f>COUNTIFS(STATUS!$Q:$Q,$A8,STATUS!$D:$D,DW$1,STATUS!$K:$K,"РЕШ УВ DONE")</f>
        <v>6</v>
      </c>
      <c r="DX8" s="1298">
        <f>COUNTIFS(STATUS!$Q:$Q,$A8,STATUS!$D:$D,DX$1,STATUS!$K:$K,"РЕШ УВ DONE")</f>
        <v>3</v>
      </c>
      <c r="DY8" s="1299">
        <f>COUNTIFS(STATUS!$Q:$Q,$A8,STATUS!$D:$D,DY$1,STATUS!$K:$K,"РЕШ УВ DONE")</f>
        <v>3</v>
      </c>
      <c r="DZ8" s="1299">
        <f>COUNTIFS(STATUS!$Q:$Q,$A8,STATUS!$D:$D,DZ$1,STATUS!$K:$K,"РЕШ УВ DONE")</f>
        <v>5</v>
      </c>
      <c r="EA8" s="571">
        <f>SUM(DV8:DZ8)</f>
        <v>20</v>
      </c>
      <c r="EB8" s="1298">
        <f>COUNTIFS(STATUS!$Q:$Q,$A8,STATUS!$D:$D,EB$1,STATUS!$K:$K,"РЕШ УВ DONE")</f>
        <v>4</v>
      </c>
      <c r="EC8" s="1298">
        <f>COUNTIFS(STATUS!$Q:$Q,$A8,STATUS!$D:$D,EC$1,STATUS!$K:$K,"РЕШ УВ DONE")</f>
        <v>8</v>
      </c>
      <c r="ED8" s="1298">
        <f>COUNTIFS(STATUS!$Q:$Q,$A8,STATUS!$D:$D,ED$1,STATUS!$K:$K,"РЕШ УВ DONE")</f>
        <v>6</v>
      </c>
      <c r="EE8" s="1299">
        <f>COUNTIFS(STATUS!$Q:$Q,$A8,STATUS!$D:$D,EE$1,STATUS!$K:$K,"РЕШ УВ DONE")</f>
        <v>5</v>
      </c>
      <c r="EF8" s="1299">
        <f>COUNTIFS(STATUS!$Q:$Q,$A8,STATUS!$D:$D,EF$1,STATUS!$K:$K,"РЕШ УВ DONE")</f>
        <v>2</v>
      </c>
      <c r="EG8" s="571">
        <f>SUM(EB8:EF8)</f>
        <v>25</v>
      </c>
      <c r="EH8" s="1298">
        <f>COUNTIFS(STATUS!$Q:$Q,$A8,STATUS!$D:$D,EH$1,STATUS!$K:$K,"РЕШ УВ DONE")</f>
        <v>5</v>
      </c>
      <c r="EI8" s="1298">
        <f>COUNTIFS(STATUS!$Q:$Q,$A8,STATUS!$D:$D,EI$1,STATUS!$K:$K,"РЕШ УВ DONE")</f>
        <v>2</v>
      </c>
      <c r="EJ8" s="1298">
        <f>COUNTIFS(STATUS!$Q:$Q,$A8,STATUS!$D:$D,EJ$1,STATUS!$K:$K,"РЕШ УВ DONE")</f>
        <v>3</v>
      </c>
      <c r="EK8" s="1299">
        <f>COUNTIFS(STATUS!$Q:$Q,$A8,STATUS!$D:$D,EK$1,STATUS!$K:$K,"РЕШ УВ DONE")</f>
        <v>5</v>
      </c>
      <c r="EL8" s="1299">
        <f>COUNTIFS(STATUS!$Q:$Q,$A8,STATUS!$D:$D,EL$1,STATUS!$K:$K,"РЕШ УВ DONE")</f>
        <v>4</v>
      </c>
      <c r="EM8" s="571">
        <f>SUM(EH8:EL8)</f>
        <v>19</v>
      </c>
      <c r="EN8" s="1298">
        <f>COUNTIFS(STATUS!$Q:$Q,$A8,STATUS!$D:$D,EN$1,STATUS!$K:$K,"РЕШ УВ DONE")</f>
        <v>4</v>
      </c>
      <c r="EO8" s="1298">
        <f>COUNTIFS(STATUS!$Q:$Q,$A8,STATUS!$D:$D,EO$1,STATUS!$K:$K,"РЕШ УВ DONE")</f>
        <v>3</v>
      </c>
      <c r="EP8" s="1298">
        <f>COUNTIFS(STATUS!$Q:$Q,$A8,STATUS!$D:$D,EP$1,STATUS!$K:$K,"РЕШ УВ DONE")</f>
        <v>5</v>
      </c>
      <c r="EQ8" s="1299">
        <f>COUNTIFS(STATUS!$Q:$Q,$A8,STATUS!$D:$D,EQ$1,STATUS!$K:$K,"РЕШ УВ DONE")</f>
        <v>5</v>
      </c>
      <c r="ER8" s="1299">
        <f>COUNTIFS(STATUS!$Q:$Q,$A8,STATUS!$D:$D,ER$1,STATUS!$K:$K,"РЕШ УВ DONE")</f>
        <v>7</v>
      </c>
      <c r="ES8" s="571">
        <f>SUM(EN8:ER8)</f>
        <v>24</v>
      </c>
      <c r="ET8" s="1298">
        <f>COUNTIFS(STATUS!$Q:$Q,$A8,STATUS!$D:$D,ET$1,STATUS!$K:$K,"РЕШ УВ DONE")</f>
        <v>4</v>
      </c>
      <c r="EU8" s="1298">
        <f>COUNTIFS(STATUS!$Q:$Q,$A8,STATUS!$D:$D,EU$1,STATUS!$K:$K,"РЕШ УВ DONE")</f>
        <v>7</v>
      </c>
      <c r="EV8" s="1298">
        <f>COUNTIFS(STATUS!$Q:$Q,$A8,STATUS!$D:$D,EV$1,STATUS!$K:$K,"РЕШ УВ DONE")</f>
        <v>3</v>
      </c>
      <c r="EW8" s="1299">
        <f>COUNTIFS(STATUS!$Q:$Q,$A8,STATUS!$D:$D,EW$1,STATUS!$K:$K,"РЕШ УВ DONE")</f>
        <v>1</v>
      </c>
      <c r="EX8" s="1299">
        <f>COUNTIFS(STATUS!$Q:$Q,$A8,STATUS!$D:$D,EX$1,STATUS!$K:$K,"РЕШ УВ DONE")</f>
        <v>2</v>
      </c>
      <c r="EY8" s="571">
        <f>SUM(ET8:EX8)</f>
        <v>17</v>
      </c>
      <c r="EZ8" s="1298">
        <f>COUNTIFS(STATUS!$Q:$Q,$A8,STATUS!$D:$D,EZ$1,STATUS!$K:$K,"РЕШ УВ DONE")</f>
        <v>0</v>
      </c>
      <c r="FA8" s="1298">
        <f>COUNTIFS(STATUS!$Q:$Q,$A8,STATUS!$D:$D,FA$1,STATUS!$K:$K,"РЕШ УВ DONE")</f>
        <v>0</v>
      </c>
      <c r="FB8" s="1298">
        <f>COUNTIFS(STATUS!$Q:$Q,$A8,STATUS!$D:$D,FB$1,STATUS!$K:$K,"РЕШ УВ DONE")</f>
        <v>0</v>
      </c>
      <c r="FC8" s="1299">
        <f>COUNTIFS(STATUS!$Q:$Q,$A8,STATUS!$D:$D,FC$1,STATUS!$K:$K,"РЕШ УВ DONE")</f>
        <v>0</v>
      </c>
      <c r="FD8" s="1299">
        <f>COUNTIFS(STATUS!$Q:$Q,$A8,STATUS!$D:$D,FD$1,STATUS!$K:$K,"РЕШ УВ DONE")</f>
        <v>0</v>
      </c>
      <c r="FE8" s="1238">
        <f>SUM(EZ8:FD8)</f>
        <v>0</v>
      </c>
      <c r="FF8" s="574">
        <f>COUNTIFS(STATUS!$Q:$Q,$A8,STATUS!$D:$D,FF$1,STATUS!$K:$K,"РЕШ УВ DONE")</f>
        <v>0</v>
      </c>
      <c r="FG8" s="574">
        <f>COUNTIFS(STATUS!$Q:$Q,$A8,STATUS!$D:$D,FG$1,STATUS!$K:$K,"РЕШ УВ DONE")</f>
        <v>0</v>
      </c>
      <c r="FH8" s="574">
        <f>COUNTIFS(STATUS!$Q:$Q,$A8,STATUS!$D:$D,FH$1,STATUS!$K:$K,"РЕШ УВ DONE")</f>
        <v>0</v>
      </c>
      <c r="FI8" s="575">
        <f>COUNTIFS(STATUS!$Q:$Q,$A8,STATUS!$D:$D,FI$1,STATUS!$K:$K,"РЕШ УВ DONE")</f>
        <v>0</v>
      </c>
      <c r="FJ8" s="575">
        <f>COUNTIFS(STATUS!$Q:$Q,$A8,STATUS!$D:$D,FJ$1,STATUS!$K:$K,"РЕШ УВ DONE")</f>
        <v>0</v>
      </c>
      <c r="FK8" s="1238">
        <f>SUM(FF8:FJ8)</f>
        <v>0</v>
      </c>
      <c r="FL8" s="1298">
        <f>COUNTIFS(STATUS!$Q:$Q,$A8,STATUS!$D:$D,FL$1,STATUS!$K:$K,"РЕШ УВ DONE")</f>
        <v>6</v>
      </c>
      <c r="FM8" s="1298">
        <f>COUNTIFS(STATUS!$Q:$Q,$A8,STATUS!$D:$D,FM$1,STATUS!$K:$K,"РЕШ УВ DONE")</f>
        <v>4</v>
      </c>
      <c r="FN8" s="574">
        <f>COUNTIFS(STATUS!$Q:$Q,$A8,STATUS!$D:$D,FN$1,STATUS!$K:$K,"РЕШ УВ DONE")</f>
        <v>0</v>
      </c>
      <c r="FO8" s="1299">
        <f>COUNTIFS(STATUS!$Q:$Q,$A8,STATUS!$D:$D,FO$1,STATUS!$K:$K,"РЕШ УВ DONE")</f>
        <v>4</v>
      </c>
      <c r="FP8" s="1299">
        <f>COUNTIFS(STATUS!$Q:$Q,$A8,STATUS!$D:$D,FP$1,STATUS!$K:$K,"РЕШ УВ DONE")</f>
        <v>5</v>
      </c>
      <c r="FQ8" s="571">
        <f>SUM(FL8:FP8)</f>
        <v>19</v>
      </c>
      <c r="FR8" s="1298">
        <f>COUNTIFS(STATUS!$Q:$Q,$A8,STATUS!$D:$D,FR$1,STATUS!$K:$K,"РЕШ УВ DONE")</f>
        <v>3</v>
      </c>
      <c r="FS8" s="1298">
        <f>COUNTIFS(STATUS!$Q:$Q,$A8,STATUS!$D:$D,FS$1,STATUS!$K:$K,"РЕШ УВ DONE")</f>
        <v>4</v>
      </c>
      <c r="FT8" s="1298">
        <f>COUNTIFS(STATUS!$Q:$Q,$A8,STATUS!$D:$D,FT$1,STATUS!$K:$K,"РЕШ УВ DONE")</f>
        <v>4</v>
      </c>
      <c r="FU8" s="575">
        <f>COUNTIFS(STATUS!$Q:$Q,$A8,STATUS!$D:$D,FU$1,STATUS!$K:$K,"РЕШ УВ DONE")</f>
        <v>0</v>
      </c>
      <c r="FV8" s="575">
        <f>COUNTIFS(STATUS!$Q:$Q,$A8,STATUS!$D:$D,FV$1,STATUS!$K:$K,"РЕШ УВ DONE")</f>
        <v>0</v>
      </c>
      <c r="FW8" s="571">
        <f>SUM(FR8:FV8)</f>
        <v>11</v>
      </c>
      <c r="FX8" s="1298">
        <f>COUNTIFS(STATUS!$Q:$Q,$A8,STATUS!$D:$D,FX$1,STATUS!$K:$K,"РЕШ УВ DONE")</f>
        <v>3</v>
      </c>
      <c r="FY8" s="1298">
        <f>COUNTIFS(STATUS!$Q:$Q,$A8,STATUS!$D:$D,FY$1,STATUS!$K:$K,"РЕШ УВ DONE")</f>
        <v>4</v>
      </c>
      <c r="FZ8" s="1298">
        <f>COUNTIFS(STATUS!$Q:$Q,$A8,STATUS!$D:$D,FZ$1,STATUS!$K:$K,"РЕШ УВ DONE")</f>
        <v>5</v>
      </c>
      <c r="GA8" s="575">
        <f>COUNTIFS(STATUS!$Q:$Q,$A8,STATUS!$D:$D,GA$1,STATUS!$K:$K,"РЕШ УВ DONE")</f>
        <v>5</v>
      </c>
      <c r="GB8" s="575">
        <f>COUNTIFS(STATUS!$Q:$Q,$A8,STATUS!$D:$D,GB$1,STATUS!$K:$K,"РЕШ УВ DONE")</f>
        <v>4</v>
      </c>
      <c r="GC8" s="571">
        <f>SUM(FX8:GB8)</f>
        <v>21</v>
      </c>
      <c r="GD8" s="1298">
        <f>COUNTIFS(STATUS!$Q:$Q,$A8,STATUS!$D:$D,GD$1,STATUS!$K:$K,"РЕШ УВ DONE")</f>
        <v>0</v>
      </c>
      <c r="GE8" s="1298">
        <f>COUNTIFS(STATUS!$Q:$Q,$A8,STATUS!$D:$D,GE$1,STATUS!$K:$K,"РЕШ УВ DONE")</f>
        <v>0</v>
      </c>
      <c r="GF8" s="1298">
        <f>COUNTIFS(STATUS!$Q:$Q,$A8,STATUS!$D:$D,GF$1,STATUS!$K:$K,"РЕШ УВ DONE")</f>
        <v>0</v>
      </c>
      <c r="GG8" s="575">
        <f>COUNTIFS(STATUS!$Q:$Q,$A8,STATUS!$D:$D,GG$1,STATUS!$K:$K,"РЕШ УВ DONE")</f>
        <v>0</v>
      </c>
      <c r="GH8" s="575">
        <f>COUNTIFS(STATUS!$Q:$Q,$A8,STATUS!$D:$D,GH$1,STATUS!$K:$K,"РЕШ УВ DONE")</f>
        <v>0</v>
      </c>
      <c r="GI8" s="1238">
        <f>SUM(GD8:GH8)</f>
        <v>0</v>
      </c>
      <c r="GJ8" s="574">
        <f>COUNTIFS(STATUS!$Q:$Q,$A8,STATUS!$D:$D,GJ$1,STATUS!$K:$K,"РЕШ УВ DONE")</f>
        <v>0</v>
      </c>
      <c r="GK8" s="574">
        <f>COUNTIFS(STATUS!$Q:$Q,$A8,STATUS!$D:$D,GK$1,STATUS!$K:$K,"РЕШ УВ DONE")</f>
        <v>0</v>
      </c>
      <c r="GL8" s="574">
        <f>COUNTIFS(STATUS!$Q:$Q,$A8,STATUS!$D:$D,GL$1,STATUS!$K:$K,"РЕШ УВ DONE")</f>
        <v>0</v>
      </c>
      <c r="GM8" s="575">
        <f>COUNTIFS(STATUS!$Q:$Q,$A8,STATUS!$D:$D,GM$1,STATUS!$K:$K,"РЕШ УВ DONE")</f>
        <v>0</v>
      </c>
      <c r="GN8" s="575">
        <f>COUNTIFS(STATUS!$Q:$Q,$A8,STATUS!$D:$D,GN$1,STATUS!$K:$K,"РЕШ УВ DONE")</f>
        <v>0</v>
      </c>
      <c r="GO8" s="1238">
        <f>SUM(GJ8:GN8)</f>
        <v>0</v>
      </c>
      <c r="GP8" s="1298">
        <f>COUNTIFS(STATUS!$Q:$Q,$A8,STATUS!$D:$D,GP$1,STATUS!$K:$K,"РЕШ УВ DONE")</f>
        <v>0</v>
      </c>
      <c r="GQ8" s="1298">
        <f>COUNTIFS(STATUS!$Q:$Q,$A8,STATUS!$D:$D,GQ$1,STATUS!$K:$K,"РЕШ УВ DONE")</f>
        <v>6</v>
      </c>
      <c r="GR8" s="1298">
        <f>COUNTIFS(STATUS!$Q:$Q,$A8,STATUS!$D:$D,GR$1,STATUS!$K:$K,"РЕШ УВ DONE")</f>
        <v>3</v>
      </c>
      <c r="GS8" s="1303">
        <f>COUNTIFS(STATUS!$Q:$Q,$A8,STATUS!$D:$D,GS$1,STATUS!$K:$K,"РЕШ УВ DONE")</f>
        <v>5</v>
      </c>
      <c r="GT8" s="1303">
        <f>COUNTIFS(STATUS!$Q:$Q,$A8,STATUS!$D:$D,GT$1,STATUS!$K:$K,"РЕШ УВ DONE")</f>
        <v>6</v>
      </c>
      <c r="GU8" s="571">
        <f>SUM(GP8:GT8)</f>
        <v>20</v>
      </c>
      <c r="GV8" s="1298">
        <f>COUNTIFS(STATUS!$Q:$Q,$A8,STATUS!$D:$D,GV$1,STATUS!$K:$K,"РЕШ УВ DONE")</f>
        <v>0</v>
      </c>
      <c r="GW8" s="1298">
        <f>COUNTIFS(STATUS!$Q:$Q,$A8,STATUS!$D:$D,GW$1,STATUS!$K:$K,"РЕШ УВ DONE")</f>
        <v>3</v>
      </c>
      <c r="GX8" s="1298">
        <f>COUNTIFS(STATUS!$Q:$Q,$A8,STATUS!$D:$D,GX$1,STATUS!$K:$K,"РЕШ УВ DONE")</f>
        <v>3</v>
      </c>
      <c r="GY8" s="1303">
        <f>COUNTIFS(STATUS!$Q:$Q,$A8,STATUS!$D:$D,GY$1,STATUS!$K:$K,"РЕШ УВ DONE")</f>
        <v>4</v>
      </c>
      <c r="GZ8" s="1303">
        <f>COUNTIFS(STATUS!$Q:$Q,$A8,STATUS!$D:$D,GZ$1,STATUS!$K:$K,"РЕШ УВ DONE")</f>
        <v>1</v>
      </c>
      <c r="HA8" s="571">
        <f>SUM(GV8:GZ8)</f>
        <v>11</v>
      </c>
    </row>
    <row r="9" spans="1:209" x14ac:dyDescent="0.3">
      <c r="A9" s="1559"/>
      <c r="B9" s="428">
        <f>SUM(H9,N9,R9,W9,AC9,AI9,AO9,AU9,BA9,BG9,BM9,BS9,BY9,CE9,CK9,CQ9,CW9,DC9,DI9,DO9,DU9,EA9,EG9,EM9,ES9,EY9,FE9,FK9,FQ9,FW9,GC9,GI9,GO9,GU9,HA9)</f>
        <v>37</v>
      </c>
      <c r="C9" s="306">
        <f>COUNTIFS(STATUS!$Q:$Q,$A8,STATUS!$D:$D,C$1,STATUS!$U:$U,"ВОЗВРАТ")</f>
        <v>1</v>
      </c>
      <c r="D9" s="306">
        <f>COUNTIFS(STATUS!$Q:$Q,$A8,STATUS!$D:$D,D$1,STATUS!$U:$U,"ВОЗВРАТ")</f>
        <v>0</v>
      </c>
      <c r="E9" s="306">
        <f>COUNTIFS(STATUS!$Q:$Q,$A8,STATUS!$D:$D,E$1,STATUS!$U:$U,"ВОЗВРАТ")</f>
        <v>0</v>
      </c>
      <c r="F9" s="306">
        <f>COUNTIFS(STATUS!$Q:$Q,$A8,STATUS!$D:$D,F$1,STATUS!$U:$U,"ВОЗВРАТ")</f>
        <v>0</v>
      </c>
      <c r="G9" s="440">
        <f>COUNTIFS(STATUS!$Q:$Q,$A8,STATUS!$D:$D,G$1,STATUS!$U:$U,"ВОЗВРАТ")</f>
        <v>0</v>
      </c>
      <c r="H9" s="572">
        <f>SUM(C9:G9)</f>
        <v>1</v>
      </c>
      <c r="I9" s="401">
        <f>COUNTIFS(STATUS!$Q:$Q,$A8,STATUS!$D:$D,I$1,STATUS!$U:$U,"ВОЗВРАТ")</f>
        <v>1</v>
      </c>
      <c r="J9" s="306">
        <f>COUNTIFS(STATUS!$Q:$Q,$A8,STATUS!$D:$D,J$1,STATUS!$U:$U,"ВОЗВРАТ")</f>
        <v>0</v>
      </c>
      <c r="K9" s="306">
        <f>COUNTIFS(STATUS!$Q:$Q,$A8,STATUS!$D:$D,K$1,STATUS!$U:$U,"ВОЗВРАТ")</f>
        <v>0</v>
      </c>
      <c r="L9" s="306">
        <f>COUNTIFS(STATUS!$Q:$Q,$A8,STATUS!$D:$D,L$1,STATUS!$U:$U,"ВОЗВРАТ")</f>
        <v>0</v>
      </c>
      <c r="M9" s="440">
        <f>COUNTIFS(STATUS!$Q:$Q,$A8,STATUS!$D:$D,M$1,STATUS!$U:$U,"ВОЗВРАТ")</f>
        <v>0</v>
      </c>
      <c r="N9" s="572">
        <f>SUM(I9:M9)</f>
        <v>1</v>
      </c>
      <c r="O9" s="401">
        <f>COUNTIFS(STATUS!$Q:$Q,$A8,STATUS!$D:$D,O$1,STATUS!$U:$U,"ВОЗВРАТ")</f>
        <v>0</v>
      </c>
      <c r="P9" s="306">
        <f>COUNTIFS(STATUS!$Q:$Q,$A8,STATUS!$D:$D,P$1,STATUS!$U:$U,"ВОЗВРАТ")</f>
        <v>0</v>
      </c>
      <c r="Q9" s="306">
        <f>COUNTIFS(STATUS!$Q:$Q,$A8,STATUS!$D:$D,Q$1,STATUS!$U:$U,"ВОЗВРАТ")</f>
        <v>0</v>
      </c>
      <c r="R9" s="576">
        <f>SUM(O9:Q9)</f>
        <v>0</v>
      </c>
      <c r="S9" s="306">
        <f>COUNTIFS(STATUS!$Q:$Q,$A8,STATUS!$D:$D,S$1,STATUS!$U:$U,"ВОЗВРАТ")</f>
        <v>0</v>
      </c>
      <c r="T9" s="306">
        <f>COUNTIFS(STATUS!$Q:$Q,$A8,STATUS!$D:$D,T$1,STATUS!$U:$U,"ВОЗВРАТ")</f>
        <v>1</v>
      </c>
      <c r="U9" s="306">
        <f>COUNTIFS(STATUS!$Q:$Q,$A8,STATUS!$D:$D,U$1,STATUS!$U:$U,"ВОЗВРАТ")</f>
        <v>0</v>
      </c>
      <c r="V9" s="440">
        <f>COUNTIFS(STATUS!$Q:$Q,$A8,STATUS!$D:$D,V$1,STATUS!$U:$U,"ВОЗВРАТ")</f>
        <v>1</v>
      </c>
      <c r="W9" s="572">
        <f>SUM(S9:V9)</f>
        <v>2</v>
      </c>
      <c r="X9" s="306">
        <f>COUNTIFS(STATUS!$Q:$Q,$A8,STATUS!$D:$D,X$1,STATUS!$U:$U,"ВОЗВРАТ")</f>
        <v>1</v>
      </c>
      <c r="Y9" s="306">
        <f>COUNTIFS(STATUS!$Q:$Q,$A8,STATUS!$D:$D,Y$1,STATUS!$U:$U,"ВОЗВРАТ")</f>
        <v>0</v>
      </c>
      <c r="Z9" s="306">
        <f>COUNTIFS(STATUS!$Q:$Q,$A8,STATUS!$D:$D,Z$1,STATUS!$U:$U,"ВОЗВРАТ")</f>
        <v>0</v>
      </c>
      <c r="AA9" s="440">
        <f>COUNTIFS(STATUS!$Q:$Q,$A8,STATUS!$D:$D,AA$1,STATUS!$U:$U,"ВОЗВРАТ")</f>
        <v>0</v>
      </c>
      <c r="AB9" s="440">
        <f>COUNTIFS(STATUS!$Q:$Q,$A8,STATUS!$D:$D,AB$1,STATUS!$U:$U,"ВОЗВРАТ")</f>
        <v>0</v>
      </c>
      <c r="AC9" s="572">
        <f>SUM(X9:AB9)</f>
        <v>1</v>
      </c>
      <c r="AD9" s="306">
        <f>COUNTIFS(STATUS!$Q:$Q,$A8,STATUS!$D:$D,AD$1,STATUS!$U:$U,"ВОЗВРАТ")</f>
        <v>0</v>
      </c>
      <c r="AE9" s="306">
        <f>COUNTIFS(STATUS!$Q:$Q,$A8,STATUS!$D:$D,AE$1,STATUS!$U:$U,"ВОЗВРАТ")</f>
        <v>0</v>
      </c>
      <c r="AF9" s="306">
        <f>COUNTIFS(STATUS!$Q:$Q,$A8,STATUS!$D:$D,AF$1,STATUS!$U:$U,"ВОЗВРАТ")</f>
        <v>0</v>
      </c>
      <c r="AG9" s="440">
        <f>COUNTIFS(STATUS!$Q:$Q,$A8,STATUS!$D:$D,AG$1,STATUS!$U:$U,"ВОЗВРАТ")</f>
        <v>0</v>
      </c>
      <c r="AH9" s="440">
        <f>COUNTIFS(STATUS!$Q:$Q,$A8,STATUS!$D:$D,AH$1,STATUS!$U:$U,"ВОЗВРАТ")</f>
        <v>0</v>
      </c>
      <c r="AI9" s="572">
        <f>SUM(AD9:AH9)</f>
        <v>0</v>
      </c>
      <c r="AJ9" s="306">
        <f>COUNTIFS(STATUS!$Q:$Q,$A8,STATUS!$D:$D,AJ$1,STATUS!$U:$U,"ВОЗВРАТ")</f>
        <v>1</v>
      </c>
      <c r="AK9" s="306">
        <f>COUNTIFS(STATUS!$Q:$Q,$A8,STATUS!$D:$D,AK$1,STATUS!$U:$U,"ВОЗВРАТ")</f>
        <v>0</v>
      </c>
      <c r="AL9" s="306">
        <f>COUNTIFS(STATUS!$Q:$Q,$A8,STATUS!$D:$D,AL$1,STATUS!$U:$U,"ВОЗВРАТ")</f>
        <v>0</v>
      </c>
      <c r="AM9" s="440">
        <f>COUNTIFS(STATUS!$Q:$Q,$A8,STATUS!$D:$D,AM$1,STATUS!$U:$U,"ВОЗВРАТ")</f>
        <v>0</v>
      </c>
      <c r="AN9" s="440">
        <f>COUNTIFS(STATUS!$Q:$Q,$A8,STATUS!$D:$D,AN$1,STATUS!$U:$U,"ВОЗВРАТ")</f>
        <v>1</v>
      </c>
      <c r="AO9" s="572">
        <f>SUM(AJ9:AN9)</f>
        <v>2</v>
      </c>
      <c r="AP9" s="306">
        <f>COUNTIFS(STATUS!$Q:$Q,$A8,STATUS!$D:$D,AP$1,STATUS!$U:$U,"ВОЗВРАТ")</f>
        <v>0</v>
      </c>
      <c r="AQ9" s="306">
        <f>COUNTIFS(STATUS!$Q:$Q,$A8,STATUS!$D:$D,AQ$1,STATUS!$U:$U,"ВОЗВРАТ")</f>
        <v>0</v>
      </c>
      <c r="AR9" s="306">
        <f>COUNTIFS(STATUS!$Q:$Q,$A8,STATUS!$D:$D,AR$1,STATUS!$U:$U,"ВОЗВРАТ")</f>
        <v>1</v>
      </c>
      <c r="AS9" s="440">
        <f>COUNTIFS(STATUS!$Q:$Q,$A8,STATUS!$D:$D,AS$1,STATUS!$U:$U,"ВОЗВРАТ")</f>
        <v>0</v>
      </c>
      <c r="AT9" s="440">
        <f>COUNTIFS(STATUS!$Q:$Q,$A8,STATUS!$D:$D,AT$1,STATUS!$U:$U,"ВОЗВРАТ")</f>
        <v>0</v>
      </c>
      <c r="AU9" s="572">
        <f>SUM(AP9:AT9)</f>
        <v>1</v>
      </c>
      <c r="AV9" s="306">
        <f>COUNTIFS(STATUS!$Q:$Q,$A8,STATUS!$D:$D,AV$1,STATUS!$U:$U,"ВОЗВРАТ")</f>
        <v>0</v>
      </c>
      <c r="AW9" s="306">
        <f>COUNTIFS(STATUS!$Q:$Q,$A8,STATUS!$D:$D,AW$1,STATUS!$U:$U,"ВОЗВРАТ")</f>
        <v>2</v>
      </c>
      <c r="AX9" s="306">
        <f>COUNTIFS(STATUS!$Q:$Q,$A8,STATUS!$D:$D,AX$1,STATUS!$U:$U,"ВОЗВРАТ")</f>
        <v>0</v>
      </c>
      <c r="AY9" s="440">
        <f>COUNTIFS(STATUS!$Q:$Q,$A8,STATUS!$D:$D,AY$1,STATUS!$U:$U,"ВОЗВРАТ")</f>
        <v>0</v>
      </c>
      <c r="AZ9" s="440">
        <f>COUNTIFS(STATUS!$Q:$Q,$A8,STATUS!$D:$D,AZ$1,STATUS!$U:$U,"ВОЗВРАТ")</f>
        <v>1</v>
      </c>
      <c r="BA9" s="572">
        <f>SUM(AV9:AZ9)</f>
        <v>3</v>
      </c>
      <c r="BB9" s="306">
        <f>COUNTIFS(STATUS!$Q:$Q,$A8,STATUS!$D:$D,BB$1,STATUS!$U:$U,"ВОЗВРАТ")</f>
        <v>0</v>
      </c>
      <c r="BC9" s="306">
        <f>COUNTIFS(STATUS!$Q:$Q,$A8,STATUS!$D:$D,BC$1,STATUS!$U:$U,"ВОЗВРАТ")</f>
        <v>0</v>
      </c>
      <c r="BD9" s="306">
        <f>COUNTIFS(STATUS!$Q:$Q,$A8,STATUS!$D:$D,BD$1,STATUS!$U:$U,"ВОЗВРАТ")</f>
        <v>0</v>
      </c>
      <c r="BE9" s="440">
        <f>COUNTIFS(STATUS!$Q:$Q,$A8,STATUS!$D:$D,BE$1,STATUS!$U:$U,"ВОЗВРАТ")</f>
        <v>2</v>
      </c>
      <c r="BF9" s="440">
        <f>COUNTIFS(STATUS!$Q:$Q,$A8,STATUS!$D:$D,BF$1,STATUS!$U:$U,"ВОЗВРАТ")</f>
        <v>1</v>
      </c>
      <c r="BG9" s="572">
        <f>SUM(BB9:BF9)</f>
        <v>3</v>
      </c>
      <c r="BH9" s="306">
        <f>COUNTIFS(STATUS!$Q:$Q,$A8,STATUS!$D:$D,BH$1,STATUS!$U:$U,"ВОЗВРАТ")</f>
        <v>0</v>
      </c>
      <c r="BI9" s="306">
        <f>COUNTIFS(STATUS!$Q:$Q,$A8,STATUS!$D:$D,BI$1,STATUS!$U:$U,"ВОЗВРАТ")</f>
        <v>0</v>
      </c>
      <c r="BJ9" s="306">
        <f>COUNTIFS(STATUS!$Q:$Q,$A8,STATUS!$D:$D,BJ$1,STATUS!$U:$U,"ВОЗВРАТ")</f>
        <v>0</v>
      </c>
      <c r="BK9" s="440">
        <f>COUNTIFS(STATUS!$Q:$Q,$A8,STATUS!$D:$D,BK$1,STATUS!$U:$U,"ВОЗВРАТ")</f>
        <v>0</v>
      </c>
      <c r="BL9" s="440">
        <f>COUNTIFS(STATUS!$Q:$Q,$A8,STATUS!$D:$D,BL$1,STATUS!$U:$U,"ВОЗВРАТ")</f>
        <v>0</v>
      </c>
      <c r="BM9" s="572">
        <f>SUM(BH9:BL9)</f>
        <v>0</v>
      </c>
      <c r="BN9" s="306">
        <f>COUNTIFS(STATUS!$Q:$Q,$A8,STATUS!$D:$D,BN$1,STATUS!$U:$U,"ВОЗВРАТ")</f>
        <v>0</v>
      </c>
      <c r="BO9" s="306">
        <f>COUNTIFS(STATUS!$Q:$Q,$A8,STATUS!$D:$D,BO$1,STATUS!$U:$U,"ВОЗВРАТ")</f>
        <v>0</v>
      </c>
      <c r="BP9" s="306">
        <f>COUNTIFS(STATUS!$Q:$Q,$A8,STATUS!$D:$D,BP$1,STATUS!$U:$U,"ВОЗВРАТ")</f>
        <v>0</v>
      </c>
      <c r="BQ9" s="440">
        <f>COUNTIFS(STATUS!$Q:$Q,$A8,STATUS!$D:$D,BQ$1,STATUS!$U:$U,"ВОЗВРАТ")</f>
        <v>0</v>
      </c>
      <c r="BR9" s="440">
        <f>COUNTIFS(STATUS!$Q:$Q,$A8,STATUS!$D:$D,BR$1,STATUS!$U:$U,"ВОЗВРАТ")</f>
        <v>1</v>
      </c>
      <c r="BS9" s="572">
        <f>SUM(BN9:BR9)</f>
        <v>1</v>
      </c>
      <c r="BT9" s="306">
        <f>COUNTIFS(STATUS!$Q:$Q,$A8,STATUS!$D:$D,BT$1,STATUS!$U:$U,"ВОЗВРАТ")</f>
        <v>0</v>
      </c>
      <c r="BU9" s="306">
        <f>COUNTIFS(STATUS!$Q:$Q,$A8,STATUS!$D:$D,BU$1,STATUS!$U:$U,"ВОЗВРАТ")</f>
        <v>0</v>
      </c>
      <c r="BV9" s="306">
        <f>COUNTIFS(STATUS!$Q:$Q,$A8,STATUS!$D:$D,BV$1,STATUS!$U:$U,"ВОЗВРАТ")</f>
        <v>0</v>
      </c>
      <c r="BW9" s="440">
        <f>COUNTIFS(STATUS!$Q:$Q,$A8,STATUS!$D:$D,BW$1,STATUS!$U:$U,"ВОЗВРАТ")</f>
        <v>0</v>
      </c>
      <c r="BX9" s="440">
        <f>COUNTIFS(STATUS!$Q:$Q,$A8,STATUS!$D:$D,BX$1,STATUS!$U:$U,"ВОЗВРАТ")</f>
        <v>0</v>
      </c>
      <c r="BY9" s="572">
        <f>SUM(BT9:BX9)</f>
        <v>0</v>
      </c>
      <c r="BZ9" s="306">
        <f>COUNTIFS(STATUS!$Q:$Q,$A8,STATUS!$D:$D,BZ$1,STATUS!$U:$U,"ВОЗВРАТ")</f>
        <v>0</v>
      </c>
      <c r="CA9" s="306">
        <f>COUNTIFS(STATUS!$Q:$Q,$A8,STATUS!$D:$D,CA$1,STATUS!$U:$U,"ВОЗВРАТ")</f>
        <v>0</v>
      </c>
      <c r="CB9" s="306">
        <f>COUNTIFS(STATUS!$Q:$Q,$A8,STATUS!$D:$D,CB$1,STATUS!$U:$U,"ВОЗВРАТ")</f>
        <v>0</v>
      </c>
      <c r="CC9" s="440">
        <f>COUNTIFS(STATUS!$Q:$Q,$A8,STATUS!$D:$D,CC$1,STATUS!$U:$U,"ВОЗВРАТ")</f>
        <v>0</v>
      </c>
      <c r="CD9" s="440">
        <f>COUNTIFS(STATUS!$Q:$Q,$A8,STATUS!$D:$D,CD$1,STATUS!$U:$U,"ВОЗВРАТ")</f>
        <v>0</v>
      </c>
      <c r="CE9" s="572">
        <f>SUM(BZ9:CD9)</f>
        <v>0</v>
      </c>
      <c r="CF9" s="306">
        <f>COUNTIFS(STATUS!$Q:$Q,$A8,STATUS!$D:$D,CF$1,STATUS!$U:$U,"ВОЗВРАТ")</f>
        <v>0</v>
      </c>
      <c r="CG9" s="306">
        <f>COUNTIFS(STATUS!$Q:$Q,$A8,STATUS!$D:$D,CG$1,STATUS!$U:$U,"ВОЗВРАТ")</f>
        <v>0</v>
      </c>
      <c r="CH9" s="306">
        <f>COUNTIFS(STATUS!$Q:$Q,$A8,STATUS!$D:$D,CH$1,STATUS!$U:$U,"ВОЗВРАТ")</f>
        <v>0</v>
      </c>
      <c r="CI9" s="440">
        <f>COUNTIFS(STATUS!$Q:$Q,$A8,STATUS!$D:$D,CI$1,STATUS!$U:$U,"ВОЗВРАТ")</f>
        <v>0</v>
      </c>
      <c r="CJ9" s="440">
        <f>COUNTIFS(STATUS!$Q:$Q,$A8,STATUS!$D:$D,CJ$1,STATUS!$U:$U,"ВОЗВРАТ")</f>
        <v>0</v>
      </c>
      <c r="CK9" s="572">
        <f>SUM(CF9:CJ9)</f>
        <v>0</v>
      </c>
      <c r="CL9" s="306">
        <f>COUNTIFS(STATUS!$Q:$Q,$A8,STATUS!$D:$D,CL$1,STATUS!$U:$U,"ВОЗВРАТ")</f>
        <v>0</v>
      </c>
      <c r="CM9" s="306">
        <f>COUNTIFS(STATUS!$Q:$Q,$A8,STATUS!$D:$D,CM$1,STATUS!$U:$U,"ВОЗВРАТ")</f>
        <v>0</v>
      </c>
      <c r="CN9" s="306">
        <f>COUNTIFS(STATUS!$Q:$Q,$A8,STATUS!$D:$D,CN$1,STATUS!$U:$U,"ВОЗВРАТ")</f>
        <v>1</v>
      </c>
      <c r="CO9" s="440">
        <f>COUNTIFS(STATUS!$Q:$Q,$A8,STATUS!$D:$D,CO$1,STATUS!$U:$U,"ВОЗВРАТ")</f>
        <v>1</v>
      </c>
      <c r="CP9" s="440">
        <f>COUNTIFS(STATUS!$Q:$Q,$A8,STATUS!$D:$D,CP$1,STATUS!$U:$U,"ВОЗВРАТ")</f>
        <v>0</v>
      </c>
      <c r="CQ9" s="572">
        <f>SUM(CL9:CP9)</f>
        <v>2</v>
      </c>
      <c r="CR9" s="306">
        <f>COUNTIFS(STATUS!$Q:$Q,$A8,STATUS!$D:$D,CR$1,STATUS!$U:$U,"ВОЗВРАТ")</f>
        <v>0</v>
      </c>
      <c r="CS9" s="306">
        <f>COUNTIFS(STATUS!$Q:$Q,$A8,STATUS!$D:$D,CS$1,STATUS!$U:$U,"ВОЗВРАТ")</f>
        <v>0</v>
      </c>
      <c r="CT9" s="306">
        <f>COUNTIFS(STATUS!$Q:$Q,$A8,STATUS!$D:$D,CT$1,STATUS!$U:$U,"ВОЗВРАТ")</f>
        <v>0</v>
      </c>
      <c r="CU9" s="440">
        <f>COUNTIFS(STATUS!$Q:$Q,$A8,STATUS!$D:$D,CU$1,STATUS!$U:$U,"ВОЗВРАТ")</f>
        <v>0</v>
      </c>
      <c r="CV9" s="440">
        <f>COUNTIFS(STATUS!$Q:$Q,$A8,STATUS!$D:$D,CV$1,STATUS!$U:$U,"ВОЗВРАТ")</f>
        <v>1</v>
      </c>
      <c r="CW9" s="572">
        <f>SUM(CR9:CV9)</f>
        <v>1</v>
      </c>
      <c r="CX9" s="306">
        <f>COUNTIFS(STATUS!$Q:$Q,$A8,STATUS!$D:$D,CX$1,STATUS!$U:$U,"ВОЗВРАТ")</f>
        <v>0</v>
      </c>
      <c r="CY9" s="306">
        <f>COUNTIFS(STATUS!$Q:$Q,$A8,STATUS!$D:$D,CY$1,STATUS!$U:$U,"ВОЗВРАТ")</f>
        <v>0</v>
      </c>
      <c r="CZ9" s="306">
        <f>COUNTIFS(STATUS!$Q:$Q,$A8,STATUS!$D:$D,CZ$1,STATUS!$U:$U,"ВОЗВРАТ")</f>
        <v>0</v>
      </c>
      <c r="DA9" s="440">
        <f>COUNTIFS(STATUS!$Q:$Q,$A8,STATUS!$D:$D,DA$1,STATUS!$U:$U,"ВОЗВРАТ")</f>
        <v>1</v>
      </c>
      <c r="DB9" s="440">
        <f>COUNTIFS(STATUS!$Q:$Q,$A8,STATUS!$D:$D,DB$1,STATUS!$U:$U,"ВОЗВРАТ")</f>
        <v>0</v>
      </c>
      <c r="DC9" s="572">
        <f>SUM(CX9:DB9)</f>
        <v>1</v>
      </c>
      <c r="DD9" s="306">
        <f>COUNTIFS(STATUS!$Q:$Q,$A8,STATUS!$D:$D,DD$1,STATUS!$U:$U,"ВОЗВРАТ")</f>
        <v>0</v>
      </c>
      <c r="DE9" s="306">
        <f>COUNTIFS(STATUS!$Q:$Q,$A8,STATUS!$D:$D,DE$1,STATUS!$U:$U,"ВОЗВРАТ")</f>
        <v>0</v>
      </c>
      <c r="DF9" s="306">
        <f>COUNTIFS(STATUS!$Q:$Q,$A8,STATUS!$D:$D,DF$1,STATUS!$U:$U,"ВОЗВРАТ")</f>
        <v>0</v>
      </c>
      <c r="DG9" s="440">
        <f>COUNTIFS(STATUS!$Q:$Q,$A8,STATUS!$D:$D,DG$1,STATUS!$U:$U,"ВОЗВРАТ")</f>
        <v>0</v>
      </c>
      <c r="DH9" s="440">
        <f>COUNTIFS(STATUS!$Q:$Q,$A8,STATUS!$D:$D,DH$1,STATUS!$U:$U,"ВОЗВРАТ")</f>
        <v>0</v>
      </c>
      <c r="DI9" s="572">
        <f>SUM(DD9:DH9)</f>
        <v>0</v>
      </c>
      <c r="DJ9" s="577">
        <f>COUNTIFS(STATUS!$Q:$Q,$A8,STATUS!$D:$D,DJ$1,STATUS!$U:$U,"ВОЗВРАТ")</f>
        <v>0</v>
      </c>
      <c r="DK9" s="577">
        <f>COUNTIFS(STATUS!$Q:$Q,$A8,STATUS!$D:$D,DK$1,STATUS!$U:$U,"ВОЗВРАТ")</f>
        <v>0</v>
      </c>
      <c r="DL9" s="577">
        <f>COUNTIFS(STATUS!$Q:$Q,$A8,STATUS!$D:$D,DL$1,STATUS!$U:$U,"ВОЗВРАТ")</f>
        <v>0</v>
      </c>
      <c r="DM9" s="578">
        <f>COUNTIFS(STATUS!$Q:$Q,$A8,STATUS!$D:$D,DM$1,STATUS!$U:$U,"ВОЗВРАТ")</f>
        <v>0</v>
      </c>
      <c r="DN9" s="578">
        <f>COUNTIFS(STATUS!$Q:$Q,$A8,STATUS!$D:$D,DN$1,STATUS!$U:$U,"ВОЗВРАТ")</f>
        <v>0</v>
      </c>
      <c r="DO9" s="576">
        <f>SUM(DJ9:DN9)</f>
        <v>0</v>
      </c>
      <c r="DP9" s="577">
        <f>COUNTIFS(STATUS!$Q:$Q,$A8,STATUS!$D:$D,DP$1,STATUS!$U:$U,"ВОЗВРАТ")</f>
        <v>0</v>
      </c>
      <c r="DQ9" s="577">
        <f>COUNTIFS(STATUS!$Q:$Q,$A8,STATUS!$D:$D,DQ$1,STATUS!$U:$U,"ВОЗВРАТ")</f>
        <v>0</v>
      </c>
      <c r="DR9" s="577">
        <f>COUNTIFS(STATUS!$Q:$Q,$A8,STATUS!$D:$D,DR$1,STATUS!$U:$U,"ВОЗВРАТ")</f>
        <v>0</v>
      </c>
      <c r="DS9" s="578">
        <f>COUNTIFS(STATUS!$Q:$Q,$A8,STATUS!$D:$D,DS$1,STATUS!$U:$U,"ВОЗВРАТ")</f>
        <v>0</v>
      </c>
      <c r="DT9" s="578">
        <f>COUNTIFS(STATUS!$Q:$Q,$A8,STATUS!$D:$D,DT$1,STATUS!$U:$U,"ВОЗВРАТ")</f>
        <v>0</v>
      </c>
      <c r="DU9" s="576">
        <f>SUM(DP9:DT9)</f>
        <v>0</v>
      </c>
      <c r="DV9" s="1300">
        <f>COUNTIFS(STATUS!$Q:$Q,$A8,STATUS!$D:$D,DV$1,STATUS!$U:$U,"ВОЗВРАТ")</f>
        <v>0</v>
      </c>
      <c r="DW9" s="1300">
        <f>COUNTIFS(STATUS!$Q:$Q,$A8,STATUS!$D:$D,DW$1,STATUS!$U:$U,"ВОЗВРАТ")</f>
        <v>0</v>
      </c>
      <c r="DX9" s="1300">
        <f>COUNTIFS(STATUS!$Q:$Q,$A8,STATUS!$D:$D,DX$1,STATUS!$U:$U,"ВОЗВРАТ")</f>
        <v>1</v>
      </c>
      <c r="DY9" s="1301">
        <f>COUNTIFS(STATUS!$Q:$Q,$A8,STATUS!$D:$D,DY$1,STATUS!$U:$U,"ВОЗВРАТ")</f>
        <v>0</v>
      </c>
      <c r="DZ9" s="1301">
        <f>COUNTIFS(STATUS!$Q:$Q,$A8,STATUS!$D:$D,DZ$1,STATUS!$U:$U,"ВОЗВРАТ")</f>
        <v>0</v>
      </c>
      <c r="EA9" s="572">
        <f>SUM(DV9:DZ9)</f>
        <v>1</v>
      </c>
      <c r="EB9" s="1300">
        <f>COUNTIFS(STATUS!$Q:$Q,$A8,STATUS!$D:$D,EB$1,STATUS!$U:$U,"ВОЗВРАТ")</f>
        <v>1</v>
      </c>
      <c r="EC9" s="1300">
        <f>COUNTIFS(STATUS!$Q:$Q,$A8,STATUS!$D:$D,EC$1,STATUS!$U:$U,"ВОЗВРАТ")</f>
        <v>1</v>
      </c>
      <c r="ED9" s="1300">
        <f>COUNTIFS(STATUS!$Q:$Q,$A8,STATUS!$D:$D,ED$1,STATUS!$U:$U,"ВОЗВРАТ")</f>
        <v>0</v>
      </c>
      <c r="EE9" s="1301">
        <f>COUNTIFS(STATUS!$Q:$Q,$A8,STATUS!$D:$D,EE$1,STATUS!$U:$U,"ВОЗВРАТ")</f>
        <v>2</v>
      </c>
      <c r="EF9" s="1301">
        <f>COUNTIFS(STATUS!$Q:$Q,$A8,STATUS!$D:$D,EF$1,STATUS!$U:$U,"ВОЗВРАТ")</f>
        <v>1</v>
      </c>
      <c r="EG9" s="572">
        <f>SUM(EB9:EF9)</f>
        <v>5</v>
      </c>
      <c r="EH9" s="1300">
        <f>COUNTIFS(STATUS!$Q:$Q,$A8,STATUS!$D:$D,EH$1,STATUS!$U:$U,"ВОЗВРАТ")</f>
        <v>0</v>
      </c>
      <c r="EI9" s="1300">
        <f>COUNTIFS(STATUS!$Q:$Q,$A8,STATUS!$D:$D,EI$1,STATUS!$U:$U,"ВОЗВРАТ")</f>
        <v>0</v>
      </c>
      <c r="EJ9" s="1300">
        <f>COUNTIFS(STATUS!$Q:$Q,$A8,STATUS!$D:$D,EJ$1,STATUS!$U:$U,"ВОЗВРАТ")</f>
        <v>0</v>
      </c>
      <c r="EK9" s="1301">
        <f>COUNTIFS(STATUS!$Q:$Q,$A8,STATUS!$D:$D,EK$1,STATUS!$U:$U,"ВОЗВРАТ")</f>
        <v>0</v>
      </c>
      <c r="EL9" s="1301">
        <f>COUNTIFS(STATUS!$Q:$Q,$A8,STATUS!$D:$D,EL$1,STATUS!$U:$U,"ВОЗВРАТ")</f>
        <v>0</v>
      </c>
      <c r="EM9" s="572">
        <f>SUM(EH9:EL9)</f>
        <v>0</v>
      </c>
      <c r="EN9" s="1300">
        <f>COUNTIFS(STATUS!$Q:$Q,$A8,STATUS!$D:$D,EN$1,STATUS!$U:$U,"ВОЗВРАТ")</f>
        <v>0</v>
      </c>
      <c r="EO9" s="1300">
        <f>COUNTIFS(STATUS!$Q:$Q,$A8,STATUS!$D:$D,EO$1,STATUS!$U:$U,"ВОЗВРАТ")</f>
        <v>2</v>
      </c>
      <c r="EP9" s="1300">
        <f>COUNTIFS(STATUS!$Q:$Q,$A8,STATUS!$D:$D,EP$1,STATUS!$U:$U,"ВОЗВРАТ")</f>
        <v>0</v>
      </c>
      <c r="EQ9" s="1301">
        <f>COUNTIFS(STATUS!$Q:$Q,$A8,STATUS!$D:$D,EQ$1,STATUS!$U:$U,"ВОЗВРАТ")</f>
        <v>0</v>
      </c>
      <c r="ER9" s="1301">
        <f>COUNTIFS(STATUS!$Q:$Q,$A8,STATUS!$D:$D,ER$1,STATUS!$U:$U,"ВОЗВРАТ")</f>
        <v>1</v>
      </c>
      <c r="ES9" s="572">
        <f>SUM(EN9:ER9)</f>
        <v>3</v>
      </c>
      <c r="ET9" s="1300">
        <f>COUNTIFS(STATUS!$Q:$Q,$A8,STATUS!$D:$D,ET$1,STATUS!$U:$U,"ВОЗВРАТ")</f>
        <v>0</v>
      </c>
      <c r="EU9" s="1300">
        <f>COUNTIFS(STATUS!$Q:$Q,$A8,STATUS!$D:$D,EU$1,STATUS!$U:$U,"ВОЗВРАТ")</f>
        <v>1</v>
      </c>
      <c r="EV9" s="1300">
        <f>COUNTIFS(STATUS!$Q:$Q,$A8,STATUS!$D:$D,EV$1,STATUS!$U:$U,"ВОЗВРАТ")</f>
        <v>0</v>
      </c>
      <c r="EW9" s="1301">
        <f>COUNTIFS(STATUS!$Q:$Q,$A8,STATUS!$D:$D,EW$1,STATUS!$U:$U,"ВОЗВРАТ")</f>
        <v>0</v>
      </c>
      <c r="EX9" s="1301">
        <f>COUNTIFS(STATUS!$Q:$Q,$A8,STATUS!$D:$D,EX$1,STATUS!$U:$U,"ВОЗВРАТ")</f>
        <v>0</v>
      </c>
      <c r="EY9" s="572">
        <f>SUM(ET9:EX9)</f>
        <v>1</v>
      </c>
      <c r="EZ9" s="1300">
        <f>COUNTIFS(STATUS!$Q:$Q,$A8,STATUS!$D:$D,EZ$1,STATUS!$U:$U,"ВОЗВРАТ")</f>
        <v>0</v>
      </c>
      <c r="FA9" s="1300">
        <f>COUNTIFS(STATUS!$Q:$Q,$A8,STATUS!$D:$D,FA$1,STATUS!$U:$U,"ВОЗВРАТ")</f>
        <v>0</v>
      </c>
      <c r="FB9" s="1300">
        <f>COUNTIFS(STATUS!$Q:$Q,$A8,STATUS!$D:$D,FB$1,STATUS!$U:$U,"ВОЗВРАТ")</f>
        <v>0</v>
      </c>
      <c r="FC9" s="1301">
        <f>COUNTIFS(STATUS!$Q:$Q,$A8,STATUS!$D:$D,FC$1,STATUS!$U:$U,"ВОЗВРАТ")</f>
        <v>0</v>
      </c>
      <c r="FD9" s="1301">
        <f>COUNTIFS(STATUS!$Q:$Q,$A8,STATUS!$D:$D,FD$1,STATUS!$U:$U,"ВОЗВРАТ")</f>
        <v>0</v>
      </c>
      <c r="FE9" s="576">
        <f>SUM(EZ9:FD9)</f>
        <v>0</v>
      </c>
      <c r="FF9" s="577">
        <f>COUNTIFS(STATUS!$Q:$Q,$A8,STATUS!$D:$D,FF$1,STATUS!$U:$U,"ВОЗВРАТ")</f>
        <v>0</v>
      </c>
      <c r="FG9" s="577">
        <f>COUNTIFS(STATUS!$Q:$Q,$A8,STATUS!$D:$D,FG$1,STATUS!$U:$U,"ВОЗВРАТ")</f>
        <v>0</v>
      </c>
      <c r="FH9" s="577">
        <f>COUNTIFS(STATUS!$Q:$Q,$A8,STATUS!$D:$D,FH$1,STATUS!$U:$U,"ВОЗВРАТ")</f>
        <v>0</v>
      </c>
      <c r="FI9" s="578">
        <f>COUNTIFS(STATUS!$Q:$Q,$A8,STATUS!$D:$D,FI$1,STATUS!$U:$U,"ВОЗВРАТ")</f>
        <v>0</v>
      </c>
      <c r="FJ9" s="578">
        <f>COUNTIFS(STATUS!$Q:$Q,$A8,STATUS!$D:$D,FJ$1,STATUS!$U:$U,"ВОЗВРАТ")</f>
        <v>0</v>
      </c>
      <c r="FK9" s="576">
        <f>SUM(FF9:FJ9)</f>
        <v>0</v>
      </c>
      <c r="FL9" s="1300">
        <f>COUNTIFS(STATUS!$Q:$Q,$A8,STATUS!$D:$D,FL$1,STATUS!$U:$U,"ВОЗВРАТ")</f>
        <v>0</v>
      </c>
      <c r="FM9" s="1300">
        <f>COUNTIFS(STATUS!$Q:$Q,$A8,STATUS!$D:$D,FM$1,STATUS!$U:$U,"ВОЗВРАТ")</f>
        <v>1</v>
      </c>
      <c r="FN9" s="577">
        <f>COUNTIFS(STATUS!$Q:$Q,$A8,STATUS!$D:$D,FN$1,STATUS!$U:$U,"ВОЗВРАТ")</f>
        <v>0</v>
      </c>
      <c r="FO9" s="1301">
        <f>COUNTIFS(STATUS!$Q:$Q,$A8,STATUS!$D:$D,FO$1,STATUS!$U:$U,"ВОЗВРАТ")</f>
        <v>1</v>
      </c>
      <c r="FP9" s="1301">
        <f>COUNTIFS(STATUS!$Q:$Q,$A8,STATUS!$D:$D,FP$1,STATUS!$U:$U,"ВОЗВРАТ")</f>
        <v>0</v>
      </c>
      <c r="FQ9" s="572">
        <f>SUM(FL9:FP9)</f>
        <v>2</v>
      </c>
      <c r="FR9" s="1300">
        <f>COUNTIFS(STATUS!$Q:$Q,$A8,STATUS!$D:$D,FR$1,STATUS!$U:$U,"ВОЗВРАТ")</f>
        <v>0</v>
      </c>
      <c r="FS9" s="1300">
        <f>COUNTIFS(STATUS!$Q:$Q,$A8,STATUS!$D:$D,FS$1,STATUS!$U:$U,"ВОЗВРАТ")</f>
        <v>0</v>
      </c>
      <c r="FT9" s="1300">
        <f>COUNTIFS(STATUS!$Q:$Q,$A8,STATUS!$D:$D,FT$1,STATUS!$U:$U,"ВОЗВРАТ")</f>
        <v>1</v>
      </c>
      <c r="FU9" s="578">
        <f>COUNTIFS(STATUS!$Q:$Q,$A8,STATUS!$D:$D,FU$1,STATUS!$U:$U,"ВОЗВРАТ")</f>
        <v>0</v>
      </c>
      <c r="FV9" s="578">
        <f>COUNTIFS(STATUS!$Q:$Q,$A8,STATUS!$D:$D,FV$1,STATUS!$U:$U,"ВОЗВРАТ")</f>
        <v>0</v>
      </c>
      <c r="FW9" s="572">
        <f>SUM(FR9:FV9)</f>
        <v>1</v>
      </c>
      <c r="FX9" s="1300">
        <f>COUNTIFS(STATUS!$Q:$Q,$A8,STATUS!$D:$D,FX$1,STATUS!$U:$U,"ВОЗВРАТ")</f>
        <v>0</v>
      </c>
      <c r="FY9" s="1300">
        <f>COUNTIFS(STATUS!$Q:$Q,$A8,STATUS!$D:$D,FY$1,STATUS!$U:$U,"ВОЗВРАТ")</f>
        <v>0</v>
      </c>
      <c r="FZ9" s="1300">
        <f>COUNTIFS(STATUS!$Q:$Q,$A8,STATUS!$D:$D,FZ$1,STATUS!$U:$U,"ВОЗВРАТ")</f>
        <v>0</v>
      </c>
      <c r="GA9" s="578">
        <f>COUNTIFS(STATUS!$Q:$Q,$A8,STATUS!$D:$D,GA$1,STATUS!$U:$U,"ВОЗВРАТ")</f>
        <v>0</v>
      </c>
      <c r="GB9" s="578">
        <f>COUNTIFS(STATUS!$Q:$Q,$A8,STATUS!$D:$D,GB$1,STATUS!$U:$U,"ВОЗВРАТ")</f>
        <v>0</v>
      </c>
      <c r="GC9" s="572">
        <f>SUM(FX9:GB9)</f>
        <v>0</v>
      </c>
      <c r="GD9" s="1300">
        <f>COUNTIFS(STATUS!$Q:$Q,$A8,STATUS!$D:$D,GD$1,STATUS!$U:$U,"ВОЗВРАТ")</f>
        <v>0</v>
      </c>
      <c r="GE9" s="1300">
        <f>COUNTIFS(STATUS!$Q:$Q,$A8,STATUS!$D:$D,GE$1,STATUS!$U:$U,"ВОЗВРАТ")</f>
        <v>0</v>
      </c>
      <c r="GF9" s="1300">
        <f>COUNTIFS(STATUS!$Q:$Q,$A8,STATUS!$D:$D,GF$1,STATUS!$U:$U,"ВОЗВРАТ")</f>
        <v>0</v>
      </c>
      <c r="GG9" s="578">
        <f>COUNTIFS(STATUS!$Q:$Q,$A8,STATUS!$D:$D,GG$1,STATUS!$U:$U,"ВОЗВРАТ")</f>
        <v>0</v>
      </c>
      <c r="GH9" s="578">
        <f>COUNTIFS(STATUS!$Q:$Q,$A8,STATUS!$D:$D,GH$1,STATUS!$U:$U,"ВОЗВРАТ")</f>
        <v>0</v>
      </c>
      <c r="GI9" s="576">
        <f>SUM(GD9:GH9)</f>
        <v>0</v>
      </c>
      <c r="GJ9" s="577">
        <f>COUNTIFS(STATUS!$Q:$Q,$A8,STATUS!$D:$D,GJ$1,STATUS!$U:$U,"ВОЗВРАТ")</f>
        <v>0</v>
      </c>
      <c r="GK9" s="577">
        <f>COUNTIFS(STATUS!$Q:$Q,$A8,STATUS!$D:$D,GK$1,STATUS!$U:$U,"ВОЗВРАТ")</f>
        <v>0</v>
      </c>
      <c r="GL9" s="577">
        <f>COUNTIFS(STATUS!$Q:$Q,$A8,STATUS!$D:$D,GL$1,STATUS!$U:$U,"ВОЗВРАТ")</f>
        <v>0</v>
      </c>
      <c r="GM9" s="578">
        <f>COUNTIFS(STATUS!$Q:$Q,$A8,STATUS!$D:$D,GM$1,STATUS!$U:$U,"ВОЗВРАТ")</f>
        <v>0</v>
      </c>
      <c r="GN9" s="578">
        <f>COUNTIFS(STATUS!$Q:$Q,$A8,STATUS!$D:$D,GN$1,STATUS!$U:$U,"ВОЗВРАТ")</f>
        <v>0</v>
      </c>
      <c r="GO9" s="576">
        <f>SUM(GJ9:GN9)</f>
        <v>0</v>
      </c>
      <c r="GP9" s="1300">
        <f>COUNTIFS(STATUS!$Q:$Q,$A8,STATUS!$D:$D,GP$1,STATUS!$U:$U,"ВОЗВРАТ")</f>
        <v>0</v>
      </c>
      <c r="GQ9" s="1300">
        <f>COUNTIFS(STATUS!$Q:$Q,$A8,STATUS!$D:$D,GQ$1,STATUS!$U:$U,"ВОЗВРАТ")</f>
        <v>0</v>
      </c>
      <c r="GR9" s="1300">
        <f>COUNTIFS(STATUS!$Q:$Q,$A8,STATUS!$D:$D,GR$1,STATUS!$U:$U,"ВОЗВРАТ")</f>
        <v>1</v>
      </c>
      <c r="GS9" s="1304">
        <f>COUNTIFS(STATUS!$Q:$Q,$A8,STATUS!$D:$D,GS$1,STATUS!$U:$U,"ВОЗВРАТ")</f>
        <v>1</v>
      </c>
      <c r="GT9" s="1304">
        <f>COUNTIFS(STATUS!$Q:$Q,$A8,STATUS!$D:$D,GT$1,STATUS!$U:$U,"ВОЗВРАТ")</f>
        <v>3</v>
      </c>
      <c r="GU9" s="572">
        <f>SUM(GP9:GT9)</f>
        <v>5</v>
      </c>
      <c r="GV9" s="1300">
        <f>COUNTIFS(STATUS!$Q:$Q,$A8,STATUS!$D:$D,GV$1,STATUS!$U:$U,"ВОЗВРАТ")</f>
        <v>0</v>
      </c>
      <c r="GW9" s="1300">
        <f>COUNTIFS(STATUS!$Q:$Q,$A8,STATUS!$D:$D,GW$1,STATUS!$U:$U,"ВОЗВРАТ")</f>
        <v>0</v>
      </c>
      <c r="GX9" s="1300">
        <f>COUNTIFS(STATUS!$Q:$Q,$A8,STATUS!$D:$D,GX$1,STATUS!$U:$U,"ВОЗВРАТ")</f>
        <v>0</v>
      </c>
      <c r="GY9" s="1304">
        <f>COUNTIFS(STATUS!$Q:$Q,$A8,STATUS!$D:$D,GY$1,STATUS!$U:$U,"ВОЗВРАТ")</f>
        <v>0</v>
      </c>
      <c r="GZ9" s="1304">
        <f>COUNTIFS(STATUS!$Q:$Q,$A8,STATUS!$D:$D,GZ$1,STATUS!$U:$U,"ВОЗВРАТ")</f>
        <v>0</v>
      </c>
      <c r="HA9" s="572">
        <f>SUM(GV9:GZ9)</f>
        <v>0</v>
      </c>
    </row>
    <row r="10" spans="1:209" ht="21.6" thickBot="1" x14ac:dyDescent="0.35">
      <c r="A10" s="1560"/>
      <c r="B10" s="434">
        <f>B9/B8</f>
        <v>6.4347826086956522E-2</v>
      </c>
      <c r="C10" s="397">
        <f>IFERROR(C9/C8,0)</f>
        <v>0.16666666666666666</v>
      </c>
      <c r="D10" s="397">
        <f t="shared" ref="D10" si="78">IFERROR(D9/D8,0)</f>
        <v>0</v>
      </c>
      <c r="E10" s="397">
        <f t="shared" ref="E10" si="79">IFERROR(E9/E8,0)</f>
        <v>0</v>
      </c>
      <c r="F10" s="397">
        <f t="shared" ref="F10" si="80">IFERROR(F9/F8,0)</f>
        <v>0</v>
      </c>
      <c r="G10" s="441">
        <f t="shared" ref="G10:H10" si="81">IFERROR(G9/G8,0)</f>
        <v>0</v>
      </c>
      <c r="H10" s="573">
        <f t="shared" si="81"/>
        <v>4.5454545454545456E-2</v>
      </c>
      <c r="I10" s="444">
        <f t="shared" ref="I10" si="82">IFERROR(I9/I8,0)</f>
        <v>0.25</v>
      </c>
      <c r="J10" s="397">
        <f t="shared" ref="J10" si="83">IFERROR(J9/J8,0)</f>
        <v>0</v>
      </c>
      <c r="K10" s="397">
        <f t="shared" ref="K10" si="84">IFERROR(K9/K8,0)</f>
        <v>0</v>
      </c>
      <c r="L10" s="397">
        <f t="shared" ref="L10" si="85">IFERROR(L9/L8,0)</f>
        <v>0</v>
      </c>
      <c r="M10" s="441">
        <f t="shared" ref="M10:N10" si="86">IFERROR(M9/M8,0)</f>
        <v>0</v>
      </c>
      <c r="N10" s="573">
        <f t="shared" si="86"/>
        <v>6.25E-2</v>
      </c>
      <c r="O10" s="444">
        <f t="shared" ref="O10" si="87">IFERROR(O9/O8,0)</f>
        <v>0</v>
      </c>
      <c r="P10" s="397">
        <f t="shared" ref="P10" si="88">IFERROR(P9/P8,0)</f>
        <v>0</v>
      </c>
      <c r="Q10" s="397">
        <f t="shared" ref="Q10:S10" si="89">IFERROR(Q9/Q8,0)</f>
        <v>0</v>
      </c>
      <c r="R10" s="573">
        <f t="shared" si="89"/>
        <v>0</v>
      </c>
      <c r="S10" s="397">
        <f t="shared" si="89"/>
        <v>0</v>
      </c>
      <c r="T10" s="397">
        <f>IFERROR(T9/T8,0)</f>
        <v>0.14285714285714285</v>
      </c>
      <c r="U10" s="397">
        <f>IFERROR(U9/U8,0)</f>
        <v>0</v>
      </c>
      <c r="V10" s="441">
        <f t="shared" ref="V10:W10" si="90">IFERROR(V9/V8,0)</f>
        <v>0.33333333333333331</v>
      </c>
      <c r="W10" s="573">
        <f t="shared" si="90"/>
        <v>0.1</v>
      </c>
      <c r="X10" s="397">
        <f>IFERROR(X9/X8,0)</f>
        <v>0.16666666666666666</v>
      </c>
      <c r="Y10" s="397">
        <f>IFERROR(Y9/Y8,0)</f>
        <v>0</v>
      </c>
      <c r="Z10" s="397">
        <f>IFERROR(Z9/Z8,0)</f>
        <v>0</v>
      </c>
      <c r="AA10" s="441">
        <f t="shared" ref="AA10:AB10" si="91">IFERROR(AA9/AA8,0)</f>
        <v>0</v>
      </c>
      <c r="AB10" s="441">
        <f t="shared" si="91"/>
        <v>0</v>
      </c>
      <c r="AC10" s="573">
        <f>IFERROR(AC9/AC8,0)</f>
        <v>3.5714285714285712E-2</v>
      </c>
      <c r="AD10" s="397">
        <f>IFERROR(AD9/AD8,0)</f>
        <v>0</v>
      </c>
      <c r="AE10" s="397">
        <f>IFERROR(AE9/AE8,0)</f>
        <v>0</v>
      </c>
      <c r="AF10" s="397">
        <f>IFERROR(AF9/AF8,0)</f>
        <v>0</v>
      </c>
      <c r="AG10" s="441">
        <f t="shared" ref="AG10:AH10" si="92">IFERROR(AG9/AG8,0)</f>
        <v>0</v>
      </c>
      <c r="AH10" s="441">
        <f t="shared" si="92"/>
        <v>0</v>
      </c>
      <c r="AI10" s="573">
        <f>IFERROR(AI9/AI8,0)</f>
        <v>0</v>
      </c>
      <c r="AJ10" s="397">
        <f>IFERROR(AJ9/AJ8,0)</f>
        <v>4.7619047619047616E-2</v>
      </c>
      <c r="AK10" s="397">
        <f>IFERROR(AK9/AK8,0)</f>
        <v>0</v>
      </c>
      <c r="AL10" s="397">
        <f>IFERROR(AL9/AL8,0)</f>
        <v>0</v>
      </c>
      <c r="AM10" s="441">
        <f t="shared" ref="AM10:AN10" si="93">IFERROR(AM9/AM8,0)</f>
        <v>0</v>
      </c>
      <c r="AN10" s="441">
        <f t="shared" si="93"/>
        <v>0.33333333333333331</v>
      </c>
      <c r="AO10" s="573">
        <f>IFERROR(AO9/AO8,0)</f>
        <v>6.4516129032258063E-2</v>
      </c>
      <c r="AP10" s="397">
        <f>IFERROR(AP9/AP8,0)</f>
        <v>0</v>
      </c>
      <c r="AQ10" s="397">
        <f>IFERROR(AQ9/AQ8,0)</f>
        <v>0</v>
      </c>
      <c r="AR10" s="397">
        <f>IFERROR(AR9/AR8,0)</f>
        <v>0.33333333333333331</v>
      </c>
      <c r="AS10" s="441">
        <f t="shared" ref="AS10:AT10" si="94">IFERROR(AS9/AS8,0)</f>
        <v>0</v>
      </c>
      <c r="AT10" s="441">
        <f t="shared" si="94"/>
        <v>0</v>
      </c>
      <c r="AU10" s="573">
        <f>IFERROR(AU9/AU8,0)</f>
        <v>6.6666666666666666E-2</v>
      </c>
      <c r="AV10" s="397">
        <f>IFERROR(AV9/AV8,0)</f>
        <v>0</v>
      </c>
      <c r="AW10" s="397">
        <f>IFERROR(AW9/AW8,0)</f>
        <v>4.878048780487805E-2</v>
      </c>
      <c r="AX10" s="397">
        <f>IFERROR(AX9/AX8,0)</f>
        <v>0</v>
      </c>
      <c r="AY10" s="441">
        <f t="shared" ref="AY10:AZ10" si="95">IFERROR(AY9/AY8,0)</f>
        <v>0</v>
      </c>
      <c r="AZ10" s="441">
        <f t="shared" si="95"/>
        <v>0.25</v>
      </c>
      <c r="BA10" s="573">
        <f>IFERROR(BA9/BA8,0)</f>
        <v>5.7692307692307696E-2</v>
      </c>
      <c r="BB10" s="397">
        <f>IFERROR(BB9/BB8,0)</f>
        <v>0</v>
      </c>
      <c r="BC10" s="397">
        <f>IFERROR(BC9/BC8,0)</f>
        <v>0</v>
      </c>
      <c r="BD10" s="397">
        <f>IFERROR(BD9/BD8,0)</f>
        <v>0</v>
      </c>
      <c r="BE10" s="441">
        <f t="shared" ref="BE10:BF10" si="96">IFERROR(BE9/BE8,0)</f>
        <v>0.2857142857142857</v>
      </c>
      <c r="BF10" s="441">
        <f t="shared" si="96"/>
        <v>0.25</v>
      </c>
      <c r="BG10" s="573">
        <f>IFERROR(BG9/BG8,0)</f>
        <v>0.125</v>
      </c>
      <c r="BH10" s="397">
        <f>IFERROR(BH9/BH8,0)</f>
        <v>0</v>
      </c>
      <c r="BI10" s="397">
        <f>IFERROR(BI9/BI8,0)</f>
        <v>0</v>
      </c>
      <c r="BJ10" s="397">
        <f>IFERROR(BJ9/BJ8,0)</f>
        <v>0</v>
      </c>
      <c r="BK10" s="441">
        <f t="shared" ref="BK10:BL10" si="97">IFERROR(BK9/BK8,0)</f>
        <v>0</v>
      </c>
      <c r="BL10" s="441">
        <f t="shared" si="97"/>
        <v>0</v>
      </c>
      <c r="BM10" s="573">
        <f>IFERROR(BM9/BM8,0)</f>
        <v>0</v>
      </c>
      <c r="BN10" s="397">
        <f>IFERROR(BN9/BN8,0)</f>
        <v>0</v>
      </c>
      <c r="BO10" s="397">
        <f>IFERROR(BO9/BO8,0)</f>
        <v>0</v>
      </c>
      <c r="BP10" s="397">
        <f>IFERROR(BP9/BP8,0)</f>
        <v>0</v>
      </c>
      <c r="BQ10" s="441">
        <f t="shared" ref="BQ10:BR10" si="98">IFERROR(BQ9/BQ8,0)</f>
        <v>0</v>
      </c>
      <c r="BR10" s="441">
        <f t="shared" si="98"/>
        <v>0.25</v>
      </c>
      <c r="BS10" s="573">
        <f>IFERROR(BS9/BS8,0)</f>
        <v>5.5555555555555552E-2</v>
      </c>
      <c r="BT10" s="397">
        <f>IFERROR(BT9/BT8,0)</f>
        <v>0</v>
      </c>
      <c r="BU10" s="397">
        <f>IFERROR(BU9/BU8,0)</f>
        <v>0</v>
      </c>
      <c r="BV10" s="397">
        <f>IFERROR(BV9/BV8,0)</f>
        <v>0</v>
      </c>
      <c r="BW10" s="441">
        <f t="shared" ref="BW10:BX10" si="99">IFERROR(BW9/BW8,0)</f>
        <v>0</v>
      </c>
      <c r="BX10" s="441">
        <f t="shared" si="99"/>
        <v>0</v>
      </c>
      <c r="BY10" s="573">
        <f>IFERROR(BY9/BY8,0)</f>
        <v>0</v>
      </c>
      <c r="BZ10" s="397">
        <f>IFERROR(BZ9/BZ8,0)</f>
        <v>0</v>
      </c>
      <c r="CA10" s="397">
        <f>IFERROR(CA9/CA8,0)</f>
        <v>0</v>
      </c>
      <c r="CB10" s="397">
        <f>IFERROR(CB9/CB8,0)</f>
        <v>0</v>
      </c>
      <c r="CC10" s="441">
        <f t="shared" ref="CC10:CD10" si="100">IFERROR(CC9/CC8,0)</f>
        <v>0</v>
      </c>
      <c r="CD10" s="441">
        <f t="shared" si="100"/>
        <v>0</v>
      </c>
      <c r="CE10" s="573">
        <f>IFERROR(CE9/CE8,0)</f>
        <v>0</v>
      </c>
      <c r="CF10" s="397">
        <f>IFERROR(CF9/CF8,0)</f>
        <v>0</v>
      </c>
      <c r="CG10" s="397">
        <f>IFERROR(CG9/CG8,0)</f>
        <v>0</v>
      </c>
      <c r="CH10" s="397">
        <f>IFERROR(CH9/CH8,0)</f>
        <v>0</v>
      </c>
      <c r="CI10" s="441">
        <f t="shared" ref="CI10:CJ10" si="101">IFERROR(CI9/CI8,0)</f>
        <v>0</v>
      </c>
      <c r="CJ10" s="441">
        <f t="shared" si="101"/>
        <v>0</v>
      </c>
      <c r="CK10" s="573">
        <f>IFERROR(CK9/CK8,0)</f>
        <v>0</v>
      </c>
      <c r="CL10" s="397">
        <f>IFERROR(CL9/CL8,0)</f>
        <v>0</v>
      </c>
      <c r="CM10" s="397">
        <f>IFERROR(CM9/CM8,0)</f>
        <v>0</v>
      </c>
      <c r="CN10" s="397">
        <f>IFERROR(CN9/CN8,0)</f>
        <v>0.16666666666666666</v>
      </c>
      <c r="CO10" s="441">
        <f t="shared" ref="CO10:CP10" si="102">IFERROR(CO9/CO8,0)</f>
        <v>0.16666666666666666</v>
      </c>
      <c r="CP10" s="441">
        <f t="shared" si="102"/>
        <v>0</v>
      </c>
      <c r="CQ10" s="573">
        <f>IFERROR(CQ9/CQ8,0)</f>
        <v>7.1428571428571425E-2</v>
      </c>
      <c r="CR10" s="397">
        <f>IFERROR(CR9/CR8,0)</f>
        <v>0</v>
      </c>
      <c r="CS10" s="397">
        <f>IFERROR(CS9/CS8,0)</f>
        <v>0</v>
      </c>
      <c r="CT10" s="397">
        <f>IFERROR(CT9/CT8,0)</f>
        <v>0</v>
      </c>
      <c r="CU10" s="441">
        <f t="shared" ref="CU10:CV10" si="103">IFERROR(CU9/CU8,0)</f>
        <v>0</v>
      </c>
      <c r="CV10" s="441">
        <f t="shared" si="103"/>
        <v>0.2</v>
      </c>
      <c r="CW10" s="573">
        <f>IFERROR(CW9/CW8,0)</f>
        <v>4.3478260869565216E-2</v>
      </c>
      <c r="CX10" s="397">
        <f>IFERROR(CX9/CX8,0)</f>
        <v>0</v>
      </c>
      <c r="CY10" s="397">
        <f>IFERROR(CY9/CY8,0)</f>
        <v>0</v>
      </c>
      <c r="CZ10" s="397">
        <f>IFERROR(CZ9/CZ8,0)</f>
        <v>0</v>
      </c>
      <c r="DA10" s="441">
        <f t="shared" ref="DA10:DB10" si="104">IFERROR(DA9/DA8,0)</f>
        <v>0.25</v>
      </c>
      <c r="DB10" s="441">
        <f t="shared" si="104"/>
        <v>0</v>
      </c>
      <c r="DC10" s="573">
        <f>IFERROR(DC9/DC8,0)</f>
        <v>5.2631578947368418E-2</v>
      </c>
      <c r="DD10" s="397">
        <f>IFERROR(DD9/DD8,0)</f>
        <v>0</v>
      </c>
      <c r="DE10" s="397">
        <f>IFERROR(DE9/DE8,0)</f>
        <v>0</v>
      </c>
      <c r="DF10" s="397">
        <f>IFERROR(DF9/DF8,0)</f>
        <v>0</v>
      </c>
      <c r="DG10" s="441">
        <f t="shared" ref="DG10:DH10" si="105">IFERROR(DG9/DG8,0)</f>
        <v>0</v>
      </c>
      <c r="DH10" s="441">
        <f t="shared" si="105"/>
        <v>0</v>
      </c>
      <c r="DI10" s="573">
        <f>IFERROR(DI9/DI8,0)</f>
        <v>0</v>
      </c>
      <c r="DJ10" s="397">
        <f>IFERROR(DJ9/DJ8,0)</f>
        <v>0</v>
      </c>
      <c r="DK10" s="397">
        <f>IFERROR(DK9/DK8,0)</f>
        <v>0</v>
      </c>
      <c r="DL10" s="397">
        <f>IFERROR(DL9/DL8,0)</f>
        <v>0</v>
      </c>
      <c r="DM10" s="441">
        <f t="shared" ref="DM10:DN10" si="106">IFERROR(DM9/DM8,0)</f>
        <v>0</v>
      </c>
      <c r="DN10" s="441">
        <f t="shared" si="106"/>
        <v>0</v>
      </c>
      <c r="DO10" s="573">
        <f>IFERROR(DO9/DO8,0)</f>
        <v>0</v>
      </c>
      <c r="DP10" s="397">
        <f>IFERROR(DP9/DP8,0)</f>
        <v>0</v>
      </c>
      <c r="DQ10" s="397">
        <f>IFERROR(DQ9/DQ8,0)</f>
        <v>0</v>
      </c>
      <c r="DR10" s="397">
        <f>IFERROR(DR9/DR8,0)</f>
        <v>0</v>
      </c>
      <c r="DS10" s="441">
        <f t="shared" ref="DS10:DT10" si="107">IFERROR(DS9/DS8,0)</f>
        <v>0</v>
      </c>
      <c r="DT10" s="441">
        <f t="shared" si="107"/>
        <v>0</v>
      </c>
      <c r="DU10" s="573">
        <f>IFERROR(DU9/DU8,0)</f>
        <v>0</v>
      </c>
      <c r="DV10" s="397">
        <f>IFERROR(DV9/DV8,0)</f>
        <v>0</v>
      </c>
      <c r="DW10" s="397">
        <f>IFERROR(DW9/DW8,0)</f>
        <v>0</v>
      </c>
      <c r="DX10" s="397">
        <f>IFERROR(DX9/DX8,0)</f>
        <v>0.33333333333333331</v>
      </c>
      <c r="DY10" s="441">
        <f t="shared" ref="DY10:DZ10" si="108">IFERROR(DY9/DY8,0)</f>
        <v>0</v>
      </c>
      <c r="DZ10" s="441">
        <f t="shared" si="108"/>
        <v>0</v>
      </c>
      <c r="EA10" s="573">
        <f>IFERROR(EA9/EA8,0)</f>
        <v>0.05</v>
      </c>
      <c r="EB10" s="397">
        <f>IFERROR(EB9/EB8,0)</f>
        <v>0.25</v>
      </c>
      <c r="EC10" s="397">
        <f>IFERROR(EC9/EC8,0)</f>
        <v>0.125</v>
      </c>
      <c r="ED10" s="397">
        <f>IFERROR(ED9/ED8,0)</f>
        <v>0</v>
      </c>
      <c r="EE10" s="441">
        <f t="shared" ref="EE10:EF10" si="109">IFERROR(EE9/EE8,0)</f>
        <v>0.4</v>
      </c>
      <c r="EF10" s="441">
        <f t="shared" si="109"/>
        <v>0.5</v>
      </c>
      <c r="EG10" s="573">
        <f>IFERROR(EG9/EG8,0)</f>
        <v>0.2</v>
      </c>
      <c r="EH10" s="397">
        <f>IFERROR(EH9/EH8,0)</f>
        <v>0</v>
      </c>
      <c r="EI10" s="397">
        <f>IFERROR(EI9/EI8,0)</f>
        <v>0</v>
      </c>
      <c r="EJ10" s="397">
        <f>IFERROR(EJ9/EJ8,0)</f>
        <v>0</v>
      </c>
      <c r="EK10" s="441">
        <f t="shared" ref="EK10:EL10" si="110">IFERROR(EK9/EK8,0)</f>
        <v>0</v>
      </c>
      <c r="EL10" s="441">
        <f t="shared" si="110"/>
        <v>0</v>
      </c>
      <c r="EM10" s="573">
        <f>IFERROR(EM9/EM8,0)</f>
        <v>0</v>
      </c>
      <c r="EN10" s="397">
        <f>IFERROR(EN9/EN8,0)</f>
        <v>0</v>
      </c>
      <c r="EO10" s="397">
        <f>IFERROR(EO9/EO8,0)</f>
        <v>0.66666666666666663</v>
      </c>
      <c r="EP10" s="397">
        <f>IFERROR(EP9/EP8,0)</f>
        <v>0</v>
      </c>
      <c r="EQ10" s="441">
        <f t="shared" ref="EQ10:ER10" si="111">IFERROR(EQ9/EQ8,0)</f>
        <v>0</v>
      </c>
      <c r="ER10" s="441">
        <f t="shared" si="111"/>
        <v>0.14285714285714285</v>
      </c>
      <c r="ES10" s="573">
        <f>IFERROR(ES9/ES8,0)</f>
        <v>0.125</v>
      </c>
      <c r="ET10" s="397">
        <f>IFERROR(ET9/ET8,0)</f>
        <v>0</v>
      </c>
      <c r="EU10" s="397">
        <f>IFERROR(EU9/EU8,0)</f>
        <v>0.14285714285714285</v>
      </c>
      <c r="EV10" s="397">
        <f>IFERROR(EV9/EV8,0)</f>
        <v>0</v>
      </c>
      <c r="EW10" s="441">
        <f t="shared" ref="EW10:EX10" si="112">IFERROR(EW9/EW8,0)</f>
        <v>0</v>
      </c>
      <c r="EX10" s="441">
        <f t="shared" si="112"/>
        <v>0</v>
      </c>
      <c r="EY10" s="573">
        <f>IFERROR(EY9/EY8,0)</f>
        <v>5.8823529411764705E-2</v>
      </c>
      <c r="EZ10" s="397">
        <f>IFERROR(EZ9/EZ8,0)</f>
        <v>0</v>
      </c>
      <c r="FA10" s="397">
        <f>IFERROR(FA9/FA8,0)</f>
        <v>0</v>
      </c>
      <c r="FB10" s="397">
        <f>IFERROR(FB9/FB8,0)</f>
        <v>0</v>
      </c>
      <c r="FC10" s="441">
        <f t="shared" ref="FC10:FD10" si="113">IFERROR(FC9/FC8,0)</f>
        <v>0</v>
      </c>
      <c r="FD10" s="441">
        <f t="shared" si="113"/>
        <v>0</v>
      </c>
      <c r="FE10" s="573">
        <f>IFERROR(FE9/FE8,0)</f>
        <v>0</v>
      </c>
      <c r="FF10" s="397">
        <f>IFERROR(FF9/FF8,0)</f>
        <v>0</v>
      </c>
      <c r="FG10" s="397">
        <f>IFERROR(FG9/FG8,0)</f>
        <v>0</v>
      </c>
      <c r="FH10" s="397">
        <f>IFERROR(FH9/FH8,0)</f>
        <v>0</v>
      </c>
      <c r="FI10" s="441">
        <f t="shared" ref="FI10:FJ10" si="114">IFERROR(FI9/FI8,0)</f>
        <v>0</v>
      </c>
      <c r="FJ10" s="441">
        <f t="shared" si="114"/>
        <v>0</v>
      </c>
      <c r="FK10" s="573">
        <f>IFERROR(FK9/FK8,0)</f>
        <v>0</v>
      </c>
      <c r="FL10" s="397">
        <f>IFERROR(FL9/FL8,0)</f>
        <v>0</v>
      </c>
      <c r="FM10" s="397">
        <f>IFERROR(FM9/FM8,0)</f>
        <v>0.25</v>
      </c>
      <c r="FN10" s="397">
        <f>IFERROR(FN9/FN8,0)</f>
        <v>0</v>
      </c>
      <c r="FO10" s="441">
        <f t="shared" ref="FO10:FP10" si="115">IFERROR(FO9/FO8,0)</f>
        <v>0.25</v>
      </c>
      <c r="FP10" s="441">
        <f t="shared" si="115"/>
        <v>0</v>
      </c>
      <c r="FQ10" s="573">
        <f>IFERROR(FQ9/FQ8,0)</f>
        <v>0.10526315789473684</v>
      </c>
      <c r="FR10" s="397">
        <f>IFERROR(FR9/FR8,0)</f>
        <v>0</v>
      </c>
      <c r="FS10" s="397">
        <f>IFERROR(FS9/FS8,0)</f>
        <v>0</v>
      </c>
      <c r="FT10" s="397">
        <f>IFERROR(FT9/FT8,0)</f>
        <v>0.25</v>
      </c>
      <c r="FU10" s="441">
        <f t="shared" ref="FU10:FV10" si="116">IFERROR(FU9/FU8,0)</f>
        <v>0</v>
      </c>
      <c r="FV10" s="441">
        <f t="shared" si="116"/>
        <v>0</v>
      </c>
      <c r="FW10" s="573">
        <f>IFERROR(FW9/FW8,0)</f>
        <v>9.0909090909090912E-2</v>
      </c>
      <c r="FX10" s="397">
        <f>IFERROR(FX9/FX8,0)</f>
        <v>0</v>
      </c>
      <c r="FY10" s="397">
        <f>IFERROR(FY9/FY8,0)</f>
        <v>0</v>
      </c>
      <c r="FZ10" s="397">
        <f>IFERROR(FZ9/FZ8,0)</f>
        <v>0</v>
      </c>
      <c r="GA10" s="441">
        <f t="shared" ref="GA10:GB10" si="117">IFERROR(GA9/GA8,0)</f>
        <v>0</v>
      </c>
      <c r="GB10" s="441">
        <f t="shared" si="117"/>
        <v>0</v>
      </c>
      <c r="GC10" s="573">
        <f>IFERROR(GC9/GC8,0)</f>
        <v>0</v>
      </c>
      <c r="GD10" s="397">
        <f>IFERROR(GD9/GD8,0)</f>
        <v>0</v>
      </c>
      <c r="GE10" s="397">
        <f>IFERROR(GE9/GE8,0)</f>
        <v>0</v>
      </c>
      <c r="GF10" s="397">
        <f>IFERROR(GF9/GF8,0)</f>
        <v>0</v>
      </c>
      <c r="GG10" s="441">
        <f t="shared" ref="GG10:GH10" si="118">IFERROR(GG9/GG8,0)</f>
        <v>0</v>
      </c>
      <c r="GH10" s="441">
        <f t="shared" si="118"/>
        <v>0</v>
      </c>
      <c r="GI10" s="573">
        <f>IFERROR(GI9/GI8,0)</f>
        <v>0</v>
      </c>
      <c r="GJ10" s="397">
        <f>IFERROR(GJ9/GJ8,0)</f>
        <v>0</v>
      </c>
      <c r="GK10" s="397">
        <f>IFERROR(GK9/GK8,0)</f>
        <v>0</v>
      </c>
      <c r="GL10" s="397">
        <f>IFERROR(GL9/GL8,0)</f>
        <v>0</v>
      </c>
      <c r="GM10" s="441">
        <f t="shared" ref="GM10:GN10" si="119">IFERROR(GM9/GM8,0)</f>
        <v>0</v>
      </c>
      <c r="GN10" s="441">
        <f t="shared" si="119"/>
        <v>0</v>
      </c>
      <c r="GO10" s="573">
        <f>IFERROR(GO9/GO8,0)</f>
        <v>0</v>
      </c>
      <c r="GP10" s="397">
        <f>IFERROR(GP9/GP8,0)</f>
        <v>0</v>
      </c>
      <c r="GQ10" s="397">
        <f>IFERROR(GQ9/GQ8,0)</f>
        <v>0</v>
      </c>
      <c r="GR10" s="397">
        <f>IFERROR(GR9/GR8,0)</f>
        <v>0.33333333333333331</v>
      </c>
      <c r="GS10" s="441">
        <f t="shared" ref="GS10:GT10" si="120">IFERROR(GS9/GS8,0)</f>
        <v>0.2</v>
      </c>
      <c r="GT10" s="441">
        <f t="shared" si="120"/>
        <v>0.5</v>
      </c>
      <c r="GU10" s="573">
        <f>IFERROR(GU9/GU8,0)</f>
        <v>0.25</v>
      </c>
      <c r="GV10" s="397">
        <f>IFERROR(GV9/GV8,0)</f>
        <v>0</v>
      </c>
      <c r="GW10" s="397">
        <f>IFERROR(GW9/GW8,0)</f>
        <v>0</v>
      </c>
      <c r="GX10" s="397">
        <f>IFERROR(GX9/GX8,0)</f>
        <v>0</v>
      </c>
      <c r="GY10" s="441">
        <f t="shared" ref="GY10:GZ10" si="121">IFERROR(GY9/GY8,0)</f>
        <v>0</v>
      </c>
      <c r="GZ10" s="441">
        <f t="shared" si="121"/>
        <v>0</v>
      </c>
      <c r="HA10" s="573">
        <f>IFERROR(HA9/HA8,0)</f>
        <v>0</v>
      </c>
    </row>
    <row r="11" spans="1:209" ht="15" thickTop="1" x14ac:dyDescent="0.3">
      <c r="A11" s="1555" t="s">
        <v>5193</v>
      </c>
      <c r="B11" s="428">
        <f>SUM(H11,N11,R11,W11,AC11,AI11,AO11,AU11,BA11,BG11,BM11,BS11,BY11,CE11,CK11,CQ11,CW11,DC11,DI11,DO11,DU11,EA11,EG11,EM11,ES11,EY11,FE11,FK11,FQ11,FW11,GC11,GI11,GO11,GU11,HA11)</f>
        <v>227</v>
      </c>
      <c r="C11" s="574">
        <f>COUNTIFS(STATUS!$Q:$Q,$A11,STATUS!$D:$D,C$1,STATUS!$K:$K,"РЕШ УВ DONE")</f>
        <v>7</v>
      </c>
      <c r="D11" s="574">
        <f>COUNTIFS(STATUS!$Q:$Q,$A11,STATUS!$D:$D,D$1,STATUS!$K:$K,"РЕШ УВ DONE")</f>
        <v>3</v>
      </c>
      <c r="E11" s="574">
        <f>COUNTIFS(STATUS!$Q:$Q,$A11,STATUS!$D:$D,E$1,STATUS!$K:$K,"РЕШ УВ DONE")</f>
        <v>6</v>
      </c>
      <c r="F11" s="574">
        <f>COUNTIFS(STATUS!$Q:$Q,$A11,STATUS!$D:$D,F$1,STATUS!$K:$K,"РЕШ УВ DONE")</f>
        <v>4</v>
      </c>
      <c r="G11" s="575">
        <f>COUNTIFS(STATUS!$Q:$Q,$A11,STATUS!$D:$D,G$1,STATUS!$K:$K,"РЕШ УВ DONE")</f>
        <v>2</v>
      </c>
      <c r="H11" s="572">
        <f>SUM(C11:G11)</f>
        <v>22</v>
      </c>
      <c r="I11" s="443">
        <f>COUNTIFS(STATUS!$Q:$Q,$A11,STATUS!$D:$D,I$1,STATUS!$K:$K,"РЕШ УВ DONE")</f>
        <v>4</v>
      </c>
      <c r="J11" s="406">
        <f>COUNTIFS(STATUS!$Q:$Q,$A11,STATUS!$D:$D,J$1,STATUS!$K:$K,"РЕШ УВ DONE")</f>
        <v>5</v>
      </c>
      <c r="K11" s="406">
        <f>COUNTIFS(STATUS!$Q:$Q,$A11,STATUS!$D:$D,K$1,STATUS!$K:$K,"РЕШ УВ DONE")</f>
        <v>2</v>
      </c>
      <c r="L11" s="406">
        <f>COUNTIFS(STATUS!$Q:$Q,$A11,STATUS!$D:$D,L$1,STATUS!$K:$K,"РЕШ УВ DONE")</f>
        <v>0</v>
      </c>
      <c r="M11" s="439">
        <f>COUNTIFS(STATUS!$Q:$Q,$A11,STATUS!$D:$D,M$1,STATUS!$K:$K,"РЕШ УВ DONE")</f>
        <v>0</v>
      </c>
      <c r="N11" s="572">
        <f>SUM(I11:M11)</f>
        <v>11</v>
      </c>
      <c r="O11" s="443">
        <f>COUNTIFS(STATUS!$Q:$Q,$A11,STATUS!$D:$D,O$1,STATUS!$K:$K,"РЕШ УВ DONE")</f>
        <v>0</v>
      </c>
      <c r="P11" s="406">
        <f>COUNTIFS(STATUS!$Q:$Q,$A11,STATUS!$D:$D,P$1,STATUS!$K:$K,"РЕШ УВ DONE")</f>
        <v>0</v>
      </c>
      <c r="Q11" s="406">
        <f>COUNTIFS(STATUS!$Q:$Q,$A11,STATUS!$D:$D,Q$1,STATUS!$K:$K,"РЕШ УВ DONE")</f>
        <v>0</v>
      </c>
      <c r="R11" s="1238">
        <f>SUM(O11:Q11)</f>
        <v>0</v>
      </c>
      <c r="S11" s="574">
        <f>COUNTIFS(STATUS!$Q:$Q,$A11,STATUS!$D:$D,S$1,STATUS!$K:$K,"РЕШ УВ DONE")</f>
        <v>0</v>
      </c>
      <c r="T11" s="574">
        <f>COUNTIFS(STATUS!$Q:$Q,$A11,STATUS!$D:$D,T$1,STATUS!$K:$K,"РЕШ УВ DONE")</f>
        <v>0</v>
      </c>
      <c r="U11" s="574">
        <f>COUNTIFS(STATUS!$Q:$Q,$A11,STATUS!$D:$D,U$1,STATUS!$K:$K,"РЕШ УВ DONE")</f>
        <v>0</v>
      </c>
      <c r="V11" s="575">
        <f>COUNTIFS(STATUS!$Q:$Q,$A11,STATUS!$D:$D,V$1,STATUS!$K:$K,"РЕШ УВ DONE")</f>
        <v>0</v>
      </c>
      <c r="W11" s="1238">
        <f>SUM(S11:V11)</f>
        <v>0</v>
      </c>
      <c r="X11" s="574">
        <f>COUNTIFS(STATUS!$Q:$Q,$A11,STATUS!$D:$D,X$1,STATUS!$K:$K,"РЕШ УВ DONE")</f>
        <v>0</v>
      </c>
      <c r="Y11" s="574">
        <f>COUNTIFS(STATUS!$Q:$Q,$A11,STATUS!$D:$D,Y$1,STATUS!$K:$K,"РЕШ УВ DONE")</f>
        <v>0</v>
      </c>
      <c r="Z11" s="574">
        <f>COUNTIFS(STATUS!$Q:$Q,$A11,STATUS!$D:$D,Z$1,STATUS!$K:$K,"РЕШ УВ DONE")</f>
        <v>0</v>
      </c>
      <c r="AA11" s="575">
        <f>COUNTIFS(STATUS!$Q:$Q,$A11,STATUS!$D:$D,AA$1,STATUS!$K:$K,"РЕШ УВ DONE")</f>
        <v>0</v>
      </c>
      <c r="AB11" s="575">
        <f>COUNTIFS(STATUS!$Q:$Q,$A11,STATUS!$D:$D,AB$1,STATUS!$K:$K,"РЕШ УВ DONE")</f>
        <v>0</v>
      </c>
      <c r="AC11" s="1238">
        <f>SUM(X11:AB11)</f>
        <v>0</v>
      </c>
      <c r="AD11" s="574">
        <f>COUNTIFS(STATUS!$Q:$Q,$A11,STATUS!$D:$D,AD$1,STATUS!$K:$K,"РЕШ УВ DONE")</f>
        <v>0</v>
      </c>
      <c r="AE11" s="574">
        <f>COUNTIFS(STATUS!$Q:$Q,$A11,STATUS!$D:$D,AE$1,STATUS!$K:$K,"РЕШ УВ DONE")</f>
        <v>0</v>
      </c>
      <c r="AF11" s="574">
        <f>COUNTIFS(STATUS!$Q:$Q,$A11,STATUS!$D:$D,AF$1,STATUS!$K:$K,"РЕШ УВ DONE")</f>
        <v>0</v>
      </c>
      <c r="AG11" s="575">
        <f>COUNTIFS(STATUS!$Q:$Q,$A11,STATUS!$D:$D,AG$1,STATUS!$K:$K,"РЕШ УВ DONE")</f>
        <v>0</v>
      </c>
      <c r="AH11" s="575">
        <f>COUNTIFS(STATUS!$Q:$Q,$A11,STATUS!$D:$D,AH$1,STATUS!$K:$K,"РЕШ УВ DONE")</f>
        <v>0</v>
      </c>
      <c r="AI11" s="1238">
        <f>SUM(AD11:AH11)</f>
        <v>0</v>
      </c>
      <c r="AJ11" s="574">
        <f>COUNTIFS(STATUS!$Q:$Q,$A11,STATUS!$D:$D,AJ$1,STATUS!$K:$K,"РЕШ УВ DONE")</f>
        <v>0</v>
      </c>
      <c r="AK11" s="574">
        <f>COUNTIFS(STATUS!$Q:$Q,$A11,STATUS!$D:$D,AK$1,STATUS!$K:$K,"РЕШ УВ DONE")</f>
        <v>0</v>
      </c>
      <c r="AL11" s="574">
        <f>COUNTIFS(STATUS!$Q:$Q,$A11,STATUS!$D:$D,AL$1,STATUS!$K:$K,"РЕШ УВ DONE")</f>
        <v>0</v>
      </c>
      <c r="AM11" s="575">
        <f>COUNTIFS(STATUS!$Q:$Q,$A11,STATUS!$D:$D,AM$1,STATUS!$K:$K,"РЕШ УВ DONE")</f>
        <v>0</v>
      </c>
      <c r="AN11" s="575">
        <f>COUNTIFS(STATUS!$Q:$Q,$A11,STATUS!$D:$D,AN$1,STATUS!$K:$K,"РЕШ УВ DONE")</f>
        <v>0</v>
      </c>
      <c r="AO11" s="1238">
        <f>SUM(AJ11:AN11)</f>
        <v>0</v>
      </c>
      <c r="AP11" s="574">
        <f>COUNTIFS(STATUS!$Q:$Q,$A11,STATUS!$D:$D,AP$1,STATUS!$K:$K,"РЕШ УВ DONE")</f>
        <v>0</v>
      </c>
      <c r="AQ11" s="574">
        <f>COUNTIFS(STATUS!$Q:$Q,$A11,STATUS!$D:$D,AQ$1,STATUS!$K:$K,"РЕШ УВ DONE")</f>
        <v>0</v>
      </c>
      <c r="AR11" s="574">
        <f>COUNTIFS(STATUS!$Q:$Q,$A11,STATUS!$D:$D,AR$1,STATUS!$K:$K,"РЕШ УВ DONE")</f>
        <v>0</v>
      </c>
      <c r="AS11" s="575">
        <f>COUNTIFS(STATUS!$Q:$Q,$A11,STATUS!$D:$D,AS$1,STATUS!$K:$K,"РЕШ УВ DONE")</f>
        <v>0</v>
      </c>
      <c r="AT11" s="575">
        <f>COUNTIFS(STATUS!$Q:$Q,$A11,STATUS!$D:$D,AT$1,STATUS!$K:$K,"РЕШ УВ DONE")</f>
        <v>0</v>
      </c>
      <c r="AU11" s="1238">
        <f>SUM(AP11:AT11)</f>
        <v>0</v>
      </c>
      <c r="AV11" s="574">
        <f>COUNTIFS(STATUS!$Q:$Q,$A11,STATUS!$D:$D,AV$1,STATUS!$K:$K,"РЕШ УВ DONE")</f>
        <v>0</v>
      </c>
      <c r="AW11" s="574">
        <f>COUNTIFS(STATUS!$Q:$Q,$A11,STATUS!$D:$D,AW$1,STATUS!$K:$K,"РЕШ УВ DONE")</f>
        <v>0</v>
      </c>
      <c r="AX11" s="574">
        <f>COUNTIFS(STATUS!$Q:$Q,$A11,STATUS!$D:$D,AX$1,STATUS!$K:$K,"РЕШ УВ DONE")</f>
        <v>0</v>
      </c>
      <c r="AY11" s="575">
        <f>COUNTIFS(STATUS!$Q:$Q,$A11,STATUS!$D:$D,AY$1,STATUS!$K:$K,"РЕШ УВ DONE")</f>
        <v>0</v>
      </c>
      <c r="AZ11" s="575">
        <f>COUNTIFS(STATUS!$Q:$Q,$A11,STATUS!$D:$D,AZ$1,STATUS!$K:$K,"РЕШ УВ DONE")</f>
        <v>0</v>
      </c>
      <c r="BA11" s="1238">
        <f>SUM(AV11:AZ11)</f>
        <v>0</v>
      </c>
      <c r="BB11" s="574">
        <f>COUNTIFS(STATUS!$Q:$Q,$A11,STATUS!$D:$D,BB$1,STATUS!$K:$K,"РЕШ УВ DONE")</f>
        <v>0</v>
      </c>
      <c r="BC11" s="574">
        <f>COUNTIFS(STATUS!$Q:$Q,$A11,STATUS!$D:$D,BC$1,STATUS!$K:$K,"РЕШ УВ DONE")</f>
        <v>0</v>
      </c>
      <c r="BD11" s="574">
        <f>COUNTIFS(STATUS!$Q:$Q,$A11,STATUS!$D:$D,BD$1,STATUS!$K:$K,"РЕШ УВ DONE")</f>
        <v>0</v>
      </c>
      <c r="BE11" s="575">
        <f>COUNTIFS(STATUS!$Q:$Q,$A11,STATUS!$D:$D,BE$1,STATUS!$K:$K,"РЕШ УВ DONE")</f>
        <v>0</v>
      </c>
      <c r="BF11" s="575">
        <f>COUNTIFS(STATUS!$Q:$Q,$A11,STATUS!$D:$D,BF$1,STATUS!$K:$K,"РЕШ УВ DONE")</f>
        <v>0</v>
      </c>
      <c r="BG11" s="1238">
        <f>SUM(BB11:BF11)</f>
        <v>0</v>
      </c>
      <c r="BH11" s="574">
        <f>COUNTIFS(STATUS!$Q:$Q,$A11,STATUS!$D:$D,BH$1,STATUS!$K:$K,"РЕШ УВ DONE")</f>
        <v>0</v>
      </c>
      <c r="BI11" s="574">
        <f>COUNTIFS(STATUS!$Q:$Q,$A11,STATUS!$D:$D,BI$1,STATUS!$K:$K,"РЕШ УВ DONE")</f>
        <v>0</v>
      </c>
      <c r="BJ11" s="574">
        <f>COUNTIFS(STATUS!$Q:$Q,$A11,STATUS!$D:$D,BJ$1,STATUS!$K:$K,"РЕШ УВ DONE")</f>
        <v>0</v>
      </c>
      <c r="BK11" s="575">
        <f>COUNTIFS(STATUS!$Q:$Q,$A11,STATUS!$D:$D,BK$1,STATUS!$K:$K,"РЕШ УВ DONE")</f>
        <v>0</v>
      </c>
      <c r="BL11" s="575">
        <f>COUNTIFS(STATUS!$Q:$Q,$A11,STATUS!$D:$D,BL$1,STATUS!$K:$K,"РЕШ УВ DONE")</f>
        <v>0</v>
      </c>
      <c r="BM11" s="1238">
        <f>SUM(BH11:BL11)</f>
        <v>0</v>
      </c>
      <c r="BN11" s="574">
        <f>COUNTIFS(STATUS!$Q:$Q,$A11,STATUS!$D:$D,BN$1,STATUS!$K:$K,"РЕШ УВ DONE")</f>
        <v>0</v>
      </c>
      <c r="BO11" s="574">
        <f>COUNTIFS(STATUS!$Q:$Q,$A11,STATUS!$D:$D,BO$1,STATUS!$K:$K,"РЕШ УВ DONE")</f>
        <v>0</v>
      </c>
      <c r="BP11" s="574">
        <f>COUNTIFS(STATUS!$Q:$Q,$A11,STATUS!$D:$D,BP$1,STATUS!$K:$K,"РЕШ УВ DONE")</f>
        <v>0</v>
      </c>
      <c r="BQ11" s="575">
        <f>COUNTIFS(STATUS!$Q:$Q,$A11,STATUS!$D:$D,BQ$1,STATUS!$K:$K,"РЕШ УВ DONE")</f>
        <v>0</v>
      </c>
      <c r="BR11" s="575">
        <f>COUNTIFS(STATUS!$Q:$Q,$A11,STATUS!$D:$D,BR$1,STATUS!$K:$K,"РЕШ УВ DONE")</f>
        <v>0</v>
      </c>
      <c r="BS11" s="1238">
        <f>SUM(BN11:BR11)</f>
        <v>0</v>
      </c>
      <c r="BT11" s="574">
        <f>COUNTIFS(STATUS!$Q:$Q,$A11,STATUS!$D:$D,BT$1,STATUS!$K:$K,"РЕШ УВ DONE")</f>
        <v>0</v>
      </c>
      <c r="BU11" s="574">
        <f>COUNTIFS(STATUS!$Q:$Q,$A11,STATUS!$D:$D,BU$1,STATUS!$K:$K,"РЕШ УВ DONE")</f>
        <v>0</v>
      </c>
      <c r="BV11" s="574">
        <f>COUNTIFS(STATUS!$Q:$Q,$A11,STATUS!$D:$D,BV$1,STATUS!$K:$K,"РЕШ УВ DONE")</f>
        <v>0</v>
      </c>
      <c r="BW11" s="575">
        <f>COUNTIFS(STATUS!$Q:$Q,$A11,STATUS!$D:$D,BW$1,STATUS!$K:$K,"РЕШ УВ DONE")</f>
        <v>0</v>
      </c>
      <c r="BX11" s="575">
        <f>COUNTIFS(STATUS!$Q:$Q,$A11,STATUS!$D:$D,BX$1,STATUS!$K:$K,"РЕШ УВ DONE")</f>
        <v>0</v>
      </c>
      <c r="BY11" s="1238">
        <f>SUM(BT11:BX11)</f>
        <v>0</v>
      </c>
      <c r="BZ11" s="574">
        <f>COUNTIFS(STATUS!$Q:$Q,$A11,STATUS!$D:$D,BZ$1,STATUS!$K:$K,"РЕШ УВ DONE")</f>
        <v>0</v>
      </c>
      <c r="CA11" s="574">
        <f>COUNTIFS(STATUS!$Q:$Q,$A11,STATUS!$D:$D,CA$1,STATUS!$K:$K,"РЕШ УВ DONE")</f>
        <v>0</v>
      </c>
      <c r="CB11" s="574">
        <f>COUNTIFS(STATUS!$Q:$Q,$A11,STATUS!$D:$D,CB$1,STATUS!$K:$K,"РЕШ УВ DONE")</f>
        <v>0</v>
      </c>
      <c r="CC11" s="575">
        <f>COUNTIFS(STATUS!$Q:$Q,$A11,STATUS!$D:$D,CC$1,STATUS!$K:$K,"РЕШ УВ DONE")</f>
        <v>0</v>
      </c>
      <c r="CD11" s="575">
        <f>COUNTIFS(STATUS!$Q:$Q,$A11,STATUS!$D:$D,CD$1,STATUS!$K:$K,"РЕШ УВ DONE")</f>
        <v>0</v>
      </c>
      <c r="CE11" s="1238">
        <f>SUM(BZ11:CD11)</f>
        <v>0</v>
      </c>
      <c r="CF11" s="574">
        <f>COUNTIFS(STATUS!$Q:$Q,$A11,STATUS!$D:$D,CF$1,STATUS!$K:$K,"РЕШ УВ DONE")</f>
        <v>0</v>
      </c>
      <c r="CG11" s="574">
        <f>COUNTIFS(STATUS!$Q:$Q,$A11,STATUS!$D:$D,CG$1,STATUS!$K:$K,"РЕШ УВ DONE")</f>
        <v>0</v>
      </c>
      <c r="CH11" s="574">
        <f>COUNTIFS(STATUS!$Q:$Q,$A11,STATUS!$D:$D,CH$1,STATUS!$K:$K,"РЕШ УВ DONE")</f>
        <v>0</v>
      </c>
      <c r="CI11" s="575">
        <f>COUNTIFS(STATUS!$Q:$Q,$A11,STATUS!$D:$D,CI$1,STATUS!$K:$K,"РЕШ УВ DONE")</f>
        <v>0</v>
      </c>
      <c r="CJ11" s="575">
        <f>COUNTIFS(STATUS!$Q:$Q,$A11,STATUS!$D:$D,CJ$1,STATUS!$K:$K,"РЕШ УВ DONE")</f>
        <v>0</v>
      </c>
      <c r="CK11" s="1238">
        <f>SUM(CF11:CJ11)</f>
        <v>0</v>
      </c>
      <c r="CL11" s="574">
        <f>COUNTIFS(STATUS!$Q:$Q,$A11,STATUS!$D:$D,CL$1,STATUS!$K:$K,"РЕШ УВ DONE")</f>
        <v>0</v>
      </c>
      <c r="CM11" s="574">
        <f>COUNTIFS(STATUS!$Q:$Q,$A11,STATUS!$D:$D,CM$1,STATUS!$K:$K,"РЕШ УВ DONE")</f>
        <v>0</v>
      </c>
      <c r="CN11" s="574">
        <f>COUNTIFS(STATUS!$Q:$Q,$A11,STATUS!$D:$D,CN$1,STATUS!$K:$K,"РЕШ УВ DONE")</f>
        <v>0</v>
      </c>
      <c r="CO11" s="575">
        <f>COUNTIFS(STATUS!$Q:$Q,$A11,STATUS!$D:$D,CO$1,STATUS!$K:$K,"РЕШ УВ DONE")</f>
        <v>0</v>
      </c>
      <c r="CP11" s="575">
        <f>COUNTIFS(STATUS!$Q:$Q,$A11,STATUS!$D:$D,CP$1,STATUS!$K:$K,"РЕШ УВ DONE")</f>
        <v>0</v>
      </c>
      <c r="CQ11" s="1238">
        <f>SUM(CL11:CP11)</f>
        <v>0</v>
      </c>
      <c r="CR11" s="574">
        <f>COUNTIFS(STATUS!$Q:$Q,$A11,STATUS!$D:$D,CR$1,STATUS!$K:$K,"РЕШ УВ DONE")</f>
        <v>0</v>
      </c>
      <c r="CS11" s="574">
        <f>COUNTIFS(STATUS!$Q:$Q,$A11,STATUS!$D:$D,CS$1,STATUS!$K:$K,"РЕШ УВ DONE")</f>
        <v>0</v>
      </c>
      <c r="CT11" s="574">
        <f>COUNTIFS(STATUS!$Q:$Q,$A11,STATUS!$D:$D,CT$1,STATUS!$K:$K,"РЕШ УВ DONE")</f>
        <v>0</v>
      </c>
      <c r="CU11" s="575">
        <f>COUNTIFS(STATUS!$Q:$Q,$A11,STATUS!$D:$D,CU$1,STATUS!$K:$K,"РЕШ УВ DONE")</f>
        <v>0</v>
      </c>
      <c r="CV11" s="575">
        <f>COUNTIFS(STATUS!$Q:$Q,$A11,STATUS!$D:$D,CV$1,STATUS!$K:$K,"РЕШ УВ DONE")</f>
        <v>0</v>
      </c>
      <c r="CW11" s="1238">
        <f>SUM(CR11:CV11)</f>
        <v>0</v>
      </c>
      <c r="CX11" s="574">
        <f>COUNTIFS(STATUS!$Q:$Q,$A11,STATUS!$D:$D,CX$1,STATUS!$K:$K,"РЕШ УВ DONE")</f>
        <v>0</v>
      </c>
      <c r="CY11" s="574">
        <f>COUNTIFS(STATUS!$Q:$Q,$A11,STATUS!$D:$D,CY$1,STATUS!$K:$K,"РЕШ УВ DONE")</f>
        <v>0</v>
      </c>
      <c r="CZ11" s="574">
        <f>COUNTIFS(STATUS!$Q:$Q,$A11,STATUS!$D:$D,CZ$1,STATUS!$K:$K,"РЕШ УВ DONE")</f>
        <v>0</v>
      </c>
      <c r="DA11" s="575">
        <f>COUNTIFS(STATUS!$Q:$Q,$A11,STATUS!$D:$D,DA$1,STATUS!$K:$K,"РЕШ УВ DONE")</f>
        <v>0</v>
      </c>
      <c r="DB11" s="575">
        <f>COUNTIFS(STATUS!$Q:$Q,$A11,STATUS!$D:$D,DB$1,STATUS!$K:$K,"РЕШ УВ DONE")</f>
        <v>0</v>
      </c>
      <c r="DC11" s="1238">
        <f>SUM(CX11:DB11)</f>
        <v>0</v>
      </c>
      <c r="DD11" s="1241">
        <f>COUNTIFS(STATUS!$Q:$Q,$A11,STATUS!$D:$D,DD$1,STATUS!$K:$K,"РЕШ УВ DONE")</f>
        <v>0</v>
      </c>
      <c r="DE11" s="1241">
        <f>COUNTIFS(STATUS!$Q:$Q,$A11,STATUS!$D:$D,DE$1,STATUS!$K:$K,"РЕШ УВ DONE")</f>
        <v>5</v>
      </c>
      <c r="DF11" s="1241">
        <f>COUNTIFS(STATUS!$Q:$Q,$A11,STATUS!$D:$D,DF$1,STATUS!$K:$K,"РЕШ УВ DONE")</f>
        <v>6</v>
      </c>
      <c r="DG11" s="1242">
        <f>COUNTIFS(STATUS!$Q:$Q,$A11,STATUS!$D:$D,DG$1,STATUS!$K:$K,"РЕШ УВ DONE")</f>
        <v>2</v>
      </c>
      <c r="DH11" s="1242">
        <f>COUNTIFS(STATUS!$Q:$Q,$A11,STATUS!$D:$D,DH$1,STATUS!$K:$K,"РЕШ УВ DONE")</f>
        <v>3</v>
      </c>
      <c r="DI11" s="571">
        <f>SUM(DD11:DH11)</f>
        <v>16</v>
      </c>
      <c r="DJ11" s="1241">
        <f>COUNTIFS(STATUS!$Q:$Q,$A11,STATUS!$D:$D,DJ$1,STATUS!$K:$K,"РЕШ УВ DONE")</f>
        <v>2</v>
      </c>
      <c r="DK11" s="1241">
        <f>COUNTIFS(STATUS!$Q:$Q,$A11,STATUS!$D:$D,DK$1,STATUS!$K:$K,"РЕШ УВ DONE")</f>
        <v>5</v>
      </c>
      <c r="DL11" s="1241">
        <f>COUNTIFS(STATUS!$Q:$Q,$A11,STATUS!$D:$D,DL$1,STATUS!$K:$K,"РЕШ УВ DONE")</f>
        <v>2</v>
      </c>
      <c r="DM11" s="1242">
        <f>COUNTIFS(STATUS!$Q:$Q,$A11,STATUS!$D:$D,DM$1,STATUS!$K:$K,"РЕШ УВ DONE")</f>
        <v>6</v>
      </c>
      <c r="DN11" s="1242">
        <f>COUNTIFS(STATUS!$Q:$Q,$A11,STATUS!$D:$D,DN$1,STATUS!$K:$K,"РЕШ УВ DONE")</f>
        <v>2</v>
      </c>
      <c r="DO11" s="571">
        <f>SUM(DJ11:DN11)</f>
        <v>17</v>
      </c>
      <c r="DP11" s="1241">
        <f>COUNTIFS(STATUS!$Q:$Q,$A11,STATUS!$D:$D,DP$1,STATUS!$K:$K,"РЕШ УВ DONE")</f>
        <v>2</v>
      </c>
      <c r="DQ11" s="1241">
        <f>COUNTIFS(STATUS!$Q:$Q,$A11,STATUS!$D:$D,DQ$1,STATUS!$K:$K,"РЕШ УВ DONE")</f>
        <v>5</v>
      </c>
      <c r="DR11" s="1241">
        <f>COUNTIFS(STATUS!$Q:$Q,$A11,STATUS!$D:$D,DR$1,STATUS!$K:$K,"РЕШ УВ DONE")</f>
        <v>5</v>
      </c>
      <c r="DS11" s="1242">
        <f>COUNTIFS(STATUS!$Q:$Q,$A11,STATUS!$D:$D,DS$1,STATUS!$K:$K,"РЕШ УВ DONE")</f>
        <v>3</v>
      </c>
      <c r="DT11" s="1242">
        <f>COUNTIFS(STATUS!$Q:$Q,$A11,STATUS!$D:$D,DT$1,STATUS!$K:$K,"РЕШ УВ DONE")</f>
        <v>4</v>
      </c>
      <c r="DU11" s="571">
        <f>SUM(DP11:DT11)</f>
        <v>19</v>
      </c>
      <c r="DV11" s="1298">
        <f>COUNTIFS(STATUS!$Q:$Q,$A11,STATUS!$D:$D,DV$1,STATUS!$K:$K,"РЕШ УВ DONE")</f>
        <v>2</v>
      </c>
      <c r="DW11" s="1298">
        <f>COUNTIFS(STATUS!$Q:$Q,$A11,STATUS!$D:$D,DW$1,STATUS!$K:$K,"РЕШ УВ DONE")</f>
        <v>3</v>
      </c>
      <c r="DX11" s="1298">
        <f>COUNTIFS(STATUS!$Q:$Q,$A11,STATUS!$D:$D,DX$1,STATUS!$K:$K,"РЕШ УВ DONE")</f>
        <v>2</v>
      </c>
      <c r="DY11" s="1299">
        <f>COUNTIFS(STATUS!$Q:$Q,$A11,STATUS!$D:$D,DY$1,STATUS!$K:$K,"РЕШ УВ DONE")</f>
        <v>6</v>
      </c>
      <c r="DZ11" s="1299">
        <f>COUNTIFS(STATUS!$Q:$Q,$A11,STATUS!$D:$D,DZ$1,STATUS!$K:$K,"РЕШ УВ DONE")</f>
        <v>6</v>
      </c>
      <c r="EA11" s="571">
        <f>SUM(DV11:DZ11)</f>
        <v>19</v>
      </c>
      <c r="EB11" s="1298">
        <f>COUNTIFS(STATUS!$Q:$Q,$A11,STATUS!$D:$D,EB$1,STATUS!$K:$K,"РЕШ УВ DONE")</f>
        <v>4</v>
      </c>
      <c r="EC11" s="1298">
        <f>COUNTIFS(STATUS!$Q:$Q,$A11,STATUS!$D:$D,EC$1,STATUS!$K:$K,"РЕШ УВ DONE")</f>
        <v>5</v>
      </c>
      <c r="ED11" s="1298">
        <f>COUNTIFS(STATUS!$Q:$Q,$A11,STATUS!$D:$D,ED$1,STATUS!$K:$K,"РЕШ УВ DONE")</f>
        <v>4</v>
      </c>
      <c r="EE11" s="1299">
        <f>COUNTIFS(STATUS!$Q:$Q,$A11,STATUS!$D:$D,EE$1,STATUS!$K:$K,"РЕШ УВ DONE")</f>
        <v>5</v>
      </c>
      <c r="EF11" s="1299">
        <f>COUNTIFS(STATUS!$Q:$Q,$A11,STATUS!$D:$D,EF$1,STATUS!$K:$K,"РЕШ УВ DONE")</f>
        <v>3</v>
      </c>
      <c r="EG11" s="571">
        <f>SUM(EB11:EF11)</f>
        <v>21</v>
      </c>
      <c r="EH11" s="1298">
        <f>COUNTIFS(STATUS!$Q:$Q,$A11,STATUS!$D:$D,EH$1,STATUS!$K:$K,"РЕШ УВ DONE")</f>
        <v>3</v>
      </c>
      <c r="EI11" s="1298">
        <f>COUNTIFS(STATUS!$Q:$Q,$A11,STATUS!$D:$D,EI$1,STATUS!$K:$K,"РЕШ УВ DONE")</f>
        <v>3</v>
      </c>
      <c r="EJ11" s="1298">
        <f>COUNTIFS(STATUS!$Q:$Q,$A11,STATUS!$D:$D,EJ$1,STATUS!$K:$K,"РЕШ УВ DONE")</f>
        <v>3</v>
      </c>
      <c r="EK11" s="1299">
        <f>COUNTIFS(STATUS!$Q:$Q,$A11,STATUS!$D:$D,EK$1,STATUS!$K:$K,"РЕШ УВ DONE")</f>
        <v>6</v>
      </c>
      <c r="EL11" s="1299">
        <f>COUNTIFS(STATUS!$Q:$Q,$A11,STATUS!$D:$D,EL$1,STATUS!$K:$K,"РЕШ УВ DONE")</f>
        <v>5</v>
      </c>
      <c r="EM11" s="571">
        <f>SUM(EH11:EL11)</f>
        <v>20</v>
      </c>
      <c r="EN11" s="1298">
        <f>COUNTIFS(STATUS!$Q:$Q,$A11,STATUS!$D:$D,EN$1,STATUS!$K:$K,"РЕШ УВ DONE")</f>
        <v>4</v>
      </c>
      <c r="EO11" s="1298">
        <f>COUNTIFS(STATUS!$Q:$Q,$A11,STATUS!$D:$D,EO$1,STATUS!$K:$K,"РЕШ УВ DONE")</f>
        <v>3</v>
      </c>
      <c r="EP11" s="1298">
        <f>COUNTIFS(STATUS!$Q:$Q,$A11,STATUS!$D:$D,EP$1,STATUS!$K:$K,"РЕШ УВ DONE")</f>
        <v>4</v>
      </c>
      <c r="EQ11" s="1299">
        <f>COUNTIFS(STATUS!$Q:$Q,$A11,STATUS!$D:$D,EQ$1,STATUS!$K:$K,"РЕШ УВ DONE")</f>
        <v>3</v>
      </c>
      <c r="ER11" s="1299">
        <f>COUNTIFS(STATUS!$Q:$Q,$A11,STATUS!$D:$D,ER$1,STATUS!$K:$K,"РЕШ УВ DONE")</f>
        <v>3</v>
      </c>
      <c r="ES11" s="571">
        <f>SUM(EN11:ER11)</f>
        <v>17</v>
      </c>
      <c r="ET11" s="1298">
        <f>COUNTIFS(STATUS!$Q:$Q,$A11,STATUS!$D:$D,ET$1,STATUS!$K:$K,"РЕШ УВ DONE")</f>
        <v>4</v>
      </c>
      <c r="EU11" s="1298">
        <f>COUNTIFS(STATUS!$Q:$Q,$A11,STATUS!$D:$D,EU$1,STATUS!$K:$K,"РЕШ УВ DONE")</f>
        <v>3</v>
      </c>
      <c r="EV11" s="1298">
        <f>COUNTIFS(STATUS!$Q:$Q,$A11,STATUS!$D:$D,EV$1,STATUS!$K:$K,"РЕШ УВ DONE")</f>
        <v>6</v>
      </c>
      <c r="EW11" s="1299">
        <f>COUNTIFS(STATUS!$Q:$Q,$A11,STATUS!$D:$D,EW$1,STATUS!$K:$K,"РЕШ УВ DONE")</f>
        <v>3</v>
      </c>
      <c r="EX11" s="1299">
        <f>COUNTIFS(STATUS!$Q:$Q,$A11,STATUS!$D:$D,EX$1,STATUS!$K:$K,"РЕШ УВ DONE")</f>
        <v>4</v>
      </c>
      <c r="EY11" s="571">
        <f>SUM(ET11:EX11)</f>
        <v>20</v>
      </c>
      <c r="EZ11" s="1298">
        <f>COUNTIFS(STATUS!$Q:$Q,$A11,STATUS!$D:$D,EZ$1,STATUS!$K:$K,"РЕШ УВ DONE")</f>
        <v>0</v>
      </c>
      <c r="FA11" s="1298">
        <f>COUNTIFS(STATUS!$Q:$Q,$A11,STATUS!$D:$D,FA$1,STATUS!$K:$K,"РЕШ УВ DONE")</f>
        <v>0</v>
      </c>
      <c r="FB11" s="1298">
        <f>COUNTIFS(STATUS!$Q:$Q,$A11,STATUS!$D:$D,FB$1,STATUS!$K:$K,"РЕШ УВ DONE")</f>
        <v>0</v>
      </c>
      <c r="FC11" s="1299">
        <f>COUNTIFS(STATUS!$Q:$Q,$A11,STATUS!$D:$D,FC$1,STATUS!$K:$K,"РЕШ УВ DONE")</f>
        <v>0</v>
      </c>
      <c r="FD11" s="1299">
        <f>COUNTIFS(STATUS!$Q:$Q,$A11,STATUS!$D:$D,FD$1,STATUS!$K:$K,"РЕШ УВ DONE")</f>
        <v>0</v>
      </c>
      <c r="FE11" s="1238">
        <f>SUM(EZ11:FD11)</f>
        <v>0</v>
      </c>
      <c r="FF11" s="574">
        <f>COUNTIFS(STATUS!$Q:$Q,$A11,STATUS!$D:$D,FF$1,STATUS!$K:$K,"РЕШ УВ DONE")</f>
        <v>0</v>
      </c>
      <c r="FG11" s="574">
        <f>COUNTIFS(STATUS!$Q:$Q,$A11,STATUS!$D:$D,FG$1,STATUS!$K:$K,"РЕШ УВ DONE")</f>
        <v>0</v>
      </c>
      <c r="FH11" s="574">
        <f>COUNTIFS(STATUS!$Q:$Q,$A11,STATUS!$D:$D,FH$1,STATUS!$K:$K,"РЕШ УВ DONE")</f>
        <v>1</v>
      </c>
      <c r="FI11" s="575">
        <f>COUNTIFS(STATUS!$Q:$Q,$A11,STATUS!$D:$D,FI$1,STATUS!$K:$K,"РЕШ УВ DONE")</f>
        <v>1</v>
      </c>
      <c r="FJ11" s="575">
        <f>COUNTIFS(STATUS!$Q:$Q,$A11,STATUS!$D:$D,FJ$1,STATUS!$K:$K,"РЕШ УВ DONE")</f>
        <v>2</v>
      </c>
      <c r="FK11" s="1238">
        <f>SUM(FF11:FJ11)</f>
        <v>4</v>
      </c>
      <c r="FL11" s="1298">
        <f>COUNTIFS(STATUS!$Q:$Q,$A11,STATUS!$D:$D,FL$1,STATUS!$K:$K,"РЕШ УВ DONE")</f>
        <v>4</v>
      </c>
      <c r="FM11" s="1298">
        <f>COUNTIFS(STATUS!$Q:$Q,$A11,STATUS!$D:$D,FM$1,STATUS!$K:$K,"РЕШ УВ DONE")</f>
        <v>3</v>
      </c>
      <c r="FN11" s="574">
        <f>COUNTIFS(STATUS!$Q:$Q,$A11,STATUS!$D:$D,FN$1,STATUS!$K:$K,"РЕШ УВ DONE")</f>
        <v>0</v>
      </c>
      <c r="FO11" s="1299">
        <f>COUNTIFS(STATUS!$Q:$Q,$A11,STATUS!$D:$D,FO$1,STATUS!$K:$K,"РЕШ УВ DONE")</f>
        <v>3</v>
      </c>
      <c r="FP11" s="1299">
        <f>COUNTIFS(STATUS!$Q:$Q,$A11,STATUS!$D:$D,FP$1,STATUS!$K:$K,"РЕШ УВ DONE")</f>
        <v>6</v>
      </c>
      <c r="FQ11" s="571">
        <f>SUM(FL11:FP11)</f>
        <v>16</v>
      </c>
      <c r="FR11" s="1298">
        <f>COUNTIFS(STATUS!$Q:$Q,$A11,STATUS!$D:$D,FR$1,STATUS!$K:$K,"РЕШ УВ DONE")</f>
        <v>4</v>
      </c>
      <c r="FS11" s="574">
        <f>COUNTIFS(STATUS!$Q:$Q,$A11,STATUS!$D:$D,FS$1,STATUS!$K:$K,"РЕШ УВ DONE")</f>
        <v>0</v>
      </c>
      <c r="FT11" s="574">
        <f>COUNTIFS(STATUS!$Q:$Q,$A11,STATUS!$D:$D,FT$1,STATUS!$K:$K,"РЕШ УВ DONE")</f>
        <v>0</v>
      </c>
      <c r="FU11" s="575">
        <f>COUNTIFS(STATUS!$Q:$Q,$A11,STATUS!$D:$D,FU$1,STATUS!$K:$K,"РЕШ УВ DONE")</f>
        <v>0</v>
      </c>
      <c r="FV11" s="575">
        <f>COUNTIFS(STATUS!$Q:$Q,$A11,STATUS!$D:$D,FV$1,STATUS!$K:$K,"РЕШ УВ DONE")</f>
        <v>0</v>
      </c>
      <c r="FW11" s="571">
        <f>SUM(FR11:FV11)</f>
        <v>4</v>
      </c>
      <c r="FX11" s="1298">
        <f>COUNTIFS(STATUS!$Q:$Q,$A11,STATUS!$D:$D,FX$1,STATUS!$K:$K,"РЕШ УВ DONE")</f>
        <v>0</v>
      </c>
      <c r="FY11" s="574">
        <f>COUNTIFS(STATUS!$Q:$Q,$A11,STATUS!$D:$D,FY$1,STATUS!$K:$K,"РЕШ УВ DONE")</f>
        <v>0</v>
      </c>
      <c r="FZ11" s="574">
        <f>COUNTIFS(STATUS!$Q:$Q,$A11,STATUS!$D:$D,FZ$1,STATUS!$K:$K,"РЕШ УВ DONE")</f>
        <v>0</v>
      </c>
      <c r="GA11" s="575">
        <f>COUNTIFS(STATUS!$Q:$Q,$A11,STATUS!$D:$D,GA$1,STATUS!$K:$K,"РЕШ УВ DONE")</f>
        <v>0</v>
      </c>
      <c r="GB11" s="575">
        <f>COUNTIFS(STATUS!$Q:$Q,$A11,STATUS!$D:$D,GB$1,STATUS!$K:$K,"РЕШ УВ DONE")</f>
        <v>0</v>
      </c>
      <c r="GC11" s="1238">
        <f>SUM(FX11:GB11)</f>
        <v>0</v>
      </c>
      <c r="GD11" s="574">
        <f>COUNTIFS(STATUS!$Q:$Q,$A11,STATUS!$D:$D,GD$1,STATUS!$K:$K,"РЕШ УВ DONE")</f>
        <v>0</v>
      </c>
      <c r="GE11" s="574">
        <f>COUNTIFS(STATUS!$Q:$Q,$A11,STATUS!$D:$D,GE$1,STATUS!$K:$K,"РЕШ УВ DONE")</f>
        <v>0</v>
      </c>
      <c r="GF11" s="574">
        <f>COUNTIFS(STATUS!$Q:$Q,$A11,STATUS!$D:$D,GF$1,STATUS!$K:$K,"РЕШ УВ DONE")</f>
        <v>0</v>
      </c>
      <c r="GG11" s="575">
        <f>COUNTIFS(STATUS!$Q:$Q,$A11,STATUS!$D:$D,GG$1,STATUS!$K:$K,"РЕШ УВ DONE")</f>
        <v>0</v>
      </c>
      <c r="GH11" s="575">
        <f>COUNTIFS(STATUS!$Q:$Q,$A11,STATUS!$D:$D,GH$1,STATUS!$K:$K,"РЕШ УВ DONE")</f>
        <v>0</v>
      </c>
      <c r="GI11" s="1238">
        <f>SUM(GD11:GH11)</f>
        <v>0</v>
      </c>
      <c r="GJ11" s="574">
        <f>COUNTIFS(STATUS!$Q:$Q,$A11,STATUS!$D:$D,GJ$1,STATUS!$K:$K,"РЕШ УВ DONE")</f>
        <v>0</v>
      </c>
      <c r="GK11" s="574">
        <f>COUNTIFS(STATUS!$Q:$Q,$A11,STATUS!$D:$D,GK$1,STATUS!$K:$K,"РЕШ УВ DONE")</f>
        <v>0</v>
      </c>
      <c r="GL11" s="574">
        <f>COUNTIFS(STATUS!$Q:$Q,$A11,STATUS!$D:$D,GL$1,STATUS!$K:$K,"РЕШ УВ DONE")</f>
        <v>0</v>
      </c>
      <c r="GM11" s="575">
        <f>COUNTIFS(STATUS!$Q:$Q,$A11,STATUS!$D:$D,GM$1,STATUS!$K:$K,"РЕШ УВ DONE")</f>
        <v>0</v>
      </c>
      <c r="GN11" s="575">
        <f>COUNTIFS(STATUS!$Q:$Q,$A11,STATUS!$D:$D,GN$1,STATUS!$K:$K,"РЕШ УВ DONE")</f>
        <v>0</v>
      </c>
      <c r="GO11" s="1238">
        <f>SUM(GJ11:GN11)</f>
        <v>0</v>
      </c>
      <c r="GP11" s="1298">
        <f>COUNTIFS(STATUS!$Q:$Q,$A11,STATUS!$D:$D,GP$1,STATUS!$K:$K,"РЕШ УВ DONE")</f>
        <v>0</v>
      </c>
      <c r="GQ11" s="1298">
        <f>COUNTIFS(STATUS!$Q:$Q,$A11,STATUS!$D:$D,GQ$1,STATUS!$K:$K,"РЕШ УВ DONE")</f>
        <v>1</v>
      </c>
      <c r="GR11" s="1298">
        <f>COUNTIFS(STATUS!$Q:$Q,$A11,STATUS!$D:$D,GR$1,STATUS!$K:$K,"РЕШ УВ DONE")</f>
        <v>0</v>
      </c>
      <c r="GS11" s="1299">
        <f>COUNTIFS(STATUS!$Q:$Q,$A11,STATUS!$D:$D,GS$1,STATUS!$K:$K,"РЕШ УВ DONE")</f>
        <v>1</v>
      </c>
      <c r="GT11" s="1299">
        <f>COUNTIFS(STATUS!$Q:$Q,$A11,STATUS!$D:$D,GT$1,STATUS!$K:$K,"РЕШ УВ DONE")</f>
        <v>5</v>
      </c>
      <c r="GU11" s="571">
        <f>SUM(GP11:GT11)</f>
        <v>7</v>
      </c>
      <c r="GV11" s="1298">
        <f>COUNTIFS(STATUS!$Q:$Q,$A11,STATUS!$D:$D,GV$1,STATUS!$K:$K,"РЕШ УВ DONE")</f>
        <v>0</v>
      </c>
      <c r="GW11" s="1298">
        <f>COUNTIFS(STATUS!$Q:$Q,$A11,STATUS!$D:$D,GW$1,STATUS!$K:$K,"РЕШ УВ DONE")</f>
        <v>3</v>
      </c>
      <c r="GX11" s="1298">
        <f>COUNTIFS(STATUS!$Q:$Q,$A11,STATUS!$D:$D,GX$1,STATUS!$K:$K,"РЕШ УВ DONE")</f>
        <v>1</v>
      </c>
      <c r="GY11" s="1299">
        <f>COUNTIFS(STATUS!$Q:$Q,$A11,STATUS!$D:$D,GY$1,STATUS!$K:$K,"РЕШ УВ DONE")</f>
        <v>6</v>
      </c>
      <c r="GZ11" s="1299">
        <f>COUNTIFS(STATUS!$Q:$Q,$A11,STATUS!$D:$D,GZ$1,STATUS!$K:$K,"РЕШ УВ DONE")</f>
        <v>4</v>
      </c>
      <c r="HA11" s="571">
        <f>SUM(GV11:GZ11)</f>
        <v>14</v>
      </c>
    </row>
    <row r="12" spans="1:209" x14ac:dyDescent="0.3">
      <c r="A12" s="1556"/>
      <c r="B12" s="428">
        <f>SUM(H12,N12,R12,W12,AC12,AI12,AO12,AU12,BA12,BG12,BM12,BS12,BY12,CE12,CK12,CQ12,CW12,DC12,DI12,DO12,DU12,EA12,EG12,EM12,ES12,EY12,FE12,FK12,FQ12,FW12,GC12,GI12,GO12,GU12,HA12)</f>
        <v>27</v>
      </c>
      <c r="C12" s="577">
        <f>COUNTIFS(STATUS!$Q:$Q,$A11,STATUS!$D:$D,C$1,STATUS!$U:$U,"ВОЗВРАТ")</f>
        <v>1</v>
      </c>
      <c r="D12" s="577">
        <f>COUNTIFS(STATUS!$Q:$Q,$A11,STATUS!$D:$D,D$1,STATUS!$U:$U,"ВОЗВРАТ")</f>
        <v>0</v>
      </c>
      <c r="E12" s="577">
        <f>COUNTIFS(STATUS!$Q:$Q,$A11,STATUS!$D:$D,E$1,STATUS!$U:$U,"ВОЗВРАТ")</f>
        <v>0</v>
      </c>
      <c r="F12" s="577">
        <f>COUNTIFS(STATUS!$Q:$Q,$A11,STATUS!$D:$D,F$1,STATUS!$U:$U,"ВОЗВРАТ")</f>
        <v>1</v>
      </c>
      <c r="G12" s="578">
        <f>COUNTIFS(STATUS!$Q:$Q,$A11,STATUS!$D:$D,G$1,STATUS!$U:$U,"ВОЗВРАТ")</f>
        <v>1</v>
      </c>
      <c r="H12" s="572">
        <f>SUM(C12:G12)</f>
        <v>3</v>
      </c>
      <c r="I12" s="401">
        <f>COUNTIFS(STATUS!$Q:$Q,$A11,STATUS!$D:$D,I$1,STATUS!$U:$U,"ВОЗВРАТ")</f>
        <v>0</v>
      </c>
      <c r="J12" s="306">
        <f>COUNTIFS(STATUS!$Q:$Q,$A11,STATUS!$D:$D,J$1,STATUS!$U:$U,"ВОЗВРАТ")</f>
        <v>0</v>
      </c>
      <c r="K12" s="306">
        <f>COUNTIFS(STATUS!$Q:$Q,$A11,STATUS!$D:$D,K$1,STATUS!$U:$U,"ВОЗВРАТ")</f>
        <v>1</v>
      </c>
      <c r="L12" s="306">
        <f>COUNTIFS(STATUS!$Q:$Q,$A11,STATUS!$D:$D,L$1,STATUS!$U:$U,"ВОЗВРАТ")</f>
        <v>0</v>
      </c>
      <c r="M12" s="440">
        <f>COUNTIFS(STATUS!$Q:$Q,$A11,STATUS!$D:$D,M$1,STATUS!$U:$U,"ВОЗВРАТ")</f>
        <v>0</v>
      </c>
      <c r="N12" s="572">
        <f>SUM(I12:M12)</f>
        <v>1</v>
      </c>
      <c r="O12" s="401">
        <f>COUNTIFS(STATUS!$Q:$Q,$A11,STATUS!$D:$D,O$1,STATUS!$U:$U,"ВОЗВРАТ")</f>
        <v>0</v>
      </c>
      <c r="P12" s="306">
        <f>COUNTIFS(STATUS!$Q:$Q,$A11,STATUS!$D:$D,P$1,STATUS!$U:$U,"ВОЗВРАТ")</f>
        <v>0</v>
      </c>
      <c r="Q12" s="306">
        <f>COUNTIFS(STATUS!$Q:$Q,$A11,STATUS!$D:$D,Q$1,STATUS!$U:$U,"ВОЗВРАТ")</f>
        <v>0</v>
      </c>
      <c r="R12" s="576">
        <f>SUM(O12:Q12)</f>
        <v>0</v>
      </c>
      <c r="S12" s="577">
        <f>COUNTIFS(STATUS!$Q:$Q,$A11,STATUS!$D:$D,S$1,STATUS!$U:$U,"ВОЗВРАТ")</f>
        <v>0</v>
      </c>
      <c r="T12" s="577">
        <f>COUNTIFS(STATUS!$Q:$Q,$A11,STATUS!$D:$D,T$1,STATUS!$U:$U,"ВОЗВРАТ")</f>
        <v>0</v>
      </c>
      <c r="U12" s="577">
        <f>COUNTIFS(STATUS!$Q:$Q,$A11,STATUS!$D:$D,U$1,STATUS!$U:$U,"ВОЗВРАТ")</f>
        <v>0</v>
      </c>
      <c r="V12" s="578">
        <f>COUNTIFS(STATUS!$Q:$Q,$A11,STATUS!$D:$D,V$1,STATUS!$U:$U,"ВОЗВРАТ")</f>
        <v>0</v>
      </c>
      <c r="W12" s="576">
        <f>SUM(S12:V12)</f>
        <v>0</v>
      </c>
      <c r="X12" s="577">
        <f>COUNTIFS(STATUS!$Q:$Q,$A11,STATUS!$D:$D,X$1,STATUS!$U:$U,"ВОЗВРАТ")</f>
        <v>0</v>
      </c>
      <c r="Y12" s="577">
        <f>COUNTIFS(STATUS!$Q:$Q,$A11,STATUS!$D:$D,Y$1,STATUS!$U:$U,"ВОЗВРАТ")</f>
        <v>0</v>
      </c>
      <c r="Z12" s="577">
        <f>COUNTIFS(STATUS!$Q:$Q,$A11,STATUS!$D:$D,Z$1,STATUS!$U:$U,"ВОЗВРАТ")</f>
        <v>0</v>
      </c>
      <c r="AA12" s="578">
        <f>COUNTIFS(STATUS!$Q:$Q,$A11,STATUS!$D:$D,AA$1,STATUS!$U:$U,"ВОЗВРАТ")</f>
        <v>0</v>
      </c>
      <c r="AB12" s="578">
        <f>COUNTIFS(STATUS!$Q:$Q,$A11,STATUS!$D:$D,AB$1,STATUS!$U:$U,"ВОЗВРАТ")</f>
        <v>0</v>
      </c>
      <c r="AC12" s="576">
        <f>SUM(X12:AB12)</f>
        <v>0</v>
      </c>
      <c r="AD12" s="577">
        <f>COUNTIFS(STATUS!$Q:$Q,$A11,STATUS!$D:$D,AD$1,STATUS!$U:$U,"ВОЗВРАТ")</f>
        <v>0</v>
      </c>
      <c r="AE12" s="577">
        <f>COUNTIFS(STATUS!$Q:$Q,$A11,STATUS!$D:$D,AE$1,STATUS!$U:$U,"ВОЗВРАТ")</f>
        <v>0</v>
      </c>
      <c r="AF12" s="577">
        <f>COUNTIFS(STATUS!$Q:$Q,$A11,STATUS!$D:$D,AF$1,STATUS!$U:$U,"ВОЗВРАТ")</f>
        <v>0</v>
      </c>
      <c r="AG12" s="578">
        <f>COUNTIFS(STATUS!$Q:$Q,$A11,STATUS!$D:$D,AG$1,STATUS!$U:$U,"ВОЗВРАТ")</f>
        <v>0</v>
      </c>
      <c r="AH12" s="578">
        <f>COUNTIFS(STATUS!$Q:$Q,$A11,STATUS!$D:$D,AH$1,STATUS!$U:$U,"ВОЗВРАТ")</f>
        <v>0</v>
      </c>
      <c r="AI12" s="576">
        <f>SUM(AD12:AH12)</f>
        <v>0</v>
      </c>
      <c r="AJ12" s="577">
        <f>COUNTIFS(STATUS!$Q:$Q,$A11,STATUS!$D:$D,AJ$1,STATUS!$U:$U,"ВОЗВРАТ")</f>
        <v>0</v>
      </c>
      <c r="AK12" s="577">
        <f>COUNTIFS(STATUS!$Q:$Q,$A11,STATUS!$D:$D,AK$1,STATUS!$U:$U,"ВОЗВРАТ")</f>
        <v>0</v>
      </c>
      <c r="AL12" s="577">
        <f>COUNTIFS(STATUS!$Q:$Q,$A11,STATUS!$D:$D,AL$1,STATUS!$U:$U,"ВОЗВРАТ")</f>
        <v>0</v>
      </c>
      <c r="AM12" s="578">
        <f>COUNTIFS(STATUS!$Q:$Q,$A11,STATUS!$D:$D,AM$1,STATUS!$U:$U,"ВОЗВРАТ")</f>
        <v>0</v>
      </c>
      <c r="AN12" s="578">
        <f>COUNTIFS(STATUS!$Q:$Q,$A11,STATUS!$D:$D,AN$1,STATUS!$U:$U,"ВОЗВРАТ")</f>
        <v>0</v>
      </c>
      <c r="AO12" s="576">
        <f>SUM(AJ12:AN12)</f>
        <v>0</v>
      </c>
      <c r="AP12" s="577">
        <f>COUNTIFS(STATUS!$Q:$Q,$A11,STATUS!$D:$D,AP$1,STATUS!$U:$U,"ВОЗВРАТ")</f>
        <v>0</v>
      </c>
      <c r="AQ12" s="577">
        <f>COUNTIFS(STATUS!$Q:$Q,$A11,STATUS!$D:$D,AQ$1,STATUS!$U:$U,"ВОЗВРАТ")</f>
        <v>0</v>
      </c>
      <c r="AR12" s="577">
        <f>COUNTIFS(STATUS!$Q:$Q,$A11,STATUS!$D:$D,AR$1,STATUS!$U:$U,"ВОЗВРАТ")</f>
        <v>0</v>
      </c>
      <c r="AS12" s="578">
        <f>COUNTIFS(STATUS!$Q:$Q,$A11,STATUS!$D:$D,AS$1,STATUS!$U:$U,"ВОЗВРАТ")</f>
        <v>0</v>
      </c>
      <c r="AT12" s="578">
        <f>COUNTIFS(STATUS!$Q:$Q,$A11,STATUS!$D:$D,AT$1,STATUS!$U:$U,"ВОЗВРАТ")</f>
        <v>0</v>
      </c>
      <c r="AU12" s="576">
        <f>SUM(AP12:AT12)</f>
        <v>0</v>
      </c>
      <c r="AV12" s="577">
        <f>COUNTIFS(STATUS!$Q:$Q,$A11,STATUS!$D:$D,AV$1,STATUS!$U:$U,"ВОЗВРАТ")</f>
        <v>0</v>
      </c>
      <c r="AW12" s="577">
        <f>COUNTIFS(STATUS!$Q:$Q,$A11,STATUS!$D:$D,AW$1,STATUS!$U:$U,"ВОЗВРАТ")</f>
        <v>0</v>
      </c>
      <c r="AX12" s="577">
        <f>COUNTIFS(STATUS!$Q:$Q,$A11,STATUS!$D:$D,AX$1,STATUS!$U:$U,"ВОЗВРАТ")</f>
        <v>0</v>
      </c>
      <c r="AY12" s="578">
        <f>COUNTIFS(STATUS!$Q:$Q,$A11,STATUS!$D:$D,AY$1,STATUS!$U:$U,"ВОЗВРАТ")</f>
        <v>0</v>
      </c>
      <c r="AZ12" s="578">
        <f>COUNTIFS(STATUS!$Q:$Q,$A11,STATUS!$D:$D,AZ$1,STATUS!$U:$U,"ВОЗВРАТ")</f>
        <v>0</v>
      </c>
      <c r="BA12" s="576">
        <f>SUM(AV12:AZ12)</f>
        <v>0</v>
      </c>
      <c r="BB12" s="577">
        <f>COUNTIFS(STATUS!$Q:$Q,$A11,STATUS!$D:$D,BB$1,STATUS!$U:$U,"ВОЗВРАТ")</f>
        <v>0</v>
      </c>
      <c r="BC12" s="577">
        <f>COUNTIFS(STATUS!$Q:$Q,$A11,STATUS!$D:$D,BC$1,STATUS!$U:$U,"ВОЗВРАТ")</f>
        <v>0</v>
      </c>
      <c r="BD12" s="577">
        <f>COUNTIFS(STATUS!$Q:$Q,$A11,STATUS!$D:$D,BD$1,STATUS!$U:$U,"ВОЗВРАТ")</f>
        <v>0</v>
      </c>
      <c r="BE12" s="578">
        <f>COUNTIFS(STATUS!$Q:$Q,$A11,STATUS!$D:$D,BE$1,STATUS!$U:$U,"ВОЗВРАТ")</f>
        <v>0</v>
      </c>
      <c r="BF12" s="578">
        <f>COUNTIFS(STATUS!$Q:$Q,$A11,STATUS!$D:$D,BF$1,STATUS!$U:$U,"ВОЗВРАТ")</f>
        <v>0</v>
      </c>
      <c r="BG12" s="576">
        <f>SUM(BB12:BF12)</f>
        <v>0</v>
      </c>
      <c r="BH12" s="577">
        <f>COUNTIFS(STATUS!$Q:$Q,$A11,STATUS!$D:$D,BH$1,STATUS!$U:$U,"ВОЗВРАТ")</f>
        <v>0</v>
      </c>
      <c r="BI12" s="577">
        <f>COUNTIFS(STATUS!$Q:$Q,$A11,STATUS!$D:$D,BI$1,STATUS!$U:$U,"ВОЗВРАТ")</f>
        <v>0</v>
      </c>
      <c r="BJ12" s="577">
        <f>COUNTIFS(STATUS!$Q:$Q,$A11,STATUS!$D:$D,BJ$1,STATUS!$U:$U,"ВОЗВРАТ")</f>
        <v>0</v>
      </c>
      <c r="BK12" s="578">
        <f>COUNTIFS(STATUS!$Q:$Q,$A11,STATUS!$D:$D,BK$1,STATUS!$U:$U,"ВОЗВРАТ")</f>
        <v>0</v>
      </c>
      <c r="BL12" s="578">
        <f>COUNTIFS(STATUS!$Q:$Q,$A11,STATUS!$D:$D,BL$1,STATUS!$U:$U,"ВОЗВРАТ")</f>
        <v>0</v>
      </c>
      <c r="BM12" s="576">
        <f>SUM(BH12:BL12)</f>
        <v>0</v>
      </c>
      <c r="BN12" s="577">
        <f>COUNTIFS(STATUS!$Q:$Q,$A11,STATUS!$D:$D,BN$1,STATUS!$U:$U,"ВОЗВРАТ")</f>
        <v>0</v>
      </c>
      <c r="BO12" s="577">
        <f>COUNTIFS(STATUS!$Q:$Q,$A11,STATUS!$D:$D,BO$1,STATUS!$U:$U,"ВОЗВРАТ")</f>
        <v>0</v>
      </c>
      <c r="BP12" s="577">
        <f>COUNTIFS(STATUS!$Q:$Q,$A11,STATUS!$D:$D,BP$1,STATUS!$U:$U,"ВОЗВРАТ")</f>
        <v>0</v>
      </c>
      <c r="BQ12" s="578">
        <f>COUNTIFS(STATUS!$Q:$Q,$A11,STATUS!$D:$D,BQ$1,STATUS!$U:$U,"ВОЗВРАТ")</f>
        <v>0</v>
      </c>
      <c r="BR12" s="578">
        <f>COUNTIFS(STATUS!$Q:$Q,$A11,STATUS!$D:$D,BR$1,STATUS!$U:$U,"ВОЗВРАТ")</f>
        <v>0</v>
      </c>
      <c r="BS12" s="576">
        <f>SUM(BN12:BR12)</f>
        <v>0</v>
      </c>
      <c r="BT12" s="577">
        <f>COUNTIFS(STATUS!$Q:$Q,$A11,STATUS!$D:$D,BT$1,STATUS!$U:$U,"ВОЗВРАТ")</f>
        <v>0</v>
      </c>
      <c r="BU12" s="577">
        <f>COUNTIFS(STATUS!$Q:$Q,$A11,STATUS!$D:$D,BU$1,STATUS!$U:$U,"ВОЗВРАТ")</f>
        <v>0</v>
      </c>
      <c r="BV12" s="577">
        <f>COUNTIFS(STATUS!$Q:$Q,$A11,STATUS!$D:$D,BV$1,STATUS!$U:$U,"ВОЗВРАТ")</f>
        <v>0</v>
      </c>
      <c r="BW12" s="578">
        <f>COUNTIFS(STATUS!$Q:$Q,$A11,STATUS!$D:$D,BW$1,STATUS!$U:$U,"ВОЗВРАТ")</f>
        <v>0</v>
      </c>
      <c r="BX12" s="578">
        <f>COUNTIFS(STATUS!$Q:$Q,$A11,STATUS!$D:$D,BX$1,STATUS!$U:$U,"ВОЗВРАТ")</f>
        <v>0</v>
      </c>
      <c r="BY12" s="576">
        <f>SUM(BT12:BX12)</f>
        <v>0</v>
      </c>
      <c r="BZ12" s="577">
        <f>COUNTIFS(STATUS!$Q:$Q,$A11,STATUS!$D:$D,BZ$1,STATUS!$U:$U,"ВОЗВРАТ")</f>
        <v>0</v>
      </c>
      <c r="CA12" s="577">
        <f>COUNTIFS(STATUS!$Q:$Q,$A11,STATUS!$D:$D,CA$1,STATUS!$U:$U,"ВОЗВРАТ")</f>
        <v>0</v>
      </c>
      <c r="CB12" s="577">
        <f>COUNTIFS(STATUS!$Q:$Q,$A11,STATUS!$D:$D,CB$1,STATUS!$U:$U,"ВОЗВРАТ")</f>
        <v>0</v>
      </c>
      <c r="CC12" s="578">
        <f>COUNTIFS(STATUS!$Q:$Q,$A11,STATUS!$D:$D,CC$1,STATUS!$U:$U,"ВОЗВРАТ")</f>
        <v>0</v>
      </c>
      <c r="CD12" s="578">
        <f>COUNTIFS(STATUS!$Q:$Q,$A11,STATUS!$D:$D,CD$1,STATUS!$U:$U,"ВОЗВРАТ")</f>
        <v>0</v>
      </c>
      <c r="CE12" s="576">
        <f>SUM(BZ12:CD12)</f>
        <v>0</v>
      </c>
      <c r="CF12" s="577">
        <f>COUNTIFS(STATUS!$Q:$Q,$A11,STATUS!$D:$D,CF$1,STATUS!$U:$U,"ВОЗВРАТ")</f>
        <v>0</v>
      </c>
      <c r="CG12" s="577">
        <f>COUNTIFS(STATUS!$Q:$Q,$A11,STATUS!$D:$D,CG$1,STATUS!$U:$U,"ВОЗВРАТ")</f>
        <v>0</v>
      </c>
      <c r="CH12" s="577">
        <f>COUNTIFS(STATUS!$Q:$Q,$A11,STATUS!$D:$D,CH$1,STATUS!$U:$U,"ВОЗВРАТ")</f>
        <v>0</v>
      </c>
      <c r="CI12" s="578">
        <f>COUNTIFS(STATUS!$Q:$Q,$A11,STATUS!$D:$D,CI$1,STATUS!$U:$U,"ВОЗВРАТ")</f>
        <v>0</v>
      </c>
      <c r="CJ12" s="578">
        <f>COUNTIFS(STATUS!$Q:$Q,$A11,STATUS!$D:$D,CJ$1,STATUS!$U:$U,"ВОЗВРАТ")</f>
        <v>0</v>
      </c>
      <c r="CK12" s="576">
        <f>SUM(CF12:CJ12)</f>
        <v>0</v>
      </c>
      <c r="CL12" s="577">
        <f>COUNTIFS(STATUS!$Q:$Q,$A11,STATUS!$D:$D,CL$1,STATUS!$U:$U,"ВОЗВРАТ")</f>
        <v>0</v>
      </c>
      <c r="CM12" s="577">
        <f>COUNTIFS(STATUS!$Q:$Q,$A11,STATUS!$D:$D,CM$1,STATUS!$U:$U,"ВОЗВРАТ")</f>
        <v>0</v>
      </c>
      <c r="CN12" s="577">
        <f>COUNTIFS(STATUS!$Q:$Q,$A11,STATUS!$D:$D,CN$1,STATUS!$U:$U,"ВОЗВРАТ")</f>
        <v>0</v>
      </c>
      <c r="CO12" s="578">
        <f>COUNTIFS(STATUS!$Q:$Q,$A11,STATUS!$D:$D,CO$1,STATUS!$U:$U,"ВОЗВРАТ")</f>
        <v>0</v>
      </c>
      <c r="CP12" s="578">
        <f>COUNTIFS(STATUS!$Q:$Q,$A11,STATUS!$D:$D,CP$1,STATUS!$U:$U,"ВОЗВРАТ")</f>
        <v>0</v>
      </c>
      <c r="CQ12" s="576">
        <f>SUM(CL12:CP12)</f>
        <v>0</v>
      </c>
      <c r="CR12" s="577">
        <f>COUNTIFS(STATUS!$Q:$Q,$A11,STATUS!$D:$D,CR$1,STATUS!$U:$U,"ВОЗВРАТ")</f>
        <v>0</v>
      </c>
      <c r="CS12" s="577">
        <f>COUNTIFS(STATUS!$Q:$Q,$A11,STATUS!$D:$D,CS$1,STATUS!$U:$U,"ВОЗВРАТ")</f>
        <v>0</v>
      </c>
      <c r="CT12" s="577">
        <f>COUNTIFS(STATUS!$Q:$Q,$A11,STATUS!$D:$D,CT$1,STATUS!$U:$U,"ВОЗВРАТ")</f>
        <v>0</v>
      </c>
      <c r="CU12" s="578">
        <f>COUNTIFS(STATUS!$Q:$Q,$A11,STATUS!$D:$D,CU$1,STATUS!$U:$U,"ВОЗВРАТ")</f>
        <v>0</v>
      </c>
      <c r="CV12" s="578">
        <f>COUNTIFS(STATUS!$Q:$Q,$A11,STATUS!$D:$D,CV$1,STATUS!$U:$U,"ВОЗВРАТ")</f>
        <v>0</v>
      </c>
      <c r="CW12" s="576">
        <f>SUM(CR12:CV12)</f>
        <v>0</v>
      </c>
      <c r="CX12" s="577">
        <f>COUNTIFS(STATUS!$Q:$Q,$A11,STATUS!$D:$D,CX$1,STATUS!$U:$U,"ВОЗВРАТ")</f>
        <v>0</v>
      </c>
      <c r="CY12" s="577">
        <f>COUNTIFS(STATUS!$Q:$Q,$A11,STATUS!$D:$D,CY$1,STATUS!$U:$U,"ВОЗВРАТ")</f>
        <v>0</v>
      </c>
      <c r="CZ12" s="577">
        <f>COUNTIFS(STATUS!$Q:$Q,$A11,STATUS!$D:$D,CZ$1,STATUS!$U:$U,"ВОЗВРАТ")</f>
        <v>0</v>
      </c>
      <c r="DA12" s="578">
        <f>COUNTIFS(STATUS!$Q:$Q,$A11,STATUS!$D:$D,DA$1,STATUS!$U:$U,"ВОЗВРАТ")</f>
        <v>0</v>
      </c>
      <c r="DB12" s="578">
        <f>COUNTIFS(STATUS!$Q:$Q,$A11,STATUS!$D:$D,DB$1,STATUS!$U:$U,"ВОЗВРАТ")</f>
        <v>0</v>
      </c>
      <c r="DC12" s="576">
        <f>SUM(CX12:DB12)</f>
        <v>0</v>
      </c>
      <c r="DD12" s="1243">
        <f>COUNTIFS(STATUS!$Q:$Q,$A11,STATUS!$D:$D,DD$1,STATUS!$U:$U,"ВОЗВРАТ")</f>
        <v>0</v>
      </c>
      <c r="DE12" s="1243">
        <f>COUNTIFS(STATUS!$Q:$Q,$A11,STATUS!$D:$D,DE$1,STATUS!$U:$U,"ВОЗВРАТ")</f>
        <v>0</v>
      </c>
      <c r="DF12" s="1243">
        <f>COUNTIFS(STATUS!$Q:$Q,$A11,STATUS!$D:$D,DF$1,STATUS!$U:$U,"ВОЗВРАТ")</f>
        <v>0</v>
      </c>
      <c r="DG12" s="1244">
        <f>COUNTIFS(STATUS!$Q:$Q,$A11,STATUS!$D:$D,DG$1,STATUS!$U:$U,"ВОЗВРАТ")</f>
        <v>0</v>
      </c>
      <c r="DH12" s="1244">
        <f>COUNTIFS(STATUS!$Q:$Q,$A11,STATUS!$D:$D,DH$1,STATUS!$U:$U,"ВОЗВРАТ")</f>
        <v>0</v>
      </c>
      <c r="DI12" s="572">
        <f>SUM(DD12:DH12)</f>
        <v>0</v>
      </c>
      <c r="DJ12" s="1243">
        <f>COUNTIFS(STATUS!$Q:$Q,$A11,STATUS!$D:$D,DJ$1,STATUS!$U:$U,"ВОЗВРАТ")</f>
        <v>0</v>
      </c>
      <c r="DK12" s="1243">
        <f>COUNTIFS(STATUS!$Q:$Q,$A11,STATUS!$D:$D,DK$1,STATUS!$U:$U,"ВОЗВРАТ")</f>
        <v>1</v>
      </c>
      <c r="DL12" s="1243">
        <f>COUNTIFS(STATUS!$Q:$Q,$A11,STATUS!$D:$D,DL$1,STATUS!$U:$U,"ВОЗВРАТ")</f>
        <v>0</v>
      </c>
      <c r="DM12" s="1244">
        <f>COUNTIFS(STATUS!$Q:$Q,$A11,STATUS!$D:$D,DM$1,STATUS!$U:$U,"ВОЗВРАТ")</f>
        <v>0</v>
      </c>
      <c r="DN12" s="1244">
        <f>COUNTIFS(STATUS!$Q:$Q,$A11,STATUS!$D:$D,DN$1,STATUS!$U:$U,"ВОЗВРАТ")</f>
        <v>2</v>
      </c>
      <c r="DO12" s="572">
        <f>SUM(DJ12:DN12)</f>
        <v>3</v>
      </c>
      <c r="DP12" s="1243">
        <f>COUNTIFS(STATUS!$Q:$Q,$A11,STATUS!$D:$D,DP$1,STATUS!$U:$U,"ВОЗВРАТ")</f>
        <v>0</v>
      </c>
      <c r="DQ12" s="1243">
        <f>COUNTIFS(STATUS!$Q:$Q,$A11,STATUS!$D:$D,DQ$1,STATUS!$U:$U,"ВОЗВРАТ")</f>
        <v>3</v>
      </c>
      <c r="DR12" s="1243">
        <f>COUNTIFS(STATUS!$Q:$Q,$A11,STATUS!$D:$D,DR$1,STATUS!$U:$U,"ВОЗВРАТ")</f>
        <v>2</v>
      </c>
      <c r="DS12" s="1244">
        <f>COUNTIFS(STATUS!$Q:$Q,$A11,STATUS!$D:$D,DS$1,STATUS!$U:$U,"ВОЗВРАТ")</f>
        <v>1</v>
      </c>
      <c r="DT12" s="1244">
        <f>COUNTIFS(STATUS!$Q:$Q,$A11,STATUS!$D:$D,DT$1,STATUS!$U:$U,"ВОЗВРАТ")</f>
        <v>0</v>
      </c>
      <c r="DU12" s="572">
        <f>SUM(DP12:DT12)</f>
        <v>6</v>
      </c>
      <c r="DV12" s="1300">
        <f>COUNTIFS(STATUS!$Q:$Q,$A11,STATUS!$D:$D,DV$1,STATUS!$U:$U,"ВОЗВРАТ")</f>
        <v>0</v>
      </c>
      <c r="DW12" s="1300">
        <f>COUNTIFS(STATUS!$Q:$Q,$A11,STATUS!$D:$D,DW$1,STATUS!$U:$U,"ВОЗВРАТ")</f>
        <v>1</v>
      </c>
      <c r="DX12" s="1300">
        <f>COUNTIFS(STATUS!$Q:$Q,$A11,STATUS!$D:$D,DX$1,STATUS!$U:$U,"ВОЗВРАТ")</f>
        <v>1</v>
      </c>
      <c r="DY12" s="1301">
        <f>COUNTIFS(STATUS!$Q:$Q,$A11,STATUS!$D:$D,DY$1,STATUS!$U:$U,"ВОЗВРАТ")</f>
        <v>1</v>
      </c>
      <c r="DZ12" s="1301">
        <f>COUNTIFS(STATUS!$Q:$Q,$A11,STATUS!$D:$D,DZ$1,STATUS!$U:$U,"ВОЗВРАТ")</f>
        <v>1</v>
      </c>
      <c r="EA12" s="572">
        <f>SUM(DV12:DZ12)</f>
        <v>4</v>
      </c>
      <c r="EB12" s="1300">
        <f>COUNTIFS(STATUS!$Q:$Q,$A11,STATUS!$D:$D,EB$1,STATUS!$U:$U,"ВОЗВРАТ")</f>
        <v>0</v>
      </c>
      <c r="EC12" s="1300">
        <f>COUNTIFS(STATUS!$Q:$Q,$A11,STATUS!$D:$D,EC$1,STATUS!$U:$U,"ВОЗВРАТ")</f>
        <v>1</v>
      </c>
      <c r="ED12" s="1300">
        <f>COUNTIFS(STATUS!$Q:$Q,$A11,STATUS!$D:$D,ED$1,STATUS!$U:$U,"ВОЗВРАТ")</f>
        <v>0</v>
      </c>
      <c r="EE12" s="1301">
        <f>COUNTIFS(STATUS!$Q:$Q,$A11,STATUS!$D:$D,EE$1,STATUS!$U:$U,"ВОЗВРАТ")</f>
        <v>1</v>
      </c>
      <c r="EF12" s="1301">
        <f>COUNTIFS(STATUS!$Q:$Q,$A11,STATUS!$D:$D,EF$1,STATUS!$U:$U,"ВОЗВРАТ")</f>
        <v>0</v>
      </c>
      <c r="EG12" s="572">
        <f>SUM(EB12:EF12)</f>
        <v>2</v>
      </c>
      <c r="EH12" s="1300">
        <f>COUNTIFS(STATUS!$Q:$Q,$A11,STATUS!$D:$D,EH$1,STATUS!$U:$U,"ВОЗВРАТ")</f>
        <v>1</v>
      </c>
      <c r="EI12" s="1300">
        <f>COUNTIFS(STATUS!$Q:$Q,$A11,STATUS!$D:$D,EI$1,STATUS!$U:$U,"ВОЗВРАТ")</f>
        <v>0</v>
      </c>
      <c r="EJ12" s="1300">
        <f>COUNTIFS(STATUS!$Q:$Q,$A11,STATUS!$D:$D,EJ$1,STATUS!$U:$U,"ВОЗВРАТ")</f>
        <v>0</v>
      </c>
      <c r="EK12" s="1301">
        <f>COUNTIFS(STATUS!$Q:$Q,$A11,STATUS!$D:$D,EK$1,STATUS!$U:$U,"ВОЗВРАТ")</f>
        <v>0</v>
      </c>
      <c r="EL12" s="1301">
        <f>COUNTIFS(STATUS!$Q:$Q,$A11,STATUS!$D:$D,EL$1,STATUS!$U:$U,"ВОЗВРАТ")</f>
        <v>0</v>
      </c>
      <c r="EM12" s="572">
        <f>SUM(EH12:EL12)</f>
        <v>1</v>
      </c>
      <c r="EN12" s="1300">
        <f>COUNTIFS(STATUS!$Q:$Q,$A11,STATUS!$D:$D,EN$1,STATUS!$U:$U,"ВОЗВРАТ")</f>
        <v>0</v>
      </c>
      <c r="EO12" s="1300">
        <f>COUNTIFS(STATUS!$Q:$Q,$A11,STATUS!$D:$D,EO$1,STATUS!$U:$U,"ВОЗВРАТ")</f>
        <v>0</v>
      </c>
      <c r="EP12" s="1300">
        <f>COUNTIFS(STATUS!$Q:$Q,$A11,STATUS!$D:$D,EP$1,STATUS!$U:$U,"ВОЗВРАТ")</f>
        <v>0</v>
      </c>
      <c r="EQ12" s="1301">
        <f>COUNTIFS(STATUS!$Q:$Q,$A11,STATUS!$D:$D,EQ$1,STATUS!$U:$U,"ВОЗВРАТ")</f>
        <v>0</v>
      </c>
      <c r="ER12" s="1301">
        <f>COUNTIFS(STATUS!$Q:$Q,$A11,STATUS!$D:$D,ER$1,STATUS!$U:$U,"ВОЗВРАТ")</f>
        <v>0</v>
      </c>
      <c r="ES12" s="572">
        <f>SUM(EN12:ER12)</f>
        <v>0</v>
      </c>
      <c r="ET12" s="1300">
        <f>COUNTIFS(STATUS!$Q:$Q,$A11,STATUS!$D:$D,ET$1,STATUS!$U:$U,"ВОЗВРАТ")</f>
        <v>0</v>
      </c>
      <c r="EU12" s="1300">
        <f>COUNTIFS(STATUS!$Q:$Q,$A11,STATUS!$D:$D,EU$1,STATUS!$U:$U,"ВОЗВРАТ")</f>
        <v>0</v>
      </c>
      <c r="EV12" s="1300">
        <f>COUNTIFS(STATUS!$Q:$Q,$A11,STATUS!$D:$D,EV$1,STATUS!$U:$U,"ВОЗВРАТ")</f>
        <v>0</v>
      </c>
      <c r="EW12" s="1301">
        <f>COUNTIFS(STATUS!$Q:$Q,$A11,STATUS!$D:$D,EW$1,STATUS!$U:$U,"ВОЗВРАТ")</f>
        <v>2</v>
      </c>
      <c r="EX12" s="1301">
        <f>COUNTIFS(STATUS!$Q:$Q,$A11,STATUS!$D:$D,EX$1,STATUS!$U:$U,"ВОЗВРАТ")</f>
        <v>0</v>
      </c>
      <c r="EY12" s="572">
        <f>SUM(ET12:EX12)</f>
        <v>2</v>
      </c>
      <c r="EZ12" s="1300">
        <f>COUNTIFS(STATUS!$Q:$Q,$A11,STATUS!$D:$D,EZ$1,STATUS!$U:$U,"ВОЗВРАТ")</f>
        <v>0</v>
      </c>
      <c r="FA12" s="1300">
        <f>COUNTIFS(STATUS!$Q:$Q,$A11,STATUS!$D:$D,FA$1,STATUS!$U:$U,"ВОЗВРАТ")</f>
        <v>0</v>
      </c>
      <c r="FB12" s="1300">
        <f>COUNTIFS(STATUS!$Q:$Q,$A11,STATUS!$D:$D,FB$1,STATUS!$U:$U,"ВОЗВРАТ")</f>
        <v>0</v>
      </c>
      <c r="FC12" s="1301">
        <f>COUNTIFS(STATUS!$Q:$Q,$A11,STATUS!$D:$D,FC$1,STATUS!$U:$U,"ВОЗВРАТ")</f>
        <v>0</v>
      </c>
      <c r="FD12" s="1301">
        <f>COUNTIFS(STATUS!$Q:$Q,$A11,STATUS!$D:$D,FD$1,STATUS!$U:$U,"ВОЗВРАТ")</f>
        <v>0</v>
      </c>
      <c r="FE12" s="576">
        <f>SUM(EZ12:FD12)</f>
        <v>0</v>
      </c>
      <c r="FF12" s="577">
        <f>COUNTIFS(STATUS!$Q:$Q,$A11,STATUS!$D:$D,FF$1,STATUS!$U:$U,"ВОЗВРАТ")</f>
        <v>0</v>
      </c>
      <c r="FG12" s="577">
        <f>COUNTIFS(STATUS!$Q:$Q,$A11,STATUS!$D:$D,FG$1,STATUS!$U:$U,"ВОЗВРАТ")</f>
        <v>0</v>
      </c>
      <c r="FH12" s="577">
        <f>COUNTIFS(STATUS!$Q:$Q,$A11,STATUS!$D:$D,FH$1,STATUS!$U:$U,"ВОЗВРАТ")</f>
        <v>0</v>
      </c>
      <c r="FI12" s="578">
        <f>COUNTIFS(STATUS!$Q:$Q,$A11,STATUS!$D:$D,FI$1,STATUS!$U:$U,"ВОЗВРАТ")</f>
        <v>0</v>
      </c>
      <c r="FJ12" s="578">
        <f>COUNTIFS(STATUS!$Q:$Q,$A11,STATUS!$D:$D,FJ$1,STATUS!$U:$U,"ВОЗВРАТ")</f>
        <v>0</v>
      </c>
      <c r="FK12" s="576">
        <f>SUM(FF12:FJ12)</f>
        <v>0</v>
      </c>
      <c r="FL12" s="1300">
        <f>COUNTIFS(STATUS!$Q:$Q,$A11,STATUS!$D:$D,FL$1,STATUS!$U:$U,"ВОЗВРАТ")</f>
        <v>0</v>
      </c>
      <c r="FM12" s="1300">
        <f>COUNTIFS(STATUS!$Q:$Q,$A11,STATUS!$D:$D,FM$1,STATUS!$U:$U,"ВОЗВРАТ")</f>
        <v>0</v>
      </c>
      <c r="FN12" s="577">
        <f>COUNTIFS(STATUS!$Q:$Q,$A11,STATUS!$D:$D,FN$1,STATUS!$U:$U,"ВОЗВРАТ")</f>
        <v>0</v>
      </c>
      <c r="FO12" s="1301">
        <f>COUNTIFS(STATUS!$Q:$Q,$A11,STATUS!$D:$D,FO$1,STATUS!$U:$U,"ВОЗВРАТ")</f>
        <v>0</v>
      </c>
      <c r="FP12" s="1301">
        <f>COUNTIFS(STATUS!$Q:$Q,$A11,STATUS!$D:$D,FP$1,STATUS!$U:$U,"ВОЗВРАТ")</f>
        <v>1</v>
      </c>
      <c r="FQ12" s="572">
        <f>SUM(FL12:FP12)</f>
        <v>1</v>
      </c>
      <c r="FR12" s="1300">
        <f>COUNTIFS(STATUS!$Q:$Q,$A11,STATUS!$D:$D,FR$1,STATUS!$U:$U,"ВОЗВРАТ")</f>
        <v>1</v>
      </c>
      <c r="FS12" s="577">
        <f>COUNTIFS(STATUS!$Q:$Q,$A11,STATUS!$D:$D,FS$1,STATUS!$U:$U,"ВОЗВРАТ")</f>
        <v>0</v>
      </c>
      <c r="FT12" s="577">
        <f>COUNTIFS(STATUS!$Q:$Q,$A11,STATUS!$D:$D,FT$1,STATUS!$U:$U,"ВОЗВРАТ")</f>
        <v>0</v>
      </c>
      <c r="FU12" s="578">
        <f>COUNTIFS(STATUS!$Q:$Q,$A11,STATUS!$D:$D,FU$1,STATUS!$U:$U,"ВОЗВРАТ")</f>
        <v>0</v>
      </c>
      <c r="FV12" s="578">
        <f>COUNTIFS(STATUS!$Q:$Q,$A11,STATUS!$D:$D,FV$1,STATUS!$U:$U,"ВОЗВРАТ")</f>
        <v>0</v>
      </c>
      <c r="FW12" s="572">
        <f>SUM(FR12:FV12)</f>
        <v>1</v>
      </c>
      <c r="FX12" s="1300">
        <f>COUNTIFS(STATUS!$Q:$Q,$A11,STATUS!$D:$D,FX$1,STATUS!$U:$U,"ВОЗВРАТ")</f>
        <v>0</v>
      </c>
      <c r="FY12" s="577">
        <f>COUNTIFS(STATUS!$Q:$Q,$A11,STATUS!$D:$D,FY$1,STATUS!$U:$U,"ВОЗВРАТ")</f>
        <v>0</v>
      </c>
      <c r="FZ12" s="577">
        <f>COUNTIFS(STATUS!$Q:$Q,$A11,STATUS!$D:$D,FZ$1,STATUS!$U:$U,"ВОЗВРАТ")</f>
        <v>0</v>
      </c>
      <c r="GA12" s="578">
        <f>COUNTIFS(STATUS!$Q:$Q,$A11,STATUS!$D:$D,GA$1,STATUS!$U:$U,"ВОЗВРАТ")</f>
        <v>0</v>
      </c>
      <c r="GB12" s="578">
        <f>COUNTIFS(STATUS!$Q:$Q,$A11,STATUS!$D:$D,GB$1,STATUS!$U:$U,"ВОЗВРАТ")</f>
        <v>0</v>
      </c>
      <c r="GC12" s="576">
        <f>SUM(FX12:GB12)</f>
        <v>0</v>
      </c>
      <c r="GD12" s="577">
        <f>COUNTIFS(STATUS!$Q:$Q,$A11,STATUS!$D:$D,GD$1,STATUS!$U:$U,"ВОЗВРАТ")</f>
        <v>0</v>
      </c>
      <c r="GE12" s="577">
        <f>COUNTIFS(STATUS!$Q:$Q,$A11,STATUS!$D:$D,GE$1,STATUS!$U:$U,"ВОЗВРАТ")</f>
        <v>0</v>
      </c>
      <c r="GF12" s="577">
        <f>COUNTIFS(STATUS!$Q:$Q,$A11,STATUS!$D:$D,GF$1,STATUS!$U:$U,"ВОЗВРАТ")</f>
        <v>0</v>
      </c>
      <c r="GG12" s="578">
        <f>COUNTIFS(STATUS!$Q:$Q,$A11,STATUS!$D:$D,GG$1,STATUS!$U:$U,"ВОЗВРАТ")</f>
        <v>0</v>
      </c>
      <c r="GH12" s="578">
        <f>COUNTIFS(STATUS!$Q:$Q,$A11,STATUS!$D:$D,GH$1,STATUS!$U:$U,"ВОЗВРАТ")</f>
        <v>0</v>
      </c>
      <c r="GI12" s="576">
        <f>SUM(GD12:GH12)</f>
        <v>0</v>
      </c>
      <c r="GJ12" s="577">
        <f>COUNTIFS(STATUS!$Q:$Q,$A11,STATUS!$D:$D,GJ$1,STATUS!$U:$U,"ВОЗВРАТ")</f>
        <v>0</v>
      </c>
      <c r="GK12" s="577">
        <f>COUNTIFS(STATUS!$Q:$Q,$A11,STATUS!$D:$D,GK$1,STATUS!$U:$U,"ВОЗВРАТ")</f>
        <v>0</v>
      </c>
      <c r="GL12" s="577">
        <f>COUNTIFS(STATUS!$Q:$Q,$A11,STATUS!$D:$D,GL$1,STATUS!$U:$U,"ВОЗВРАТ")</f>
        <v>0</v>
      </c>
      <c r="GM12" s="578">
        <f>COUNTIFS(STATUS!$Q:$Q,$A11,STATUS!$D:$D,GM$1,STATUS!$U:$U,"ВОЗВРАТ")</f>
        <v>0</v>
      </c>
      <c r="GN12" s="578">
        <f>COUNTIFS(STATUS!$Q:$Q,$A11,STATUS!$D:$D,GN$1,STATUS!$U:$U,"ВОЗВРАТ")</f>
        <v>0</v>
      </c>
      <c r="GO12" s="576">
        <f>SUM(GJ12:GN12)</f>
        <v>0</v>
      </c>
      <c r="GP12" s="1300">
        <f>COUNTIFS(STATUS!$Q:$Q,$A11,STATUS!$D:$D,GP$1,STATUS!$U:$U,"ВОЗВРАТ")</f>
        <v>0</v>
      </c>
      <c r="GQ12" s="1300">
        <f>COUNTIFS(STATUS!$Q:$Q,$A11,STATUS!$D:$D,GQ$1,STATUS!$U:$U,"ВОЗВРАТ")</f>
        <v>0</v>
      </c>
      <c r="GR12" s="1300">
        <f>COUNTIFS(STATUS!$Q:$Q,$A11,STATUS!$D:$D,GR$1,STATUS!$U:$U,"ВОЗВРАТ")</f>
        <v>0</v>
      </c>
      <c r="GS12" s="1301">
        <f>COUNTIFS(STATUS!$Q:$Q,$A11,STATUS!$D:$D,GS$1,STATUS!$U:$U,"ВОЗВРАТ")</f>
        <v>0</v>
      </c>
      <c r="GT12" s="1301">
        <f>COUNTIFS(STATUS!$Q:$Q,$A11,STATUS!$D:$D,GT$1,STATUS!$U:$U,"ВОЗВРАТ")</f>
        <v>1</v>
      </c>
      <c r="GU12" s="572">
        <f>SUM(GP12:GT12)</f>
        <v>1</v>
      </c>
      <c r="GV12" s="1300">
        <f>COUNTIFS(STATUS!$Q:$Q,$A11,STATUS!$D:$D,GV$1,STATUS!$U:$U,"ВОЗВРАТ")</f>
        <v>0</v>
      </c>
      <c r="GW12" s="1300">
        <f>COUNTIFS(STATUS!$Q:$Q,$A11,STATUS!$D:$D,GW$1,STATUS!$U:$U,"ВОЗВРАТ")</f>
        <v>1</v>
      </c>
      <c r="GX12" s="1300">
        <f>COUNTIFS(STATUS!$Q:$Q,$A11,STATUS!$D:$D,GX$1,STATUS!$U:$U,"ВОЗВРАТ")</f>
        <v>0</v>
      </c>
      <c r="GY12" s="1301">
        <f>COUNTIFS(STATUS!$Q:$Q,$A11,STATUS!$D:$D,GY$1,STATUS!$U:$U,"ВОЗВРАТ")</f>
        <v>1</v>
      </c>
      <c r="GZ12" s="1301">
        <f>COUNTIFS(STATUS!$Q:$Q,$A11,STATUS!$D:$D,GZ$1,STATUS!$U:$U,"ВОЗВРАТ")</f>
        <v>0</v>
      </c>
      <c r="HA12" s="572">
        <f>SUM(GV12:GZ12)</f>
        <v>2</v>
      </c>
    </row>
    <row r="13" spans="1:209" ht="21.6" thickBot="1" x14ac:dyDescent="0.35">
      <c r="A13" s="1557"/>
      <c r="B13" s="434">
        <f>IFERROR(B12/B11,0)</f>
        <v>0.11894273127753303</v>
      </c>
      <c r="C13" s="579">
        <f>IFERROR(C12/C11,0)</f>
        <v>0.14285714285714285</v>
      </c>
      <c r="D13" s="579">
        <f t="shared" ref="D13:S13" si="122">IFERROR(D12/D11,0)</f>
        <v>0</v>
      </c>
      <c r="E13" s="579">
        <f t="shared" si="122"/>
        <v>0</v>
      </c>
      <c r="F13" s="579">
        <f t="shared" si="122"/>
        <v>0.25</v>
      </c>
      <c r="G13" s="580">
        <f t="shared" si="122"/>
        <v>0.5</v>
      </c>
      <c r="H13" s="581">
        <f t="shared" si="122"/>
        <v>0.13636363636363635</v>
      </c>
      <c r="I13" s="444">
        <f t="shared" si="122"/>
        <v>0</v>
      </c>
      <c r="J13" s="397">
        <f t="shared" si="122"/>
        <v>0</v>
      </c>
      <c r="K13" s="397">
        <f t="shared" si="122"/>
        <v>0.5</v>
      </c>
      <c r="L13" s="397">
        <f t="shared" si="122"/>
        <v>0</v>
      </c>
      <c r="M13" s="441">
        <f t="shared" si="122"/>
        <v>0</v>
      </c>
      <c r="N13" s="573">
        <f t="shared" si="122"/>
        <v>9.0909090909090912E-2</v>
      </c>
      <c r="O13" s="444">
        <f t="shared" si="122"/>
        <v>0</v>
      </c>
      <c r="P13" s="397">
        <f t="shared" si="122"/>
        <v>0</v>
      </c>
      <c r="Q13" s="397">
        <f t="shared" si="122"/>
        <v>0</v>
      </c>
      <c r="R13" s="573">
        <f t="shared" si="122"/>
        <v>0</v>
      </c>
      <c r="S13" s="397">
        <f t="shared" si="122"/>
        <v>0</v>
      </c>
      <c r="T13" s="397">
        <f>IFERROR(T12/T11,0)</f>
        <v>0</v>
      </c>
      <c r="U13" s="397">
        <f>IFERROR(U12/U11,0)</f>
        <v>0</v>
      </c>
      <c r="V13" s="441">
        <f t="shared" ref="V13:W13" si="123">IFERROR(V12/V11,0)</f>
        <v>0</v>
      </c>
      <c r="W13" s="573">
        <f t="shared" si="123"/>
        <v>0</v>
      </c>
      <c r="X13" s="397">
        <f>IFERROR(X12/X11,0)</f>
        <v>0</v>
      </c>
      <c r="Y13" s="397">
        <f>IFERROR(Y12/Y11,0)</f>
        <v>0</v>
      </c>
      <c r="Z13" s="397">
        <f>IFERROR(Z12/Z11,0)</f>
        <v>0</v>
      </c>
      <c r="AA13" s="441">
        <f t="shared" ref="AA13:AB13" si="124">IFERROR(AA12/AA11,0)</f>
        <v>0</v>
      </c>
      <c r="AB13" s="441">
        <f t="shared" si="124"/>
        <v>0</v>
      </c>
      <c r="AC13" s="573">
        <f>IFERROR(AC12/AC11,0)</f>
        <v>0</v>
      </c>
      <c r="AD13" s="397">
        <f>IFERROR(AD12/AD11,0)</f>
        <v>0</v>
      </c>
      <c r="AE13" s="397">
        <f>IFERROR(AE12/AE11,0)</f>
        <v>0</v>
      </c>
      <c r="AF13" s="397">
        <f>IFERROR(AF12/AF11,0)</f>
        <v>0</v>
      </c>
      <c r="AG13" s="441">
        <f t="shared" ref="AG13:AH13" si="125">IFERROR(AG12/AG11,0)</f>
        <v>0</v>
      </c>
      <c r="AH13" s="441">
        <f t="shared" si="125"/>
        <v>0</v>
      </c>
      <c r="AI13" s="573">
        <f>IFERROR(AI12/AI11,0)</f>
        <v>0</v>
      </c>
      <c r="AJ13" s="397">
        <f>IFERROR(AJ12/AJ11,0)</f>
        <v>0</v>
      </c>
      <c r="AK13" s="397">
        <f>IFERROR(AK12/AK11,0)</f>
        <v>0</v>
      </c>
      <c r="AL13" s="397">
        <f>IFERROR(AL12/AL11,0)</f>
        <v>0</v>
      </c>
      <c r="AM13" s="441">
        <f t="shared" ref="AM13:AN13" si="126">IFERROR(AM12/AM11,0)</f>
        <v>0</v>
      </c>
      <c r="AN13" s="441">
        <f t="shared" si="126"/>
        <v>0</v>
      </c>
      <c r="AO13" s="573">
        <f>IFERROR(AO12/AO11,0)</f>
        <v>0</v>
      </c>
      <c r="AP13" s="397">
        <f>IFERROR(AP12/AP11,0)</f>
        <v>0</v>
      </c>
      <c r="AQ13" s="397">
        <f>IFERROR(AQ12/AQ11,0)</f>
        <v>0</v>
      </c>
      <c r="AR13" s="397">
        <f>IFERROR(AR12/AR11,0)</f>
        <v>0</v>
      </c>
      <c r="AS13" s="441">
        <f t="shared" ref="AS13:AT13" si="127">IFERROR(AS12/AS11,0)</f>
        <v>0</v>
      </c>
      <c r="AT13" s="441">
        <f t="shared" si="127"/>
        <v>0</v>
      </c>
      <c r="AU13" s="573">
        <f>IFERROR(AU12/AU11,0)</f>
        <v>0</v>
      </c>
      <c r="AV13" s="397">
        <f>IFERROR(AV12/AV11,0)</f>
        <v>0</v>
      </c>
      <c r="AW13" s="397">
        <f>IFERROR(AW12/AW11,0)</f>
        <v>0</v>
      </c>
      <c r="AX13" s="397">
        <f>IFERROR(AX12/AX11,0)</f>
        <v>0</v>
      </c>
      <c r="AY13" s="441">
        <f t="shared" ref="AY13:AZ13" si="128">IFERROR(AY12/AY11,0)</f>
        <v>0</v>
      </c>
      <c r="AZ13" s="441">
        <f t="shared" si="128"/>
        <v>0</v>
      </c>
      <c r="BA13" s="573">
        <f>IFERROR(BA12/BA11,0)</f>
        <v>0</v>
      </c>
      <c r="BB13" s="397">
        <f>IFERROR(BB12/BB11,0)</f>
        <v>0</v>
      </c>
      <c r="BC13" s="397">
        <f>IFERROR(BC12/BC11,0)</f>
        <v>0</v>
      </c>
      <c r="BD13" s="397">
        <f>IFERROR(BD12/BD11,0)</f>
        <v>0</v>
      </c>
      <c r="BE13" s="441">
        <f t="shared" ref="BE13:BF13" si="129">IFERROR(BE12/BE11,0)</f>
        <v>0</v>
      </c>
      <c r="BF13" s="441">
        <f t="shared" si="129"/>
        <v>0</v>
      </c>
      <c r="BG13" s="573">
        <f>IFERROR(BG12/BG11,0)</f>
        <v>0</v>
      </c>
      <c r="BH13" s="397">
        <f>IFERROR(BH12/BH11,0)</f>
        <v>0</v>
      </c>
      <c r="BI13" s="397">
        <f>IFERROR(BI12/BI11,0)</f>
        <v>0</v>
      </c>
      <c r="BJ13" s="397">
        <f>IFERROR(BJ12/BJ11,0)</f>
        <v>0</v>
      </c>
      <c r="BK13" s="441">
        <f t="shared" ref="BK13:BL13" si="130">IFERROR(BK12/BK11,0)</f>
        <v>0</v>
      </c>
      <c r="BL13" s="441">
        <f t="shared" si="130"/>
        <v>0</v>
      </c>
      <c r="BM13" s="573">
        <f>IFERROR(BM12/BM11,0)</f>
        <v>0</v>
      </c>
      <c r="BN13" s="397">
        <f>IFERROR(BN12/BN11,0)</f>
        <v>0</v>
      </c>
      <c r="BO13" s="397">
        <f>IFERROR(BO12/BO11,0)</f>
        <v>0</v>
      </c>
      <c r="BP13" s="397">
        <f>IFERROR(BP12/BP11,0)</f>
        <v>0</v>
      </c>
      <c r="BQ13" s="441">
        <f t="shared" ref="BQ13:BR13" si="131">IFERROR(BQ12/BQ11,0)</f>
        <v>0</v>
      </c>
      <c r="BR13" s="441">
        <f t="shared" si="131"/>
        <v>0</v>
      </c>
      <c r="BS13" s="573">
        <f>IFERROR(BS12/BS11,0)</f>
        <v>0</v>
      </c>
      <c r="BT13" s="397">
        <f>IFERROR(BT12/BT11,0)</f>
        <v>0</v>
      </c>
      <c r="BU13" s="397">
        <f>IFERROR(BU12/BU11,0)</f>
        <v>0</v>
      </c>
      <c r="BV13" s="397">
        <f>IFERROR(BV12/BV11,0)</f>
        <v>0</v>
      </c>
      <c r="BW13" s="441">
        <f t="shared" ref="BW13:BX13" si="132">IFERROR(BW12/BW11,0)</f>
        <v>0</v>
      </c>
      <c r="BX13" s="441">
        <f t="shared" si="132"/>
        <v>0</v>
      </c>
      <c r="BY13" s="573">
        <f>IFERROR(BY12/BY11,0)</f>
        <v>0</v>
      </c>
      <c r="BZ13" s="397">
        <f>IFERROR(BZ12/BZ11,0)</f>
        <v>0</v>
      </c>
      <c r="CA13" s="397">
        <f>IFERROR(CA12/CA11,0)</f>
        <v>0</v>
      </c>
      <c r="CB13" s="397">
        <f>IFERROR(CB12/CB11,0)</f>
        <v>0</v>
      </c>
      <c r="CC13" s="441">
        <f t="shared" ref="CC13:CD13" si="133">IFERROR(CC12/CC11,0)</f>
        <v>0</v>
      </c>
      <c r="CD13" s="441">
        <f t="shared" si="133"/>
        <v>0</v>
      </c>
      <c r="CE13" s="573">
        <f>IFERROR(CE12/CE11,0)</f>
        <v>0</v>
      </c>
      <c r="CF13" s="397">
        <f>IFERROR(CF12/CF11,0)</f>
        <v>0</v>
      </c>
      <c r="CG13" s="397">
        <f>IFERROR(CG12/CG11,0)</f>
        <v>0</v>
      </c>
      <c r="CH13" s="397">
        <f>IFERROR(CH12/CH11,0)</f>
        <v>0</v>
      </c>
      <c r="CI13" s="441">
        <f t="shared" ref="CI13:CJ13" si="134">IFERROR(CI12/CI11,0)</f>
        <v>0</v>
      </c>
      <c r="CJ13" s="441">
        <f t="shared" si="134"/>
        <v>0</v>
      </c>
      <c r="CK13" s="573">
        <f>IFERROR(CK12/CK11,0)</f>
        <v>0</v>
      </c>
      <c r="CL13" s="397">
        <f>IFERROR(CL12/CL11,0)</f>
        <v>0</v>
      </c>
      <c r="CM13" s="397">
        <f>IFERROR(CM12/CM11,0)</f>
        <v>0</v>
      </c>
      <c r="CN13" s="397">
        <f>IFERROR(CN12/CN11,0)</f>
        <v>0</v>
      </c>
      <c r="CO13" s="441">
        <f t="shared" ref="CO13:CP13" si="135">IFERROR(CO12/CO11,0)</f>
        <v>0</v>
      </c>
      <c r="CP13" s="441">
        <f t="shared" si="135"/>
        <v>0</v>
      </c>
      <c r="CQ13" s="573">
        <f>IFERROR(CQ12/CQ11,0)</f>
        <v>0</v>
      </c>
      <c r="CR13" s="397">
        <f>IFERROR(CR12/CR11,0)</f>
        <v>0</v>
      </c>
      <c r="CS13" s="397">
        <f>IFERROR(CS12/CS11,0)</f>
        <v>0</v>
      </c>
      <c r="CT13" s="397">
        <f>IFERROR(CT12/CT11,0)</f>
        <v>0</v>
      </c>
      <c r="CU13" s="441">
        <f t="shared" ref="CU13:CV13" si="136">IFERROR(CU12/CU11,0)</f>
        <v>0</v>
      </c>
      <c r="CV13" s="441">
        <f t="shared" si="136"/>
        <v>0</v>
      </c>
      <c r="CW13" s="573">
        <f>IFERROR(CW12/CW11,0)</f>
        <v>0</v>
      </c>
      <c r="CX13" s="397">
        <f>IFERROR(CX12/CX11,0)</f>
        <v>0</v>
      </c>
      <c r="CY13" s="397">
        <f>IFERROR(CY12/CY11,0)</f>
        <v>0</v>
      </c>
      <c r="CZ13" s="397">
        <f>IFERROR(CZ12/CZ11,0)</f>
        <v>0</v>
      </c>
      <c r="DA13" s="441">
        <f t="shared" ref="DA13:DB13" si="137">IFERROR(DA12/DA11,0)</f>
        <v>0</v>
      </c>
      <c r="DB13" s="441">
        <f t="shared" si="137"/>
        <v>0</v>
      </c>
      <c r="DC13" s="573">
        <f>IFERROR(DC12/DC11,0)</f>
        <v>0</v>
      </c>
      <c r="DD13" s="397">
        <f>IFERROR(DD12/DD11,0)</f>
        <v>0</v>
      </c>
      <c r="DE13" s="397">
        <f>IFERROR(DE12/DE11,0)</f>
        <v>0</v>
      </c>
      <c r="DF13" s="397">
        <f>IFERROR(DF12/DF11,0)</f>
        <v>0</v>
      </c>
      <c r="DG13" s="441">
        <f t="shared" ref="DG13:DH13" si="138">IFERROR(DG12/DG11,0)</f>
        <v>0</v>
      </c>
      <c r="DH13" s="441">
        <f t="shared" si="138"/>
        <v>0</v>
      </c>
      <c r="DI13" s="573">
        <f>IFERROR(DI12/DI11,0)</f>
        <v>0</v>
      </c>
      <c r="DJ13" s="397">
        <f>IFERROR(DJ12/DJ11,0)</f>
        <v>0</v>
      </c>
      <c r="DK13" s="397">
        <f>IFERROR(DK12/DK11,0)</f>
        <v>0.2</v>
      </c>
      <c r="DL13" s="397">
        <f>IFERROR(DL12/DL11,0)</f>
        <v>0</v>
      </c>
      <c r="DM13" s="441">
        <f t="shared" ref="DM13:DN13" si="139">IFERROR(DM12/DM11,0)</f>
        <v>0</v>
      </c>
      <c r="DN13" s="441">
        <f t="shared" si="139"/>
        <v>1</v>
      </c>
      <c r="DO13" s="573">
        <f>IFERROR(DO12/DO11,0)</f>
        <v>0.17647058823529413</v>
      </c>
      <c r="DP13" s="397">
        <f>IFERROR(DP12/DP11,0)</f>
        <v>0</v>
      </c>
      <c r="DQ13" s="397">
        <f>IFERROR(DQ12/DQ11,0)</f>
        <v>0.6</v>
      </c>
      <c r="DR13" s="397">
        <f>IFERROR(DR12/DR11,0)</f>
        <v>0.4</v>
      </c>
      <c r="DS13" s="441">
        <f t="shared" ref="DS13:DT13" si="140">IFERROR(DS12/DS11,0)</f>
        <v>0.33333333333333331</v>
      </c>
      <c r="DT13" s="441">
        <f t="shared" si="140"/>
        <v>0</v>
      </c>
      <c r="DU13" s="573">
        <f>IFERROR(DU12/DU11,0)</f>
        <v>0.31578947368421051</v>
      </c>
      <c r="DV13" s="397">
        <f>IFERROR(DV12/DV11,0)</f>
        <v>0</v>
      </c>
      <c r="DW13" s="397">
        <f>IFERROR(DW12/DW11,0)</f>
        <v>0.33333333333333331</v>
      </c>
      <c r="DX13" s="397">
        <f>IFERROR(DX12/DX11,0)</f>
        <v>0.5</v>
      </c>
      <c r="DY13" s="441">
        <f t="shared" ref="DY13:DZ13" si="141">IFERROR(DY12/DY11,0)</f>
        <v>0.16666666666666666</v>
      </c>
      <c r="DZ13" s="441">
        <f t="shared" si="141"/>
        <v>0.16666666666666666</v>
      </c>
      <c r="EA13" s="573">
        <f>IFERROR(EA12/EA11,0)</f>
        <v>0.21052631578947367</v>
      </c>
      <c r="EB13" s="397">
        <f>IFERROR(EB12/EB11,0)</f>
        <v>0</v>
      </c>
      <c r="EC13" s="397">
        <f>IFERROR(EC12/EC11,0)</f>
        <v>0.2</v>
      </c>
      <c r="ED13" s="397">
        <f>IFERROR(ED12/ED11,0)</f>
        <v>0</v>
      </c>
      <c r="EE13" s="441">
        <f t="shared" ref="EE13:EF13" si="142">IFERROR(EE12/EE11,0)</f>
        <v>0.2</v>
      </c>
      <c r="EF13" s="441">
        <f t="shared" si="142"/>
        <v>0</v>
      </c>
      <c r="EG13" s="573">
        <f>IFERROR(EG12/EG11,0)</f>
        <v>9.5238095238095233E-2</v>
      </c>
      <c r="EH13" s="397">
        <f>IFERROR(EH12/EH11,0)</f>
        <v>0.33333333333333331</v>
      </c>
      <c r="EI13" s="397">
        <f>IFERROR(EI12/EI11,0)</f>
        <v>0</v>
      </c>
      <c r="EJ13" s="397">
        <f>IFERROR(EJ12/EJ11,0)</f>
        <v>0</v>
      </c>
      <c r="EK13" s="441">
        <f t="shared" ref="EK13:EL13" si="143">IFERROR(EK12/EK11,0)</f>
        <v>0</v>
      </c>
      <c r="EL13" s="441">
        <f t="shared" si="143"/>
        <v>0</v>
      </c>
      <c r="EM13" s="573">
        <f>IFERROR(EM12/EM11,0)</f>
        <v>0.05</v>
      </c>
      <c r="EN13" s="397">
        <f>IFERROR(EN12/EN11,0)</f>
        <v>0</v>
      </c>
      <c r="EO13" s="397">
        <f>IFERROR(EO12/EO11,0)</f>
        <v>0</v>
      </c>
      <c r="EP13" s="397">
        <f>IFERROR(EP12/EP11,0)</f>
        <v>0</v>
      </c>
      <c r="EQ13" s="441">
        <f t="shared" ref="EQ13:ER13" si="144">IFERROR(EQ12/EQ11,0)</f>
        <v>0</v>
      </c>
      <c r="ER13" s="441">
        <f t="shared" si="144"/>
        <v>0</v>
      </c>
      <c r="ES13" s="573">
        <f>IFERROR(ES12/ES11,0)</f>
        <v>0</v>
      </c>
      <c r="ET13" s="397">
        <f>IFERROR(ET12/ET11,0)</f>
        <v>0</v>
      </c>
      <c r="EU13" s="397">
        <f>IFERROR(EU12/EU11,0)</f>
        <v>0</v>
      </c>
      <c r="EV13" s="397">
        <f>IFERROR(EV12/EV11,0)</f>
        <v>0</v>
      </c>
      <c r="EW13" s="441">
        <f t="shared" ref="EW13:EX13" si="145">IFERROR(EW12/EW11,0)</f>
        <v>0.66666666666666663</v>
      </c>
      <c r="EX13" s="441">
        <f t="shared" si="145"/>
        <v>0</v>
      </c>
      <c r="EY13" s="573">
        <f>IFERROR(EY12/EY11,0)</f>
        <v>0.1</v>
      </c>
      <c r="EZ13" s="397">
        <f>IFERROR(EZ12/EZ11,0)</f>
        <v>0</v>
      </c>
      <c r="FA13" s="397">
        <f>IFERROR(FA12/FA11,0)</f>
        <v>0</v>
      </c>
      <c r="FB13" s="397">
        <f>IFERROR(FB12/FB11,0)</f>
        <v>0</v>
      </c>
      <c r="FC13" s="441">
        <f t="shared" ref="FC13:FD13" si="146">IFERROR(FC12/FC11,0)</f>
        <v>0</v>
      </c>
      <c r="FD13" s="441">
        <f t="shared" si="146"/>
        <v>0</v>
      </c>
      <c r="FE13" s="573">
        <f>IFERROR(FE12/FE11,0)</f>
        <v>0</v>
      </c>
      <c r="FF13" s="397">
        <f>IFERROR(FF12/FF11,0)</f>
        <v>0</v>
      </c>
      <c r="FG13" s="397">
        <f>IFERROR(FG12/FG11,0)</f>
        <v>0</v>
      </c>
      <c r="FH13" s="397">
        <f>IFERROR(FH12/FH11,0)</f>
        <v>0</v>
      </c>
      <c r="FI13" s="441">
        <f t="shared" ref="FI13:FJ13" si="147">IFERROR(FI12/FI11,0)</f>
        <v>0</v>
      </c>
      <c r="FJ13" s="441">
        <f t="shared" si="147"/>
        <v>0</v>
      </c>
      <c r="FK13" s="573">
        <f>IFERROR(FK12/FK11,0)</f>
        <v>0</v>
      </c>
      <c r="FL13" s="397">
        <f>IFERROR(FL12/FL11,0)</f>
        <v>0</v>
      </c>
      <c r="FM13" s="397">
        <f>IFERROR(FM12/FM11,0)</f>
        <v>0</v>
      </c>
      <c r="FN13" s="397">
        <f>IFERROR(FN12/FN11,0)</f>
        <v>0</v>
      </c>
      <c r="FO13" s="441">
        <f t="shared" ref="FO13:FP13" si="148">IFERROR(FO12/FO11,0)</f>
        <v>0</v>
      </c>
      <c r="FP13" s="441">
        <f t="shared" si="148"/>
        <v>0.16666666666666666</v>
      </c>
      <c r="FQ13" s="573">
        <f>IFERROR(FQ12/FQ11,0)</f>
        <v>6.25E-2</v>
      </c>
      <c r="FR13" s="397">
        <f>IFERROR(FR12/FR11,0)</f>
        <v>0.25</v>
      </c>
      <c r="FS13" s="397">
        <f>IFERROR(FS12/FS11,0)</f>
        <v>0</v>
      </c>
      <c r="FT13" s="397">
        <f>IFERROR(FT12/FT11,0)</f>
        <v>0</v>
      </c>
      <c r="FU13" s="441">
        <f t="shared" ref="FU13:FV13" si="149">IFERROR(FU12/FU11,0)</f>
        <v>0</v>
      </c>
      <c r="FV13" s="441">
        <f t="shared" si="149"/>
        <v>0</v>
      </c>
      <c r="FW13" s="573">
        <f>IFERROR(FW12/FW11,0)</f>
        <v>0.25</v>
      </c>
      <c r="FX13" s="397">
        <f>IFERROR(FX12/FX11,0)</f>
        <v>0</v>
      </c>
      <c r="FY13" s="397">
        <f>IFERROR(FY12/FY11,0)</f>
        <v>0</v>
      </c>
      <c r="FZ13" s="397">
        <f>IFERROR(FZ12/FZ11,0)</f>
        <v>0</v>
      </c>
      <c r="GA13" s="441">
        <f t="shared" ref="GA13:GB13" si="150">IFERROR(GA12/GA11,0)</f>
        <v>0</v>
      </c>
      <c r="GB13" s="441">
        <f t="shared" si="150"/>
        <v>0</v>
      </c>
      <c r="GC13" s="573">
        <f>IFERROR(GC12/GC11,0)</f>
        <v>0</v>
      </c>
      <c r="GD13" s="397">
        <f>IFERROR(GD12/GD11,0)</f>
        <v>0</v>
      </c>
      <c r="GE13" s="397">
        <f>IFERROR(GE12/GE11,0)</f>
        <v>0</v>
      </c>
      <c r="GF13" s="397">
        <f>IFERROR(GF12/GF11,0)</f>
        <v>0</v>
      </c>
      <c r="GG13" s="441">
        <f t="shared" ref="GG13:GH13" si="151">IFERROR(GG12/GG11,0)</f>
        <v>0</v>
      </c>
      <c r="GH13" s="441">
        <f t="shared" si="151"/>
        <v>0</v>
      </c>
      <c r="GI13" s="573">
        <f>IFERROR(GI12/GI11,0)</f>
        <v>0</v>
      </c>
      <c r="GJ13" s="397">
        <f>IFERROR(GJ12/GJ11,0)</f>
        <v>0</v>
      </c>
      <c r="GK13" s="397">
        <f>IFERROR(GK12/GK11,0)</f>
        <v>0</v>
      </c>
      <c r="GL13" s="397">
        <f>IFERROR(GL12/GL11,0)</f>
        <v>0</v>
      </c>
      <c r="GM13" s="441">
        <f t="shared" ref="GM13:GN13" si="152">IFERROR(GM12/GM11,0)</f>
        <v>0</v>
      </c>
      <c r="GN13" s="441">
        <f t="shared" si="152"/>
        <v>0</v>
      </c>
      <c r="GO13" s="573">
        <f>IFERROR(GO12/GO11,0)</f>
        <v>0</v>
      </c>
      <c r="GP13" s="397">
        <f>IFERROR(GP12/GP11,0)</f>
        <v>0</v>
      </c>
      <c r="GQ13" s="397">
        <f>IFERROR(GQ12/GQ11,0)</f>
        <v>0</v>
      </c>
      <c r="GR13" s="397">
        <f>IFERROR(GR12/GR11,0)</f>
        <v>0</v>
      </c>
      <c r="GS13" s="441">
        <f t="shared" ref="GS13:GT13" si="153">IFERROR(GS12/GS11,0)</f>
        <v>0</v>
      </c>
      <c r="GT13" s="441">
        <f t="shared" si="153"/>
        <v>0.2</v>
      </c>
      <c r="GU13" s="573">
        <f>IFERROR(GU12/GU11,0)</f>
        <v>0.14285714285714285</v>
      </c>
      <c r="GV13" s="397">
        <f>IFERROR(GV12/GV11,0)</f>
        <v>0</v>
      </c>
      <c r="GW13" s="397">
        <f>IFERROR(GW12/GW11,0)</f>
        <v>0.33333333333333331</v>
      </c>
      <c r="GX13" s="397">
        <f>IFERROR(GX12/GX11,0)</f>
        <v>0</v>
      </c>
      <c r="GY13" s="441">
        <f t="shared" ref="GY13:GZ13" si="154">IFERROR(GY12/GY11,0)</f>
        <v>0.16666666666666666</v>
      </c>
      <c r="GZ13" s="441">
        <f t="shared" si="154"/>
        <v>0</v>
      </c>
      <c r="HA13" s="573">
        <f>IFERROR(HA12/HA11,0)</f>
        <v>0.14285714285714285</v>
      </c>
    </row>
    <row r="14" spans="1:209" ht="15" thickTop="1" x14ac:dyDescent="0.3">
      <c r="A14" s="1558" t="s">
        <v>2109</v>
      </c>
      <c r="B14" s="428">
        <f>SUM(H14,N14,R14,W14,AC14,AI14,AO14,AU14,BA14,BG14,BM14,BS14,BY14,CE14,CK14,CQ14,CW14,DC14,DI14,DO14,DU14,EA14,EG14,EM14,ES14,EY14,FE14,FK14,FQ14,FW14,GC14,GI14,GO14,GU14,HA14)</f>
        <v>299</v>
      </c>
      <c r="C14" s="406">
        <f>COUNTIFS(STATUS!$Q:$Q,$A14,STATUS!$D:$D,C$1,STATUS!$K:$K,"РЕШ УВ DONE")</f>
        <v>4</v>
      </c>
      <c r="D14" s="406">
        <f>COUNTIFS(STATUS!$Q:$Q,$A14,STATUS!$D:$D,D$1,STATUS!$K:$K,"РЕШ УВ DONE")</f>
        <v>2</v>
      </c>
      <c r="E14" s="406">
        <f>COUNTIFS(STATUS!$Q:$Q,$A14,STATUS!$D:$D,E$1,STATUS!$K:$K,"РЕШ УВ DONE")</f>
        <v>5</v>
      </c>
      <c r="F14" s="406">
        <f>COUNTIFS(STATUS!$Q:$Q,$A14,STATUS!$D:$D,F$1,STATUS!$K:$K,"РЕШ УВ DONE")</f>
        <v>4</v>
      </c>
      <c r="G14" s="439">
        <f>COUNTIFS(STATUS!$Q:$Q,$A14,STATUS!$D:$D,G$1,STATUS!$K:$K,"РЕШ УВ DONE")</f>
        <v>2</v>
      </c>
      <c r="H14" s="572">
        <f>SUM(C14:G14)</f>
        <v>17</v>
      </c>
      <c r="I14" s="443">
        <f>COUNTIFS(STATUS!$Q:$Q,$A14,STATUS!$D:$D,I$1,STATUS!$K:$K,"РЕШ УВ DONE")</f>
        <v>3</v>
      </c>
      <c r="J14" s="406">
        <f>COUNTIFS(STATUS!$Q:$Q,$A14,STATUS!$D:$D,J$1,STATUS!$K:$K,"РЕШ УВ DONE")</f>
        <v>4</v>
      </c>
      <c r="K14" s="406">
        <f>COUNTIFS(STATUS!$Q:$Q,$A14,STATUS!$D:$D,K$1,STATUS!$K:$K,"РЕШ УВ DONE")</f>
        <v>1</v>
      </c>
      <c r="L14" s="406">
        <f>COUNTIFS(STATUS!$Q:$Q,$A14,STATUS!$D:$D,L$1,STATUS!$K:$K,"РЕШ УВ DONE")</f>
        <v>2</v>
      </c>
      <c r="M14" s="439">
        <f>COUNTIFS(STATUS!$Q:$Q,$A14,STATUS!$D:$D,M$1,STATUS!$K:$K,"РЕШ УВ DONE")</f>
        <v>0</v>
      </c>
      <c r="N14" s="572">
        <f>SUM(I14:M14)</f>
        <v>10</v>
      </c>
      <c r="O14" s="443">
        <f>COUNTIFS(STATUS!$Q:$Q,$A14,STATUS!$D:$D,O$1,STATUS!$K:$K,"РЕШ УВ DONE")</f>
        <v>2</v>
      </c>
      <c r="P14" s="406">
        <f>COUNTIFS(STATUS!$Q:$Q,$A14,STATUS!$D:$D,P$1,STATUS!$K:$K,"РЕШ УВ DONE")</f>
        <v>1</v>
      </c>
      <c r="Q14" s="406">
        <f>COUNTIFS(STATUS!$Q:$Q,$A14,STATUS!$D:$D,Q$1,STATUS!$K:$K,"РЕШ УВ DONE")</f>
        <v>2</v>
      </c>
      <c r="R14" s="571">
        <f>SUM(O14:Q14)</f>
        <v>5</v>
      </c>
      <c r="S14" s="406">
        <f>COUNTIFS(STATUS!$Q:$Q,$A14,STATUS!$D:$D,S$1,STATUS!$K:$K,"РЕШ УВ DONE")</f>
        <v>3</v>
      </c>
      <c r="T14" s="406">
        <f>COUNTIFS(STATUS!$Q:$Q,$A14,STATUS!$D:$D,T$1,STATUS!$K:$K,"РЕШ УВ DONE")</f>
        <v>6</v>
      </c>
      <c r="U14" s="406">
        <f>COUNTIFS(STATUS!$Q:$Q,$A14,STATUS!$D:$D,U$1,STATUS!$K:$K,"РЕШ УВ DONE")</f>
        <v>4</v>
      </c>
      <c r="V14" s="439">
        <f>COUNTIFS(STATUS!$Q:$Q,$A14,STATUS!$D:$D,V$1,STATUS!$K:$K,"РЕШ УВ DONE")</f>
        <v>3</v>
      </c>
      <c r="W14" s="571">
        <f>SUM(S14:V14)</f>
        <v>16</v>
      </c>
      <c r="X14" s="406">
        <f>COUNTIFS(STATUS!$Q:$Q,$A14,STATUS!$D:$D,X$1,STATUS!$K:$K,"РЕШ УВ DONE")</f>
        <v>6</v>
      </c>
      <c r="Y14" s="406">
        <f>COUNTIFS(STATUS!$Q:$Q,$A14,STATUS!$D:$D,Y$1,STATUS!$K:$K,"РЕШ УВ DONE")</f>
        <v>5</v>
      </c>
      <c r="Z14" s="406">
        <f>COUNTIFS(STATUS!$Q:$Q,$A14,STATUS!$D:$D,Z$1,STATUS!$K:$K,"РЕШ УВ DONE")</f>
        <v>3</v>
      </c>
      <c r="AA14" s="439">
        <f>COUNTIFS(STATUS!$Q:$Q,$A14,STATUS!$D:$D,AA$1,STATUS!$K:$K,"РЕШ УВ DONE")</f>
        <v>4</v>
      </c>
      <c r="AB14" s="439">
        <f>COUNTIFS(STATUS!$Q:$Q,$A14,STATUS!$D:$D,AB$1,STATUS!$K:$K,"РЕШ УВ DONE")</f>
        <v>4</v>
      </c>
      <c r="AC14" s="571">
        <f>SUM(X14:AB14)</f>
        <v>22</v>
      </c>
      <c r="AD14" s="406">
        <f>COUNTIFS(STATUS!$Q:$Q,$A14,STATUS!$D:$D,AD$1,STATUS!$K:$K,"РЕШ УВ DONE")</f>
        <v>1</v>
      </c>
      <c r="AE14" s="406">
        <f>COUNTIFS(STATUS!$Q:$Q,$A14,STATUS!$D:$D,AE$1,STATUS!$K:$K,"РЕШ УВ DONE")</f>
        <v>5</v>
      </c>
      <c r="AF14" s="406">
        <f>COUNTIFS(STATUS!$Q:$Q,$A14,STATUS!$D:$D,AF$1,STATUS!$K:$K,"РЕШ УВ DONE")</f>
        <v>4</v>
      </c>
      <c r="AG14" s="439">
        <f>COUNTIFS(STATUS!$Q:$Q,$A14,STATUS!$D:$D,AG$1,STATUS!$K:$K,"РЕШ УВ DONE")</f>
        <v>3</v>
      </c>
      <c r="AH14" s="439">
        <f>COUNTIFS(STATUS!$Q:$Q,$A14,STATUS!$D:$D,AH$1,STATUS!$K:$K,"РЕШ УВ DONE")</f>
        <v>0</v>
      </c>
      <c r="AI14" s="571">
        <f>SUM(AD14:AH14)</f>
        <v>13</v>
      </c>
      <c r="AJ14" s="406">
        <f>COUNTIFS(STATUS!$Q:$Q,$A14,STATUS!$D:$D,AJ$1,STATUS!$K:$K,"РЕШ УВ DONE")</f>
        <v>16</v>
      </c>
      <c r="AK14" s="406">
        <f>COUNTIFS(STATUS!$Q:$Q,$A14,STATUS!$D:$D,AK$1,STATUS!$K:$K,"РЕШ УВ DONE")</f>
        <v>4</v>
      </c>
      <c r="AL14" s="406">
        <f>COUNTIFS(STATUS!$Q:$Q,$A14,STATUS!$D:$D,AL$1,STATUS!$K:$K,"РЕШ УВ DONE")</f>
        <v>1</v>
      </c>
      <c r="AM14" s="439">
        <f>COUNTIFS(STATUS!$Q:$Q,$A14,STATUS!$D:$D,AM$1,STATUS!$K:$K,"РЕШ УВ DONE")</f>
        <v>3</v>
      </c>
      <c r="AN14" s="439">
        <f>COUNTIFS(STATUS!$Q:$Q,$A14,STATUS!$D:$D,AN$1,STATUS!$K:$K,"РЕШ УВ DONE")</f>
        <v>2</v>
      </c>
      <c r="AO14" s="571">
        <f>SUM(AJ14:AN14)</f>
        <v>26</v>
      </c>
      <c r="AP14" s="406">
        <f>COUNTIFS(STATUS!$Q:$Q,$A14,STATUS!$D:$D,AP$1,STATUS!$K:$K,"РЕШ УВ DONE")</f>
        <v>5</v>
      </c>
      <c r="AQ14" s="406">
        <f>COUNTIFS(STATUS!$Q:$Q,$A14,STATUS!$D:$D,AQ$1,STATUS!$K:$K,"РЕШ УВ DONE")</f>
        <v>3</v>
      </c>
      <c r="AR14" s="406">
        <f>COUNTIFS(STATUS!$Q:$Q,$A14,STATUS!$D:$D,AR$1,STATUS!$K:$K,"РЕШ УВ DONE")</f>
        <v>3</v>
      </c>
      <c r="AS14" s="439">
        <f>COUNTIFS(STATUS!$Q:$Q,$A14,STATUS!$D:$D,AS$1,STATUS!$K:$K,"РЕШ УВ DONE")</f>
        <v>2</v>
      </c>
      <c r="AT14" s="439">
        <f>COUNTIFS(STATUS!$Q:$Q,$A14,STATUS!$D:$D,AT$1,STATUS!$K:$K,"РЕШ УВ DONE")</f>
        <v>0</v>
      </c>
      <c r="AU14" s="571">
        <f>SUM(AP14:AT14)</f>
        <v>13</v>
      </c>
      <c r="AV14" s="406">
        <f>COUNTIFS(STATUS!$Q:$Q,$A14,STATUS!$D:$D,AV$1,STATUS!$K:$K,"РЕШ УВ DONE")</f>
        <v>3</v>
      </c>
      <c r="AW14" s="406">
        <f>COUNTIFS(STATUS!$Q:$Q,$A14,STATUS!$D:$D,AW$1,STATUS!$K:$K,"РЕШ УВ DONE")</f>
        <v>41</v>
      </c>
      <c r="AX14" s="406">
        <f>COUNTIFS(STATUS!$Q:$Q,$A14,STATUS!$D:$D,AX$1,STATUS!$K:$K,"РЕШ УВ DONE")</f>
        <v>1</v>
      </c>
      <c r="AY14" s="439">
        <f>COUNTIFS(STATUS!$Q:$Q,$A14,STATUS!$D:$D,AY$1,STATUS!$K:$K,"РЕШ УВ DONE")</f>
        <v>2</v>
      </c>
      <c r="AZ14" s="439">
        <f>COUNTIFS(STATUS!$Q:$Q,$A14,STATUS!$D:$D,AZ$1,STATUS!$K:$K,"РЕШ УВ DONE")</f>
        <v>4</v>
      </c>
      <c r="BA14" s="571">
        <f>SUM(AV14:AZ14)</f>
        <v>51</v>
      </c>
      <c r="BB14" s="406">
        <f>COUNTIFS(STATUS!$Q:$Q,$A14,STATUS!$D:$D,BB$1,STATUS!$K:$K,"РЕШ УВ DONE")</f>
        <v>2</v>
      </c>
      <c r="BC14" s="406">
        <f>COUNTIFS(STATUS!$Q:$Q,$A14,STATUS!$D:$D,BC$1,STATUS!$K:$K,"РЕШ УВ DONE")</f>
        <v>4</v>
      </c>
      <c r="BD14" s="406">
        <f>COUNTIFS(STATUS!$Q:$Q,$A14,STATUS!$D:$D,BD$1,STATUS!$K:$K,"РЕШ УВ DONE")</f>
        <v>0</v>
      </c>
      <c r="BE14" s="439">
        <f>COUNTIFS(STATUS!$Q:$Q,$A14,STATUS!$D:$D,BE$1,STATUS!$K:$K,"РЕШ УВ DONE")</f>
        <v>6</v>
      </c>
      <c r="BF14" s="439">
        <f>COUNTIFS(STATUS!$Q:$Q,$A14,STATUS!$D:$D,BF$1,STATUS!$K:$K,"РЕШ УВ DONE")</f>
        <v>4</v>
      </c>
      <c r="BG14" s="571">
        <f>SUM(BB14:BF14)</f>
        <v>16</v>
      </c>
      <c r="BH14" s="406">
        <f>COUNTIFS(STATUS!$Q:$Q,$A14,STATUS!$D:$D,BH$1,STATUS!$K:$K,"РЕШ УВ DONE")</f>
        <v>3</v>
      </c>
      <c r="BI14" s="406">
        <f>COUNTIFS(STATUS!$Q:$Q,$A14,STATUS!$D:$D,BI$1,STATUS!$K:$K,"РЕШ УВ DONE")</f>
        <v>2</v>
      </c>
      <c r="BJ14" s="406">
        <f>COUNTIFS(STATUS!$Q:$Q,$A14,STATUS!$D:$D,BJ$1,STATUS!$K:$K,"РЕШ УВ DONE")</f>
        <v>0</v>
      </c>
      <c r="BK14" s="439">
        <f>COUNTIFS(STATUS!$Q:$Q,$A14,STATUS!$D:$D,BK$1,STATUS!$K:$K,"РЕШ УВ DONE")</f>
        <v>5</v>
      </c>
      <c r="BL14" s="439">
        <f>COUNTIFS(STATUS!$Q:$Q,$A14,STATUS!$D:$D,BL$1,STATUS!$K:$K,"РЕШ УВ DONE")</f>
        <v>4</v>
      </c>
      <c r="BM14" s="571">
        <f>SUM(BH14:BL14)</f>
        <v>14</v>
      </c>
      <c r="BN14" s="406">
        <f>COUNTIFS(STATUS!$Q:$Q,$A14,STATUS!$D:$D,BN$1,STATUS!$K:$K,"РЕШ УВ DONE")</f>
        <v>2</v>
      </c>
      <c r="BO14" s="406">
        <f>COUNTIFS(STATUS!$Q:$Q,$A14,STATUS!$D:$D,BO$1,STATUS!$K:$K,"РЕШ УВ DONE")</f>
        <v>1</v>
      </c>
      <c r="BP14" s="406">
        <f>COUNTIFS(STATUS!$Q:$Q,$A14,STATUS!$D:$D,BP$1,STATUS!$K:$K,"РЕШ УВ DONE")</f>
        <v>3</v>
      </c>
      <c r="BQ14" s="439">
        <f>COUNTIFS(STATUS!$Q:$Q,$A14,STATUS!$D:$D,BQ$1,STATUS!$K:$K,"РЕШ УВ DONE")</f>
        <v>4</v>
      </c>
      <c r="BR14" s="439">
        <f>COUNTIFS(STATUS!$Q:$Q,$A14,STATUS!$D:$D,BR$1,STATUS!$K:$K,"РЕШ УВ DONE")</f>
        <v>4</v>
      </c>
      <c r="BS14" s="571">
        <f>SUM(BN14:BR14)</f>
        <v>14</v>
      </c>
      <c r="BT14" s="406">
        <f>COUNTIFS(STATUS!$Q:$Q,$A14,STATUS!$D:$D,BT$1,STATUS!$K:$K,"РЕШ УВ DONE")</f>
        <v>1</v>
      </c>
      <c r="BU14" s="406">
        <f>COUNTIFS(STATUS!$Q:$Q,$A14,STATUS!$D:$D,BU$1,STATUS!$K:$K,"РЕШ УВ DONE")</f>
        <v>1</v>
      </c>
      <c r="BV14" s="406">
        <f>COUNTIFS(STATUS!$Q:$Q,$A14,STATUS!$D:$D,BV$1,STATUS!$K:$K,"РЕШ УВ DONE")</f>
        <v>2</v>
      </c>
      <c r="BW14" s="439">
        <f>COUNTIFS(STATUS!$Q:$Q,$A14,STATUS!$D:$D,BW$1,STATUS!$K:$K,"РЕШ УВ DONE")</f>
        <v>5</v>
      </c>
      <c r="BX14" s="439">
        <f>COUNTIFS(STATUS!$Q:$Q,$A14,STATUS!$D:$D,BX$1,STATUS!$K:$K,"РЕШ УВ DONE")</f>
        <v>0</v>
      </c>
      <c r="BY14" s="571">
        <f>SUM(BT14:BX14)</f>
        <v>9</v>
      </c>
      <c r="BZ14" s="406">
        <f>COUNTIFS(STATUS!$Q:$Q,$A14,STATUS!$D:$D,BZ$1,STATUS!$K:$K,"РЕШ УВ DONE")</f>
        <v>0</v>
      </c>
      <c r="CA14" s="406">
        <f>COUNTIFS(STATUS!$Q:$Q,$A14,STATUS!$D:$D,CA$1,STATUS!$K:$K,"РЕШ УВ DONE")</f>
        <v>1</v>
      </c>
      <c r="CB14" s="406">
        <f>COUNTIFS(STATUS!$Q:$Q,$A14,STATUS!$D:$D,CB$1,STATUS!$K:$K,"РЕШ УВ DONE")</f>
        <v>1</v>
      </c>
      <c r="CC14" s="439">
        <f>COUNTIFS(STATUS!$Q:$Q,$A14,STATUS!$D:$D,CC$1,STATUS!$K:$K,"РЕШ УВ DONE")</f>
        <v>4</v>
      </c>
      <c r="CD14" s="439">
        <f>COUNTIFS(STATUS!$Q:$Q,$A14,STATUS!$D:$D,CD$1,STATUS!$K:$K,"РЕШ УВ DONE")</f>
        <v>4</v>
      </c>
      <c r="CE14" s="571">
        <f>SUM(BZ14:CD14)</f>
        <v>10</v>
      </c>
      <c r="CF14" s="406">
        <f>COUNTIFS(STATUS!$Q:$Q,$A14,STATUS!$D:$D,CF$1,STATUS!$K:$K,"РЕШ УВ DONE")</f>
        <v>3</v>
      </c>
      <c r="CG14" s="406">
        <f>COUNTIFS(STATUS!$Q:$Q,$A14,STATUS!$D:$D,CG$1,STATUS!$K:$K,"РЕШ УВ DONE")</f>
        <v>3</v>
      </c>
      <c r="CH14" s="406">
        <f>COUNTIFS(STATUS!$Q:$Q,$A14,STATUS!$D:$D,CH$1,STATUS!$K:$K,"РЕШ УВ DONE")</f>
        <v>6</v>
      </c>
      <c r="CI14" s="439">
        <f>COUNTIFS(STATUS!$Q:$Q,$A14,STATUS!$D:$D,CI$1,STATUS!$K:$K,"РЕШ УВ DONE")</f>
        <v>4</v>
      </c>
      <c r="CJ14" s="439">
        <f>COUNTIFS(STATUS!$Q:$Q,$A14,STATUS!$D:$D,CJ$1,STATUS!$K:$K,"РЕШ УВ DONE")</f>
        <v>4</v>
      </c>
      <c r="CK14" s="571">
        <f>SUM(CF14:CJ14)</f>
        <v>20</v>
      </c>
      <c r="CL14" s="406">
        <f>COUNTIFS(STATUS!$Q:$Q,$A14,STATUS!$D:$D,CL$1,STATUS!$K:$K,"РЕШ УВ DONE")</f>
        <v>0</v>
      </c>
      <c r="CM14" s="406">
        <f>COUNTIFS(STATUS!$Q:$Q,$A14,STATUS!$D:$D,CM$1,STATUS!$K:$K,"РЕШ УВ DONE")</f>
        <v>0</v>
      </c>
      <c r="CN14" s="406">
        <f>COUNTIFS(STATUS!$Q:$Q,$A14,STATUS!$D:$D,CN$1,STATUS!$K:$K,"РЕШ УВ DONE")</f>
        <v>0</v>
      </c>
      <c r="CO14" s="439">
        <f>COUNTIFS(STATUS!$Q:$Q,$A14,STATUS!$D:$D,CO$1,STATUS!$K:$K,"РЕШ УВ DONE")</f>
        <v>0</v>
      </c>
      <c r="CP14" s="439">
        <f>COUNTIFS(STATUS!$Q:$Q,$A14,STATUS!$D:$D,CP$1,STATUS!$K:$K,"РЕШ УВ DONE")</f>
        <v>0</v>
      </c>
      <c r="CQ14" s="1238">
        <f>SUM(CL14:CP14)</f>
        <v>0</v>
      </c>
      <c r="CR14" s="406">
        <f>COUNTIFS(STATUS!$Q:$Q,$A14,STATUS!$D:$D,CR$1,STATUS!$K:$K,"РЕШ УВ DONE")</f>
        <v>0</v>
      </c>
      <c r="CS14" s="406">
        <f>COUNTIFS(STATUS!$Q:$Q,$A14,STATUS!$D:$D,CS$1,STATUS!$K:$K,"РЕШ УВ DONE")</f>
        <v>0</v>
      </c>
      <c r="CT14" s="406">
        <f>COUNTIFS(STATUS!$Q:$Q,$A14,STATUS!$D:$D,CT$1,STATUS!$K:$K,"РЕШ УВ DONE")</f>
        <v>0</v>
      </c>
      <c r="CU14" s="439">
        <f>COUNTIFS(STATUS!$Q:$Q,$A14,STATUS!$D:$D,CU$1,STATUS!$K:$K,"РЕШ УВ DONE")</f>
        <v>0</v>
      </c>
      <c r="CV14" s="439">
        <f>COUNTIFS(STATUS!$Q:$Q,$A14,STATUS!$D:$D,CV$1,STATUS!$K:$K,"РЕШ УВ DONE")</f>
        <v>0</v>
      </c>
      <c r="CW14" s="1238">
        <f>SUM(CR14:CV14)</f>
        <v>0</v>
      </c>
      <c r="CX14" s="406">
        <f>COUNTIFS(STATUS!$Q:$Q,$A14,STATUS!$D:$D,CX$1,STATUS!$K:$K,"РЕШ УВ DONE")</f>
        <v>0</v>
      </c>
      <c r="CY14" s="406">
        <f>COUNTIFS(STATUS!$Q:$Q,$A14,STATUS!$D:$D,CY$1,STATUS!$K:$K,"РЕШ УВ DONE")</f>
        <v>4</v>
      </c>
      <c r="CZ14" s="406">
        <f>COUNTIFS(STATUS!$Q:$Q,$A14,STATUS!$D:$D,CZ$1,STATUS!$K:$K,"РЕШ УВ DONE")</f>
        <v>3</v>
      </c>
      <c r="DA14" s="439">
        <f>COUNTIFS(STATUS!$Q:$Q,$A14,STATUS!$D:$D,DA$1,STATUS!$K:$K,"РЕШ УВ DONE")</f>
        <v>3</v>
      </c>
      <c r="DB14" s="439">
        <f>COUNTIFS(STATUS!$Q:$Q,$A14,STATUS!$D:$D,DB$1,STATUS!$K:$K,"РЕШ УВ DONE")</f>
        <v>3</v>
      </c>
      <c r="DC14" s="571">
        <f>SUM(CX14:DB14)</f>
        <v>13</v>
      </c>
      <c r="DD14" s="406">
        <f>COUNTIFS(STATUS!$Q:$Q,$A14,STATUS!$D:$D,DD$1,STATUS!$K:$K,"РЕШ УВ DONE")</f>
        <v>3</v>
      </c>
      <c r="DE14" s="406">
        <f>COUNTIFS(STATUS!$Q:$Q,$A14,STATUS!$D:$D,DE$1,STATUS!$K:$K,"РЕШ УВ DONE")</f>
        <v>3</v>
      </c>
      <c r="DF14" s="406">
        <f>COUNTIFS(STATUS!$Q:$Q,$A14,STATUS!$D:$D,DF$1,STATUS!$K:$K,"РЕШ УВ DONE")</f>
        <v>2</v>
      </c>
      <c r="DG14" s="439">
        <f>COUNTIFS(STATUS!$Q:$Q,$A14,STATUS!$D:$D,DG$1,STATUS!$K:$K,"РЕШ УВ DONE")</f>
        <v>5</v>
      </c>
      <c r="DH14" s="439">
        <f>COUNTIFS(STATUS!$Q:$Q,$A14,STATUS!$D:$D,DH$1,STATUS!$K:$K,"РЕШ УВ DONE")</f>
        <v>2</v>
      </c>
      <c r="DI14" s="571">
        <f>SUM(DD14:DH14)</f>
        <v>15</v>
      </c>
      <c r="DJ14" s="406">
        <f>COUNTIFS(STATUS!$Q:$Q,$A14,STATUS!$D:$D,DJ$1,STATUS!$K:$K,"РЕШ УВ DONE")</f>
        <v>3</v>
      </c>
      <c r="DK14" s="406">
        <f>COUNTIFS(STATUS!$Q:$Q,$A14,STATUS!$D:$D,DK$1,STATUS!$K:$K,"РЕШ УВ DONE")</f>
        <v>3</v>
      </c>
      <c r="DL14" s="406">
        <f>COUNTIFS(STATUS!$Q:$Q,$A14,STATUS!$D:$D,DL$1,STATUS!$K:$K,"РЕШ УВ DONE")</f>
        <v>4</v>
      </c>
      <c r="DM14" s="439">
        <f>COUNTIFS(STATUS!$Q:$Q,$A14,STATUS!$D:$D,DM$1,STATUS!$K:$K,"РЕШ УВ DONE")</f>
        <v>3</v>
      </c>
      <c r="DN14" s="439">
        <f>COUNTIFS(STATUS!$Q:$Q,$A14,STATUS!$D:$D,DN$1,STATUS!$K:$K,"РЕШ УВ DONE")</f>
        <v>2</v>
      </c>
      <c r="DO14" s="571">
        <f>SUM(DJ14:DN14)</f>
        <v>15</v>
      </c>
      <c r="DP14" s="574">
        <f>COUNTIFS(STATUS!$Q:$Q,$A14,STATUS!$D:$D,DP$1,STATUS!$K:$K,"РЕШ УВ DONE")</f>
        <v>0</v>
      </c>
      <c r="DQ14" s="574">
        <f>COUNTIFS(STATUS!$Q:$Q,$A14,STATUS!$D:$D,DQ$1,STATUS!$K:$K,"РЕШ УВ DONE")</f>
        <v>0</v>
      </c>
      <c r="DR14" s="574">
        <f>COUNTIFS(STATUS!$Q:$Q,$A14,STATUS!$D:$D,DR$1,STATUS!$K:$K,"РЕШ УВ DONE")</f>
        <v>0</v>
      </c>
      <c r="DS14" s="575">
        <f>COUNTIFS(STATUS!$Q:$Q,$A14,STATUS!$D:$D,DS$1,STATUS!$K:$K,"РЕШ УВ DONE")</f>
        <v>0</v>
      </c>
      <c r="DT14" s="575">
        <f>COUNTIFS(STATUS!$Q:$Q,$A14,STATUS!$D:$D,DT$1,STATUS!$K:$K,"РЕШ УВ DONE")</f>
        <v>0</v>
      </c>
      <c r="DU14" s="1238">
        <f>SUM(DP14:DT14)</f>
        <v>0</v>
      </c>
      <c r="DV14" s="574">
        <f>COUNTIFS(STATUS!$Q:$Q,$A14,STATUS!$D:$D,DV$1,STATUS!$K:$K,"РЕШ УВ DONE")</f>
        <v>0</v>
      </c>
      <c r="DW14" s="574">
        <f>COUNTIFS(STATUS!$Q:$Q,$A14,STATUS!$D:$D,DW$1,STATUS!$K:$K,"РЕШ УВ DONE")</f>
        <v>0</v>
      </c>
      <c r="DX14" s="574">
        <f>COUNTIFS(STATUS!$Q:$Q,$A14,STATUS!$D:$D,DX$1,STATUS!$K:$K,"РЕШ УВ DONE")</f>
        <v>0</v>
      </c>
      <c r="DY14" s="575">
        <f>COUNTIFS(STATUS!$Q:$Q,$A14,STATUS!$D:$D,DY$1,STATUS!$K:$K,"РЕШ УВ DONE")</f>
        <v>0</v>
      </c>
      <c r="DZ14" s="575">
        <f>COUNTIFS(STATUS!$Q:$Q,$A14,STATUS!$D:$D,DZ$1,STATUS!$K:$K,"РЕШ УВ DONE")</f>
        <v>0</v>
      </c>
      <c r="EA14" s="1238">
        <f>SUM(DV14:DZ14)</f>
        <v>0</v>
      </c>
      <c r="EB14" s="574">
        <f>COUNTIFS(STATUS!$Q:$Q,$A14,STATUS!$D:$D,EB$1,STATUS!$K:$K,"РЕШ УВ DONE")</f>
        <v>0</v>
      </c>
      <c r="EC14" s="574">
        <f>COUNTIFS(STATUS!$Q:$Q,$A14,STATUS!$D:$D,EC$1,STATUS!$K:$K,"РЕШ УВ DONE")</f>
        <v>0</v>
      </c>
      <c r="ED14" s="574">
        <f>COUNTIFS(STATUS!$Q:$Q,$A14,STATUS!$D:$D,ED$1,STATUS!$K:$K,"РЕШ УВ DONE")</f>
        <v>0</v>
      </c>
      <c r="EE14" s="575">
        <f>COUNTIFS(STATUS!$Q:$Q,$A14,STATUS!$D:$D,EE$1,STATUS!$K:$K,"РЕШ УВ DONE")</f>
        <v>0</v>
      </c>
      <c r="EF14" s="575">
        <f>COUNTIFS(STATUS!$Q:$Q,$A14,STATUS!$D:$D,EF$1,STATUS!$K:$K,"РЕШ УВ DONE")</f>
        <v>0</v>
      </c>
      <c r="EG14" s="1238">
        <f>SUM(EB14:EF14)</f>
        <v>0</v>
      </c>
      <c r="EH14" s="574">
        <f>COUNTIFS(STATUS!$Q:$Q,$A14,STATUS!$D:$D,EH$1,STATUS!$K:$K,"РЕШ УВ DONE")</f>
        <v>0</v>
      </c>
      <c r="EI14" s="574">
        <f>COUNTIFS(STATUS!$Q:$Q,$A14,STATUS!$D:$D,EI$1,STATUS!$K:$K,"РЕШ УВ DONE")</f>
        <v>0</v>
      </c>
      <c r="EJ14" s="574">
        <f>COUNTIFS(STATUS!$Q:$Q,$A14,STATUS!$D:$D,EJ$1,STATUS!$K:$K,"РЕШ УВ DONE")</f>
        <v>0</v>
      </c>
      <c r="EK14" s="575">
        <f>COUNTIFS(STATUS!$Q:$Q,$A14,STATUS!$D:$D,EK$1,STATUS!$K:$K,"РЕШ УВ DONE")</f>
        <v>0</v>
      </c>
      <c r="EL14" s="575">
        <f>COUNTIFS(STATUS!$Q:$Q,$A14,STATUS!$D:$D,EL$1,STATUS!$K:$K,"РЕШ УВ DONE")</f>
        <v>0</v>
      </c>
      <c r="EM14" s="1238">
        <f>SUM(EH14:EL14)</f>
        <v>0</v>
      </c>
      <c r="EN14" s="574">
        <f>COUNTIFS(STATUS!$Q:$Q,$A14,STATUS!$D:$D,EN$1,STATUS!$K:$K,"РЕШ УВ DONE")</f>
        <v>0</v>
      </c>
      <c r="EO14" s="574">
        <f>COUNTIFS(STATUS!$Q:$Q,$A14,STATUS!$D:$D,EO$1,STATUS!$K:$K,"РЕШ УВ DONE")</f>
        <v>0</v>
      </c>
      <c r="EP14" s="574">
        <f>COUNTIFS(STATUS!$Q:$Q,$A14,STATUS!$D:$D,EP$1,STATUS!$K:$K,"РЕШ УВ DONE")</f>
        <v>0</v>
      </c>
      <c r="EQ14" s="575">
        <f>COUNTIFS(STATUS!$Q:$Q,$A14,STATUS!$D:$D,EQ$1,STATUS!$K:$K,"РЕШ УВ DONE")</f>
        <v>0</v>
      </c>
      <c r="ER14" s="575">
        <f>COUNTIFS(STATUS!$Q:$Q,$A14,STATUS!$D:$D,ER$1,STATUS!$K:$K,"РЕШ УВ DONE")</f>
        <v>0</v>
      </c>
      <c r="ES14" s="1238">
        <f>SUM(EN14:ER14)</f>
        <v>0</v>
      </c>
      <c r="ET14" s="574">
        <f>COUNTIFS(STATUS!$Q:$Q,$A14,STATUS!$D:$D,ET$1,STATUS!$K:$K,"РЕШ УВ DONE")</f>
        <v>0</v>
      </c>
      <c r="EU14" s="574">
        <f>COUNTIFS(STATUS!$Q:$Q,$A14,STATUS!$D:$D,EU$1,STATUS!$K:$K,"РЕШ УВ DONE")</f>
        <v>0</v>
      </c>
      <c r="EV14" s="574">
        <f>COUNTIFS(STATUS!$Q:$Q,$A14,STATUS!$D:$D,EV$1,STATUS!$K:$K,"РЕШ УВ DONE")</f>
        <v>0</v>
      </c>
      <c r="EW14" s="575">
        <f>COUNTIFS(STATUS!$Q:$Q,$A14,STATUS!$D:$D,EW$1,STATUS!$K:$K,"РЕШ УВ DONE")</f>
        <v>0</v>
      </c>
      <c r="EX14" s="575">
        <f>COUNTIFS(STATUS!$Q:$Q,$A14,STATUS!$D:$D,EX$1,STATUS!$K:$K,"РЕШ УВ DONE")</f>
        <v>0</v>
      </c>
      <c r="EY14" s="1238">
        <f>SUM(ET14:EX14)</f>
        <v>0</v>
      </c>
      <c r="EZ14" s="574">
        <f>COUNTIFS(STATUS!$Q:$Q,$A14,STATUS!$D:$D,EZ$1,STATUS!$K:$K,"РЕШ УВ DONE")</f>
        <v>0</v>
      </c>
      <c r="FA14" s="574">
        <f>COUNTIFS(STATUS!$Q:$Q,$A14,STATUS!$D:$D,FA$1,STATUS!$K:$K,"РЕШ УВ DONE")</f>
        <v>0</v>
      </c>
      <c r="FB14" s="574">
        <f>COUNTIFS(STATUS!$Q:$Q,$A14,STATUS!$D:$D,FB$1,STATUS!$K:$K,"РЕШ УВ DONE")</f>
        <v>0</v>
      </c>
      <c r="FC14" s="575">
        <f>COUNTIFS(STATUS!$Q:$Q,$A14,STATUS!$D:$D,FC$1,STATUS!$K:$K,"РЕШ УВ DONE")</f>
        <v>0</v>
      </c>
      <c r="FD14" s="575">
        <f>COUNTIFS(STATUS!$Q:$Q,$A14,STATUS!$D:$D,FD$1,STATUS!$K:$K,"РЕШ УВ DONE")</f>
        <v>0</v>
      </c>
      <c r="FE14" s="1238">
        <f>SUM(EZ14:FD14)</f>
        <v>0</v>
      </c>
      <c r="FF14" s="574">
        <f>COUNTIFS(STATUS!$Q:$Q,$A14,STATUS!$D:$D,FF$1,STATUS!$K:$K,"РЕШ УВ DONE")</f>
        <v>0</v>
      </c>
      <c r="FG14" s="574">
        <f>COUNTIFS(STATUS!$Q:$Q,$A14,STATUS!$D:$D,FG$1,STATUS!$K:$K,"РЕШ УВ DONE")</f>
        <v>0</v>
      </c>
      <c r="FH14" s="574">
        <f>COUNTIFS(STATUS!$Q:$Q,$A14,STATUS!$D:$D,FH$1,STATUS!$K:$K,"РЕШ УВ DONE")</f>
        <v>0</v>
      </c>
      <c r="FI14" s="575">
        <f>COUNTIFS(STATUS!$Q:$Q,$A14,STATUS!$D:$D,FI$1,STATUS!$K:$K,"РЕШ УВ DONE")</f>
        <v>0</v>
      </c>
      <c r="FJ14" s="575">
        <f>COUNTIFS(STATUS!$Q:$Q,$A14,STATUS!$D:$D,FJ$1,STATUS!$K:$K,"РЕШ УВ DONE")</f>
        <v>0</v>
      </c>
      <c r="FK14" s="1238">
        <f>SUM(FF14:FJ14)</f>
        <v>0</v>
      </c>
      <c r="FL14" s="574">
        <f>COUNTIFS(STATUS!$Q:$Q,$A14,STATUS!$D:$D,FL$1,STATUS!$K:$K,"РЕШ УВ DONE")</f>
        <v>0</v>
      </c>
      <c r="FM14" s="574">
        <f>COUNTIFS(STATUS!$Q:$Q,$A14,STATUS!$D:$D,FM$1,STATUS!$K:$K,"РЕШ УВ DONE")</f>
        <v>0</v>
      </c>
      <c r="FN14" s="574">
        <f>COUNTIFS(STATUS!$Q:$Q,$A14,STATUS!$D:$D,FN$1,STATUS!$K:$K,"РЕШ УВ DONE")</f>
        <v>0</v>
      </c>
      <c r="FO14" s="575">
        <f>COUNTIFS(STATUS!$Q:$Q,$A14,STATUS!$D:$D,FO$1,STATUS!$K:$K,"РЕШ УВ DONE")</f>
        <v>0</v>
      </c>
      <c r="FP14" s="575">
        <f>COUNTIFS(STATUS!$Q:$Q,$A14,STATUS!$D:$D,FP$1,STATUS!$K:$K,"РЕШ УВ DONE")</f>
        <v>0</v>
      </c>
      <c r="FQ14" s="1238">
        <f>SUM(FL14:FP14)</f>
        <v>0</v>
      </c>
      <c r="FR14" s="574">
        <f>COUNTIFS(STATUS!$Q:$Q,$A14,STATUS!$D:$D,FR$1,STATUS!$K:$K,"РЕШ УВ DONE")</f>
        <v>0</v>
      </c>
      <c r="FS14" s="574">
        <f>COUNTIFS(STATUS!$Q:$Q,$A14,STATUS!$D:$D,FS$1,STATUS!$K:$K,"РЕШ УВ DONE")</f>
        <v>0</v>
      </c>
      <c r="FT14" s="574">
        <f>COUNTIFS(STATUS!$Q:$Q,$A14,STATUS!$D:$D,FT$1,STATUS!$K:$K,"РЕШ УВ DONE")</f>
        <v>0</v>
      </c>
      <c r="FU14" s="575">
        <f>COUNTIFS(STATUS!$Q:$Q,$A14,STATUS!$D:$D,FU$1,STATUS!$K:$K,"РЕШ УВ DONE")</f>
        <v>0</v>
      </c>
      <c r="FV14" s="575">
        <f>COUNTIFS(STATUS!$Q:$Q,$A14,STATUS!$D:$D,FV$1,STATUS!$K:$K,"РЕШ УВ DONE")</f>
        <v>0</v>
      </c>
      <c r="FW14" s="1238">
        <f>SUM(FR14:FV14)</f>
        <v>0</v>
      </c>
      <c r="FX14" s="574">
        <f>COUNTIFS(STATUS!$Q:$Q,$A14,STATUS!$D:$D,FX$1,STATUS!$K:$K,"РЕШ УВ DONE")</f>
        <v>0</v>
      </c>
      <c r="FY14" s="574">
        <f>COUNTIFS(STATUS!$Q:$Q,$A14,STATUS!$D:$D,FY$1,STATUS!$K:$K,"РЕШ УВ DONE")</f>
        <v>0</v>
      </c>
      <c r="FZ14" s="574">
        <f>COUNTIFS(STATUS!$Q:$Q,$A14,STATUS!$D:$D,FZ$1,STATUS!$K:$K,"РЕШ УВ DONE")</f>
        <v>0</v>
      </c>
      <c r="GA14" s="575">
        <f>COUNTIFS(STATUS!$Q:$Q,$A14,STATUS!$D:$D,GA$1,STATUS!$K:$K,"РЕШ УВ DONE")</f>
        <v>0</v>
      </c>
      <c r="GB14" s="575">
        <f>COUNTIFS(STATUS!$Q:$Q,$A14,STATUS!$D:$D,GB$1,STATUS!$K:$K,"РЕШ УВ DONE")</f>
        <v>0</v>
      </c>
      <c r="GC14" s="1238">
        <f>SUM(FX14:GB14)</f>
        <v>0</v>
      </c>
      <c r="GD14" s="574">
        <f>COUNTIFS(STATUS!$Q:$Q,$A14,STATUS!$D:$D,GD$1,STATUS!$K:$K,"РЕШ УВ DONE")</f>
        <v>0</v>
      </c>
      <c r="GE14" s="574">
        <f>COUNTIFS(STATUS!$Q:$Q,$A14,STATUS!$D:$D,GE$1,STATUS!$K:$K,"РЕШ УВ DONE")</f>
        <v>0</v>
      </c>
      <c r="GF14" s="574">
        <f>COUNTIFS(STATUS!$Q:$Q,$A14,STATUS!$D:$D,GF$1,STATUS!$K:$K,"РЕШ УВ DONE")</f>
        <v>0</v>
      </c>
      <c r="GG14" s="575">
        <f>COUNTIFS(STATUS!$Q:$Q,$A14,STATUS!$D:$D,GG$1,STATUS!$K:$K,"РЕШ УВ DONE")</f>
        <v>0</v>
      </c>
      <c r="GH14" s="575">
        <f>COUNTIFS(STATUS!$Q:$Q,$A14,STATUS!$D:$D,GH$1,STATUS!$K:$K,"РЕШ УВ DONE")</f>
        <v>0</v>
      </c>
      <c r="GI14" s="1238">
        <f>SUM(GD14:GH14)</f>
        <v>0</v>
      </c>
      <c r="GJ14" s="574">
        <f>COUNTIFS(STATUS!$Q:$Q,$A14,STATUS!$D:$D,GJ$1,STATUS!$K:$K,"РЕШ УВ DONE")</f>
        <v>0</v>
      </c>
      <c r="GK14" s="574">
        <f>COUNTIFS(STATUS!$Q:$Q,$A14,STATUS!$D:$D,GK$1,STATUS!$K:$K,"РЕШ УВ DONE")</f>
        <v>0</v>
      </c>
      <c r="GL14" s="574">
        <f>COUNTIFS(STATUS!$Q:$Q,$A14,STATUS!$D:$D,GL$1,STATUS!$K:$K,"РЕШ УВ DONE")</f>
        <v>0</v>
      </c>
      <c r="GM14" s="575">
        <f>COUNTIFS(STATUS!$Q:$Q,$A14,STATUS!$D:$D,GM$1,STATUS!$K:$K,"РЕШ УВ DONE")</f>
        <v>0</v>
      </c>
      <c r="GN14" s="575">
        <f>COUNTIFS(STATUS!$Q:$Q,$A14,STATUS!$D:$D,GN$1,STATUS!$K:$K,"РЕШ УВ DONE")</f>
        <v>0</v>
      </c>
      <c r="GO14" s="1238">
        <f>SUM(GJ14:GN14)</f>
        <v>0</v>
      </c>
      <c r="GP14" s="574">
        <f>COUNTIFS(STATUS!$Q:$Q,$A14,STATUS!$D:$D,GP$1,STATUS!$K:$K,"РЕШ УВ DONE")</f>
        <v>0</v>
      </c>
      <c r="GQ14" s="574">
        <f>COUNTIFS(STATUS!$Q:$Q,$A14,STATUS!$D:$D,GQ$1,STATUS!$K:$K,"РЕШ УВ DONE")</f>
        <v>0</v>
      </c>
      <c r="GR14" s="574">
        <f>COUNTIFS(STATUS!$Q:$Q,$A14,STATUS!$D:$D,GR$1,STATUS!$K:$K,"РЕШ УВ DONE")</f>
        <v>0</v>
      </c>
      <c r="GS14" s="575">
        <f>COUNTIFS(STATUS!$Q:$Q,$A14,STATUS!$D:$D,GS$1,STATUS!$K:$K,"РЕШ УВ DONE")</f>
        <v>0</v>
      </c>
      <c r="GT14" s="575">
        <f>COUNTIFS(STATUS!$Q:$Q,$A14,STATUS!$D:$D,GT$1,STATUS!$K:$K,"РЕШ УВ DONE")</f>
        <v>0</v>
      </c>
      <c r="GU14" s="1238">
        <f>SUM(GP14:GT14)</f>
        <v>0</v>
      </c>
      <c r="GV14" s="574">
        <f>COUNTIFS(STATUS!$Q:$Q,$A14,STATUS!$D:$D,GV$1,STATUS!$K:$K,"РЕШ УВ DONE")</f>
        <v>0</v>
      </c>
      <c r="GW14" s="574">
        <f>COUNTIFS(STATUS!$Q:$Q,$A14,STATUS!$D:$D,GW$1,STATUS!$K:$K,"РЕШ УВ DONE")</f>
        <v>0</v>
      </c>
      <c r="GX14" s="574">
        <f>COUNTIFS(STATUS!$Q:$Q,$A14,STATUS!$D:$D,GX$1,STATUS!$K:$K,"РЕШ УВ DONE")</f>
        <v>0</v>
      </c>
      <c r="GY14" s="575">
        <f>COUNTIFS(STATUS!$Q:$Q,$A14,STATUS!$D:$D,GY$1,STATUS!$K:$K,"РЕШ УВ DONE")</f>
        <v>0</v>
      </c>
      <c r="GZ14" s="575">
        <f>COUNTIFS(STATUS!$Q:$Q,$A14,STATUS!$D:$D,GZ$1,STATUS!$K:$K,"РЕШ УВ DONE")</f>
        <v>0</v>
      </c>
      <c r="HA14" s="1238">
        <f>SUM(GV14:GZ14)</f>
        <v>0</v>
      </c>
    </row>
    <row r="15" spans="1:209" x14ac:dyDescent="0.3">
      <c r="A15" s="1559"/>
      <c r="B15" s="428">
        <f>SUM(H15,N15,R15,W15,AC15,AI15,AO15,AU15,BA15,BG15,BM15,BS15,BY15,CE15,CK15,CQ15,CW15,DC15,DI15,DO15,DU15,EA15,EG15,EM15,ES15,EY15,FE15,FK15,FQ15,FW15,GC15,GI15,GO15,GU15,HA15)</f>
        <v>93</v>
      </c>
      <c r="C15" s="306">
        <f>COUNTIFS(STATUS!$Q:$Q,$A14,STATUS!$D:$D,C$1,STATUS!$U:$U,"ВОЗВРАТ")</f>
        <v>0</v>
      </c>
      <c r="D15" s="306">
        <f>COUNTIFS(STATUS!$Q:$Q,$A14,STATUS!$D:$D,D$1,STATUS!$U:$U,"ВОЗВРАТ")</f>
        <v>1</v>
      </c>
      <c r="E15" s="306">
        <f>COUNTIFS(STATUS!$Q:$Q,$A14,STATUS!$D:$D,E$1,STATUS!$U:$U,"ВОЗВРАТ")</f>
        <v>1</v>
      </c>
      <c r="F15" s="306">
        <f>COUNTIFS(STATUS!$Q:$Q,$A14,STATUS!$D:$D,F$1,STATUS!$U:$U,"ВОЗВРАТ")</f>
        <v>3</v>
      </c>
      <c r="G15" s="440">
        <f>COUNTIFS(STATUS!$Q:$Q,$A14,STATUS!$D:$D,G$1,STATUS!$U:$U,"ВОЗВРАТ")</f>
        <v>2</v>
      </c>
      <c r="H15" s="572">
        <f>SUM(C15:G15)</f>
        <v>7</v>
      </c>
      <c r="I15" s="401">
        <f>COUNTIFS(STATUS!$Q:$Q,$A14,STATUS!$D:$D,I$1,STATUS!$U:$U,"ВОЗВРАТ")</f>
        <v>0</v>
      </c>
      <c r="J15" s="306">
        <f>COUNTIFS(STATUS!$Q:$Q,$A14,STATUS!$D:$D,J$1,STATUS!$U:$U,"ВОЗВРАТ")</f>
        <v>0</v>
      </c>
      <c r="K15" s="306">
        <f>COUNTIFS(STATUS!$Q:$Q,$A14,STATUS!$D:$D,K$1,STATUS!$U:$U,"ВОЗВРАТ")</f>
        <v>0</v>
      </c>
      <c r="L15" s="306">
        <f>COUNTIFS(STATUS!$Q:$Q,$A14,STATUS!$D:$D,L$1,STATUS!$U:$U,"ВОЗВРАТ")</f>
        <v>0</v>
      </c>
      <c r="M15" s="440">
        <f>COUNTIFS(STATUS!$Q:$Q,$A14,STATUS!$D:$D,M$1,STATUS!$U:$U,"ВОЗВРАТ")</f>
        <v>0</v>
      </c>
      <c r="N15" s="572">
        <f>SUM(I15:M15)</f>
        <v>0</v>
      </c>
      <c r="O15" s="401">
        <f>COUNTIFS(STATUS!$Q:$Q,$A14,STATUS!$D:$D,O$1,STATUS!$U:$U,"ВОЗВРАТ")</f>
        <v>2</v>
      </c>
      <c r="P15" s="306">
        <f>COUNTIFS(STATUS!$Q:$Q,$A14,STATUS!$D:$D,P$1,STATUS!$U:$U,"ВОЗВРАТ")</f>
        <v>0</v>
      </c>
      <c r="Q15" s="306">
        <f>COUNTIFS(STATUS!$Q:$Q,$A14,STATUS!$D:$D,Q$1,STATUS!$U:$U,"ВОЗВРАТ")</f>
        <v>0</v>
      </c>
      <c r="R15" s="572">
        <f>SUM(O15:Q15)</f>
        <v>2</v>
      </c>
      <c r="S15" s="306">
        <f>COUNTIFS(STATUS!$Q:$Q,$A14,STATUS!$D:$D,S$1,STATUS!$U:$U,"ВОЗВРАТ")</f>
        <v>2</v>
      </c>
      <c r="T15" s="306">
        <f>COUNTIFS(STATUS!$Q:$Q,$A14,STATUS!$D:$D,T$1,STATUS!$U:$U,"ВОЗВРАТ")</f>
        <v>2</v>
      </c>
      <c r="U15" s="306">
        <f>COUNTIFS(STATUS!$Q:$Q,$A14,STATUS!$D:$D,U$1,STATUS!$U:$U,"ВОЗВРАТ")</f>
        <v>0</v>
      </c>
      <c r="V15" s="440">
        <f>COUNTIFS(STATUS!$Q:$Q,$A14,STATUS!$D:$D,V$1,STATUS!$U:$U,"ВОЗВРАТ")</f>
        <v>0</v>
      </c>
      <c r="W15" s="572">
        <f>SUM(S15:V15)</f>
        <v>4</v>
      </c>
      <c r="X15" s="306">
        <f>COUNTIFS(STATUS!$Q:$Q,$A14,STATUS!$D:$D,X$1,STATUS!$U:$U,"ВОЗВРАТ")</f>
        <v>2</v>
      </c>
      <c r="Y15" s="306">
        <f>COUNTIFS(STATUS!$Q:$Q,$A14,STATUS!$D:$D,Y$1,STATUS!$U:$U,"ВОЗВРАТ")</f>
        <v>2</v>
      </c>
      <c r="Z15" s="306">
        <f>COUNTIFS(STATUS!$Q:$Q,$A14,STATUS!$D:$D,Z$1,STATUS!$U:$U,"ВОЗВРАТ")</f>
        <v>1</v>
      </c>
      <c r="AA15" s="440">
        <f>COUNTIFS(STATUS!$Q:$Q,$A14,STATUS!$D:$D,AA$1,STATUS!$U:$U,"ВОЗВРАТ")</f>
        <v>0</v>
      </c>
      <c r="AB15" s="440">
        <f>COUNTIFS(STATUS!$Q:$Q,$A14,STATUS!$D:$D,AB$1,STATUS!$U:$U,"ВОЗВРАТ")</f>
        <v>1</v>
      </c>
      <c r="AC15" s="572">
        <f>SUM(X15:AB15)</f>
        <v>6</v>
      </c>
      <c r="AD15" s="306">
        <f>COUNTIFS(STATUS!$Q:$Q,$A14,STATUS!$D:$D,AD$1,STATUS!$U:$U,"ВОЗВРАТ")</f>
        <v>0</v>
      </c>
      <c r="AE15" s="306">
        <f>COUNTIFS(STATUS!$Q:$Q,$A14,STATUS!$D:$D,AE$1,STATUS!$U:$U,"ВОЗВРАТ")</f>
        <v>4</v>
      </c>
      <c r="AF15" s="306">
        <f>COUNTIFS(STATUS!$Q:$Q,$A14,STATUS!$D:$D,AF$1,STATUS!$U:$U,"ВОЗВРАТ")</f>
        <v>1</v>
      </c>
      <c r="AG15" s="440">
        <f>COUNTIFS(STATUS!$Q:$Q,$A14,STATUS!$D:$D,AG$1,STATUS!$U:$U,"ВОЗВРАТ")</f>
        <v>2</v>
      </c>
      <c r="AH15" s="440">
        <f>COUNTIFS(STATUS!$Q:$Q,$A14,STATUS!$D:$D,AH$1,STATUS!$U:$U,"ВОЗВРАТ")</f>
        <v>0</v>
      </c>
      <c r="AI15" s="572">
        <f>SUM(AD15:AH15)</f>
        <v>7</v>
      </c>
      <c r="AJ15" s="306">
        <f>COUNTIFS(STATUS!$Q:$Q,$A14,STATUS!$D:$D,AJ$1,STATUS!$U:$U,"ВОЗВРАТ")</f>
        <v>8</v>
      </c>
      <c r="AK15" s="306">
        <f>COUNTIFS(STATUS!$Q:$Q,$A14,STATUS!$D:$D,AK$1,STATUS!$U:$U,"ВОЗВРАТ")</f>
        <v>0</v>
      </c>
      <c r="AL15" s="306">
        <f>COUNTIFS(STATUS!$Q:$Q,$A14,STATUS!$D:$D,AL$1,STATUS!$U:$U,"ВОЗВРАТ")</f>
        <v>1</v>
      </c>
      <c r="AM15" s="440">
        <f>COUNTIFS(STATUS!$Q:$Q,$A14,STATUS!$D:$D,AM$1,STATUS!$U:$U,"ВОЗВРАТ")</f>
        <v>0</v>
      </c>
      <c r="AN15" s="440">
        <f>COUNTIFS(STATUS!$Q:$Q,$A14,STATUS!$D:$D,AN$1,STATUS!$U:$U,"ВОЗВРАТ")</f>
        <v>0</v>
      </c>
      <c r="AO15" s="572">
        <f>SUM(AJ15:AN15)</f>
        <v>9</v>
      </c>
      <c r="AP15" s="306">
        <f>COUNTIFS(STATUS!$Q:$Q,$A14,STATUS!$D:$D,AP$1,STATUS!$U:$U,"ВОЗВРАТ")</f>
        <v>0</v>
      </c>
      <c r="AQ15" s="306">
        <f>COUNTIFS(STATUS!$Q:$Q,$A14,STATUS!$D:$D,AQ$1,STATUS!$U:$U,"ВОЗВРАТ")</f>
        <v>0</v>
      </c>
      <c r="AR15" s="306">
        <f>COUNTIFS(STATUS!$Q:$Q,$A14,STATUS!$D:$D,AR$1,STATUS!$U:$U,"ВОЗВРАТ")</f>
        <v>1</v>
      </c>
      <c r="AS15" s="440">
        <f>COUNTIFS(STATUS!$Q:$Q,$A14,STATUS!$D:$D,AS$1,STATUS!$U:$U,"ВОЗВРАТ")</f>
        <v>0</v>
      </c>
      <c r="AT15" s="440">
        <f>COUNTIFS(STATUS!$Q:$Q,$A14,STATUS!$D:$D,AT$1,STATUS!$U:$U,"ВОЗВРАТ")</f>
        <v>0</v>
      </c>
      <c r="AU15" s="572">
        <f>SUM(AP15:AT15)</f>
        <v>1</v>
      </c>
      <c r="AV15" s="306">
        <f>COUNTIFS(STATUS!$Q:$Q,$A14,STATUS!$D:$D,AV$1,STATUS!$U:$U,"ВОЗВРАТ")</f>
        <v>1</v>
      </c>
      <c r="AW15" s="306">
        <f>COUNTIFS(STATUS!$Q:$Q,$A14,STATUS!$D:$D,AW$1,STATUS!$U:$U,"ВОЗВРАТ")</f>
        <v>9</v>
      </c>
      <c r="AX15" s="306">
        <f>COUNTIFS(STATUS!$Q:$Q,$A14,STATUS!$D:$D,AX$1,STATUS!$U:$U,"ВОЗВРАТ")</f>
        <v>0</v>
      </c>
      <c r="AY15" s="440">
        <f>COUNTIFS(STATUS!$Q:$Q,$A14,STATUS!$D:$D,AY$1,STATUS!$U:$U,"ВОЗВРАТ")</f>
        <v>0</v>
      </c>
      <c r="AZ15" s="440">
        <f>COUNTIFS(STATUS!$Q:$Q,$A14,STATUS!$D:$D,AZ$1,STATUS!$U:$U,"ВОЗВРАТ")</f>
        <v>0</v>
      </c>
      <c r="BA15" s="572">
        <f>SUM(AV15:AZ15)</f>
        <v>10</v>
      </c>
      <c r="BB15" s="306">
        <f>COUNTIFS(STATUS!$Q:$Q,$A14,STATUS!$D:$D,BB$1,STATUS!$U:$U,"ВОЗВРАТ")</f>
        <v>0</v>
      </c>
      <c r="BC15" s="306">
        <f>COUNTIFS(STATUS!$Q:$Q,$A14,STATUS!$D:$D,BC$1,STATUS!$U:$U,"ВОЗВРАТ")</f>
        <v>2</v>
      </c>
      <c r="BD15" s="306">
        <f>COUNTIFS(STATUS!$Q:$Q,$A14,STATUS!$D:$D,BD$1,STATUS!$U:$U,"ВОЗВРАТ")</f>
        <v>0</v>
      </c>
      <c r="BE15" s="440">
        <f>COUNTIFS(STATUS!$Q:$Q,$A14,STATUS!$D:$D,BE$1,STATUS!$U:$U,"ВОЗВРАТ")</f>
        <v>2</v>
      </c>
      <c r="BF15" s="440">
        <f>COUNTIFS(STATUS!$Q:$Q,$A14,STATUS!$D:$D,BF$1,STATUS!$U:$U,"ВОЗВРАТ")</f>
        <v>2</v>
      </c>
      <c r="BG15" s="572">
        <f>SUM(BB15:BF15)</f>
        <v>6</v>
      </c>
      <c r="BH15" s="306">
        <f>COUNTIFS(STATUS!$Q:$Q,$A14,STATUS!$D:$D,BH$1,STATUS!$U:$U,"ВОЗВРАТ")</f>
        <v>3</v>
      </c>
      <c r="BI15" s="306">
        <f>COUNTIFS(STATUS!$Q:$Q,$A14,STATUS!$D:$D,BI$1,STATUS!$U:$U,"ВОЗВРАТ")</f>
        <v>2</v>
      </c>
      <c r="BJ15" s="306">
        <f>COUNTIFS(STATUS!$Q:$Q,$A14,STATUS!$D:$D,BJ$1,STATUS!$U:$U,"ВОЗВРАТ")</f>
        <v>0</v>
      </c>
      <c r="BK15" s="440">
        <f>COUNTIFS(STATUS!$Q:$Q,$A14,STATUS!$D:$D,BK$1,STATUS!$U:$U,"ВОЗВРАТ")</f>
        <v>1</v>
      </c>
      <c r="BL15" s="440">
        <f>COUNTIFS(STATUS!$Q:$Q,$A14,STATUS!$D:$D,BL$1,STATUS!$U:$U,"ВОЗВРАТ")</f>
        <v>2</v>
      </c>
      <c r="BM15" s="572">
        <f>SUM(BH15:BL15)</f>
        <v>8</v>
      </c>
      <c r="BN15" s="306">
        <f>COUNTIFS(STATUS!$Q:$Q,$A14,STATUS!$D:$D,BN$1,STATUS!$U:$U,"ВОЗВРАТ")</f>
        <v>0</v>
      </c>
      <c r="BO15" s="306">
        <f>COUNTIFS(STATUS!$Q:$Q,$A14,STATUS!$D:$D,BO$1,STATUS!$U:$U,"ВОЗВРАТ")</f>
        <v>1</v>
      </c>
      <c r="BP15" s="306">
        <f>COUNTIFS(STATUS!$Q:$Q,$A14,STATUS!$D:$D,BP$1,STATUS!$U:$U,"ВОЗВРАТ")</f>
        <v>0</v>
      </c>
      <c r="BQ15" s="440">
        <f>COUNTIFS(STATUS!$Q:$Q,$A14,STATUS!$D:$D,BQ$1,STATUS!$U:$U,"ВОЗВРАТ")</f>
        <v>2</v>
      </c>
      <c r="BR15" s="440">
        <f>COUNTIFS(STATUS!$Q:$Q,$A14,STATUS!$D:$D,BR$1,STATUS!$U:$U,"ВОЗВРАТ")</f>
        <v>2</v>
      </c>
      <c r="BS15" s="572">
        <f>SUM(BN15:BR15)</f>
        <v>5</v>
      </c>
      <c r="BT15" s="306">
        <f>COUNTIFS(STATUS!$Q:$Q,$A14,STATUS!$D:$D,BT$1,STATUS!$U:$U,"ВОЗВРАТ")</f>
        <v>0</v>
      </c>
      <c r="BU15" s="306">
        <f>COUNTIFS(STATUS!$Q:$Q,$A14,STATUS!$D:$D,BU$1,STATUS!$U:$U,"ВОЗВРАТ")</f>
        <v>0</v>
      </c>
      <c r="BV15" s="306">
        <f>COUNTIFS(STATUS!$Q:$Q,$A14,STATUS!$D:$D,BV$1,STATUS!$U:$U,"ВОЗВРАТ")</f>
        <v>0</v>
      </c>
      <c r="BW15" s="440">
        <f>COUNTIFS(STATUS!$Q:$Q,$A14,STATUS!$D:$D,BW$1,STATUS!$U:$U,"ВОЗВРАТ")</f>
        <v>0</v>
      </c>
      <c r="BX15" s="440">
        <f>COUNTIFS(STATUS!$Q:$Q,$A14,STATUS!$D:$D,BX$1,STATUS!$U:$U,"ВОЗВРАТ")</f>
        <v>0</v>
      </c>
      <c r="BY15" s="572">
        <f>SUM(BT15:BX15)</f>
        <v>0</v>
      </c>
      <c r="BZ15" s="306">
        <f>COUNTIFS(STATUS!$Q:$Q,$A14,STATUS!$D:$D,BZ$1,STATUS!$U:$U,"ВОЗВРАТ")</f>
        <v>0</v>
      </c>
      <c r="CA15" s="306">
        <f>COUNTIFS(STATUS!$Q:$Q,$A14,STATUS!$D:$D,CA$1,STATUS!$U:$U,"ВОЗВРАТ")</f>
        <v>0</v>
      </c>
      <c r="CB15" s="306">
        <f>COUNTIFS(STATUS!$Q:$Q,$A14,STATUS!$D:$D,CB$1,STATUS!$U:$U,"ВОЗВРАТ")</f>
        <v>0</v>
      </c>
      <c r="CC15" s="440">
        <f>COUNTIFS(STATUS!$Q:$Q,$A14,STATUS!$D:$D,CC$1,STATUS!$U:$U,"ВОЗВРАТ")</f>
        <v>0</v>
      </c>
      <c r="CD15" s="440">
        <f>COUNTIFS(STATUS!$Q:$Q,$A14,STATUS!$D:$D,CD$1,STATUS!$U:$U,"ВОЗВРАТ")</f>
        <v>3</v>
      </c>
      <c r="CE15" s="572">
        <f>SUM(BZ15:CD15)</f>
        <v>3</v>
      </c>
      <c r="CF15" s="306">
        <f>COUNTIFS(STATUS!$Q:$Q,$A14,STATUS!$D:$D,CF$1,STATUS!$U:$U,"ВОЗВРАТ")</f>
        <v>1</v>
      </c>
      <c r="CG15" s="306">
        <f>COUNTIFS(STATUS!$Q:$Q,$A14,STATUS!$D:$D,CG$1,STATUS!$U:$U,"ВОЗВРАТ")</f>
        <v>1</v>
      </c>
      <c r="CH15" s="306">
        <f>COUNTIFS(STATUS!$Q:$Q,$A14,STATUS!$D:$D,CH$1,STATUS!$U:$U,"ВОЗВРАТ")</f>
        <v>2</v>
      </c>
      <c r="CI15" s="440">
        <f>COUNTIFS(STATUS!$Q:$Q,$A14,STATUS!$D:$D,CI$1,STATUS!$U:$U,"ВОЗВРАТ")</f>
        <v>0</v>
      </c>
      <c r="CJ15" s="440">
        <f>COUNTIFS(STATUS!$Q:$Q,$A14,STATUS!$D:$D,CJ$1,STATUS!$U:$U,"ВОЗВРАТ")</f>
        <v>0</v>
      </c>
      <c r="CK15" s="572">
        <f>SUM(CF15:CJ15)</f>
        <v>4</v>
      </c>
      <c r="CL15" s="306">
        <f>COUNTIFS(STATUS!$Q:$Q,$A14,STATUS!$D:$D,CL$1,STATUS!$U:$U,"ВОЗВРАТ")</f>
        <v>0</v>
      </c>
      <c r="CM15" s="306">
        <f>COUNTIFS(STATUS!$Q:$Q,$A14,STATUS!$D:$D,CM$1,STATUS!$U:$U,"ВОЗВРАТ")</f>
        <v>0</v>
      </c>
      <c r="CN15" s="306">
        <f>COUNTIFS(STATUS!$Q:$Q,$A14,STATUS!$D:$D,CN$1,STATUS!$U:$U,"ВОЗВРАТ")</f>
        <v>0</v>
      </c>
      <c r="CO15" s="440">
        <f>COUNTIFS(STATUS!$Q:$Q,$A14,STATUS!$D:$D,CO$1,STATUS!$U:$U,"ВОЗВРАТ")</f>
        <v>0</v>
      </c>
      <c r="CP15" s="440">
        <f>COUNTIFS(STATUS!$Q:$Q,$A14,STATUS!$D:$D,CP$1,STATUS!$U:$U,"ВОЗВРАТ")</f>
        <v>0</v>
      </c>
      <c r="CQ15" s="576">
        <f>SUM(CL15:CP15)</f>
        <v>0</v>
      </c>
      <c r="CR15" s="306">
        <f>COUNTIFS(STATUS!$Q:$Q,$A14,STATUS!$D:$D,CR$1,STATUS!$U:$U,"ВОЗВРАТ")</f>
        <v>0</v>
      </c>
      <c r="CS15" s="306">
        <f>COUNTIFS(STATUS!$Q:$Q,$A14,STATUS!$D:$D,CS$1,STATUS!$U:$U,"ВОЗВРАТ")</f>
        <v>0</v>
      </c>
      <c r="CT15" s="306">
        <f>COUNTIFS(STATUS!$Q:$Q,$A14,STATUS!$D:$D,CT$1,STATUS!$U:$U,"ВОЗВРАТ")</f>
        <v>0</v>
      </c>
      <c r="CU15" s="440">
        <f>COUNTIFS(STATUS!$Q:$Q,$A14,STATUS!$D:$D,CU$1,STATUS!$U:$U,"ВОЗВРАТ")</f>
        <v>0</v>
      </c>
      <c r="CV15" s="440">
        <f>COUNTIFS(STATUS!$Q:$Q,$A14,STATUS!$D:$D,CV$1,STATUS!$U:$U,"ВОЗВРАТ")</f>
        <v>0</v>
      </c>
      <c r="CW15" s="576">
        <f>SUM(CR15:CV15)</f>
        <v>0</v>
      </c>
      <c r="CX15" s="306">
        <f>COUNTIFS(STATUS!$Q:$Q,$A14,STATUS!$D:$D,CX$1,STATUS!$U:$U,"ВОЗВРАТ")</f>
        <v>0</v>
      </c>
      <c r="CY15" s="306">
        <f>COUNTIFS(STATUS!$Q:$Q,$A14,STATUS!$D:$D,CY$1,STATUS!$U:$U,"ВОЗВРАТ")</f>
        <v>4</v>
      </c>
      <c r="CZ15" s="306">
        <f>COUNTIFS(STATUS!$Q:$Q,$A14,STATUS!$D:$D,CZ$1,STATUS!$U:$U,"ВОЗВРАТ")</f>
        <v>1</v>
      </c>
      <c r="DA15" s="440">
        <f>COUNTIFS(STATUS!$Q:$Q,$A14,STATUS!$D:$D,DA$1,STATUS!$U:$U,"ВОЗВРАТ")</f>
        <v>3</v>
      </c>
      <c r="DB15" s="440">
        <f>COUNTIFS(STATUS!$Q:$Q,$A14,STATUS!$D:$D,DB$1,STATUS!$U:$U,"ВОЗВРАТ")</f>
        <v>0</v>
      </c>
      <c r="DC15" s="572">
        <f>SUM(CX15:DB15)</f>
        <v>8</v>
      </c>
      <c r="DD15" s="306">
        <f>COUNTIFS(STATUS!$Q:$Q,$A14,STATUS!$D:$D,DD$1,STATUS!$U:$U,"ВОЗВРАТ")</f>
        <v>1</v>
      </c>
      <c r="DE15" s="306">
        <f>COUNTIFS(STATUS!$Q:$Q,$A14,STATUS!$D:$D,DE$1,STATUS!$U:$U,"ВОЗВРАТ")</f>
        <v>2</v>
      </c>
      <c r="DF15" s="306">
        <f>COUNTIFS(STATUS!$Q:$Q,$A14,STATUS!$D:$D,DF$1,STATUS!$U:$U,"ВОЗВРАТ")</f>
        <v>2</v>
      </c>
      <c r="DG15" s="440">
        <f>COUNTIFS(STATUS!$Q:$Q,$A14,STATUS!$D:$D,DG$1,STATUS!$U:$U,"ВОЗВРАТ")</f>
        <v>4</v>
      </c>
      <c r="DH15" s="440">
        <f>COUNTIFS(STATUS!$Q:$Q,$A14,STATUS!$D:$D,DH$1,STATUS!$U:$U,"ВОЗВРАТ")</f>
        <v>0</v>
      </c>
      <c r="DI15" s="572">
        <f>SUM(DD15:DH15)</f>
        <v>9</v>
      </c>
      <c r="DJ15" s="306">
        <f>COUNTIFS(STATUS!$Q:$Q,$A14,STATUS!$D:$D,DJ$1,STATUS!$U:$U,"ВОЗВРАТ")</f>
        <v>0</v>
      </c>
      <c r="DK15" s="306">
        <f>COUNTIFS(STATUS!$Q:$Q,$A14,STATUS!$D:$D,DK$1,STATUS!$U:$U,"ВОЗВРАТ")</f>
        <v>2</v>
      </c>
      <c r="DL15" s="306">
        <f>COUNTIFS(STATUS!$Q:$Q,$A14,STATUS!$D:$D,DL$1,STATUS!$U:$U,"ВОЗВРАТ")</f>
        <v>1</v>
      </c>
      <c r="DM15" s="440">
        <f>COUNTIFS(STATUS!$Q:$Q,$A14,STATUS!$D:$D,DM$1,STATUS!$U:$U,"ВОЗВРАТ")</f>
        <v>1</v>
      </c>
      <c r="DN15" s="440">
        <f>COUNTIFS(STATUS!$Q:$Q,$A14,STATUS!$D:$D,DN$1,STATUS!$U:$U,"ВОЗВРАТ")</f>
        <v>0</v>
      </c>
      <c r="DO15" s="572">
        <f>SUM(DJ15:DN15)</f>
        <v>4</v>
      </c>
      <c r="DP15" s="577">
        <f>COUNTIFS(STATUS!$Q:$Q,$A14,STATUS!$D:$D,DP$1,STATUS!$U:$U,"ВОЗВРАТ")</f>
        <v>0</v>
      </c>
      <c r="DQ15" s="577">
        <f>COUNTIFS(STATUS!$Q:$Q,$A14,STATUS!$D:$D,DQ$1,STATUS!$U:$U,"ВОЗВРАТ")</f>
        <v>0</v>
      </c>
      <c r="DR15" s="577">
        <f>COUNTIFS(STATUS!$Q:$Q,$A14,STATUS!$D:$D,DR$1,STATUS!$U:$U,"ВОЗВРАТ")</f>
        <v>0</v>
      </c>
      <c r="DS15" s="578">
        <f>COUNTIFS(STATUS!$Q:$Q,$A14,STATUS!$D:$D,DS$1,STATUS!$U:$U,"ВОЗВРАТ")</f>
        <v>0</v>
      </c>
      <c r="DT15" s="578">
        <f>COUNTIFS(STATUS!$Q:$Q,$A14,STATUS!$D:$D,DT$1,STATUS!$U:$U,"ВОЗВРАТ")</f>
        <v>0</v>
      </c>
      <c r="DU15" s="576">
        <f>SUM(DP15:DT15)</f>
        <v>0</v>
      </c>
      <c r="DV15" s="577">
        <f>COUNTIFS(STATUS!$Q:$Q,$A14,STATUS!$D:$D,DV$1,STATUS!$U:$U,"ВОЗВРАТ")</f>
        <v>0</v>
      </c>
      <c r="DW15" s="577">
        <f>COUNTIFS(STATUS!$Q:$Q,$A14,STATUS!$D:$D,DW$1,STATUS!$U:$U,"ВОЗВРАТ")</f>
        <v>0</v>
      </c>
      <c r="DX15" s="577">
        <f>COUNTIFS(STATUS!$Q:$Q,$A14,STATUS!$D:$D,DX$1,STATUS!$U:$U,"ВОЗВРАТ")</f>
        <v>0</v>
      </c>
      <c r="DY15" s="578">
        <f>COUNTIFS(STATUS!$Q:$Q,$A14,STATUS!$D:$D,DY$1,STATUS!$U:$U,"ВОЗВРАТ")</f>
        <v>0</v>
      </c>
      <c r="DZ15" s="578">
        <f>COUNTIFS(STATUS!$Q:$Q,$A14,STATUS!$D:$D,DZ$1,STATUS!$U:$U,"ВОЗВРАТ")</f>
        <v>0</v>
      </c>
      <c r="EA15" s="576">
        <f>SUM(DV15:DZ15)</f>
        <v>0</v>
      </c>
      <c r="EB15" s="577">
        <f>COUNTIFS(STATUS!$Q:$Q,$A14,STATUS!$D:$D,EB$1,STATUS!$U:$U,"ВОЗВРАТ")</f>
        <v>0</v>
      </c>
      <c r="EC15" s="577">
        <f>COUNTIFS(STATUS!$Q:$Q,$A14,STATUS!$D:$D,EC$1,STATUS!$U:$U,"ВОЗВРАТ")</f>
        <v>0</v>
      </c>
      <c r="ED15" s="577">
        <f>COUNTIFS(STATUS!$Q:$Q,$A14,STATUS!$D:$D,ED$1,STATUS!$U:$U,"ВОЗВРАТ")</f>
        <v>0</v>
      </c>
      <c r="EE15" s="578">
        <f>COUNTIFS(STATUS!$Q:$Q,$A14,STATUS!$D:$D,EE$1,STATUS!$U:$U,"ВОЗВРАТ")</f>
        <v>0</v>
      </c>
      <c r="EF15" s="578">
        <f>COUNTIFS(STATUS!$Q:$Q,$A14,STATUS!$D:$D,EF$1,STATUS!$U:$U,"ВОЗВРАТ")</f>
        <v>0</v>
      </c>
      <c r="EG15" s="576">
        <f>SUM(EB15:EF15)</f>
        <v>0</v>
      </c>
      <c r="EH15" s="577">
        <f>COUNTIFS(STATUS!$Q:$Q,$A14,STATUS!$D:$D,EH$1,STATUS!$U:$U,"ВОЗВРАТ")</f>
        <v>0</v>
      </c>
      <c r="EI15" s="577">
        <f>COUNTIFS(STATUS!$Q:$Q,$A14,STATUS!$D:$D,EI$1,STATUS!$U:$U,"ВОЗВРАТ")</f>
        <v>0</v>
      </c>
      <c r="EJ15" s="577">
        <f>COUNTIFS(STATUS!$Q:$Q,$A14,STATUS!$D:$D,EJ$1,STATUS!$U:$U,"ВОЗВРАТ")</f>
        <v>0</v>
      </c>
      <c r="EK15" s="578">
        <f>COUNTIFS(STATUS!$Q:$Q,$A14,STATUS!$D:$D,EK$1,STATUS!$U:$U,"ВОЗВРАТ")</f>
        <v>0</v>
      </c>
      <c r="EL15" s="578">
        <f>COUNTIFS(STATUS!$Q:$Q,$A14,STATUS!$D:$D,EL$1,STATUS!$U:$U,"ВОЗВРАТ")</f>
        <v>0</v>
      </c>
      <c r="EM15" s="576">
        <f>SUM(EH15:EL15)</f>
        <v>0</v>
      </c>
      <c r="EN15" s="577">
        <f>COUNTIFS(STATUS!$Q:$Q,$A14,STATUS!$D:$D,EN$1,STATUS!$U:$U,"ВОЗВРАТ")</f>
        <v>0</v>
      </c>
      <c r="EO15" s="577">
        <f>COUNTIFS(STATUS!$Q:$Q,$A14,STATUS!$D:$D,EO$1,STATUS!$U:$U,"ВОЗВРАТ")</f>
        <v>0</v>
      </c>
      <c r="EP15" s="577">
        <f>COUNTIFS(STATUS!$Q:$Q,$A14,STATUS!$D:$D,EP$1,STATUS!$U:$U,"ВОЗВРАТ")</f>
        <v>0</v>
      </c>
      <c r="EQ15" s="578">
        <f>COUNTIFS(STATUS!$Q:$Q,$A14,STATUS!$D:$D,EQ$1,STATUS!$U:$U,"ВОЗВРАТ")</f>
        <v>0</v>
      </c>
      <c r="ER15" s="578">
        <f>COUNTIFS(STATUS!$Q:$Q,$A14,STATUS!$D:$D,ER$1,STATUS!$U:$U,"ВОЗВРАТ")</f>
        <v>0</v>
      </c>
      <c r="ES15" s="576">
        <f>SUM(EN15:ER15)</f>
        <v>0</v>
      </c>
      <c r="ET15" s="577">
        <f>COUNTIFS(STATUS!$Q:$Q,$A14,STATUS!$D:$D,ET$1,STATUS!$U:$U,"ВОЗВРАТ")</f>
        <v>0</v>
      </c>
      <c r="EU15" s="577">
        <f>COUNTIFS(STATUS!$Q:$Q,$A14,STATUS!$D:$D,EU$1,STATUS!$U:$U,"ВОЗВРАТ")</f>
        <v>0</v>
      </c>
      <c r="EV15" s="577">
        <f>COUNTIFS(STATUS!$Q:$Q,$A14,STATUS!$D:$D,EV$1,STATUS!$U:$U,"ВОЗВРАТ")</f>
        <v>0</v>
      </c>
      <c r="EW15" s="578">
        <f>COUNTIFS(STATUS!$Q:$Q,$A14,STATUS!$D:$D,EW$1,STATUS!$U:$U,"ВОЗВРАТ")</f>
        <v>0</v>
      </c>
      <c r="EX15" s="578">
        <f>COUNTIFS(STATUS!$Q:$Q,$A14,STATUS!$D:$D,EX$1,STATUS!$U:$U,"ВОЗВРАТ")</f>
        <v>0</v>
      </c>
      <c r="EY15" s="576">
        <f>SUM(ET15:EX15)</f>
        <v>0</v>
      </c>
      <c r="EZ15" s="577">
        <f>COUNTIFS(STATUS!$Q:$Q,$A14,STATUS!$D:$D,EZ$1,STATUS!$U:$U,"ВОЗВРАТ")</f>
        <v>0</v>
      </c>
      <c r="FA15" s="577">
        <f>COUNTIFS(STATUS!$Q:$Q,$A14,STATUS!$D:$D,FA$1,STATUS!$U:$U,"ВОЗВРАТ")</f>
        <v>0</v>
      </c>
      <c r="FB15" s="577">
        <f>COUNTIFS(STATUS!$Q:$Q,$A14,STATUS!$D:$D,FB$1,STATUS!$U:$U,"ВОЗВРАТ")</f>
        <v>0</v>
      </c>
      <c r="FC15" s="578">
        <f>COUNTIFS(STATUS!$Q:$Q,$A14,STATUS!$D:$D,FC$1,STATUS!$U:$U,"ВОЗВРАТ")</f>
        <v>0</v>
      </c>
      <c r="FD15" s="578">
        <f>COUNTIFS(STATUS!$Q:$Q,$A14,STATUS!$D:$D,FD$1,STATUS!$U:$U,"ВОЗВРАТ")</f>
        <v>0</v>
      </c>
      <c r="FE15" s="576">
        <f>SUM(EZ15:FD15)</f>
        <v>0</v>
      </c>
      <c r="FF15" s="577">
        <f>COUNTIFS(STATUS!$Q:$Q,$A14,STATUS!$D:$D,FF$1,STATUS!$U:$U,"ВОЗВРАТ")</f>
        <v>0</v>
      </c>
      <c r="FG15" s="577">
        <f>COUNTIFS(STATUS!$Q:$Q,$A14,STATUS!$D:$D,FG$1,STATUS!$U:$U,"ВОЗВРАТ")</f>
        <v>0</v>
      </c>
      <c r="FH15" s="577">
        <f>COUNTIFS(STATUS!$Q:$Q,$A14,STATUS!$D:$D,FH$1,STATUS!$U:$U,"ВОЗВРАТ")</f>
        <v>0</v>
      </c>
      <c r="FI15" s="578">
        <f>COUNTIFS(STATUS!$Q:$Q,$A14,STATUS!$D:$D,FI$1,STATUS!$U:$U,"ВОЗВРАТ")</f>
        <v>0</v>
      </c>
      <c r="FJ15" s="578">
        <f>COUNTIFS(STATUS!$Q:$Q,$A14,STATUS!$D:$D,FJ$1,STATUS!$U:$U,"ВОЗВРАТ")</f>
        <v>0</v>
      </c>
      <c r="FK15" s="576">
        <f>SUM(FF15:FJ15)</f>
        <v>0</v>
      </c>
      <c r="FL15" s="577">
        <f>COUNTIFS(STATUS!$Q:$Q,$A14,STATUS!$D:$D,FL$1,STATUS!$U:$U,"ВОЗВРАТ")</f>
        <v>0</v>
      </c>
      <c r="FM15" s="577">
        <f>COUNTIFS(STATUS!$Q:$Q,$A14,STATUS!$D:$D,FM$1,STATUS!$U:$U,"ВОЗВРАТ")</f>
        <v>0</v>
      </c>
      <c r="FN15" s="577">
        <f>COUNTIFS(STATUS!$Q:$Q,$A14,STATUS!$D:$D,FN$1,STATUS!$U:$U,"ВОЗВРАТ")</f>
        <v>0</v>
      </c>
      <c r="FO15" s="578">
        <f>COUNTIFS(STATUS!$Q:$Q,$A14,STATUS!$D:$D,FO$1,STATUS!$U:$U,"ВОЗВРАТ")</f>
        <v>0</v>
      </c>
      <c r="FP15" s="578">
        <f>COUNTIFS(STATUS!$Q:$Q,$A14,STATUS!$D:$D,FP$1,STATUS!$U:$U,"ВОЗВРАТ")</f>
        <v>0</v>
      </c>
      <c r="FQ15" s="576">
        <f>SUM(FL15:FP15)</f>
        <v>0</v>
      </c>
      <c r="FR15" s="577">
        <f>COUNTIFS(STATUS!$Q:$Q,$A14,STATUS!$D:$D,FR$1,STATUS!$U:$U,"ВОЗВРАТ")</f>
        <v>0</v>
      </c>
      <c r="FS15" s="577">
        <f>COUNTIFS(STATUS!$Q:$Q,$A14,STATUS!$D:$D,FS$1,STATUS!$U:$U,"ВОЗВРАТ")</f>
        <v>0</v>
      </c>
      <c r="FT15" s="577">
        <f>COUNTIFS(STATUS!$Q:$Q,$A14,STATUS!$D:$D,FT$1,STATUS!$U:$U,"ВОЗВРАТ")</f>
        <v>0</v>
      </c>
      <c r="FU15" s="578">
        <f>COUNTIFS(STATUS!$Q:$Q,$A14,STATUS!$D:$D,FU$1,STATUS!$U:$U,"ВОЗВРАТ")</f>
        <v>0</v>
      </c>
      <c r="FV15" s="578">
        <f>COUNTIFS(STATUS!$Q:$Q,$A14,STATUS!$D:$D,FV$1,STATUS!$U:$U,"ВОЗВРАТ")</f>
        <v>0</v>
      </c>
      <c r="FW15" s="576">
        <f>SUM(FR15:FV15)</f>
        <v>0</v>
      </c>
      <c r="FX15" s="577">
        <f>COUNTIFS(STATUS!$Q:$Q,$A14,STATUS!$D:$D,FX$1,STATUS!$U:$U,"ВОЗВРАТ")</f>
        <v>0</v>
      </c>
      <c r="FY15" s="577">
        <f>COUNTIFS(STATUS!$Q:$Q,$A14,STATUS!$D:$D,FY$1,STATUS!$U:$U,"ВОЗВРАТ")</f>
        <v>0</v>
      </c>
      <c r="FZ15" s="577">
        <f>COUNTIFS(STATUS!$Q:$Q,$A14,STATUS!$D:$D,FZ$1,STATUS!$U:$U,"ВОЗВРАТ")</f>
        <v>0</v>
      </c>
      <c r="GA15" s="578">
        <f>COUNTIFS(STATUS!$Q:$Q,$A14,STATUS!$D:$D,GA$1,STATUS!$U:$U,"ВОЗВРАТ")</f>
        <v>0</v>
      </c>
      <c r="GB15" s="578">
        <f>COUNTIFS(STATUS!$Q:$Q,$A14,STATUS!$D:$D,GB$1,STATUS!$U:$U,"ВОЗВРАТ")</f>
        <v>0</v>
      </c>
      <c r="GC15" s="576">
        <f>SUM(FX15:GB15)</f>
        <v>0</v>
      </c>
      <c r="GD15" s="577">
        <f>COUNTIFS(STATUS!$Q:$Q,$A14,STATUS!$D:$D,GD$1,STATUS!$U:$U,"ВОЗВРАТ")</f>
        <v>0</v>
      </c>
      <c r="GE15" s="577">
        <f>COUNTIFS(STATUS!$Q:$Q,$A14,STATUS!$D:$D,GE$1,STATUS!$U:$U,"ВОЗВРАТ")</f>
        <v>0</v>
      </c>
      <c r="GF15" s="577">
        <f>COUNTIFS(STATUS!$Q:$Q,$A14,STATUS!$D:$D,GF$1,STATUS!$U:$U,"ВОЗВРАТ")</f>
        <v>0</v>
      </c>
      <c r="GG15" s="578">
        <f>COUNTIFS(STATUS!$Q:$Q,$A14,STATUS!$D:$D,GG$1,STATUS!$U:$U,"ВОЗВРАТ")</f>
        <v>0</v>
      </c>
      <c r="GH15" s="578">
        <f>COUNTIFS(STATUS!$Q:$Q,$A14,STATUS!$D:$D,GH$1,STATUS!$U:$U,"ВОЗВРАТ")</f>
        <v>0</v>
      </c>
      <c r="GI15" s="576">
        <f>SUM(GD15:GH15)</f>
        <v>0</v>
      </c>
      <c r="GJ15" s="577">
        <f>COUNTIFS(STATUS!$Q:$Q,$A14,STATUS!$D:$D,GJ$1,STATUS!$U:$U,"ВОЗВРАТ")</f>
        <v>0</v>
      </c>
      <c r="GK15" s="577">
        <f>COUNTIFS(STATUS!$Q:$Q,$A14,STATUS!$D:$D,GK$1,STATUS!$U:$U,"ВОЗВРАТ")</f>
        <v>0</v>
      </c>
      <c r="GL15" s="577">
        <f>COUNTIFS(STATUS!$Q:$Q,$A14,STATUS!$D:$D,GL$1,STATUS!$U:$U,"ВОЗВРАТ")</f>
        <v>0</v>
      </c>
      <c r="GM15" s="578">
        <f>COUNTIFS(STATUS!$Q:$Q,$A14,STATUS!$D:$D,GM$1,STATUS!$U:$U,"ВОЗВРАТ")</f>
        <v>0</v>
      </c>
      <c r="GN15" s="578">
        <f>COUNTIFS(STATUS!$Q:$Q,$A14,STATUS!$D:$D,GN$1,STATUS!$U:$U,"ВОЗВРАТ")</f>
        <v>0</v>
      </c>
      <c r="GO15" s="576">
        <f>SUM(GJ15:GN15)</f>
        <v>0</v>
      </c>
      <c r="GP15" s="577">
        <f>COUNTIFS(STATUS!$Q:$Q,$A14,STATUS!$D:$D,GP$1,STATUS!$U:$U,"ВОЗВРАТ")</f>
        <v>0</v>
      </c>
      <c r="GQ15" s="577">
        <f>COUNTIFS(STATUS!$Q:$Q,$A14,STATUS!$D:$D,GQ$1,STATUS!$U:$U,"ВОЗВРАТ")</f>
        <v>0</v>
      </c>
      <c r="GR15" s="577">
        <f>COUNTIFS(STATUS!$Q:$Q,$A14,STATUS!$D:$D,GR$1,STATUS!$U:$U,"ВОЗВРАТ")</f>
        <v>0</v>
      </c>
      <c r="GS15" s="578">
        <f>COUNTIFS(STATUS!$Q:$Q,$A14,STATUS!$D:$D,GS$1,STATUS!$U:$U,"ВОЗВРАТ")</f>
        <v>0</v>
      </c>
      <c r="GT15" s="578">
        <f>COUNTIFS(STATUS!$Q:$Q,$A14,STATUS!$D:$D,GT$1,STATUS!$U:$U,"ВОЗВРАТ")</f>
        <v>0</v>
      </c>
      <c r="GU15" s="576">
        <f>SUM(GP15:GT15)</f>
        <v>0</v>
      </c>
      <c r="GV15" s="577">
        <f>COUNTIFS(STATUS!$Q:$Q,$A14,STATUS!$D:$D,GV$1,STATUS!$U:$U,"ВОЗВРАТ")</f>
        <v>0</v>
      </c>
      <c r="GW15" s="577">
        <f>COUNTIFS(STATUS!$Q:$Q,$A14,STATUS!$D:$D,GW$1,STATUS!$U:$U,"ВОЗВРАТ")</f>
        <v>0</v>
      </c>
      <c r="GX15" s="577">
        <f>COUNTIFS(STATUS!$Q:$Q,$A14,STATUS!$D:$D,GX$1,STATUS!$U:$U,"ВОЗВРАТ")</f>
        <v>0</v>
      </c>
      <c r="GY15" s="578">
        <f>COUNTIFS(STATUS!$Q:$Q,$A14,STATUS!$D:$D,GY$1,STATUS!$U:$U,"ВОЗВРАТ")</f>
        <v>0</v>
      </c>
      <c r="GZ15" s="578">
        <f>COUNTIFS(STATUS!$Q:$Q,$A14,STATUS!$D:$D,GZ$1,STATUS!$U:$U,"ВОЗВРАТ")</f>
        <v>0</v>
      </c>
      <c r="HA15" s="576">
        <f>SUM(GV15:GZ15)</f>
        <v>0</v>
      </c>
    </row>
    <row r="16" spans="1:209" ht="21.6" thickBot="1" x14ac:dyDescent="0.35">
      <c r="A16" s="1560"/>
      <c r="B16" s="434">
        <f>B15/B14</f>
        <v>0.31103678929765888</v>
      </c>
      <c r="C16" s="397">
        <f>IFERROR(C15/C14,0)</f>
        <v>0</v>
      </c>
      <c r="D16" s="397">
        <f t="shared" ref="D16" si="155">IFERROR(D15/D14,0)</f>
        <v>0.5</v>
      </c>
      <c r="E16" s="397">
        <f t="shared" ref="E16" si="156">IFERROR(E15/E14,0)</f>
        <v>0.2</v>
      </c>
      <c r="F16" s="397">
        <f t="shared" ref="F16" si="157">IFERROR(F15/F14,0)</f>
        <v>0.75</v>
      </c>
      <c r="G16" s="441">
        <f t="shared" ref="G16:H16" si="158">IFERROR(G15/G14,0)</f>
        <v>1</v>
      </c>
      <c r="H16" s="573">
        <f t="shared" si="158"/>
        <v>0.41176470588235292</v>
      </c>
      <c r="I16" s="444">
        <f t="shared" ref="I16" si="159">IFERROR(I15/I14,0)</f>
        <v>0</v>
      </c>
      <c r="J16" s="397">
        <f t="shared" ref="J16" si="160">IFERROR(J15/J14,0)</f>
        <v>0</v>
      </c>
      <c r="K16" s="397">
        <f t="shared" ref="K16" si="161">IFERROR(K15/K14,0)</f>
        <v>0</v>
      </c>
      <c r="L16" s="397">
        <f t="shared" ref="L16" si="162">IFERROR(L15/L14,0)</f>
        <v>0</v>
      </c>
      <c r="M16" s="441">
        <f t="shared" ref="M16:N16" si="163">IFERROR(M15/M14,0)</f>
        <v>0</v>
      </c>
      <c r="N16" s="573">
        <f t="shared" si="163"/>
        <v>0</v>
      </c>
      <c r="O16" s="444">
        <f t="shared" ref="O16" si="164">IFERROR(O15/O14,0)</f>
        <v>1</v>
      </c>
      <c r="P16" s="397">
        <f t="shared" ref="P16" si="165">IFERROR(P15/P14,0)</f>
        <v>0</v>
      </c>
      <c r="Q16" s="397">
        <f t="shared" ref="Q16:S16" si="166">IFERROR(Q15/Q14,0)</f>
        <v>0</v>
      </c>
      <c r="R16" s="573">
        <f t="shared" si="166"/>
        <v>0.4</v>
      </c>
      <c r="S16" s="397">
        <f t="shared" si="166"/>
        <v>0.66666666666666663</v>
      </c>
      <c r="T16" s="397">
        <f>IFERROR(T15/T14,0)</f>
        <v>0.33333333333333331</v>
      </c>
      <c r="U16" s="397">
        <f>IFERROR(U15/U14,0)</f>
        <v>0</v>
      </c>
      <c r="V16" s="441">
        <f t="shared" ref="V16:W16" si="167">IFERROR(V15/V14,0)</f>
        <v>0</v>
      </c>
      <c r="W16" s="573">
        <f t="shared" si="167"/>
        <v>0.25</v>
      </c>
      <c r="X16" s="397">
        <f>IFERROR(X15/X14,0)</f>
        <v>0.33333333333333331</v>
      </c>
      <c r="Y16" s="397">
        <f>IFERROR(Y15/Y14,0)</f>
        <v>0.4</v>
      </c>
      <c r="Z16" s="397">
        <f>IFERROR(Z15/Z14,0)</f>
        <v>0.33333333333333331</v>
      </c>
      <c r="AA16" s="441">
        <f t="shared" ref="AA16:AB16" si="168">IFERROR(AA15/AA14,0)</f>
        <v>0</v>
      </c>
      <c r="AB16" s="441">
        <f t="shared" si="168"/>
        <v>0.25</v>
      </c>
      <c r="AC16" s="573">
        <f>IFERROR(AC15/AC14,0)</f>
        <v>0.27272727272727271</v>
      </c>
      <c r="AD16" s="397">
        <f>IFERROR(AD15/AD14,0)</f>
        <v>0</v>
      </c>
      <c r="AE16" s="397">
        <f>IFERROR(AE15/AE14,0)</f>
        <v>0.8</v>
      </c>
      <c r="AF16" s="397">
        <f>IFERROR(AF15/AF14,0)</f>
        <v>0.25</v>
      </c>
      <c r="AG16" s="441">
        <f t="shared" ref="AG16:AH16" si="169">IFERROR(AG15/AG14,0)</f>
        <v>0.66666666666666663</v>
      </c>
      <c r="AH16" s="441">
        <f t="shared" si="169"/>
        <v>0</v>
      </c>
      <c r="AI16" s="573">
        <f>IFERROR(AI15/AI14,0)</f>
        <v>0.53846153846153844</v>
      </c>
      <c r="AJ16" s="397">
        <f>IFERROR(AJ15/AJ14,0)</f>
        <v>0.5</v>
      </c>
      <c r="AK16" s="397">
        <f>IFERROR(AK15/AK14,0)</f>
        <v>0</v>
      </c>
      <c r="AL16" s="397">
        <f>IFERROR(AL15/AL14,0)</f>
        <v>1</v>
      </c>
      <c r="AM16" s="441">
        <f t="shared" ref="AM16:AN16" si="170">IFERROR(AM15/AM14,0)</f>
        <v>0</v>
      </c>
      <c r="AN16" s="441">
        <f t="shared" si="170"/>
        <v>0</v>
      </c>
      <c r="AO16" s="573">
        <f>IFERROR(AO15/AO14,0)</f>
        <v>0.34615384615384615</v>
      </c>
      <c r="AP16" s="397">
        <f>IFERROR(AP15/AP14,0)</f>
        <v>0</v>
      </c>
      <c r="AQ16" s="397">
        <f>IFERROR(AQ15/AQ14,0)</f>
        <v>0</v>
      </c>
      <c r="AR16" s="397">
        <f>IFERROR(AR15/AR14,0)</f>
        <v>0.33333333333333331</v>
      </c>
      <c r="AS16" s="441">
        <f t="shared" ref="AS16:AT16" si="171">IFERROR(AS15/AS14,0)</f>
        <v>0</v>
      </c>
      <c r="AT16" s="441">
        <f t="shared" si="171"/>
        <v>0</v>
      </c>
      <c r="AU16" s="573">
        <f>IFERROR(AU15/AU14,0)</f>
        <v>7.6923076923076927E-2</v>
      </c>
      <c r="AV16" s="397">
        <f>IFERROR(AV15/AV14,0)</f>
        <v>0.33333333333333331</v>
      </c>
      <c r="AW16" s="397">
        <f>IFERROR(AW15/AW14,0)</f>
        <v>0.21951219512195122</v>
      </c>
      <c r="AX16" s="397">
        <f>IFERROR(AX15/AX14,0)</f>
        <v>0</v>
      </c>
      <c r="AY16" s="441">
        <f t="shared" ref="AY16:AZ16" si="172">IFERROR(AY15/AY14,0)</f>
        <v>0</v>
      </c>
      <c r="AZ16" s="441">
        <f t="shared" si="172"/>
        <v>0</v>
      </c>
      <c r="BA16" s="573">
        <f>IFERROR(BA15/BA14,0)</f>
        <v>0.19607843137254902</v>
      </c>
      <c r="BB16" s="397">
        <f>IFERROR(BB15/BB14,0)</f>
        <v>0</v>
      </c>
      <c r="BC16" s="397">
        <f>IFERROR(BC15/BC14,0)</f>
        <v>0.5</v>
      </c>
      <c r="BD16" s="397">
        <f>IFERROR(BD15/BD14,0)</f>
        <v>0</v>
      </c>
      <c r="BE16" s="441">
        <f t="shared" ref="BE16:BF16" si="173">IFERROR(BE15/BE14,0)</f>
        <v>0.33333333333333331</v>
      </c>
      <c r="BF16" s="441">
        <f t="shared" si="173"/>
        <v>0.5</v>
      </c>
      <c r="BG16" s="573">
        <f>IFERROR(BG15/BG14,0)</f>
        <v>0.375</v>
      </c>
      <c r="BH16" s="397">
        <f>IFERROR(BH15/BH14,0)</f>
        <v>1</v>
      </c>
      <c r="BI16" s="397">
        <f>IFERROR(BI15/BI14,0)</f>
        <v>1</v>
      </c>
      <c r="BJ16" s="397">
        <f>IFERROR(BJ15/BJ14,0)</f>
        <v>0</v>
      </c>
      <c r="BK16" s="441">
        <f t="shared" ref="BK16:BL16" si="174">IFERROR(BK15/BK14,0)</f>
        <v>0.2</v>
      </c>
      <c r="BL16" s="441">
        <f t="shared" si="174"/>
        <v>0.5</v>
      </c>
      <c r="BM16" s="573">
        <f>IFERROR(BM15/BM14,0)</f>
        <v>0.5714285714285714</v>
      </c>
      <c r="BN16" s="397">
        <f>IFERROR(BN15/BN14,0)</f>
        <v>0</v>
      </c>
      <c r="BO16" s="397">
        <f>IFERROR(BO15/BO14,0)</f>
        <v>1</v>
      </c>
      <c r="BP16" s="397">
        <f>IFERROR(BP15/BP14,0)</f>
        <v>0</v>
      </c>
      <c r="BQ16" s="441">
        <f t="shared" ref="BQ16:BR16" si="175">IFERROR(BQ15/BQ14,0)</f>
        <v>0.5</v>
      </c>
      <c r="BR16" s="441">
        <f t="shared" si="175"/>
        <v>0.5</v>
      </c>
      <c r="BS16" s="573">
        <f>IFERROR(BS15/BS14,0)</f>
        <v>0.35714285714285715</v>
      </c>
      <c r="BT16" s="397">
        <f>IFERROR(BT15/BT14,0)</f>
        <v>0</v>
      </c>
      <c r="BU16" s="397">
        <f>IFERROR(BU15/BU14,0)</f>
        <v>0</v>
      </c>
      <c r="BV16" s="397">
        <f>IFERROR(BV15/BV14,0)</f>
        <v>0</v>
      </c>
      <c r="BW16" s="441">
        <f t="shared" ref="BW16:BX16" si="176">IFERROR(BW15/BW14,0)</f>
        <v>0</v>
      </c>
      <c r="BX16" s="441">
        <f t="shared" si="176"/>
        <v>0</v>
      </c>
      <c r="BY16" s="573">
        <f>IFERROR(BY15/BY14,0)</f>
        <v>0</v>
      </c>
      <c r="BZ16" s="397">
        <f>IFERROR(BZ15/BZ14,0)</f>
        <v>0</v>
      </c>
      <c r="CA16" s="397">
        <f>IFERROR(CA15/CA14,0)</f>
        <v>0</v>
      </c>
      <c r="CB16" s="397">
        <f>IFERROR(CB15/CB14,0)</f>
        <v>0</v>
      </c>
      <c r="CC16" s="441">
        <f t="shared" ref="CC16:CD16" si="177">IFERROR(CC15/CC14,0)</f>
        <v>0</v>
      </c>
      <c r="CD16" s="441">
        <f t="shared" si="177"/>
        <v>0.75</v>
      </c>
      <c r="CE16" s="573">
        <f>IFERROR(CE15/CE14,0)</f>
        <v>0.3</v>
      </c>
      <c r="CF16" s="397">
        <f>IFERROR(CF15/CF14,0)</f>
        <v>0.33333333333333331</v>
      </c>
      <c r="CG16" s="397">
        <f>IFERROR(CG15/CG14,0)</f>
        <v>0.33333333333333331</v>
      </c>
      <c r="CH16" s="397">
        <f>IFERROR(CH15/CH14,0)</f>
        <v>0.33333333333333331</v>
      </c>
      <c r="CI16" s="441">
        <f t="shared" ref="CI16:CJ16" si="178">IFERROR(CI15/CI14,0)</f>
        <v>0</v>
      </c>
      <c r="CJ16" s="441">
        <f t="shared" si="178"/>
        <v>0</v>
      </c>
      <c r="CK16" s="573">
        <f>IFERROR(CK15/CK14,0)</f>
        <v>0.2</v>
      </c>
      <c r="CL16" s="397">
        <f>IFERROR(CL15/CL14,0)</f>
        <v>0</v>
      </c>
      <c r="CM16" s="397">
        <f>IFERROR(CM15/CM14,0)</f>
        <v>0</v>
      </c>
      <c r="CN16" s="397">
        <f>IFERROR(CN15/CN14,0)</f>
        <v>0</v>
      </c>
      <c r="CO16" s="441">
        <f t="shared" ref="CO16:CP16" si="179">IFERROR(CO15/CO14,0)</f>
        <v>0</v>
      </c>
      <c r="CP16" s="441">
        <f t="shared" si="179"/>
        <v>0</v>
      </c>
      <c r="CQ16" s="573">
        <f>IFERROR(CQ15/CQ14,0)</f>
        <v>0</v>
      </c>
      <c r="CR16" s="397">
        <f>IFERROR(CR15/CR14,0)</f>
        <v>0</v>
      </c>
      <c r="CS16" s="397">
        <f>IFERROR(CS15/CS14,0)</f>
        <v>0</v>
      </c>
      <c r="CT16" s="397">
        <f>IFERROR(CT15/CT14,0)</f>
        <v>0</v>
      </c>
      <c r="CU16" s="441">
        <f t="shared" ref="CU16:CV16" si="180">IFERROR(CU15/CU14,0)</f>
        <v>0</v>
      </c>
      <c r="CV16" s="441">
        <f t="shared" si="180"/>
        <v>0</v>
      </c>
      <c r="CW16" s="573">
        <f>IFERROR(CW15/CW14,0)</f>
        <v>0</v>
      </c>
      <c r="CX16" s="397">
        <f>IFERROR(CX15/CX14,0)</f>
        <v>0</v>
      </c>
      <c r="CY16" s="397">
        <f>IFERROR(CY15/CY14,0)</f>
        <v>1</v>
      </c>
      <c r="CZ16" s="397">
        <f>IFERROR(CZ15/CZ14,0)</f>
        <v>0.33333333333333331</v>
      </c>
      <c r="DA16" s="441">
        <f t="shared" ref="DA16:DB16" si="181">IFERROR(DA15/DA14,0)</f>
        <v>1</v>
      </c>
      <c r="DB16" s="441">
        <f t="shared" si="181"/>
        <v>0</v>
      </c>
      <c r="DC16" s="573">
        <f>IFERROR(DC15/DC14,0)</f>
        <v>0.61538461538461542</v>
      </c>
      <c r="DD16" s="397">
        <f>IFERROR(DD15/DD14,0)</f>
        <v>0.33333333333333331</v>
      </c>
      <c r="DE16" s="397">
        <f>IFERROR(DE15/DE14,0)</f>
        <v>0.66666666666666663</v>
      </c>
      <c r="DF16" s="397">
        <f>IFERROR(DF15/DF14,0)</f>
        <v>1</v>
      </c>
      <c r="DG16" s="441">
        <f t="shared" ref="DG16:DH16" si="182">IFERROR(DG15/DG14,0)</f>
        <v>0.8</v>
      </c>
      <c r="DH16" s="441">
        <f t="shared" si="182"/>
        <v>0</v>
      </c>
      <c r="DI16" s="573">
        <f>IFERROR(DI15/DI14,0)</f>
        <v>0.6</v>
      </c>
      <c r="DJ16" s="397">
        <f>IFERROR(DJ15/DJ14,0)</f>
        <v>0</v>
      </c>
      <c r="DK16" s="397">
        <f>IFERROR(DK15/DK14,0)</f>
        <v>0.66666666666666663</v>
      </c>
      <c r="DL16" s="397">
        <f>IFERROR(DL15/DL14,0)</f>
        <v>0.25</v>
      </c>
      <c r="DM16" s="441">
        <f t="shared" ref="DM16:DN16" si="183">IFERROR(DM15/DM14,0)</f>
        <v>0.33333333333333331</v>
      </c>
      <c r="DN16" s="441">
        <f t="shared" si="183"/>
        <v>0</v>
      </c>
      <c r="DO16" s="573">
        <f>IFERROR(DO15/DO14,0)</f>
        <v>0.26666666666666666</v>
      </c>
      <c r="DP16" s="397">
        <f>IFERROR(DP15/DP14,0)</f>
        <v>0</v>
      </c>
      <c r="DQ16" s="397">
        <f>IFERROR(DQ15/DQ14,0)</f>
        <v>0</v>
      </c>
      <c r="DR16" s="397">
        <f>IFERROR(DR15/DR14,0)</f>
        <v>0</v>
      </c>
      <c r="DS16" s="441">
        <f t="shared" ref="DS16:DT16" si="184">IFERROR(DS15/DS14,0)</f>
        <v>0</v>
      </c>
      <c r="DT16" s="441">
        <f t="shared" si="184"/>
        <v>0</v>
      </c>
      <c r="DU16" s="573">
        <f>IFERROR(DU15/DU14,0)</f>
        <v>0</v>
      </c>
      <c r="DV16" s="397">
        <f>IFERROR(DV15/DV14,0)</f>
        <v>0</v>
      </c>
      <c r="DW16" s="397">
        <f>IFERROR(DW15/DW14,0)</f>
        <v>0</v>
      </c>
      <c r="DX16" s="397">
        <f>IFERROR(DX15/DX14,0)</f>
        <v>0</v>
      </c>
      <c r="DY16" s="441">
        <f t="shared" ref="DY16:DZ16" si="185">IFERROR(DY15/DY14,0)</f>
        <v>0</v>
      </c>
      <c r="DZ16" s="441">
        <f t="shared" si="185"/>
        <v>0</v>
      </c>
      <c r="EA16" s="573">
        <f>IFERROR(EA15/EA14,0)</f>
        <v>0</v>
      </c>
      <c r="EB16" s="397">
        <f>IFERROR(EB15/EB14,0)</f>
        <v>0</v>
      </c>
      <c r="EC16" s="397">
        <f>IFERROR(EC15/EC14,0)</f>
        <v>0</v>
      </c>
      <c r="ED16" s="397">
        <f>IFERROR(ED15/ED14,0)</f>
        <v>0</v>
      </c>
      <c r="EE16" s="441">
        <f t="shared" ref="EE16:EF16" si="186">IFERROR(EE15/EE14,0)</f>
        <v>0</v>
      </c>
      <c r="EF16" s="441">
        <f t="shared" si="186"/>
        <v>0</v>
      </c>
      <c r="EG16" s="573">
        <f>IFERROR(EG15/EG14,0)</f>
        <v>0</v>
      </c>
      <c r="EH16" s="397">
        <f>IFERROR(EH15/EH14,0)</f>
        <v>0</v>
      </c>
      <c r="EI16" s="397">
        <f>IFERROR(EI15/EI14,0)</f>
        <v>0</v>
      </c>
      <c r="EJ16" s="397">
        <f>IFERROR(EJ15/EJ14,0)</f>
        <v>0</v>
      </c>
      <c r="EK16" s="441">
        <f t="shared" ref="EK16:EL16" si="187">IFERROR(EK15/EK14,0)</f>
        <v>0</v>
      </c>
      <c r="EL16" s="441">
        <f t="shared" si="187"/>
        <v>0</v>
      </c>
      <c r="EM16" s="573">
        <f>IFERROR(EM15/EM14,0)</f>
        <v>0</v>
      </c>
      <c r="EN16" s="397">
        <f>IFERROR(EN15/EN14,0)</f>
        <v>0</v>
      </c>
      <c r="EO16" s="397">
        <f>IFERROR(EO15/EO14,0)</f>
        <v>0</v>
      </c>
      <c r="EP16" s="397">
        <f>IFERROR(EP15/EP14,0)</f>
        <v>0</v>
      </c>
      <c r="EQ16" s="441">
        <f t="shared" ref="EQ16:ER16" si="188">IFERROR(EQ15/EQ14,0)</f>
        <v>0</v>
      </c>
      <c r="ER16" s="441">
        <f t="shared" si="188"/>
        <v>0</v>
      </c>
      <c r="ES16" s="573">
        <f>IFERROR(ES15/ES14,0)</f>
        <v>0</v>
      </c>
      <c r="ET16" s="397">
        <f>IFERROR(ET15/ET14,0)</f>
        <v>0</v>
      </c>
      <c r="EU16" s="397">
        <f>IFERROR(EU15/EU14,0)</f>
        <v>0</v>
      </c>
      <c r="EV16" s="397">
        <f>IFERROR(EV15/EV14,0)</f>
        <v>0</v>
      </c>
      <c r="EW16" s="441">
        <f t="shared" ref="EW16:EX16" si="189">IFERROR(EW15/EW14,0)</f>
        <v>0</v>
      </c>
      <c r="EX16" s="441">
        <f t="shared" si="189"/>
        <v>0</v>
      </c>
      <c r="EY16" s="573">
        <f>IFERROR(EY15/EY14,0)</f>
        <v>0</v>
      </c>
      <c r="EZ16" s="397">
        <f>IFERROR(EZ15/EZ14,0)</f>
        <v>0</v>
      </c>
      <c r="FA16" s="397">
        <f>IFERROR(FA15/FA14,0)</f>
        <v>0</v>
      </c>
      <c r="FB16" s="397">
        <f>IFERROR(FB15/FB14,0)</f>
        <v>0</v>
      </c>
      <c r="FC16" s="441">
        <f t="shared" ref="FC16:FD16" si="190">IFERROR(FC15/FC14,0)</f>
        <v>0</v>
      </c>
      <c r="FD16" s="441">
        <f t="shared" si="190"/>
        <v>0</v>
      </c>
      <c r="FE16" s="573">
        <f>IFERROR(FE15/FE14,0)</f>
        <v>0</v>
      </c>
      <c r="FF16" s="397">
        <f>IFERROR(FF15/FF14,0)</f>
        <v>0</v>
      </c>
      <c r="FG16" s="397">
        <f>IFERROR(FG15/FG14,0)</f>
        <v>0</v>
      </c>
      <c r="FH16" s="397">
        <f>IFERROR(FH15/FH14,0)</f>
        <v>0</v>
      </c>
      <c r="FI16" s="441">
        <f t="shared" ref="FI16:FJ16" si="191">IFERROR(FI15/FI14,0)</f>
        <v>0</v>
      </c>
      <c r="FJ16" s="441">
        <f t="shared" si="191"/>
        <v>0</v>
      </c>
      <c r="FK16" s="573">
        <f>IFERROR(FK15/FK14,0)</f>
        <v>0</v>
      </c>
      <c r="FL16" s="397">
        <f>IFERROR(FL15/FL14,0)</f>
        <v>0</v>
      </c>
      <c r="FM16" s="397">
        <f>IFERROR(FM15/FM14,0)</f>
        <v>0</v>
      </c>
      <c r="FN16" s="397">
        <f>IFERROR(FN15/FN14,0)</f>
        <v>0</v>
      </c>
      <c r="FO16" s="441">
        <f t="shared" ref="FO16:FP16" si="192">IFERROR(FO15/FO14,0)</f>
        <v>0</v>
      </c>
      <c r="FP16" s="441">
        <f t="shared" si="192"/>
        <v>0</v>
      </c>
      <c r="FQ16" s="573">
        <f>IFERROR(FQ15/FQ14,0)</f>
        <v>0</v>
      </c>
      <c r="FR16" s="397">
        <f>IFERROR(FR15/FR14,0)</f>
        <v>0</v>
      </c>
      <c r="FS16" s="397">
        <f>IFERROR(FS15/FS14,0)</f>
        <v>0</v>
      </c>
      <c r="FT16" s="397">
        <f>IFERROR(FT15/FT14,0)</f>
        <v>0</v>
      </c>
      <c r="FU16" s="441">
        <f t="shared" ref="FU16:FV16" si="193">IFERROR(FU15/FU14,0)</f>
        <v>0</v>
      </c>
      <c r="FV16" s="441">
        <f t="shared" si="193"/>
        <v>0</v>
      </c>
      <c r="FW16" s="573">
        <f>IFERROR(FW15/FW14,0)</f>
        <v>0</v>
      </c>
      <c r="FX16" s="397">
        <f>IFERROR(FX15/FX14,0)</f>
        <v>0</v>
      </c>
      <c r="FY16" s="397">
        <f>IFERROR(FY15/FY14,0)</f>
        <v>0</v>
      </c>
      <c r="FZ16" s="397">
        <f>IFERROR(FZ15/FZ14,0)</f>
        <v>0</v>
      </c>
      <c r="GA16" s="441">
        <f t="shared" ref="GA16:GB16" si="194">IFERROR(GA15/GA14,0)</f>
        <v>0</v>
      </c>
      <c r="GB16" s="441">
        <f t="shared" si="194"/>
        <v>0</v>
      </c>
      <c r="GC16" s="573">
        <f>IFERROR(GC15/GC14,0)</f>
        <v>0</v>
      </c>
      <c r="GD16" s="397">
        <f>IFERROR(GD15/GD14,0)</f>
        <v>0</v>
      </c>
      <c r="GE16" s="397">
        <f>IFERROR(GE15/GE14,0)</f>
        <v>0</v>
      </c>
      <c r="GF16" s="397">
        <f>IFERROR(GF15/GF14,0)</f>
        <v>0</v>
      </c>
      <c r="GG16" s="441">
        <f t="shared" ref="GG16:GH16" si="195">IFERROR(GG15/GG14,0)</f>
        <v>0</v>
      </c>
      <c r="GH16" s="441">
        <f t="shared" si="195"/>
        <v>0</v>
      </c>
      <c r="GI16" s="573">
        <f>IFERROR(GI15/GI14,0)</f>
        <v>0</v>
      </c>
      <c r="GJ16" s="397">
        <f>IFERROR(GJ15/GJ14,0)</f>
        <v>0</v>
      </c>
      <c r="GK16" s="397">
        <f>IFERROR(GK15/GK14,0)</f>
        <v>0</v>
      </c>
      <c r="GL16" s="397">
        <f>IFERROR(GL15/GL14,0)</f>
        <v>0</v>
      </c>
      <c r="GM16" s="441">
        <f t="shared" ref="GM16:GN16" si="196">IFERROR(GM15/GM14,0)</f>
        <v>0</v>
      </c>
      <c r="GN16" s="441">
        <f t="shared" si="196"/>
        <v>0</v>
      </c>
      <c r="GO16" s="573">
        <f>IFERROR(GO15/GO14,0)</f>
        <v>0</v>
      </c>
      <c r="GP16" s="397">
        <f>IFERROR(GP15/GP14,0)</f>
        <v>0</v>
      </c>
      <c r="GQ16" s="397">
        <f>IFERROR(GQ15/GQ14,0)</f>
        <v>0</v>
      </c>
      <c r="GR16" s="397">
        <f>IFERROR(GR15/GR14,0)</f>
        <v>0</v>
      </c>
      <c r="GS16" s="441">
        <f t="shared" ref="GS16:GT16" si="197">IFERROR(GS15/GS14,0)</f>
        <v>0</v>
      </c>
      <c r="GT16" s="441">
        <f t="shared" si="197"/>
        <v>0</v>
      </c>
      <c r="GU16" s="573">
        <f>IFERROR(GU15/GU14,0)</f>
        <v>0</v>
      </c>
      <c r="GV16" s="397">
        <f>IFERROR(GV15/GV14,0)</f>
        <v>0</v>
      </c>
      <c r="GW16" s="397">
        <f>IFERROR(GW15/GW14,0)</f>
        <v>0</v>
      </c>
      <c r="GX16" s="397">
        <f>IFERROR(GX15/GX14,0)</f>
        <v>0</v>
      </c>
      <c r="GY16" s="441">
        <f t="shared" ref="GY16:GZ16" si="198">IFERROR(GY15/GY14,0)</f>
        <v>0</v>
      </c>
      <c r="GZ16" s="441">
        <f t="shared" si="198"/>
        <v>0</v>
      </c>
      <c r="HA16" s="573">
        <f>IFERROR(HA15/HA14,0)</f>
        <v>0</v>
      </c>
    </row>
    <row r="17" spans="1:209" ht="15" thickTop="1" x14ac:dyDescent="0.3">
      <c r="A17" s="1555" t="s">
        <v>2417</v>
      </c>
      <c r="B17" s="428">
        <f>SUM(H17,N17,R17,W17,AC17,AI17,AO17,AU17,BA17,BG17,BM17,BS17,BY17,CE17,CK17,CQ17,CW17,DC17,DI17,DO17,DU17,EA17,EG17,EM17,ES17,EY17,FE17,FK17,FQ17,FW17,GC17,GI17,GO17,GU17,HA17)</f>
        <v>232</v>
      </c>
      <c r="C17" s="574">
        <f>COUNTIFS(STATUS!$Q:$Q,$A17,STATUS!$D:$D,C$1,STATUS!$K:$K,"РЕШ УВ DONE")</f>
        <v>0</v>
      </c>
      <c r="D17" s="574">
        <f>COUNTIFS(STATUS!$Q:$Q,$A17,STATUS!$D:$D,D$1,STATUS!$K:$K,"РЕШ УВ DONE")</f>
        <v>0</v>
      </c>
      <c r="E17" s="574">
        <f>COUNTIFS(STATUS!$Q:$Q,$A17,STATUS!$D:$D,E$1,STATUS!$K:$K,"РЕШ УВ DONE")</f>
        <v>0</v>
      </c>
      <c r="F17" s="574">
        <f>COUNTIFS(STATUS!$Q:$Q,$A17,STATUS!$D:$D,F$1,STATUS!$K:$K,"РЕШ УВ DONE")</f>
        <v>0</v>
      </c>
      <c r="G17" s="575">
        <f>COUNTIFS(STATUS!$Q:$Q,$A17,STATUS!$D:$D,G$1,STATUS!$K:$K,"РЕШ УВ DONE")</f>
        <v>0</v>
      </c>
      <c r="H17" s="576">
        <f>SUM(C17:G17)</f>
        <v>0</v>
      </c>
      <c r="I17" s="443">
        <f>COUNTIFS(STATUS!$Q:$Q,$A17,STATUS!$D:$D,I$1,STATUS!$K:$K,"РЕШ УВ DONE")</f>
        <v>7</v>
      </c>
      <c r="J17" s="406">
        <f>COUNTIFS(STATUS!$Q:$Q,$A17,STATUS!$D:$D,J$1,STATUS!$K:$K,"РЕШ УВ DONE")</f>
        <v>2</v>
      </c>
      <c r="K17" s="406">
        <f>COUNTIFS(STATUS!$Q:$Q,$A17,STATUS!$D:$D,K$1,STATUS!$K:$K,"РЕШ УВ DONE")</f>
        <v>4</v>
      </c>
      <c r="L17" s="406">
        <f>COUNTIFS(STATUS!$Q:$Q,$A17,STATUS!$D:$D,L$1,STATUS!$K:$K,"РЕШ УВ DONE")</f>
        <v>2</v>
      </c>
      <c r="M17" s="439">
        <f>COUNTIFS(STATUS!$Q:$Q,$A17,STATUS!$D:$D,M$1,STATUS!$K:$K,"РЕШ УВ DONE")</f>
        <v>0</v>
      </c>
      <c r="N17" s="572">
        <f>SUM(I17:M17)</f>
        <v>15</v>
      </c>
      <c r="O17" s="443">
        <f>COUNTIFS(STATUS!$Q:$Q,$A17,STATUS!$D:$D,O$1,STATUS!$K:$K,"РЕШ УВ DONE")</f>
        <v>1</v>
      </c>
      <c r="P17" s="406">
        <f>COUNTIFS(STATUS!$Q:$Q,$A17,STATUS!$D:$D,P$1,STATUS!$K:$K,"РЕШ УВ DONE")</f>
        <v>2</v>
      </c>
      <c r="Q17" s="406">
        <f>COUNTIFS(STATUS!$Q:$Q,$A17,STATUS!$D:$D,Q$1,STATUS!$K:$K,"РЕШ УВ DONE")</f>
        <v>1</v>
      </c>
      <c r="R17" s="571">
        <f>SUM(O17:Q17)</f>
        <v>4</v>
      </c>
      <c r="S17" s="406">
        <f>COUNTIFS(STATUS!$Q:$Q,$A17,STATUS!$D:$D,S$1,STATUS!$K:$K,"РЕШ УВ DONE")</f>
        <v>5</v>
      </c>
      <c r="T17" s="406">
        <f>COUNTIFS(STATUS!$Q:$Q,$A17,STATUS!$D:$D,T$1,STATUS!$K:$K,"РЕШ УВ DONE")</f>
        <v>5</v>
      </c>
      <c r="U17" s="406">
        <f>COUNTIFS(STATUS!$Q:$Q,$A17,STATUS!$D:$D,U$1,STATUS!$K:$K,"РЕШ УВ DONE")</f>
        <v>2</v>
      </c>
      <c r="V17" s="439">
        <f>COUNTIFS(STATUS!$Q:$Q,$A17,STATUS!$D:$D,V$1,STATUS!$K:$K,"РЕШ УВ DONE")</f>
        <v>3</v>
      </c>
      <c r="W17" s="571">
        <f>SUM(S17:V17)</f>
        <v>15</v>
      </c>
      <c r="X17" s="406">
        <f>COUNTIFS(STATUS!$Q:$Q,$A17,STATUS!$D:$D,X$1,STATUS!$K:$K,"РЕШ УВ DONE")</f>
        <v>5</v>
      </c>
      <c r="Y17" s="406">
        <f>COUNTIFS(STATUS!$Q:$Q,$A17,STATUS!$D:$D,Y$1,STATUS!$K:$K,"РЕШ УВ DONE")</f>
        <v>4</v>
      </c>
      <c r="Z17" s="406">
        <f>COUNTIFS(STATUS!$Q:$Q,$A17,STATUS!$D:$D,Z$1,STATUS!$K:$K,"РЕШ УВ DONE")</f>
        <v>4</v>
      </c>
      <c r="AA17" s="439">
        <f>COUNTIFS(STATUS!$Q:$Q,$A17,STATUS!$D:$D,AA$1,STATUS!$K:$K,"РЕШ УВ DONE")</f>
        <v>2</v>
      </c>
      <c r="AB17" s="439">
        <f>COUNTIFS(STATUS!$Q:$Q,$A17,STATUS!$D:$D,AB$1,STATUS!$K:$K,"РЕШ УВ DONE")</f>
        <v>3</v>
      </c>
      <c r="AC17" s="571">
        <f>SUM(X17:AB17)</f>
        <v>18</v>
      </c>
      <c r="AD17" s="406">
        <f>COUNTIFS(STATUS!$Q:$Q,$A17,STATUS!$D:$D,AD$1,STATUS!$K:$K,"РЕШ УВ DONE")</f>
        <v>6</v>
      </c>
      <c r="AE17" s="406">
        <f>COUNTIFS(STATUS!$Q:$Q,$A17,STATUS!$D:$D,AE$1,STATUS!$K:$K,"РЕШ УВ DONE")</f>
        <v>2</v>
      </c>
      <c r="AF17" s="406">
        <f>COUNTIFS(STATUS!$Q:$Q,$A17,STATUS!$D:$D,AF$1,STATUS!$K:$K,"РЕШ УВ DONE")</f>
        <v>0</v>
      </c>
      <c r="AG17" s="439">
        <f>COUNTIFS(STATUS!$Q:$Q,$A17,STATUS!$D:$D,AG$1,STATUS!$K:$K,"РЕШ УВ DONE")</f>
        <v>0</v>
      </c>
      <c r="AH17" s="439">
        <f>COUNTIFS(STATUS!$Q:$Q,$A17,STATUS!$D:$D,AH$1,STATUS!$K:$K,"РЕШ УВ DONE")</f>
        <v>0</v>
      </c>
      <c r="AI17" s="571">
        <f>SUM(AD17:AH17)</f>
        <v>8</v>
      </c>
      <c r="AJ17" s="406">
        <f>COUNTIFS(STATUS!$Q:$Q,$A17,STATUS!$D:$D,AJ$1,STATUS!$K:$K,"РЕШ УВ DONE")</f>
        <v>15</v>
      </c>
      <c r="AK17" s="406">
        <f>COUNTIFS(STATUS!$Q:$Q,$A17,STATUS!$D:$D,AK$1,STATUS!$K:$K,"РЕШ УВ DONE")</f>
        <v>3</v>
      </c>
      <c r="AL17" s="406">
        <f>COUNTIFS(STATUS!$Q:$Q,$A17,STATUS!$D:$D,AL$1,STATUS!$K:$K,"РЕШ УВ DONE")</f>
        <v>2</v>
      </c>
      <c r="AM17" s="439">
        <f>COUNTIFS(STATUS!$Q:$Q,$A17,STATUS!$D:$D,AM$1,STATUS!$K:$K,"РЕШ УВ DONE")</f>
        <v>5</v>
      </c>
      <c r="AN17" s="439">
        <f>COUNTIFS(STATUS!$Q:$Q,$A17,STATUS!$D:$D,AN$1,STATUS!$K:$K,"РЕШ УВ DONE")</f>
        <v>3</v>
      </c>
      <c r="AO17" s="571">
        <f>SUM(AJ17:AN17)</f>
        <v>28</v>
      </c>
      <c r="AP17" s="406">
        <f>COUNTIFS(STATUS!$Q:$Q,$A17,STATUS!$D:$D,AP$1,STATUS!$K:$K,"РЕШ УВ DONE")</f>
        <v>5</v>
      </c>
      <c r="AQ17" s="406">
        <f>COUNTIFS(STATUS!$Q:$Q,$A17,STATUS!$D:$D,AQ$1,STATUS!$K:$K,"РЕШ УВ DONE")</f>
        <v>2</v>
      </c>
      <c r="AR17" s="406">
        <f>COUNTIFS(STATUS!$Q:$Q,$A17,STATUS!$D:$D,AR$1,STATUS!$K:$K,"РЕШ УВ DONE")</f>
        <v>4</v>
      </c>
      <c r="AS17" s="439">
        <f>COUNTIFS(STATUS!$Q:$Q,$A17,STATUS!$D:$D,AS$1,STATUS!$K:$K,"РЕШ УВ DONE")</f>
        <v>3</v>
      </c>
      <c r="AT17" s="439">
        <f>COUNTIFS(STATUS!$Q:$Q,$A17,STATUS!$D:$D,AT$1,STATUS!$K:$K,"РЕШ УВ DONE")</f>
        <v>0</v>
      </c>
      <c r="AU17" s="571">
        <f>SUM(AP17:AT17)</f>
        <v>14</v>
      </c>
      <c r="AV17" s="406">
        <f>COUNTIFS(STATUS!$Q:$Q,$A17,STATUS!$D:$D,AV$1,STATUS!$K:$K,"РЕШ УВ DONE")</f>
        <v>3</v>
      </c>
      <c r="AW17" s="406">
        <f>COUNTIFS(STATUS!$Q:$Q,$A17,STATUS!$D:$D,AW$1,STATUS!$K:$K,"РЕШ УВ DONE")</f>
        <v>49</v>
      </c>
      <c r="AX17" s="406">
        <f>COUNTIFS(STATUS!$Q:$Q,$A17,STATUS!$D:$D,AX$1,STATUS!$K:$K,"РЕШ УВ DONE")</f>
        <v>4</v>
      </c>
      <c r="AY17" s="439">
        <f>COUNTIFS(STATUS!$Q:$Q,$A17,STATUS!$D:$D,AY$1,STATUS!$K:$K,"РЕШ УВ DONE")</f>
        <v>4</v>
      </c>
      <c r="AZ17" s="439">
        <f>COUNTIFS(STATUS!$Q:$Q,$A17,STATUS!$D:$D,AZ$1,STATUS!$K:$K,"РЕШ УВ DONE")</f>
        <v>3</v>
      </c>
      <c r="BA17" s="571">
        <f>SUM(AV17:AZ17)</f>
        <v>63</v>
      </c>
      <c r="BB17" s="406">
        <f>COUNTIFS(STATUS!$Q:$Q,$A17,STATUS!$D:$D,BB$1,STATUS!$K:$K,"РЕШ УВ DONE")</f>
        <v>4</v>
      </c>
      <c r="BC17" s="406">
        <f>COUNTIFS(STATUS!$Q:$Q,$A17,STATUS!$D:$D,BC$1,STATUS!$K:$K,"РЕШ УВ DONE")</f>
        <v>7</v>
      </c>
      <c r="BD17" s="406">
        <f>COUNTIFS(STATUS!$Q:$Q,$A17,STATUS!$D:$D,BD$1,STATUS!$K:$K,"РЕШ УВ DONE")</f>
        <v>0</v>
      </c>
      <c r="BE17" s="439">
        <f>COUNTIFS(STATUS!$Q:$Q,$A17,STATUS!$D:$D,BE$1,STATUS!$K:$K,"РЕШ УВ DONE")</f>
        <v>5</v>
      </c>
      <c r="BF17" s="439">
        <f>COUNTIFS(STATUS!$Q:$Q,$A17,STATUS!$D:$D,BF$1,STATUS!$K:$K,"РЕШ УВ DONE")</f>
        <v>1</v>
      </c>
      <c r="BG17" s="571">
        <f>SUM(BB17:BF17)</f>
        <v>17</v>
      </c>
      <c r="BH17" s="406">
        <f>COUNTIFS(STATUS!$Q:$Q,$A17,STATUS!$D:$D,BH$1,STATUS!$K:$K,"РЕШ УВ DONE")</f>
        <v>4</v>
      </c>
      <c r="BI17" s="406">
        <f>COUNTIFS(STATUS!$Q:$Q,$A17,STATUS!$D:$D,BI$1,STATUS!$K:$K,"РЕШ УВ DONE")</f>
        <v>2</v>
      </c>
      <c r="BJ17" s="406">
        <f>COUNTIFS(STATUS!$Q:$Q,$A17,STATUS!$D:$D,BJ$1,STATUS!$K:$K,"РЕШ УВ DONE")</f>
        <v>0</v>
      </c>
      <c r="BK17" s="439">
        <f>COUNTIFS(STATUS!$Q:$Q,$A17,STATUS!$D:$D,BK$1,STATUS!$K:$K,"РЕШ УВ DONE")</f>
        <v>6</v>
      </c>
      <c r="BL17" s="439">
        <f>COUNTIFS(STATUS!$Q:$Q,$A17,STATUS!$D:$D,BL$1,STATUS!$K:$K,"РЕШ УВ DONE")</f>
        <v>3</v>
      </c>
      <c r="BM17" s="571">
        <f>SUM(BH17:BL17)</f>
        <v>15</v>
      </c>
      <c r="BN17" s="406">
        <f>COUNTIFS(STATUS!$Q:$Q,$A17,STATUS!$D:$D,BN$1,STATUS!$K:$K,"РЕШ УВ DONE")</f>
        <v>2</v>
      </c>
      <c r="BO17" s="406">
        <f>COUNTIFS(STATUS!$Q:$Q,$A17,STATUS!$D:$D,BO$1,STATUS!$K:$K,"РЕШ УВ DONE")</f>
        <v>4</v>
      </c>
      <c r="BP17" s="406">
        <f>COUNTIFS(STATUS!$Q:$Q,$A17,STATUS!$D:$D,BP$1,STATUS!$K:$K,"РЕШ УВ DONE")</f>
        <v>3</v>
      </c>
      <c r="BQ17" s="439">
        <f>COUNTIFS(STATUS!$Q:$Q,$A17,STATUS!$D:$D,BQ$1,STATUS!$K:$K,"РЕШ УВ DONE")</f>
        <v>4</v>
      </c>
      <c r="BR17" s="439">
        <f>COUNTIFS(STATUS!$Q:$Q,$A17,STATUS!$D:$D,BR$1,STATUS!$K:$K,"РЕШ УВ DONE")</f>
        <v>6</v>
      </c>
      <c r="BS17" s="571">
        <f>SUM(BN17:BR17)</f>
        <v>19</v>
      </c>
      <c r="BT17" s="406">
        <f>COUNTIFS(STATUS!$Q:$Q,$A17,STATUS!$D:$D,BT$1,STATUS!$K:$K,"РЕШ УВ DONE")</f>
        <v>4</v>
      </c>
      <c r="BU17" s="406">
        <f>COUNTIFS(STATUS!$Q:$Q,$A17,STATUS!$D:$D,BU$1,STATUS!$K:$K,"РЕШ УВ DONE")</f>
        <v>1</v>
      </c>
      <c r="BV17" s="406">
        <f>COUNTIFS(STATUS!$Q:$Q,$A17,STATUS!$D:$D,BV$1,STATUS!$K:$K,"РЕШ УВ DONE")</f>
        <v>3</v>
      </c>
      <c r="BW17" s="439">
        <f>COUNTIFS(STATUS!$Q:$Q,$A17,STATUS!$D:$D,BW$1,STATUS!$K:$K,"РЕШ УВ DONE")</f>
        <v>4</v>
      </c>
      <c r="BX17" s="439">
        <f>COUNTIFS(STATUS!$Q:$Q,$A17,STATUS!$D:$D,BX$1,STATUS!$K:$K,"РЕШ УВ DONE")</f>
        <v>4</v>
      </c>
      <c r="BY17" s="571">
        <f>SUM(BT17:BX17)</f>
        <v>16</v>
      </c>
      <c r="BZ17" s="406">
        <f>COUNTIFS(STATUS!$Q:$Q,$A17,STATUS!$D:$D,BZ$1,STATUS!$K:$K,"РЕШ УВ DONE")</f>
        <v>0</v>
      </c>
      <c r="CA17" s="406">
        <f>COUNTIFS(STATUS!$Q:$Q,$A17,STATUS!$D:$D,CA$1,STATUS!$K:$K,"РЕШ УВ DONE")</f>
        <v>0</v>
      </c>
      <c r="CB17" s="406">
        <f>COUNTIFS(STATUS!$Q:$Q,$A17,STATUS!$D:$D,CB$1,STATUS!$K:$K,"РЕШ УВ DONE")</f>
        <v>0</v>
      </c>
      <c r="CC17" s="439">
        <f>COUNTIFS(STATUS!$Q:$Q,$A17,STATUS!$D:$D,CC$1,STATUS!$K:$K,"РЕШ УВ DONE")</f>
        <v>0</v>
      </c>
      <c r="CD17" s="439">
        <f>COUNTIFS(STATUS!$Q:$Q,$A17,STATUS!$D:$D,CD$1,STATUS!$K:$K,"РЕШ УВ DONE")</f>
        <v>0</v>
      </c>
      <c r="CE17" s="1238">
        <f>SUM(BZ17:CD17)</f>
        <v>0</v>
      </c>
      <c r="CF17" s="406">
        <f>COUNTIFS(STATUS!$Q:$Q,$A17,STATUS!$D:$D,CF$1,STATUS!$K:$K,"РЕШ УВ DONE")</f>
        <v>0</v>
      </c>
      <c r="CG17" s="406">
        <f>COUNTIFS(STATUS!$Q:$Q,$A17,STATUS!$D:$D,CG$1,STATUS!$K:$K,"РЕШ УВ DONE")</f>
        <v>0</v>
      </c>
      <c r="CH17" s="406">
        <f>COUNTIFS(STATUS!$Q:$Q,$A17,STATUS!$D:$D,CH$1,STATUS!$K:$K,"РЕШ УВ DONE")</f>
        <v>0</v>
      </c>
      <c r="CI17" s="439">
        <f>COUNTIFS(STATUS!$Q:$Q,$A17,STATUS!$D:$D,CI$1,STATUS!$K:$K,"РЕШ УВ DONE")</f>
        <v>0</v>
      </c>
      <c r="CJ17" s="439">
        <f>COUNTIFS(STATUS!$Q:$Q,$A17,STATUS!$D:$D,CJ$1,STATUS!$K:$K,"РЕШ УВ DONE")</f>
        <v>0</v>
      </c>
      <c r="CK17" s="1238">
        <f>SUM(CF17:CJ17)</f>
        <v>0</v>
      </c>
      <c r="CL17" s="406">
        <f>COUNTIFS(STATUS!$Q:$Q,$A17,STATUS!$D:$D,CL$1,STATUS!$K:$K,"РЕШ УВ DONE")</f>
        <v>0</v>
      </c>
      <c r="CM17" s="406">
        <f>COUNTIFS(STATUS!$Q:$Q,$A17,STATUS!$D:$D,CM$1,STATUS!$K:$K,"РЕШ УВ DONE")</f>
        <v>0</v>
      </c>
      <c r="CN17" s="406">
        <f>COUNTIFS(STATUS!$Q:$Q,$A17,STATUS!$D:$D,CN$1,STATUS!$K:$K,"РЕШ УВ DONE")</f>
        <v>0</v>
      </c>
      <c r="CO17" s="439">
        <f>COUNTIFS(STATUS!$Q:$Q,$A17,STATUS!$D:$D,CO$1,STATUS!$K:$K,"РЕШ УВ DONE")</f>
        <v>0</v>
      </c>
      <c r="CP17" s="439">
        <f>COUNTIFS(STATUS!$Q:$Q,$A17,STATUS!$D:$D,CP$1,STATUS!$K:$K,"РЕШ УВ DONE")</f>
        <v>0</v>
      </c>
      <c r="CQ17" s="1238">
        <f>SUM(CL17:CP17)</f>
        <v>0</v>
      </c>
      <c r="CR17" s="406">
        <f>COUNTIFS(STATUS!$Q:$Q,$A17,STATUS!$D:$D,CR$1,STATUS!$K:$K,"РЕШ УВ DONE")</f>
        <v>0</v>
      </c>
      <c r="CS17" s="406">
        <f>COUNTIFS(STATUS!$Q:$Q,$A17,STATUS!$D:$D,CS$1,STATUS!$K:$K,"РЕШ УВ DONE")</f>
        <v>0</v>
      </c>
      <c r="CT17" s="406">
        <f>COUNTIFS(STATUS!$Q:$Q,$A17,STATUS!$D:$D,CT$1,STATUS!$K:$K,"РЕШ УВ DONE")</f>
        <v>0</v>
      </c>
      <c r="CU17" s="439">
        <f>COUNTIFS(STATUS!$Q:$Q,$A17,STATUS!$D:$D,CU$1,STATUS!$K:$K,"РЕШ УВ DONE")</f>
        <v>0</v>
      </c>
      <c r="CV17" s="439">
        <f>COUNTIFS(STATUS!$Q:$Q,$A17,STATUS!$D:$D,CV$1,STATUS!$K:$K,"РЕШ УВ DONE")</f>
        <v>0</v>
      </c>
      <c r="CW17" s="1238">
        <f>SUM(CR17:CV17)</f>
        <v>0</v>
      </c>
      <c r="CX17" s="574">
        <f>COUNTIFS(STATUS!$Q:$Q,$A17,STATUS!$D:$D,CX$1,STATUS!$K:$K,"РЕШ УВ DONE")</f>
        <v>0</v>
      </c>
      <c r="CY17" s="574">
        <f>COUNTIFS(STATUS!$Q:$Q,$A17,STATUS!$D:$D,CY$1,STATUS!$K:$K,"РЕШ УВ DONE")</f>
        <v>0</v>
      </c>
      <c r="CZ17" s="574">
        <f>COUNTIFS(STATUS!$Q:$Q,$A17,STATUS!$D:$D,CZ$1,STATUS!$K:$K,"РЕШ УВ DONE")</f>
        <v>0</v>
      </c>
      <c r="DA17" s="575">
        <f>COUNTIFS(STATUS!$Q:$Q,$A17,STATUS!$D:$D,DA$1,STATUS!$K:$K,"РЕШ УВ DONE")</f>
        <v>0</v>
      </c>
      <c r="DB17" s="575">
        <f>COUNTIFS(STATUS!$Q:$Q,$A17,STATUS!$D:$D,DB$1,STATUS!$K:$K,"РЕШ УВ DONE")</f>
        <v>0</v>
      </c>
      <c r="DC17" s="1238">
        <f>SUM(CX17:DB17)</f>
        <v>0</v>
      </c>
      <c r="DD17" s="574">
        <f>COUNTIFS(STATUS!$Q:$Q,$A17,STATUS!$D:$D,DD$1,STATUS!$K:$K,"РЕШ УВ DONE")</f>
        <v>0</v>
      </c>
      <c r="DE17" s="574">
        <f>COUNTIFS(STATUS!$Q:$Q,$A17,STATUS!$D:$D,DE$1,STATUS!$K:$K,"РЕШ УВ DONE")</f>
        <v>0</v>
      </c>
      <c r="DF17" s="574">
        <f>COUNTIFS(STATUS!$Q:$Q,$A17,STATUS!$D:$D,DF$1,STATUS!$K:$K,"РЕШ УВ DONE")</f>
        <v>0</v>
      </c>
      <c r="DG17" s="575">
        <f>COUNTIFS(STATUS!$Q:$Q,$A17,STATUS!$D:$D,DG$1,STATUS!$K:$K,"РЕШ УВ DONE")</f>
        <v>0</v>
      </c>
      <c r="DH17" s="575">
        <f>COUNTIFS(STATUS!$Q:$Q,$A17,STATUS!$D:$D,DH$1,STATUS!$K:$K,"РЕШ УВ DONE")</f>
        <v>0</v>
      </c>
      <c r="DI17" s="1238">
        <f>SUM(DD17:DH17)</f>
        <v>0</v>
      </c>
      <c r="DJ17" s="574">
        <f>COUNTIFS(STATUS!$Q:$Q,$A17,STATUS!$D:$D,DJ$1,STATUS!$K:$K,"РЕШ УВ DONE")</f>
        <v>0</v>
      </c>
      <c r="DK17" s="574">
        <f>COUNTIFS(STATUS!$Q:$Q,$A17,STATUS!$D:$D,DK$1,STATUS!$K:$K,"РЕШ УВ DONE")</f>
        <v>0</v>
      </c>
      <c r="DL17" s="574">
        <f>COUNTIFS(STATUS!$Q:$Q,$A17,STATUS!$D:$D,DL$1,STATUS!$K:$K,"РЕШ УВ DONE")</f>
        <v>0</v>
      </c>
      <c r="DM17" s="575">
        <f>COUNTIFS(STATUS!$Q:$Q,$A17,STATUS!$D:$D,DM$1,STATUS!$K:$K,"РЕШ УВ DONE")</f>
        <v>0</v>
      </c>
      <c r="DN17" s="575">
        <f>COUNTIFS(STATUS!$Q:$Q,$A17,STATUS!$D:$D,DN$1,STATUS!$K:$K,"РЕШ УВ DONE")</f>
        <v>0</v>
      </c>
      <c r="DO17" s="1238">
        <f>SUM(DJ17:DN17)</f>
        <v>0</v>
      </c>
      <c r="DP17" s="574">
        <f>COUNTIFS(STATUS!$Q:$Q,$A17,STATUS!$D:$D,DP$1,STATUS!$K:$K,"РЕШ УВ DONE")</f>
        <v>0</v>
      </c>
      <c r="DQ17" s="574">
        <f>COUNTIFS(STATUS!$Q:$Q,$A17,STATUS!$D:$D,DQ$1,STATUS!$K:$K,"РЕШ УВ DONE")</f>
        <v>0</v>
      </c>
      <c r="DR17" s="574">
        <f>COUNTIFS(STATUS!$Q:$Q,$A17,STATUS!$D:$D,DR$1,STATUS!$K:$K,"РЕШ УВ DONE")</f>
        <v>0</v>
      </c>
      <c r="DS17" s="575">
        <f>COUNTIFS(STATUS!$Q:$Q,$A17,STATUS!$D:$D,DS$1,STATUS!$K:$K,"РЕШ УВ DONE")</f>
        <v>0</v>
      </c>
      <c r="DT17" s="575">
        <f>COUNTIFS(STATUS!$Q:$Q,$A17,STATUS!$D:$D,DT$1,STATUS!$K:$K,"РЕШ УВ DONE")</f>
        <v>0</v>
      </c>
      <c r="DU17" s="1238">
        <f>SUM(DP17:DT17)</f>
        <v>0</v>
      </c>
      <c r="DV17" s="574">
        <f>COUNTIFS(STATUS!$Q:$Q,$A17,STATUS!$D:$D,DV$1,STATUS!$K:$K,"РЕШ УВ DONE")</f>
        <v>0</v>
      </c>
      <c r="DW17" s="574">
        <f>COUNTIFS(STATUS!$Q:$Q,$A17,STATUS!$D:$D,DW$1,STATUS!$K:$K,"РЕШ УВ DONE")</f>
        <v>0</v>
      </c>
      <c r="DX17" s="574">
        <f>COUNTIFS(STATUS!$Q:$Q,$A17,STATUS!$D:$D,DX$1,STATUS!$K:$K,"РЕШ УВ DONE")</f>
        <v>0</v>
      </c>
      <c r="DY17" s="575">
        <f>COUNTIFS(STATUS!$Q:$Q,$A17,STATUS!$D:$D,DY$1,STATUS!$K:$K,"РЕШ УВ DONE")</f>
        <v>0</v>
      </c>
      <c r="DZ17" s="575">
        <f>COUNTIFS(STATUS!$Q:$Q,$A17,STATUS!$D:$D,DZ$1,STATUS!$K:$K,"РЕШ УВ DONE")</f>
        <v>0</v>
      </c>
      <c r="EA17" s="1238">
        <f>SUM(DV17:DZ17)</f>
        <v>0</v>
      </c>
      <c r="EB17" s="574">
        <f>COUNTIFS(STATUS!$Q:$Q,$A17,STATUS!$D:$D,EB$1,STATUS!$K:$K,"РЕШ УВ DONE")</f>
        <v>0</v>
      </c>
      <c r="EC17" s="574">
        <f>COUNTIFS(STATUS!$Q:$Q,$A17,STATUS!$D:$D,EC$1,STATUS!$K:$K,"РЕШ УВ DONE")</f>
        <v>0</v>
      </c>
      <c r="ED17" s="574">
        <f>COUNTIFS(STATUS!$Q:$Q,$A17,STATUS!$D:$D,ED$1,STATUS!$K:$K,"РЕШ УВ DONE")</f>
        <v>0</v>
      </c>
      <c r="EE17" s="575">
        <f>COUNTIFS(STATUS!$Q:$Q,$A17,STATUS!$D:$D,EE$1,STATUS!$K:$K,"РЕШ УВ DONE")</f>
        <v>0</v>
      </c>
      <c r="EF17" s="575">
        <f>COUNTIFS(STATUS!$Q:$Q,$A17,STATUS!$D:$D,EF$1,STATUS!$K:$K,"РЕШ УВ DONE")</f>
        <v>0</v>
      </c>
      <c r="EG17" s="1238">
        <f>SUM(EB17:EF17)</f>
        <v>0</v>
      </c>
      <c r="EH17" s="574">
        <f>COUNTIFS(STATUS!$Q:$Q,$A17,STATUS!$D:$D,EH$1,STATUS!$K:$K,"РЕШ УВ DONE")</f>
        <v>0</v>
      </c>
      <c r="EI17" s="574">
        <f>COUNTIFS(STATUS!$Q:$Q,$A17,STATUS!$D:$D,EI$1,STATUS!$K:$K,"РЕШ УВ DONE")</f>
        <v>0</v>
      </c>
      <c r="EJ17" s="574">
        <f>COUNTIFS(STATUS!$Q:$Q,$A17,STATUS!$D:$D,EJ$1,STATUS!$K:$K,"РЕШ УВ DONE")</f>
        <v>0</v>
      </c>
      <c r="EK17" s="575">
        <f>COUNTIFS(STATUS!$Q:$Q,$A17,STATUS!$D:$D,EK$1,STATUS!$K:$K,"РЕШ УВ DONE")</f>
        <v>0</v>
      </c>
      <c r="EL17" s="575">
        <f>COUNTIFS(STATUS!$Q:$Q,$A17,STATUS!$D:$D,EL$1,STATUS!$K:$K,"РЕШ УВ DONE")</f>
        <v>0</v>
      </c>
      <c r="EM17" s="1238">
        <f>SUM(EH17:EL17)</f>
        <v>0</v>
      </c>
      <c r="EN17" s="574">
        <f>COUNTIFS(STATUS!$Q:$Q,$A17,STATUS!$D:$D,EN$1,STATUS!$K:$K,"РЕШ УВ DONE")</f>
        <v>0</v>
      </c>
      <c r="EO17" s="574">
        <f>COUNTIFS(STATUS!$Q:$Q,$A17,STATUS!$D:$D,EO$1,STATUS!$K:$K,"РЕШ УВ DONE")</f>
        <v>0</v>
      </c>
      <c r="EP17" s="574">
        <f>COUNTIFS(STATUS!$Q:$Q,$A17,STATUS!$D:$D,EP$1,STATUS!$K:$K,"РЕШ УВ DONE")</f>
        <v>0</v>
      </c>
      <c r="EQ17" s="575">
        <f>COUNTIFS(STATUS!$Q:$Q,$A17,STATUS!$D:$D,EQ$1,STATUS!$K:$K,"РЕШ УВ DONE")</f>
        <v>0</v>
      </c>
      <c r="ER17" s="575">
        <f>COUNTIFS(STATUS!$Q:$Q,$A17,STATUS!$D:$D,ER$1,STATUS!$K:$K,"РЕШ УВ DONE")</f>
        <v>0</v>
      </c>
      <c r="ES17" s="1238">
        <f>SUM(EN17:ER17)</f>
        <v>0</v>
      </c>
      <c r="ET17" s="574">
        <f>COUNTIFS(STATUS!$Q:$Q,$A17,STATUS!$D:$D,ET$1,STATUS!$K:$K,"РЕШ УВ DONE")</f>
        <v>0</v>
      </c>
      <c r="EU17" s="574">
        <f>COUNTIFS(STATUS!$Q:$Q,$A17,STATUS!$D:$D,EU$1,STATUS!$K:$K,"РЕШ УВ DONE")</f>
        <v>0</v>
      </c>
      <c r="EV17" s="574">
        <f>COUNTIFS(STATUS!$Q:$Q,$A17,STATUS!$D:$D,EV$1,STATUS!$K:$K,"РЕШ УВ DONE")</f>
        <v>0</v>
      </c>
      <c r="EW17" s="575">
        <f>COUNTIFS(STATUS!$Q:$Q,$A17,STATUS!$D:$D,EW$1,STATUS!$K:$K,"РЕШ УВ DONE")</f>
        <v>0</v>
      </c>
      <c r="EX17" s="575">
        <f>COUNTIFS(STATUS!$Q:$Q,$A17,STATUS!$D:$D,EX$1,STATUS!$K:$K,"РЕШ УВ DONE")</f>
        <v>0</v>
      </c>
      <c r="EY17" s="1238">
        <f>SUM(ET17:EX17)</f>
        <v>0</v>
      </c>
      <c r="EZ17" s="574">
        <f>COUNTIFS(STATUS!$Q:$Q,$A17,STATUS!$D:$D,EZ$1,STATUS!$K:$K,"РЕШ УВ DONE")</f>
        <v>0</v>
      </c>
      <c r="FA17" s="574">
        <f>COUNTIFS(STATUS!$Q:$Q,$A17,STATUS!$D:$D,FA$1,STATUS!$K:$K,"РЕШ УВ DONE")</f>
        <v>0</v>
      </c>
      <c r="FB17" s="574">
        <f>COUNTIFS(STATUS!$Q:$Q,$A17,STATUS!$D:$D,FB$1,STATUS!$K:$K,"РЕШ УВ DONE")</f>
        <v>0</v>
      </c>
      <c r="FC17" s="575">
        <f>COUNTIFS(STATUS!$Q:$Q,$A17,STATUS!$D:$D,FC$1,STATUS!$K:$K,"РЕШ УВ DONE")</f>
        <v>0</v>
      </c>
      <c r="FD17" s="575">
        <f>COUNTIFS(STATUS!$Q:$Q,$A17,STATUS!$D:$D,FD$1,STATUS!$K:$K,"РЕШ УВ DONE")</f>
        <v>0</v>
      </c>
      <c r="FE17" s="1238">
        <f>SUM(EZ17:FD17)</f>
        <v>0</v>
      </c>
      <c r="FF17" s="574">
        <f>COUNTIFS(STATUS!$Q:$Q,$A17,STATUS!$D:$D,FF$1,STATUS!$K:$K,"РЕШ УВ DONE")</f>
        <v>0</v>
      </c>
      <c r="FG17" s="574">
        <f>COUNTIFS(STATUS!$Q:$Q,$A17,STATUS!$D:$D,FG$1,STATUS!$K:$K,"РЕШ УВ DONE")</f>
        <v>0</v>
      </c>
      <c r="FH17" s="574">
        <f>COUNTIFS(STATUS!$Q:$Q,$A17,STATUS!$D:$D,FH$1,STATUS!$K:$K,"РЕШ УВ DONE")</f>
        <v>0</v>
      </c>
      <c r="FI17" s="575">
        <f>COUNTIFS(STATUS!$Q:$Q,$A17,STATUS!$D:$D,FI$1,STATUS!$K:$K,"РЕШ УВ DONE")</f>
        <v>0</v>
      </c>
      <c r="FJ17" s="575">
        <f>COUNTIFS(STATUS!$Q:$Q,$A17,STATUS!$D:$D,FJ$1,STATUS!$K:$K,"РЕШ УВ DONE")</f>
        <v>0</v>
      </c>
      <c r="FK17" s="1238">
        <f>SUM(FF17:FJ17)</f>
        <v>0</v>
      </c>
      <c r="FL17" s="574">
        <f>COUNTIFS(STATUS!$Q:$Q,$A17,STATUS!$D:$D,FL$1,STATUS!$K:$K,"РЕШ УВ DONE")</f>
        <v>0</v>
      </c>
      <c r="FM17" s="574">
        <f>COUNTIFS(STATUS!$Q:$Q,$A17,STATUS!$D:$D,FM$1,STATUS!$K:$K,"РЕШ УВ DONE")</f>
        <v>0</v>
      </c>
      <c r="FN17" s="574">
        <f>COUNTIFS(STATUS!$Q:$Q,$A17,STATUS!$D:$D,FN$1,STATUS!$K:$K,"РЕШ УВ DONE")</f>
        <v>0</v>
      </c>
      <c r="FO17" s="575">
        <f>COUNTIFS(STATUS!$Q:$Q,$A17,STATUS!$D:$D,FO$1,STATUS!$K:$K,"РЕШ УВ DONE")</f>
        <v>0</v>
      </c>
      <c r="FP17" s="575">
        <f>COUNTIFS(STATUS!$Q:$Q,$A17,STATUS!$D:$D,FP$1,STATUS!$K:$K,"РЕШ УВ DONE")</f>
        <v>0</v>
      </c>
      <c r="FQ17" s="1238">
        <f>SUM(FL17:FP17)</f>
        <v>0</v>
      </c>
      <c r="FR17" s="574">
        <f>COUNTIFS(STATUS!$Q:$Q,$A17,STATUS!$D:$D,FR$1,STATUS!$K:$K,"РЕШ УВ DONE")</f>
        <v>0</v>
      </c>
      <c r="FS17" s="574">
        <f>COUNTIFS(STATUS!$Q:$Q,$A17,STATUS!$D:$D,FS$1,STATUS!$K:$K,"РЕШ УВ DONE")</f>
        <v>0</v>
      </c>
      <c r="FT17" s="574">
        <f>COUNTIFS(STATUS!$Q:$Q,$A17,STATUS!$D:$D,FT$1,STATUS!$K:$K,"РЕШ УВ DONE")</f>
        <v>0</v>
      </c>
      <c r="FU17" s="575">
        <f>COUNTIFS(STATUS!$Q:$Q,$A17,STATUS!$D:$D,FU$1,STATUS!$K:$K,"РЕШ УВ DONE")</f>
        <v>0</v>
      </c>
      <c r="FV17" s="575">
        <f>COUNTIFS(STATUS!$Q:$Q,$A17,STATUS!$D:$D,FV$1,STATUS!$K:$K,"РЕШ УВ DONE")</f>
        <v>0</v>
      </c>
      <c r="FW17" s="1238">
        <f>SUM(FR17:FV17)</f>
        <v>0</v>
      </c>
      <c r="FX17" s="574">
        <f>COUNTIFS(STATUS!$Q:$Q,$A17,STATUS!$D:$D,FX$1,STATUS!$K:$K,"РЕШ УВ DONE")</f>
        <v>0</v>
      </c>
      <c r="FY17" s="574">
        <f>COUNTIFS(STATUS!$Q:$Q,$A17,STATUS!$D:$D,FY$1,STATUS!$K:$K,"РЕШ УВ DONE")</f>
        <v>0</v>
      </c>
      <c r="FZ17" s="574">
        <f>COUNTIFS(STATUS!$Q:$Q,$A17,STATUS!$D:$D,FZ$1,STATUS!$K:$K,"РЕШ УВ DONE")</f>
        <v>0</v>
      </c>
      <c r="GA17" s="575">
        <f>COUNTIFS(STATUS!$Q:$Q,$A17,STATUS!$D:$D,GA$1,STATUS!$K:$K,"РЕШ УВ DONE")</f>
        <v>0</v>
      </c>
      <c r="GB17" s="575">
        <f>COUNTIFS(STATUS!$Q:$Q,$A17,STATUS!$D:$D,GB$1,STATUS!$K:$K,"РЕШ УВ DONE")</f>
        <v>0</v>
      </c>
      <c r="GC17" s="1238">
        <f>SUM(FX17:GB17)</f>
        <v>0</v>
      </c>
      <c r="GD17" s="574">
        <f>COUNTIFS(STATUS!$Q:$Q,$A17,STATUS!$D:$D,GD$1,STATUS!$K:$K,"РЕШ УВ DONE")</f>
        <v>0</v>
      </c>
      <c r="GE17" s="574">
        <f>COUNTIFS(STATUS!$Q:$Q,$A17,STATUS!$D:$D,GE$1,STATUS!$K:$K,"РЕШ УВ DONE")</f>
        <v>0</v>
      </c>
      <c r="GF17" s="574">
        <f>COUNTIFS(STATUS!$Q:$Q,$A17,STATUS!$D:$D,GF$1,STATUS!$K:$K,"РЕШ УВ DONE")</f>
        <v>0</v>
      </c>
      <c r="GG17" s="575">
        <f>COUNTIFS(STATUS!$Q:$Q,$A17,STATUS!$D:$D,GG$1,STATUS!$K:$K,"РЕШ УВ DONE")</f>
        <v>0</v>
      </c>
      <c r="GH17" s="575">
        <f>COUNTIFS(STATUS!$Q:$Q,$A17,STATUS!$D:$D,GH$1,STATUS!$K:$K,"РЕШ УВ DONE")</f>
        <v>0</v>
      </c>
      <c r="GI17" s="1238">
        <f>SUM(GD17:GH17)</f>
        <v>0</v>
      </c>
      <c r="GJ17" s="574">
        <f>COUNTIFS(STATUS!$Q:$Q,$A17,STATUS!$D:$D,GJ$1,STATUS!$K:$K,"РЕШ УВ DONE")</f>
        <v>0</v>
      </c>
      <c r="GK17" s="574">
        <f>COUNTIFS(STATUS!$Q:$Q,$A17,STATUS!$D:$D,GK$1,STATUS!$K:$K,"РЕШ УВ DONE")</f>
        <v>0</v>
      </c>
      <c r="GL17" s="574">
        <f>COUNTIFS(STATUS!$Q:$Q,$A17,STATUS!$D:$D,GL$1,STATUS!$K:$K,"РЕШ УВ DONE")</f>
        <v>0</v>
      </c>
      <c r="GM17" s="575">
        <f>COUNTIFS(STATUS!$Q:$Q,$A17,STATUS!$D:$D,GM$1,STATUS!$K:$K,"РЕШ УВ DONE")</f>
        <v>0</v>
      </c>
      <c r="GN17" s="575">
        <f>COUNTIFS(STATUS!$Q:$Q,$A17,STATUS!$D:$D,GN$1,STATUS!$K:$K,"РЕШ УВ DONE")</f>
        <v>0</v>
      </c>
      <c r="GO17" s="1238">
        <f>SUM(GJ17:GN17)</f>
        <v>0</v>
      </c>
      <c r="GP17" s="574">
        <f>COUNTIFS(STATUS!$Q:$Q,$A17,STATUS!$D:$D,GP$1,STATUS!$K:$K,"РЕШ УВ DONE")</f>
        <v>0</v>
      </c>
      <c r="GQ17" s="574">
        <f>COUNTIFS(STATUS!$Q:$Q,$A17,STATUS!$D:$D,GQ$1,STATUS!$K:$K,"РЕШ УВ DONE")</f>
        <v>0</v>
      </c>
      <c r="GR17" s="574">
        <f>COUNTIFS(STATUS!$Q:$Q,$A17,STATUS!$D:$D,GR$1,STATUS!$K:$K,"РЕШ УВ DONE")</f>
        <v>0</v>
      </c>
      <c r="GS17" s="575">
        <f>COUNTIFS(STATUS!$Q:$Q,$A17,STATUS!$D:$D,GS$1,STATUS!$K:$K,"РЕШ УВ DONE")</f>
        <v>0</v>
      </c>
      <c r="GT17" s="575">
        <f>COUNTIFS(STATUS!$Q:$Q,$A17,STATUS!$D:$D,GT$1,STATUS!$K:$K,"РЕШ УВ DONE")</f>
        <v>0</v>
      </c>
      <c r="GU17" s="1238">
        <f>SUM(GP17:GT17)</f>
        <v>0</v>
      </c>
      <c r="GV17" s="574">
        <f>COUNTIFS(STATUS!$Q:$Q,$A17,STATUS!$D:$D,GV$1,STATUS!$K:$K,"РЕШ УВ DONE")</f>
        <v>0</v>
      </c>
      <c r="GW17" s="574">
        <f>COUNTIFS(STATUS!$Q:$Q,$A17,STATUS!$D:$D,GW$1,STATUS!$K:$K,"РЕШ УВ DONE")</f>
        <v>0</v>
      </c>
      <c r="GX17" s="574">
        <f>COUNTIFS(STATUS!$Q:$Q,$A17,STATUS!$D:$D,GX$1,STATUS!$K:$K,"РЕШ УВ DONE")</f>
        <v>0</v>
      </c>
      <c r="GY17" s="575">
        <f>COUNTIFS(STATUS!$Q:$Q,$A17,STATUS!$D:$D,GY$1,STATUS!$K:$K,"РЕШ УВ DONE")</f>
        <v>0</v>
      </c>
      <c r="GZ17" s="575">
        <f>COUNTIFS(STATUS!$Q:$Q,$A17,STATUS!$D:$D,GZ$1,STATUS!$K:$K,"РЕШ УВ DONE")</f>
        <v>0</v>
      </c>
      <c r="HA17" s="1238">
        <f>SUM(GV17:GZ17)</f>
        <v>0</v>
      </c>
    </row>
    <row r="18" spans="1:209" x14ac:dyDescent="0.3">
      <c r="A18" s="1556"/>
      <c r="B18" s="428">
        <f>SUM(H18,N18,R18,W18,AC18,AI18,AO18,AU18,BA18,BG18,BM18,BS18,BY18,CE18,CK18,CQ18,CW18,DC18,DI18,DO18,DU18,EA18,EG18,EM18,ES18,EY18,FE18,FK18,FQ18,FW18,GC18,GI18,GO18,GU18,HA18)</f>
        <v>18</v>
      </c>
      <c r="C18" s="577">
        <f>COUNTIFS(STATUS!$Q:$Q,$A17,STATUS!$D:$D,C$1,STATUS!$U:$U,"ВОЗВРАТ")</f>
        <v>0</v>
      </c>
      <c r="D18" s="577">
        <f>COUNTIFS(STATUS!$Q:$Q,$A17,STATUS!$D:$D,D$1,STATUS!$U:$U,"ВОЗВРАТ")</f>
        <v>0</v>
      </c>
      <c r="E18" s="577">
        <f>COUNTIFS(STATUS!$Q:$Q,$A17,STATUS!$D:$D,E$1,STATUS!$U:$U,"ВОЗВРАТ")</f>
        <v>0</v>
      </c>
      <c r="F18" s="577">
        <f>COUNTIFS(STATUS!$Q:$Q,$A17,STATUS!$D:$D,F$1,STATUS!$U:$U,"ВОЗВРАТ")</f>
        <v>0</v>
      </c>
      <c r="G18" s="578">
        <f>COUNTIFS(STATUS!$Q:$Q,$A17,STATUS!$D:$D,G$1,STATUS!$U:$U,"ВОЗВРАТ")</f>
        <v>0</v>
      </c>
      <c r="H18" s="576">
        <f>SUM(C18:G18)</f>
        <v>0</v>
      </c>
      <c r="I18" s="401">
        <f>COUNTIFS(STATUS!$Q:$Q,$A17,STATUS!$D:$D,I$1,STATUS!$U:$U,"ВОЗВРАТ")</f>
        <v>0</v>
      </c>
      <c r="J18" s="306">
        <f>COUNTIFS(STATUS!$Q:$Q,$A17,STATUS!$D:$D,J$1,STATUS!$U:$U,"ВОЗВРАТ")</f>
        <v>2</v>
      </c>
      <c r="K18" s="306">
        <f>COUNTIFS(STATUS!$Q:$Q,$A17,STATUS!$D:$D,K$1,STATUS!$U:$U,"ВОЗВРАТ")</f>
        <v>1</v>
      </c>
      <c r="L18" s="306">
        <f>COUNTIFS(STATUS!$Q:$Q,$A17,STATUS!$D:$D,L$1,STATUS!$U:$U,"ВОЗВРАТ")</f>
        <v>1</v>
      </c>
      <c r="M18" s="440">
        <f>COUNTIFS(STATUS!$Q:$Q,$A17,STATUS!$D:$D,M$1,STATUS!$U:$U,"ВОЗВРАТ")</f>
        <v>0</v>
      </c>
      <c r="N18" s="572">
        <f>SUM(I18:M18)</f>
        <v>4</v>
      </c>
      <c r="O18" s="401">
        <f>COUNTIFS(STATUS!$Q:$Q,$A17,STATUS!$D:$D,O$1,STATUS!$U:$U,"ВОЗВРАТ")</f>
        <v>0</v>
      </c>
      <c r="P18" s="306">
        <f>COUNTIFS(STATUS!$Q:$Q,$A17,STATUS!$D:$D,P$1,STATUS!$U:$U,"ВОЗВРАТ")</f>
        <v>0</v>
      </c>
      <c r="Q18" s="306">
        <f>COUNTIFS(STATUS!$Q:$Q,$A17,STATUS!$D:$D,Q$1,STATUS!$U:$U,"ВОЗВРАТ")</f>
        <v>0</v>
      </c>
      <c r="R18" s="572">
        <f>SUM(O18:Q18)</f>
        <v>0</v>
      </c>
      <c r="S18" s="306">
        <f>COUNTIFS(STATUS!$Q:$Q,$A17,STATUS!$D:$D,S$1,STATUS!$U:$U,"ВОЗВРАТ")</f>
        <v>0</v>
      </c>
      <c r="T18" s="306">
        <f>COUNTIFS(STATUS!$Q:$Q,$A17,STATUS!$D:$D,T$1,STATUS!$U:$U,"ВОЗВРАТ")</f>
        <v>1</v>
      </c>
      <c r="U18" s="306">
        <f>COUNTIFS(STATUS!$Q:$Q,$A17,STATUS!$D:$D,U$1,STATUS!$U:$U,"ВОЗВРАТ")</f>
        <v>0</v>
      </c>
      <c r="V18" s="440">
        <f>COUNTIFS(STATUS!$Q:$Q,$A17,STATUS!$D:$D,V$1,STATUS!$U:$U,"ВОЗВРАТ")</f>
        <v>0</v>
      </c>
      <c r="W18" s="572">
        <f>SUM(S18:V18)</f>
        <v>1</v>
      </c>
      <c r="X18" s="306">
        <f>COUNTIFS(STATUS!$Q:$Q,$A17,STATUS!$D:$D,X$1,STATUS!$U:$U,"ВОЗВРАТ")</f>
        <v>0</v>
      </c>
      <c r="Y18" s="306">
        <f>COUNTIFS(STATUS!$Q:$Q,$A17,STATUS!$D:$D,Y$1,STATUS!$U:$U,"ВОЗВРАТ")</f>
        <v>0</v>
      </c>
      <c r="Z18" s="306">
        <f>COUNTIFS(STATUS!$Q:$Q,$A17,STATUS!$D:$D,Z$1,STATUS!$U:$U,"ВОЗВРАТ")</f>
        <v>0</v>
      </c>
      <c r="AA18" s="440">
        <f>COUNTIFS(STATUS!$Q:$Q,$A17,STATUS!$D:$D,AA$1,STATUS!$U:$U,"ВОЗВРАТ")</f>
        <v>0</v>
      </c>
      <c r="AB18" s="440">
        <f>COUNTIFS(STATUS!$Q:$Q,$A17,STATUS!$D:$D,AB$1,STATUS!$U:$U,"ВОЗВРАТ")</f>
        <v>0</v>
      </c>
      <c r="AC18" s="572">
        <f>SUM(X18:AB18)</f>
        <v>0</v>
      </c>
      <c r="AD18" s="306">
        <f>COUNTIFS(STATUS!$Q:$Q,$A17,STATUS!$D:$D,AD$1,STATUS!$U:$U,"ВОЗВРАТ")</f>
        <v>1</v>
      </c>
      <c r="AE18" s="306">
        <f>COUNTIFS(STATUS!$Q:$Q,$A17,STATUS!$D:$D,AE$1,STATUS!$U:$U,"ВОЗВРАТ")</f>
        <v>1</v>
      </c>
      <c r="AF18" s="306">
        <f>COUNTIFS(STATUS!$Q:$Q,$A17,STATUS!$D:$D,AF$1,STATUS!$U:$U,"ВОЗВРАТ")</f>
        <v>0</v>
      </c>
      <c r="AG18" s="440">
        <f>COUNTIFS(STATUS!$Q:$Q,$A17,STATUS!$D:$D,AG$1,STATUS!$U:$U,"ВОЗВРАТ")</f>
        <v>0</v>
      </c>
      <c r="AH18" s="440">
        <f>COUNTIFS(STATUS!$Q:$Q,$A17,STATUS!$D:$D,AH$1,STATUS!$U:$U,"ВОЗВРАТ")</f>
        <v>0</v>
      </c>
      <c r="AI18" s="572">
        <f>SUM(AD18:AH18)</f>
        <v>2</v>
      </c>
      <c r="AJ18" s="306">
        <f>COUNTIFS(STATUS!$Q:$Q,$A17,STATUS!$D:$D,AJ$1,STATUS!$U:$U,"ВОЗВРАТ")</f>
        <v>1</v>
      </c>
      <c r="AK18" s="306">
        <f>COUNTIFS(STATUS!$Q:$Q,$A17,STATUS!$D:$D,AK$1,STATUS!$U:$U,"ВОЗВРАТ")</f>
        <v>0</v>
      </c>
      <c r="AL18" s="306">
        <f>COUNTIFS(STATUS!$Q:$Q,$A17,STATUS!$D:$D,AL$1,STATUS!$U:$U,"ВОЗВРАТ")</f>
        <v>1</v>
      </c>
      <c r="AM18" s="440">
        <f>COUNTIFS(STATUS!$Q:$Q,$A17,STATUS!$D:$D,AM$1,STATUS!$U:$U,"ВОЗВРАТ")</f>
        <v>1</v>
      </c>
      <c r="AN18" s="440">
        <f>COUNTIFS(STATUS!$Q:$Q,$A17,STATUS!$D:$D,AN$1,STATUS!$U:$U,"ВОЗВРАТ")</f>
        <v>0</v>
      </c>
      <c r="AO18" s="572">
        <f>SUM(AJ18:AN18)</f>
        <v>3</v>
      </c>
      <c r="AP18" s="306">
        <f>COUNTIFS(STATUS!$Q:$Q,$A17,STATUS!$D:$D,AP$1,STATUS!$U:$U,"ВОЗВРАТ")</f>
        <v>0</v>
      </c>
      <c r="AQ18" s="306">
        <f>COUNTIFS(STATUS!$Q:$Q,$A17,STATUS!$D:$D,AQ$1,STATUS!$U:$U,"ВОЗВРАТ")</f>
        <v>0</v>
      </c>
      <c r="AR18" s="306">
        <f>COUNTIFS(STATUS!$Q:$Q,$A17,STATUS!$D:$D,AR$1,STATUS!$U:$U,"ВОЗВРАТ")</f>
        <v>2</v>
      </c>
      <c r="AS18" s="440">
        <f>COUNTIFS(STATUS!$Q:$Q,$A17,STATUS!$D:$D,AS$1,STATUS!$U:$U,"ВОЗВРАТ")</f>
        <v>0</v>
      </c>
      <c r="AT18" s="440">
        <f>COUNTIFS(STATUS!$Q:$Q,$A17,STATUS!$D:$D,AT$1,STATUS!$U:$U,"ВОЗВРАТ")</f>
        <v>0</v>
      </c>
      <c r="AU18" s="572">
        <f>SUM(AP18:AT18)</f>
        <v>2</v>
      </c>
      <c r="AV18" s="306">
        <f>COUNTIFS(STATUS!$Q:$Q,$A17,STATUS!$D:$D,AV$1,STATUS!$U:$U,"ВОЗВРАТ")</f>
        <v>0</v>
      </c>
      <c r="AW18" s="306">
        <f>COUNTIFS(STATUS!$Q:$Q,$A17,STATUS!$D:$D,AW$1,STATUS!$U:$U,"ВОЗВРАТ")</f>
        <v>3</v>
      </c>
      <c r="AX18" s="306">
        <f>COUNTIFS(STATUS!$Q:$Q,$A17,STATUS!$D:$D,AX$1,STATUS!$U:$U,"ВОЗВРАТ")</f>
        <v>0</v>
      </c>
      <c r="AY18" s="440">
        <f>COUNTIFS(STATUS!$Q:$Q,$A17,STATUS!$D:$D,AY$1,STATUS!$U:$U,"ВОЗВРАТ")</f>
        <v>1</v>
      </c>
      <c r="AZ18" s="440">
        <f>COUNTIFS(STATUS!$Q:$Q,$A17,STATUS!$D:$D,AZ$1,STATUS!$U:$U,"ВОЗВРАТ")</f>
        <v>0</v>
      </c>
      <c r="BA18" s="572">
        <f>SUM(AV18:AZ18)</f>
        <v>4</v>
      </c>
      <c r="BB18" s="306">
        <f>COUNTIFS(STATUS!$Q:$Q,$A17,STATUS!$D:$D,BB$1,STATUS!$U:$U,"ВОЗВРАТ")</f>
        <v>0</v>
      </c>
      <c r="BC18" s="306">
        <f>COUNTIFS(STATUS!$Q:$Q,$A17,STATUS!$D:$D,BC$1,STATUS!$U:$U,"ВОЗВРАТ")</f>
        <v>0</v>
      </c>
      <c r="BD18" s="306">
        <f>COUNTIFS(STATUS!$Q:$Q,$A17,STATUS!$D:$D,BD$1,STATUS!$U:$U,"ВОЗВРАТ")</f>
        <v>0</v>
      </c>
      <c r="BE18" s="440">
        <f>COUNTIFS(STATUS!$Q:$Q,$A17,STATUS!$D:$D,BE$1,STATUS!$U:$U,"ВОЗВРАТ")</f>
        <v>1</v>
      </c>
      <c r="BF18" s="440">
        <f>COUNTIFS(STATUS!$Q:$Q,$A17,STATUS!$D:$D,BF$1,STATUS!$U:$U,"ВОЗВРАТ")</f>
        <v>0</v>
      </c>
      <c r="BG18" s="572">
        <f>SUM(BB18:BF18)</f>
        <v>1</v>
      </c>
      <c r="BH18" s="306">
        <f>COUNTIFS(STATUS!$Q:$Q,$A17,STATUS!$D:$D,BH$1,STATUS!$U:$U,"ВОЗВРАТ")</f>
        <v>0</v>
      </c>
      <c r="BI18" s="306">
        <f>COUNTIFS(STATUS!$Q:$Q,$A17,STATUS!$D:$D,BI$1,STATUS!$U:$U,"ВОЗВРАТ")</f>
        <v>0</v>
      </c>
      <c r="BJ18" s="306">
        <f>COUNTIFS(STATUS!$Q:$Q,$A17,STATUS!$D:$D,BJ$1,STATUS!$U:$U,"ВОЗВРАТ")</f>
        <v>0</v>
      </c>
      <c r="BK18" s="440">
        <f>COUNTIFS(STATUS!$Q:$Q,$A17,STATUS!$D:$D,BK$1,STATUS!$U:$U,"ВОЗВРАТ")</f>
        <v>0</v>
      </c>
      <c r="BL18" s="440">
        <f>COUNTIFS(STATUS!$Q:$Q,$A17,STATUS!$D:$D,BL$1,STATUS!$U:$U,"ВОЗВРАТ")</f>
        <v>0</v>
      </c>
      <c r="BM18" s="572">
        <f>SUM(BH18:BL18)</f>
        <v>0</v>
      </c>
      <c r="BN18" s="306">
        <f>COUNTIFS(STATUS!$Q:$Q,$A17,STATUS!$D:$D,BN$1,STATUS!$U:$U,"ВОЗВРАТ")</f>
        <v>0</v>
      </c>
      <c r="BO18" s="306">
        <f>COUNTIFS(STATUS!$Q:$Q,$A17,STATUS!$D:$D,BO$1,STATUS!$U:$U,"ВОЗВРАТ")</f>
        <v>0</v>
      </c>
      <c r="BP18" s="306">
        <f>COUNTIFS(STATUS!$Q:$Q,$A17,STATUS!$D:$D,BP$1,STATUS!$U:$U,"ВОЗВРАТ")</f>
        <v>0</v>
      </c>
      <c r="BQ18" s="440">
        <f>COUNTIFS(STATUS!$Q:$Q,$A17,STATUS!$D:$D,BQ$1,STATUS!$U:$U,"ВОЗВРАТ")</f>
        <v>0</v>
      </c>
      <c r="BR18" s="440">
        <f>COUNTIFS(STATUS!$Q:$Q,$A17,STATUS!$D:$D,BR$1,STATUS!$U:$U,"ВОЗВРАТ")</f>
        <v>1</v>
      </c>
      <c r="BS18" s="572">
        <f>SUM(BN18:BR18)</f>
        <v>1</v>
      </c>
      <c r="BT18" s="306">
        <f>COUNTIFS(STATUS!$Q:$Q,$A17,STATUS!$D:$D,BT$1,STATUS!$U:$U,"ВОЗВРАТ")</f>
        <v>0</v>
      </c>
      <c r="BU18" s="306">
        <f>COUNTIFS(STATUS!$Q:$Q,$A17,STATUS!$D:$D,BU$1,STATUS!$U:$U,"ВОЗВРАТ")</f>
        <v>0</v>
      </c>
      <c r="BV18" s="306">
        <f>COUNTIFS(STATUS!$Q:$Q,$A17,STATUS!$D:$D,BV$1,STATUS!$U:$U,"ВОЗВРАТ")</f>
        <v>0</v>
      </c>
      <c r="BW18" s="440">
        <f>COUNTIFS(STATUS!$Q:$Q,$A17,STATUS!$D:$D,BW$1,STATUS!$U:$U,"ВОЗВРАТ")</f>
        <v>0</v>
      </c>
      <c r="BX18" s="440">
        <f>COUNTIFS(STATUS!$Q:$Q,$A17,STATUS!$D:$D,BX$1,STATUS!$U:$U,"ВОЗВРАТ")</f>
        <v>0</v>
      </c>
      <c r="BY18" s="572">
        <f>SUM(BT18:BX18)</f>
        <v>0</v>
      </c>
      <c r="BZ18" s="306">
        <f>COUNTIFS(STATUS!$Q:$Q,$A17,STATUS!$D:$D,BZ$1,STATUS!$U:$U,"ВОЗВРАТ")</f>
        <v>0</v>
      </c>
      <c r="CA18" s="306">
        <f>COUNTIFS(STATUS!$Q:$Q,$A17,STATUS!$D:$D,CA$1,STATUS!$U:$U,"ВОЗВРАТ")</f>
        <v>0</v>
      </c>
      <c r="CB18" s="306">
        <f>COUNTIFS(STATUS!$Q:$Q,$A17,STATUS!$D:$D,CB$1,STATUS!$U:$U,"ВОЗВРАТ")</f>
        <v>0</v>
      </c>
      <c r="CC18" s="440">
        <f>COUNTIFS(STATUS!$Q:$Q,$A17,STATUS!$D:$D,CC$1,STATUS!$U:$U,"ВОЗВРАТ")</f>
        <v>0</v>
      </c>
      <c r="CD18" s="440">
        <f>COUNTIFS(STATUS!$Q:$Q,$A17,STATUS!$D:$D,CD$1,STATUS!$U:$U,"ВОЗВРАТ")</f>
        <v>0</v>
      </c>
      <c r="CE18" s="576">
        <f>SUM(BZ18:CD18)</f>
        <v>0</v>
      </c>
      <c r="CF18" s="306">
        <f>COUNTIFS(STATUS!$Q:$Q,$A17,STATUS!$D:$D,CF$1,STATUS!$U:$U,"ВОЗВРАТ")</f>
        <v>0</v>
      </c>
      <c r="CG18" s="306">
        <f>COUNTIFS(STATUS!$Q:$Q,$A17,STATUS!$D:$D,CG$1,STATUS!$U:$U,"ВОЗВРАТ")</f>
        <v>0</v>
      </c>
      <c r="CH18" s="306">
        <f>COUNTIFS(STATUS!$Q:$Q,$A17,STATUS!$D:$D,CH$1,STATUS!$U:$U,"ВОЗВРАТ")</f>
        <v>0</v>
      </c>
      <c r="CI18" s="440">
        <f>COUNTIFS(STATUS!$Q:$Q,$A17,STATUS!$D:$D,CI$1,STATUS!$U:$U,"ВОЗВРАТ")</f>
        <v>0</v>
      </c>
      <c r="CJ18" s="440">
        <f>COUNTIFS(STATUS!$Q:$Q,$A17,STATUS!$D:$D,CJ$1,STATUS!$U:$U,"ВОЗВРАТ")</f>
        <v>0</v>
      </c>
      <c r="CK18" s="576">
        <f>SUM(CF18:CJ18)</f>
        <v>0</v>
      </c>
      <c r="CL18" s="306">
        <f>COUNTIFS(STATUS!$Q:$Q,$A17,STATUS!$D:$D,CL$1,STATUS!$U:$U,"ВОЗВРАТ")</f>
        <v>0</v>
      </c>
      <c r="CM18" s="306">
        <f>COUNTIFS(STATUS!$Q:$Q,$A17,STATUS!$D:$D,CM$1,STATUS!$U:$U,"ВОЗВРАТ")</f>
        <v>0</v>
      </c>
      <c r="CN18" s="306">
        <f>COUNTIFS(STATUS!$Q:$Q,$A17,STATUS!$D:$D,CN$1,STATUS!$U:$U,"ВОЗВРАТ")</f>
        <v>0</v>
      </c>
      <c r="CO18" s="440">
        <f>COUNTIFS(STATUS!$Q:$Q,$A17,STATUS!$D:$D,CO$1,STATUS!$U:$U,"ВОЗВРАТ")</f>
        <v>0</v>
      </c>
      <c r="CP18" s="440">
        <f>COUNTIFS(STATUS!$Q:$Q,$A17,STATUS!$D:$D,CP$1,STATUS!$U:$U,"ВОЗВРАТ")</f>
        <v>0</v>
      </c>
      <c r="CQ18" s="576">
        <f>SUM(CL18:CP18)</f>
        <v>0</v>
      </c>
      <c r="CR18" s="306">
        <f>COUNTIFS(STATUS!$Q:$Q,$A17,STATUS!$D:$D,CR$1,STATUS!$U:$U,"ВОЗВРАТ")</f>
        <v>0</v>
      </c>
      <c r="CS18" s="306">
        <f>COUNTIFS(STATUS!$Q:$Q,$A17,STATUS!$D:$D,CS$1,STATUS!$U:$U,"ВОЗВРАТ")</f>
        <v>0</v>
      </c>
      <c r="CT18" s="306">
        <f>COUNTIFS(STATUS!$Q:$Q,$A17,STATUS!$D:$D,CT$1,STATUS!$U:$U,"ВОЗВРАТ")</f>
        <v>0</v>
      </c>
      <c r="CU18" s="440">
        <f>COUNTIFS(STATUS!$Q:$Q,$A17,STATUS!$D:$D,CU$1,STATUS!$U:$U,"ВОЗВРАТ")</f>
        <v>0</v>
      </c>
      <c r="CV18" s="440">
        <f>COUNTIFS(STATUS!$Q:$Q,$A17,STATUS!$D:$D,CV$1,STATUS!$U:$U,"ВОЗВРАТ")</f>
        <v>0</v>
      </c>
      <c r="CW18" s="576">
        <f>SUM(CR18:CV18)</f>
        <v>0</v>
      </c>
      <c r="CX18" s="577">
        <f>COUNTIFS(STATUS!$Q:$Q,$A17,STATUS!$D:$D,CX$1,STATUS!$U:$U,"ВОЗВРАТ")</f>
        <v>0</v>
      </c>
      <c r="CY18" s="577">
        <f>COUNTIFS(STATUS!$Q:$Q,$A17,STATUS!$D:$D,CY$1,STATUS!$U:$U,"ВОЗВРАТ")</f>
        <v>0</v>
      </c>
      <c r="CZ18" s="577">
        <f>COUNTIFS(STATUS!$Q:$Q,$A17,STATUS!$D:$D,CZ$1,STATUS!$U:$U,"ВОЗВРАТ")</f>
        <v>0</v>
      </c>
      <c r="DA18" s="578">
        <f>COUNTIFS(STATUS!$Q:$Q,$A17,STATUS!$D:$D,DA$1,STATUS!$U:$U,"ВОЗВРАТ")</f>
        <v>0</v>
      </c>
      <c r="DB18" s="578">
        <f>COUNTIFS(STATUS!$Q:$Q,$A17,STATUS!$D:$D,DB$1,STATUS!$U:$U,"ВОЗВРАТ")</f>
        <v>0</v>
      </c>
      <c r="DC18" s="576">
        <f>SUM(CX18:DB18)</f>
        <v>0</v>
      </c>
      <c r="DD18" s="577">
        <f>COUNTIFS(STATUS!$Q:$Q,$A17,STATUS!$D:$D,DD$1,STATUS!$U:$U,"ВОЗВРАТ")</f>
        <v>0</v>
      </c>
      <c r="DE18" s="577">
        <f>COUNTIFS(STATUS!$Q:$Q,$A17,STATUS!$D:$D,DE$1,STATUS!$U:$U,"ВОЗВРАТ")</f>
        <v>0</v>
      </c>
      <c r="DF18" s="577">
        <f>COUNTIFS(STATUS!$Q:$Q,$A17,STATUS!$D:$D,DF$1,STATUS!$U:$U,"ВОЗВРАТ")</f>
        <v>0</v>
      </c>
      <c r="DG18" s="578">
        <f>COUNTIFS(STATUS!$Q:$Q,$A17,STATUS!$D:$D,DG$1,STATUS!$U:$U,"ВОЗВРАТ")</f>
        <v>0</v>
      </c>
      <c r="DH18" s="578">
        <f>COUNTIFS(STATUS!$Q:$Q,$A17,STATUS!$D:$D,DH$1,STATUS!$U:$U,"ВОЗВРАТ")</f>
        <v>0</v>
      </c>
      <c r="DI18" s="576">
        <f>SUM(DD18:DH18)</f>
        <v>0</v>
      </c>
      <c r="DJ18" s="577">
        <f>COUNTIFS(STATUS!$Q:$Q,$A17,STATUS!$D:$D,DJ$1,STATUS!$U:$U,"ВОЗВРАТ")</f>
        <v>0</v>
      </c>
      <c r="DK18" s="577">
        <f>COUNTIFS(STATUS!$Q:$Q,$A17,STATUS!$D:$D,DK$1,STATUS!$U:$U,"ВОЗВРАТ")</f>
        <v>0</v>
      </c>
      <c r="DL18" s="577">
        <f>COUNTIFS(STATUS!$Q:$Q,$A17,STATUS!$D:$D,DL$1,STATUS!$U:$U,"ВОЗВРАТ")</f>
        <v>0</v>
      </c>
      <c r="DM18" s="578">
        <f>COUNTIFS(STATUS!$Q:$Q,$A17,STATUS!$D:$D,DM$1,STATUS!$U:$U,"ВОЗВРАТ")</f>
        <v>0</v>
      </c>
      <c r="DN18" s="578">
        <f>COUNTIFS(STATUS!$Q:$Q,$A17,STATUS!$D:$D,DN$1,STATUS!$U:$U,"ВОЗВРАТ")</f>
        <v>0</v>
      </c>
      <c r="DO18" s="576">
        <f>SUM(DJ18:DN18)</f>
        <v>0</v>
      </c>
      <c r="DP18" s="577">
        <f>COUNTIFS(STATUS!$Q:$Q,$A17,STATUS!$D:$D,DP$1,STATUS!$U:$U,"ВОЗВРАТ")</f>
        <v>0</v>
      </c>
      <c r="DQ18" s="577">
        <f>COUNTIFS(STATUS!$Q:$Q,$A17,STATUS!$D:$D,DQ$1,STATUS!$U:$U,"ВОЗВРАТ")</f>
        <v>0</v>
      </c>
      <c r="DR18" s="577">
        <f>COUNTIFS(STATUS!$Q:$Q,$A17,STATUS!$D:$D,DR$1,STATUS!$U:$U,"ВОЗВРАТ")</f>
        <v>0</v>
      </c>
      <c r="DS18" s="578">
        <f>COUNTIFS(STATUS!$Q:$Q,$A17,STATUS!$D:$D,DS$1,STATUS!$U:$U,"ВОЗВРАТ")</f>
        <v>0</v>
      </c>
      <c r="DT18" s="578">
        <f>COUNTIFS(STATUS!$Q:$Q,$A17,STATUS!$D:$D,DT$1,STATUS!$U:$U,"ВОЗВРАТ")</f>
        <v>0</v>
      </c>
      <c r="DU18" s="576">
        <f>SUM(DP18:DT18)</f>
        <v>0</v>
      </c>
      <c r="DV18" s="577">
        <f>COUNTIFS(STATUS!$Q:$Q,$A17,STATUS!$D:$D,DV$1,STATUS!$U:$U,"ВОЗВРАТ")</f>
        <v>0</v>
      </c>
      <c r="DW18" s="577">
        <f>COUNTIFS(STATUS!$Q:$Q,$A17,STATUS!$D:$D,DW$1,STATUS!$U:$U,"ВОЗВРАТ")</f>
        <v>0</v>
      </c>
      <c r="DX18" s="577">
        <f>COUNTIFS(STATUS!$Q:$Q,$A17,STATUS!$D:$D,DX$1,STATUS!$U:$U,"ВОЗВРАТ")</f>
        <v>0</v>
      </c>
      <c r="DY18" s="578">
        <f>COUNTIFS(STATUS!$Q:$Q,$A17,STATUS!$D:$D,DY$1,STATUS!$U:$U,"ВОЗВРАТ")</f>
        <v>0</v>
      </c>
      <c r="DZ18" s="578">
        <f>COUNTIFS(STATUS!$Q:$Q,$A17,STATUS!$D:$D,DZ$1,STATUS!$U:$U,"ВОЗВРАТ")</f>
        <v>0</v>
      </c>
      <c r="EA18" s="576">
        <f>SUM(DV18:DZ18)</f>
        <v>0</v>
      </c>
      <c r="EB18" s="577">
        <f>COUNTIFS(STATUS!$Q:$Q,$A17,STATUS!$D:$D,EB$1,STATUS!$U:$U,"ВОЗВРАТ")</f>
        <v>0</v>
      </c>
      <c r="EC18" s="577">
        <f>COUNTIFS(STATUS!$Q:$Q,$A17,STATUS!$D:$D,EC$1,STATUS!$U:$U,"ВОЗВРАТ")</f>
        <v>0</v>
      </c>
      <c r="ED18" s="577">
        <f>COUNTIFS(STATUS!$Q:$Q,$A17,STATUS!$D:$D,ED$1,STATUS!$U:$U,"ВОЗВРАТ")</f>
        <v>0</v>
      </c>
      <c r="EE18" s="578">
        <f>COUNTIFS(STATUS!$Q:$Q,$A17,STATUS!$D:$D,EE$1,STATUS!$U:$U,"ВОЗВРАТ")</f>
        <v>0</v>
      </c>
      <c r="EF18" s="578">
        <f>COUNTIFS(STATUS!$Q:$Q,$A17,STATUS!$D:$D,EF$1,STATUS!$U:$U,"ВОЗВРАТ")</f>
        <v>0</v>
      </c>
      <c r="EG18" s="576">
        <f>SUM(EB18:EF18)</f>
        <v>0</v>
      </c>
      <c r="EH18" s="577">
        <f>COUNTIFS(STATUS!$Q:$Q,$A17,STATUS!$D:$D,EH$1,STATUS!$U:$U,"ВОЗВРАТ")</f>
        <v>0</v>
      </c>
      <c r="EI18" s="577">
        <f>COUNTIFS(STATUS!$Q:$Q,$A17,STATUS!$D:$D,EI$1,STATUS!$U:$U,"ВОЗВРАТ")</f>
        <v>0</v>
      </c>
      <c r="EJ18" s="577">
        <f>COUNTIFS(STATUS!$Q:$Q,$A17,STATUS!$D:$D,EJ$1,STATUS!$U:$U,"ВОЗВРАТ")</f>
        <v>0</v>
      </c>
      <c r="EK18" s="578">
        <f>COUNTIFS(STATUS!$Q:$Q,$A17,STATUS!$D:$D,EK$1,STATUS!$U:$U,"ВОЗВРАТ")</f>
        <v>0</v>
      </c>
      <c r="EL18" s="578">
        <f>COUNTIFS(STATUS!$Q:$Q,$A17,STATUS!$D:$D,EL$1,STATUS!$U:$U,"ВОЗВРАТ")</f>
        <v>0</v>
      </c>
      <c r="EM18" s="576">
        <f>SUM(EH18:EL18)</f>
        <v>0</v>
      </c>
      <c r="EN18" s="577">
        <f>COUNTIFS(STATUS!$Q:$Q,$A17,STATUS!$D:$D,EN$1,STATUS!$U:$U,"ВОЗВРАТ")</f>
        <v>0</v>
      </c>
      <c r="EO18" s="577">
        <f>COUNTIFS(STATUS!$Q:$Q,$A17,STATUS!$D:$D,EO$1,STATUS!$U:$U,"ВОЗВРАТ")</f>
        <v>0</v>
      </c>
      <c r="EP18" s="577">
        <f>COUNTIFS(STATUS!$Q:$Q,$A17,STATUS!$D:$D,EP$1,STATUS!$U:$U,"ВОЗВРАТ")</f>
        <v>0</v>
      </c>
      <c r="EQ18" s="578">
        <f>COUNTIFS(STATUS!$Q:$Q,$A17,STATUS!$D:$D,EQ$1,STATUS!$U:$U,"ВОЗВРАТ")</f>
        <v>0</v>
      </c>
      <c r="ER18" s="578">
        <f>COUNTIFS(STATUS!$Q:$Q,$A17,STATUS!$D:$D,ER$1,STATUS!$U:$U,"ВОЗВРАТ")</f>
        <v>0</v>
      </c>
      <c r="ES18" s="576">
        <f>SUM(EN18:ER18)</f>
        <v>0</v>
      </c>
      <c r="ET18" s="577">
        <f>COUNTIFS(STATUS!$Q:$Q,$A17,STATUS!$D:$D,ET$1,STATUS!$U:$U,"ВОЗВРАТ")</f>
        <v>0</v>
      </c>
      <c r="EU18" s="577">
        <f>COUNTIFS(STATUS!$Q:$Q,$A17,STATUS!$D:$D,EU$1,STATUS!$U:$U,"ВОЗВРАТ")</f>
        <v>0</v>
      </c>
      <c r="EV18" s="577">
        <f>COUNTIFS(STATUS!$Q:$Q,$A17,STATUS!$D:$D,EV$1,STATUS!$U:$U,"ВОЗВРАТ")</f>
        <v>0</v>
      </c>
      <c r="EW18" s="578">
        <f>COUNTIFS(STATUS!$Q:$Q,$A17,STATUS!$D:$D,EW$1,STATUS!$U:$U,"ВОЗВРАТ")</f>
        <v>0</v>
      </c>
      <c r="EX18" s="578">
        <f>COUNTIFS(STATUS!$Q:$Q,$A17,STATUS!$D:$D,EX$1,STATUS!$U:$U,"ВОЗВРАТ")</f>
        <v>0</v>
      </c>
      <c r="EY18" s="576">
        <f>SUM(ET18:EX18)</f>
        <v>0</v>
      </c>
      <c r="EZ18" s="577">
        <f>COUNTIFS(STATUS!$Q:$Q,$A17,STATUS!$D:$D,EZ$1,STATUS!$U:$U,"ВОЗВРАТ")</f>
        <v>0</v>
      </c>
      <c r="FA18" s="577">
        <f>COUNTIFS(STATUS!$Q:$Q,$A17,STATUS!$D:$D,FA$1,STATUS!$U:$U,"ВОЗВРАТ")</f>
        <v>0</v>
      </c>
      <c r="FB18" s="577">
        <f>COUNTIFS(STATUS!$Q:$Q,$A17,STATUS!$D:$D,FB$1,STATUS!$U:$U,"ВОЗВРАТ")</f>
        <v>0</v>
      </c>
      <c r="FC18" s="578">
        <f>COUNTIFS(STATUS!$Q:$Q,$A17,STATUS!$D:$D,FC$1,STATUS!$U:$U,"ВОЗВРАТ")</f>
        <v>0</v>
      </c>
      <c r="FD18" s="578">
        <f>COUNTIFS(STATUS!$Q:$Q,$A17,STATUS!$D:$D,FD$1,STATUS!$U:$U,"ВОЗВРАТ")</f>
        <v>0</v>
      </c>
      <c r="FE18" s="576">
        <f>SUM(EZ18:FD18)</f>
        <v>0</v>
      </c>
      <c r="FF18" s="577">
        <f>COUNTIFS(STATUS!$Q:$Q,$A17,STATUS!$D:$D,FF$1,STATUS!$U:$U,"ВОЗВРАТ")</f>
        <v>0</v>
      </c>
      <c r="FG18" s="577">
        <f>COUNTIFS(STATUS!$Q:$Q,$A17,STATUS!$D:$D,FG$1,STATUS!$U:$U,"ВОЗВРАТ")</f>
        <v>0</v>
      </c>
      <c r="FH18" s="577">
        <f>COUNTIFS(STATUS!$Q:$Q,$A17,STATUS!$D:$D,FH$1,STATUS!$U:$U,"ВОЗВРАТ")</f>
        <v>0</v>
      </c>
      <c r="FI18" s="578">
        <f>COUNTIFS(STATUS!$Q:$Q,$A17,STATUS!$D:$D,FI$1,STATUS!$U:$U,"ВОЗВРАТ")</f>
        <v>0</v>
      </c>
      <c r="FJ18" s="578">
        <f>COUNTIFS(STATUS!$Q:$Q,$A17,STATUS!$D:$D,FJ$1,STATUS!$U:$U,"ВОЗВРАТ")</f>
        <v>0</v>
      </c>
      <c r="FK18" s="576">
        <f>SUM(FF18:FJ18)</f>
        <v>0</v>
      </c>
      <c r="FL18" s="577">
        <f>COUNTIFS(STATUS!$Q:$Q,$A17,STATUS!$D:$D,FL$1,STATUS!$U:$U,"ВОЗВРАТ")</f>
        <v>0</v>
      </c>
      <c r="FM18" s="577">
        <f>COUNTIFS(STATUS!$Q:$Q,$A17,STATUS!$D:$D,FM$1,STATUS!$U:$U,"ВОЗВРАТ")</f>
        <v>0</v>
      </c>
      <c r="FN18" s="577">
        <f>COUNTIFS(STATUS!$Q:$Q,$A17,STATUS!$D:$D,FN$1,STATUS!$U:$U,"ВОЗВРАТ")</f>
        <v>0</v>
      </c>
      <c r="FO18" s="578">
        <f>COUNTIFS(STATUS!$Q:$Q,$A17,STATUS!$D:$D,FO$1,STATUS!$U:$U,"ВОЗВРАТ")</f>
        <v>0</v>
      </c>
      <c r="FP18" s="578">
        <f>COUNTIFS(STATUS!$Q:$Q,$A17,STATUS!$D:$D,FP$1,STATUS!$U:$U,"ВОЗВРАТ")</f>
        <v>0</v>
      </c>
      <c r="FQ18" s="576">
        <f>SUM(FL18:FP18)</f>
        <v>0</v>
      </c>
      <c r="FR18" s="577">
        <f>COUNTIFS(STATUS!$Q:$Q,$A17,STATUS!$D:$D,FR$1,STATUS!$U:$U,"ВОЗВРАТ")</f>
        <v>0</v>
      </c>
      <c r="FS18" s="577">
        <f>COUNTIFS(STATUS!$Q:$Q,$A17,STATUS!$D:$D,FS$1,STATUS!$U:$U,"ВОЗВРАТ")</f>
        <v>0</v>
      </c>
      <c r="FT18" s="577">
        <f>COUNTIFS(STATUS!$Q:$Q,$A17,STATUS!$D:$D,FT$1,STATUS!$U:$U,"ВОЗВРАТ")</f>
        <v>0</v>
      </c>
      <c r="FU18" s="578">
        <f>COUNTIFS(STATUS!$Q:$Q,$A17,STATUS!$D:$D,FU$1,STATUS!$U:$U,"ВОЗВРАТ")</f>
        <v>0</v>
      </c>
      <c r="FV18" s="578">
        <f>COUNTIFS(STATUS!$Q:$Q,$A17,STATUS!$D:$D,FV$1,STATUS!$U:$U,"ВОЗВРАТ")</f>
        <v>0</v>
      </c>
      <c r="FW18" s="576">
        <f>SUM(FR18:FV18)</f>
        <v>0</v>
      </c>
      <c r="FX18" s="577">
        <f>COUNTIFS(STATUS!$Q:$Q,$A17,STATUS!$D:$D,FX$1,STATUS!$U:$U,"ВОЗВРАТ")</f>
        <v>0</v>
      </c>
      <c r="FY18" s="577">
        <f>COUNTIFS(STATUS!$Q:$Q,$A17,STATUS!$D:$D,FY$1,STATUS!$U:$U,"ВОЗВРАТ")</f>
        <v>0</v>
      </c>
      <c r="FZ18" s="577">
        <f>COUNTIFS(STATUS!$Q:$Q,$A17,STATUS!$D:$D,FZ$1,STATUS!$U:$U,"ВОЗВРАТ")</f>
        <v>0</v>
      </c>
      <c r="GA18" s="578">
        <f>COUNTIFS(STATUS!$Q:$Q,$A17,STATUS!$D:$D,GA$1,STATUS!$U:$U,"ВОЗВРАТ")</f>
        <v>0</v>
      </c>
      <c r="GB18" s="578">
        <f>COUNTIFS(STATUS!$Q:$Q,$A17,STATUS!$D:$D,GB$1,STATUS!$U:$U,"ВОЗВРАТ")</f>
        <v>0</v>
      </c>
      <c r="GC18" s="576">
        <f>SUM(FX18:GB18)</f>
        <v>0</v>
      </c>
      <c r="GD18" s="577">
        <f>COUNTIFS(STATUS!$Q:$Q,$A17,STATUS!$D:$D,GD$1,STATUS!$U:$U,"ВОЗВРАТ")</f>
        <v>0</v>
      </c>
      <c r="GE18" s="577">
        <f>COUNTIFS(STATUS!$Q:$Q,$A17,STATUS!$D:$D,GE$1,STATUS!$U:$U,"ВОЗВРАТ")</f>
        <v>0</v>
      </c>
      <c r="GF18" s="577">
        <f>COUNTIFS(STATUS!$Q:$Q,$A17,STATUS!$D:$D,GF$1,STATUS!$U:$U,"ВОЗВРАТ")</f>
        <v>0</v>
      </c>
      <c r="GG18" s="578">
        <f>COUNTIFS(STATUS!$Q:$Q,$A17,STATUS!$D:$D,GG$1,STATUS!$U:$U,"ВОЗВРАТ")</f>
        <v>0</v>
      </c>
      <c r="GH18" s="578">
        <f>COUNTIFS(STATUS!$Q:$Q,$A17,STATUS!$D:$D,GH$1,STATUS!$U:$U,"ВОЗВРАТ")</f>
        <v>0</v>
      </c>
      <c r="GI18" s="576">
        <f>SUM(GD18:GH18)</f>
        <v>0</v>
      </c>
      <c r="GJ18" s="577">
        <f>COUNTIFS(STATUS!$Q:$Q,$A17,STATUS!$D:$D,GJ$1,STATUS!$U:$U,"ВОЗВРАТ")</f>
        <v>0</v>
      </c>
      <c r="GK18" s="577">
        <f>COUNTIFS(STATUS!$Q:$Q,$A17,STATUS!$D:$D,GK$1,STATUS!$U:$U,"ВОЗВРАТ")</f>
        <v>0</v>
      </c>
      <c r="GL18" s="577">
        <f>COUNTIFS(STATUS!$Q:$Q,$A17,STATUS!$D:$D,GL$1,STATUS!$U:$U,"ВОЗВРАТ")</f>
        <v>0</v>
      </c>
      <c r="GM18" s="578">
        <f>COUNTIFS(STATUS!$Q:$Q,$A17,STATUS!$D:$D,GM$1,STATUS!$U:$U,"ВОЗВРАТ")</f>
        <v>0</v>
      </c>
      <c r="GN18" s="578">
        <f>COUNTIFS(STATUS!$Q:$Q,$A17,STATUS!$D:$D,GN$1,STATUS!$U:$U,"ВОЗВРАТ")</f>
        <v>0</v>
      </c>
      <c r="GO18" s="576">
        <f>SUM(GJ18:GN18)</f>
        <v>0</v>
      </c>
      <c r="GP18" s="577">
        <f>COUNTIFS(STATUS!$Q:$Q,$A17,STATUS!$D:$D,GP$1,STATUS!$U:$U,"ВОЗВРАТ")</f>
        <v>0</v>
      </c>
      <c r="GQ18" s="577">
        <f>COUNTIFS(STATUS!$Q:$Q,$A17,STATUS!$D:$D,GQ$1,STATUS!$U:$U,"ВОЗВРАТ")</f>
        <v>0</v>
      </c>
      <c r="GR18" s="577">
        <f>COUNTIFS(STATUS!$Q:$Q,$A17,STATUS!$D:$D,GR$1,STATUS!$U:$U,"ВОЗВРАТ")</f>
        <v>0</v>
      </c>
      <c r="GS18" s="578">
        <f>COUNTIFS(STATUS!$Q:$Q,$A17,STATUS!$D:$D,GS$1,STATUS!$U:$U,"ВОЗВРАТ")</f>
        <v>0</v>
      </c>
      <c r="GT18" s="578">
        <f>COUNTIFS(STATUS!$Q:$Q,$A17,STATUS!$D:$D,GT$1,STATUS!$U:$U,"ВОЗВРАТ")</f>
        <v>0</v>
      </c>
      <c r="GU18" s="576">
        <f>SUM(GP18:GT18)</f>
        <v>0</v>
      </c>
      <c r="GV18" s="577">
        <f>COUNTIFS(STATUS!$Q:$Q,$A17,STATUS!$D:$D,GV$1,STATUS!$U:$U,"ВОЗВРАТ")</f>
        <v>0</v>
      </c>
      <c r="GW18" s="577">
        <f>COUNTIFS(STATUS!$Q:$Q,$A17,STATUS!$D:$D,GW$1,STATUS!$U:$U,"ВОЗВРАТ")</f>
        <v>0</v>
      </c>
      <c r="GX18" s="577">
        <f>COUNTIFS(STATUS!$Q:$Q,$A17,STATUS!$D:$D,GX$1,STATUS!$U:$U,"ВОЗВРАТ")</f>
        <v>0</v>
      </c>
      <c r="GY18" s="578">
        <f>COUNTIFS(STATUS!$Q:$Q,$A17,STATUS!$D:$D,GY$1,STATUS!$U:$U,"ВОЗВРАТ")</f>
        <v>0</v>
      </c>
      <c r="GZ18" s="578">
        <f>COUNTIFS(STATUS!$Q:$Q,$A17,STATUS!$D:$D,GZ$1,STATUS!$U:$U,"ВОЗВРАТ")</f>
        <v>0</v>
      </c>
      <c r="HA18" s="576">
        <f>SUM(GV18:GZ18)</f>
        <v>0</v>
      </c>
    </row>
    <row r="19" spans="1:209" ht="21.6" thickBot="1" x14ac:dyDescent="0.35">
      <c r="A19" s="1557"/>
      <c r="B19" s="434">
        <f>IFERROR(B18/B17,0)</f>
        <v>7.7586206896551727E-2</v>
      </c>
      <c r="C19" s="579">
        <f>IFERROR(C18/C17,0)</f>
        <v>0</v>
      </c>
      <c r="D19" s="579">
        <f t="shared" ref="D19:W19" si="199">IFERROR(D18/D17,0)</f>
        <v>0</v>
      </c>
      <c r="E19" s="579">
        <f t="shared" si="199"/>
        <v>0</v>
      </c>
      <c r="F19" s="579">
        <f t="shared" si="199"/>
        <v>0</v>
      </c>
      <c r="G19" s="580">
        <f t="shared" si="199"/>
        <v>0</v>
      </c>
      <c r="H19" s="581">
        <f t="shared" si="199"/>
        <v>0</v>
      </c>
      <c r="I19" s="444">
        <f t="shared" si="199"/>
        <v>0</v>
      </c>
      <c r="J19" s="397">
        <f t="shared" si="199"/>
        <v>1</v>
      </c>
      <c r="K19" s="397">
        <f t="shared" si="199"/>
        <v>0.25</v>
      </c>
      <c r="L19" s="397">
        <f t="shared" si="199"/>
        <v>0.5</v>
      </c>
      <c r="M19" s="441">
        <f t="shared" si="199"/>
        <v>0</v>
      </c>
      <c r="N19" s="573">
        <f t="shared" si="199"/>
        <v>0.26666666666666666</v>
      </c>
      <c r="O19" s="444">
        <f t="shared" si="199"/>
        <v>0</v>
      </c>
      <c r="P19" s="397">
        <f t="shared" si="199"/>
        <v>0</v>
      </c>
      <c r="Q19" s="397">
        <f t="shared" si="199"/>
        <v>0</v>
      </c>
      <c r="R19" s="573">
        <f t="shared" ref="R19" si="200">IFERROR(R18/R17,0)</f>
        <v>0</v>
      </c>
      <c r="S19" s="397">
        <f t="shared" si="199"/>
        <v>0</v>
      </c>
      <c r="T19" s="397">
        <f>IFERROR(T18/T17,0)</f>
        <v>0.2</v>
      </c>
      <c r="U19" s="397">
        <f>IFERROR(U18/U17,0)</f>
        <v>0</v>
      </c>
      <c r="V19" s="441">
        <f t="shared" si="199"/>
        <v>0</v>
      </c>
      <c r="W19" s="573">
        <f t="shared" si="199"/>
        <v>6.6666666666666666E-2</v>
      </c>
      <c r="X19" s="397">
        <f>IFERROR(X18/X17,0)</f>
        <v>0</v>
      </c>
      <c r="Y19" s="397">
        <f>IFERROR(Y18/Y17,0)</f>
        <v>0</v>
      </c>
      <c r="Z19" s="397">
        <f>IFERROR(Z18/Z17,0)</f>
        <v>0</v>
      </c>
      <c r="AA19" s="441">
        <f t="shared" ref="AA19:AB19" si="201">IFERROR(AA18/AA17,0)</f>
        <v>0</v>
      </c>
      <c r="AB19" s="441">
        <f t="shared" si="201"/>
        <v>0</v>
      </c>
      <c r="AC19" s="573">
        <f>IFERROR(AC18/AC17,0)</f>
        <v>0</v>
      </c>
      <c r="AD19" s="397">
        <f>IFERROR(AD18/AD17,0)</f>
        <v>0.16666666666666666</v>
      </c>
      <c r="AE19" s="397">
        <f>IFERROR(AE18/AE17,0)</f>
        <v>0.5</v>
      </c>
      <c r="AF19" s="397">
        <f>IFERROR(AF18/AF17,0)</f>
        <v>0</v>
      </c>
      <c r="AG19" s="441">
        <f t="shared" ref="AG19:AH19" si="202">IFERROR(AG18/AG17,0)</f>
        <v>0</v>
      </c>
      <c r="AH19" s="441">
        <f t="shared" si="202"/>
        <v>0</v>
      </c>
      <c r="AI19" s="573">
        <f>IFERROR(AI18/AI17,0)</f>
        <v>0.25</v>
      </c>
      <c r="AJ19" s="397">
        <f>IFERROR(AJ18/AJ17,0)</f>
        <v>6.6666666666666666E-2</v>
      </c>
      <c r="AK19" s="397">
        <f>IFERROR(AK18/AK17,0)</f>
        <v>0</v>
      </c>
      <c r="AL19" s="397">
        <f>IFERROR(AL18/AL17,0)</f>
        <v>0.5</v>
      </c>
      <c r="AM19" s="441">
        <f t="shared" ref="AM19:AN19" si="203">IFERROR(AM18/AM17,0)</f>
        <v>0.2</v>
      </c>
      <c r="AN19" s="441">
        <f t="shared" si="203"/>
        <v>0</v>
      </c>
      <c r="AO19" s="573">
        <f>IFERROR(AO18/AO17,0)</f>
        <v>0.10714285714285714</v>
      </c>
      <c r="AP19" s="397">
        <f>IFERROR(AP18/AP17,0)</f>
        <v>0</v>
      </c>
      <c r="AQ19" s="397">
        <f>IFERROR(AQ18/AQ17,0)</f>
        <v>0</v>
      </c>
      <c r="AR19" s="397">
        <f>IFERROR(AR18/AR17,0)</f>
        <v>0.5</v>
      </c>
      <c r="AS19" s="441">
        <f t="shared" ref="AS19:AT19" si="204">IFERROR(AS18/AS17,0)</f>
        <v>0</v>
      </c>
      <c r="AT19" s="441">
        <f t="shared" si="204"/>
        <v>0</v>
      </c>
      <c r="AU19" s="573">
        <f>IFERROR(AU18/AU17,0)</f>
        <v>0.14285714285714285</v>
      </c>
      <c r="AV19" s="397">
        <f>IFERROR(AV18/AV17,0)</f>
        <v>0</v>
      </c>
      <c r="AW19" s="397">
        <f>IFERROR(AW18/AW17,0)</f>
        <v>6.1224489795918366E-2</v>
      </c>
      <c r="AX19" s="397">
        <f>IFERROR(AX18/AX17,0)</f>
        <v>0</v>
      </c>
      <c r="AY19" s="441">
        <f t="shared" ref="AY19:AZ19" si="205">IFERROR(AY18/AY17,0)</f>
        <v>0.25</v>
      </c>
      <c r="AZ19" s="441">
        <f t="shared" si="205"/>
        <v>0</v>
      </c>
      <c r="BA19" s="573">
        <f>IFERROR(BA18/BA17,0)</f>
        <v>6.3492063492063489E-2</v>
      </c>
      <c r="BB19" s="397">
        <f>IFERROR(BB18/BB17,0)</f>
        <v>0</v>
      </c>
      <c r="BC19" s="397">
        <f>IFERROR(BC18/BC17,0)</f>
        <v>0</v>
      </c>
      <c r="BD19" s="397">
        <f>IFERROR(BD18/BD17,0)</f>
        <v>0</v>
      </c>
      <c r="BE19" s="441">
        <f t="shared" ref="BE19:BF19" si="206">IFERROR(BE18/BE17,0)</f>
        <v>0.2</v>
      </c>
      <c r="BF19" s="441">
        <f t="shared" si="206"/>
        <v>0</v>
      </c>
      <c r="BG19" s="573">
        <f>IFERROR(BG18/BG17,0)</f>
        <v>5.8823529411764705E-2</v>
      </c>
      <c r="BH19" s="397">
        <f>IFERROR(BH18/BH17,0)</f>
        <v>0</v>
      </c>
      <c r="BI19" s="397">
        <f>IFERROR(BI18/BI17,0)</f>
        <v>0</v>
      </c>
      <c r="BJ19" s="397">
        <f>IFERROR(BJ18/BJ17,0)</f>
        <v>0</v>
      </c>
      <c r="BK19" s="441">
        <f t="shared" ref="BK19:BL19" si="207">IFERROR(BK18/BK17,0)</f>
        <v>0</v>
      </c>
      <c r="BL19" s="441">
        <f t="shared" si="207"/>
        <v>0</v>
      </c>
      <c r="BM19" s="573">
        <f>IFERROR(BM18/BM17,0)</f>
        <v>0</v>
      </c>
      <c r="BN19" s="397">
        <f>IFERROR(BN18/BN17,0)</f>
        <v>0</v>
      </c>
      <c r="BO19" s="397">
        <f>IFERROR(BO18/BO17,0)</f>
        <v>0</v>
      </c>
      <c r="BP19" s="397">
        <f>IFERROR(BP18/BP17,0)</f>
        <v>0</v>
      </c>
      <c r="BQ19" s="441">
        <f t="shared" ref="BQ19:BR19" si="208">IFERROR(BQ18/BQ17,0)</f>
        <v>0</v>
      </c>
      <c r="BR19" s="441">
        <f t="shared" si="208"/>
        <v>0.16666666666666666</v>
      </c>
      <c r="BS19" s="573">
        <f>IFERROR(BS18/BS17,0)</f>
        <v>5.2631578947368418E-2</v>
      </c>
      <c r="BT19" s="397">
        <f>IFERROR(BT18/BT17,0)</f>
        <v>0</v>
      </c>
      <c r="BU19" s="397">
        <f>IFERROR(BU18/BU17,0)</f>
        <v>0</v>
      </c>
      <c r="BV19" s="397">
        <f>IFERROR(BV18/BV17,0)</f>
        <v>0</v>
      </c>
      <c r="BW19" s="441">
        <f t="shared" ref="BW19:BX19" si="209">IFERROR(BW18/BW17,0)</f>
        <v>0</v>
      </c>
      <c r="BX19" s="441">
        <f t="shared" si="209"/>
        <v>0</v>
      </c>
      <c r="BY19" s="573">
        <f>IFERROR(BY18/BY17,0)</f>
        <v>0</v>
      </c>
      <c r="BZ19" s="397">
        <f>IFERROR(BZ18/BZ17,0)</f>
        <v>0</v>
      </c>
      <c r="CA19" s="397">
        <f>IFERROR(CA18/CA17,0)</f>
        <v>0</v>
      </c>
      <c r="CB19" s="397">
        <f>IFERROR(CB18/CB17,0)</f>
        <v>0</v>
      </c>
      <c r="CC19" s="441">
        <f t="shared" ref="CC19:CD19" si="210">IFERROR(CC18/CC17,0)</f>
        <v>0</v>
      </c>
      <c r="CD19" s="441">
        <f t="shared" si="210"/>
        <v>0</v>
      </c>
      <c r="CE19" s="573">
        <f>IFERROR(CE18/CE17,0)</f>
        <v>0</v>
      </c>
      <c r="CF19" s="397">
        <f>IFERROR(CF18/CF17,0)</f>
        <v>0</v>
      </c>
      <c r="CG19" s="397">
        <f>IFERROR(CG18/CG17,0)</f>
        <v>0</v>
      </c>
      <c r="CH19" s="397">
        <f>IFERROR(CH18/CH17,0)</f>
        <v>0</v>
      </c>
      <c r="CI19" s="441">
        <f t="shared" ref="CI19:CJ19" si="211">IFERROR(CI18/CI17,0)</f>
        <v>0</v>
      </c>
      <c r="CJ19" s="441">
        <f t="shared" si="211"/>
        <v>0</v>
      </c>
      <c r="CK19" s="573">
        <f>IFERROR(CK18/CK17,0)</f>
        <v>0</v>
      </c>
      <c r="CL19" s="397">
        <f>IFERROR(CL18/CL17,0)</f>
        <v>0</v>
      </c>
      <c r="CM19" s="397">
        <f>IFERROR(CM18/CM17,0)</f>
        <v>0</v>
      </c>
      <c r="CN19" s="397">
        <f>IFERROR(CN18/CN17,0)</f>
        <v>0</v>
      </c>
      <c r="CO19" s="441">
        <f t="shared" ref="CO19:CP19" si="212">IFERROR(CO18/CO17,0)</f>
        <v>0</v>
      </c>
      <c r="CP19" s="441">
        <f t="shared" si="212"/>
        <v>0</v>
      </c>
      <c r="CQ19" s="573">
        <f>IFERROR(CQ18/CQ17,0)</f>
        <v>0</v>
      </c>
      <c r="CR19" s="397">
        <f>IFERROR(CR18/CR17,0)</f>
        <v>0</v>
      </c>
      <c r="CS19" s="397">
        <f>IFERROR(CS18/CS17,0)</f>
        <v>0</v>
      </c>
      <c r="CT19" s="397">
        <f>IFERROR(CT18/CT17,0)</f>
        <v>0</v>
      </c>
      <c r="CU19" s="441">
        <f t="shared" ref="CU19:CV19" si="213">IFERROR(CU18/CU17,0)</f>
        <v>0</v>
      </c>
      <c r="CV19" s="441">
        <f t="shared" si="213"/>
        <v>0</v>
      </c>
      <c r="CW19" s="573">
        <f>IFERROR(CW18/CW17,0)</f>
        <v>0</v>
      </c>
      <c r="CX19" s="397">
        <f>IFERROR(CX18/CX17,0)</f>
        <v>0</v>
      </c>
      <c r="CY19" s="397">
        <f>IFERROR(CY18/CY17,0)</f>
        <v>0</v>
      </c>
      <c r="CZ19" s="397">
        <f>IFERROR(CZ18/CZ17,0)</f>
        <v>0</v>
      </c>
      <c r="DA19" s="441">
        <f t="shared" ref="DA19:DB19" si="214">IFERROR(DA18/DA17,0)</f>
        <v>0</v>
      </c>
      <c r="DB19" s="441">
        <f t="shared" si="214"/>
        <v>0</v>
      </c>
      <c r="DC19" s="573">
        <f>IFERROR(DC18/DC17,0)</f>
        <v>0</v>
      </c>
      <c r="DD19" s="397">
        <f>IFERROR(DD18/DD17,0)</f>
        <v>0</v>
      </c>
      <c r="DE19" s="397">
        <f>IFERROR(DE18/DE17,0)</f>
        <v>0</v>
      </c>
      <c r="DF19" s="397">
        <f>IFERROR(DF18/DF17,0)</f>
        <v>0</v>
      </c>
      <c r="DG19" s="441">
        <f t="shared" ref="DG19:DH19" si="215">IFERROR(DG18/DG17,0)</f>
        <v>0</v>
      </c>
      <c r="DH19" s="441">
        <f t="shared" si="215"/>
        <v>0</v>
      </c>
      <c r="DI19" s="573">
        <f>IFERROR(DI18/DI17,0)</f>
        <v>0</v>
      </c>
      <c r="DJ19" s="397">
        <f>IFERROR(DJ18/DJ17,0)</f>
        <v>0</v>
      </c>
      <c r="DK19" s="397">
        <f>IFERROR(DK18/DK17,0)</f>
        <v>0</v>
      </c>
      <c r="DL19" s="397">
        <f>IFERROR(DL18/DL17,0)</f>
        <v>0</v>
      </c>
      <c r="DM19" s="441">
        <f t="shared" ref="DM19:DN19" si="216">IFERROR(DM18/DM17,0)</f>
        <v>0</v>
      </c>
      <c r="DN19" s="441">
        <f t="shared" si="216"/>
        <v>0</v>
      </c>
      <c r="DO19" s="573">
        <f>IFERROR(DO18/DO17,0)</f>
        <v>0</v>
      </c>
      <c r="DP19" s="397">
        <f>IFERROR(DP18/DP17,0)</f>
        <v>0</v>
      </c>
      <c r="DQ19" s="397">
        <f>IFERROR(DQ18/DQ17,0)</f>
        <v>0</v>
      </c>
      <c r="DR19" s="397">
        <f>IFERROR(DR18/DR17,0)</f>
        <v>0</v>
      </c>
      <c r="DS19" s="441">
        <f t="shared" ref="DS19:DT19" si="217">IFERROR(DS18/DS17,0)</f>
        <v>0</v>
      </c>
      <c r="DT19" s="441">
        <f t="shared" si="217"/>
        <v>0</v>
      </c>
      <c r="DU19" s="573">
        <f>IFERROR(DU18/DU17,0)</f>
        <v>0</v>
      </c>
      <c r="DV19" s="397">
        <f>IFERROR(DV18/DV17,0)</f>
        <v>0</v>
      </c>
      <c r="DW19" s="397">
        <f>IFERROR(DW18/DW17,0)</f>
        <v>0</v>
      </c>
      <c r="DX19" s="397">
        <f>IFERROR(DX18/DX17,0)</f>
        <v>0</v>
      </c>
      <c r="DY19" s="441">
        <f t="shared" ref="DY19:DZ19" si="218">IFERROR(DY18/DY17,0)</f>
        <v>0</v>
      </c>
      <c r="DZ19" s="441">
        <f t="shared" si="218"/>
        <v>0</v>
      </c>
      <c r="EA19" s="573">
        <f>IFERROR(EA18/EA17,0)</f>
        <v>0</v>
      </c>
      <c r="EB19" s="397">
        <f>IFERROR(EB18/EB17,0)</f>
        <v>0</v>
      </c>
      <c r="EC19" s="397">
        <f>IFERROR(EC18/EC17,0)</f>
        <v>0</v>
      </c>
      <c r="ED19" s="397">
        <f>IFERROR(ED18/ED17,0)</f>
        <v>0</v>
      </c>
      <c r="EE19" s="441">
        <f t="shared" ref="EE19:EF19" si="219">IFERROR(EE18/EE17,0)</f>
        <v>0</v>
      </c>
      <c r="EF19" s="441">
        <f t="shared" si="219"/>
        <v>0</v>
      </c>
      <c r="EG19" s="573">
        <f>IFERROR(EG18/EG17,0)</f>
        <v>0</v>
      </c>
      <c r="EH19" s="397">
        <f>IFERROR(EH18/EH17,0)</f>
        <v>0</v>
      </c>
      <c r="EI19" s="397">
        <f>IFERROR(EI18/EI17,0)</f>
        <v>0</v>
      </c>
      <c r="EJ19" s="397">
        <f>IFERROR(EJ18/EJ17,0)</f>
        <v>0</v>
      </c>
      <c r="EK19" s="441">
        <f t="shared" ref="EK19:EL19" si="220">IFERROR(EK18/EK17,0)</f>
        <v>0</v>
      </c>
      <c r="EL19" s="441">
        <f t="shared" si="220"/>
        <v>0</v>
      </c>
      <c r="EM19" s="573">
        <f>IFERROR(EM18/EM17,0)</f>
        <v>0</v>
      </c>
      <c r="EN19" s="397">
        <f>IFERROR(EN18/EN17,0)</f>
        <v>0</v>
      </c>
      <c r="EO19" s="397">
        <f>IFERROR(EO18/EO17,0)</f>
        <v>0</v>
      </c>
      <c r="EP19" s="397">
        <f>IFERROR(EP18/EP17,0)</f>
        <v>0</v>
      </c>
      <c r="EQ19" s="441">
        <f t="shared" ref="EQ19:ER19" si="221">IFERROR(EQ18/EQ17,0)</f>
        <v>0</v>
      </c>
      <c r="ER19" s="441">
        <f t="shared" si="221"/>
        <v>0</v>
      </c>
      <c r="ES19" s="573">
        <f>IFERROR(ES18/ES17,0)</f>
        <v>0</v>
      </c>
      <c r="ET19" s="397">
        <f>IFERROR(ET18/ET17,0)</f>
        <v>0</v>
      </c>
      <c r="EU19" s="397">
        <f>IFERROR(EU18/EU17,0)</f>
        <v>0</v>
      </c>
      <c r="EV19" s="397">
        <f>IFERROR(EV18/EV17,0)</f>
        <v>0</v>
      </c>
      <c r="EW19" s="441">
        <f t="shared" ref="EW19:EX19" si="222">IFERROR(EW18/EW17,0)</f>
        <v>0</v>
      </c>
      <c r="EX19" s="441">
        <f t="shared" si="222"/>
        <v>0</v>
      </c>
      <c r="EY19" s="573">
        <f>IFERROR(EY18/EY17,0)</f>
        <v>0</v>
      </c>
      <c r="EZ19" s="397">
        <f>IFERROR(EZ18/EZ17,0)</f>
        <v>0</v>
      </c>
      <c r="FA19" s="397">
        <f>IFERROR(FA18/FA17,0)</f>
        <v>0</v>
      </c>
      <c r="FB19" s="397">
        <f>IFERROR(FB18/FB17,0)</f>
        <v>0</v>
      </c>
      <c r="FC19" s="441">
        <f t="shared" ref="FC19:FD19" si="223">IFERROR(FC18/FC17,0)</f>
        <v>0</v>
      </c>
      <c r="FD19" s="441">
        <f t="shared" si="223"/>
        <v>0</v>
      </c>
      <c r="FE19" s="573">
        <f>IFERROR(FE18/FE17,0)</f>
        <v>0</v>
      </c>
      <c r="FF19" s="397">
        <f>IFERROR(FF18/FF17,0)</f>
        <v>0</v>
      </c>
      <c r="FG19" s="397">
        <f>IFERROR(FG18/FG17,0)</f>
        <v>0</v>
      </c>
      <c r="FH19" s="397">
        <f>IFERROR(FH18/FH17,0)</f>
        <v>0</v>
      </c>
      <c r="FI19" s="441">
        <f t="shared" ref="FI19:FJ19" si="224">IFERROR(FI18/FI17,0)</f>
        <v>0</v>
      </c>
      <c r="FJ19" s="441">
        <f t="shared" si="224"/>
        <v>0</v>
      </c>
      <c r="FK19" s="573">
        <f>IFERROR(FK18/FK17,0)</f>
        <v>0</v>
      </c>
      <c r="FL19" s="397">
        <f>IFERROR(FL18/FL17,0)</f>
        <v>0</v>
      </c>
      <c r="FM19" s="397">
        <f>IFERROR(FM18/FM17,0)</f>
        <v>0</v>
      </c>
      <c r="FN19" s="397">
        <f>IFERROR(FN18/FN17,0)</f>
        <v>0</v>
      </c>
      <c r="FO19" s="441">
        <f t="shared" ref="FO19:FP19" si="225">IFERROR(FO18/FO17,0)</f>
        <v>0</v>
      </c>
      <c r="FP19" s="441">
        <f t="shared" si="225"/>
        <v>0</v>
      </c>
      <c r="FQ19" s="573">
        <f>IFERROR(FQ18/FQ17,0)</f>
        <v>0</v>
      </c>
      <c r="FR19" s="397">
        <f>IFERROR(FR18/FR17,0)</f>
        <v>0</v>
      </c>
      <c r="FS19" s="397">
        <f>IFERROR(FS18/FS17,0)</f>
        <v>0</v>
      </c>
      <c r="FT19" s="397">
        <f>IFERROR(FT18/FT17,0)</f>
        <v>0</v>
      </c>
      <c r="FU19" s="441">
        <f t="shared" ref="FU19:FV19" si="226">IFERROR(FU18/FU17,0)</f>
        <v>0</v>
      </c>
      <c r="FV19" s="441">
        <f t="shared" si="226"/>
        <v>0</v>
      </c>
      <c r="FW19" s="573">
        <f>IFERROR(FW18/FW17,0)</f>
        <v>0</v>
      </c>
      <c r="FX19" s="397">
        <f>IFERROR(FX18/FX17,0)</f>
        <v>0</v>
      </c>
      <c r="FY19" s="397">
        <f>IFERROR(FY18/FY17,0)</f>
        <v>0</v>
      </c>
      <c r="FZ19" s="397">
        <f>IFERROR(FZ18/FZ17,0)</f>
        <v>0</v>
      </c>
      <c r="GA19" s="441">
        <f t="shared" ref="GA19:GB19" si="227">IFERROR(GA18/GA17,0)</f>
        <v>0</v>
      </c>
      <c r="GB19" s="441">
        <f t="shared" si="227"/>
        <v>0</v>
      </c>
      <c r="GC19" s="573">
        <f>IFERROR(GC18/GC17,0)</f>
        <v>0</v>
      </c>
      <c r="GD19" s="397">
        <f>IFERROR(GD18/GD17,0)</f>
        <v>0</v>
      </c>
      <c r="GE19" s="397">
        <f>IFERROR(GE18/GE17,0)</f>
        <v>0</v>
      </c>
      <c r="GF19" s="397">
        <f>IFERROR(GF18/GF17,0)</f>
        <v>0</v>
      </c>
      <c r="GG19" s="441">
        <f t="shared" ref="GG19:GH19" si="228">IFERROR(GG18/GG17,0)</f>
        <v>0</v>
      </c>
      <c r="GH19" s="441">
        <f t="shared" si="228"/>
        <v>0</v>
      </c>
      <c r="GI19" s="573">
        <f>IFERROR(GI18/GI17,0)</f>
        <v>0</v>
      </c>
      <c r="GJ19" s="397">
        <f>IFERROR(GJ18/GJ17,0)</f>
        <v>0</v>
      </c>
      <c r="GK19" s="397">
        <f>IFERROR(GK18/GK17,0)</f>
        <v>0</v>
      </c>
      <c r="GL19" s="397">
        <f>IFERROR(GL18/GL17,0)</f>
        <v>0</v>
      </c>
      <c r="GM19" s="441">
        <f t="shared" ref="GM19:GN19" si="229">IFERROR(GM18/GM17,0)</f>
        <v>0</v>
      </c>
      <c r="GN19" s="441">
        <f t="shared" si="229"/>
        <v>0</v>
      </c>
      <c r="GO19" s="573">
        <f>IFERROR(GO18/GO17,0)</f>
        <v>0</v>
      </c>
      <c r="GP19" s="397">
        <f>IFERROR(GP18/GP17,0)</f>
        <v>0</v>
      </c>
      <c r="GQ19" s="397">
        <f>IFERROR(GQ18/GQ17,0)</f>
        <v>0</v>
      </c>
      <c r="GR19" s="397">
        <f>IFERROR(GR18/GR17,0)</f>
        <v>0</v>
      </c>
      <c r="GS19" s="441">
        <f t="shared" ref="GS19:GT19" si="230">IFERROR(GS18/GS17,0)</f>
        <v>0</v>
      </c>
      <c r="GT19" s="441">
        <f t="shared" si="230"/>
        <v>0</v>
      </c>
      <c r="GU19" s="573">
        <f>IFERROR(GU18/GU17,0)</f>
        <v>0</v>
      </c>
      <c r="GV19" s="397">
        <f>IFERROR(GV18/GV17,0)</f>
        <v>0</v>
      </c>
      <c r="GW19" s="397">
        <f>IFERROR(GW18/GW17,0)</f>
        <v>0</v>
      </c>
      <c r="GX19" s="397">
        <f>IFERROR(GX18/GX17,0)</f>
        <v>0</v>
      </c>
      <c r="GY19" s="441">
        <f t="shared" ref="GY19:GZ19" si="231">IFERROR(GY18/GY17,0)</f>
        <v>0</v>
      </c>
      <c r="GZ19" s="441">
        <f t="shared" si="231"/>
        <v>0</v>
      </c>
      <c r="HA19" s="573">
        <f>IFERROR(HA18/HA17,0)</f>
        <v>0</v>
      </c>
    </row>
    <row r="20" spans="1:209" ht="15" thickTop="1" x14ac:dyDescent="0.3">
      <c r="A20" s="1564" t="s">
        <v>45</v>
      </c>
      <c r="B20" s="430">
        <f>SUM(B2,B5,B8,B11,B14,B17)</f>
        <v>2224</v>
      </c>
      <c r="C20" s="406">
        <f t="shared" ref="C20:G21" si="232">SUM(C2,C5,C8,C14,C17)</f>
        <v>19</v>
      </c>
      <c r="D20" s="406">
        <f t="shared" si="232"/>
        <v>12</v>
      </c>
      <c r="E20" s="406">
        <f t="shared" si="232"/>
        <v>17</v>
      </c>
      <c r="F20" s="406">
        <f t="shared" si="232"/>
        <v>16</v>
      </c>
      <c r="G20" s="406">
        <f t="shared" si="232"/>
        <v>14</v>
      </c>
      <c r="H20" s="572">
        <f>SUM(C20:G20)</f>
        <v>78</v>
      </c>
      <c r="I20" s="406">
        <f t="shared" ref="I20:M21" si="233">SUM(I2,I5,I8,I14,I17)</f>
        <v>22</v>
      </c>
      <c r="J20" s="406">
        <f t="shared" si="233"/>
        <v>17</v>
      </c>
      <c r="K20" s="406">
        <f t="shared" si="233"/>
        <v>17</v>
      </c>
      <c r="L20" s="406">
        <f t="shared" si="233"/>
        <v>5</v>
      </c>
      <c r="M20" s="406">
        <f t="shared" si="233"/>
        <v>0</v>
      </c>
      <c r="N20" s="572">
        <f>SUM(I20:M20)</f>
        <v>61</v>
      </c>
      <c r="O20" s="406">
        <f t="shared" ref="O20:Q21" si="234">SUM(O2,O5,O8,O14,O17)</f>
        <v>6</v>
      </c>
      <c r="P20" s="406">
        <f t="shared" si="234"/>
        <v>4</v>
      </c>
      <c r="Q20" s="406">
        <f t="shared" si="234"/>
        <v>6</v>
      </c>
      <c r="R20" s="571">
        <f>SUM(O20:Q20)</f>
        <v>16</v>
      </c>
      <c r="S20" s="406">
        <f t="shared" ref="S20:V21" si="235">SUM(S2,S5,S8,S14,S17)</f>
        <v>21</v>
      </c>
      <c r="T20" s="406">
        <f t="shared" si="235"/>
        <v>26</v>
      </c>
      <c r="U20" s="406">
        <f t="shared" si="235"/>
        <v>18</v>
      </c>
      <c r="V20" s="406">
        <f t="shared" si="235"/>
        <v>16</v>
      </c>
      <c r="W20" s="571">
        <f>SUM(S20:V20)</f>
        <v>81</v>
      </c>
      <c r="X20" s="406">
        <f t="shared" ref="X20:AB20" si="236">SUM(X2,X5,X8,X14,X17)</f>
        <v>25</v>
      </c>
      <c r="Y20" s="406">
        <f t="shared" si="236"/>
        <v>26</v>
      </c>
      <c r="Z20" s="406">
        <f t="shared" si="236"/>
        <v>23</v>
      </c>
      <c r="AA20" s="406">
        <f t="shared" si="236"/>
        <v>22</v>
      </c>
      <c r="AB20" s="406">
        <f t="shared" si="236"/>
        <v>20</v>
      </c>
      <c r="AC20" s="571">
        <f>SUM(X20:AB20)</f>
        <v>116</v>
      </c>
      <c r="AD20" s="406">
        <f t="shared" ref="AD20:AH20" si="237">SUM(AD2,AD5,AD8,AD14,AD17)</f>
        <v>19</v>
      </c>
      <c r="AE20" s="406">
        <f t="shared" si="237"/>
        <v>15</v>
      </c>
      <c r="AF20" s="406">
        <f t="shared" si="237"/>
        <v>44</v>
      </c>
      <c r="AG20" s="406">
        <f t="shared" si="237"/>
        <v>4</v>
      </c>
      <c r="AH20" s="406">
        <f t="shared" si="237"/>
        <v>1</v>
      </c>
      <c r="AI20" s="571">
        <f>SUM(AD20:AH20)</f>
        <v>83</v>
      </c>
      <c r="AJ20" s="406">
        <f t="shared" ref="AJ20:AN20" si="238">SUM(AJ2,AJ5,AJ8,AJ14,AJ17)</f>
        <v>84</v>
      </c>
      <c r="AK20" s="406">
        <f t="shared" si="238"/>
        <v>15</v>
      </c>
      <c r="AL20" s="406">
        <f t="shared" si="238"/>
        <v>11</v>
      </c>
      <c r="AM20" s="406">
        <f t="shared" si="238"/>
        <v>18</v>
      </c>
      <c r="AN20" s="406">
        <f t="shared" si="238"/>
        <v>14</v>
      </c>
      <c r="AO20" s="571">
        <f>SUM(AJ20:AN20)</f>
        <v>142</v>
      </c>
      <c r="AP20" s="406">
        <f t="shared" ref="AP20:AT20" si="239">SUM(AP2,AP5,AP8,AP14,AP17)</f>
        <v>21</v>
      </c>
      <c r="AQ20" s="406">
        <f t="shared" si="239"/>
        <v>18</v>
      </c>
      <c r="AR20" s="406">
        <f t="shared" si="239"/>
        <v>18</v>
      </c>
      <c r="AS20" s="406">
        <f t="shared" si="239"/>
        <v>15</v>
      </c>
      <c r="AT20" s="406">
        <f t="shared" si="239"/>
        <v>0</v>
      </c>
      <c r="AU20" s="571">
        <f>SUM(AP20:AT20)</f>
        <v>72</v>
      </c>
      <c r="AV20" s="406">
        <f t="shared" ref="AV20:AZ20" si="240">SUM(AV2,AV5,AV8,AV14,AV17)</f>
        <v>14</v>
      </c>
      <c r="AW20" s="406">
        <f t="shared" si="240"/>
        <v>210</v>
      </c>
      <c r="AX20" s="406">
        <f t="shared" si="240"/>
        <v>13</v>
      </c>
      <c r="AY20" s="406">
        <f t="shared" si="240"/>
        <v>12</v>
      </c>
      <c r="AZ20" s="406">
        <f t="shared" si="240"/>
        <v>16</v>
      </c>
      <c r="BA20" s="571">
        <f>SUM(AV20:AZ20)</f>
        <v>265</v>
      </c>
      <c r="BB20" s="406">
        <f t="shared" ref="BB20:BF20" si="241">SUM(BB2,BB5,BB8,BB14,BB17)</f>
        <v>14</v>
      </c>
      <c r="BC20" s="406">
        <f t="shared" si="241"/>
        <v>31</v>
      </c>
      <c r="BD20" s="406">
        <f t="shared" si="241"/>
        <v>0</v>
      </c>
      <c r="BE20" s="406">
        <f t="shared" si="241"/>
        <v>31</v>
      </c>
      <c r="BF20" s="406">
        <f t="shared" si="241"/>
        <v>15</v>
      </c>
      <c r="BG20" s="571">
        <f>SUM(BB20:BF20)</f>
        <v>91</v>
      </c>
      <c r="BH20" s="406">
        <f t="shared" ref="BH20:BL20" si="242">SUM(BH2,BH5,BH8,BH14,BH17)</f>
        <v>16</v>
      </c>
      <c r="BI20" s="406">
        <f t="shared" si="242"/>
        <v>10</v>
      </c>
      <c r="BJ20" s="406">
        <f t="shared" si="242"/>
        <v>0</v>
      </c>
      <c r="BK20" s="406">
        <f t="shared" si="242"/>
        <v>25</v>
      </c>
      <c r="BL20" s="406">
        <f t="shared" si="242"/>
        <v>13</v>
      </c>
      <c r="BM20" s="571">
        <f>SUM(BH20:BL20)</f>
        <v>64</v>
      </c>
      <c r="BN20" s="406">
        <f t="shared" ref="BN20:BR20" si="243">SUM(BN2,BN5,BN8,BN14,BN17)</f>
        <v>11</v>
      </c>
      <c r="BO20" s="406">
        <f t="shared" si="243"/>
        <v>9</v>
      </c>
      <c r="BP20" s="406">
        <f t="shared" si="243"/>
        <v>10</v>
      </c>
      <c r="BQ20" s="406">
        <f t="shared" si="243"/>
        <v>20</v>
      </c>
      <c r="BR20" s="406">
        <f t="shared" si="243"/>
        <v>20</v>
      </c>
      <c r="BS20" s="571">
        <f>SUM(BN20:BR20)</f>
        <v>70</v>
      </c>
      <c r="BT20" s="406">
        <f t="shared" ref="BT20:BX20" si="244">SUM(BT2,BT5,BT8,BT14,BT17)</f>
        <v>10</v>
      </c>
      <c r="BU20" s="406">
        <f t="shared" si="244"/>
        <v>7</v>
      </c>
      <c r="BV20" s="406">
        <f t="shared" si="244"/>
        <v>9</v>
      </c>
      <c r="BW20" s="406">
        <f t="shared" si="244"/>
        <v>14</v>
      </c>
      <c r="BX20" s="406">
        <f t="shared" si="244"/>
        <v>7</v>
      </c>
      <c r="BY20" s="571">
        <f>SUM(BT20:BX20)</f>
        <v>47</v>
      </c>
      <c r="BZ20" s="406">
        <f t="shared" ref="BZ20:CD20" si="245">SUM(BZ2,BZ5,BZ8,BZ14,BZ17)</f>
        <v>2</v>
      </c>
      <c r="CA20" s="406">
        <f t="shared" si="245"/>
        <v>1</v>
      </c>
      <c r="CB20" s="406">
        <f t="shared" si="245"/>
        <v>4</v>
      </c>
      <c r="CC20" s="406">
        <f t="shared" si="245"/>
        <v>16</v>
      </c>
      <c r="CD20" s="406">
        <f t="shared" si="245"/>
        <v>13</v>
      </c>
      <c r="CE20" s="571">
        <f>SUM(BZ20:CD20)</f>
        <v>36</v>
      </c>
      <c r="CF20" s="406">
        <f t="shared" ref="CF20:CJ20" si="246">SUM(CF2,CF5,CF8,CF14,CF17)</f>
        <v>8</v>
      </c>
      <c r="CG20" s="406">
        <f t="shared" si="246"/>
        <v>5</v>
      </c>
      <c r="CH20" s="406">
        <f t="shared" si="246"/>
        <v>10</v>
      </c>
      <c r="CI20" s="406">
        <f t="shared" si="246"/>
        <v>9</v>
      </c>
      <c r="CJ20" s="406">
        <f t="shared" si="246"/>
        <v>8</v>
      </c>
      <c r="CK20" s="571">
        <f>SUM(CF20:CJ20)</f>
        <v>40</v>
      </c>
      <c r="CL20" s="406">
        <f t="shared" ref="CL20:CP20" si="247">SUM(CL2,CL5,CL8,CL14,CL17)</f>
        <v>10</v>
      </c>
      <c r="CM20" s="406">
        <f t="shared" si="247"/>
        <v>12</v>
      </c>
      <c r="CN20" s="406">
        <f t="shared" si="247"/>
        <v>9</v>
      </c>
      <c r="CO20" s="406">
        <f t="shared" si="247"/>
        <v>11</v>
      </c>
      <c r="CP20" s="406">
        <f t="shared" si="247"/>
        <v>9</v>
      </c>
      <c r="CQ20" s="571">
        <f>SUM(CL20:CP20)</f>
        <v>51</v>
      </c>
      <c r="CR20" s="406">
        <f t="shared" ref="CR20:CV20" si="248">SUM(CR2,CR5,CR8,CR14,CR17)</f>
        <v>9</v>
      </c>
      <c r="CS20" s="406">
        <f t="shared" si="248"/>
        <v>9</v>
      </c>
      <c r="CT20" s="406">
        <f t="shared" si="248"/>
        <v>6</v>
      </c>
      <c r="CU20" s="406">
        <f t="shared" si="248"/>
        <v>10</v>
      </c>
      <c r="CV20" s="406">
        <f t="shared" si="248"/>
        <v>9</v>
      </c>
      <c r="CW20" s="571">
        <f>SUM(CR20:CV20)</f>
        <v>43</v>
      </c>
      <c r="CX20" s="406">
        <f t="shared" ref="CX20:DB20" si="249">SUM(CX2,CX5,CX8,CX14,CX17)</f>
        <v>7</v>
      </c>
      <c r="CY20" s="406">
        <f t="shared" si="249"/>
        <v>14</v>
      </c>
      <c r="CZ20" s="406">
        <f t="shared" si="249"/>
        <v>10</v>
      </c>
      <c r="DA20" s="406">
        <f t="shared" si="249"/>
        <v>10</v>
      </c>
      <c r="DB20" s="406">
        <f t="shared" si="249"/>
        <v>7</v>
      </c>
      <c r="DC20" s="571">
        <f>SUM(CX20:DB20)</f>
        <v>48</v>
      </c>
      <c r="DD20" s="406">
        <f t="shared" ref="DD20:DH20" si="250">SUM(DD2,DD5,DD8,DD14,DD17)</f>
        <v>8</v>
      </c>
      <c r="DE20" s="406">
        <f t="shared" si="250"/>
        <v>12</v>
      </c>
      <c r="DF20" s="406">
        <f t="shared" si="250"/>
        <v>8</v>
      </c>
      <c r="DG20" s="406">
        <f t="shared" si="250"/>
        <v>11</v>
      </c>
      <c r="DH20" s="406">
        <f t="shared" si="250"/>
        <v>10</v>
      </c>
      <c r="DI20" s="571">
        <f>SUM(DD20:DH20)</f>
        <v>49</v>
      </c>
      <c r="DJ20" s="406">
        <f t="shared" ref="DJ20:DN20" si="251">SUM(DJ2,DJ5,DJ8,DJ14,DJ17)</f>
        <v>9</v>
      </c>
      <c r="DK20" s="406">
        <f t="shared" si="251"/>
        <v>7</v>
      </c>
      <c r="DL20" s="406">
        <f t="shared" si="251"/>
        <v>7</v>
      </c>
      <c r="DM20" s="406">
        <f t="shared" si="251"/>
        <v>8</v>
      </c>
      <c r="DN20" s="406">
        <f t="shared" si="251"/>
        <v>6</v>
      </c>
      <c r="DO20" s="571">
        <f>SUM(DJ20:DN20)</f>
        <v>37</v>
      </c>
      <c r="DP20" s="406">
        <f t="shared" ref="DP20:DT20" si="252">SUM(DP2,DP5,DP8,DP14,DP17)</f>
        <v>5</v>
      </c>
      <c r="DQ20" s="406">
        <f t="shared" si="252"/>
        <v>11</v>
      </c>
      <c r="DR20" s="406">
        <f t="shared" si="252"/>
        <v>8</v>
      </c>
      <c r="DS20" s="406">
        <f t="shared" si="252"/>
        <v>6</v>
      </c>
      <c r="DT20" s="406">
        <f t="shared" si="252"/>
        <v>9</v>
      </c>
      <c r="DU20" s="571">
        <f>SUM(DP20:DT20)</f>
        <v>39</v>
      </c>
      <c r="DV20" s="406">
        <f t="shared" ref="DV20:DZ20" si="253">SUM(DV2,DV5,DV8,DV14,DV17)</f>
        <v>10</v>
      </c>
      <c r="DW20" s="406">
        <f t="shared" si="253"/>
        <v>14</v>
      </c>
      <c r="DX20" s="406">
        <f t="shared" si="253"/>
        <v>10</v>
      </c>
      <c r="DY20" s="406">
        <f t="shared" si="253"/>
        <v>15</v>
      </c>
      <c r="DZ20" s="406">
        <f t="shared" si="253"/>
        <v>11</v>
      </c>
      <c r="EA20" s="571">
        <f>SUM(DV20:DZ20)</f>
        <v>60</v>
      </c>
      <c r="EB20" s="406">
        <f t="shared" ref="EB20:EF20" si="254">SUM(EB2,EB5,EB8,EB14,EB17)</f>
        <v>10</v>
      </c>
      <c r="EC20" s="406">
        <f t="shared" si="254"/>
        <v>23</v>
      </c>
      <c r="ED20" s="406">
        <f t="shared" si="254"/>
        <v>16</v>
      </c>
      <c r="EE20" s="406">
        <f t="shared" si="254"/>
        <v>13</v>
      </c>
      <c r="EF20" s="406">
        <f t="shared" si="254"/>
        <v>9</v>
      </c>
      <c r="EG20" s="571">
        <f>SUM(EB20:EF20)</f>
        <v>71</v>
      </c>
      <c r="EH20" s="406">
        <f t="shared" ref="EH20:EL20" si="255">SUM(EH2,EH5,EH8,EH14,EH17)</f>
        <v>13</v>
      </c>
      <c r="EI20" s="406">
        <f t="shared" si="255"/>
        <v>12</v>
      </c>
      <c r="EJ20" s="406">
        <f t="shared" si="255"/>
        <v>10</v>
      </c>
      <c r="EK20" s="406">
        <f t="shared" si="255"/>
        <v>15</v>
      </c>
      <c r="EL20" s="406">
        <f t="shared" si="255"/>
        <v>13</v>
      </c>
      <c r="EM20" s="571">
        <f>SUM(EH20:EL20)</f>
        <v>63</v>
      </c>
      <c r="EN20" s="406">
        <f t="shared" ref="EN20:ER20" si="256">SUM(EN2,EN5,EN8,EN14,EN17)</f>
        <v>12</v>
      </c>
      <c r="EO20" s="406">
        <f t="shared" si="256"/>
        <v>9</v>
      </c>
      <c r="EP20" s="406">
        <f t="shared" si="256"/>
        <v>13</v>
      </c>
      <c r="EQ20" s="406">
        <f t="shared" si="256"/>
        <v>13</v>
      </c>
      <c r="ER20" s="406">
        <f t="shared" si="256"/>
        <v>17</v>
      </c>
      <c r="ES20" s="571">
        <f>SUM(EN20:ER20)</f>
        <v>64</v>
      </c>
      <c r="ET20" s="406">
        <f t="shared" ref="ET20:EX20" si="257">SUM(ET2,ET5,ET8,ET14,ET17)</f>
        <v>15</v>
      </c>
      <c r="EU20" s="406">
        <f t="shared" si="257"/>
        <v>15</v>
      </c>
      <c r="EV20" s="406">
        <f t="shared" si="257"/>
        <v>10</v>
      </c>
      <c r="EW20" s="406">
        <f t="shared" si="257"/>
        <v>8</v>
      </c>
      <c r="EX20" s="406">
        <f t="shared" si="257"/>
        <v>9</v>
      </c>
      <c r="EY20" s="571">
        <f>SUM(ET20:EX20)</f>
        <v>57</v>
      </c>
      <c r="EZ20" s="406">
        <f t="shared" ref="EZ20:FD20" si="258">SUM(EZ2,EZ5,EZ8,EZ14,EZ17)</f>
        <v>0</v>
      </c>
      <c r="FA20" s="406">
        <f t="shared" si="258"/>
        <v>0</v>
      </c>
      <c r="FB20" s="406">
        <f t="shared" si="258"/>
        <v>0</v>
      </c>
      <c r="FC20" s="406">
        <f t="shared" si="258"/>
        <v>0</v>
      </c>
      <c r="FD20" s="406">
        <f t="shared" si="258"/>
        <v>0</v>
      </c>
      <c r="FE20" s="1238">
        <f>SUM(EZ20:FD20)</f>
        <v>0</v>
      </c>
      <c r="FF20" s="574">
        <f t="shared" ref="FF20:FJ20" si="259">SUM(FF2,FF5,FF8,FF14,FF17)</f>
        <v>0</v>
      </c>
      <c r="FG20" s="574">
        <f t="shared" si="259"/>
        <v>0</v>
      </c>
      <c r="FH20" s="574">
        <f t="shared" si="259"/>
        <v>0</v>
      </c>
      <c r="FI20" s="574">
        <f t="shared" si="259"/>
        <v>0</v>
      </c>
      <c r="FJ20" s="574">
        <f t="shared" si="259"/>
        <v>0</v>
      </c>
      <c r="FK20" s="1238">
        <f>SUM(FF20:FJ20)</f>
        <v>0</v>
      </c>
      <c r="FL20" s="406">
        <f t="shared" ref="FL20:FP20" si="260">SUM(FL2,FL5,FL8,FL14,FL17)</f>
        <v>6</v>
      </c>
      <c r="FM20" s="406">
        <f t="shared" si="260"/>
        <v>4</v>
      </c>
      <c r="FN20" s="1298">
        <f t="shared" si="260"/>
        <v>0</v>
      </c>
      <c r="FO20" s="406">
        <f t="shared" si="260"/>
        <v>4</v>
      </c>
      <c r="FP20" s="406">
        <f t="shared" si="260"/>
        <v>7</v>
      </c>
      <c r="FQ20" s="571">
        <f>SUM(FL20:FP20)</f>
        <v>21</v>
      </c>
      <c r="FR20" s="406">
        <f t="shared" ref="FR20:FV20" si="261">SUM(FR2,FR5,FR8,FR14,FR17)</f>
        <v>5</v>
      </c>
      <c r="FS20" s="406">
        <f t="shared" si="261"/>
        <v>10</v>
      </c>
      <c r="FT20" s="1298">
        <f t="shared" si="261"/>
        <v>14</v>
      </c>
      <c r="FU20" s="406">
        <f t="shared" si="261"/>
        <v>7</v>
      </c>
      <c r="FV20" s="406">
        <f t="shared" si="261"/>
        <v>11</v>
      </c>
      <c r="FW20" s="571">
        <f>SUM(FR20:FV20)</f>
        <v>47</v>
      </c>
      <c r="FX20" s="406">
        <f t="shared" ref="FX20:GB20" si="262">SUM(FX2,FX5,FX8,FX14,FX17)</f>
        <v>11</v>
      </c>
      <c r="FY20" s="406">
        <f t="shared" si="262"/>
        <v>14</v>
      </c>
      <c r="FZ20" s="1298">
        <f t="shared" si="262"/>
        <v>12</v>
      </c>
      <c r="GA20" s="406">
        <f t="shared" si="262"/>
        <v>11</v>
      </c>
      <c r="GB20" s="406">
        <f t="shared" si="262"/>
        <v>6</v>
      </c>
      <c r="GC20" s="571">
        <f>SUM(FX20:GB20)</f>
        <v>54</v>
      </c>
      <c r="GD20" s="406">
        <f t="shared" ref="GD20:GH20" si="263">SUM(GD2,GD5,GD8,GD14,GD17)</f>
        <v>0</v>
      </c>
      <c r="GE20" s="406">
        <f t="shared" si="263"/>
        <v>0</v>
      </c>
      <c r="GF20" s="1298">
        <f t="shared" si="263"/>
        <v>0</v>
      </c>
      <c r="GG20" s="406">
        <f t="shared" si="263"/>
        <v>0</v>
      </c>
      <c r="GH20" s="406">
        <f t="shared" si="263"/>
        <v>0</v>
      </c>
      <c r="GI20" s="1238">
        <f>SUM(GD20:GH20)</f>
        <v>0</v>
      </c>
      <c r="GJ20" s="574">
        <f t="shared" ref="GJ20:GN20" si="264">SUM(GJ2,GJ5,GJ8,GJ14,GJ17)</f>
        <v>0</v>
      </c>
      <c r="GK20" s="574">
        <f t="shared" si="264"/>
        <v>0</v>
      </c>
      <c r="GL20" s="574">
        <f t="shared" si="264"/>
        <v>0</v>
      </c>
      <c r="GM20" s="574">
        <f t="shared" si="264"/>
        <v>0</v>
      </c>
      <c r="GN20" s="574">
        <f t="shared" si="264"/>
        <v>0</v>
      </c>
      <c r="GO20" s="1238">
        <f>SUM(GJ20:GN20)</f>
        <v>0</v>
      </c>
      <c r="GP20" s="406">
        <f t="shared" ref="GP20:GT20" si="265">SUM(GP2,GP5,GP8,GP14,GP17)</f>
        <v>0</v>
      </c>
      <c r="GQ20" s="406">
        <f t="shared" si="265"/>
        <v>6</v>
      </c>
      <c r="GR20" s="1298">
        <f t="shared" si="265"/>
        <v>3</v>
      </c>
      <c r="GS20" s="406">
        <f t="shared" si="265"/>
        <v>5</v>
      </c>
      <c r="GT20" s="406">
        <f t="shared" si="265"/>
        <v>6</v>
      </c>
      <c r="GU20" s="571">
        <f>SUM(GP20:GT20)</f>
        <v>20</v>
      </c>
      <c r="GV20" s="406">
        <f t="shared" ref="GV20:GZ20" si="266">SUM(GV2,GV5,GV8,GV14,GV17)</f>
        <v>0</v>
      </c>
      <c r="GW20" s="406">
        <f t="shared" si="266"/>
        <v>3</v>
      </c>
      <c r="GX20" s="1298">
        <f t="shared" si="266"/>
        <v>3</v>
      </c>
      <c r="GY20" s="406">
        <f t="shared" si="266"/>
        <v>4</v>
      </c>
      <c r="GZ20" s="406">
        <f t="shared" si="266"/>
        <v>1</v>
      </c>
      <c r="HA20" s="571">
        <f>SUM(GV20:GZ20)</f>
        <v>11</v>
      </c>
    </row>
    <row r="21" spans="1:209" x14ac:dyDescent="0.3">
      <c r="A21" s="1565"/>
      <c r="B21" s="428">
        <f>SUM(B3,B6,B9,B12,B15,B18)</f>
        <v>382</v>
      </c>
      <c r="C21" s="306">
        <f t="shared" si="232"/>
        <v>3</v>
      </c>
      <c r="D21" s="306">
        <f t="shared" si="232"/>
        <v>4</v>
      </c>
      <c r="E21" s="306">
        <f t="shared" si="232"/>
        <v>2</v>
      </c>
      <c r="F21" s="306">
        <f t="shared" si="232"/>
        <v>8</v>
      </c>
      <c r="G21" s="306">
        <f t="shared" si="232"/>
        <v>4</v>
      </c>
      <c r="H21" s="572">
        <f>SUM(C21:G21)</f>
        <v>21</v>
      </c>
      <c r="I21" s="306">
        <f t="shared" si="233"/>
        <v>3</v>
      </c>
      <c r="J21" s="306">
        <f t="shared" si="233"/>
        <v>2</v>
      </c>
      <c r="K21" s="306">
        <f t="shared" si="233"/>
        <v>2</v>
      </c>
      <c r="L21" s="306">
        <f t="shared" si="233"/>
        <v>1</v>
      </c>
      <c r="M21" s="306">
        <f t="shared" si="233"/>
        <v>0</v>
      </c>
      <c r="N21" s="572">
        <f>SUM(I21:M21)</f>
        <v>8</v>
      </c>
      <c r="O21" s="306">
        <f t="shared" si="234"/>
        <v>4</v>
      </c>
      <c r="P21" s="306">
        <f t="shared" si="234"/>
        <v>1</v>
      </c>
      <c r="Q21" s="306">
        <f t="shared" si="234"/>
        <v>2</v>
      </c>
      <c r="R21" s="572">
        <f>SUM(O21:Q21)</f>
        <v>7</v>
      </c>
      <c r="S21" s="306">
        <f t="shared" si="235"/>
        <v>4</v>
      </c>
      <c r="T21" s="306">
        <f t="shared" si="235"/>
        <v>7</v>
      </c>
      <c r="U21" s="306">
        <f t="shared" si="235"/>
        <v>0</v>
      </c>
      <c r="V21" s="306">
        <f t="shared" si="235"/>
        <v>2</v>
      </c>
      <c r="W21" s="572">
        <f>SUM(S21:V21)</f>
        <v>13</v>
      </c>
      <c r="X21" s="306">
        <f t="shared" ref="X21:AB21" si="267">SUM(X3,X6,X9,X15,X18)</f>
        <v>7</v>
      </c>
      <c r="Y21" s="306">
        <f t="shared" si="267"/>
        <v>3</v>
      </c>
      <c r="Z21" s="306">
        <f t="shared" si="267"/>
        <v>4</v>
      </c>
      <c r="AA21" s="306">
        <f t="shared" si="267"/>
        <v>1</v>
      </c>
      <c r="AB21" s="306">
        <f t="shared" si="267"/>
        <v>3</v>
      </c>
      <c r="AC21" s="572">
        <f>SUM(X21:AB21)</f>
        <v>18</v>
      </c>
      <c r="AD21" s="306">
        <f t="shared" ref="AD21:AH21" si="268">SUM(AD3,AD6,AD9,AD15,AD18)</f>
        <v>5</v>
      </c>
      <c r="AE21" s="306">
        <f t="shared" si="268"/>
        <v>7</v>
      </c>
      <c r="AF21" s="306">
        <f t="shared" si="268"/>
        <v>5</v>
      </c>
      <c r="AG21" s="306">
        <f t="shared" si="268"/>
        <v>2</v>
      </c>
      <c r="AH21" s="306">
        <f t="shared" si="268"/>
        <v>0</v>
      </c>
      <c r="AI21" s="572">
        <f>SUM(AD21:AH21)</f>
        <v>19</v>
      </c>
      <c r="AJ21" s="306">
        <f t="shared" ref="AJ21:AN21" si="269">SUM(AJ3,AJ6,AJ9,AJ15,AJ18)</f>
        <v>21</v>
      </c>
      <c r="AK21" s="306">
        <f t="shared" si="269"/>
        <v>1</v>
      </c>
      <c r="AL21" s="306">
        <f t="shared" si="269"/>
        <v>3</v>
      </c>
      <c r="AM21" s="306">
        <f t="shared" si="269"/>
        <v>3</v>
      </c>
      <c r="AN21" s="306">
        <f t="shared" si="269"/>
        <v>3</v>
      </c>
      <c r="AO21" s="572">
        <f>SUM(AJ21:AN21)</f>
        <v>31</v>
      </c>
      <c r="AP21" s="306">
        <f t="shared" ref="AP21:AT21" si="270">SUM(AP3,AP6,AP9,AP15,AP18)</f>
        <v>0</v>
      </c>
      <c r="AQ21" s="306">
        <f t="shared" si="270"/>
        <v>4</v>
      </c>
      <c r="AR21" s="306">
        <f t="shared" si="270"/>
        <v>7</v>
      </c>
      <c r="AS21" s="306">
        <f t="shared" si="270"/>
        <v>3</v>
      </c>
      <c r="AT21" s="306">
        <f t="shared" si="270"/>
        <v>0</v>
      </c>
      <c r="AU21" s="572">
        <f>SUM(AP21:AT21)</f>
        <v>14</v>
      </c>
      <c r="AV21" s="306">
        <f t="shared" ref="AV21:AZ21" si="271">SUM(AV3,AV6,AV9,AV15,AV18)</f>
        <v>1</v>
      </c>
      <c r="AW21" s="306">
        <f t="shared" si="271"/>
        <v>23</v>
      </c>
      <c r="AX21" s="306">
        <f t="shared" si="271"/>
        <v>0</v>
      </c>
      <c r="AY21" s="306">
        <f t="shared" si="271"/>
        <v>4</v>
      </c>
      <c r="AZ21" s="306">
        <f t="shared" si="271"/>
        <v>3</v>
      </c>
      <c r="BA21" s="572">
        <f>SUM(AV21:AZ21)</f>
        <v>31</v>
      </c>
      <c r="BB21" s="306">
        <f t="shared" ref="BB21:BF21" si="272">SUM(BB3,BB6,BB9,BB15,BB18)</f>
        <v>0</v>
      </c>
      <c r="BC21" s="306">
        <f t="shared" si="272"/>
        <v>4</v>
      </c>
      <c r="BD21" s="306">
        <f t="shared" si="272"/>
        <v>0</v>
      </c>
      <c r="BE21" s="306">
        <f t="shared" si="272"/>
        <v>6</v>
      </c>
      <c r="BF21" s="306">
        <f t="shared" si="272"/>
        <v>6</v>
      </c>
      <c r="BG21" s="572">
        <f>SUM(BB21:BF21)</f>
        <v>16</v>
      </c>
      <c r="BH21" s="306">
        <f t="shared" ref="BH21:BL21" si="273">SUM(BH3,BH6,BH9,BH15,BH18)</f>
        <v>5</v>
      </c>
      <c r="BI21" s="306">
        <f t="shared" si="273"/>
        <v>2</v>
      </c>
      <c r="BJ21" s="306">
        <f t="shared" si="273"/>
        <v>0</v>
      </c>
      <c r="BK21" s="306">
        <f t="shared" si="273"/>
        <v>4</v>
      </c>
      <c r="BL21" s="306">
        <f t="shared" si="273"/>
        <v>3</v>
      </c>
      <c r="BM21" s="572">
        <f>SUM(BH21:BL21)</f>
        <v>14</v>
      </c>
      <c r="BN21" s="306">
        <f t="shared" ref="BN21:BR21" si="274">SUM(BN3,BN6,BN9,BN15,BN18)</f>
        <v>2</v>
      </c>
      <c r="BO21" s="306">
        <f t="shared" si="274"/>
        <v>2</v>
      </c>
      <c r="BP21" s="306">
        <f t="shared" si="274"/>
        <v>0</v>
      </c>
      <c r="BQ21" s="306">
        <f t="shared" si="274"/>
        <v>2</v>
      </c>
      <c r="BR21" s="306">
        <f t="shared" si="274"/>
        <v>6</v>
      </c>
      <c r="BS21" s="572">
        <f>SUM(BN21:BR21)</f>
        <v>12</v>
      </c>
      <c r="BT21" s="306">
        <f t="shared" ref="BT21:BX21" si="275">SUM(BT3,BT6,BT9,BT15,BT18)</f>
        <v>0</v>
      </c>
      <c r="BU21" s="306">
        <f t="shared" si="275"/>
        <v>0</v>
      </c>
      <c r="BV21" s="306">
        <f t="shared" si="275"/>
        <v>0</v>
      </c>
      <c r="BW21" s="306">
        <f t="shared" si="275"/>
        <v>0</v>
      </c>
      <c r="BX21" s="306">
        <f t="shared" si="275"/>
        <v>0</v>
      </c>
      <c r="BY21" s="572">
        <f>SUM(BT21:BX21)</f>
        <v>0</v>
      </c>
      <c r="BZ21" s="306">
        <f t="shared" ref="BZ21:CD21" si="276">SUM(BZ3,BZ6,BZ9,BZ15,BZ18)</f>
        <v>0</v>
      </c>
      <c r="CA21" s="306">
        <f t="shared" si="276"/>
        <v>0</v>
      </c>
      <c r="CB21" s="306">
        <f t="shared" si="276"/>
        <v>0</v>
      </c>
      <c r="CC21" s="306">
        <f t="shared" si="276"/>
        <v>1</v>
      </c>
      <c r="CD21" s="306">
        <f t="shared" si="276"/>
        <v>4</v>
      </c>
      <c r="CE21" s="572">
        <f>SUM(BZ21:CD21)</f>
        <v>5</v>
      </c>
      <c r="CF21" s="306">
        <f t="shared" ref="CF21:CJ21" si="277">SUM(CF3,CF6,CF9,CF15,CF18)</f>
        <v>1</v>
      </c>
      <c r="CG21" s="306">
        <f t="shared" si="277"/>
        <v>1</v>
      </c>
      <c r="CH21" s="306">
        <f t="shared" si="277"/>
        <v>2</v>
      </c>
      <c r="CI21" s="306">
        <f t="shared" si="277"/>
        <v>0</v>
      </c>
      <c r="CJ21" s="306">
        <f t="shared" si="277"/>
        <v>0</v>
      </c>
      <c r="CK21" s="572">
        <f>SUM(CF21:CJ21)</f>
        <v>4</v>
      </c>
      <c r="CL21" s="306">
        <f t="shared" ref="CL21:CP21" si="278">SUM(CL3,CL6,CL9,CL15,CL18)</f>
        <v>1</v>
      </c>
      <c r="CM21" s="306">
        <f t="shared" si="278"/>
        <v>0</v>
      </c>
      <c r="CN21" s="306">
        <f t="shared" si="278"/>
        <v>2</v>
      </c>
      <c r="CO21" s="306">
        <f t="shared" si="278"/>
        <v>1</v>
      </c>
      <c r="CP21" s="306">
        <f t="shared" si="278"/>
        <v>0</v>
      </c>
      <c r="CQ21" s="572">
        <f>SUM(CL21:CP21)</f>
        <v>4</v>
      </c>
      <c r="CR21" s="306">
        <f t="shared" ref="CR21:CV21" si="279">SUM(CR3,CR6,CR9,CR15,CR18)</f>
        <v>1</v>
      </c>
      <c r="CS21" s="306">
        <f t="shared" si="279"/>
        <v>1</v>
      </c>
      <c r="CT21" s="306">
        <f t="shared" si="279"/>
        <v>0</v>
      </c>
      <c r="CU21" s="306">
        <f t="shared" si="279"/>
        <v>2</v>
      </c>
      <c r="CV21" s="306">
        <f t="shared" si="279"/>
        <v>1</v>
      </c>
      <c r="CW21" s="572">
        <f>SUM(CR21:CV21)</f>
        <v>5</v>
      </c>
      <c r="CX21" s="306">
        <f t="shared" ref="CX21:DB21" si="280">SUM(CX3,CX6,CX9,CX15,CX18)</f>
        <v>0</v>
      </c>
      <c r="CY21" s="306">
        <f t="shared" si="280"/>
        <v>4</v>
      </c>
      <c r="CZ21" s="306">
        <f t="shared" si="280"/>
        <v>3</v>
      </c>
      <c r="DA21" s="306">
        <f t="shared" si="280"/>
        <v>4</v>
      </c>
      <c r="DB21" s="306">
        <f t="shared" si="280"/>
        <v>0</v>
      </c>
      <c r="DC21" s="572">
        <f>SUM(CX21:DB21)</f>
        <v>11</v>
      </c>
      <c r="DD21" s="306">
        <f t="shared" ref="DD21:DH21" si="281">SUM(DD3,DD6,DD9,DD15,DD18)</f>
        <v>3</v>
      </c>
      <c r="DE21" s="306">
        <f t="shared" si="281"/>
        <v>5</v>
      </c>
      <c r="DF21" s="306">
        <f t="shared" si="281"/>
        <v>2</v>
      </c>
      <c r="DG21" s="306">
        <f t="shared" si="281"/>
        <v>6</v>
      </c>
      <c r="DH21" s="306">
        <f t="shared" si="281"/>
        <v>1</v>
      </c>
      <c r="DI21" s="572">
        <f>SUM(DD21:DH21)</f>
        <v>17</v>
      </c>
      <c r="DJ21" s="306">
        <f t="shared" ref="DJ21:DN21" si="282">SUM(DJ3,DJ6,DJ9,DJ15,DJ18)</f>
        <v>1</v>
      </c>
      <c r="DK21" s="306">
        <f t="shared" si="282"/>
        <v>2</v>
      </c>
      <c r="DL21" s="306">
        <f t="shared" si="282"/>
        <v>2</v>
      </c>
      <c r="DM21" s="306">
        <f t="shared" si="282"/>
        <v>2</v>
      </c>
      <c r="DN21" s="306">
        <f t="shared" si="282"/>
        <v>2</v>
      </c>
      <c r="DO21" s="572">
        <f>SUM(DJ21:DN21)</f>
        <v>9</v>
      </c>
      <c r="DP21" s="306">
        <f t="shared" ref="DP21:DT21" si="283">SUM(DP3,DP6,DP9,DP15,DP18)</f>
        <v>0</v>
      </c>
      <c r="DQ21" s="306">
        <f t="shared" si="283"/>
        <v>2</v>
      </c>
      <c r="DR21" s="306">
        <f t="shared" si="283"/>
        <v>0</v>
      </c>
      <c r="DS21" s="306">
        <f t="shared" si="283"/>
        <v>1</v>
      </c>
      <c r="DT21" s="306">
        <f t="shared" si="283"/>
        <v>4</v>
      </c>
      <c r="DU21" s="572">
        <f>SUM(DP21:DT21)</f>
        <v>7</v>
      </c>
      <c r="DV21" s="306">
        <f t="shared" ref="DV21:DZ21" si="284">SUM(DV3,DV6,DV9,DV15,DV18)</f>
        <v>2</v>
      </c>
      <c r="DW21" s="306">
        <f t="shared" si="284"/>
        <v>2</v>
      </c>
      <c r="DX21" s="306">
        <f t="shared" si="284"/>
        <v>5</v>
      </c>
      <c r="DY21" s="306">
        <f t="shared" si="284"/>
        <v>1</v>
      </c>
      <c r="DZ21" s="306">
        <f t="shared" si="284"/>
        <v>3</v>
      </c>
      <c r="EA21" s="572">
        <f>SUM(DV21:DZ21)</f>
        <v>13</v>
      </c>
      <c r="EB21" s="306">
        <f t="shared" ref="EB21:EF21" si="285">SUM(EB3,EB6,EB9,EB15,EB18)</f>
        <v>1</v>
      </c>
      <c r="EC21" s="306">
        <f t="shared" si="285"/>
        <v>5</v>
      </c>
      <c r="ED21" s="306">
        <f t="shared" si="285"/>
        <v>4</v>
      </c>
      <c r="EE21" s="306">
        <f t="shared" si="285"/>
        <v>6</v>
      </c>
      <c r="EF21" s="306">
        <f t="shared" si="285"/>
        <v>2</v>
      </c>
      <c r="EG21" s="572">
        <f>SUM(EB21:EF21)</f>
        <v>18</v>
      </c>
      <c r="EH21" s="306">
        <f t="shared" ref="EH21:EL21" si="286">SUM(EH3,EH6,EH9,EH15,EH18)</f>
        <v>1</v>
      </c>
      <c r="EI21" s="306">
        <f t="shared" si="286"/>
        <v>2</v>
      </c>
      <c r="EJ21" s="306">
        <f t="shared" si="286"/>
        <v>0</v>
      </c>
      <c r="EK21" s="306">
        <f t="shared" si="286"/>
        <v>2</v>
      </c>
      <c r="EL21" s="306">
        <f t="shared" si="286"/>
        <v>1</v>
      </c>
      <c r="EM21" s="572">
        <f>SUM(EH21:EL21)</f>
        <v>6</v>
      </c>
      <c r="EN21" s="306">
        <f t="shared" ref="EN21:ER21" si="287">SUM(EN3,EN6,EN9,EN15,EN18)</f>
        <v>0</v>
      </c>
      <c r="EO21" s="306">
        <f t="shared" si="287"/>
        <v>2</v>
      </c>
      <c r="EP21" s="306">
        <f t="shared" si="287"/>
        <v>6</v>
      </c>
      <c r="EQ21" s="306">
        <f t="shared" si="287"/>
        <v>2</v>
      </c>
      <c r="ER21" s="306">
        <f t="shared" si="287"/>
        <v>4</v>
      </c>
      <c r="ES21" s="572">
        <f>SUM(EN21:ER21)</f>
        <v>14</v>
      </c>
      <c r="ET21" s="306">
        <f t="shared" ref="ET21:EX21" si="288">SUM(ET3,ET6,ET9,ET15,ET18)</f>
        <v>3</v>
      </c>
      <c r="EU21" s="306">
        <f t="shared" si="288"/>
        <v>4</v>
      </c>
      <c r="EV21" s="306">
        <f t="shared" si="288"/>
        <v>1</v>
      </c>
      <c r="EW21" s="306">
        <f t="shared" si="288"/>
        <v>0</v>
      </c>
      <c r="EX21" s="306">
        <f t="shared" si="288"/>
        <v>0</v>
      </c>
      <c r="EY21" s="572">
        <f>SUM(ET21:EX21)</f>
        <v>8</v>
      </c>
      <c r="EZ21" s="306">
        <f t="shared" ref="EZ21:FD21" si="289">SUM(EZ3,EZ6,EZ9,EZ15,EZ18)</f>
        <v>0</v>
      </c>
      <c r="FA21" s="306">
        <f t="shared" si="289"/>
        <v>0</v>
      </c>
      <c r="FB21" s="306">
        <f t="shared" si="289"/>
        <v>0</v>
      </c>
      <c r="FC21" s="306">
        <f t="shared" si="289"/>
        <v>0</v>
      </c>
      <c r="FD21" s="306">
        <f t="shared" si="289"/>
        <v>0</v>
      </c>
      <c r="FE21" s="576">
        <f>SUM(EZ21:FD21)</f>
        <v>0</v>
      </c>
      <c r="FF21" s="577">
        <f t="shared" ref="FF21:FJ21" si="290">SUM(FF3,FF6,FF9,FF15,FF18)</f>
        <v>0</v>
      </c>
      <c r="FG21" s="577">
        <f t="shared" si="290"/>
        <v>0</v>
      </c>
      <c r="FH21" s="577">
        <f t="shared" si="290"/>
        <v>0</v>
      </c>
      <c r="FI21" s="577">
        <f t="shared" si="290"/>
        <v>0</v>
      </c>
      <c r="FJ21" s="577">
        <f t="shared" si="290"/>
        <v>0</v>
      </c>
      <c r="FK21" s="576">
        <f>SUM(FF21:FJ21)</f>
        <v>0</v>
      </c>
      <c r="FL21" s="306">
        <f t="shared" ref="FL21:FP21" si="291">SUM(FL3,FL6,FL9,FL15,FL18)</f>
        <v>0</v>
      </c>
      <c r="FM21" s="306">
        <f t="shared" si="291"/>
        <v>1</v>
      </c>
      <c r="FN21" s="1300">
        <f t="shared" si="291"/>
        <v>0</v>
      </c>
      <c r="FO21" s="306">
        <f t="shared" si="291"/>
        <v>1</v>
      </c>
      <c r="FP21" s="306">
        <f t="shared" si="291"/>
        <v>1</v>
      </c>
      <c r="FQ21" s="572">
        <f>SUM(FL21:FP21)</f>
        <v>3</v>
      </c>
      <c r="FR21" s="306">
        <f t="shared" ref="FR21:FV21" si="292">SUM(FR3,FR6,FR9,FR15,FR18)</f>
        <v>0</v>
      </c>
      <c r="FS21" s="306">
        <f t="shared" si="292"/>
        <v>2</v>
      </c>
      <c r="FT21" s="1300">
        <f t="shared" si="292"/>
        <v>5</v>
      </c>
      <c r="FU21" s="306">
        <f t="shared" si="292"/>
        <v>0</v>
      </c>
      <c r="FV21" s="306">
        <f t="shared" si="292"/>
        <v>3</v>
      </c>
      <c r="FW21" s="572">
        <f>SUM(FR21:FV21)</f>
        <v>10</v>
      </c>
      <c r="FX21" s="306">
        <f t="shared" ref="FX21:GB21" si="293">SUM(FX3,FX6,FX9,FX15,FX18)</f>
        <v>2</v>
      </c>
      <c r="FY21" s="306">
        <f t="shared" si="293"/>
        <v>3</v>
      </c>
      <c r="FZ21" s="1300">
        <f t="shared" si="293"/>
        <v>4</v>
      </c>
      <c r="GA21" s="306">
        <f t="shared" si="293"/>
        <v>2</v>
      </c>
      <c r="GB21" s="306">
        <f t="shared" si="293"/>
        <v>1</v>
      </c>
      <c r="GC21" s="572">
        <f>SUM(FX21:GB21)</f>
        <v>12</v>
      </c>
      <c r="GD21" s="306">
        <f t="shared" ref="GD21:GH21" si="294">SUM(GD3,GD6,GD9,GD15,GD18)</f>
        <v>0</v>
      </c>
      <c r="GE21" s="306">
        <f t="shared" si="294"/>
        <v>0</v>
      </c>
      <c r="GF21" s="1300">
        <f t="shared" si="294"/>
        <v>0</v>
      </c>
      <c r="GG21" s="306">
        <f t="shared" si="294"/>
        <v>0</v>
      </c>
      <c r="GH21" s="306">
        <f t="shared" si="294"/>
        <v>0</v>
      </c>
      <c r="GI21" s="576">
        <f>SUM(GD21:GH21)</f>
        <v>0</v>
      </c>
      <c r="GJ21" s="577">
        <f t="shared" ref="GJ21:GN21" si="295">SUM(GJ3,GJ6,GJ9,GJ15,GJ18)</f>
        <v>0</v>
      </c>
      <c r="GK21" s="577">
        <f t="shared" si="295"/>
        <v>0</v>
      </c>
      <c r="GL21" s="577">
        <f t="shared" si="295"/>
        <v>0</v>
      </c>
      <c r="GM21" s="577">
        <f t="shared" si="295"/>
        <v>0</v>
      </c>
      <c r="GN21" s="577">
        <f t="shared" si="295"/>
        <v>0</v>
      </c>
      <c r="GO21" s="576">
        <f>SUM(GJ21:GN21)</f>
        <v>0</v>
      </c>
      <c r="GP21" s="306">
        <f t="shared" ref="GP21:GT21" si="296">SUM(GP3,GP6,GP9,GP15,GP18)</f>
        <v>0</v>
      </c>
      <c r="GQ21" s="306">
        <f t="shared" si="296"/>
        <v>0</v>
      </c>
      <c r="GR21" s="1300">
        <f t="shared" si="296"/>
        <v>1</v>
      </c>
      <c r="GS21" s="306">
        <f t="shared" si="296"/>
        <v>1</v>
      </c>
      <c r="GT21" s="306">
        <f t="shared" si="296"/>
        <v>3</v>
      </c>
      <c r="GU21" s="572">
        <f>SUM(GP21:GT21)</f>
        <v>5</v>
      </c>
      <c r="GV21" s="306">
        <f t="shared" ref="GV21:GZ21" si="297">SUM(GV3,GV6,GV9,GV15,GV18)</f>
        <v>0</v>
      </c>
      <c r="GW21" s="306">
        <f t="shared" si="297"/>
        <v>0</v>
      </c>
      <c r="GX21" s="1300">
        <f t="shared" si="297"/>
        <v>0</v>
      </c>
      <c r="GY21" s="306">
        <f t="shared" si="297"/>
        <v>0</v>
      </c>
      <c r="GZ21" s="306">
        <f t="shared" si="297"/>
        <v>0</v>
      </c>
      <c r="HA21" s="572">
        <f>SUM(GV21:GZ21)</f>
        <v>0</v>
      </c>
    </row>
    <row r="22" spans="1:209" ht="21.6" thickBot="1" x14ac:dyDescent="0.35">
      <c r="A22" s="1566"/>
      <c r="B22" s="434">
        <f>B21/B20</f>
        <v>0.17176258992805754</v>
      </c>
      <c r="C22" s="397">
        <f>IFERROR(C21/C20,0)</f>
        <v>0.15789473684210525</v>
      </c>
      <c r="D22" s="397">
        <f t="shared" ref="D22:R22" si="298">IFERROR(D21/D20,0)</f>
        <v>0.33333333333333331</v>
      </c>
      <c r="E22" s="397">
        <f t="shared" si="298"/>
        <v>0.11764705882352941</v>
      </c>
      <c r="F22" s="397">
        <f t="shared" si="298"/>
        <v>0.5</v>
      </c>
      <c r="G22" s="441">
        <f t="shared" si="298"/>
        <v>0.2857142857142857</v>
      </c>
      <c r="H22" s="573">
        <f>IFERROR(H21/H20,0)</f>
        <v>0.26923076923076922</v>
      </c>
      <c r="I22" s="444">
        <f t="shared" si="298"/>
        <v>0.13636363636363635</v>
      </c>
      <c r="J22" s="397">
        <f t="shared" si="298"/>
        <v>0.11764705882352941</v>
      </c>
      <c r="K22" s="397">
        <f t="shared" si="298"/>
        <v>0.11764705882352941</v>
      </c>
      <c r="L22" s="397">
        <f t="shared" si="298"/>
        <v>0.2</v>
      </c>
      <c r="M22" s="441">
        <f t="shared" si="298"/>
        <v>0</v>
      </c>
      <c r="N22" s="573">
        <f t="shared" ref="N22" si="299">IFERROR(N21/N20,0)</f>
        <v>0.13114754098360656</v>
      </c>
      <c r="O22" s="444">
        <f t="shared" si="298"/>
        <v>0.66666666666666663</v>
      </c>
      <c r="P22" s="397">
        <f t="shared" si="298"/>
        <v>0.25</v>
      </c>
      <c r="Q22" s="397">
        <f t="shared" si="298"/>
        <v>0.33333333333333331</v>
      </c>
      <c r="R22" s="573">
        <f t="shared" si="298"/>
        <v>0.4375</v>
      </c>
      <c r="S22" s="397">
        <f t="shared" ref="S22:T22" si="300">IFERROR(S21/S20,0)</f>
        <v>0.19047619047619047</v>
      </c>
      <c r="T22" s="397">
        <f t="shared" si="300"/>
        <v>0.26923076923076922</v>
      </c>
      <c r="U22" s="397">
        <f t="shared" ref="U22" si="301">IFERROR(U21/U20,0)</f>
        <v>0</v>
      </c>
      <c r="V22" s="441">
        <f t="shared" ref="V22" si="302">IFERROR(V21/V20,0)</f>
        <v>0.125</v>
      </c>
      <c r="W22" s="573">
        <f>IFERROR(W21/W20,0)</f>
        <v>0.16049382716049382</v>
      </c>
      <c r="X22" s="397">
        <f t="shared" ref="X22:AB22" si="303">IFERROR(X21/X20,0)</f>
        <v>0.28000000000000003</v>
      </c>
      <c r="Y22" s="397">
        <f t="shared" si="303"/>
        <v>0.11538461538461539</v>
      </c>
      <c r="Z22" s="397">
        <f t="shared" si="303"/>
        <v>0.17391304347826086</v>
      </c>
      <c r="AA22" s="397">
        <f t="shared" si="303"/>
        <v>4.5454545454545456E-2</v>
      </c>
      <c r="AB22" s="397">
        <f t="shared" si="303"/>
        <v>0.15</v>
      </c>
      <c r="AC22" s="573">
        <f>IFERROR(AC21/AC20,0)</f>
        <v>0.15517241379310345</v>
      </c>
      <c r="AD22" s="397">
        <f t="shared" ref="AD22:AH22" si="304">IFERROR(AD21/AD20,0)</f>
        <v>0.26315789473684209</v>
      </c>
      <c r="AE22" s="397">
        <f t="shared" si="304"/>
        <v>0.46666666666666667</v>
      </c>
      <c r="AF22" s="397">
        <f t="shared" si="304"/>
        <v>0.11363636363636363</v>
      </c>
      <c r="AG22" s="397">
        <f t="shared" si="304"/>
        <v>0.5</v>
      </c>
      <c r="AH22" s="397">
        <f t="shared" si="304"/>
        <v>0</v>
      </c>
      <c r="AI22" s="573">
        <f>IFERROR(AI21/AI20,0)</f>
        <v>0.2289156626506024</v>
      </c>
      <c r="AJ22" s="397">
        <f t="shared" ref="AJ22:AN22" si="305">IFERROR(AJ21/AJ20,0)</f>
        <v>0.25</v>
      </c>
      <c r="AK22" s="397">
        <f t="shared" si="305"/>
        <v>6.6666666666666666E-2</v>
      </c>
      <c r="AL22" s="397">
        <f t="shared" si="305"/>
        <v>0.27272727272727271</v>
      </c>
      <c r="AM22" s="397">
        <f t="shared" si="305"/>
        <v>0.16666666666666666</v>
      </c>
      <c r="AN22" s="397">
        <f t="shared" si="305"/>
        <v>0.21428571428571427</v>
      </c>
      <c r="AO22" s="573">
        <f>IFERROR(AO21/AO20,0)</f>
        <v>0.21830985915492956</v>
      </c>
      <c r="AP22" s="397">
        <f t="shared" ref="AP22:AT22" si="306">IFERROR(AP21/AP20,0)</f>
        <v>0</v>
      </c>
      <c r="AQ22" s="397">
        <f t="shared" si="306"/>
        <v>0.22222222222222221</v>
      </c>
      <c r="AR22" s="397">
        <f t="shared" si="306"/>
        <v>0.3888888888888889</v>
      </c>
      <c r="AS22" s="397">
        <f t="shared" si="306"/>
        <v>0.2</v>
      </c>
      <c r="AT22" s="397">
        <f t="shared" si="306"/>
        <v>0</v>
      </c>
      <c r="AU22" s="573">
        <f>IFERROR(AU21/AU20,0)</f>
        <v>0.19444444444444445</v>
      </c>
      <c r="AV22" s="397">
        <f t="shared" ref="AV22:AZ22" si="307">IFERROR(AV21/AV20,0)</f>
        <v>7.1428571428571425E-2</v>
      </c>
      <c r="AW22" s="397">
        <f t="shared" si="307"/>
        <v>0.10952380952380952</v>
      </c>
      <c r="AX22" s="397">
        <f t="shared" si="307"/>
        <v>0</v>
      </c>
      <c r="AY22" s="397">
        <f t="shared" si="307"/>
        <v>0.33333333333333331</v>
      </c>
      <c r="AZ22" s="397">
        <f t="shared" si="307"/>
        <v>0.1875</v>
      </c>
      <c r="BA22" s="573">
        <f>IFERROR(BA21/BA20,0)</f>
        <v>0.1169811320754717</v>
      </c>
      <c r="BB22" s="397">
        <f t="shared" ref="BB22:BF22" si="308">IFERROR(BB21/BB20,0)</f>
        <v>0</v>
      </c>
      <c r="BC22" s="397">
        <f t="shared" si="308"/>
        <v>0.12903225806451613</v>
      </c>
      <c r="BD22" s="397">
        <f t="shared" si="308"/>
        <v>0</v>
      </c>
      <c r="BE22" s="397">
        <f t="shared" si="308"/>
        <v>0.19354838709677419</v>
      </c>
      <c r="BF22" s="397">
        <f t="shared" si="308"/>
        <v>0.4</v>
      </c>
      <c r="BG22" s="573">
        <f>IFERROR(BG21/BG20,0)</f>
        <v>0.17582417582417584</v>
      </c>
      <c r="BH22" s="397">
        <f t="shared" ref="BH22:BL22" si="309">IFERROR(BH21/BH20,0)</f>
        <v>0.3125</v>
      </c>
      <c r="BI22" s="397">
        <f t="shared" si="309"/>
        <v>0.2</v>
      </c>
      <c r="BJ22" s="397">
        <f t="shared" si="309"/>
        <v>0</v>
      </c>
      <c r="BK22" s="397">
        <f t="shared" si="309"/>
        <v>0.16</v>
      </c>
      <c r="BL22" s="397">
        <f t="shared" si="309"/>
        <v>0.23076923076923078</v>
      </c>
      <c r="BM22" s="573">
        <f>IFERROR(BM21/BM20,0)</f>
        <v>0.21875</v>
      </c>
      <c r="BN22" s="397">
        <f t="shared" ref="BN22:BR22" si="310">IFERROR(BN21/BN20,0)</f>
        <v>0.18181818181818182</v>
      </c>
      <c r="BO22" s="397">
        <f t="shared" si="310"/>
        <v>0.22222222222222221</v>
      </c>
      <c r="BP22" s="397">
        <f t="shared" si="310"/>
        <v>0</v>
      </c>
      <c r="BQ22" s="397">
        <f t="shared" si="310"/>
        <v>0.1</v>
      </c>
      <c r="BR22" s="397">
        <f t="shared" si="310"/>
        <v>0.3</v>
      </c>
      <c r="BS22" s="573">
        <f>IFERROR(BS21/BS20,0)</f>
        <v>0.17142857142857143</v>
      </c>
      <c r="BT22" s="397">
        <f t="shared" ref="BT22:BX22" si="311">IFERROR(BT21/BT20,0)</f>
        <v>0</v>
      </c>
      <c r="BU22" s="397">
        <f t="shared" si="311"/>
        <v>0</v>
      </c>
      <c r="BV22" s="397">
        <f t="shared" si="311"/>
        <v>0</v>
      </c>
      <c r="BW22" s="397">
        <f t="shared" si="311"/>
        <v>0</v>
      </c>
      <c r="BX22" s="397">
        <f t="shared" si="311"/>
        <v>0</v>
      </c>
      <c r="BY22" s="573">
        <f>IFERROR(BY21/BY20,0)</f>
        <v>0</v>
      </c>
      <c r="BZ22" s="397">
        <f t="shared" ref="BZ22:CD22" si="312">IFERROR(BZ21/BZ20,0)</f>
        <v>0</v>
      </c>
      <c r="CA22" s="397">
        <f t="shared" si="312"/>
        <v>0</v>
      </c>
      <c r="CB22" s="397">
        <f t="shared" si="312"/>
        <v>0</v>
      </c>
      <c r="CC22" s="397">
        <f t="shared" si="312"/>
        <v>6.25E-2</v>
      </c>
      <c r="CD22" s="397">
        <f t="shared" si="312"/>
        <v>0.30769230769230771</v>
      </c>
      <c r="CE22" s="573">
        <f>IFERROR(CE21/CE20,0)</f>
        <v>0.1388888888888889</v>
      </c>
      <c r="CF22" s="397">
        <f t="shared" ref="CF22:CJ22" si="313">IFERROR(CF21/CF20,0)</f>
        <v>0.125</v>
      </c>
      <c r="CG22" s="397">
        <f t="shared" si="313"/>
        <v>0.2</v>
      </c>
      <c r="CH22" s="397">
        <f t="shared" si="313"/>
        <v>0.2</v>
      </c>
      <c r="CI22" s="397">
        <f t="shared" si="313"/>
        <v>0</v>
      </c>
      <c r="CJ22" s="397">
        <f t="shared" si="313"/>
        <v>0</v>
      </c>
      <c r="CK22" s="573">
        <f>IFERROR(CK21/CK20,0)</f>
        <v>0.1</v>
      </c>
      <c r="CL22" s="397">
        <f t="shared" ref="CL22:CP22" si="314">IFERROR(CL21/CL20,0)</f>
        <v>0.1</v>
      </c>
      <c r="CM22" s="397">
        <f t="shared" si="314"/>
        <v>0</v>
      </c>
      <c r="CN22" s="397">
        <f t="shared" si="314"/>
        <v>0.22222222222222221</v>
      </c>
      <c r="CO22" s="397">
        <f t="shared" si="314"/>
        <v>9.0909090909090912E-2</v>
      </c>
      <c r="CP22" s="397">
        <f t="shared" si="314"/>
        <v>0</v>
      </c>
      <c r="CQ22" s="573">
        <f>IFERROR(CQ21/CQ20,0)</f>
        <v>7.8431372549019607E-2</v>
      </c>
      <c r="CR22" s="397">
        <f t="shared" ref="CR22:CV22" si="315">IFERROR(CR21/CR20,0)</f>
        <v>0.1111111111111111</v>
      </c>
      <c r="CS22" s="397">
        <f t="shared" si="315"/>
        <v>0.1111111111111111</v>
      </c>
      <c r="CT22" s="397">
        <f t="shared" si="315"/>
        <v>0</v>
      </c>
      <c r="CU22" s="397">
        <f t="shared" si="315"/>
        <v>0.2</v>
      </c>
      <c r="CV22" s="397">
        <f t="shared" si="315"/>
        <v>0.1111111111111111</v>
      </c>
      <c r="CW22" s="573">
        <f>IFERROR(CW21/CW20,0)</f>
        <v>0.11627906976744186</v>
      </c>
      <c r="CX22" s="397">
        <f t="shared" ref="CX22:DB22" si="316">IFERROR(CX21/CX20,0)</f>
        <v>0</v>
      </c>
      <c r="CY22" s="397">
        <f t="shared" si="316"/>
        <v>0.2857142857142857</v>
      </c>
      <c r="CZ22" s="397">
        <f t="shared" si="316"/>
        <v>0.3</v>
      </c>
      <c r="DA22" s="397">
        <f t="shared" si="316"/>
        <v>0.4</v>
      </c>
      <c r="DB22" s="397">
        <f t="shared" si="316"/>
        <v>0</v>
      </c>
      <c r="DC22" s="573">
        <f>IFERROR(DC21/DC20,0)</f>
        <v>0.22916666666666666</v>
      </c>
      <c r="DD22" s="397">
        <f t="shared" ref="DD22:DH22" si="317">IFERROR(DD21/DD20,0)</f>
        <v>0.375</v>
      </c>
      <c r="DE22" s="397">
        <f t="shared" si="317"/>
        <v>0.41666666666666669</v>
      </c>
      <c r="DF22" s="397">
        <f t="shared" si="317"/>
        <v>0.25</v>
      </c>
      <c r="DG22" s="397">
        <f t="shared" si="317"/>
        <v>0.54545454545454541</v>
      </c>
      <c r="DH22" s="397">
        <f t="shared" si="317"/>
        <v>0.1</v>
      </c>
      <c r="DI22" s="573">
        <f>IFERROR(DI21/DI20,0)</f>
        <v>0.34693877551020408</v>
      </c>
      <c r="DJ22" s="397">
        <f t="shared" ref="DJ22:DN22" si="318">IFERROR(DJ21/DJ20,0)</f>
        <v>0.1111111111111111</v>
      </c>
      <c r="DK22" s="397">
        <f t="shared" si="318"/>
        <v>0.2857142857142857</v>
      </c>
      <c r="DL22" s="397">
        <f t="shared" si="318"/>
        <v>0.2857142857142857</v>
      </c>
      <c r="DM22" s="397">
        <f t="shared" si="318"/>
        <v>0.25</v>
      </c>
      <c r="DN22" s="397">
        <f t="shared" si="318"/>
        <v>0.33333333333333331</v>
      </c>
      <c r="DO22" s="573">
        <f>IFERROR(DO21/DO20,0)</f>
        <v>0.24324324324324326</v>
      </c>
      <c r="DP22" s="397">
        <f t="shared" ref="DP22:DT22" si="319">IFERROR(DP21/DP20,0)</f>
        <v>0</v>
      </c>
      <c r="DQ22" s="397">
        <f t="shared" si="319"/>
        <v>0.18181818181818182</v>
      </c>
      <c r="DR22" s="397">
        <f t="shared" si="319"/>
        <v>0</v>
      </c>
      <c r="DS22" s="397">
        <f t="shared" si="319"/>
        <v>0.16666666666666666</v>
      </c>
      <c r="DT22" s="397">
        <f t="shared" si="319"/>
        <v>0.44444444444444442</v>
      </c>
      <c r="DU22" s="573">
        <f>IFERROR(DU21/DU20,0)</f>
        <v>0.17948717948717949</v>
      </c>
      <c r="DV22" s="397">
        <f t="shared" ref="DV22:DZ22" si="320">IFERROR(DV21/DV20,0)</f>
        <v>0.2</v>
      </c>
      <c r="DW22" s="397">
        <f t="shared" si="320"/>
        <v>0.14285714285714285</v>
      </c>
      <c r="DX22" s="397">
        <f t="shared" si="320"/>
        <v>0.5</v>
      </c>
      <c r="DY22" s="397">
        <f t="shared" si="320"/>
        <v>6.6666666666666666E-2</v>
      </c>
      <c r="DZ22" s="397">
        <f t="shared" si="320"/>
        <v>0.27272727272727271</v>
      </c>
      <c r="EA22" s="573">
        <f>IFERROR(EA21/EA20,0)</f>
        <v>0.21666666666666667</v>
      </c>
      <c r="EB22" s="397">
        <f t="shared" ref="EB22:EF22" si="321">IFERROR(EB21/EB20,0)</f>
        <v>0.1</v>
      </c>
      <c r="EC22" s="397">
        <f t="shared" si="321"/>
        <v>0.21739130434782608</v>
      </c>
      <c r="ED22" s="397">
        <f t="shared" si="321"/>
        <v>0.25</v>
      </c>
      <c r="EE22" s="397">
        <f t="shared" si="321"/>
        <v>0.46153846153846156</v>
      </c>
      <c r="EF22" s="397">
        <f t="shared" si="321"/>
        <v>0.22222222222222221</v>
      </c>
      <c r="EG22" s="573">
        <f>IFERROR(EG21/EG20,0)</f>
        <v>0.25352112676056338</v>
      </c>
      <c r="EH22" s="397">
        <f t="shared" ref="EH22:EL22" si="322">IFERROR(EH21/EH20,0)</f>
        <v>7.6923076923076927E-2</v>
      </c>
      <c r="EI22" s="397">
        <f t="shared" si="322"/>
        <v>0.16666666666666666</v>
      </c>
      <c r="EJ22" s="397">
        <f t="shared" si="322"/>
        <v>0</v>
      </c>
      <c r="EK22" s="397">
        <f t="shared" si="322"/>
        <v>0.13333333333333333</v>
      </c>
      <c r="EL22" s="397">
        <f t="shared" si="322"/>
        <v>7.6923076923076927E-2</v>
      </c>
      <c r="EM22" s="573">
        <f>IFERROR(EM21/EM20,0)</f>
        <v>9.5238095238095233E-2</v>
      </c>
      <c r="EN22" s="397">
        <f t="shared" ref="EN22:ER22" si="323">IFERROR(EN21/EN20,0)</f>
        <v>0</v>
      </c>
      <c r="EO22" s="397">
        <f t="shared" si="323"/>
        <v>0.22222222222222221</v>
      </c>
      <c r="EP22" s="397">
        <f t="shared" si="323"/>
        <v>0.46153846153846156</v>
      </c>
      <c r="EQ22" s="397">
        <f t="shared" si="323"/>
        <v>0.15384615384615385</v>
      </c>
      <c r="ER22" s="397">
        <f t="shared" si="323"/>
        <v>0.23529411764705882</v>
      </c>
      <c r="ES22" s="573">
        <f>IFERROR(ES21/ES20,0)</f>
        <v>0.21875</v>
      </c>
      <c r="ET22" s="397">
        <f t="shared" ref="ET22:EX22" si="324">IFERROR(ET21/ET20,0)</f>
        <v>0.2</v>
      </c>
      <c r="EU22" s="397">
        <f t="shared" si="324"/>
        <v>0.26666666666666666</v>
      </c>
      <c r="EV22" s="397">
        <f t="shared" si="324"/>
        <v>0.1</v>
      </c>
      <c r="EW22" s="397">
        <f t="shared" si="324"/>
        <v>0</v>
      </c>
      <c r="EX22" s="397">
        <f t="shared" si="324"/>
        <v>0</v>
      </c>
      <c r="EY22" s="573">
        <f>IFERROR(EY21/EY20,0)</f>
        <v>0.14035087719298245</v>
      </c>
      <c r="EZ22" s="397">
        <f t="shared" ref="EZ22:FD22" si="325">IFERROR(EZ21/EZ20,0)</f>
        <v>0</v>
      </c>
      <c r="FA22" s="397">
        <f t="shared" si="325"/>
        <v>0</v>
      </c>
      <c r="FB22" s="397">
        <f t="shared" si="325"/>
        <v>0</v>
      </c>
      <c r="FC22" s="397">
        <f t="shared" si="325"/>
        <v>0</v>
      </c>
      <c r="FD22" s="397">
        <f t="shared" si="325"/>
        <v>0</v>
      </c>
      <c r="FE22" s="573">
        <f>IFERROR(FE21/FE20,0)</f>
        <v>0</v>
      </c>
      <c r="FF22" s="397">
        <f t="shared" ref="FF22:FJ22" si="326">IFERROR(FF21/FF20,0)</f>
        <v>0</v>
      </c>
      <c r="FG22" s="397">
        <f t="shared" si="326"/>
        <v>0</v>
      </c>
      <c r="FH22" s="397">
        <f t="shared" si="326"/>
        <v>0</v>
      </c>
      <c r="FI22" s="397">
        <f t="shared" si="326"/>
        <v>0</v>
      </c>
      <c r="FJ22" s="397">
        <f t="shared" si="326"/>
        <v>0</v>
      </c>
      <c r="FK22" s="573">
        <f>IFERROR(FK21/FK20,0)</f>
        <v>0</v>
      </c>
      <c r="FL22" s="397">
        <f t="shared" ref="FL22:FP22" si="327">IFERROR(FL21/FL20,0)</f>
        <v>0</v>
      </c>
      <c r="FM22" s="397">
        <f t="shared" si="327"/>
        <v>0.25</v>
      </c>
      <c r="FN22" s="397">
        <f t="shared" si="327"/>
        <v>0</v>
      </c>
      <c r="FO22" s="397">
        <f t="shared" si="327"/>
        <v>0.25</v>
      </c>
      <c r="FP22" s="397">
        <f t="shared" si="327"/>
        <v>0.14285714285714285</v>
      </c>
      <c r="FQ22" s="573">
        <f>IFERROR(FQ21/FQ20,0)</f>
        <v>0.14285714285714285</v>
      </c>
      <c r="FR22" s="397">
        <f t="shared" ref="FR22:FV22" si="328">IFERROR(FR21/FR20,0)</f>
        <v>0</v>
      </c>
      <c r="FS22" s="397">
        <f t="shared" si="328"/>
        <v>0.2</v>
      </c>
      <c r="FT22" s="397">
        <f t="shared" si="328"/>
        <v>0.35714285714285715</v>
      </c>
      <c r="FU22" s="397">
        <f t="shared" si="328"/>
        <v>0</v>
      </c>
      <c r="FV22" s="397">
        <f t="shared" si="328"/>
        <v>0.27272727272727271</v>
      </c>
      <c r="FW22" s="573">
        <f>IFERROR(FW21/FW20,0)</f>
        <v>0.21276595744680851</v>
      </c>
      <c r="FX22" s="397">
        <f t="shared" ref="FX22:GB22" si="329">IFERROR(FX21/FX20,0)</f>
        <v>0.18181818181818182</v>
      </c>
      <c r="FY22" s="397">
        <f t="shared" si="329"/>
        <v>0.21428571428571427</v>
      </c>
      <c r="FZ22" s="397">
        <f t="shared" si="329"/>
        <v>0.33333333333333331</v>
      </c>
      <c r="GA22" s="397">
        <f t="shared" si="329"/>
        <v>0.18181818181818182</v>
      </c>
      <c r="GB22" s="397">
        <f t="shared" si="329"/>
        <v>0.16666666666666666</v>
      </c>
      <c r="GC22" s="573">
        <f>IFERROR(GC21/GC20,0)</f>
        <v>0.22222222222222221</v>
      </c>
      <c r="GD22" s="397">
        <f t="shared" ref="GD22:GH22" si="330">IFERROR(GD21/GD20,0)</f>
        <v>0</v>
      </c>
      <c r="GE22" s="397">
        <f t="shared" si="330"/>
        <v>0</v>
      </c>
      <c r="GF22" s="397">
        <f t="shared" si="330"/>
        <v>0</v>
      </c>
      <c r="GG22" s="397">
        <f t="shared" si="330"/>
        <v>0</v>
      </c>
      <c r="GH22" s="397">
        <f t="shared" si="330"/>
        <v>0</v>
      </c>
      <c r="GI22" s="573">
        <f>IFERROR(GI21/GI20,0)</f>
        <v>0</v>
      </c>
      <c r="GJ22" s="397">
        <f t="shared" ref="GJ22:GN22" si="331">IFERROR(GJ21/GJ20,0)</f>
        <v>0</v>
      </c>
      <c r="GK22" s="397">
        <f t="shared" si="331"/>
        <v>0</v>
      </c>
      <c r="GL22" s="397">
        <f t="shared" si="331"/>
        <v>0</v>
      </c>
      <c r="GM22" s="397">
        <f t="shared" si="331"/>
        <v>0</v>
      </c>
      <c r="GN22" s="397">
        <f t="shared" si="331"/>
        <v>0</v>
      </c>
      <c r="GO22" s="573">
        <f>IFERROR(GO21/GO20,0)</f>
        <v>0</v>
      </c>
      <c r="GP22" s="397">
        <f t="shared" ref="GP22:GT22" si="332">IFERROR(GP21/GP20,0)</f>
        <v>0</v>
      </c>
      <c r="GQ22" s="397">
        <f t="shared" si="332"/>
        <v>0</v>
      </c>
      <c r="GR22" s="397">
        <f t="shared" si="332"/>
        <v>0.33333333333333331</v>
      </c>
      <c r="GS22" s="397">
        <f t="shared" si="332"/>
        <v>0.2</v>
      </c>
      <c r="GT22" s="397">
        <f t="shared" si="332"/>
        <v>0.5</v>
      </c>
      <c r="GU22" s="573">
        <f>IFERROR(GU21/GU20,0)</f>
        <v>0.25</v>
      </c>
      <c r="GV22" s="397">
        <f t="shared" ref="GV22:GZ22" si="333">IFERROR(GV21/GV20,0)</f>
        <v>0</v>
      </c>
      <c r="GW22" s="397">
        <f t="shared" si="333"/>
        <v>0</v>
      </c>
      <c r="GX22" s="397">
        <f t="shared" si="333"/>
        <v>0</v>
      </c>
      <c r="GY22" s="397">
        <f t="shared" si="333"/>
        <v>0</v>
      </c>
      <c r="GZ22" s="397">
        <f t="shared" si="333"/>
        <v>0</v>
      </c>
      <c r="HA22" s="573">
        <f>IFERROR(HA21/HA20,0)</f>
        <v>0</v>
      </c>
    </row>
    <row r="23" spans="1:209" ht="15.6" thickTop="1" thickBot="1" x14ac:dyDescent="0.35"/>
    <row r="24" spans="1:209" ht="15" thickTop="1" x14ac:dyDescent="0.3">
      <c r="A24" s="1555" t="s">
        <v>9187</v>
      </c>
      <c r="B24" s="428">
        <f>SUM(H24,N24,R24,W24,AC24,AI24,AO24,AU24,BA24,BG24,BM24,BS24,BY24,CE24,CK24,CQ24,CW24,DC24,DI24,DO24,DU24,EA24,EG24,EM24,ES24,EY24,FE24,FK24,FQ24,FW24,GC24,GI24,GO24,GU24,HA24)</f>
        <v>77</v>
      </c>
      <c r="C24" s="574">
        <f>COUNTIFS(STATUS!$Q:$Q,$A24,STATUS!$D:$D,C$1,STATUS!$K:$K,"РЕШ УВ DONE")</f>
        <v>0</v>
      </c>
      <c r="D24" s="574">
        <f>COUNTIFS(STATUS!$Q:$Q,$A24,STATUS!$D:$D,D$1,STATUS!$K:$K,"РЕШ УВ DONE")</f>
        <v>0</v>
      </c>
      <c r="E24" s="574">
        <f>COUNTIFS(STATUS!$Q:$Q,$A24,STATUS!$D:$D,E$1,STATUS!$K:$K,"РЕШ УВ DONE")</f>
        <v>0</v>
      </c>
      <c r="F24" s="574">
        <f>COUNTIFS(STATUS!$Q:$Q,$A24,STATUS!$D:$D,F$1,STATUS!$K:$K,"РЕШ УВ DONE")</f>
        <v>0</v>
      </c>
      <c r="G24" s="575">
        <f>COUNTIFS(STATUS!$Q:$Q,$A24,STATUS!$D:$D,G$1,STATUS!$K:$K,"РЕШ УВ DONE")</f>
        <v>0</v>
      </c>
      <c r="H24" s="1238">
        <f>SUM(C24:G24)</f>
        <v>0</v>
      </c>
      <c r="I24" s="443">
        <f>COUNTIFS(STATUS!$Q:$Q,$A24,STATUS!$D:$D,I$1,STATUS!$K:$K,"РЕШ УВ DONE")</f>
        <v>0</v>
      </c>
      <c r="J24" s="406">
        <f>COUNTIFS(STATUS!$Q:$Q,$A24,STATUS!$D:$D,J$1,STATUS!$K:$K,"РЕШ УВ DONE")</f>
        <v>0</v>
      </c>
      <c r="K24" s="406">
        <f>COUNTIFS(STATUS!$Q:$Q,$A24,STATUS!$D:$D,K$1,STATUS!$K:$K,"РЕШ УВ DONE")</f>
        <v>0</v>
      </c>
      <c r="L24" s="406">
        <f>COUNTIFS(STATUS!$Q:$Q,$A24,STATUS!$D:$D,L$1,STATUS!$K:$K,"РЕШ УВ DONE")</f>
        <v>0</v>
      </c>
      <c r="M24" s="439">
        <f>COUNTIFS(STATUS!$Q:$Q,$A24,STATUS!$D:$D,M$1,STATUS!$K:$K,"РЕШ УВ DONE")</f>
        <v>0</v>
      </c>
      <c r="N24" s="1238">
        <f>SUM(I24:M24)</f>
        <v>0</v>
      </c>
      <c r="O24" s="1239">
        <f>COUNTIFS(STATUS!$Q:$Q,$A24,STATUS!$D:$D,O$1,STATUS!$K:$K,"РЕШ УВ DONE")</f>
        <v>0</v>
      </c>
      <c r="P24" s="574">
        <f>COUNTIFS(STATUS!$Q:$Q,$A24,STATUS!$D:$D,P$1,STATUS!$K:$K,"РЕШ УВ DONE")</f>
        <v>0</v>
      </c>
      <c r="Q24" s="574">
        <f>COUNTIFS(STATUS!$Q:$Q,$A24,STATUS!$D:$D,Q$1,STATUS!$K:$K,"РЕШ УВ DONE")</f>
        <v>0</v>
      </c>
      <c r="R24" s="1238">
        <f>SUM(O24:Q24)</f>
        <v>0</v>
      </c>
      <c r="S24" s="574">
        <f>COUNTIFS(STATUS!$Q:$Q,$A24,STATUS!$D:$D,S$1,STATUS!$K:$K,"РЕШ УВ DONE")</f>
        <v>0</v>
      </c>
      <c r="T24" s="574">
        <f>COUNTIFS(STATUS!$Q:$Q,$A24,STATUS!$D:$D,T$1,STATUS!$K:$K,"РЕШ УВ DONE")</f>
        <v>0</v>
      </c>
      <c r="U24" s="574">
        <f>COUNTIFS(STATUS!$Q:$Q,$A24,STATUS!$D:$D,U$1,STATUS!$K:$K,"РЕШ УВ DONE")</f>
        <v>0</v>
      </c>
      <c r="V24" s="575">
        <f>COUNTIFS(STATUS!$Q:$Q,$A24,STATUS!$D:$D,V$1,STATUS!$K:$K,"РЕШ УВ DONE")</f>
        <v>0</v>
      </c>
      <c r="W24" s="1238">
        <f>SUM(S24:V24)</f>
        <v>0</v>
      </c>
      <c r="X24" s="574">
        <f>COUNTIFS(STATUS!$Q:$Q,$A24,STATUS!$D:$D,X$1,STATUS!$K:$K,"РЕШ УВ DONE")</f>
        <v>0</v>
      </c>
      <c r="Y24" s="574">
        <f>COUNTIFS(STATUS!$Q:$Q,$A24,STATUS!$D:$D,Y$1,STATUS!$K:$K,"РЕШ УВ DONE")</f>
        <v>0</v>
      </c>
      <c r="Z24" s="574">
        <f>COUNTIFS(STATUS!$Q:$Q,$A24,STATUS!$D:$D,Z$1,STATUS!$K:$K,"РЕШ УВ DONE")</f>
        <v>0</v>
      </c>
      <c r="AA24" s="575">
        <f>COUNTIFS(STATUS!$Q:$Q,$A24,STATUS!$D:$D,AA$1,STATUS!$K:$K,"РЕШ УВ DONE")</f>
        <v>0</v>
      </c>
      <c r="AB24" s="575">
        <f>COUNTIFS(STATUS!$Q:$Q,$A24,STATUS!$D:$D,AB$1,STATUS!$K:$K,"РЕШ УВ DONE")</f>
        <v>0</v>
      </c>
      <c r="AC24" s="1238">
        <f>SUM(X24:AB24)</f>
        <v>0</v>
      </c>
      <c r="AD24" s="574">
        <f>COUNTIFS(STATUS!$Q:$Q,$A24,STATUS!$D:$D,AD$1,STATUS!$K:$K,"РЕШ УВ DONE")</f>
        <v>0</v>
      </c>
      <c r="AE24" s="574">
        <f>COUNTIFS(STATUS!$Q:$Q,$A24,STATUS!$D:$D,AE$1,STATUS!$K:$K,"РЕШ УВ DONE")</f>
        <v>0</v>
      </c>
      <c r="AF24" s="574">
        <f>COUNTIFS(STATUS!$Q:$Q,$A24,STATUS!$D:$D,AF$1,STATUS!$K:$K,"РЕШ УВ DONE")</f>
        <v>0</v>
      </c>
      <c r="AG24" s="575">
        <f>COUNTIFS(STATUS!$Q:$Q,$A24,STATUS!$D:$D,AG$1,STATUS!$K:$K,"РЕШ УВ DONE")</f>
        <v>0</v>
      </c>
      <c r="AH24" s="575">
        <f>COUNTIFS(STATUS!$Q:$Q,$A24,STATUS!$D:$D,AH$1,STATUS!$K:$K,"РЕШ УВ DONE")</f>
        <v>0</v>
      </c>
      <c r="AI24" s="1238">
        <f>SUM(AD24:AH24)</f>
        <v>0</v>
      </c>
      <c r="AJ24" s="574">
        <f>COUNTIFS(STATUS!$Q:$Q,$A24,STATUS!$D:$D,AJ$1,STATUS!$K:$K,"РЕШ УВ DONE")</f>
        <v>0</v>
      </c>
      <c r="AK24" s="574">
        <f>COUNTIFS(STATUS!$Q:$Q,$A24,STATUS!$D:$D,AK$1,STATUS!$K:$K,"РЕШ УВ DONE")</f>
        <v>0</v>
      </c>
      <c r="AL24" s="574">
        <f>COUNTIFS(STATUS!$Q:$Q,$A24,STATUS!$D:$D,AL$1,STATUS!$K:$K,"РЕШ УВ DONE")</f>
        <v>0</v>
      </c>
      <c r="AM24" s="575">
        <f>COUNTIFS(STATUS!$Q:$Q,$A24,STATUS!$D:$D,AM$1,STATUS!$K:$K,"РЕШ УВ DONE")</f>
        <v>0</v>
      </c>
      <c r="AN24" s="575">
        <f>COUNTIFS(STATUS!$Q:$Q,$A24,STATUS!$D:$D,AN$1,STATUS!$K:$K,"РЕШ УВ DONE")</f>
        <v>0</v>
      </c>
      <c r="AO24" s="1238">
        <f>SUM(AJ24:AN24)</f>
        <v>0</v>
      </c>
      <c r="AP24" s="574">
        <f>COUNTIFS(STATUS!$Q:$Q,$A24,STATUS!$D:$D,AP$1,STATUS!$K:$K,"РЕШ УВ DONE")</f>
        <v>0</v>
      </c>
      <c r="AQ24" s="574">
        <f>COUNTIFS(STATUS!$Q:$Q,$A24,STATUS!$D:$D,AQ$1,STATUS!$K:$K,"РЕШ УВ DONE")</f>
        <v>0</v>
      </c>
      <c r="AR24" s="574">
        <f>COUNTIFS(STATUS!$Q:$Q,$A24,STATUS!$D:$D,AR$1,STATUS!$K:$K,"РЕШ УВ DONE")</f>
        <v>0</v>
      </c>
      <c r="AS24" s="575">
        <f>COUNTIFS(STATUS!$Q:$Q,$A24,STATUS!$D:$D,AS$1,STATUS!$K:$K,"РЕШ УВ DONE")</f>
        <v>0</v>
      </c>
      <c r="AT24" s="575">
        <f>COUNTIFS(STATUS!$Q:$Q,$A24,STATUS!$D:$D,AT$1,STATUS!$K:$K,"РЕШ УВ DONE")</f>
        <v>0</v>
      </c>
      <c r="AU24" s="1238">
        <f>SUM(AP24:AT24)</f>
        <v>0</v>
      </c>
      <c r="AV24" s="574">
        <f>COUNTIFS(STATUS!$Q:$Q,$A24,STATUS!$D:$D,AV$1,STATUS!$K:$K,"РЕШ УВ DONE")</f>
        <v>0</v>
      </c>
      <c r="AW24" s="574">
        <f>COUNTIFS(STATUS!$Q:$Q,$A24,STATUS!$D:$D,AW$1,STATUS!$K:$K,"РЕШ УВ DONE")</f>
        <v>0</v>
      </c>
      <c r="AX24" s="574">
        <f>COUNTIFS(STATUS!$Q:$Q,$A24,STATUS!$D:$D,AX$1,STATUS!$K:$K,"РЕШ УВ DONE")</f>
        <v>0</v>
      </c>
      <c r="AY24" s="575">
        <f>COUNTIFS(STATUS!$Q:$Q,$A24,STATUS!$D:$D,AY$1,STATUS!$K:$K,"РЕШ УВ DONE")</f>
        <v>0</v>
      </c>
      <c r="AZ24" s="575">
        <f>COUNTIFS(STATUS!$Q:$Q,$A24,STATUS!$D:$D,AZ$1,STATUS!$K:$K,"РЕШ УВ DONE")</f>
        <v>0</v>
      </c>
      <c r="BA24" s="1238">
        <f>SUM(AV24:AZ24)</f>
        <v>0</v>
      </c>
      <c r="BB24" s="574">
        <f>COUNTIFS(STATUS!$Q:$Q,$A24,STATUS!$D:$D,BB$1,STATUS!$K:$K,"РЕШ УВ DONE")</f>
        <v>0</v>
      </c>
      <c r="BC24" s="574">
        <f>COUNTIFS(STATUS!$Q:$Q,$A24,STATUS!$D:$D,BC$1,STATUS!$K:$K,"РЕШ УВ DONE")</f>
        <v>0</v>
      </c>
      <c r="BD24" s="574">
        <f>COUNTIFS(STATUS!$Q:$Q,$A24,STATUS!$D:$D,BD$1,STATUS!$K:$K,"РЕШ УВ DONE")</f>
        <v>0</v>
      </c>
      <c r="BE24" s="575">
        <f>COUNTIFS(STATUS!$Q:$Q,$A24,STATUS!$D:$D,BE$1,STATUS!$K:$K,"РЕШ УВ DONE")</f>
        <v>0</v>
      </c>
      <c r="BF24" s="575">
        <f>COUNTIFS(STATUS!$Q:$Q,$A24,STATUS!$D:$D,BF$1,STATUS!$K:$K,"РЕШ УВ DONE")</f>
        <v>0</v>
      </c>
      <c r="BG24" s="1238">
        <f>SUM(BB24:BF24)</f>
        <v>0</v>
      </c>
      <c r="BH24" s="574">
        <f>COUNTIFS(STATUS!$Q:$Q,$A24,STATUS!$D:$D,BH$1,STATUS!$K:$K,"РЕШ УВ DONE")</f>
        <v>0</v>
      </c>
      <c r="BI24" s="574">
        <f>COUNTIFS(STATUS!$Q:$Q,$A24,STATUS!$D:$D,BI$1,STATUS!$K:$K,"РЕШ УВ DONE")</f>
        <v>0</v>
      </c>
      <c r="BJ24" s="574">
        <f>COUNTIFS(STATUS!$Q:$Q,$A24,STATUS!$D:$D,BJ$1,STATUS!$K:$K,"РЕШ УВ DONE")</f>
        <v>0</v>
      </c>
      <c r="BK24" s="575">
        <f>COUNTIFS(STATUS!$Q:$Q,$A24,STATUS!$D:$D,BK$1,STATUS!$K:$K,"РЕШ УВ DONE")</f>
        <v>0</v>
      </c>
      <c r="BL24" s="575">
        <f>COUNTIFS(STATUS!$Q:$Q,$A24,STATUS!$D:$D,BL$1,STATUS!$K:$K,"РЕШ УВ DONE")</f>
        <v>0</v>
      </c>
      <c r="BM24" s="1238">
        <f>SUM(BH24:BL24)</f>
        <v>0</v>
      </c>
      <c r="BN24" s="574">
        <f>COUNTIFS(STATUS!$Q:$Q,$A24,STATUS!$D:$D,BN$1,STATUS!$K:$K,"РЕШ УВ DONE")</f>
        <v>0</v>
      </c>
      <c r="BO24" s="574">
        <f>COUNTIFS(STATUS!$Q:$Q,$A24,STATUS!$D:$D,BO$1,STATUS!$K:$K,"РЕШ УВ DONE")</f>
        <v>0</v>
      </c>
      <c r="BP24" s="574">
        <f>COUNTIFS(STATUS!$Q:$Q,$A24,STATUS!$D:$D,BP$1,STATUS!$K:$K,"РЕШ УВ DONE")</f>
        <v>0</v>
      </c>
      <c r="BQ24" s="575">
        <f>COUNTIFS(STATUS!$Q:$Q,$A24,STATUS!$D:$D,BQ$1,STATUS!$K:$K,"РЕШ УВ DONE")</f>
        <v>0</v>
      </c>
      <c r="BR24" s="575">
        <f>COUNTIFS(STATUS!$Q:$Q,$A24,STATUS!$D:$D,BR$1,STATUS!$K:$K,"РЕШ УВ DONE")</f>
        <v>0</v>
      </c>
      <c r="BS24" s="1238">
        <f>SUM(BN24:BR24)</f>
        <v>0</v>
      </c>
      <c r="BT24" s="574">
        <f>COUNTIFS(STATUS!$Q:$Q,$A24,STATUS!$D:$D,BT$1,STATUS!$K:$K,"РЕШ УВ DONE")</f>
        <v>0</v>
      </c>
      <c r="BU24" s="574">
        <f>COUNTIFS(STATUS!$Q:$Q,$A24,STATUS!$D:$D,BU$1,STATUS!$K:$K,"РЕШ УВ DONE")</f>
        <v>0</v>
      </c>
      <c r="BV24" s="574">
        <f>COUNTIFS(STATUS!$Q:$Q,$A24,STATUS!$D:$D,BV$1,STATUS!$K:$K,"РЕШ УВ DONE")</f>
        <v>0</v>
      </c>
      <c r="BW24" s="575">
        <f>COUNTIFS(STATUS!$Q:$Q,$A24,STATUS!$D:$D,BW$1,STATUS!$K:$K,"РЕШ УВ DONE")</f>
        <v>0</v>
      </c>
      <c r="BX24" s="575">
        <f>COUNTIFS(STATUS!$Q:$Q,$A24,STATUS!$D:$D,BX$1,STATUS!$K:$K,"РЕШ УВ DONE")</f>
        <v>0</v>
      </c>
      <c r="BY24" s="1238">
        <f>SUM(BT24:BX24)</f>
        <v>0</v>
      </c>
      <c r="BZ24" s="406">
        <f>COUNTIFS(STATUS!$Q:$Q,$A24,STATUS!$D:$D,BZ$1,STATUS!$K:$K,"РЕШ УВ DONE")</f>
        <v>0</v>
      </c>
      <c r="CA24" s="406">
        <f>COUNTIFS(STATUS!$Q:$Q,$A24,STATUS!$D:$D,CA$1,STATUS!$K:$K,"РЕШ УВ DONE")</f>
        <v>0</v>
      </c>
      <c r="CB24" s="406">
        <f>COUNTIFS(STATUS!$Q:$Q,$A24,STATUS!$D:$D,CB$1,STATUS!$K:$K,"РЕШ УВ DONE")</f>
        <v>0</v>
      </c>
      <c r="CC24" s="439">
        <f>COUNTIFS(STATUS!$Q:$Q,$A24,STATUS!$D:$D,CC$1,STATUS!$K:$K,"РЕШ УВ DONE")</f>
        <v>0</v>
      </c>
      <c r="CD24" s="439">
        <f>COUNTIFS(STATUS!$Q:$Q,$A24,STATUS!$D:$D,CD$1,STATUS!$K:$K,"РЕШ УВ DONE")</f>
        <v>0</v>
      </c>
      <c r="CE24" s="1238">
        <f>SUM(BZ24:CD24)</f>
        <v>0</v>
      </c>
      <c r="CF24" s="406">
        <f>COUNTIFS(STATUS!$Q:$Q,$A24,STATUS!$D:$D,CF$1,STATUS!$K:$K,"РЕШ УВ DONE")</f>
        <v>0</v>
      </c>
      <c r="CG24" s="406">
        <f>COUNTIFS(STATUS!$Q:$Q,$A24,STATUS!$D:$D,CG$1,STATUS!$K:$K,"РЕШ УВ DONE")</f>
        <v>0</v>
      </c>
      <c r="CH24" s="406">
        <f>COUNTIFS(STATUS!$Q:$Q,$A24,STATUS!$D:$D,CH$1,STATUS!$K:$K,"РЕШ УВ DONE")</f>
        <v>0</v>
      </c>
      <c r="CI24" s="439">
        <f>COUNTIFS(STATUS!$Q:$Q,$A24,STATUS!$D:$D,CI$1,STATUS!$K:$K,"РЕШ УВ DONE")</f>
        <v>0</v>
      </c>
      <c r="CJ24" s="439">
        <f>COUNTIFS(STATUS!$Q:$Q,$A24,STATUS!$D:$D,CJ$1,STATUS!$K:$K,"РЕШ УВ DONE")</f>
        <v>0</v>
      </c>
      <c r="CK24" s="1238">
        <f>SUM(CF24:CJ24)</f>
        <v>0</v>
      </c>
      <c r="CL24" s="406">
        <f>COUNTIFS(STATUS!$Q:$Q,$A24,STATUS!$D:$D,CL$1,STATUS!$K:$K,"РЕШ УВ DONE")</f>
        <v>9</v>
      </c>
      <c r="CM24" s="406">
        <f>COUNTIFS(STATUS!$Q:$Q,$A24,STATUS!$D:$D,CM$1,STATUS!$K:$K,"РЕШ УВ DONE")</f>
        <v>5</v>
      </c>
      <c r="CN24" s="406">
        <f>COUNTIFS(STATUS!$Q:$Q,$A24,STATUS!$D:$D,CN$1,STATUS!$K:$K,"РЕШ УВ DONE")</f>
        <v>5</v>
      </c>
      <c r="CO24" s="439">
        <f>COUNTIFS(STATUS!$Q:$Q,$A24,STATUS!$D:$D,CO$1,STATUS!$K:$K,"РЕШ УВ DONE")</f>
        <v>5</v>
      </c>
      <c r="CP24" s="439">
        <f>COUNTIFS(STATUS!$Q:$Q,$A24,STATUS!$D:$D,CP$1,STATUS!$K:$K,"РЕШ УВ DONE")</f>
        <v>8</v>
      </c>
      <c r="CQ24" s="571">
        <f>SUM(CL24:CP24)</f>
        <v>32</v>
      </c>
      <c r="CR24" s="1241">
        <f>COUNTIFS(STATUS!$Q:$Q,$A24,STATUS!$D:$D,CR$1,STATUS!$K:$K,"РЕШ УВ DONE")</f>
        <v>6</v>
      </c>
      <c r="CS24" s="1241">
        <f>COUNTIFS(STATUS!$Q:$Q,$A24,STATUS!$D:$D,CS$1,STATUS!$K:$K,"РЕШ УВ DONE")</f>
        <v>6</v>
      </c>
      <c r="CT24" s="1241">
        <f>COUNTIFS(STATUS!$Q:$Q,$A24,STATUS!$D:$D,CT$1,STATUS!$K:$K,"РЕШ УВ DONE")</f>
        <v>2</v>
      </c>
      <c r="CU24" s="1242">
        <f>COUNTIFS(STATUS!$Q:$Q,$A24,STATUS!$D:$D,CU$1,STATUS!$K:$K,"РЕШ УВ DONE")</f>
        <v>7</v>
      </c>
      <c r="CV24" s="1242">
        <f>COUNTIFS(STATUS!$Q:$Q,$A24,STATUS!$D:$D,CV$1,STATUS!$K:$K,"РЕШ УВ DONE")</f>
        <v>4</v>
      </c>
      <c r="CW24" s="571">
        <f>SUM(CR24:CV24)</f>
        <v>25</v>
      </c>
      <c r="CX24" s="406">
        <f>COUNTIFS(STATUS!$Q:$Q,$A24,STATUS!$D:$D,CX$1,STATUS!$K:$K,"РЕШ УВ DONE")</f>
        <v>5</v>
      </c>
      <c r="CY24" s="406">
        <f>COUNTIFS(STATUS!$Q:$Q,$A24,STATUS!$D:$D,CY$1,STATUS!$K:$K,"РЕШ УВ DONE")</f>
        <v>4</v>
      </c>
      <c r="CZ24" s="406">
        <f>COUNTIFS(STATUS!$Q:$Q,$A24,STATUS!$D:$D,CZ$1,STATUS!$K:$K,"РЕШ УВ DONE")</f>
        <v>4</v>
      </c>
      <c r="DA24" s="439">
        <f>COUNTIFS(STATUS!$Q:$Q,$A24,STATUS!$D:$D,DA$1,STATUS!$K:$K,"РЕШ УВ DONE")</f>
        <v>3</v>
      </c>
      <c r="DB24" s="439">
        <f>COUNTIFS(STATUS!$Q:$Q,$A24,STATUS!$D:$D,DB$1,STATUS!$K:$K,"РЕШ УВ DONE")</f>
        <v>4</v>
      </c>
      <c r="DC24" s="571">
        <f>SUM(CX24:DB24)</f>
        <v>20</v>
      </c>
      <c r="DD24" s="574">
        <f>COUNTIFS(STATUS!$Q:$Q,$A24,STATUS!$D:$D,DD$1,STATUS!$K:$K,"РЕШ УВ DONE")</f>
        <v>0</v>
      </c>
      <c r="DE24" s="574">
        <f>COUNTIFS(STATUS!$Q:$Q,$A24,STATUS!$D:$D,DE$1,STATUS!$K:$K,"РЕШ УВ DONE")</f>
        <v>0</v>
      </c>
      <c r="DF24" s="574">
        <f>COUNTIFS(STATUS!$Q:$Q,$A24,STATUS!$D:$D,DF$1,STATUS!$K:$K,"РЕШ УВ DONE")</f>
        <v>0</v>
      </c>
      <c r="DG24" s="575">
        <f>COUNTIFS(STATUS!$Q:$Q,$A24,STATUS!$D:$D,DG$1,STATUS!$K:$K,"РЕШ УВ DONE")</f>
        <v>0</v>
      </c>
      <c r="DH24" s="575">
        <f>COUNTIFS(STATUS!$Q:$Q,$A24,STATUS!$D:$D,DH$1,STATUS!$K:$K,"РЕШ УВ DONE")</f>
        <v>0</v>
      </c>
      <c r="DI24" s="1238">
        <f>SUM(DD24:DH24)</f>
        <v>0</v>
      </c>
      <c r="DJ24" s="574">
        <f>COUNTIFS(STATUS!$Q:$Q,$A24,STATUS!$D:$D,DJ$1,STATUS!$K:$K,"РЕШ УВ DONE")</f>
        <v>0</v>
      </c>
      <c r="DK24" s="574">
        <f>COUNTIFS(STATUS!$Q:$Q,$A24,STATUS!$D:$D,DK$1,STATUS!$K:$K,"РЕШ УВ DONE")</f>
        <v>0</v>
      </c>
      <c r="DL24" s="574">
        <f>COUNTIFS(STATUS!$Q:$Q,$A24,STATUS!$D:$D,DL$1,STATUS!$K:$K,"РЕШ УВ DONE")</f>
        <v>0</v>
      </c>
      <c r="DM24" s="575">
        <f>COUNTIFS(STATUS!$Q:$Q,$A24,STATUS!$D:$D,DM$1,STATUS!$K:$K,"РЕШ УВ DONE")</f>
        <v>0</v>
      </c>
      <c r="DN24" s="575">
        <f>COUNTIFS(STATUS!$Q:$Q,$A24,STATUS!$D:$D,DN$1,STATUS!$K:$K,"РЕШ УВ DONE")</f>
        <v>0</v>
      </c>
      <c r="DO24" s="1238">
        <f>SUM(DJ24:DN24)</f>
        <v>0</v>
      </c>
      <c r="DP24" s="574">
        <f>COUNTIFS(STATUS!$Q:$Q,$A24,STATUS!$D:$D,DP$1,STATUS!$K:$K,"РЕШ УВ DONE")</f>
        <v>0</v>
      </c>
      <c r="DQ24" s="574">
        <f>COUNTIFS(STATUS!$Q:$Q,$A24,STATUS!$D:$D,DQ$1,STATUS!$K:$K,"РЕШ УВ DONE")</f>
        <v>0</v>
      </c>
      <c r="DR24" s="574">
        <f>COUNTIFS(STATUS!$Q:$Q,$A24,STATUS!$D:$D,DR$1,STATUS!$K:$K,"РЕШ УВ DONE")</f>
        <v>0</v>
      </c>
      <c r="DS24" s="575">
        <f>COUNTIFS(STATUS!$Q:$Q,$A24,STATUS!$D:$D,DS$1,STATUS!$K:$K,"РЕШ УВ DONE")</f>
        <v>0</v>
      </c>
      <c r="DT24" s="575">
        <f>COUNTIFS(STATUS!$Q:$Q,$A24,STATUS!$D:$D,DT$1,STATUS!$K:$K,"РЕШ УВ DONE")</f>
        <v>0</v>
      </c>
      <c r="DU24" s="1238">
        <f>SUM(DP24:DT24)</f>
        <v>0</v>
      </c>
      <c r="DV24" s="574">
        <f>COUNTIFS(STATUS!$Q:$Q,$A24,STATUS!$D:$D,DV$1,STATUS!$K:$K,"РЕШ УВ DONE")</f>
        <v>0</v>
      </c>
      <c r="DW24" s="574">
        <f>COUNTIFS(STATUS!$Q:$Q,$A24,STATUS!$D:$D,DW$1,STATUS!$K:$K,"РЕШ УВ DONE")</f>
        <v>0</v>
      </c>
      <c r="DX24" s="574">
        <f>COUNTIFS(STATUS!$Q:$Q,$A24,STATUS!$D:$D,DX$1,STATUS!$K:$K,"РЕШ УВ DONE")</f>
        <v>0</v>
      </c>
      <c r="DY24" s="575">
        <f>COUNTIFS(STATUS!$Q:$Q,$A24,STATUS!$D:$D,DY$1,STATUS!$K:$K,"РЕШ УВ DONE")</f>
        <v>0</v>
      </c>
      <c r="DZ24" s="575">
        <f>COUNTIFS(STATUS!$Q:$Q,$A24,STATUS!$D:$D,DZ$1,STATUS!$K:$K,"РЕШ УВ DONE")</f>
        <v>0</v>
      </c>
      <c r="EA24" s="1238">
        <f>SUM(DV24:DZ24)</f>
        <v>0</v>
      </c>
      <c r="EB24" s="574">
        <f>COUNTIFS(STATUS!$Q:$Q,$A24,STATUS!$D:$D,EB$1,STATUS!$K:$K,"РЕШ УВ DONE")</f>
        <v>0</v>
      </c>
      <c r="EC24" s="574">
        <f>COUNTIFS(STATUS!$Q:$Q,$A24,STATUS!$D:$D,EC$1,STATUS!$K:$K,"РЕШ УВ DONE")</f>
        <v>0</v>
      </c>
      <c r="ED24" s="574">
        <f>COUNTIFS(STATUS!$Q:$Q,$A24,STATUS!$D:$D,ED$1,STATUS!$K:$K,"РЕШ УВ DONE")</f>
        <v>0</v>
      </c>
      <c r="EE24" s="575">
        <f>COUNTIFS(STATUS!$Q:$Q,$A24,STATUS!$D:$D,EE$1,STATUS!$K:$K,"РЕШ УВ DONE")</f>
        <v>0</v>
      </c>
      <c r="EF24" s="575">
        <f>COUNTIFS(STATUS!$Q:$Q,$A24,STATUS!$D:$D,EF$1,STATUS!$K:$K,"РЕШ УВ DONE")</f>
        <v>0</v>
      </c>
      <c r="EG24" s="1238">
        <f>SUM(EB24:EF24)</f>
        <v>0</v>
      </c>
      <c r="EH24" s="574">
        <f>COUNTIFS(STATUS!$Q:$Q,$A24,STATUS!$D:$D,EH$1,STATUS!$K:$K,"РЕШ УВ DONE")</f>
        <v>0</v>
      </c>
      <c r="EI24" s="574">
        <f>COUNTIFS(STATUS!$Q:$Q,$A24,STATUS!$D:$D,EI$1,STATUS!$K:$K,"РЕШ УВ DONE")</f>
        <v>0</v>
      </c>
      <c r="EJ24" s="574">
        <f>COUNTIFS(STATUS!$Q:$Q,$A24,STATUS!$D:$D,EJ$1,STATUS!$K:$K,"РЕШ УВ DONE")</f>
        <v>0</v>
      </c>
      <c r="EK24" s="575">
        <f>COUNTIFS(STATUS!$Q:$Q,$A24,STATUS!$D:$D,EK$1,STATUS!$K:$K,"РЕШ УВ DONE")</f>
        <v>0</v>
      </c>
      <c r="EL24" s="575">
        <f>COUNTIFS(STATUS!$Q:$Q,$A24,STATUS!$D:$D,EL$1,STATUS!$K:$K,"РЕШ УВ DONE")</f>
        <v>0</v>
      </c>
      <c r="EM24" s="1238">
        <f>SUM(EH24:EL24)</f>
        <v>0</v>
      </c>
      <c r="EN24" s="574">
        <f>COUNTIFS(STATUS!$Q:$Q,$A24,STATUS!$D:$D,EN$1,STATUS!$K:$K,"РЕШ УВ DONE")</f>
        <v>0</v>
      </c>
      <c r="EO24" s="574">
        <f>COUNTIFS(STATUS!$Q:$Q,$A24,STATUS!$D:$D,EO$1,STATUS!$K:$K,"РЕШ УВ DONE")</f>
        <v>0</v>
      </c>
      <c r="EP24" s="574">
        <f>COUNTIFS(STATUS!$Q:$Q,$A24,STATUS!$D:$D,EP$1,STATUS!$K:$K,"РЕШ УВ DONE")</f>
        <v>0</v>
      </c>
      <c r="EQ24" s="575">
        <f>COUNTIFS(STATUS!$Q:$Q,$A24,STATUS!$D:$D,EQ$1,STATUS!$K:$K,"РЕШ УВ DONE")</f>
        <v>0</v>
      </c>
      <c r="ER24" s="575">
        <f>COUNTIFS(STATUS!$Q:$Q,$A24,STATUS!$D:$D,ER$1,STATUS!$K:$K,"РЕШ УВ DONE")</f>
        <v>0</v>
      </c>
      <c r="ES24" s="1238">
        <f>SUM(EN24:ER24)</f>
        <v>0</v>
      </c>
      <c r="ET24" s="574">
        <f>COUNTIFS(STATUS!$Q:$Q,$A24,STATUS!$D:$D,ET$1,STATUS!$K:$K,"РЕШ УВ DONE")</f>
        <v>0</v>
      </c>
      <c r="EU24" s="574">
        <f>COUNTIFS(STATUS!$Q:$Q,$A24,STATUS!$D:$D,EU$1,STATUS!$K:$K,"РЕШ УВ DONE")</f>
        <v>0</v>
      </c>
      <c r="EV24" s="574">
        <f>COUNTIFS(STATUS!$Q:$Q,$A24,STATUS!$D:$D,EV$1,STATUS!$K:$K,"РЕШ УВ DONE")</f>
        <v>0</v>
      </c>
      <c r="EW24" s="575">
        <f>COUNTIFS(STATUS!$Q:$Q,$A24,STATUS!$D:$D,EW$1,STATUS!$K:$K,"РЕШ УВ DONE")</f>
        <v>0</v>
      </c>
      <c r="EX24" s="575">
        <f>COUNTIFS(STATUS!$Q:$Q,$A24,STATUS!$D:$D,EX$1,STATUS!$K:$K,"РЕШ УВ DONE")</f>
        <v>0</v>
      </c>
      <c r="EY24" s="1238">
        <f>SUM(ET24:EX24)</f>
        <v>0</v>
      </c>
      <c r="EZ24" s="574">
        <f>COUNTIFS(STATUS!$Q:$Q,$A24,STATUS!$D:$D,EZ$1,STATUS!$K:$K,"РЕШ УВ DONE")</f>
        <v>0</v>
      </c>
      <c r="FA24" s="574">
        <f>COUNTIFS(STATUS!$Q:$Q,$A24,STATUS!$D:$D,FA$1,STATUS!$K:$K,"РЕШ УВ DONE")</f>
        <v>0</v>
      </c>
      <c r="FB24" s="574">
        <f>COUNTIFS(STATUS!$Q:$Q,$A24,STATUS!$D:$D,FB$1,STATUS!$K:$K,"РЕШ УВ DONE")</f>
        <v>0</v>
      </c>
      <c r="FC24" s="575">
        <f>COUNTIFS(STATUS!$Q:$Q,$A24,STATUS!$D:$D,FC$1,STATUS!$K:$K,"РЕШ УВ DONE")</f>
        <v>0</v>
      </c>
      <c r="FD24" s="575">
        <f>COUNTIFS(STATUS!$Q:$Q,$A24,STATUS!$D:$D,FD$1,STATUS!$K:$K,"РЕШ УВ DONE")</f>
        <v>0</v>
      </c>
      <c r="FE24" s="1238">
        <f>SUM(EZ24:FD24)</f>
        <v>0</v>
      </c>
      <c r="FF24" s="574">
        <f>COUNTIFS(STATUS!$Q:$Q,$A24,STATUS!$D:$D,FF$1,STATUS!$K:$K,"РЕШ УВ DONE")</f>
        <v>0</v>
      </c>
      <c r="FG24" s="574">
        <f>COUNTIFS(STATUS!$Q:$Q,$A24,STATUS!$D:$D,FG$1,STATUS!$K:$K,"РЕШ УВ DONE")</f>
        <v>0</v>
      </c>
      <c r="FH24" s="574">
        <f>COUNTIFS(STATUS!$Q:$Q,$A24,STATUS!$D:$D,FH$1,STATUS!$K:$K,"РЕШ УВ DONE")</f>
        <v>0</v>
      </c>
      <c r="FI24" s="575">
        <f>COUNTIFS(STATUS!$Q:$Q,$A24,STATUS!$D:$D,FI$1,STATUS!$K:$K,"РЕШ УВ DONE")</f>
        <v>0</v>
      </c>
      <c r="FJ24" s="575">
        <f>COUNTIFS(STATUS!$Q:$Q,$A24,STATUS!$D:$D,FJ$1,STATUS!$K:$K,"РЕШ УВ DONE")</f>
        <v>0</v>
      </c>
      <c r="FK24" s="1238">
        <f>SUM(FF24:FJ24)</f>
        <v>0</v>
      </c>
      <c r="FL24" s="574">
        <f>COUNTIFS(STATUS!$Q:$Q,$A24,STATUS!$D:$D,FL$1,STATUS!$K:$K,"РЕШ УВ DONE")</f>
        <v>0</v>
      </c>
      <c r="FM24" s="574">
        <f>COUNTIFS(STATUS!$Q:$Q,$A24,STATUS!$D:$D,FM$1,STATUS!$K:$K,"РЕШ УВ DONE")</f>
        <v>0</v>
      </c>
      <c r="FN24" s="574">
        <f>COUNTIFS(STATUS!$Q:$Q,$A24,STATUS!$D:$D,FN$1,STATUS!$K:$K,"РЕШ УВ DONE")</f>
        <v>0</v>
      </c>
      <c r="FO24" s="575">
        <f>COUNTIFS(STATUS!$Q:$Q,$A24,STATUS!$D:$D,FO$1,STATUS!$K:$K,"РЕШ УВ DONE")</f>
        <v>0</v>
      </c>
      <c r="FP24" s="575">
        <f>COUNTIFS(STATUS!$Q:$Q,$A24,STATUS!$D:$D,FP$1,STATUS!$K:$K,"РЕШ УВ DONE")</f>
        <v>0</v>
      </c>
      <c r="FQ24" s="1238">
        <f>SUM(FL24:FP24)</f>
        <v>0</v>
      </c>
      <c r="FR24" s="574">
        <f>COUNTIFS(STATUS!$Q:$Q,$A24,STATUS!$D:$D,FR$1,STATUS!$K:$K,"РЕШ УВ DONE")</f>
        <v>0</v>
      </c>
      <c r="FS24" s="574">
        <f>COUNTIFS(STATUS!$Q:$Q,$A24,STATUS!$D:$D,FS$1,STATUS!$K:$K,"РЕШ УВ DONE")</f>
        <v>0</v>
      </c>
      <c r="FT24" s="574">
        <f>COUNTIFS(STATUS!$Q:$Q,$A24,STATUS!$D:$D,FT$1,STATUS!$K:$K,"РЕШ УВ DONE")</f>
        <v>0</v>
      </c>
      <c r="FU24" s="575">
        <f>COUNTIFS(STATUS!$Q:$Q,$A24,STATUS!$D:$D,FU$1,STATUS!$K:$K,"РЕШ УВ DONE")</f>
        <v>0</v>
      </c>
      <c r="FV24" s="575">
        <f>COUNTIFS(STATUS!$Q:$Q,$A24,STATUS!$D:$D,FV$1,STATUS!$K:$K,"РЕШ УВ DONE")</f>
        <v>0</v>
      </c>
      <c r="FW24" s="1238">
        <f>SUM(FR24:FV24)</f>
        <v>0</v>
      </c>
      <c r="FX24" s="574">
        <f>COUNTIFS(STATUS!$Q:$Q,$A24,STATUS!$D:$D,FX$1,STATUS!$K:$K,"РЕШ УВ DONE")</f>
        <v>0</v>
      </c>
      <c r="FY24" s="574">
        <f>COUNTIFS(STATUS!$Q:$Q,$A24,STATUS!$D:$D,FY$1,STATUS!$K:$K,"РЕШ УВ DONE")</f>
        <v>0</v>
      </c>
      <c r="FZ24" s="574">
        <f>COUNTIFS(STATUS!$Q:$Q,$A24,STATUS!$D:$D,FZ$1,STATUS!$K:$K,"РЕШ УВ DONE")</f>
        <v>0</v>
      </c>
      <c r="GA24" s="575">
        <f>COUNTIFS(STATUS!$Q:$Q,$A24,STATUS!$D:$D,GA$1,STATUS!$K:$K,"РЕШ УВ DONE")</f>
        <v>0</v>
      </c>
      <c r="GB24" s="575">
        <f>COUNTIFS(STATUS!$Q:$Q,$A24,STATUS!$D:$D,GB$1,STATUS!$K:$K,"РЕШ УВ DONE")</f>
        <v>0</v>
      </c>
      <c r="GC24" s="1238">
        <f>SUM(FX24:GB24)</f>
        <v>0</v>
      </c>
      <c r="GD24" s="574">
        <f>COUNTIFS(STATUS!$Q:$Q,$A24,STATUS!$D:$D,GD$1,STATUS!$K:$K,"РЕШ УВ DONE")</f>
        <v>0</v>
      </c>
      <c r="GE24" s="574">
        <f>COUNTIFS(STATUS!$Q:$Q,$A24,STATUS!$D:$D,GE$1,STATUS!$K:$K,"РЕШ УВ DONE")</f>
        <v>0</v>
      </c>
      <c r="GF24" s="574">
        <f>COUNTIFS(STATUS!$Q:$Q,$A24,STATUS!$D:$D,GF$1,STATUS!$K:$K,"РЕШ УВ DONE")</f>
        <v>0</v>
      </c>
      <c r="GG24" s="575">
        <f>COUNTIFS(STATUS!$Q:$Q,$A24,STATUS!$D:$D,GG$1,STATUS!$K:$K,"РЕШ УВ DONE")</f>
        <v>0</v>
      </c>
      <c r="GH24" s="575">
        <f>COUNTIFS(STATUS!$Q:$Q,$A24,STATUS!$D:$D,GH$1,STATUS!$K:$K,"РЕШ УВ DONE")</f>
        <v>0</v>
      </c>
      <c r="GI24" s="1238">
        <f>SUM(GD24:GH24)</f>
        <v>0</v>
      </c>
      <c r="GJ24" s="574">
        <f>COUNTIFS(STATUS!$Q:$Q,$A24,STATUS!$D:$D,GJ$1,STATUS!$K:$K,"РЕШ УВ DONE")</f>
        <v>0</v>
      </c>
      <c r="GK24" s="574">
        <f>COUNTIFS(STATUS!$Q:$Q,$A24,STATUS!$D:$D,GK$1,STATUS!$K:$K,"РЕШ УВ DONE")</f>
        <v>0</v>
      </c>
      <c r="GL24" s="574">
        <f>COUNTIFS(STATUS!$Q:$Q,$A24,STATUS!$D:$D,GL$1,STATUS!$K:$K,"РЕШ УВ DONE")</f>
        <v>0</v>
      </c>
      <c r="GM24" s="575">
        <f>COUNTIFS(STATUS!$Q:$Q,$A24,STATUS!$D:$D,GM$1,STATUS!$K:$K,"РЕШ УВ DONE")</f>
        <v>0</v>
      </c>
      <c r="GN24" s="575">
        <f>COUNTIFS(STATUS!$Q:$Q,$A24,STATUS!$D:$D,GN$1,STATUS!$K:$K,"РЕШ УВ DONE")</f>
        <v>0</v>
      </c>
      <c r="GO24" s="1238">
        <f>SUM(GJ24:GN24)</f>
        <v>0</v>
      </c>
      <c r="GP24" s="574">
        <f>COUNTIFS(STATUS!$Q:$Q,$A24,STATUS!$D:$D,GP$1,STATUS!$K:$K,"РЕШ УВ DONE")</f>
        <v>0</v>
      </c>
      <c r="GQ24" s="574">
        <f>COUNTIFS(STATUS!$Q:$Q,$A24,STATUS!$D:$D,GQ$1,STATUS!$K:$K,"РЕШ УВ DONE")</f>
        <v>0</v>
      </c>
      <c r="GR24" s="574">
        <f>COUNTIFS(STATUS!$Q:$Q,$A24,STATUS!$D:$D,GR$1,STATUS!$K:$K,"РЕШ УВ DONE")</f>
        <v>0</v>
      </c>
      <c r="GS24" s="575">
        <f>COUNTIFS(STATUS!$Q:$Q,$A24,STATUS!$D:$D,GS$1,STATUS!$K:$K,"РЕШ УВ DONE")</f>
        <v>0</v>
      </c>
      <c r="GT24" s="575">
        <f>COUNTIFS(STATUS!$Q:$Q,$A24,STATUS!$D:$D,GT$1,STATUS!$K:$K,"РЕШ УВ DONE")</f>
        <v>0</v>
      </c>
      <c r="GU24" s="1238">
        <f>SUM(GP24:GT24)</f>
        <v>0</v>
      </c>
      <c r="GV24" s="574">
        <f>COUNTIFS(STATUS!$Q:$Q,$A24,STATUS!$D:$D,GV$1,STATUS!$K:$K,"РЕШ УВ DONE")</f>
        <v>0</v>
      </c>
      <c r="GW24" s="574">
        <f>COUNTIFS(STATUS!$Q:$Q,$A24,STATUS!$D:$D,GW$1,STATUS!$K:$K,"РЕШ УВ DONE")</f>
        <v>0</v>
      </c>
      <c r="GX24" s="574">
        <f>COUNTIFS(STATUS!$Q:$Q,$A24,STATUS!$D:$D,GX$1,STATUS!$K:$K,"РЕШ УВ DONE")</f>
        <v>0</v>
      </c>
      <c r="GY24" s="575">
        <f>COUNTIFS(STATUS!$Q:$Q,$A24,STATUS!$D:$D,GY$1,STATUS!$K:$K,"РЕШ УВ DONE")</f>
        <v>0</v>
      </c>
      <c r="GZ24" s="575">
        <f>COUNTIFS(STATUS!$Q:$Q,$A24,STATUS!$D:$D,GZ$1,STATUS!$K:$K,"РЕШ УВ DONE")</f>
        <v>0</v>
      </c>
      <c r="HA24" s="1238">
        <f>SUM(GV24:GZ24)</f>
        <v>0</v>
      </c>
    </row>
    <row r="25" spans="1:209" x14ac:dyDescent="0.3">
      <c r="A25" s="1556"/>
      <c r="B25" s="428">
        <f>SUM(H25,N25,R25,W25,AC25,AI25,AO25,AU25,BA25,BG25,BM25,BS25,BY25,CE25,CK25,CQ25,CW25,DC25,DI25,DO25,DU25,EA25,EG25,EM25,ES25,EY25,FE25,FK25,FQ25,FW25,GC25,GI25,GO25,GU25,HA25)</f>
        <v>3</v>
      </c>
      <c r="C25" s="577">
        <f>COUNTIFS(STATUS!$Q:$Q,$A24,STATUS!$D:$D,C$1,STATUS!$U:$U,"ВОЗВРАТ")</f>
        <v>0</v>
      </c>
      <c r="D25" s="577">
        <f>COUNTIFS(STATUS!$Q:$Q,$A24,STATUS!$D:$D,D$1,STATUS!$U:$U,"ВОЗВРАТ")</f>
        <v>0</v>
      </c>
      <c r="E25" s="577">
        <f>COUNTIFS(STATUS!$Q:$Q,$A24,STATUS!$D:$D,E$1,STATUS!$U:$U,"ВОЗВРАТ")</f>
        <v>0</v>
      </c>
      <c r="F25" s="577">
        <f>COUNTIFS(STATUS!$Q:$Q,$A24,STATUS!$D:$D,F$1,STATUS!$U:$U,"ВОЗВРАТ")</f>
        <v>0</v>
      </c>
      <c r="G25" s="578">
        <f>COUNTIFS(STATUS!$Q:$Q,$A24,STATUS!$D:$D,G$1,STATUS!$U:$U,"ВОЗВРАТ")</f>
        <v>0</v>
      </c>
      <c r="H25" s="576">
        <f>SUM(C25:G25)</f>
        <v>0</v>
      </c>
      <c r="I25" s="401">
        <f>COUNTIFS(STATUS!$Q:$Q,$A24,STATUS!$D:$D,I$1,STATUS!$U:$U,"ВОЗВРАТ")</f>
        <v>0</v>
      </c>
      <c r="J25" s="306">
        <f>COUNTIFS(STATUS!$Q:$Q,$A24,STATUS!$D:$D,J$1,STATUS!$U:$U,"ВОЗВРАТ")</f>
        <v>0</v>
      </c>
      <c r="K25" s="306">
        <f>COUNTIFS(STATUS!$Q:$Q,$A24,STATUS!$D:$D,K$1,STATUS!$U:$U,"ВОЗВРАТ")</f>
        <v>0</v>
      </c>
      <c r="L25" s="306">
        <f>COUNTIFS(STATUS!$Q:$Q,$A24,STATUS!$D:$D,L$1,STATUS!$U:$U,"ВОЗВРАТ")</f>
        <v>0</v>
      </c>
      <c r="M25" s="440">
        <f>COUNTIFS(STATUS!$Q:$Q,$A24,STATUS!$D:$D,M$1,STATUS!$U:$U,"ВОЗВРАТ")</f>
        <v>0</v>
      </c>
      <c r="N25" s="576">
        <f>SUM(I25:M25)</f>
        <v>0</v>
      </c>
      <c r="O25" s="1240">
        <f>COUNTIFS(STATUS!$Q:$Q,$A24,STATUS!$D:$D,O$1,STATUS!$U:$U,"ВОЗВРАТ")</f>
        <v>0</v>
      </c>
      <c r="P25" s="577">
        <f>COUNTIFS(STATUS!$Q:$Q,$A24,STATUS!$D:$D,P$1,STATUS!$U:$U,"ВОЗВРАТ")</f>
        <v>0</v>
      </c>
      <c r="Q25" s="577">
        <f>COUNTIFS(STATUS!$Q:$Q,$A24,STATUS!$D:$D,Q$1,STATUS!$U:$U,"ВОЗВРАТ")</f>
        <v>0</v>
      </c>
      <c r="R25" s="576">
        <f>SUM(O25:Q25)</f>
        <v>0</v>
      </c>
      <c r="S25" s="577">
        <f>COUNTIFS(STATUS!$Q:$Q,$A24,STATUS!$D:$D,S$1,STATUS!$U:$U,"ВОЗВРАТ")</f>
        <v>0</v>
      </c>
      <c r="T25" s="577">
        <f>COUNTIFS(STATUS!$Q:$Q,$A24,STATUS!$D:$D,T$1,STATUS!$U:$U,"ВОЗВРАТ")</f>
        <v>0</v>
      </c>
      <c r="U25" s="577">
        <f>COUNTIFS(STATUS!$Q:$Q,$A24,STATUS!$D:$D,U$1,STATUS!$U:$U,"ВОЗВРАТ")</f>
        <v>0</v>
      </c>
      <c r="V25" s="578">
        <f>COUNTIFS(STATUS!$Q:$Q,$A24,STATUS!$D:$D,V$1,STATUS!$U:$U,"ВОЗВРАТ")</f>
        <v>0</v>
      </c>
      <c r="W25" s="576">
        <f>SUM(S25:V25)</f>
        <v>0</v>
      </c>
      <c r="X25" s="577">
        <f>COUNTIFS(STATUS!$Q:$Q,$A24,STATUS!$D:$D,X$1,STATUS!$U:$U,"ВОЗВРАТ")</f>
        <v>0</v>
      </c>
      <c r="Y25" s="577">
        <f>COUNTIFS(STATUS!$Q:$Q,$A24,STATUS!$D:$D,Y$1,STATUS!$U:$U,"ВОЗВРАТ")</f>
        <v>0</v>
      </c>
      <c r="Z25" s="577">
        <f>COUNTIFS(STATUS!$Q:$Q,$A24,STATUS!$D:$D,Z$1,STATUS!$U:$U,"ВОЗВРАТ")</f>
        <v>0</v>
      </c>
      <c r="AA25" s="578">
        <f>COUNTIFS(STATUS!$Q:$Q,$A24,STATUS!$D:$D,AA$1,STATUS!$U:$U,"ВОЗВРАТ")</f>
        <v>0</v>
      </c>
      <c r="AB25" s="578">
        <f>COUNTIFS(STATUS!$Q:$Q,$A24,STATUS!$D:$D,AB$1,STATUS!$U:$U,"ВОЗВРАТ")</f>
        <v>0</v>
      </c>
      <c r="AC25" s="576">
        <f>SUM(X25:AB25)</f>
        <v>0</v>
      </c>
      <c r="AD25" s="577">
        <f>COUNTIFS(STATUS!$Q:$Q,$A24,STATUS!$D:$D,AD$1,STATUS!$U:$U,"ВОЗВРАТ")</f>
        <v>0</v>
      </c>
      <c r="AE25" s="577">
        <f>COUNTIFS(STATUS!$Q:$Q,$A24,STATUS!$D:$D,AE$1,STATUS!$U:$U,"ВОЗВРАТ")</f>
        <v>0</v>
      </c>
      <c r="AF25" s="577">
        <f>COUNTIFS(STATUS!$Q:$Q,$A24,STATUS!$D:$D,AF$1,STATUS!$U:$U,"ВОЗВРАТ")</f>
        <v>0</v>
      </c>
      <c r="AG25" s="578">
        <f>COUNTIFS(STATUS!$Q:$Q,$A24,STATUS!$D:$D,AG$1,STATUS!$U:$U,"ВОЗВРАТ")</f>
        <v>0</v>
      </c>
      <c r="AH25" s="578">
        <f>COUNTIFS(STATUS!$Q:$Q,$A24,STATUS!$D:$D,AH$1,STATUS!$U:$U,"ВОЗВРАТ")</f>
        <v>0</v>
      </c>
      <c r="AI25" s="576">
        <f>SUM(AD25:AH25)</f>
        <v>0</v>
      </c>
      <c r="AJ25" s="577">
        <f>COUNTIFS(STATUS!$Q:$Q,$A24,STATUS!$D:$D,AJ$1,STATUS!$U:$U,"ВОЗВРАТ")</f>
        <v>0</v>
      </c>
      <c r="AK25" s="577">
        <f>COUNTIFS(STATUS!$Q:$Q,$A24,STATUS!$D:$D,AK$1,STATUS!$U:$U,"ВОЗВРАТ")</f>
        <v>0</v>
      </c>
      <c r="AL25" s="577">
        <f>COUNTIFS(STATUS!$Q:$Q,$A24,STATUS!$D:$D,AL$1,STATUS!$U:$U,"ВОЗВРАТ")</f>
        <v>0</v>
      </c>
      <c r="AM25" s="578">
        <f>COUNTIFS(STATUS!$Q:$Q,$A24,STATUS!$D:$D,AM$1,STATUS!$U:$U,"ВОЗВРАТ")</f>
        <v>0</v>
      </c>
      <c r="AN25" s="578">
        <f>COUNTIFS(STATUS!$Q:$Q,$A24,STATUS!$D:$D,AN$1,STATUS!$U:$U,"ВОЗВРАТ")</f>
        <v>0</v>
      </c>
      <c r="AO25" s="576">
        <f>SUM(AJ25:AN25)</f>
        <v>0</v>
      </c>
      <c r="AP25" s="577">
        <f>COUNTIFS(STATUS!$Q:$Q,$A24,STATUS!$D:$D,AP$1,STATUS!$U:$U,"ВОЗВРАТ")</f>
        <v>0</v>
      </c>
      <c r="AQ25" s="577">
        <f>COUNTIFS(STATUS!$Q:$Q,$A24,STATUS!$D:$D,AQ$1,STATUS!$U:$U,"ВОЗВРАТ")</f>
        <v>0</v>
      </c>
      <c r="AR25" s="577">
        <f>COUNTIFS(STATUS!$Q:$Q,$A24,STATUS!$D:$D,AR$1,STATUS!$U:$U,"ВОЗВРАТ")</f>
        <v>0</v>
      </c>
      <c r="AS25" s="578">
        <f>COUNTIFS(STATUS!$Q:$Q,$A24,STATUS!$D:$D,AS$1,STATUS!$U:$U,"ВОЗВРАТ")</f>
        <v>0</v>
      </c>
      <c r="AT25" s="578">
        <f>COUNTIFS(STATUS!$Q:$Q,$A24,STATUS!$D:$D,AT$1,STATUS!$U:$U,"ВОЗВРАТ")</f>
        <v>0</v>
      </c>
      <c r="AU25" s="576">
        <f>SUM(AP25:AT25)</f>
        <v>0</v>
      </c>
      <c r="AV25" s="577">
        <f>COUNTIFS(STATUS!$Q:$Q,$A24,STATUS!$D:$D,AV$1,STATUS!$U:$U,"ВОЗВРАТ")</f>
        <v>0</v>
      </c>
      <c r="AW25" s="577">
        <f>COUNTIFS(STATUS!$Q:$Q,$A24,STATUS!$D:$D,AW$1,STATUS!$U:$U,"ВОЗВРАТ")</f>
        <v>0</v>
      </c>
      <c r="AX25" s="577">
        <f>COUNTIFS(STATUS!$Q:$Q,$A24,STATUS!$D:$D,AX$1,STATUS!$U:$U,"ВОЗВРАТ")</f>
        <v>0</v>
      </c>
      <c r="AY25" s="578">
        <f>COUNTIFS(STATUS!$Q:$Q,$A24,STATUS!$D:$D,AY$1,STATUS!$U:$U,"ВОЗВРАТ")</f>
        <v>0</v>
      </c>
      <c r="AZ25" s="578">
        <f>COUNTIFS(STATUS!$Q:$Q,$A24,STATUS!$D:$D,AZ$1,STATUS!$U:$U,"ВОЗВРАТ")</f>
        <v>0</v>
      </c>
      <c r="BA25" s="576">
        <f>SUM(AV25:AZ25)</f>
        <v>0</v>
      </c>
      <c r="BB25" s="577">
        <f>COUNTIFS(STATUS!$Q:$Q,$A24,STATUS!$D:$D,BB$1,STATUS!$U:$U,"ВОЗВРАТ")</f>
        <v>0</v>
      </c>
      <c r="BC25" s="577">
        <f>COUNTIFS(STATUS!$Q:$Q,$A24,STATUS!$D:$D,BC$1,STATUS!$U:$U,"ВОЗВРАТ")</f>
        <v>0</v>
      </c>
      <c r="BD25" s="577">
        <f>COUNTIFS(STATUS!$Q:$Q,$A24,STATUS!$D:$D,BD$1,STATUS!$U:$U,"ВОЗВРАТ")</f>
        <v>0</v>
      </c>
      <c r="BE25" s="578">
        <f>COUNTIFS(STATUS!$Q:$Q,$A24,STATUS!$D:$D,BE$1,STATUS!$U:$U,"ВОЗВРАТ")</f>
        <v>0</v>
      </c>
      <c r="BF25" s="578">
        <f>COUNTIFS(STATUS!$Q:$Q,$A24,STATUS!$D:$D,BF$1,STATUS!$U:$U,"ВОЗВРАТ")</f>
        <v>0</v>
      </c>
      <c r="BG25" s="576">
        <f>SUM(BB25:BF25)</f>
        <v>0</v>
      </c>
      <c r="BH25" s="577">
        <f>COUNTIFS(STATUS!$Q:$Q,$A24,STATUS!$D:$D,BH$1,STATUS!$U:$U,"ВОЗВРАТ")</f>
        <v>0</v>
      </c>
      <c r="BI25" s="577">
        <f>COUNTIFS(STATUS!$Q:$Q,$A24,STATUS!$D:$D,BI$1,STATUS!$U:$U,"ВОЗВРАТ")</f>
        <v>0</v>
      </c>
      <c r="BJ25" s="577">
        <f>COUNTIFS(STATUS!$Q:$Q,$A24,STATUS!$D:$D,BJ$1,STATUS!$U:$U,"ВОЗВРАТ")</f>
        <v>0</v>
      </c>
      <c r="BK25" s="578">
        <f>COUNTIFS(STATUS!$Q:$Q,$A24,STATUS!$D:$D,BK$1,STATUS!$U:$U,"ВОЗВРАТ")</f>
        <v>0</v>
      </c>
      <c r="BL25" s="578">
        <f>COUNTIFS(STATUS!$Q:$Q,$A24,STATUS!$D:$D,BL$1,STATUS!$U:$U,"ВОЗВРАТ")</f>
        <v>0</v>
      </c>
      <c r="BM25" s="576">
        <f>SUM(BH25:BL25)</f>
        <v>0</v>
      </c>
      <c r="BN25" s="577">
        <f>COUNTIFS(STATUS!$Q:$Q,$A24,STATUS!$D:$D,BN$1,STATUS!$U:$U,"ВОЗВРАТ")</f>
        <v>0</v>
      </c>
      <c r="BO25" s="577">
        <f>COUNTIFS(STATUS!$Q:$Q,$A24,STATUS!$D:$D,BO$1,STATUS!$U:$U,"ВОЗВРАТ")</f>
        <v>0</v>
      </c>
      <c r="BP25" s="577">
        <f>COUNTIFS(STATUS!$Q:$Q,$A24,STATUS!$D:$D,BP$1,STATUS!$U:$U,"ВОЗВРАТ")</f>
        <v>0</v>
      </c>
      <c r="BQ25" s="578">
        <f>COUNTIFS(STATUS!$Q:$Q,$A24,STATUS!$D:$D,BQ$1,STATUS!$U:$U,"ВОЗВРАТ")</f>
        <v>0</v>
      </c>
      <c r="BR25" s="578">
        <f>COUNTIFS(STATUS!$Q:$Q,$A24,STATUS!$D:$D,BR$1,STATUS!$U:$U,"ВОЗВРАТ")</f>
        <v>0</v>
      </c>
      <c r="BS25" s="576">
        <f>SUM(BN25:BR25)</f>
        <v>0</v>
      </c>
      <c r="BT25" s="577">
        <f>COUNTIFS(STATUS!$Q:$Q,$A24,STATUS!$D:$D,BT$1,STATUS!$U:$U,"ВОЗВРАТ")</f>
        <v>0</v>
      </c>
      <c r="BU25" s="577">
        <f>COUNTIFS(STATUS!$Q:$Q,$A24,STATUS!$D:$D,BU$1,STATUS!$U:$U,"ВОЗВРАТ")</f>
        <v>0</v>
      </c>
      <c r="BV25" s="577">
        <f>COUNTIFS(STATUS!$Q:$Q,$A24,STATUS!$D:$D,BV$1,STATUS!$U:$U,"ВОЗВРАТ")</f>
        <v>0</v>
      </c>
      <c r="BW25" s="578">
        <f>COUNTIFS(STATUS!$Q:$Q,$A24,STATUS!$D:$D,BW$1,STATUS!$U:$U,"ВОЗВРАТ")</f>
        <v>0</v>
      </c>
      <c r="BX25" s="578">
        <f>COUNTIFS(STATUS!$Q:$Q,$A24,STATUS!$D:$D,BX$1,STATUS!$U:$U,"ВОЗВРАТ")</f>
        <v>0</v>
      </c>
      <c r="BY25" s="576">
        <f>SUM(BT25:BX25)</f>
        <v>0</v>
      </c>
      <c r="BZ25" s="306">
        <f>COUNTIFS(STATUS!$Q:$Q,$A24,STATUS!$D:$D,BZ$1,STATUS!$U:$U,"ВОЗВРАТ")</f>
        <v>0</v>
      </c>
      <c r="CA25" s="306">
        <f>COUNTIFS(STATUS!$Q:$Q,$A24,STATUS!$D:$D,CA$1,STATUS!$U:$U,"ВОЗВРАТ")</f>
        <v>0</v>
      </c>
      <c r="CB25" s="306">
        <f>COUNTIFS(STATUS!$Q:$Q,$A24,STATUS!$D:$D,CB$1,STATUS!$U:$U,"ВОЗВРАТ")</f>
        <v>0</v>
      </c>
      <c r="CC25" s="440">
        <f>COUNTIFS(STATUS!$Q:$Q,$A24,STATUS!$D:$D,CC$1,STATUS!$U:$U,"ВОЗВРАТ")</f>
        <v>0</v>
      </c>
      <c r="CD25" s="440">
        <f>COUNTIFS(STATUS!$Q:$Q,$A24,STATUS!$D:$D,CD$1,STATUS!$U:$U,"ВОЗВРАТ")</f>
        <v>0</v>
      </c>
      <c r="CE25" s="576">
        <f>SUM(BZ25:CD25)</f>
        <v>0</v>
      </c>
      <c r="CF25" s="306">
        <f>COUNTIFS(STATUS!$Q:$Q,$A24,STATUS!$D:$D,CF$1,STATUS!$U:$U,"ВОЗВРАТ")</f>
        <v>0</v>
      </c>
      <c r="CG25" s="306">
        <f>COUNTIFS(STATUS!$Q:$Q,$A24,STATUS!$D:$D,CG$1,STATUS!$U:$U,"ВОЗВРАТ")</f>
        <v>0</v>
      </c>
      <c r="CH25" s="306">
        <f>COUNTIFS(STATUS!$Q:$Q,$A24,STATUS!$D:$D,CH$1,STATUS!$U:$U,"ВОЗВРАТ")</f>
        <v>0</v>
      </c>
      <c r="CI25" s="440">
        <f>COUNTIFS(STATUS!$Q:$Q,$A24,STATUS!$D:$D,CI$1,STATUS!$U:$U,"ВОЗВРАТ")</f>
        <v>0</v>
      </c>
      <c r="CJ25" s="440">
        <f>COUNTIFS(STATUS!$Q:$Q,$A24,STATUS!$D:$D,CJ$1,STATUS!$U:$U,"ВОЗВРАТ")</f>
        <v>0</v>
      </c>
      <c r="CK25" s="576">
        <f>SUM(CF25:CJ25)</f>
        <v>0</v>
      </c>
      <c r="CL25" s="306">
        <f>COUNTIFS(STATUS!$Q:$Q,$A24,STATUS!$D:$D,CL$1,STATUS!$U:$U,"ВОЗВРАТ")</f>
        <v>0</v>
      </c>
      <c r="CM25" s="306">
        <f>COUNTIFS(STATUS!$Q:$Q,$A24,STATUS!$D:$D,CM$1,STATUS!$U:$U,"ВОЗВРАТ")</f>
        <v>0</v>
      </c>
      <c r="CN25" s="306">
        <f>COUNTIFS(STATUS!$Q:$Q,$A24,STATUS!$D:$D,CN$1,STATUS!$U:$U,"ВОЗВРАТ")</f>
        <v>1</v>
      </c>
      <c r="CO25" s="440">
        <f>COUNTIFS(STATUS!$Q:$Q,$A24,STATUS!$D:$D,CO$1,STATUS!$U:$U,"ВОЗВРАТ")</f>
        <v>0</v>
      </c>
      <c r="CP25" s="440">
        <f>COUNTIFS(STATUS!$Q:$Q,$A24,STATUS!$D:$D,CP$1,STATUS!$U:$U,"ВОЗВРАТ")</f>
        <v>1</v>
      </c>
      <c r="CQ25" s="572">
        <f>SUM(CL25:CP25)</f>
        <v>2</v>
      </c>
      <c r="CR25" s="1243">
        <f>COUNTIFS(STATUS!$Q:$Q,$A24,STATUS!$D:$D,CR$1,STATUS!$U:$U,"ВОЗВРАТ")</f>
        <v>0</v>
      </c>
      <c r="CS25" s="1243">
        <f>COUNTIFS(STATUS!$Q:$Q,$A24,STATUS!$D:$D,CS$1,STATUS!$U:$U,"ВОЗВРАТ")</f>
        <v>0</v>
      </c>
      <c r="CT25" s="1243">
        <f>COUNTIFS(STATUS!$Q:$Q,$A24,STATUS!$D:$D,CT$1,STATUS!$U:$U,"ВОЗВРАТ")</f>
        <v>0</v>
      </c>
      <c r="CU25" s="1244">
        <f>COUNTIFS(STATUS!$Q:$Q,$A24,STATUS!$D:$D,CU$1,STATUS!$U:$U,"ВОЗВРАТ")</f>
        <v>0</v>
      </c>
      <c r="CV25" s="1244">
        <f>COUNTIFS(STATUS!$Q:$Q,$A24,STATUS!$D:$D,CV$1,STATUS!$U:$U,"ВОЗВРАТ")</f>
        <v>0</v>
      </c>
      <c r="CW25" s="572">
        <f>SUM(CR25:CV25)</f>
        <v>0</v>
      </c>
      <c r="CX25" s="306">
        <f>COUNTIFS(STATUS!$Q:$Q,$A24,STATUS!$D:$D,CX$1,STATUS!$U:$U,"ВОЗВРАТ")</f>
        <v>0</v>
      </c>
      <c r="CY25" s="306">
        <f>COUNTIFS(STATUS!$Q:$Q,$A24,STATUS!$D:$D,CY$1,STATUS!$U:$U,"ВОЗВРАТ")</f>
        <v>1</v>
      </c>
      <c r="CZ25" s="306">
        <f>COUNTIFS(STATUS!$Q:$Q,$A24,STATUS!$D:$D,CZ$1,STATUS!$U:$U,"ВОЗВРАТ")</f>
        <v>0</v>
      </c>
      <c r="DA25" s="440">
        <f>COUNTIFS(STATUS!$Q:$Q,$A24,STATUS!$D:$D,DA$1,STATUS!$U:$U,"ВОЗВРАТ")</f>
        <v>0</v>
      </c>
      <c r="DB25" s="440">
        <f>COUNTIFS(STATUS!$Q:$Q,$A24,STATUS!$D:$D,DB$1,STATUS!$U:$U,"ВОЗВРАТ")</f>
        <v>0</v>
      </c>
      <c r="DC25" s="572">
        <f>SUM(CX25:DB25)</f>
        <v>1</v>
      </c>
      <c r="DD25" s="577">
        <f>COUNTIFS(STATUS!$Q:$Q,$A24,STATUS!$D:$D,DD$1,STATUS!$U:$U,"ВОЗВРАТ")</f>
        <v>0</v>
      </c>
      <c r="DE25" s="577">
        <f>COUNTIFS(STATUS!$Q:$Q,$A24,STATUS!$D:$D,DE$1,STATUS!$U:$U,"ВОЗВРАТ")</f>
        <v>0</v>
      </c>
      <c r="DF25" s="577">
        <f>COUNTIFS(STATUS!$Q:$Q,$A24,STATUS!$D:$D,DF$1,STATUS!$U:$U,"ВОЗВРАТ")</f>
        <v>0</v>
      </c>
      <c r="DG25" s="578">
        <f>COUNTIFS(STATUS!$Q:$Q,$A24,STATUS!$D:$D,DG$1,STATUS!$U:$U,"ВОЗВРАТ")</f>
        <v>0</v>
      </c>
      <c r="DH25" s="578">
        <f>COUNTIFS(STATUS!$Q:$Q,$A24,STATUS!$D:$D,DH$1,STATUS!$U:$U,"ВОЗВРАТ")</f>
        <v>0</v>
      </c>
      <c r="DI25" s="576">
        <f>SUM(DD25:DH25)</f>
        <v>0</v>
      </c>
      <c r="DJ25" s="577">
        <f>COUNTIFS(STATUS!$Q:$Q,$A24,STATUS!$D:$D,DJ$1,STATUS!$U:$U,"ВОЗВРАТ")</f>
        <v>0</v>
      </c>
      <c r="DK25" s="577">
        <f>COUNTIFS(STATUS!$Q:$Q,$A24,STATUS!$D:$D,DK$1,STATUS!$U:$U,"ВОЗВРАТ")</f>
        <v>0</v>
      </c>
      <c r="DL25" s="577">
        <f>COUNTIFS(STATUS!$Q:$Q,$A24,STATUS!$D:$D,DL$1,STATUS!$U:$U,"ВОЗВРАТ")</f>
        <v>0</v>
      </c>
      <c r="DM25" s="578">
        <f>COUNTIFS(STATUS!$Q:$Q,$A24,STATUS!$D:$D,DM$1,STATUS!$U:$U,"ВОЗВРАТ")</f>
        <v>0</v>
      </c>
      <c r="DN25" s="578">
        <f>COUNTIFS(STATUS!$Q:$Q,$A24,STATUS!$D:$D,DN$1,STATUS!$U:$U,"ВОЗВРАТ")</f>
        <v>0</v>
      </c>
      <c r="DO25" s="576">
        <f>SUM(DJ25:DN25)</f>
        <v>0</v>
      </c>
      <c r="DP25" s="577">
        <f>COUNTIFS(STATUS!$Q:$Q,$A24,STATUS!$D:$D,DP$1,STATUS!$U:$U,"ВОЗВРАТ")</f>
        <v>0</v>
      </c>
      <c r="DQ25" s="577">
        <f>COUNTIFS(STATUS!$Q:$Q,$A24,STATUS!$D:$D,DQ$1,STATUS!$U:$U,"ВОЗВРАТ")</f>
        <v>0</v>
      </c>
      <c r="DR25" s="577">
        <f>COUNTIFS(STATUS!$Q:$Q,$A24,STATUS!$D:$D,DR$1,STATUS!$U:$U,"ВОЗВРАТ")</f>
        <v>0</v>
      </c>
      <c r="DS25" s="578">
        <f>COUNTIFS(STATUS!$Q:$Q,$A24,STATUS!$D:$D,DS$1,STATUS!$U:$U,"ВОЗВРАТ")</f>
        <v>0</v>
      </c>
      <c r="DT25" s="578">
        <f>COUNTIFS(STATUS!$Q:$Q,$A24,STATUS!$D:$D,DT$1,STATUS!$U:$U,"ВОЗВРАТ")</f>
        <v>0</v>
      </c>
      <c r="DU25" s="576">
        <f>SUM(DP25:DT25)</f>
        <v>0</v>
      </c>
      <c r="DV25" s="577">
        <f>COUNTIFS(STATUS!$Q:$Q,$A24,STATUS!$D:$D,DV$1,STATUS!$U:$U,"ВОЗВРАТ")</f>
        <v>0</v>
      </c>
      <c r="DW25" s="577">
        <f>COUNTIFS(STATUS!$Q:$Q,$A24,STATUS!$D:$D,DW$1,STATUS!$U:$U,"ВОЗВРАТ")</f>
        <v>0</v>
      </c>
      <c r="DX25" s="577">
        <f>COUNTIFS(STATUS!$Q:$Q,$A24,STATUS!$D:$D,DX$1,STATUS!$U:$U,"ВОЗВРАТ")</f>
        <v>0</v>
      </c>
      <c r="DY25" s="578">
        <f>COUNTIFS(STATUS!$Q:$Q,$A24,STATUS!$D:$D,DY$1,STATUS!$U:$U,"ВОЗВРАТ")</f>
        <v>0</v>
      </c>
      <c r="DZ25" s="578">
        <f>COUNTIFS(STATUS!$Q:$Q,$A24,STATUS!$D:$D,DZ$1,STATUS!$U:$U,"ВОЗВРАТ")</f>
        <v>0</v>
      </c>
      <c r="EA25" s="576">
        <f>SUM(DV25:DZ25)</f>
        <v>0</v>
      </c>
      <c r="EB25" s="577">
        <f>COUNTIFS(STATUS!$Q:$Q,$A24,STATUS!$D:$D,EB$1,STATUS!$U:$U,"ВОЗВРАТ")</f>
        <v>0</v>
      </c>
      <c r="EC25" s="577">
        <f>COUNTIFS(STATUS!$Q:$Q,$A24,STATUS!$D:$D,EC$1,STATUS!$U:$U,"ВОЗВРАТ")</f>
        <v>0</v>
      </c>
      <c r="ED25" s="577">
        <f>COUNTIFS(STATUS!$Q:$Q,$A24,STATUS!$D:$D,ED$1,STATUS!$U:$U,"ВОЗВРАТ")</f>
        <v>0</v>
      </c>
      <c r="EE25" s="578">
        <f>COUNTIFS(STATUS!$Q:$Q,$A24,STATUS!$D:$D,EE$1,STATUS!$U:$U,"ВОЗВРАТ")</f>
        <v>0</v>
      </c>
      <c r="EF25" s="578">
        <f>COUNTIFS(STATUS!$Q:$Q,$A24,STATUS!$D:$D,EF$1,STATUS!$U:$U,"ВОЗВРАТ")</f>
        <v>0</v>
      </c>
      <c r="EG25" s="576">
        <f>SUM(EB25:EF25)</f>
        <v>0</v>
      </c>
      <c r="EH25" s="577">
        <f>COUNTIFS(STATUS!$Q:$Q,$A24,STATUS!$D:$D,EH$1,STATUS!$U:$U,"ВОЗВРАТ")</f>
        <v>0</v>
      </c>
      <c r="EI25" s="577">
        <f>COUNTIFS(STATUS!$Q:$Q,$A24,STATUS!$D:$D,EI$1,STATUS!$U:$U,"ВОЗВРАТ")</f>
        <v>0</v>
      </c>
      <c r="EJ25" s="577">
        <f>COUNTIFS(STATUS!$Q:$Q,$A24,STATUS!$D:$D,EJ$1,STATUS!$U:$U,"ВОЗВРАТ")</f>
        <v>0</v>
      </c>
      <c r="EK25" s="578">
        <f>COUNTIFS(STATUS!$Q:$Q,$A24,STATUS!$D:$D,EK$1,STATUS!$U:$U,"ВОЗВРАТ")</f>
        <v>0</v>
      </c>
      <c r="EL25" s="578">
        <f>COUNTIFS(STATUS!$Q:$Q,$A24,STATUS!$D:$D,EL$1,STATUS!$U:$U,"ВОЗВРАТ")</f>
        <v>0</v>
      </c>
      <c r="EM25" s="576">
        <f>SUM(EH25:EL25)</f>
        <v>0</v>
      </c>
      <c r="EN25" s="577">
        <f>COUNTIFS(STATUS!$Q:$Q,$A24,STATUS!$D:$D,EN$1,STATUS!$U:$U,"ВОЗВРАТ")</f>
        <v>0</v>
      </c>
      <c r="EO25" s="577">
        <f>COUNTIFS(STATUS!$Q:$Q,$A24,STATUS!$D:$D,EO$1,STATUS!$U:$U,"ВОЗВРАТ")</f>
        <v>0</v>
      </c>
      <c r="EP25" s="577">
        <f>COUNTIFS(STATUS!$Q:$Q,$A24,STATUS!$D:$D,EP$1,STATUS!$U:$U,"ВОЗВРАТ")</f>
        <v>0</v>
      </c>
      <c r="EQ25" s="578">
        <f>COUNTIFS(STATUS!$Q:$Q,$A24,STATUS!$D:$D,EQ$1,STATUS!$U:$U,"ВОЗВРАТ")</f>
        <v>0</v>
      </c>
      <c r="ER25" s="578">
        <f>COUNTIFS(STATUS!$Q:$Q,$A24,STATUS!$D:$D,ER$1,STATUS!$U:$U,"ВОЗВРАТ")</f>
        <v>0</v>
      </c>
      <c r="ES25" s="576">
        <f>SUM(EN25:ER25)</f>
        <v>0</v>
      </c>
      <c r="ET25" s="577">
        <f>COUNTIFS(STATUS!$Q:$Q,$A24,STATUS!$D:$D,ET$1,STATUS!$U:$U,"ВОЗВРАТ")</f>
        <v>0</v>
      </c>
      <c r="EU25" s="577">
        <f>COUNTIFS(STATUS!$Q:$Q,$A24,STATUS!$D:$D,EU$1,STATUS!$U:$U,"ВОЗВРАТ")</f>
        <v>0</v>
      </c>
      <c r="EV25" s="577">
        <f>COUNTIFS(STATUS!$Q:$Q,$A24,STATUS!$D:$D,EV$1,STATUS!$U:$U,"ВОЗВРАТ")</f>
        <v>0</v>
      </c>
      <c r="EW25" s="578">
        <f>COUNTIFS(STATUS!$Q:$Q,$A24,STATUS!$D:$D,EW$1,STATUS!$U:$U,"ВОЗВРАТ")</f>
        <v>0</v>
      </c>
      <c r="EX25" s="578">
        <f>COUNTIFS(STATUS!$Q:$Q,$A24,STATUS!$D:$D,EX$1,STATUS!$U:$U,"ВОЗВРАТ")</f>
        <v>0</v>
      </c>
      <c r="EY25" s="576">
        <f>SUM(ET25:EX25)</f>
        <v>0</v>
      </c>
      <c r="EZ25" s="577">
        <f>COUNTIFS(STATUS!$Q:$Q,$A24,STATUS!$D:$D,EZ$1,STATUS!$U:$U,"ВОЗВРАТ")</f>
        <v>0</v>
      </c>
      <c r="FA25" s="577">
        <f>COUNTIFS(STATUS!$Q:$Q,$A24,STATUS!$D:$D,FA$1,STATUS!$U:$U,"ВОЗВРАТ")</f>
        <v>0</v>
      </c>
      <c r="FB25" s="577">
        <f>COUNTIFS(STATUS!$Q:$Q,$A24,STATUS!$D:$D,FB$1,STATUS!$U:$U,"ВОЗВРАТ")</f>
        <v>0</v>
      </c>
      <c r="FC25" s="578">
        <f>COUNTIFS(STATUS!$Q:$Q,$A24,STATUS!$D:$D,FC$1,STATUS!$U:$U,"ВОЗВРАТ")</f>
        <v>0</v>
      </c>
      <c r="FD25" s="578">
        <f>COUNTIFS(STATUS!$Q:$Q,$A24,STATUS!$D:$D,FD$1,STATUS!$U:$U,"ВОЗВРАТ")</f>
        <v>0</v>
      </c>
      <c r="FE25" s="576">
        <f>SUM(EZ25:FD25)</f>
        <v>0</v>
      </c>
      <c r="FF25" s="577">
        <f>COUNTIFS(STATUS!$Q:$Q,$A24,STATUS!$D:$D,FF$1,STATUS!$U:$U,"ВОЗВРАТ")</f>
        <v>0</v>
      </c>
      <c r="FG25" s="577">
        <f>COUNTIFS(STATUS!$Q:$Q,$A24,STATUS!$D:$D,FG$1,STATUS!$U:$U,"ВОЗВРАТ")</f>
        <v>0</v>
      </c>
      <c r="FH25" s="577">
        <f>COUNTIFS(STATUS!$Q:$Q,$A24,STATUS!$D:$D,FH$1,STATUS!$U:$U,"ВОЗВРАТ")</f>
        <v>0</v>
      </c>
      <c r="FI25" s="578">
        <f>COUNTIFS(STATUS!$Q:$Q,$A24,STATUS!$D:$D,FI$1,STATUS!$U:$U,"ВОЗВРАТ")</f>
        <v>0</v>
      </c>
      <c r="FJ25" s="578">
        <f>COUNTIFS(STATUS!$Q:$Q,$A24,STATUS!$D:$D,FJ$1,STATUS!$U:$U,"ВОЗВРАТ")</f>
        <v>0</v>
      </c>
      <c r="FK25" s="576">
        <f>SUM(FF25:FJ25)</f>
        <v>0</v>
      </c>
      <c r="FL25" s="577">
        <f>COUNTIFS(STATUS!$Q:$Q,$A24,STATUS!$D:$D,FL$1,STATUS!$U:$U,"ВОЗВРАТ")</f>
        <v>0</v>
      </c>
      <c r="FM25" s="577">
        <f>COUNTIFS(STATUS!$Q:$Q,$A24,STATUS!$D:$D,FM$1,STATUS!$U:$U,"ВОЗВРАТ")</f>
        <v>0</v>
      </c>
      <c r="FN25" s="577">
        <f>COUNTIFS(STATUS!$Q:$Q,$A24,STATUS!$D:$D,FN$1,STATUS!$U:$U,"ВОЗВРАТ")</f>
        <v>0</v>
      </c>
      <c r="FO25" s="578">
        <f>COUNTIFS(STATUS!$Q:$Q,$A24,STATUS!$D:$D,FO$1,STATUS!$U:$U,"ВОЗВРАТ")</f>
        <v>0</v>
      </c>
      <c r="FP25" s="578">
        <f>COUNTIFS(STATUS!$Q:$Q,$A24,STATUS!$D:$D,FP$1,STATUS!$U:$U,"ВОЗВРАТ")</f>
        <v>0</v>
      </c>
      <c r="FQ25" s="576">
        <f>SUM(FL25:FP25)</f>
        <v>0</v>
      </c>
      <c r="FR25" s="577">
        <f>COUNTIFS(STATUS!$Q:$Q,$A24,STATUS!$D:$D,FR$1,STATUS!$U:$U,"ВОЗВРАТ")</f>
        <v>0</v>
      </c>
      <c r="FS25" s="577">
        <f>COUNTIFS(STATUS!$Q:$Q,$A24,STATUS!$D:$D,FS$1,STATUS!$U:$U,"ВОЗВРАТ")</f>
        <v>0</v>
      </c>
      <c r="FT25" s="577">
        <f>COUNTIFS(STATUS!$Q:$Q,$A24,STATUS!$D:$D,FT$1,STATUS!$U:$U,"ВОЗВРАТ")</f>
        <v>0</v>
      </c>
      <c r="FU25" s="578">
        <f>COUNTIFS(STATUS!$Q:$Q,$A24,STATUS!$D:$D,FU$1,STATUS!$U:$U,"ВОЗВРАТ")</f>
        <v>0</v>
      </c>
      <c r="FV25" s="578">
        <f>COUNTIFS(STATUS!$Q:$Q,$A24,STATUS!$D:$D,FV$1,STATUS!$U:$U,"ВОЗВРАТ")</f>
        <v>0</v>
      </c>
      <c r="FW25" s="576">
        <f>SUM(FR25:FV25)</f>
        <v>0</v>
      </c>
      <c r="FX25" s="577">
        <f>COUNTIFS(STATUS!$Q:$Q,$A24,STATUS!$D:$D,FX$1,STATUS!$U:$U,"ВОЗВРАТ")</f>
        <v>0</v>
      </c>
      <c r="FY25" s="577">
        <f>COUNTIFS(STATUS!$Q:$Q,$A24,STATUS!$D:$D,FY$1,STATUS!$U:$U,"ВОЗВРАТ")</f>
        <v>0</v>
      </c>
      <c r="FZ25" s="577">
        <f>COUNTIFS(STATUS!$Q:$Q,$A24,STATUS!$D:$D,FZ$1,STATUS!$U:$U,"ВОЗВРАТ")</f>
        <v>0</v>
      </c>
      <c r="GA25" s="578">
        <f>COUNTIFS(STATUS!$Q:$Q,$A24,STATUS!$D:$D,GA$1,STATUS!$U:$U,"ВОЗВРАТ")</f>
        <v>0</v>
      </c>
      <c r="GB25" s="578">
        <f>COUNTIFS(STATUS!$Q:$Q,$A24,STATUS!$D:$D,GB$1,STATUS!$U:$U,"ВОЗВРАТ")</f>
        <v>0</v>
      </c>
      <c r="GC25" s="576">
        <f>SUM(FX25:GB25)</f>
        <v>0</v>
      </c>
      <c r="GD25" s="577">
        <f>COUNTIFS(STATUS!$Q:$Q,$A24,STATUS!$D:$D,GD$1,STATUS!$U:$U,"ВОЗВРАТ")</f>
        <v>0</v>
      </c>
      <c r="GE25" s="577">
        <f>COUNTIFS(STATUS!$Q:$Q,$A24,STATUS!$D:$D,GE$1,STATUS!$U:$U,"ВОЗВРАТ")</f>
        <v>0</v>
      </c>
      <c r="GF25" s="577">
        <f>COUNTIFS(STATUS!$Q:$Q,$A24,STATUS!$D:$D,GF$1,STATUS!$U:$U,"ВОЗВРАТ")</f>
        <v>0</v>
      </c>
      <c r="GG25" s="578">
        <f>COUNTIFS(STATUS!$Q:$Q,$A24,STATUS!$D:$D,GG$1,STATUS!$U:$U,"ВОЗВРАТ")</f>
        <v>0</v>
      </c>
      <c r="GH25" s="578">
        <f>COUNTIFS(STATUS!$Q:$Q,$A24,STATUS!$D:$D,GH$1,STATUS!$U:$U,"ВОЗВРАТ")</f>
        <v>0</v>
      </c>
      <c r="GI25" s="576">
        <f>SUM(GD25:GH25)</f>
        <v>0</v>
      </c>
      <c r="GJ25" s="577">
        <f>COUNTIFS(STATUS!$Q:$Q,$A24,STATUS!$D:$D,GJ$1,STATUS!$U:$U,"ВОЗВРАТ")</f>
        <v>0</v>
      </c>
      <c r="GK25" s="577">
        <f>COUNTIFS(STATUS!$Q:$Q,$A24,STATUS!$D:$D,GK$1,STATUS!$U:$U,"ВОЗВРАТ")</f>
        <v>0</v>
      </c>
      <c r="GL25" s="577">
        <f>COUNTIFS(STATUS!$Q:$Q,$A24,STATUS!$D:$D,GL$1,STATUS!$U:$U,"ВОЗВРАТ")</f>
        <v>0</v>
      </c>
      <c r="GM25" s="578">
        <f>COUNTIFS(STATUS!$Q:$Q,$A24,STATUS!$D:$D,GM$1,STATUS!$U:$U,"ВОЗВРАТ")</f>
        <v>0</v>
      </c>
      <c r="GN25" s="578">
        <f>COUNTIFS(STATUS!$Q:$Q,$A24,STATUS!$D:$D,GN$1,STATUS!$U:$U,"ВОЗВРАТ")</f>
        <v>0</v>
      </c>
      <c r="GO25" s="576">
        <f>SUM(GJ25:GN25)</f>
        <v>0</v>
      </c>
      <c r="GP25" s="577">
        <f>COUNTIFS(STATUS!$Q:$Q,$A24,STATUS!$D:$D,GP$1,STATUS!$U:$U,"ВОЗВРАТ")</f>
        <v>0</v>
      </c>
      <c r="GQ25" s="577">
        <f>COUNTIFS(STATUS!$Q:$Q,$A24,STATUS!$D:$D,GQ$1,STATUS!$U:$U,"ВОЗВРАТ")</f>
        <v>0</v>
      </c>
      <c r="GR25" s="577">
        <f>COUNTIFS(STATUS!$Q:$Q,$A24,STATUS!$D:$D,GR$1,STATUS!$U:$U,"ВОЗВРАТ")</f>
        <v>0</v>
      </c>
      <c r="GS25" s="578">
        <f>COUNTIFS(STATUS!$Q:$Q,$A24,STATUS!$D:$D,GS$1,STATUS!$U:$U,"ВОЗВРАТ")</f>
        <v>0</v>
      </c>
      <c r="GT25" s="578">
        <f>COUNTIFS(STATUS!$Q:$Q,$A24,STATUS!$D:$D,GT$1,STATUS!$U:$U,"ВОЗВРАТ")</f>
        <v>0</v>
      </c>
      <c r="GU25" s="576">
        <f>SUM(GP25:GT25)</f>
        <v>0</v>
      </c>
      <c r="GV25" s="577">
        <f>COUNTIFS(STATUS!$Q:$Q,$A24,STATUS!$D:$D,GV$1,STATUS!$U:$U,"ВОЗВРАТ")</f>
        <v>0</v>
      </c>
      <c r="GW25" s="577">
        <f>COUNTIFS(STATUS!$Q:$Q,$A24,STATUS!$D:$D,GW$1,STATUS!$U:$U,"ВОЗВРАТ")</f>
        <v>0</v>
      </c>
      <c r="GX25" s="577">
        <f>COUNTIFS(STATUS!$Q:$Q,$A24,STATUS!$D:$D,GX$1,STATUS!$U:$U,"ВОЗВРАТ")</f>
        <v>0</v>
      </c>
      <c r="GY25" s="578">
        <f>COUNTIFS(STATUS!$Q:$Q,$A24,STATUS!$D:$D,GY$1,STATUS!$U:$U,"ВОЗВРАТ")</f>
        <v>0</v>
      </c>
      <c r="GZ25" s="578">
        <f>COUNTIFS(STATUS!$Q:$Q,$A24,STATUS!$D:$D,GZ$1,STATUS!$U:$U,"ВОЗВРАТ")</f>
        <v>0</v>
      </c>
      <c r="HA25" s="576">
        <f>SUM(GV25:GZ25)</f>
        <v>0</v>
      </c>
    </row>
    <row r="26" spans="1:209" ht="21.6" thickBot="1" x14ac:dyDescent="0.35">
      <c r="A26" s="1557"/>
      <c r="B26" s="434">
        <f>IFERROR(B25/B24,0)</f>
        <v>3.896103896103896E-2</v>
      </c>
      <c r="C26" s="579">
        <f>IFERROR(C25/C24,0)</f>
        <v>0</v>
      </c>
      <c r="D26" s="579">
        <f t="shared" ref="D26:S26" si="334">IFERROR(D25/D24,0)</f>
        <v>0</v>
      </c>
      <c r="E26" s="579">
        <f t="shared" si="334"/>
        <v>0</v>
      </c>
      <c r="F26" s="579">
        <f t="shared" si="334"/>
        <v>0</v>
      </c>
      <c r="G26" s="580">
        <f t="shared" si="334"/>
        <v>0</v>
      </c>
      <c r="H26" s="581">
        <f t="shared" si="334"/>
        <v>0</v>
      </c>
      <c r="I26" s="444">
        <f t="shared" si="334"/>
        <v>0</v>
      </c>
      <c r="J26" s="397">
        <f t="shared" si="334"/>
        <v>0</v>
      </c>
      <c r="K26" s="397">
        <f t="shared" si="334"/>
        <v>0</v>
      </c>
      <c r="L26" s="397">
        <f t="shared" si="334"/>
        <v>0</v>
      </c>
      <c r="M26" s="441">
        <f t="shared" si="334"/>
        <v>0</v>
      </c>
      <c r="N26" s="573">
        <f t="shared" si="334"/>
        <v>0</v>
      </c>
      <c r="O26" s="444">
        <f t="shared" si="334"/>
        <v>0</v>
      </c>
      <c r="P26" s="397">
        <f t="shared" si="334"/>
        <v>0</v>
      </c>
      <c r="Q26" s="397">
        <f t="shared" si="334"/>
        <v>0</v>
      </c>
      <c r="R26" s="573">
        <f t="shared" si="334"/>
        <v>0</v>
      </c>
      <c r="S26" s="397">
        <f t="shared" si="334"/>
        <v>0</v>
      </c>
      <c r="T26" s="397">
        <f>IFERROR(T25/T24,0)</f>
        <v>0</v>
      </c>
      <c r="U26" s="397">
        <f>IFERROR(U25/U24,0)</f>
        <v>0</v>
      </c>
      <c r="V26" s="441">
        <f t="shared" ref="V26:W26" si="335">IFERROR(V25/V24,0)</f>
        <v>0</v>
      </c>
      <c r="W26" s="573">
        <f t="shared" si="335"/>
        <v>0</v>
      </c>
      <c r="X26" s="397">
        <f>IFERROR(X25/X24,0)</f>
        <v>0</v>
      </c>
      <c r="Y26" s="397">
        <f>IFERROR(Y25/Y24,0)</f>
        <v>0</v>
      </c>
      <c r="Z26" s="397">
        <f>IFERROR(Z25/Z24,0)</f>
        <v>0</v>
      </c>
      <c r="AA26" s="441">
        <f t="shared" ref="AA26:AB26" si="336">IFERROR(AA25/AA24,0)</f>
        <v>0</v>
      </c>
      <c r="AB26" s="441">
        <f t="shared" si="336"/>
        <v>0</v>
      </c>
      <c r="AC26" s="573">
        <f>IFERROR(AC25/AC24,0)</f>
        <v>0</v>
      </c>
      <c r="AD26" s="397">
        <f>IFERROR(AD25/AD24,0)</f>
        <v>0</v>
      </c>
      <c r="AE26" s="397">
        <f>IFERROR(AE25/AE24,0)</f>
        <v>0</v>
      </c>
      <c r="AF26" s="397">
        <f>IFERROR(AF25/AF24,0)</f>
        <v>0</v>
      </c>
      <c r="AG26" s="441">
        <f t="shared" ref="AG26:AH26" si="337">IFERROR(AG25/AG24,0)</f>
        <v>0</v>
      </c>
      <c r="AH26" s="441">
        <f t="shared" si="337"/>
        <v>0</v>
      </c>
      <c r="AI26" s="573">
        <f>IFERROR(AI25/AI24,0)</f>
        <v>0</v>
      </c>
      <c r="AJ26" s="397">
        <f>IFERROR(AJ25/AJ24,0)</f>
        <v>0</v>
      </c>
      <c r="AK26" s="397">
        <f>IFERROR(AK25/AK24,0)</f>
        <v>0</v>
      </c>
      <c r="AL26" s="397">
        <f>IFERROR(AL25/AL24,0)</f>
        <v>0</v>
      </c>
      <c r="AM26" s="441">
        <f t="shared" ref="AM26:AN26" si="338">IFERROR(AM25/AM24,0)</f>
        <v>0</v>
      </c>
      <c r="AN26" s="441">
        <f t="shared" si="338"/>
        <v>0</v>
      </c>
      <c r="AO26" s="573">
        <f>IFERROR(AO25/AO24,0)</f>
        <v>0</v>
      </c>
      <c r="AP26" s="397">
        <f>IFERROR(AP25/AP24,0)</f>
        <v>0</v>
      </c>
      <c r="AQ26" s="397">
        <f>IFERROR(AQ25/AQ24,0)</f>
        <v>0</v>
      </c>
      <c r="AR26" s="397">
        <f>IFERROR(AR25/AR24,0)</f>
        <v>0</v>
      </c>
      <c r="AS26" s="441">
        <f t="shared" ref="AS26:AT26" si="339">IFERROR(AS25/AS24,0)</f>
        <v>0</v>
      </c>
      <c r="AT26" s="441">
        <f t="shared" si="339"/>
        <v>0</v>
      </c>
      <c r="AU26" s="573">
        <f>IFERROR(AU25/AU24,0)</f>
        <v>0</v>
      </c>
      <c r="AV26" s="397">
        <f>IFERROR(AV25/AV24,0)</f>
        <v>0</v>
      </c>
      <c r="AW26" s="397">
        <f>IFERROR(AW25/AW24,0)</f>
        <v>0</v>
      </c>
      <c r="AX26" s="397">
        <f>IFERROR(AX25/AX24,0)</f>
        <v>0</v>
      </c>
      <c r="AY26" s="441">
        <f t="shared" ref="AY26:AZ26" si="340">IFERROR(AY25/AY24,0)</f>
        <v>0</v>
      </c>
      <c r="AZ26" s="441">
        <f t="shared" si="340"/>
        <v>0</v>
      </c>
      <c r="BA26" s="573">
        <f>IFERROR(BA25/BA24,0)</f>
        <v>0</v>
      </c>
      <c r="BB26" s="397">
        <f>IFERROR(BB25/BB24,0)</f>
        <v>0</v>
      </c>
      <c r="BC26" s="397">
        <f>IFERROR(BC25/BC24,0)</f>
        <v>0</v>
      </c>
      <c r="BD26" s="397">
        <f>IFERROR(BD25/BD24,0)</f>
        <v>0</v>
      </c>
      <c r="BE26" s="441">
        <f t="shared" ref="BE26:BF26" si="341">IFERROR(BE25/BE24,0)</f>
        <v>0</v>
      </c>
      <c r="BF26" s="441">
        <f t="shared" si="341"/>
        <v>0</v>
      </c>
      <c r="BG26" s="573">
        <f>IFERROR(BG25/BG24,0)</f>
        <v>0</v>
      </c>
      <c r="BH26" s="397">
        <f>IFERROR(BH25/BH24,0)</f>
        <v>0</v>
      </c>
      <c r="BI26" s="397">
        <f>IFERROR(BI25/BI24,0)</f>
        <v>0</v>
      </c>
      <c r="BJ26" s="397">
        <f>IFERROR(BJ25/BJ24,0)</f>
        <v>0</v>
      </c>
      <c r="BK26" s="441">
        <f t="shared" ref="BK26:BL26" si="342">IFERROR(BK25/BK24,0)</f>
        <v>0</v>
      </c>
      <c r="BL26" s="441">
        <f t="shared" si="342"/>
        <v>0</v>
      </c>
      <c r="BM26" s="573">
        <f>IFERROR(BM25/BM24,0)</f>
        <v>0</v>
      </c>
      <c r="BN26" s="397">
        <f>IFERROR(BN25/BN24,0)</f>
        <v>0</v>
      </c>
      <c r="BO26" s="397">
        <f>IFERROR(BO25/BO24,0)</f>
        <v>0</v>
      </c>
      <c r="BP26" s="397">
        <f>IFERROR(BP25/BP24,0)</f>
        <v>0</v>
      </c>
      <c r="BQ26" s="441">
        <f t="shared" ref="BQ26:BR26" si="343">IFERROR(BQ25/BQ24,0)</f>
        <v>0</v>
      </c>
      <c r="BR26" s="441">
        <f t="shared" si="343"/>
        <v>0</v>
      </c>
      <c r="BS26" s="573">
        <f>IFERROR(BS25/BS24,0)</f>
        <v>0</v>
      </c>
      <c r="BT26" s="397">
        <f>IFERROR(BT25/BT24,0)</f>
        <v>0</v>
      </c>
      <c r="BU26" s="397">
        <f>IFERROR(BU25/BU24,0)</f>
        <v>0</v>
      </c>
      <c r="BV26" s="397">
        <f>IFERROR(BV25/BV24,0)</f>
        <v>0</v>
      </c>
      <c r="BW26" s="441">
        <f t="shared" ref="BW26:BX26" si="344">IFERROR(BW25/BW24,0)</f>
        <v>0</v>
      </c>
      <c r="BX26" s="441">
        <f t="shared" si="344"/>
        <v>0</v>
      </c>
      <c r="BY26" s="573">
        <f>IFERROR(BY25/BY24,0)</f>
        <v>0</v>
      </c>
      <c r="BZ26" s="397">
        <f>IFERROR(BZ25/BZ24,0)</f>
        <v>0</v>
      </c>
      <c r="CA26" s="397">
        <f>IFERROR(CA25/CA24,0)</f>
        <v>0</v>
      </c>
      <c r="CB26" s="397">
        <f>IFERROR(CB25/CB24,0)</f>
        <v>0</v>
      </c>
      <c r="CC26" s="441">
        <f t="shared" ref="CC26:CD26" si="345">IFERROR(CC25/CC24,0)</f>
        <v>0</v>
      </c>
      <c r="CD26" s="441">
        <f t="shared" si="345"/>
        <v>0</v>
      </c>
      <c r="CE26" s="573">
        <f>IFERROR(CE25/CE24,0)</f>
        <v>0</v>
      </c>
      <c r="CF26" s="397">
        <f>IFERROR(CF25/CF24,0)</f>
        <v>0</v>
      </c>
      <c r="CG26" s="397">
        <f>IFERROR(CG25/CG24,0)</f>
        <v>0</v>
      </c>
      <c r="CH26" s="397">
        <f>IFERROR(CH25/CH24,0)</f>
        <v>0</v>
      </c>
      <c r="CI26" s="441">
        <f t="shared" ref="CI26:CJ26" si="346">IFERROR(CI25/CI24,0)</f>
        <v>0</v>
      </c>
      <c r="CJ26" s="441">
        <f t="shared" si="346"/>
        <v>0</v>
      </c>
      <c r="CK26" s="573">
        <f>IFERROR(CK25/CK24,0)</f>
        <v>0</v>
      </c>
      <c r="CL26" s="397">
        <f>IFERROR(CL25/CL24,0)</f>
        <v>0</v>
      </c>
      <c r="CM26" s="397">
        <f>IFERROR(CM25/CM24,0)</f>
        <v>0</v>
      </c>
      <c r="CN26" s="397">
        <f>IFERROR(CN25/CN24,0)</f>
        <v>0.2</v>
      </c>
      <c r="CO26" s="441">
        <f t="shared" ref="CO26:CP26" si="347">IFERROR(CO25/CO24,0)</f>
        <v>0</v>
      </c>
      <c r="CP26" s="441">
        <f t="shared" si="347"/>
        <v>0.125</v>
      </c>
      <c r="CQ26" s="573">
        <f>IFERROR(CQ25/CQ24,0)</f>
        <v>6.25E-2</v>
      </c>
      <c r="CR26" s="397">
        <f>IFERROR(CR25/CR24,0)</f>
        <v>0</v>
      </c>
      <c r="CS26" s="397">
        <f>IFERROR(CS25/CS24,0)</f>
        <v>0</v>
      </c>
      <c r="CT26" s="397">
        <f>IFERROR(CT25/CT24,0)</f>
        <v>0</v>
      </c>
      <c r="CU26" s="441">
        <f t="shared" ref="CU26:CV26" si="348">IFERROR(CU25/CU24,0)</f>
        <v>0</v>
      </c>
      <c r="CV26" s="441">
        <f t="shared" si="348"/>
        <v>0</v>
      </c>
      <c r="CW26" s="573">
        <f>IFERROR(CW25/CW24,0)</f>
        <v>0</v>
      </c>
      <c r="CX26" s="397">
        <f>IFERROR(CX25/CX24,0)</f>
        <v>0</v>
      </c>
      <c r="CY26" s="397">
        <f>IFERROR(CY25/CY24,0)</f>
        <v>0.25</v>
      </c>
      <c r="CZ26" s="397">
        <f>IFERROR(CZ25/CZ24,0)</f>
        <v>0</v>
      </c>
      <c r="DA26" s="441">
        <f t="shared" ref="DA26:DB26" si="349">IFERROR(DA25/DA24,0)</f>
        <v>0</v>
      </c>
      <c r="DB26" s="441">
        <f t="shared" si="349"/>
        <v>0</v>
      </c>
      <c r="DC26" s="573">
        <f>IFERROR(DC25/DC24,0)</f>
        <v>0.05</v>
      </c>
      <c r="DD26" s="397">
        <f>IFERROR(DD25/DD24,0)</f>
        <v>0</v>
      </c>
      <c r="DE26" s="397">
        <f>IFERROR(DE25/DE24,0)</f>
        <v>0</v>
      </c>
      <c r="DF26" s="397">
        <f>IFERROR(DF25/DF24,0)</f>
        <v>0</v>
      </c>
      <c r="DG26" s="441">
        <f t="shared" ref="DG26:DH26" si="350">IFERROR(DG25/DG24,0)</f>
        <v>0</v>
      </c>
      <c r="DH26" s="441">
        <f t="shared" si="350"/>
        <v>0</v>
      </c>
      <c r="DI26" s="573">
        <f>IFERROR(DI25/DI24,0)</f>
        <v>0</v>
      </c>
      <c r="DJ26" s="397">
        <f>IFERROR(DJ25/DJ24,0)</f>
        <v>0</v>
      </c>
      <c r="DK26" s="397">
        <f>IFERROR(DK25/DK24,0)</f>
        <v>0</v>
      </c>
      <c r="DL26" s="397">
        <f>IFERROR(DL25/DL24,0)</f>
        <v>0</v>
      </c>
      <c r="DM26" s="441">
        <f t="shared" ref="DM26:DN26" si="351">IFERROR(DM25/DM24,0)</f>
        <v>0</v>
      </c>
      <c r="DN26" s="441">
        <f t="shared" si="351"/>
        <v>0</v>
      </c>
      <c r="DO26" s="573">
        <f>IFERROR(DO25/DO24,0)</f>
        <v>0</v>
      </c>
      <c r="DP26" s="397">
        <f>IFERROR(DP25/DP24,0)</f>
        <v>0</v>
      </c>
      <c r="DQ26" s="397">
        <f>IFERROR(DQ25/DQ24,0)</f>
        <v>0</v>
      </c>
      <c r="DR26" s="397">
        <f>IFERROR(DR25/DR24,0)</f>
        <v>0</v>
      </c>
      <c r="DS26" s="441">
        <f t="shared" ref="DS26:DT26" si="352">IFERROR(DS25/DS24,0)</f>
        <v>0</v>
      </c>
      <c r="DT26" s="441">
        <f t="shared" si="352"/>
        <v>0</v>
      </c>
      <c r="DU26" s="573">
        <f>IFERROR(DU25/DU24,0)</f>
        <v>0</v>
      </c>
      <c r="DV26" s="397">
        <f>IFERROR(DV25/DV24,0)</f>
        <v>0</v>
      </c>
      <c r="DW26" s="397">
        <f>IFERROR(DW25/DW24,0)</f>
        <v>0</v>
      </c>
      <c r="DX26" s="397">
        <f>IFERROR(DX25/DX24,0)</f>
        <v>0</v>
      </c>
      <c r="DY26" s="441">
        <f t="shared" ref="DY26:DZ26" si="353">IFERROR(DY25/DY24,0)</f>
        <v>0</v>
      </c>
      <c r="DZ26" s="441">
        <f t="shared" si="353"/>
        <v>0</v>
      </c>
      <c r="EA26" s="573">
        <f>IFERROR(EA25/EA24,0)</f>
        <v>0</v>
      </c>
      <c r="EB26" s="397">
        <f>IFERROR(EB25/EB24,0)</f>
        <v>0</v>
      </c>
      <c r="EC26" s="397">
        <f>IFERROR(EC25/EC24,0)</f>
        <v>0</v>
      </c>
      <c r="ED26" s="397">
        <f>IFERROR(ED25/ED24,0)</f>
        <v>0</v>
      </c>
      <c r="EE26" s="441">
        <f t="shared" ref="EE26:EF26" si="354">IFERROR(EE25/EE24,0)</f>
        <v>0</v>
      </c>
      <c r="EF26" s="441">
        <f t="shared" si="354"/>
        <v>0</v>
      </c>
      <c r="EG26" s="573">
        <f>IFERROR(EG25/EG24,0)</f>
        <v>0</v>
      </c>
      <c r="EH26" s="397">
        <f>IFERROR(EH25/EH24,0)</f>
        <v>0</v>
      </c>
      <c r="EI26" s="397">
        <f>IFERROR(EI25/EI24,0)</f>
        <v>0</v>
      </c>
      <c r="EJ26" s="397">
        <f>IFERROR(EJ25/EJ24,0)</f>
        <v>0</v>
      </c>
      <c r="EK26" s="441">
        <f t="shared" ref="EK26:EL26" si="355">IFERROR(EK25/EK24,0)</f>
        <v>0</v>
      </c>
      <c r="EL26" s="441">
        <f t="shared" si="355"/>
        <v>0</v>
      </c>
      <c r="EM26" s="573">
        <f>IFERROR(EM25/EM24,0)</f>
        <v>0</v>
      </c>
      <c r="EN26" s="397">
        <f>IFERROR(EN25/EN24,0)</f>
        <v>0</v>
      </c>
      <c r="EO26" s="397">
        <f>IFERROR(EO25/EO24,0)</f>
        <v>0</v>
      </c>
      <c r="EP26" s="397">
        <f>IFERROR(EP25/EP24,0)</f>
        <v>0</v>
      </c>
      <c r="EQ26" s="441">
        <f t="shared" ref="EQ26:ER26" si="356">IFERROR(EQ25/EQ24,0)</f>
        <v>0</v>
      </c>
      <c r="ER26" s="441">
        <f t="shared" si="356"/>
        <v>0</v>
      </c>
      <c r="ES26" s="573">
        <f>IFERROR(ES25/ES24,0)</f>
        <v>0</v>
      </c>
      <c r="ET26" s="397">
        <f>IFERROR(ET25/ET24,0)</f>
        <v>0</v>
      </c>
      <c r="EU26" s="397">
        <f>IFERROR(EU25/EU24,0)</f>
        <v>0</v>
      </c>
      <c r="EV26" s="397">
        <f>IFERROR(EV25/EV24,0)</f>
        <v>0</v>
      </c>
      <c r="EW26" s="441">
        <f t="shared" ref="EW26:EX26" si="357">IFERROR(EW25/EW24,0)</f>
        <v>0</v>
      </c>
      <c r="EX26" s="441">
        <f t="shared" si="357"/>
        <v>0</v>
      </c>
      <c r="EY26" s="573">
        <f>IFERROR(EY25/EY24,0)</f>
        <v>0</v>
      </c>
      <c r="EZ26" s="397">
        <f>IFERROR(EZ25/EZ24,0)</f>
        <v>0</v>
      </c>
      <c r="FA26" s="397">
        <f>IFERROR(FA25/FA24,0)</f>
        <v>0</v>
      </c>
      <c r="FB26" s="397">
        <f>IFERROR(FB25/FB24,0)</f>
        <v>0</v>
      </c>
      <c r="FC26" s="441">
        <f t="shared" ref="FC26:FD26" si="358">IFERROR(FC25/FC24,0)</f>
        <v>0</v>
      </c>
      <c r="FD26" s="441">
        <f t="shared" si="358"/>
        <v>0</v>
      </c>
      <c r="FE26" s="573">
        <f>IFERROR(FE25/FE24,0)</f>
        <v>0</v>
      </c>
      <c r="FF26" s="397">
        <f>IFERROR(FF25/FF24,0)</f>
        <v>0</v>
      </c>
      <c r="FG26" s="397">
        <f>IFERROR(FG25/FG24,0)</f>
        <v>0</v>
      </c>
      <c r="FH26" s="397">
        <f>IFERROR(FH25/FH24,0)</f>
        <v>0</v>
      </c>
      <c r="FI26" s="441">
        <f t="shared" ref="FI26:FJ26" si="359">IFERROR(FI25/FI24,0)</f>
        <v>0</v>
      </c>
      <c r="FJ26" s="441">
        <f t="shared" si="359"/>
        <v>0</v>
      </c>
      <c r="FK26" s="573">
        <f>IFERROR(FK25/FK24,0)</f>
        <v>0</v>
      </c>
      <c r="FL26" s="397">
        <f>IFERROR(FL25/FL24,0)</f>
        <v>0</v>
      </c>
      <c r="FM26" s="397">
        <f>IFERROR(FM25/FM24,0)</f>
        <v>0</v>
      </c>
      <c r="FN26" s="397">
        <f>IFERROR(FN25/FN24,0)</f>
        <v>0</v>
      </c>
      <c r="FO26" s="441">
        <f t="shared" ref="FO26:FP26" si="360">IFERROR(FO25/FO24,0)</f>
        <v>0</v>
      </c>
      <c r="FP26" s="441">
        <f t="shared" si="360"/>
        <v>0</v>
      </c>
      <c r="FQ26" s="573">
        <f>IFERROR(FQ25/FQ24,0)</f>
        <v>0</v>
      </c>
      <c r="FR26" s="397">
        <f>IFERROR(FR25/FR24,0)</f>
        <v>0</v>
      </c>
      <c r="FS26" s="397">
        <f>IFERROR(FS25/FS24,0)</f>
        <v>0</v>
      </c>
      <c r="FT26" s="397">
        <f>IFERROR(FT25/FT24,0)</f>
        <v>0</v>
      </c>
      <c r="FU26" s="441">
        <f t="shared" ref="FU26:FV26" si="361">IFERROR(FU25/FU24,0)</f>
        <v>0</v>
      </c>
      <c r="FV26" s="441">
        <f t="shared" si="361"/>
        <v>0</v>
      </c>
      <c r="FW26" s="573">
        <f>IFERROR(FW25/FW24,0)</f>
        <v>0</v>
      </c>
      <c r="FX26" s="397">
        <f>IFERROR(FX25/FX24,0)</f>
        <v>0</v>
      </c>
      <c r="FY26" s="397">
        <f>IFERROR(FY25/FY24,0)</f>
        <v>0</v>
      </c>
      <c r="FZ26" s="397">
        <f>IFERROR(FZ25/FZ24,0)</f>
        <v>0</v>
      </c>
      <c r="GA26" s="441">
        <f t="shared" ref="GA26:GB26" si="362">IFERROR(GA25/GA24,0)</f>
        <v>0</v>
      </c>
      <c r="GB26" s="441">
        <f t="shared" si="362"/>
        <v>0</v>
      </c>
      <c r="GC26" s="573">
        <f>IFERROR(GC25/GC24,0)</f>
        <v>0</v>
      </c>
      <c r="GD26" s="397">
        <f>IFERROR(GD25/GD24,0)</f>
        <v>0</v>
      </c>
      <c r="GE26" s="397">
        <f>IFERROR(GE25/GE24,0)</f>
        <v>0</v>
      </c>
      <c r="GF26" s="397">
        <f>IFERROR(GF25/GF24,0)</f>
        <v>0</v>
      </c>
      <c r="GG26" s="441">
        <f t="shared" ref="GG26:GH26" si="363">IFERROR(GG25/GG24,0)</f>
        <v>0</v>
      </c>
      <c r="GH26" s="441">
        <f t="shared" si="363"/>
        <v>0</v>
      </c>
      <c r="GI26" s="573">
        <f>IFERROR(GI25/GI24,0)</f>
        <v>0</v>
      </c>
      <c r="GJ26" s="397">
        <f>IFERROR(GJ25/GJ24,0)</f>
        <v>0</v>
      </c>
      <c r="GK26" s="397">
        <f>IFERROR(GK25/GK24,0)</f>
        <v>0</v>
      </c>
      <c r="GL26" s="397">
        <f>IFERROR(GL25/GL24,0)</f>
        <v>0</v>
      </c>
      <c r="GM26" s="441">
        <f t="shared" ref="GM26:GN26" si="364">IFERROR(GM25/GM24,0)</f>
        <v>0</v>
      </c>
      <c r="GN26" s="441">
        <f t="shared" si="364"/>
        <v>0</v>
      </c>
      <c r="GO26" s="573">
        <f>IFERROR(GO25/GO24,0)</f>
        <v>0</v>
      </c>
      <c r="GP26" s="397">
        <f>IFERROR(GP25/GP24,0)</f>
        <v>0</v>
      </c>
      <c r="GQ26" s="397">
        <f>IFERROR(GQ25/GQ24,0)</f>
        <v>0</v>
      </c>
      <c r="GR26" s="397">
        <f>IFERROR(GR25/GR24,0)</f>
        <v>0</v>
      </c>
      <c r="GS26" s="441">
        <f t="shared" ref="GS26:GT26" si="365">IFERROR(GS25/GS24,0)</f>
        <v>0</v>
      </c>
      <c r="GT26" s="441">
        <f t="shared" si="365"/>
        <v>0</v>
      </c>
      <c r="GU26" s="573">
        <f>IFERROR(GU25/GU24,0)</f>
        <v>0</v>
      </c>
      <c r="GV26" s="397">
        <f>IFERROR(GV25/GV24,0)</f>
        <v>0</v>
      </c>
      <c r="GW26" s="397">
        <f>IFERROR(GW25/GW24,0)</f>
        <v>0</v>
      </c>
      <c r="GX26" s="397">
        <f>IFERROR(GX25/GX24,0)</f>
        <v>0</v>
      </c>
      <c r="GY26" s="441">
        <f t="shared" ref="GY26:GZ26" si="366">IFERROR(GY25/GY24,0)</f>
        <v>0</v>
      </c>
      <c r="GZ26" s="441">
        <f t="shared" si="366"/>
        <v>0</v>
      </c>
      <c r="HA26" s="573">
        <f>IFERROR(HA25/HA24,0)</f>
        <v>0</v>
      </c>
    </row>
    <row r="27" spans="1:209" ht="15" thickTop="1" x14ac:dyDescent="0.3">
      <c r="A27" s="1555" t="s">
        <v>8950</v>
      </c>
      <c r="B27" s="428">
        <f>SUM(H27,N27,R27,W27,AC27,AI27,AO27,AU27,BA27,BG27,BM27,BS27,BY27,CE27,CK27,CQ27,CW27,DC27,DI27,DO27,DU27,EA27,EG27,EM27,ES27,EY27,FE27,FK27,FQ27,FW27,GC27,GI27,GO27,GU27,HA27)</f>
        <v>13</v>
      </c>
      <c r="C27" s="574">
        <f>COUNTIFS(STATUS!$Q:$Q,$A27,STATUS!$D:$D,C$1,STATUS!$K:$K,"РЕШ УВ DONE")</f>
        <v>0</v>
      </c>
      <c r="D27" s="574">
        <f>COUNTIFS(STATUS!$Q:$Q,$A27,STATUS!$D:$D,D$1,STATUS!$K:$K,"РЕШ УВ DONE")</f>
        <v>0</v>
      </c>
      <c r="E27" s="574">
        <f>COUNTIFS(STATUS!$Q:$Q,$A27,STATUS!$D:$D,E$1,STATUS!$K:$K,"РЕШ УВ DONE")</f>
        <v>0</v>
      </c>
      <c r="F27" s="574">
        <f>COUNTIFS(STATUS!$Q:$Q,$A27,STATUS!$D:$D,F$1,STATUS!$K:$K,"РЕШ УВ DONE")</f>
        <v>0</v>
      </c>
      <c r="G27" s="575">
        <f>COUNTIFS(STATUS!$Q:$Q,$A27,STATUS!$D:$D,G$1,STATUS!$K:$K,"РЕШ УВ DONE")</f>
        <v>0</v>
      </c>
      <c r="H27" s="576">
        <f>SUM(C27:G27)</f>
        <v>0</v>
      </c>
      <c r="I27" s="1239">
        <f>COUNTIFS(STATUS!$Q:$Q,$A27,STATUS!$D:$D,I$1,STATUS!$K:$K,"РЕШ УВ DONE")</f>
        <v>0</v>
      </c>
      <c r="J27" s="574">
        <f>COUNTIFS(STATUS!$Q:$Q,$A27,STATUS!$D:$D,J$1,STATUS!$K:$K,"РЕШ УВ DONE")</f>
        <v>0</v>
      </c>
      <c r="K27" s="574">
        <f>COUNTIFS(STATUS!$Q:$Q,$A27,STATUS!$D:$D,K$1,STATUS!$K:$K,"РЕШ УВ DONE")</f>
        <v>0</v>
      </c>
      <c r="L27" s="574">
        <f>COUNTIFS(STATUS!$Q:$Q,$A27,STATUS!$D:$D,L$1,STATUS!$K:$K,"РЕШ УВ DONE")</f>
        <v>0</v>
      </c>
      <c r="M27" s="575">
        <f>COUNTIFS(STATUS!$Q:$Q,$A27,STATUS!$D:$D,M$1,STATUS!$K:$K,"РЕШ УВ DONE")</f>
        <v>0</v>
      </c>
      <c r="N27" s="576">
        <f>SUM(I27:M27)</f>
        <v>0</v>
      </c>
      <c r="O27" s="443">
        <f>COUNTIFS(STATUS!$Q:$Q,$A27,STATUS!$D:$D,O$1,STATUS!$K:$K,"РЕШ УВ DONE")</f>
        <v>0</v>
      </c>
      <c r="P27" s="406">
        <f>COUNTIFS(STATUS!$Q:$Q,$A27,STATUS!$D:$D,P$1,STATUS!$K:$K,"РЕШ УВ DONE")</f>
        <v>0</v>
      </c>
      <c r="Q27" s="406">
        <f>COUNTIFS(STATUS!$Q:$Q,$A27,STATUS!$D:$D,Q$1,STATUS!$K:$K,"РЕШ УВ DONE")</f>
        <v>0</v>
      </c>
      <c r="R27" s="1238">
        <f>SUM(O27:Q27)</f>
        <v>0</v>
      </c>
      <c r="S27" s="574">
        <f>COUNTIFS(STATUS!$Q:$Q,$A27,STATUS!$D:$D,S$1,STATUS!$K:$K,"РЕШ УВ DONE")</f>
        <v>0</v>
      </c>
      <c r="T27" s="574">
        <f>COUNTIFS(STATUS!$Q:$Q,$A27,STATUS!$D:$D,T$1,STATUS!$K:$K,"РЕШ УВ DONE")</f>
        <v>0</v>
      </c>
      <c r="U27" s="574">
        <f>COUNTIFS(STATUS!$Q:$Q,$A27,STATUS!$D:$D,U$1,STATUS!$K:$K,"РЕШ УВ DONE")</f>
        <v>0</v>
      </c>
      <c r="V27" s="575">
        <f>COUNTIFS(STATUS!$Q:$Q,$A27,STATUS!$D:$D,V$1,STATUS!$K:$K,"РЕШ УВ DONE")</f>
        <v>0</v>
      </c>
      <c r="W27" s="1238">
        <f>SUM(S27:V27)</f>
        <v>0</v>
      </c>
      <c r="X27" s="574">
        <f>COUNTIFS(STATUS!$Q:$Q,$A27,STATUS!$D:$D,X$1,STATUS!$K:$K,"РЕШ УВ DONE")</f>
        <v>0</v>
      </c>
      <c r="Y27" s="574">
        <f>COUNTIFS(STATUS!$Q:$Q,$A27,STATUS!$D:$D,Y$1,STATUS!$K:$K,"РЕШ УВ DONE")</f>
        <v>0</v>
      </c>
      <c r="Z27" s="574">
        <f>COUNTIFS(STATUS!$Q:$Q,$A27,STATUS!$D:$D,Z$1,STATUS!$K:$K,"РЕШ УВ DONE")</f>
        <v>0</v>
      </c>
      <c r="AA27" s="575">
        <f>COUNTIFS(STATUS!$Q:$Q,$A27,STATUS!$D:$D,AA$1,STATUS!$K:$K,"РЕШ УВ DONE")</f>
        <v>0</v>
      </c>
      <c r="AB27" s="575">
        <f>COUNTIFS(STATUS!$Q:$Q,$A27,STATUS!$D:$D,AB$1,STATUS!$K:$K,"РЕШ УВ DONE")</f>
        <v>0</v>
      </c>
      <c r="AC27" s="1238">
        <f>SUM(X27:AB27)</f>
        <v>0</v>
      </c>
      <c r="AD27" s="574">
        <f>COUNTIFS(STATUS!$Q:$Q,$A27,STATUS!$D:$D,AD$1,STATUS!$K:$K,"РЕШ УВ DONE")</f>
        <v>0</v>
      </c>
      <c r="AE27" s="574">
        <f>COUNTIFS(STATUS!$Q:$Q,$A27,STATUS!$D:$D,AE$1,STATUS!$K:$K,"РЕШ УВ DONE")</f>
        <v>0</v>
      </c>
      <c r="AF27" s="574">
        <f>COUNTIFS(STATUS!$Q:$Q,$A27,STATUS!$D:$D,AF$1,STATUS!$K:$K,"РЕШ УВ DONE")</f>
        <v>0</v>
      </c>
      <c r="AG27" s="575">
        <f>COUNTIFS(STATUS!$Q:$Q,$A27,STATUS!$D:$D,AG$1,STATUS!$K:$K,"РЕШ УВ DONE")</f>
        <v>0</v>
      </c>
      <c r="AH27" s="575">
        <f>COUNTIFS(STATUS!$Q:$Q,$A27,STATUS!$D:$D,AH$1,STATUS!$K:$K,"РЕШ УВ DONE")</f>
        <v>0</v>
      </c>
      <c r="AI27" s="1238">
        <f>SUM(AD27:AH27)</f>
        <v>0</v>
      </c>
      <c r="AJ27" s="574">
        <f>COUNTIFS(STATUS!$Q:$Q,$A27,STATUS!$D:$D,AJ$1,STATUS!$K:$K,"РЕШ УВ DONE")</f>
        <v>0</v>
      </c>
      <c r="AK27" s="574">
        <f>COUNTIFS(STATUS!$Q:$Q,$A27,STATUS!$D:$D,AK$1,STATUS!$K:$K,"РЕШ УВ DONE")</f>
        <v>0</v>
      </c>
      <c r="AL27" s="574">
        <f>COUNTIFS(STATUS!$Q:$Q,$A27,STATUS!$D:$D,AL$1,STATUS!$K:$K,"РЕШ УВ DONE")</f>
        <v>0</v>
      </c>
      <c r="AM27" s="575">
        <f>COUNTIFS(STATUS!$Q:$Q,$A27,STATUS!$D:$D,AM$1,STATUS!$K:$K,"РЕШ УВ DONE")</f>
        <v>0</v>
      </c>
      <c r="AN27" s="575">
        <f>COUNTIFS(STATUS!$Q:$Q,$A27,STATUS!$D:$D,AN$1,STATUS!$K:$K,"РЕШ УВ DONE")</f>
        <v>0</v>
      </c>
      <c r="AO27" s="1238">
        <f>SUM(AJ27:AN27)</f>
        <v>0</v>
      </c>
      <c r="AP27" s="574">
        <f>COUNTIFS(STATUS!$Q:$Q,$A27,STATUS!$D:$D,AP$1,STATUS!$K:$K,"РЕШ УВ DONE")</f>
        <v>0</v>
      </c>
      <c r="AQ27" s="574">
        <f>COUNTIFS(STATUS!$Q:$Q,$A27,STATUS!$D:$D,AQ$1,STATUS!$K:$K,"РЕШ УВ DONE")</f>
        <v>0</v>
      </c>
      <c r="AR27" s="574">
        <f>COUNTIFS(STATUS!$Q:$Q,$A27,STATUS!$D:$D,AR$1,STATUS!$K:$K,"РЕШ УВ DONE")</f>
        <v>0</v>
      </c>
      <c r="AS27" s="575">
        <f>COUNTIFS(STATUS!$Q:$Q,$A27,STATUS!$D:$D,AS$1,STATUS!$K:$K,"РЕШ УВ DONE")</f>
        <v>0</v>
      </c>
      <c r="AT27" s="575">
        <f>COUNTIFS(STATUS!$Q:$Q,$A27,STATUS!$D:$D,AT$1,STATUS!$K:$K,"РЕШ УВ DONE")</f>
        <v>0</v>
      </c>
      <c r="AU27" s="1238">
        <f>SUM(AP27:AT27)</f>
        <v>0</v>
      </c>
      <c r="AV27" s="574">
        <f>COUNTIFS(STATUS!$Q:$Q,$A27,STATUS!$D:$D,AV$1,STATUS!$K:$K,"РЕШ УВ DONE")</f>
        <v>0</v>
      </c>
      <c r="AW27" s="574">
        <f>COUNTIFS(STATUS!$Q:$Q,$A27,STATUS!$D:$D,AW$1,STATUS!$K:$K,"РЕШ УВ DONE")</f>
        <v>0</v>
      </c>
      <c r="AX27" s="574">
        <f>COUNTIFS(STATUS!$Q:$Q,$A27,STATUS!$D:$D,AX$1,STATUS!$K:$K,"РЕШ УВ DONE")</f>
        <v>0</v>
      </c>
      <c r="AY27" s="575">
        <f>COUNTIFS(STATUS!$Q:$Q,$A27,STATUS!$D:$D,AY$1,STATUS!$K:$K,"РЕШ УВ DONE")</f>
        <v>0</v>
      </c>
      <c r="AZ27" s="575">
        <f>COUNTIFS(STATUS!$Q:$Q,$A27,STATUS!$D:$D,AZ$1,STATUS!$K:$K,"РЕШ УВ DONE")</f>
        <v>0</v>
      </c>
      <c r="BA27" s="1238">
        <f>SUM(AV27:AZ27)</f>
        <v>0</v>
      </c>
      <c r="BB27" s="574">
        <f>COUNTIFS(STATUS!$Q:$Q,$A27,STATUS!$D:$D,BB$1,STATUS!$K:$K,"РЕШ УВ DONE")</f>
        <v>0</v>
      </c>
      <c r="BC27" s="574">
        <f>COUNTIFS(STATUS!$Q:$Q,$A27,STATUS!$D:$D,BC$1,STATUS!$K:$K,"РЕШ УВ DONE")</f>
        <v>0</v>
      </c>
      <c r="BD27" s="574">
        <f>COUNTIFS(STATUS!$Q:$Q,$A27,STATUS!$D:$D,BD$1,STATUS!$K:$K,"РЕШ УВ DONE")</f>
        <v>0</v>
      </c>
      <c r="BE27" s="575">
        <f>COUNTIFS(STATUS!$Q:$Q,$A27,STATUS!$D:$D,BE$1,STATUS!$K:$K,"РЕШ УВ DONE")</f>
        <v>0</v>
      </c>
      <c r="BF27" s="575">
        <f>COUNTIFS(STATUS!$Q:$Q,$A27,STATUS!$D:$D,BF$1,STATUS!$K:$K,"РЕШ УВ DONE")</f>
        <v>0</v>
      </c>
      <c r="BG27" s="1238">
        <f>SUM(BB27:BF27)</f>
        <v>0</v>
      </c>
      <c r="BH27" s="574">
        <f>COUNTIFS(STATUS!$Q:$Q,$A27,STATUS!$D:$D,BH$1,STATUS!$K:$K,"РЕШ УВ DONE")</f>
        <v>0</v>
      </c>
      <c r="BI27" s="574">
        <f>COUNTIFS(STATUS!$Q:$Q,$A27,STATUS!$D:$D,BI$1,STATUS!$K:$K,"РЕШ УВ DONE")</f>
        <v>0</v>
      </c>
      <c r="BJ27" s="574">
        <f>COUNTIFS(STATUS!$Q:$Q,$A27,STATUS!$D:$D,BJ$1,STATUS!$K:$K,"РЕШ УВ DONE")</f>
        <v>0</v>
      </c>
      <c r="BK27" s="575">
        <f>COUNTIFS(STATUS!$Q:$Q,$A27,STATUS!$D:$D,BK$1,STATUS!$K:$K,"РЕШ УВ DONE")</f>
        <v>0</v>
      </c>
      <c r="BL27" s="575">
        <f>COUNTIFS(STATUS!$Q:$Q,$A27,STATUS!$D:$D,BL$1,STATUS!$K:$K,"РЕШ УВ DONE")</f>
        <v>0</v>
      </c>
      <c r="BM27" s="1238">
        <f>SUM(BH27:BL27)</f>
        <v>0</v>
      </c>
      <c r="BN27" s="574">
        <f>COUNTIFS(STATUS!$Q:$Q,$A27,STATUS!$D:$D,BN$1,STATUS!$K:$K,"РЕШ УВ DONE")</f>
        <v>0</v>
      </c>
      <c r="BO27" s="574">
        <f>COUNTIFS(STATUS!$Q:$Q,$A27,STATUS!$D:$D,BO$1,STATUS!$K:$K,"РЕШ УВ DONE")</f>
        <v>0</v>
      </c>
      <c r="BP27" s="574">
        <f>COUNTIFS(STATUS!$Q:$Q,$A27,STATUS!$D:$D,BP$1,STATUS!$K:$K,"РЕШ УВ DONE")</f>
        <v>0</v>
      </c>
      <c r="BQ27" s="575">
        <f>COUNTIFS(STATUS!$Q:$Q,$A27,STATUS!$D:$D,BQ$1,STATUS!$K:$K,"РЕШ УВ DONE")</f>
        <v>0</v>
      </c>
      <c r="BR27" s="575">
        <f>COUNTIFS(STATUS!$Q:$Q,$A27,STATUS!$D:$D,BR$1,STATUS!$K:$K,"РЕШ УВ DONE")</f>
        <v>0</v>
      </c>
      <c r="BS27" s="1238">
        <f>SUM(BN27:BR27)</f>
        <v>0</v>
      </c>
      <c r="BT27" s="574">
        <f>COUNTIFS(STATUS!$Q:$Q,$A27,STATUS!$D:$D,BT$1,STATUS!$K:$K,"РЕШ УВ DONE")</f>
        <v>0</v>
      </c>
      <c r="BU27" s="574">
        <f>COUNTIFS(STATUS!$Q:$Q,$A27,STATUS!$D:$D,BU$1,STATUS!$K:$K,"РЕШ УВ DONE")</f>
        <v>0</v>
      </c>
      <c r="BV27" s="574">
        <f>COUNTIFS(STATUS!$Q:$Q,$A27,STATUS!$D:$D,BV$1,STATUS!$K:$K,"РЕШ УВ DONE")</f>
        <v>0</v>
      </c>
      <c r="BW27" s="575">
        <f>COUNTIFS(STATUS!$Q:$Q,$A27,STATUS!$D:$D,BW$1,STATUS!$K:$K,"РЕШ УВ DONE")</f>
        <v>0</v>
      </c>
      <c r="BX27" s="575">
        <f>COUNTIFS(STATUS!$Q:$Q,$A27,STATUS!$D:$D,BX$1,STATUS!$K:$K,"РЕШ УВ DONE")</f>
        <v>0</v>
      </c>
      <c r="BY27" s="1238">
        <f>SUM(BT27:BX27)</f>
        <v>0</v>
      </c>
      <c r="BZ27" s="574">
        <f>COUNTIFS(STATUS!$Q:$Q,$A27,STATUS!$D:$D,BZ$1,STATUS!$K:$K,"РЕШ УВ DONE")</f>
        <v>0</v>
      </c>
      <c r="CA27" s="574">
        <f>COUNTIFS(STATUS!$Q:$Q,$A27,STATUS!$D:$D,CA$1,STATUS!$K:$K,"РЕШ УВ DONE")</f>
        <v>0</v>
      </c>
      <c r="CB27" s="574">
        <f>COUNTIFS(STATUS!$Q:$Q,$A27,STATUS!$D:$D,CB$1,STATUS!$K:$K,"РЕШ УВ DONE")</f>
        <v>0</v>
      </c>
      <c r="CC27" s="575">
        <f>COUNTIFS(STATUS!$Q:$Q,$A27,STATUS!$D:$D,CC$1,STATUS!$K:$K,"РЕШ УВ DONE")</f>
        <v>1</v>
      </c>
      <c r="CD27" s="575">
        <f>COUNTIFS(STATUS!$Q:$Q,$A27,STATUS!$D:$D,CD$1,STATUS!$K:$K,"РЕШ УВ DONE")</f>
        <v>0</v>
      </c>
      <c r="CE27" s="1238">
        <f>SUM(BZ27:CD27)</f>
        <v>1</v>
      </c>
      <c r="CF27" s="1241">
        <f>COUNTIFS(STATUS!$Q:$Q,$A27,STATUS!$D:$D,CF$1,STATUS!$K:$K,"РЕШ УВ DONE")</f>
        <v>0</v>
      </c>
      <c r="CG27" s="1241">
        <f>COUNTIFS(STATUS!$Q:$Q,$A27,STATUS!$D:$D,CG$1,STATUS!$K:$K,"РЕШ УВ DONE")</f>
        <v>1</v>
      </c>
      <c r="CH27" s="1241">
        <f>COUNTIFS(STATUS!$Q:$Q,$A27,STATUS!$D:$D,CH$1,STATUS!$K:$K,"РЕШ УВ DONE")</f>
        <v>3</v>
      </c>
      <c r="CI27" s="1242">
        <f>COUNTIFS(STATUS!$Q:$Q,$A27,STATUS!$D:$D,CI$1,STATUS!$K:$K,"РЕШ УВ DONE")</f>
        <v>5</v>
      </c>
      <c r="CJ27" s="1242">
        <f>COUNTIFS(STATUS!$Q:$Q,$A27,STATUS!$D:$D,CJ$1,STATUS!$K:$K,"РЕШ УВ DONE")</f>
        <v>3</v>
      </c>
      <c r="CK27" s="571">
        <f>SUM(CF27:CJ27)</f>
        <v>12</v>
      </c>
      <c r="CL27" s="574">
        <f>COUNTIFS(STATUS!$Q:$Q,$A27,STATUS!$D:$D,CL$1,STATUS!$K:$K,"РЕШ УВ DONE")</f>
        <v>0</v>
      </c>
      <c r="CM27" s="574">
        <f>COUNTIFS(STATUS!$Q:$Q,$A27,STATUS!$D:$D,CM$1,STATUS!$K:$K,"РЕШ УВ DONE")</f>
        <v>0</v>
      </c>
      <c r="CN27" s="574">
        <f>COUNTIFS(STATUS!$Q:$Q,$A27,STATUS!$D:$D,CN$1,STATUS!$K:$K,"РЕШ УВ DONE")</f>
        <v>0</v>
      </c>
      <c r="CO27" s="575">
        <f>COUNTIFS(STATUS!$Q:$Q,$A27,STATUS!$D:$D,CO$1,STATUS!$K:$K,"РЕШ УВ DONE")</f>
        <v>0</v>
      </c>
      <c r="CP27" s="575">
        <f>COUNTIFS(STATUS!$Q:$Q,$A27,STATUS!$D:$D,CP$1,STATUS!$K:$K,"РЕШ УВ DONE")</f>
        <v>0</v>
      </c>
      <c r="CQ27" s="1238">
        <f>SUM(CL27:CP27)</f>
        <v>0</v>
      </c>
      <c r="CR27" s="574">
        <f>COUNTIFS(STATUS!$Q:$Q,$A27,STATUS!$D:$D,CR$1,STATUS!$K:$K,"РЕШ УВ DONE")</f>
        <v>0</v>
      </c>
      <c r="CS27" s="574">
        <f>COUNTIFS(STATUS!$Q:$Q,$A27,STATUS!$D:$D,CS$1,STATUS!$K:$K,"РЕШ УВ DONE")</f>
        <v>0</v>
      </c>
      <c r="CT27" s="574">
        <f>COUNTIFS(STATUS!$Q:$Q,$A27,STATUS!$D:$D,CT$1,STATUS!$K:$K,"РЕШ УВ DONE")</f>
        <v>0</v>
      </c>
      <c r="CU27" s="575">
        <f>COUNTIFS(STATUS!$Q:$Q,$A27,STATUS!$D:$D,CU$1,STATUS!$K:$K,"РЕШ УВ DONE")</f>
        <v>0</v>
      </c>
      <c r="CV27" s="575">
        <f>COUNTIFS(STATUS!$Q:$Q,$A27,STATUS!$D:$D,CV$1,STATUS!$K:$K,"РЕШ УВ DONE")</f>
        <v>0</v>
      </c>
      <c r="CW27" s="1238">
        <f>SUM(CR27:CV27)</f>
        <v>0</v>
      </c>
      <c r="CX27" s="574">
        <f>COUNTIFS(STATUS!$Q:$Q,$A27,STATUS!$D:$D,CX$1,STATUS!$K:$K,"РЕШ УВ DONE")</f>
        <v>0</v>
      </c>
      <c r="CY27" s="574">
        <f>COUNTIFS(STATUS!$Q:$Q,$A27,STATUS!$D:$D,CY$1,STATUS!$K:$K,"РЕШ УВ DONE")</f>
        <v>0</v>
      </c>
      <c r="CZ27" s="574">
        <f>COUNTIFS(STATUS!$Q:$Q,$A27,STATUS!$D:$D,CZ$1,STATUS!$K:$K,"РЕШ УВ DONE")</f>
        <v>0</v>
      </c>
      <c r="DA27" s="575">
        <f>COUNTIFS(STATUS!$Q:$Q,$A27,STATUS!$D:$D,DA$1,STATUS!$K:$K,"РЕШ УВ DONE")</f>
        <v>0</v>
      </c>
      <c r="DB27" s="575">
        <f>COUNTIFS(STATUS!$Q:$Q,$A27,STATUS!$D:$D,DB$1,STATUS!$K:$K,"РЕШ УВ DONE")</f>
        <v>0</v>
      </c>
      <c r="DC27" s="1238">
        <f>SUM(CX27:DB27)</f>
        <v>0</v>
      </c>
      <c r="DD27" s="574">
        <f>COUNTIFS(STATUS!$Q:$Q,$A27,STATUS!$D:$D,DD$1,STATUS!$K:$K,"РЕШ УВ DONE")</f>
        <v>0</v>
      </c>
      <c r="DE27" s="574">
        <f>COUNTIFS(STATUS!$Q:$Q,$A27,STATUS!$D:$D,DE$1,STATUS!$K:$K,"РЕШ УВ DONE")</f>
        <v>0</v>
      </c>
      <c r="DF27" s="574">
        <f>COUNTIFS(STATUS!$Q:$Q,$A27,STATUS!$D:$D,DF$1,STATUS!$K:$K,"РЕШ УВ DONE")</f>
        <v>0</v>
      </c>
      <c r="DG27" s="575">
        <f>COUNTIFS(STATUS!$Q:$Q,$A27,STATUS!$D:$D,DG$1,STATUS!$K:$K,"РЕШ УВ DONE")</f>
        <v>0</v>
      </c>
      <c r="DH27" s="575">
        <f>COUNTIFS(STATUS!$Q:$Q,$A27,STATUS!$D:$D,DH$1,STATUS!$K:$K,"РЕШ УВ DONE")</f>
        <v>0</v>
      </c>
      <c r="DI27" s="1238">
        <f>SUM(DD27:DH27)</f>
        <v>0</v>
      </c>
      <c r="DJ27" s="574">
        <f>COUNTIFS(STATUS!$Q:$Q,$A27,STATUS!$D:$D,DJ$1,STATUS!$K:$K,"РЕШ УВ DONE")</f>
        <v>0</v>
      </c>
      <c r="DK27" s="574">
        <f>COUNTIFS(STATUS!$Q:$Q,$A27,STATUS!$D:$D,DK$1,STATUS!$K:$K,"РЕШ УВ DONE")</f>
        <v>0</v>
      </c>
      <c r="DL27" s="574">
        <f>COUNTIFS(STATUS!$Q:$Q,$A27,STATUS!$D:$D,DL$1,STATUS!$K:$K,"РЕШ УВ DONE")</f>
        <v>0</v>
      </c>
      <c r="DM27" s="575">
        <f>COUNTIFS(STATUS!$Q:$Q,$A27,STATUS!$D:$D,DM$1,STATUS!$K:$K,"РЕШ УВ DONE")</f>
        <v>0</v>
      </c>
      <c r="DN27" s="575">
        <f>COUNTIFS(STATUS!$Q:$Q,$A27,STATUS!$D:$D,DN$1,STATUS!$K:$K,"РЕШ УВ DONE")</f>
        <v>0</v>
      </c>
      <c r="DO27" s="1238">
        <f>SUM(DJ27:DN27)</f>
        <v>0</v>
      </c>
      <c r="DP27" s="574">
        <f>COUNTIFS(STATUS!$Q:$Q,$A27,STATUS!$D:$D,DP$1,STATUS!$K:$K,"РЕШ УВ DONE")</f>
        <v>0</v>
      </c>
      <c r="DQ27" s="574">
        <f>COUNTIFS(STATUS!$Q:$Q,$A27,STATUS!$D:$D,DQ$1,STATUS!$K:$K,"РЕШ УВ DONE")</f>
        <v>0</v>
      </c>
      <c r="DR27" s="574">
        <f>COUNTIFS(STATUS!$Q:$Q,$A27,STATUS!$D:$D,DR$1,STATUS!$K:$K,"РЕШ УВ DONE")</f>
        <v>0</v>
      </c>
      <c r="DS27" s="575">
        <f>COUNTIFS(STATUS!$Q:$Q,$A27,STATUS!$D:$D,DS$1,STATUS!$K:$K,"РЕШ УВ DONE")</f>
        <v>0</v>
      </c>
      <c r="DT27" s="575">
        <f>COUNTIFS(STATUS!$Q:$Q,$A27,STATUS!$D:$D,DT$1,STATUS!$K:$K,"РЕШ УВ DONE")</f>
        <v>0</v>
      </c>
      <c r="DU27" s="1238">
        <f>SUM(DP27:DT27)</f>
        <v>0</v>
      </c>
      <c r="DV27" s="574">
        <f>COUNTIFS(STATUS!$Q:$Q,$A27,STATUS!$D:$D,DV$1,STATUS!$K:$K,"РЕШ УВ DONE")</f>
        <v>0</v>
      </c>
      <c r="DW27" s="574">
        <f>COUNTIFS(STATUS!$Q:$Q,$A27,STATUS!$D:$D,DW$1,STATUS!$K:$K,"РЕШ УВ DONE")</f>
        <v>0</v>
      </c>
      <c r="DX27" s="574">
        <f>COUNTIFS(STATUS!$Q:$Q,$A27,STATUS!$D:$D,DX$1,STATUS!$K:$K,"РЕШ УВ DONE")</f>
        <v>0</v>
      </c>
      <c r="DY27" s="575">
        <f>COUNTIFS(STATUS!$Q:$Q,$A27,STATUS!$D:$D,DY$1,STATUS!$K:$K,"РЕШ УВ DONE")</f>
        <v>0</v>
      </c>
      <c r="DZ27" s="575">
        <f>COUNTIFS(STATUS!$Q:$Q,$A27,STATUS!$D:$D,DZ$1,STATUS!$K:$K,"РЕШ УВ DONE")</f>
        <v>0</v>
      </c>
      <c r="EA27" s="1238">
        <f>SUM(DV27:DZ27)</f>
        <v>0</v>
      </c>
      <c r="EB27" s="574">
        <f>COUNTIFS(STATUS!$Q:$Q,$A27,STATUS!$D:$D,EB$1,STATUS!$K:$K,"РЕШ УВ DONE")</f>
        <v>0</v>
      </c>
      <c r="EC27" s="574">
        <f>COUNTIFS(STATUS!$Q:$Q,$A27,STATUS!$D:$D,EC$1,STATUS!$K:$K,"РЕШ УВ DONE")</f>
        <v>0</v>
      </c>
      <c r="ED27" s="574">
        <f>COUNTIFS(STATUS!$Q:$Q,$A27,STATUS!$D:$D,ED$1,STATUS!$K:$K,"РЕШ УВ DONE")</f>
        <v>0</v>
      </c>
      <c r="EE27" s="575">
        <f>COUNTIFS(STATUS!$Q:$Q,$A27,STATUS!$D:$D,EE$1,STATUS!$K:$K,"РЕШ УВ DONE")</f>
        <v>0</v>
      </c>
      <c r="EF27" s="575">
        <f>COUNTIFS(STATUS!$Q:$Q,$A27,STATUS!$D:$D,EF$1,STATUS!$K:$K,"РЕШ УВ DONE")</f>
        <v>0</v>
      </c>
      <c r="EG27" s="1238">
        <f>SUM(EB27:EF27)</f>
        <v>0</v>
      </c>
      <c r="EH27" s="574">
        <f>COUNTIFS(STATUS!$Q:$Q,$A27,STATUS!$D:$D,EH$1,STATUS!$K:$K,"РЕШ УВ DONE")</f>
        <v>0</v>
      </c>
      <c r="EI27" s="574">
        <f>COUNTIFS(STATUS!$Q:$Q,$A27,STATUS!$D:$D,EI$1,STATUS!$K:$K,"РЕШ УВ DONE")</f>
        <v>0</v>
      </c>
      <c r="EJ27" s="574">
        <f>COUNTIFS(STATUS!$Q:$Q,$A27,STATUS!$D:$D,EJ$1,STATUS!$K:$K,"РЕШ УВ DONE")</f>
        <v>0</v>
      </c>
      <c r="EK27" s="575">
        <f>COUNTIFS(STATUS!$Q:$Q,$A27,STATUS!$D:$D,EK$1,STATUS!$K:$K,"РЕШ УВ DONE")</f>
        <v>0</v>
      </c>
      <c r="EL27" s="575">
        <f>COUNTIFS(STATUS!$Q:$Q,$A27,STATUS!$D:$D,EL$1,STATUS!$K:$K,"РЕШ УВ DONE")</f>
        <v>0</v>
      </c>
      <c r="EM27" s="1238">
        <f>SUM(EH27:EL27)</f>
        <v>0</v>
      </c>
      <c r="EN27" s="574">
        <f>COUNTIFS(STATUS!$Q:$Q,$A27,STATUS!$D:$D,EN$1,STATUS!$K:$K,"РЕШ УВ DONE")</f>
        <v>0</v>
      </c>
      <c r="EO27" s="574">
        <f>COUNTIFS(STATUS!$Q:$Q,$A27,STATUS!$D:$D,EO$1,STATUS!$K:$K,"РЕШ УВ DONE")</f>
        <v>0</v>
      </c>
      <c r="EP27" s="574">
        <f>COUNTIFS(STATUS!$Q:$Q,$A27,STATUS!$D:$D,EP$1,STATUS!$K:$K,"РЕШ УВ DONE")</f>
        <v>0</v>
      </c>
      <c r="EQ27" s="575">
        <f>COUNTIFS(STATUS!$Q:$Q,$A27,STATUS!$D:$D,EQ$1,STATUS!$K:$K,"РЕШ УВ DONE")</f>
        <v>0</v>
      </c>
      <c r="ER27" s="575">
        <f>COUNTIFS(STATUS!$Q:$Q,$A27,STATUS!$D:$D,ER$1,STATUS!$K:$K,"РЕШ УВ DONE")</f>
        <v>0</v>
      </c>
      <c r="ES27" s="1238">
        <f>SUM(EN27:ER27)</f>
        <v>0</v>
      </c>
      <c r="ET27" s="574">
        <f>COUNTIFS(STATUS!$Q:$Q,$A27,STATUS!$D:$D,ET$1,STATUS!$K:$K,"РЕШ УВ DONE")</f>
        <v>0</v>
      </c>
      <c r="EU27" s="574">
        <f>COUNTIFS(STATUS!$Q:$Q,$A27,STATUS!$D:$D,EU$1,STATUS!$K:$K,"РЕШ УВ DONE")</f>
        <v>0</v>
      </c>
      <c r="EV27" s="574">
        <f>COUNTIFS(STATUS!$Q:$Q,$A27,STATUS!$D:$D,EV$1,STATUS!$K:$K,"РЕШ УВ DONE")</f>
        <v>0</v>
      </c>
      <c r="EW27" s="575">
        <f>COUNTIFS(STATUS!$Q:$Q,$A27,STATUS!$D:$D,EW$1,STATUS!$K:$K,"РЕШ УВ DONE")</f>
        <v>0</v>
      </c>
      <c r="EX27" s="575">
        <f>COUNTIFS(STATUS!$Q:$Q,$A27,STATUS!$D:$D,EX$1,STATUS!$K:$K,"РЕШ УВ DONE")</f>
        <v>0</v>
      </c>
      <c r="EY27" s="1238">
        <f>SUM(ET27:EX27)</f>
        <v>0</v>
      </c>
      <c r="EZ27" s="574">
        <f>COUNTIFS(STATUS!$Q:$Q,$A27,STATUS!$D:$D,EZ$1,STATUS!$K:$K,"РЕШ УВ DONE")</f>
        <v>0</v>
      </c>
      <c r="FA27" s="574">
        <f>COUNTIFS(STATUS!$Q:$Q,$A27,STATUS!$D:$D,FA$1,STATUS!$K:$K,"РЕШ УВ DONE")</f>
        <v>0</v>
      </c>
      <c r="FB27" s="574">
        <f>COUNTIFS(STATUS!$Q:$Q,$A27,STATUS!$D:$D,FB$1,STATUS!$K:$K,"РЕШ УВ DONE")</f>
        <v>0</v>
      </c>
      <c r="FC27" s="575">
        <f>COUNTIFS(STATUS!$Q:$Q,$A27,STATUS!$D:$D,FC$1,STATUS!$K:$K,"РЕШ УВ DONE")</f>
        <v>0</v>
      </c>
      <c r="FD27" s="575">
        <f>COUNTIFS(STATUS!$Q:$Q,$A27,STATUS!$D:$D,FD$1,STATUS!$K:$K,"РЕШ УВ DONE")</f>
        <v>0</v>
      </c>
      <c r="FE27" s="1238">
        <f>SUM(EZ27:FD27)</f>
        <v>0</v>
      </c>
      <c r="FF27" s="574">
        <f>COUNTIFS(STATUS!$Q:$Q,$A27,STATUS!$D:$D,FF$1,STATUS!$K:$K,"РЕШ УВ DONE")</f>
        <v>0</v>
      </c>
      <c r="FG27" s="574">
        <f>COUNTIFS(STATUS!$Q:$Q,$A27,STATUS!$D:$D,FG$1,STATUS!$K:$K,"РЕШ УВ DONE")</f>
        <v>0</v>
      </c>
      <c r="FH27" s="574">
        <f>COUNTIFS(STATUS!$Q:$Q,$A27,STATUS!$D:$D,FH$1,STATUS!$K:$K,"РЕШ УВ DONE")</f>
        <v>0</v>
      </c>
      <c r="FI27" s="575">
        <f>COUNTIFS(STATUS!$Q:$Q,$A27,STATUS!$D:$D,FI$1,STATUS!$K:$K,"РЕШ УВ DONE")</f>
        <v>0</v>
      </c>
      <c r="FJ27" s="575">
        <f>COUNTIFS(STATUS!$Q:$Q,$A27,STATUS!$D:$D,FJ$1,STATUS!$K:$K,"РЕШ УВ DONE")</f>
        <v>0</v>
      </c>
      <c r="FK27" s="1238">
        <f>SUM(FF27:FJ27)</f>
        <v>0</v>
      </c>
      <c r="FL27" s="574">
        <f>COUNTIFS(STATUS!$Q:$Q,$A27,STATUS!$D:$D,FL$1,STATUS!$K:$K,"РЕШ УВ DONE")</f>
        <v>0</v>
      </c>
      <c r="FM27" s="574">
        <f>COUNTIFS(STATUS!$Q:$Q,$A27,STATUS!$D:$D,FM$1,STATUS!$K:$K,"РЕШ УВ DONE")</f>
        <v>0</v>
      </c>
      <c r="FN27" s="574">
        <f>COUNTIFS(STATUS!$Q:$Q,$A27,STATUS!$D:$D,FN$1,STATUS!$K:$K,"РЕШ УВ DONE")</f>
        <v>0</v>
      </c>
      <c r="FO27" s="575">
        <f>COUNTIFS(STATUS!$Q:$Q,$A27,STATUS!$D:$D,FO$1,STATUS!$K:$K,"РЕШ УВ DONE")</f>
        <v>0</v>
      </c>
      <c r="FP27" s="575">
        <f>COUNTIFS(STATUS!$Q:$Q,$A27,STATUS!$D:$D,FP$1,STATUS!$K:$K,"РЕШ УВ DONE")</f>
        <v>0</v>
      </c>
      <c r="FQ27" s="1238">
        <f>SUM(FL27:FP27)</f>
        <v>0</v>
      </c>
      <c r="FR27" s="574">
        <f>COUNTIFS(STATUS!$Q:$Q,$A27,STATUS!$D:$D,FR$1,STATUS!$K:$K,"РЕШ УВ DONE")</f>
        <v>0</v>
      </c>
      <c r="FS27" s="574">
        <f>COUNTIFS(STATUS!$Q:$Q,$A27,STATUS!$D:$D,FS$1,STATUS!$K:$K,"РЕШ УВ DONE")</f>
        <v>0</v>
      </c>
      <c r="FT27" s="574">
        <f>COUNTIFS(STATUS!$Q:$Q,$A27,STATUS!$D:$D,FT$1,STATUS!$K:$K,"РЕШ УВ DONE")</f>
        <v>0</v>
      </c>
      <c r="FU27" s="575">
        <f>COUNTIFS(STATUS!$Q:$Q,$A27,STATUS!$D:$D,FU$1,STATUS!$K:$K,"РЕШ УВ DONE")</f>
        <v>0</v>
      </c>
      <c r="FV27" s="575">
        <f>COUNTIFS(STATUS!$Q:$Q,$A27,STATUS!$D:$D,FV$1,STATUS!$K:$K,"РЕШ УВ DONE")</f>
        <v>0</v>
      </c>
      <c r="FW27" s="1238">
        <f>SUM(FR27:FV27)</f>
        <v>0</v>
      </c>
      <c r="FX27" s="574">
        <f>COUNTIFS(STATUS!$Q:$Q,$A27,STATUS!$D:$D,FX$1,STATUS!$K:$K,"РЕШ УВ DONE")</f>
        <v>0</v>
      </c>
      <c r="FY27" s="574">
        <f>COUNTIFS(STATUS!$Q:$Q,$A27,STATUS!$D:$D,FY$1,STATUS!$K:$K,"РЕШ УВ DONE")</f>
        <v>0</v>
      </c>
      <c r="FZ27" s="574">
        <f>COUNTIFS(STATUS!$Q:$Q,$A27,STATUS!$D:$D,FZ$1,STATUS!$K:$K,"РЕШ УВ DONE")</f>
        <v>0</v>
      </c>
      <c r="GA27" s="575">
        <f>COUNTIFS(STATUS!$Q:$Q,$A27,STATUS!$D:$D,GA$1,STATUS!$K:$K,"РЕШ УВ DONE")</f>
        <v>0</v>
      </c>
      <c r="GB27" s="575">
        <f>COUNTIFS(STATUS!$Q:$Q,$A27,STATUS!$D:$D,GB$1,STATUS!$K:$K,"РЕШ УВ DONE")</f>
        <v>0</v>
      </c>
      <c r="GC27" s="1238">
        <f>SUM(FX27:GB27)</f>
        <v>0</v>
      </c>
      <c r="GD27" s="574">
        <f>COUNTIFS(STATUS!$Q:$Q,$A27,STATUS!$D:$D,GD$1,STATUS!$K:$K,"РЕШ УВ DONE")</f>
        <v>0</v>
      </c>
      <c r="GE27" s="574">
        <f>COUNTIFS(STATUS!$Q:$Q,$A27,STATUS!$D:$D,GE$1,STATUS!$K:$K,"РЕШ УВ DONE")</f>
        <v>0</v>
      </c>
      <c r="GF27" s="574">
        <f>COUNTIFS(STATUS!$Q:$Q,$A27,STATUS!$D:$D,GF$1,STATUS!$K:$K,"РЕШ УВ DONE")</f>
        <v>0</v>
      </c>
      <c r="GG27" s="575">
        <f>COUNTIFS(STATUS!$Q:$Q,$A27,STATUS!$D:$D,GG$1,STATUS!$K:$K,"РЕШ УВ DONE")</f>
        <v>0</v>
      </c>
      <c r="GH27" s="575">
        <f>COUNTIFS(STATUS!$Q:$Q,$A27,STATUS!$D:$D,GH$1,STATUS!$K:$K,"РЕШ УВ DONE")</f>
        <v>0</v>
      </c>
      <c r="GI27" s="1238">
        <f>SUM(GD27:GH27)</f>
        <v>0</v>
      </c>
      <c r="GJ27" s="574">
        <f>COUNTIFS(STATUS!$Q:$Q,$A27,STATUS!$D:$D,GJ$1,STATUS!$K:$K,"РЕШ УВ DONE")</f>
        <v>0</v>
      </c>
      <c r="GK27" s="574">
        <f>COUNTIFS(STATUS!$Q:$Q,$A27,STATUS!$D:$D,GK$1,STATUS!$K:$K,"РЕШ УВ DONE")</f>
        <v>0</v>
      </c>
      <c r="GL27" s="574">
        <f>COUNTIFS(STATUS!$Q:$Q,$A27,STATUS!$D:$D,GL$1,STATUS!$K:$K,"РЕШ УВ DONE")</f>
        <v>0</v>
      </c>
      <c r="GM27" s="575">
        <f>COUNTIFS(STATUS!$Q:$Q,$A27,STATUS!$D:$D,GM$1,STATUS!$K:$K,"РЕШ УВ DONE")</f>
        <v>0</v>
      </c>
      <c r="GN27" s="575">
        <f>COUNTIFS(STATUS!$Q:$Q,$A27,STATUS!$D:$D,GN$1,STATUS!$K:$K,"РЕШ УВ DONE")</f>
        <v>0</v>
      </c>
      <c r="GO27" s="1238">
        <f>SUM(GJ27:GN27)</f>
        <v>0</v>
      </c>
      <c r="GP27" s="574">
        <f>COUNTIFS(STATUS!$Q:$Q,$A27,STATUS!$D:$D,GP$1,STATUS!$K:$K,"РЕШ УВ DONE")</f>
        <v>0</v>
      </c>
      <c r="GQ27" s="574">
        <f>COUNTIFS(STATUS!$Q:$Q,$A27,STATUS!$D:$D,GQ$1,STATUS!$K:$K,"РЕШ УВ DONE")</f>
        <v>0</v>
      </c>
      <c r="GR27" s="574">
        <f>COUNTIFS(STATUS!$Q:$Q,$A27,STATUS!$D:$D,GR$1,STATUS!$K:$K,"РЕШ УВ DONE")</f>
        <v>0</v>
      </c>
      <c r="GS27" s="575">
        <f>COUNTIFS(STATUS!$Q:$Q,$A27,STATUS!$D:$D,GS$1,STATUS!$K:$K,"РЕШ УВ DONE")</f>
        <v>0</v>
      </c>
      <c r="GT27" s="575">
        <f>COUNTIFS(STATUS!$Q:$Q,$A27,STATUS!$D:$D,GT$1,STATUS!$K:$K,"РЕШ УВ DONE")</f>
        <v>0</v>
      </c>
      <c r="GU27" s="1238">
        <f>SUM(GP27:GT27)</f>
        <v>0</v>
      </c>
      <c r="GV27" s="574">
        <f>COUNTIFS(STATUS!$Q:$Q,$A27,STATUS!$D:$D,GV$1,STATUS!$K:$K,"РЕШ УВ DONE")</f>
        <v>0</v>
      </c>
      <c r="GW27" s="574">
        <f>COUNTIFS(STATUS!$Q:$Q,$A27,STATUS!$D:$D,GW$1,STATUS!$K:$K,"РЕШ УВ DONE")</f>
        <v>0</v>
      </c>
      <c r="GX27" s="574">
        <f>COUNTIFS(STATUS!$Q:$Q,$A27,STATUS!$D:$D,GX$1,STATUS!$K:$K,"РЕШ УВ DONE")</f>
        <v>0</v>
      </c>
      <c r="GY27" s="575">
        <f>COUNTIFS(STATUS!$Q:$Q,$A27,STATUS!$D:$D,GY$1,STATUS!$K:$K,"РЕШ УВ DONE")</f>
        <v>0</v>
      </c>
      <c r="GZ27" s="575">
        <f>COUNTIFS(STATUS!$Q:$Q,$A27,STATUS!$D:$D,GZ$1,STATUS!$K:$K,"РЕШ УВ DONE")</f>
        <v>0</v>
      </c>
      <c r="HA27" s="1238">
        <f>SUM(GV27:GZ27)</f>
        <v>0</v>
      </c>
    </row>
    <row r="28" spans="1:209" x14ac:dyDescent="0.3">
      <c r="A28" s="1556"/>
      <c r="B28" s="428">
        <f>SUM(H28,N28,R28,W28,AC28,AI28,AO28,AU28,BA28,BG28,BM28,BS28,BY28,CE28,CK28,CQ28,CW28,DC28,DI28,DO28,DU28,EA28,EG28,EM28,ES28,EY28,FE28,FK28,FQ28,FW28,GC28,GI28,GO28,GU28,HA28)</f>
        <v>3</v>
      </c>
      <c r="C28" s="577">
        <f>COUNTIFS(STATUS!$Q:$Q,$A27,STATUS!$D:$D,C$1,STATUS!$U:$U,"ВОЗВРАТ")</f>
        <v>0</v>
      </c>
      <c r="D28" s="577">
        <f>COUNTIFS(STATUS!$Q:$Q,$A27,STATUS!$D:$D,D$1,STATUS!$U:$U,"ВОЗВРАТ")</f>
        <v>0</v>
      </c>
      <c r="E28" s="577">
        <f>COUNTIFS(STATUS!$Q:$Q,$A27,STATUS!$D:$D,E$1,STATUS!$U:$U,"ВОЗВРАТ")</f>
        <v>0</v>
      </c>
      <c r="F28" s="577">
        <f>COUNTIFS(STATUS!$Q:$Q,$A27,STATUS!$D:$D,F$1,STATUS!$U:$U,"ВОЗВРАТ")</f>
        <v>0</v>
      </c>
      <c r="G28" s="578">
        <f>COUNTIFS(STATUS!$Q:$Q,$A27,STATUS!$D:$D,G$1,STATUS!$U:$U,"ВОЗВРАТ")</f>
        <v>0</v>
      </c>
      <c r="H28" s="576">
        <f>SUM(C28:G28)</f>
        <v>0</v>
      </c>
      <c r="I28" s="1240">
        <f>COUNTIFS(STATUS!$Q:$Q,$A27,STATUS!$D:$D,I$1,STATUS!$U:$U,"ВОЗВРАТ")</f>
        <v>0</v>
      </c>
      <c r="J28" s="577">
        <f>COUNTIFS(STATUS!$Q:$Q,$A27,STATUS!$D:$D,J$1,STATUS!$U:$U,"ВОЗВРАТ")</f>
        <v>0</v>
      </c>
      <c r="K28" s="577">
        <f>COUNTIFS(STATUS!$Q:$Q,$A27,STATUS!$D:$D,K$1,STATUS!$U:$U,"ВОЗВРАТ")</f>
        <v>0</v>
      </c>
      <c r="L28" s="577">
        <f>COUNTIFS(STATUS!$Q:$Q,$A27,STATUS!$D:$D,L$1,STATUS!$U:$U,"ВОЗВРАТ")</f>
        <v>0</v>
      </c>
      <c r="M28" s="578">
        <f>COUNTIFS(STATUS!$Q:$Q,$A27,STATUS!$D:$D,M$1,STATUS!$U:$U,"ВОЗВРАТ")</f>
        <v>0</v>
      </c>
      <c r="N28" s="576">
        <f>SUM(I28:M28)</f>
        <v>0</v>
      </c>
      <c r="O28" s="401">
        <f>COUNTIFS(STATUS!$Q:$Q,$A27,STATUS!$D:$D,O$1,STATUS!$U:$U,"ВОЗВРАТ")</f>
        <v>0</v>
      </c>
      <c r="P28" s="306">
        <f>COUNTIFS(STATUS!$Q:$Q,$A27,STATUS!$D:$D,P$1,STATUS!$U:$U,"ВОЗВРАТ")</f>
        <v>0</v>
      </c>
      <c r="Q28" s="306">
        <f>COUNTIFS(STATUS!$Q:$Q,$A27,STATUS!$D:$D,Q$1,STATUS!$U:$U,"ВОЗВРАТ")</f>
        <v>0</v>
      </c>
      <c r="R28" s="576">
        <f>SUM(O28:Q28)</f>
        <v>0</v>
      </c>
      <c r="S28" s="577">
        <f>COUNTIFS(STATUS!$Q:$Q,$A27,STATUS!$D:$D,S$1,STATUS!$U:$U,"ВОЗВРАТ")</f>
        <v>0</v>
      </c>
      <c r="T28" s="577">
        <f>COUNTIFS(STATUS!$Q:$Q,$A27,STATUS!$D:$D,T$1,STATUS!$U:$U,"ВОЗВРАТ")</f>
        <v>0</v>
      </c>
      <c r="U28" s="577">
        <f>COUNTIFS(STATUS!$Q:$Q,$A27,STATUS!$D:$D,U$1,STATUS!$U:$U,"ВОЗВРАТ")</f>
        <v>0</v>
      </c>
      <c r="V28" s="578">
        <f>COUNTIFS(STATUS!$Q:$Q,$A27,STATUS!$D:$D,V$1,STATUS!$U:$U,"ВОЗВРАТ")</f>
        <v>0</v>
      </c>
      <c r="W28" s="576">
        <f>SUM(S28:V28)</f>
        <v>0</v>
      </c>
      <c r="X28" s="577">
        <f>COUNTIFS(STATUS!$Q:$Q,$A27,STATUS!$D:$D,X$1,STATUS!$U:$U,"ВОЗВРАТ")</f>
        <v>0</v>
      </c>
      <c r="Y28" s="577">
        <f>COUNTIFS(STATUS!$Q:$Q,$A27,STATUS!$D:$D,Y$1,STATUS!$U:$U,"ВОЗВРАТ")</f>
        <v>0</v>
      </c>
      <c r="Z28" s="577">
        <f>COUNTIFS(STATUS!$Q:$Q,$A27,STATUS!$D:$D,Z$1,STATUS!$U:$U,"ВОЗВРАТ")</f>
        <v>0</v>
      </c>
      <c r="AA28" s="578">
        <f>COUNTIFS(STATUS!$Q:$Q,$A27,STATUS!$D:$D,AA$1,STATUS!$U:$U,"ВОЗВРАТ")</f>
        <v>0</v>
      </c>
      <c r="AB28" s="578">
        <f>COUNTIFS(STATUS!$Q:$Q,$A27,STATUS!$D:$D,AB$1,STATUS!$U:$U,"ВОЗВРАТ")</f>
        <v>0</v>
      </c>
      <c r="AC28" s="576">
        <f>SUM(X28:AB28)</f>
        <v>0</v>
      </c>
      <c r="AD28" s="577">
        <f>COUNTIFS(STATUS!$Q:$Q,$A27,STATUS!$D:$D,AD$1,STATUS!$U:$U,"ВОЗВРАТ")</f>
        <v>0</v>
      </c>
      <c r="AE28" s="577">
        <f>COUNTIFS(STATUS!$Q:$Q,$A27,STATUS!$D:$D,AE$1,STATUS!$U:$U,"ВОЗВРАТ")</f>
        <v>0</v>
      </c>
      <c r="AF28" s="577">
        <f>COUNTIFS(STATUS!$Q:$Q,$A27,STATUS!$D:$D,AF$1,STATUS!$U:$U,"ВОЗВРАТ")</f>
        <v>0</v>
      </c>
      <c r="AG28" s="578">
        <f>COUNTIFS(STATUS!$Q:$Q,$A27,STATUS!$D:$D,AG$1,STATUS!$U:$U,"ВОЗВРАТ")</f>
        <v>0</v>
      </c>
      <c r="AH28" s="578">
        <f>COUNTIFS(STATUS!$Q:$Q,$A27,STATUS!$D:$D,AH$1,STATUS!$U:$U,"ВОЗВРАТ")</f>
        <v>0</v>
      </c>
      <c r="AI28" s="576">
        <f>SUM(AD28:AH28)</f>
        <v>0</v>
      </c>
      <c r="AJ28" s="577">
        <f>COUNTIFS(STATUS!$Q:$Q,$A27,STATUS!$D:$D,AJ$1,STATUS!$U:$U,"ВОЗВРАТ")</f>
        <v>0</v>
      </c>
      <c r="AK28" s="577">
        <f>COUNTIFS(STATUS!$Q:$Q,$A27,STATUS!$D:$D,AK$1,STATUS!$U:$U,"ВОЗВРАТ")</f>
        <v>0</v>
      </c>
      <c r="AL28" s="577">
        <f>COUNTIFS(STATUS!$Q:$Q,$A27,STATUS!$D:$D,AL$1,STATUS!$U:$U,"ВОЗВРАТ")</f>
        <v>0</v>
      </c>
      <c r="AM28" s="578">
        <f>COUNTIFS(STATUS!$Q:$Q,$A27,STATUS!$D:$D,AM$1,STATUS!$U:$U,"ВОЗВРАТ")</f>
        <v>0</v>
      </c>
      <c r="AN28" s="578">
        <f>COUNTIFS(STATUS!$Q:$Q,$A27,STATUS!$D:$D,AN$1,STATUS!$U:$U,"ВОЗВРАТ")</f>
        <v>0</v>
      </c>
      <c r="AO28" s="576">
        <f>SUM(AJ28:AN28)</f>
        <v>0</v>
      </c>
      <c r="AP28" s="577">
        <f>COUNTIFS(STATUS!$Q:$Q,$A27,STATUS!$D:$D,AP$1,STATUS!$U:$U,"ВОЗВРАТ")</f>
        <v>0</v>
      </c>
      <c r="AQ28" s="577">
        <f>COUNTIFS(STATUS!$Q:$Q,$A27,STATUS!$D:$D,AQ$1,STATUS!$U:$U,"ВОЗВРАТ")</f>
        <v>0</v>
      </c>
      <c r="AR28" s="577">
        <f>COUNTIFS(STATUS!$Q:$Q,$A27,STATUS!$D:$D,AR$1,STATUS!$U:$U,"ВОЗВРАТ")</f>
        <v>0</v>
      </c>
      <c r="AS28" s="578">
        <f>COUNTIFS(STATUS!$Q:$Q,$A27,STATUS!$D:$D,AS$1,STATUS!$U:$U,"ВОЗВРАТ")</f>
        <v>0</v>
      </c>
      <c r="AT28" s="578">
        <f>COUNTIFS(STATUS!$Q:$Q,$A27,STATUS!$D:$D,AT$1,STATUS!$U:$U,"ВОЗВРАТ")</f>
        <v>0</v>
      </c>
      <c r="AU28" s="576">
        <f>SUM(AP28:AT28)</f>
        <v>0</v>
      </c>
      <c r="AV28" s="577">
        <f>COUNTIFS(STATUS!$Q:$Q,$A27,STATUS!$D:$D,AV$1,STATUS!$U:$U,"ВОЗВРАТ")</f>
        <v>0</v>
      </c>
      <c r="AW28" s="577">
        <f>COUNTIFS(STATUS!$Q:$Q,$A27,STATUS!$D:$D,AW$1,STATUS!$U:$U,"ВОЗВРАТ")</f>
        <v>0</v>
      </c>
      <c r="AX28" s="577">
        <f>COUNTIFS(STATUS!$Q:$Q,$A27,STATUS!$D:$D,AX$1,STATUS!$U:$U,"ВОЗВРАТ")</f>
        <v>0</v>
      </c>
      <c r="AY28" s="578">
        <f>COUNTIFS(STATUS!$Q:$Q,$A27,STATUS!$D:$D,AY$1,STATUS!$U:$U,"ВОЗВРАТ")</f>
        <v>0</v>
      </c>
      <c r="AZ28" s="578">
        <f>COUNTIFS(STATUS!$Q:$Q,$A27,STATUS!$D:$D,AZ$1,STATUS!$U:$U,"ВОЗВРАТ")</f>
        <v>0</v>
      </c>
      <c r="BA28" s="576">
        <f>SUM(AV28:AZ28)</f>
        <v>0</v>
      </c>
      <c r="BB28" s="577">
        <f>COUNTIFS(STATUS!$Q:$Q,$A27,STATUS!$D:$D,BB$1,STATUS!$U:$U,"ВОЗВРАТ")</f>
        <v>0</v>
      </c>
      <c r="BC28" s="577">
        <f>COUNTIFS(STATUS!$Q:$Q,$A27,STATUS!$D:$D,BC$1,STATUS!$U:$U,"ВОЗВРАТ")</f>
        <v>0</v>
      </c>
      <c r="BD28" s="577">
        <f>COUNTIFS(STATUS!$Q:$Q,$A27,STATUS!$D:$D,BD$1,STATUS!$U:$U,"ВОЗВРАТ")</f>
        <v>0</v>
      </c>
      <c r="BE28" s="578">
        <f>COUNTIFS(STATUS!$Q:$Q,$A27,STATUS!$D:$D,BE$1,STATUS!$U:$U,"ВОЗВРАТ")</f>
        <v>0</v>
      </c>
      <c r="BF28" s="578">
        <f>COUNTIFS(STATUS!$Q:$Q,$A27,STATUS!$D:$D,BF$1,STATUS!$U:$U,"ВОЗВРАТ")</f>
        <v>0</v>
      </c>
      <c r="BG28" s="576">
        <f>SUM(BB28:BF28)</f>
        <v>0</v>
      </c>
      <c r="BH28" s="577">
        <f>COUNTIFS(STATUS!$Q:$Q,$A27,STATUS!$D:$D,BH$1,STATUS!$U:$U,"ВОЗВРАТ")</f>
        <v>0</v>
      </c>
      <c r="BI28" s="577">
        <f>COUNTIFS(STATUS!$Q:$Q,$A27,STATUS!$D:$D,BI$1,STATUS!$U:$U,"ВОЗВРАТ")</f>
        <v>0</v>
      </c>
      <c r="BJ28" s="577">
        <f>COUNTIFS(STATUS!$Q:$Q,$A27,STATUS!$D:$D,BJ$1,STATUS!$U:$U,"ВОЗВРАТ")</f>
        <v>0</v>
      </c>
      <c r="BK28" s="578">
        <f>COUNTIFS(STATUS!$Q:$Q,$A27,STATUS!$D:$D,BK$1,STATUS!$U:$U,"ВОЗВРАТ")</f>
        <v>0</v>
      </c>
      <c r="BL28" s="578">
        <f>COUNTIFS(STATUS!$Q:$Q,$A27,STATUS!$D:$D,BL$1,STATUS!$U:$U,"ВОЗВРАТ")</f>
        <v>0</v>
      </c>
      <c r="BM28" s="576">
        <f>SUM(BH28:BL28)</f>
        <v>0</v>
      </c>
      <c r="BN28" s="577">
        <f>COUNTIFS(STATUS!$Q:$Q,$A27,STATUS!$D:$D,BN$1,STATUS!$U:$U,"ВОЗВРАТ")</f>
        <v>0</v>
      </c>
      <c r="BO28" s="577">
        <f>COUNTIFS(STATUS!$Q:$Q,$A27,STATUS!$D:$D,BO$1,STATUS!$U:$U,"ВОЗВРАТ")</f>
        <v>0</v>
      </c>
      <c r="BP28" s="577">
        <f>COUNTIFS(STATUS!$Q:$Q,$A27,STATUS!$D:$D,BP$1,STATUS!$U:$U,"ВОЗВРАТ")</f>
        <v>0</v>
      </c>
      <c r="BQ28" s="578">
        <f>COUNTIFS(STATUS!$Q:$Q,$A27,STATUS!$D:$D,BQ$1,STATUS!$U:$U,"ВОЗВРАТ")</f>
        <v>0</v>
      </c>
      <c r="BR28" s="578">
        <f>COUNTIFS(STATUS!$Q:$Q,$A27,STATUS!$D:$D,BR$1,STATUS!$U:$U,"ВОЗВРАТ")</f>
        <v>0</v>
      </c>
      <c r="BS28" s="576">
        <f>SUM(BN28:BR28)</f>
        <v>0</v>
      </c>
      <c r="BT28" s="577">
        <f>COUNTIFS(STATUS!$Q:$Q,$A27,STATUS!$D:$D,BT$1,STATUS!$U:$U,"ВОЗВРАТ")</f>
        <v>0</v>
      </c>
      <c r="BU28" s="577">
        <f>COUNTIFS(STATUS!$Q:$Q,$A27,STATUS!$D:$D,BU$1,STATUS!$U:$U,"ВОЗВРАТ")</f>
        <v>0</v>
      </c>
      <c r="BV28" s="577">
        <f>COUNTIFS(STATUS!$Q:$Q,$A27,STATUS!$D:$D,BV$1,STATUS!$U:$U,"ВОЗВРАТ")</f>
        <v>0</v>
      </c>
      <c r="BW28" s="578">
        <f>COUNTIFS(STATUS!$Q:$Q,$A27,STATUS!$D:$D,BW$1,STATUS!$U:$U,"ВОЗВРАТ")</f>
        <v>0</v>
      </c>
      <c r="BX28" s="578">
        <f>COUNTIFS(STATUS!$Q:$Q,$A27,STATUS!$D:$D,BX$1,STATUS!$U:$U,"ВОЗВРАТ")</f>
        <v>0</v>
      </c>
      <c r="BY28" s="576">
        <f>SUM(BT28:BX28)</f>
        <v>0</v>
      </c>
      <c r="BZ28" s="577">
        <f>COUNTIFS(STATUS!$Q:$Q,$A27,STATUS!$D:$D,BZ$1,STATUS!$U:$U,"ВОЗВРАТ")</f>
        <v>0</v>
      </c>
      <c r="CA28" s="577">
        <f>COUNTIFS(STATUS!$Q:$Q,$A27,STATUS!$D:$D,CA$1,STATUS!$U:$U,"ВОЗВРАТ")</f>
        <v>0</v>
      </c>
      <c r="CB28" s="577">
        <f>COUNTIFS(STATUS!$Q:$Q,$A27,STATUS!$D:$D,CB$1,STATUS!$U:$U,"ВОЗВРАТ")</f>
        <v>0</v>
      </c>
      <c r="CC28" s="578">
        <f>COUNTIFS(STATUS!$Q:$Q,$A27,STATUS!$D:$D,CC$1,STATUS!$U:$U,"ВОЗВРАТ")</f>
        <v>0</v>
      </c>
      <c r="CD28" s="578">
        <f>COUNTIFS(STATUS!$Q:$Q,$A27,STATUS!$D:$D,CD$1,STATUS!$U:$U,"ВОЗВРАТ")</f>
        <v>0</v>
      </c>
      <c r="CE28" s="576">
        <f>SUM(BZ28:CD28)</f>
        <v>0</v>
      </c>
      <c r="CF28" s="1243">
        <f>COUNTIFS(STATUS!$Q:$Q,$A27,STATUS!$D:$D,CF$1,STATUS!$U:$U,"ВОЗВРАТ")</f>
        <v>0</v>
      </c>
      <c r="CG28" s="1243">
        <f>COUNTIFS(STATUS!$Q:$Q,$A27,STATUS!$D:$D,CG$1,STATUS!$U:$U,"ВОЗВРАТ")</f>
        <v>1</v>
      </c>
      <c r="CH28" s="1243">
        <f>COUNTIFS(STATUS!$Q:$Q,$A27,STATUS!$D:$D,CH$1,STATUS!$U:$U,"ВОЗВРАТ")</f>
        <v>0</v>
      </c>
      <c r="CI28" s="1244">
        <f>COUNTIFS(STATUS!$Q:$Q,$A27,STATUS!$D:$D,CI$1,STATUS!$U:$U,"ВОЗВРАТ")</f>
        <v>2</v>
      </c>
      <c r="CJ28" s="1244">
        <f>COUNTIFS(STATUS!$Q:$Q,$A27,STATUS!$D:$D,CJ$1,STATUS!$U:$U,"ВОЗВРАТ")</f>
        <v>0</v>
      </c>
      <c r="CK28" s="572">
        <f>SUM(CF28:CJ28)</f>
        <v>3</v>
      </c>
      <c r="CL28" s="577">
        <f>COUNTIFS(STATUS!$Q:$Q,$A27,STATUS!$D:$D,CL$1,STATUS!$U:$U,"ВОЗВРАТ")</f>
        <v>0</v>
      </c>
      <c r="CM28" s="577">
        <f>COUNTIFS(STATUS!$Q:$Q,$A27,STATUS!$D:$D,CM$1,STATUS!$U:$U,"ВОЗВРАТ")</f>
        <v>0</v>
      </c>
      <c r="CN28" s="577">
        <f>COUNTIFS(STATUS!$Q:$Q,$A27,STATUS!$D:$D,CN$1,STATUS!$U:$U,"ВОЗВРАТ")</f>
        <v>0</v>
      </c>
      <c r="CO28" s="578">
        <f>COUNTIFS(STATUS!$Q:$Q,$A27,STATUS!$D:$D,CO$1,STATUS!$U:$U,"ВОЗВРАТ")</f>
        <v>0</v>
      </c>
      <c r="CP28" s="578">
        <f>COUNTIFS(STATUS!$Q:$Q,$A27,STATUS!$D:$D,CP$1,STATUS!$U:$U,"ВОЗВРАТ")</f>
        <v>0</v>
      </c>
      <c r="CQ28" s="576">
        <f>SUM(CL28:CP28)</f>
        <v>0</v>
      </c>
      <c r="CR28" s="577">
        <f>COUNTIFS(STATUS!$Q:$Q,$A27,STATUS!$D:$D,CR$1,STATUS!$U:$U,"ВОЗВРАТ")</f>
        <v>0</v>
      </c>
      <c r="CS28" s="577">
        <f>COUNTIFS(STATUS!$Q:$Q,$A27,STATUS!$D:$D,CS$1,STATUS!$U:$U,"ВОЗВРАТ")</f>
        <v>0</v>
      </c>
      <c r="CT28" s="577">
        <f>COUNTIFS(STATUS!$Q:$Q,$A27,STATUS!$D:$D,CT$1,STATUS!$U:$U,"ВОЗВРАТ")</f>
        <v>0</v>
      </c>
      <c r="CU28" s="578">
        <f>COUNTIFS(STATUS!$Q:$Q,$A27,STATUS!$D:$D,CU$1,STATUS!$U:$U,"ВОЗВРАТ")</f>
        <v>0</v>
      </c>
      <c r="CV28" s="578">
        <f>COUNTIFS(STATUS!$Q:$Q,$A27,STATUS!$D:$D,CV$1,STATUS!$U:$U,"ВОЗВРАТ")</f>
        <v>0</v>
      </c>
      <c r="CW28" s="576">
        <f>SUM(CR28:CV28)</f>
        <v>0</v>
      </c>
      <c r="CX28" s="577">
        <f>COUNTIFS(STATUS!$Q:$Q,$A27,STATUS!$D:$D,CX$1,STATUS!$U:$U,"ВОЗВРАТ")</f>
        <v>0</v>
      </c>
      <c r="CY28" s="577">
        <f>COUNTIFS(STATUS!$Q:$Q,$A27,STATUS!$D:$D,CY$1,STATUS!$U:$U,"ВОЗВРАТ")</f>
        <v>0</v>
      </c>
      <c r="CZ28" s="577">
        <f>COUNTIFS(STATUS!$Q:$Q,$A27,STATUS!$D:$D,CZ$1,STATUS!$U:$U,"ВОЗВРАТ")</f>
        <v>0</v>
      </c>
      <c r="DA28" s="578">
        <f>COUNTIFS(STATUS!$Q:$Q,$A27,STATUS!$D:$D,DA$1,STATUS!$U:$U,"ВОЗВРАТ")</f>
        <v>0</v>
      </c>
      <c r="DB28" s="578">
        <f>COUNTIFS(STATUS!$Q:$Q,$A27,STATUS!$D:$D,DB$1,STATUS!$U:$U,"ВОЗВРАТ")</f>
        <v>0</v>
      </c>
      <c r="DC28" s="576">
        <f>SUM(CX28:DB28)</f>
        <v>0</v>
      </c>
      <c r="DD28" s="577">
        <f>COUNTIFS(STATUS!$Q:$Q,$A27,STATUS!$D:$D,DD$1,STATUS!$U:$U,"ВОЗВРАТ")</f>
        <v>0</v>
      </c>
      <c r="DE28" s="577">
        <f>COUNTIFS(STATUS!$Q:$Q,$A27,STATUS!$D:$D,DE$1,STATUS!$U:$U,"ВОЗВРАТ")</f>
        <v>0</v>
      </c>
      <c r="DF28" s="577">
        <f>COUNTIFS(STATUS!$Q:$Q,$A27,STATUS!$D:$D,DF$1,STATUS!$U:$U,"ВОЗВРАТ")</f>
        <v>0</v>
      </c>
      <c r="DG28" s="578">
        <f>COUNTIFS(STATUS!$Q:$Q,$A27,STATUS!$D:$D,DG$1,STATUS!$U:$U,"ВОЗВРАТ")</f>
        <v>0</v>
      </c>
      <c r="DH28" s="578">
        <f>COUNTIFS(STATUS!$Q:$Q,$A27,STATUS!$D:$D,DH$1,STATUS!$U:$U,"ВОЗВРАТ")</f>
        <v>0</v>
      </c>
      <c r="DI28" s="576">
        <f>SUM(DD28:DH28)</f>
        <v>0</v>
      </c>
      <c r="DJ28" s="577">
        <f>COUNTIFS(STATUS!$Q:$Q,$A27,STATUS!$D:$D,DJ$1,STATUS!$U:$U,"ВОЗВРАТ")</f>
        <v>0</v>
      </c>
      <c r="DK28" s="577">
        <f>COUNTIFS(STATUS!$Q:$Q,$A27,STATUS!$D:$D,DK$1,STATUS!$U:$U,"ВОЗВРАТ")</f>
        <v>0</v>
      </c>
      <c r="DL28" s="577">
        <f>COUNTIFS(STATUS!$Q:$Q,$A27,STATUS!$D:$D,DL$1,STATUS!$U:$U,"ВОЗВРАТ")</f>
        <v>0</v>
      </c>
      <c r="DM28" s="578">
        <f>COUNTIFS(STATUS!$Q:$Q,$A27,STATUS!$D:$D,DM$1,STATUS!$U:$U,"ВОЗВРАТ")</f>
        <v>0</v>
      </c>
      <c r="DN28" s="578">
        <f>COUNTIFS(STATUS!$Q:$Q,$A27,STATUS!$D:$D,DN$1,STATUS!$U:$U,"ВОЗВРАТ")</f>
        <v>0</v>
      </c>
      <c r="DO28" s="576">
        <f>SUM(DJ28:DN28)</f>
        <v>0</v>
      </c>
      <c r="DP28" s="577">
        <f>COUNTIFS(STATUS!$Q:$Q,$A27,STATUS!$D:$D,DP$1,STATUS!$U:$U,"ВОЗВРАТ")</f>
        <v>0</v>
      </c>
      <c r="DQ28" s="577">
        <f>COUNTIFS(STATUS!$Q:$Q,$A27,STATUS!$D:$D,DQ$1,STATUS!$U:$U,"ВОЗВРАТ")</f>
        <v>0</v>
      </c>
      <c r="DR28" s="577">
        <f>COUNTIFS(STATUS!$Q:$Q,$A27,STATUS!$D:$D,DR$1,STATUS!$U:$U,"ВОЗВРАТ")</f>
        <v>0</v>
      </c>
      <c r="DS28" s="578">
        <f>COUNTIFS(STATUS!$Q:$Q,$A27,STATUS!$D:$D,DS$1,STATUS!$U:$U,"ВОЗВРАТ")</f>
        <v>0</v>
      </c>
      <c r="DT28" s="578">
        <f>COUNTIFS(STATUS!$Q:$Q,$A27,STATUS!$D:$D,DT$1,STATUS!$U:$U,"ВОЗВРАТ")</f>
        <v>0</v>
      </c>
      <c r="DU28" s="576">
        <f>SUM(DP28:DT28)</f>
        <v>0</v>
      </c>
      <c r="DV28" s="577">
        <f>COUNTIFS(STATUS!$Q:$Q,$A27,STATUS!$D:$D,DV$1,STATUS!$U:$U,"ВОЗВРАТ")</f>
        <v>0</v>
      </c>
      <c r="DW28" s="577">
        <f>COUNTIFS(STATUS!$Q:$Q,$A27,STATUS!$D:$D,DW$1,STATUS!$U:$U,"ВОЗВРАТ")</f>
        <v>0</v>
      </c>
      <c r="DX28" s="577">
        <f>COUNTIFS(STATUS!$Q:$Q,$A27,STATUS!$D:$D,DX$1,STATUS!$U:$U,"ВОЗВРАТ")</f>
        <v>0</v>
      </c>
      <c r="DY28" s="578">
        <f>COUNTIFS(STATUS!$Q:$Q,$A27,STATUS!$D:$D,DY$1,STATUS!$U:$U,"ВОЗВРАТ")</f>
        <v>0</v>
      </c>
      <c r="DZ28" s="578">
        <f>COUNTIFS(STATUS!$Q:$Q,$A27,STATUS!$D:$D,DZ$1,STATUS!$U:$U,"ВОЗВРАТ")</f>
        <v>0</v>
      </c>
      <c r="EA28" s="576">
        <f>SUM(DV28:DZ28)</f>
        <v>0</v>
      </c>
      <c r="EB28" s="577">
        <f>COUNTIFS(STATUS!$Q:$Q,$A27,STATUS!$D:$D,EB$1,STATUS!$U:$U,"ВОЗВРАТ")</f>
        <v>0</v>
      </c>
      <c r="EC28" s="577">
        <f>COUNTIFS(STATUS!$Q:$Q,$A27,STATUS!$D:$D,EC$1,STATUS!$U:$U,"ВОЗВРАТ")</f>
        <v>0</v>
      </c>
      <c r="ED28" s="577">
        <f>COUNTIFS(STATUS!$Q:$Q,$A27,STATUS!$D:$D,ED$1,STATUS!$U:$U,"ВОЗВРАТ")</f>
        <v>0</v>
      </c>
      <c r="EE28" s="578">
        <f>COUNTIFS(STATUS!$Q:$Q,$A27,STATUS!$D:$D,EE$1,STATUS!$U:$U,"ВОЗВРАТ")</f>
        <v>0</v>
      </c>
      <c r="EF28" s="578">
        <f>COUNTIFS(STATUS!$Q:$Q,$A27,STATUS!$D:$D,EF$1,STATUS!$U:$U,"ВОЗВРАТ")</f>
        <v>0</v>
      </c>
      <c r="EG28" s="576">
        <f>SUM(EB28:EF28)</f>
        <v>0</v>
      </c>
      <c r="EH28" s="577">
        <f>COUNTIFS(STATUS!$Q:$Q,$A27,STATUS!$D:$D,EH$1,STATUS!$U:$U,"ВОЗВРАТ")</f>
        <v>0</v>
      </c>
      <c r="EI28" s="577">
        <f>COUNTIFS(STATUS!$Q:$Q,$A27,STATUS!$D:$D,EI$1,STATUS!$U:$U,"ВОЗВРАТ")</f>
        <v>0</v>
      </c>
      <c r="EJ28" s="577">
        <f>COUNTIFS(STATUS!$Q:$Q,$A27,STATUS!$D:$D,EJ$1,STATUS!$U:$U,"ВОЗВРАТ")</f>
        <v>0</v>
      </c>
      <c r="EK28" s="578">
        <f>COUNTIFS(STATUS!$Q:$Q,$A27,STATUS!$D:$D,EK$1,STATUS!$U:$U,"ВОЗВРАТ")</f>
        <v>0</v>
      </c>
      <c r="EL28" s="578">
        <f>COUNTIFS(STATUS!$Q:$Q,$A27,STATUS!$D:$D,EL$1,STATUS!$U:$U,"ВОЗВРАТ")</f>
        <v>0</v>
      </c>
      <c r="EM28" s="576">
        <f>SUM(EH28:EL28)</f>
        <v>0</v>
      </c>
      <c r="EN28" s="577">
        <f>COUNTIFS(STATUS!$Q:$Q,$A27,STATUS!$D:$D,EN$1,STATUS!$U:$U,"ВОЗВРАТ")</f>
        <v>0</v>
      </c>
      <c r="EO28" s="577">
        <f>COUNTIFS(STATUS!$Q:$Q,$A27,STATUS!$D:$D,EO$1,STATUS!$U:$U,"ВОЗВРАТ")</f>
        <v>0</v>
      </c>
      <c r="EP28" s="577">
        <f>COUNTIFS(STATUS!$Q:$Q,$A27,STATUS!$D:$D,EP$1,STATUS!$U:$U,"ВОЗВРАТ")</f>
        <v>0</v>
      </c>
      <c r="EQ28" s="578">
        <f>COUNTIFS(STATUS!$Q:$Q,$A27,STATUS!$D:$D,EQ$1,STATUS!$U:$U,"ВОЗВРАТ")</f>
        <v>0</v>
      </c>
      <c r="ER28" s="578">
        <f>COUNTIFS(STATUS!$Q:$Q,$A27,STATUS!$D:$D,ER$1,STATUS!$U:$U,"ВОЗВРАТ")</f>
        <v>0</v>
      </c>
      <c r="ES28" s="576">
        <f>SUM(EN28:ER28)</f>
        <v>0</v>
      </c>
      <c r="ET28" s="577">
        <f>COUNTIFS(STATUS!$Q:$Q,$A27,STATUS!$D:$D,ET$1,STATUS!$U:$U,"ВОЗВРАТ")</f>
        <v>0</v>
      </c>
      <c r="EU28" s="577">
        <f>COUNTIFS(STATUS!$Q:$Q,$A27,STATUS!$D:$D,EU$1,STATUS!$U:$U,"ВОЗВРАТ")</f>
        <v>0</v>
      </c>
      <c r="EV28" s="577">
        <f>COUNTIFS(STATUS!$Q:$Q,$A27,STATUS!$D:$D,EV$1,STATUS!$U:$U,"ВОЗВРАТ")</f>
        <v>0</v>
      </c>
      <c r="EW28" s="578">
        <f>COUNTIFS(STATUS!$Q:$Q,$A27,STATUS!$D:$D,EW$1,STATUS!$U:$U,"ВОЗВРАТ")</f>
        <v>0</v>
      </c>
      <c r="EX28" s="578">
        <f>COUNTIFS(STATUS!$Q:$Q,$A27,STATUS!$D:$D,EX$1,STATUS!$U:$U,"ВОЗВРАТ")</f>
        <v>0</v>
      </c>
      <c r="EY28" s="576">
        <f>SUM(ET28:EX28)</f>
        <v>0</v>
      </c>
      <c r="EZ28" s="577">
        <f>COUNTIFS(STATUS!$Q:$Q,$A27,STATUS!$D:$D,EZ$1,STATUS!$U:$U,"ВОЗВРАТ")</f>
        <v>0</v>
      </c>
      <c r="FA28" s="577">
        <f>COUNTIFS(STATUS!$Q:$Q,$A27,STATUS!$D:$D,FA$1,STATUS!$U:$U,"ВОЗВРАТ")</f>
        <v>0</v>
      </c>
      <c r="FB28" s="577">
        <f>COUNTIFS(STATUS!$Q:$Q,$A27,STATUS!$D:$D,FB$1,STATUS!$U:$U,"ВОЗВРАТ")</f>
        <v>0</v>
      </c>
      <c r="FC28" s="578">
        <f>COUNTIFS(STATUS!$Q:$Q,$A27,STATUS!$D:$D,FC$1,STATUS!$U:$U,"ВОЗВРАТ")</f>
        <v>0</v>
      </c>
      <c r="FD28" s="578">
        <f>COUNTIFS(STATUS!$Q:$Q,$A27,STATUS!$D:$D,FD$1,STATUS!$U:$U,"ВОЗВРАТ")</f>
        <v>0</v>
      </c>
      <c r="FE28" s="576">
        <f>SUM(EZ28:FD28)</f>
        <v>0</v>
      </c>
      <c r="FF28" s="577">
        <f>COUNTIFS(STATUS!$Q:$Q,$A27,STATUS!$D:$D,FF$1,STATUS!$U:$U,"ВОЗВРАТ")</f>
        <v>0</v>
      </c>
      <c r="FG28" s="577">
        <f>COUNTIFS(STATUS!$Q:$Q,$A27,STATUS!$D:$D,FG$1,STATUS!$U:$U,"ВОЗВРАТ")</f>
        <v>0</v>
      </c>
      <c r="FH28" s="577">
        <f>COUNTIFS(STATUS!$Q:$Q,$A27,STATUS!$D:$D,FH$1,STATUS!$U:$U,"ВОЗВРАТ")</f>
        <v>0</v>
      </c>
      <c r="FI28" s="578">
        <f>COUNTIFS(STATUS!$Q:$Q,$A27,STATUS!$D:$D,FI$1,STATUS!$U:$U,"ВОЗВРАТ")</f>
        <v>0</v>
      </c>
      <c r="FJ28" s="578">
        <f>COUNTIFS(STATUS!$Q:$Q,$A27,STATUS!$D:$D,FJ$1,STATUS!$U:$U,"ВОЗВРАТ")</f>
        <v>0</v>
      </c>
      <c r="FK28" s="576">
        <f>SUM(FF28:FJ28)</f>
        <v>0</v>
      </c>
      <c r="FL28" s="577">
        <f>COUNTIFS(STATUS!$Q:$Q,$A27,STATUS!$D:$D,FL$1,STATUS!$U:$U,"ВОЗВРАТ")</f>
        <v>0</v>
      </c>
      <c r="FM28" s="577">
        <f>COUNTIFS(STATUS!$Q:$Q,$A27,STATUS!$D:$D,FM$1,STATUS!$U:$U,"ВОЗВРАТ")</f>
        <v>0</v>
      </c>
      <c r="FN28" s="577">
        <f>COUNTIFS(STATUS!$Q:$Q,$A27,STATUS!$D:$D,FN$1,STATUS!$U:$U,"ВОЗВРАТ")</f>
        <v>0</v>
      </c>
      <c r="FO28" s="578">
        <f>COUNTIFS(STATUS!$Q:$Q,$A27,STATUS!$D:$D,FO$1,STATUS!$U:$U,"ВОЗВРАТ")</f>
        <v>0</v>
      </c>
      <c r="FP28" s="578">
        <f>COUNTIFS(STATUS!$Q:$Q,$A27,STATUS!$D:$D,FP$1,STATUS!$U:$U,"ВОЗВРАТ")</f>
        <v>0</v>
      </c>
      <c r="FQ28" s="576">
        <f>SUM(FL28:FP28)</f>
        <v>0</v>
      </c>
      <c r="FR28" s="577">
        <f>COUNTIFS(STATUS!$Q:$Q,$A27,STATUS!$D:$D,FR$1,STATUS!$U:$U,"ВОЗВРАТ")</f>
        <v>0</v>
      </c>
      <c r="FS28" s="577">
        <f>COUNTIFS(STATUS!$Q:$Q,$A27,STATUS!$D:$D,FS$1,STATUS!$U:$U,"ВОЗВРАТ")</f>
        <v>0</v>
      </c>
      <c r="FT28" s="577">
        <f>COUNTIFS(STATUS!$Q:$Q,$A27,STATUS!$D:$D,FT$1,STATUS!$U:$U,"ВОЗВРАТ")</f>
        <v>0</v>
      </c>
      <c r="FU28" s="578">
        <f>COUNTIFS(STATUS!$Q:$Q,$A27,STATUS!$D:$D,FU$1,STATUS!$U:$U,"ВОЗВРАТ")</f>
        <v>0</v>
      </c>
      <c r="FV28" s="578">
        <f>COUNTIFS(STATUS!$Q:$Q,$A27,STATUS!$D:$D,FV$1,STATUS!$U:$U,"ВОЗВРАТ")</f>
        <v>0</v>
      </c>
      <c r="FW28" s="576">
        <f>SUM(FR28:FV28)</f>
        <v>0</v>
      </c>
      <c r="FX28" s="577">
        <f>COUNTIFS(STATUS!$Q:$Q,$A27,STATUS!$D:$D,FX$1,STATUS!$U:$U,"ВОЗВРАТ")</f>
        <v>0</v>
      </c>
      <c r="FY28" s="577">
        <f>COUNTIFS(STATUS!$Q:$Q,$A27,STATUS!$D:$D,FY$1,STATUS!$U:$U,"ВОЗВРАТ")</f>
        <v>0</v>
      </c>
      <c r="FZ28" s="577">
        <f>COUNTIFS(STATUS!$Q:$Q,$A27,STATUS!$D:$D,FZ$1,STATUS!$U:$U,"ВОЗВРАТ")</f>
        <v>0</v>
      </c>
      <c r="GA28" s="578">
        <f>COUNTIFS(STATUS!$Q:$Q,$A27,STATUS!$D:$D,GA$1,STATUS!$U:$U,"ВОЗВРАТ")</f>
        <v>0</v>
      </c>
      <c r="GB28" s="578">
        <f>COUNTIFS(STATUS!$Q:$Q,$A27,STATUS!$D:$D,GB$1,STATUS!$U:$U,"ВОЗВРАТ")</f>
        <v>0</v>
      </c>
      <c r="GC28" s="576">
        <f>SUM(FX28:GB28)</f>
        <v>0</v>
      </c>
      <c r="GD28" s="577">
        <f>COUNTIFS(STATUS!$Q:$Q,$A27,STATUS!$D:$D,GD$1,STATUS!$U:$U,"ВОЗВРАТ")</f>
        <v>0</v>
      </c>
      <c r="GE28" s="577">
        <f>COUNTIFS(STATUS!$Q:$Q,$A27,STATUS!$D:$D,GE$1,STATUS!$U:$U,"ВОЗВРАТ")</f>
        <v>0</v>
      </c>
      <c r="GF28" s="577">
        <f>COUNTIFS(STATUS!$Q:$Q,$A27,STATUS!$D:$D,GF$1,STATUS!$U:$U,"ВОЗВРАТ")</f>
        <v>0</v>
      </c>
      <c r="GG28" s="578">
        <f>COUNTIFS(STATUS!$Q:$Q,$A27,STATUS!$D:$D,GG$1,STATUS!$U:$U,"ВОЗВРАТ")</f>
        <v>0</v>
      </c>
      <c r="GH28" s="578">
        <f>COUNTIFS(STATUS!$Q:$Q,$A27,STATUS!$D:$D,GH$1,STATUS!$U:$U,"ВОЗВРАТ")</f>
        <v>0</v>
      </c>
      <c r="GI28" s="576">
        <f>SUM(GD28:GH28)</f>
        <v>0</v>
      </c>
      <c r="GJ28" s="577">
        <f>COUNTIFS(STATUS!$Q:$Q,$A27,STATUS!$D:$D,GJ$1,STATUS!$U:$U,"ВОЗВРАТ")</f>
        <v>0</v>
      </c>
      <c r="GK28" s="577">
        <f>COUNTIFS(STATUS!$Q:$Q,$A27,STATUS!$D:$D,GK$1,STATUS!$U:$U,"ВОЗВРАТ")</f>
        <v>0</v>
      </c>
      <c r="GL28" s="577">
        <f>COUNTIFS(STATUS!$Q:$Q,$A27,STATUS!$D:$D,GL$1,STATUS!$U:$U,"ВОЗВРАТ")</f>
        <v>0</v>
      </c>
      <c r="GM28" s="578">
        <f>COUNTIFS(STATUS!$Q:$Q,$A27,STATUS!$D:$D,GM$1,STATUS!$U:$U,"ВОЗВРАТ")</f>
        <v>0</v>
      </c>
      <c r="GN28" s="578">
        <f>COUNTIFS(STATUS!$Q:$Q,$A27,STATUS!$D:$D,GN$1,STATUS!$U:$U,"ВОЗВРАТ")</f>
        <v>0</v>
      </c>
      <c r="GO28" s="576">
        <f>SUM(GJ28:GN28)</f>
        <v>0</v>
      </c>
      <c r="GP28" s="577">
        <f>COUNTIFS(STATUS!$Q:$Q,$A27,STATUS!$D:$D,GP$1,STATUS!$U:$U,"ВОЗВРАТ")</f>
        <v>0</v>
      </c>
      <c r="GQ28" s="577">
        <f>COUNTIFS(STATUS!$Q:$Q,$A27,STATUS!$D:$D,GQ$1,STATUS!$U:$U,"ВОЗВРАТ")</f>
        <v>0</v>
      </c>
      <c r="GR28" s="577">
        <f>COUNTIFS(STATUS!$Q:$Q,$A27,STATUS!$D:$D,GR$1,STATUS!$U:$U,"ВОЗВРАТ")</f>
        <v>0</v>
      </c>
      <c r="GS28" s="578">
        <f>COUNTIFS(STATUS!$Q:$Q,$A27,STATUS!$D:$D,GS$1,STATUS!$U:$U,"ВОЗВРАТ")</f>
        <v>0</v>
      </c>
      <c r="GT28" s="578">
        <f>COUNTIFS(STATUS!$Q:$Q,$A27,STATUS!$D:$D,GT$1,STATUS!$U:$U,"ВОЗВРАТ")</f>
        <v>0</v>
      </c>
      <c r="GU28" s="576">
        <f>SUM(GP28:GT28)</f>
        <v>0</v>
      </c>
      <c r="GV28" s="577">
        <f>COUNTIFS(STATUS!$Q:$Q,$A27,STATUS!$D:$D,GV$1,STATUS!$U:$U,"ВОЗВРАТ")</f>
        <v>0</v>
      </c>
      <c r="GW28" s="577">
        <f>COUNTIFS(STATUS!$Q:$Q,$A27,STATUS!$D:$D,GW$1,STATUS!$U:$U,"ВОЗВРАТ")</f>
        <v>0</v>
      </c>
      <c r="GX28" s="577">
        <f>COUNTIFS(STATUS!$Q:$Q,$A27,STATUS!$D:$D,GX$1,STATUS!$U:$U,"ВОЗВРАТ")</f>
        <v>0</v>
      </c>
      <c r="GY28" s="578">
        <f>COUNTIFS(STATUS!$Q:$Q,$A27,STATUS!$D:$D,GY$1,STATUS!$U:$U,"ВОЗВРАТ")</f>
        <v>0</v>
      </c>
      <c r="GZ28" s="578">
        <f>COUNTIFS(STATUS!$Q:$Q,$A27,STATUS!$D:$D,GZ$1,STATUS!$U:$U,"ВОЗВРАТ")</f>
        <v>0</v>
      </c>
      <c r="HA28" s="576">
        <f>SUM(GV28:GZ28)</f>
        <v>0</v>
      </c>
    </row>
    <row r="29" spans="1:209" ht="21.6" thickBot="1" x14ac:dyDescent="0.35">
      <c r="A29" s="1557"/>
      <c r="B29" s="434">
        <f>IFERROR(B28/B27,0)</f>
        <v>0.23076923076923078</v>
      </c>
      <c r="C29" s="579">
        <f>IFERROR(C28/C27,0)</f>
        <v>0</v>
      </c>
      <c r="D29" s="579">
        <f t="shared" ref="D29:S29" si="367">IFERROR(D28/D27,0)</f>
        <v>0</v>
      </c>
      <c r="E29" s="579">
        <f t="shared" si="367"/>
        <v>0</v>
      </c>
      <c r="F29" s="579">
        <f t="shared" si="367"/>
        <v>0</v>
      </c>
      <c r="G29" s="580">
        <f t="shared" si="367"/>
        <v>0</v>
      </c>
      <c r="H29" s="581">
        <f t="shared" si="367"/>
        <v>0</v>
      </c>
      <c r="I29" s="444">
        <f t="shared" si="367"/>
        <v>0</v>
      </c>
      <c r="J29" s="397">
        <f t="shared" si="367"/>
        <v>0</v>
      </c>
      <c r="K29" s="397">
        <f t="shared" si="367"/>
        <v>0</v>
      </c>
      <c r="L29" s="397">
        <f t="shared" si="367"/>
        <v>0</v>
      </c>
      <c r="M29" s="441">
        <f t="shared" si="367"/>
        <v>0</v>
      </c>
      <c r="N29" s="573">
        <f t="shared" si="367"/>
        <v>0</v>
      </c>
      <c r="O29" s="444">
        <f t="shared" si="367"/>
        <v>0</v>
      </c>
      <c r="P29" s="397">
        <f t="shared" si="367"/>
        <v>0</v>
      </c>
      <c r="Q29" s="397">
        <f t="shared" si="367"/>
        <v>0</v>
      </c>
      <c r="R29" s="573">
        <f t="shared" si="367"/>
        <v>0</v>
      </c>
      <c r="S29" s="397">
        <f t="shared" si="367"/>
        <v>0</v>
      </c>
      <c r="T29" s="397">
        <f>IFERROR(T28/T27,0)</f>
        <v>0</v>
      </c>
      <c r="U29" s="397">
        <f>IFERROR(U28/U27,0)</f>
        <v>0</v>
      </c>
      <c r="V29" s="441">
        <f t="shared" ref="V29:W29" si="368">IFERROR(V28/V27,0)</f>
        <v>0</v>
      </c>
      <c r="W29" s="573">
        <f t="shared" si="368"/>
        <v>0</v>
      </c>
      <c r="X29" s="397">
        <f>IFERROR(X28/X27,0)</f>
        <v>0</v>
      </c>
      <c r="Y29" s="397">
        <f>IFERROR(Y28/Y27,0)</f>
        <v>0</v>
      </c>
      <c r="Z29" s="397">
        <f>IFERROR(Z28/Z27,0)</f>
        <v>0</v>
      </c>
      <c r="AA29" s="441">
        <f t="shared" ref="AA29:AB29" si="369">IFERROR(AA28/AA27,0)</f>
        <v>0</v>
      </c>
      <c r="AB29" s="441">
        <f t="shared" si="369"/>
        <v>0</v>
      </c>
      <c r="AC29" s="573">
        <f>IFERROR(AC28/AC27,0)</f>
        <v>0</v>
      </c>
      <c r="AD29" s="397">
        <f>IFERROR(AD28/AD27,0)</f>
        <v>0</v>
      </c>
      <c r="AE29" s="397">
        <f>IFERROR(AE28/AE27,0)</f>
        <v>0</v>
      </c>
      <c r="AF29" s="397">
        <f>IFERROR(AF28/AF27,0)</f>
        <v>0</v>
      </c>
      <c r="AG29" s="441">
        <f t="shared" ref="AG29:AH29" si="370">IFERROR(AG28/AG27,0)</f>
        <v>0</v>
      </c>
      <c r="AH29" s="441">
        <f t="shared" si="370"/>
        <v>0</v>
      </c>
      <c r="AI29" s="573">
        <f>IFERROR(AI28/AI27,0)</f>
        <v>0</v>
      </c>
      <c r="AJ29" s="397">
        <f>IFERROR(AJ28/AJ27,0)</f>
        <v>0</v>
      </c>
      <c r="AK29" s="397">
        <f>IFERROR(AK28/AK27,0)</f>
        <v>0</v>
      </c>
      <c r="AL29" s="397">
        <f>IFERROR(AL28/AL27,0)</f>
        <v>0</v>
      </c>
      <c r="AM29" s="441">
        <f t="shared" ref="AM29:AN29" si="371">IFERROR(AM28/AM27,0)</f>
        <v>0</v>
      </c>
      <c r="AN29" s="441">
        <f t="shared" si="371"/>
        <v>0</v>
      </c>
      <c r="AO29" s="573">
        <f>IFERROR(AO28/AO27,0)</f>
        <v>0</v>
      </c>
      <c r="AP29" s="397">
        <f>IFERROR(AP28/AP27,0)</f>
        <v>0</v>
      </c>
      <c r="AQ29" s="397">
        <f>IFERROR(AQ28/AQ27,0)</f>
        <v>0</v>
      </c>
      <c r="AR29" s="397">
        <f>IFERROR(AR28/AR27,0)</f>
        <v>0</v>
      </c>
      <c r="AS29" s="441">
        <f t="shared" ref="AS29:AT29" si="372">IFERROR(AS28/AS27,0)</f>
        <v>0</v>
      </c>
      <c r="AT29" s="441">
        <f t="shared" si="372"/>
        <v>0</v>
      </c>
      <c r="AU29" s="573">
        <f>IFERROR(AU28/AU27,0)</f>
        <v>0</v>
      </c>
      <c r="AV29" s="397">
        <f>IFERROR(AV28/AV27,0)</f>
        <v>0</v>
      </c>
      <c r="AW29" s="397">
        <f>IFERROR(AW28/AW27,0)</f>
        <v>0</v>
      </c>
      <c r="AX29" s="397">
        <f>IFERROR(AX28/AX27,0)</f>
        <v>0</v>
      </c>
      <c r="AY29" s="441">
        <f t="shared" ref="AY29:AZ29" si="373">IFERROR(AY28/AY27,0)</f>
        <v>0</v>
      </c>
      <c r="AZ29" s="441">
        <f t="shared" si="373"/>
        <v>0</v>
      </c>
      <c r="BA29" s="573">
        <f>IFERROR(BA28/BA27,0)</f>
        <v>0</v>
      </c>
      <c r="BB29" s="397">
        <f>IFERROR(BB28/BB27,0)</f>
        <v>0</v>
      </c>
      <c r="BC29" s="397">
        <f>IFERROR(BC28/BC27,0)</f>
        <v>0</v>
      </c>
      <c r="BD29" s="397">
        <f>IFERROR(BD28/BD27,0)</f>
        <v>0</v>
      </c>
      <c r="BE29" s="441">
        <f t="shared" ref="BE29:BF29" si="374">IFERROR(BE28/BE27,0)</f>
        <v>0</v>
      </c>
      <c r="BF29" s="441">
        <f t="shared" si="374"/>
        <v>0</v>
      </c>
      <c r="BG29" s="573">
        <f>IFERROR(BG28/BG27,0)</f>
        <v>0</v>
      </c>
      <c r="BH29" s="397">
        <f>IFERROR(BH28/BH27,0)</f>
        <v>0</v>
      </c>
      <c r="BI29" s="397">
        <f>IFERROR(BI28/BI27,0)</f>
        <v>0</v>
      </c>
      <c r="BJ29" s="397">
        <f>IFERROR(BJ28/BJ27,0)</f>
        <v>0</v>
      </c>
      <c r="BK29" s="441">
        <f t="shared" ref="BK29:BL29" si="375">IFERROR(BK28/BK27,0)</f>
        <v>0</v>
      </c>
      <c r="BL29" s="441">
        <f t="shared" si="375"/>
        <v>0</v>
      </c>
      <c r="BM29" s="573">
        <f>IFERROR(BM28/BM27,0)</f>
        <v>0</v>
      </c>
      <c r="BN29" s="397">
        <f>IFERROR(BN28/BN27,0)</f>
        <v>0</v>
      </c>
      <c r="BO29" s="397">
        <f>IFERROR(BO28/BO27,0)</f>
        <v>0</v>
      </c>
      <c r="BP29" s="397">
        <f>IFERROR(BP28/BP27,0)</f>
        <v>0</v>
      </c>
      <c r="BQ29" s="441">
        <f t="shared" ref="BQ29:BR29" si="376">IFERROR(BQ28/BQ27,0)</f>
        <v>0</v>
      </c>
      <c r="BR29" s="441">
        <f t="shared" si="376"/>
        <v>0</v>
      </c>
      <c r="BS29" s="573">
        <f>IFERROR(BS28/BS27,0)</f>
        <v>0</v>
      </c>
      <c r="BT29" s="397">
        <f>IFERROR(BT28/BT27,0)</f>
        <v>0</v>
      </c>
      <c r="BU29" s="397">
        <f>IFERROR(BU28/BU27,0)</f>
        <v>0</v>
      </c>
      <c r="BV29" s="397">
        <f>IFERROR(BV28/BV27,0)</f>
        <v>0</v>
      </c>
      <c r="BW29" s="441">
        <f t="shared" ref="BW29:BX29" si="377">IFERROR(BW28/BW27,0)</f>
        <v>0</v>
      </c>
      <c r="BX29" s="441">
        <f t="shared" si="377"/>
        <v>0</v>
      </c>
      <c r="BY29" s="573">
        <f>IFERROR(BY28/BY27,0)</f>
        <v>0</v>
      </c>
      <c r="BZ29" s="397">
        <f>IFERROR(BZ28/BZ27,0)</f>
        <v>0</v>
      </c>
      <c r="CA29" s="397">
        <f>IFERROR(CA28/CA27,0)</f>
        <v>0</v>
      </c>
      <c r="CB29" s="397">
        <f>IFERROR(CB28/CB27,0)</f>
        <v>0</v>
      </c>
      <c r="CC29" s="441">
        <f t="shared" ref="CC29:CD29" si="378">IFERROR(CC28/CC27,0)</f>
        <v>0</v>
      </c>
      <c r="CD29" s="441">
        <f t="shared" si="378"/>
        <v>0</v>
      </c>
      <c r="CE29" s="573">
        <f>IFERROR(CE28/CE27,0)</f>
        <v>0</v>
      </c>
      <c r="CF29" s="397">
        <f>IFERROR(CF28/CF27,0)</f>
        <v>0</v>
      </c>
      <c r="CG29" s="397">
        <f>IFERROR(CG28/CG27,0)</f>
        <v>1</v>
      </c>
      <c r="CH29" s="397">
        <f>IFERROR(CH28/CH27,0)</f>
        <v>0</v>
      </c>
      <c r="CI29" s="441">
        <f t="shared" ref="CI29:CJ29" si="379">IFERROR(CI28/CI27,0)</f>
        <v>0.4</v>
      </c>
      <c r="CJ29" s="441">
        <f t="shared" si="379"/>
        <v>0</v>
      </c>
      <c r="CK29" s="573">
        <f>IFERROR(CK28/CK27,0)</f>
        <v>0.25</v>
      </c>
      <c r="CL29" s="397">
        <f>IFERROR(CL28/CL27,0)</f>
        <v>0</v>
      </c>
      <c r="CM29" s="397">
        <f>IFERROR(CM28/CM27,0)</f>
        <v>0</v>
      </c>
      <c r="CN29" s="397">
        <f>IFERROR(CN28/CN27,0)</f>
        <v>0</v>
      </c>
      <c r="CO29" s="441">
        <f t="shared" ref="CO29:CP29" si="380">IFERROR(CO28/CO27,0)</f>
        <v>0</v>
      </c>
      <c r="CP29" s="441">
        <f t="shared" si="380"/>
        <v>0</v>
      </c>
      <c r="CQ29" s="573">
        <f>IFERROR(CQ28/CQ27,0)</f>
        <v>0</v>
      </c>
      <c r="CR29" s="397">
        <f>IFERROR(CR28/CR27,0)</f>
        <v>0</v>
      </c>
      <c r="CS29" s="397">
        <f>IFERROR(CS28/CS27,0)</f>
        <v>0</v>
      </c>
      <c r="CT29" s="397">
        <f>IFERROR(CT28/CT27,0)</f>
        <v>0</v>
      </c>
      <c r="CU29" s="441">
        <f t="shared" ref="CU29:CV29" si="381">IFERROR(CU28/CU27,0)</f>
        <v>0</v>
      </c>
      <c r="CV29" s="441">
        <f t="shared" si="381"/>
        <v>0</v>
      </c>
      <c r="CW29" s="573">
        <f>IFERROR(CW28/CW27,0)</f>
        <v>0</v>
      </c>
      <c r="CX29" s="397">
        <f>IFERROR(CX28/CX27,0)</f>
        <v>0</v>
      </c>
      <c r="CY29" s="397">
        <f>IFERROR(CY28/CY27,0)</f>
        <v>0</v>
      </c>
      <c r="CZ29" s="397">
        <f>IFERROR(CZ28/CZ27,0)</f>
        <v>0</v>
      </c>
      <c r="DA29" s="441">
        <f t="shared" ref="DA29:DB29" si="382">IFERROR(DA28/DA27,0)</f>
        <v>0</v>
      </c>
      <c r="DB29" s="441">
        <f t="shared" si="382"/>
        <v>0</v>
      </c>
      <c r="DC29" s="573">
        <f>IFERROR(DC28/DC27,0)</f>
        <v>0</v>
      </c>
      <c r="DD29" s="397">
        <f>IFERROR(DD28/DD27,0)</f>
        <v>0</v>
      </c>
      <c r="DE29" s="397">
        <f>IFERROR(DE28/DE27,0)</f>
        <v>0</v>
      </c>
      <c r="DF29" s="397">
        <f>IFERROR(DF28/DF27,0)</f>
        <v>0</v>
      </c>
      <c r="DG29" s="441">
        <f t="shared" ref="DG29:DH29" si="383">IFERROR(DG28/DG27,0)</f>
        <v>0</v>
      </c>
      <c r="DH29" s="441">
        <f t="shared" si="383"/>
        <v>0</v>
      </c>
      <c r="DI29" s="573">
        <f>IFERROR(DI28/DI27,0)</f>
        <v>0</v>
      </c>
      <c r="DJ29" s="397">
        <f>IFERROR(DJ28/DJ27,0)</f>
        <v>0</v>
      </c>
      <c r="DK29" s="397">
        <f>IFERROR(DK28/DK27,0)</f>
        <v>0</v>
      </c>
      <c r="DL29" s="397">
        <f>IFERROR(DL28/DL27,0)</f>
        <v>0</v>
      </c>
      <c r="DM29" s="441">
        <f t="shared" ref="DM29:DN29" si="384">IFERROR(DM28/DM27,0)</f>
        <v>0</v>
      </c>
      <c r="DN29" s="441">
        <f t="shared" si="384"/>
        <v>0</v>
      </c>
      <c r="DO29" s="573">
        <f>IFERROR(DO28/DO27,0)</f>
        <v>0</v>
      </c>
      <c r="DP29" s="397">
        <f>IFERROR(DP28/DP27,0)</f>
        <v>0</v>
      </c>
      <c r="DQ29" s="397">
        <f>IFERROR(DQ28/DQ27,0)</f>
        <v>0</v>
      </c>
      <c r="DR29" s="397">
        <f>IFERROR(DR28/DR27,0)</f>
        <v>0</v>
      </c>
      <c r="DS29" s="441">
        <f t="shared" ref="DS29:DT29" si="385">IFERROR(DS28/DS27,0)</f>
        <v>0</v>
      </c>
      <c r="DT29" s="441">
        <f t="shared" si="385"/>
        <v>0</v>
      </c>
      <c r="DU29" s="573">
        <f>IFERROR(DU28/DU27,0)</f>
        <v>0</v>
      </c>
      <c r="DV29" s="397">
        <f>IFERROR(DV28/DV27,0)</f>
        <v>0</v>
      </c>
      <c r="DW29" s="397">
        <f>IFERROR(DW28/DW27,0)</f>
        <v>0</v>
      </c>
      <c r="DX29" s="397">
        <f>IFERROR(DX28/DX27,0)</f>
        <v>0</v>
      </c>
      <c r="DY29" s="441">
        <f t="shared" ref="DY29:DZ29" si="386">IFERROR(DY28/DY27,0)</f>
        <v>0</v>
      </c>
      <c r="DZ29" s="441">
        <f t="shared" si="386"/>
        <v>0</v>
      </c>
      <c r="EA29" s="573">
        <f>IFERROR(EA28/EA27,0)</f>
        <v>0</v>
      </c>
      <c r="EB29" s="397">
        <f>IFERROR(EB28/EB27,0)</f>
        <v>0</v>
      </c>
      <c r="EC29" s="397">
        <f>IFERROR(EC28/EC27,0)</f>
        <v>0</v>
      </c>
      <c r="ED29" s="397">
        <f>IFERROR(ED28/ED27,0)</f>
        <v>0</v>
      </c>
      <c r="EE29" s="441">
        <f t="shared" ref="EE29:EF29" si="387">IFERROR(EE28/EE27,0)</f>
        <v>0</v>
      </c>
      <c r="EF29" s="441">
        <f t="shared" si="387"/>
        <v>0</v>
      </c>
      <c r="EG29" s="573">
        <f>IFERROR(EG28/EG27,0)</f>
        <v>0</v>
      </c>
      <c r="EH29" s="397">
        <f>IFERROR(EH28/EH27,0)</f>
        <v>0</v>
      </c>
      <c r="EI29" s="397">
        <f>IFERROR(EI28/EI27,0)</f>
        <v>0</v>
      </c>
      <c r="EJ29" s="397">
        <f>IFERROR(EJ28/EJ27,0)</f>
        <v>0</v>
      </c>
      <c r="EK29" s="441">
        <f t="shared" ref="EK29:EL29" si="388">IFERROR(EK28/EK27,0)</f>
        <v>0</v>
      </c>
      <c r="EL29" s="441">
        <f t="shared" si="388"/>
        <v>0</v>
      </c>
      <c r="EM29" s="573">
        <f>IFERROR(EM28/EM27,0)</f>
        <v>0</v>
      </c>
      <c r="EN29" s="397">
        <f>IFERROR(EN28/EN27,0)</f>
        <v>0</v>
      </c>
      <c r="EO29" s="397">
        <f>IFERROR(EO28/EO27,0)</f>
        <v>0</v>
      </c>
      <c r="EP29" s="397">
        <f>IFERROR(EP28/EP27,0)</f>
        <v>0</v>
      </c>
      <c r="EQ29" s="441">
        <f t="shared" ref="EQ29:ER29" si="389">IFERROR(EQ28/EQ27,0)</f>
        <v>0</v>
      </c>
      <c r="ER29" s="441">
        <f t="shared" si="389"/>
        <v>0</v>
      </c>
      <c r="ES29" s="573">
        <f>IFERROR(ES28/ES27,0)</f>
        <v>0</v>
      </c>
      <c r="ET29" s="397">
        <f>IFERROR(ET28/ET27,0)</f>
        <v>0</v>
      </c>
      <c r="EU29" s="397">
        <f>IFERROR(EU28/EU27,0)</f>
        <v>0</v>
      </c>
      <c r="EV29" s="397">
        <f>IFERROR(EV28/EV27,0)</f>
        <v>0</v>
      </c>
      <c r="EW29" s="441">
        <f t="shared" ref="EW29:EX29" si="390">IFERROR(EW28/EW27,0)</f>
        <v>0</v>
      </c>
      <c r="EX29" s="441">
        <f t="shared" si="390"/>
        <v>0</v>
      </c>
      <c r="EY29" s="573">
        <f>IFERROR(EY28/EY27,0)</f>
        <v>0</v>
      </c>
      <c r="EZ29" s="397">
        <f>IFERROR(EZ28/EZ27,0)</f>
        <v>0</v>
      </c>
      <c r="FA29" s="397">
        <f>IFERROR(FA28/FA27,0)</f>
        <v>0</v>
      </c>
      <c r="FB29" s="397">
        <f>IFERROR(FB28/FB27,0)</f>
        <v>0</v>
      </c>
      <c r="FC29" s="441">
        <f t="shared" ref="FC29:FD29" si="391">IFERROR(FC28/FC27,0)</f>
        <v>0</v>
      </c>
      <c r="FD29" s="441">
        <f t="shared" si="391"/>
        <v>0</v>
      </c>
      <c r="FE29" s="573">
        <f>IFERROR(FE28/FE27,0)</f>
        <v>0</v>
      </c>
      <c r="FF29" s="397">
        <f>IFERROR(FF28/FF27,0)</f>
        <v>0</v>
      </c>
      <c r="FG29" s="397">
        <f>IFERROR(FG28/FG27,0)</f>
        <v>0</v>
      </c>
      <c r="FH29" s="397">
        <f>IFERROR(FH28/FH27,0)</f>
        <v>0</v>
      </c>
      <c r="FI29" s="441">
        <f t="shared" ref="FI29:FJ29" si="392">IFERROR(FI28/FI27,0)</f>
        <v>0</v>
      </c>
      <c r="FJ29" s="441">
        <f t="shared" si="392"/>
        <v>0</v>
      </c>
      <c r="FK29" s="573">
        <f>IFERROR(FK28/FK27,0)</f>
        <v>0</v>
      </c>
      <c r="FL29" s="397">
        <f>IFERROR(FL28/FL27,0)</f>
        <v>0</v>
      </c>
      <c r="FM29" s="397">
        <f>IFERROR(FM28/FM27,0)</f>
        <v>0</v>
      </c>
      <c r="FN29" s="397">
        <f>IFERROR(FN28/FN27,0)</f>
        <v>0</v>
      </c>
      <c r="FO29" s="441">
        <f t="shared" ref="FO29:FP29" si="393">IFERROR(FO28/FO27,0)</f>
        <v>0</v>
      </c>
      <c r="FP29" s="441">
        <f t="shared" si="393"/>
        <v>0</v>
      </c>
      <c r="FQ29" s="573">
        <f>IFERROR(FQ28/FQ27,0)</f>
        <v>0</v>
      </c>
      <c r="FR29" s="397">
        <f>IFERROR(FR28/FR27,0)</f>
        <v>0</v>
      </c>
      <c r="FS29" s="397">
        <f>IFERROR(FS28/FS27,0)</f>
        <v>0</v>
      </c>
      <c r="FT29" s="397">
        <f>IFERROR(FT28/FT27,0)</f>
        <v>0</v>
      </c>
      <c r="FU29" s="441">
        <f t="shared" ref="FU29:FV29" si="394">IFERROR(FU28/FU27,0)</f>
        <v>0</v>
      </c>
      <c r="FV29" s="441">
        <f t="shared" si="394"/>
        <v>0</v>
      </c>
      <c r="FW29" s="573">
        <f>IFERROR(FW28/FW27,0)</f>
        <v>0</v>
      </c>
      <c r="FX29" s="397">
        <f>IFERROR(FX28/FX27,0)</f>
        <v>0</v>
      </c>
      <c r="FY29" s="397">
        <f>IFERROR(FY28/FY27,0)</f>
        <v>0</v>
      </c>
      <c r="FZ29" s="397">
        <f>IFERROR(FZ28/FZ27,0)</f>
        <v>0</v>
      </c>
      <c r="GA29" s="441">
        <f t="shared" ref="GA29:GB29" si="395">IFERROR(GA28/GA27,0)</f>
        <v>0</v>
      </c>
      <c r="GB29" s="441">
        <f t="shared" si="395"/>
        <v>0</v>
      </c>
      <c r="GC29" s="573">
        <f>IFERROR(GC28/GC27,0)</f>
        <v>0</v>
      </c>
      <c r="GD29" s="397">
        <f>IFERROR(GD28/GD27,0)</f>
        <v>0</v>
      </c>
      <c r="GE29" s="397">
        <f>IFERROR(GE28/GE27,0)</f>
        <v>0</v>
      </c>
      <c r="GF29" s="397">
        <f>IFERROR(GF28/GF27,0)</f>
        <v>0</v>
      </c>
      <c r="GG29" s="441">
        <f t="shared" ref="GG29:GH29" si="396">IFERROR(GG28/GG27,0)</f>
        <v>0</v>
      </c>
      <c r="GH29" s="441">
        <f t="shared" si="396"/>
        <v>0</v>
      </c>
      <c r="GI29" s="573">
        <f>IFERROR(GI28/GI27,0)</f>
        <v>0</v>
      </c>
      <c r="GJ29" s="397">
        <f>IFERROR(GJ28/GJ27,0)</f>
        <v>0</v>
      </c>
      <c r="GK29" s="397">
        <f>IFERROR(GK28/GK27,0)</f>
        <v>0</v>
      </c>
      <c r="GL29" s="397">
        <f>IFERROR(GL28/GL27,0)</f>
        <v>0</v>
      </c>
      <c r="GM29" s="441">
        <f t="shared" ref="GM29:GN29" si="397">IFERROR(GM28/GM27,0)</f>
        <v>0</v>
      </c>
      <c r="GN29" s="441">
        <f t="shared" si="397"/>
        <v>0</v>
      </c>
      <c r="GO29" s="573">
        <f>IFERROR(GO28/GO27,0)</f>
        <v>0</v>
      </c>
      <c r="GP29" s="397">
        <f>IFERROR(GP28/GP27,0)</f>
        <v>0</v>
      </c>
      <c r="GQ29" s="397">
        <f>IFERROR(GQ28/GQ27,0)</f>
        <v>0</v>
      </c>
      <c r="GR29" s="397">
        <f>IFERROR(GR28/GR27,0)</f>
        <v>0</v>
      </c>
      <c r="GS29" s="441">
        <f t="shared" ref="GS29:GT29" si="398">IFERROR(GS28/GS27,0)</f>
        <v>0</v>
      </c>
      <c r="GT29" s="441">
        <f t="shared" si="398"/>
        <v>0</v>
      </c>
      <c r="GU29" s="573">
        <f>IFERROR(GU28/GU27,0)</f>
        <v>0</v>
      </c>
      <c r="GV29" s="397">
        <f>IFERROR(GV28/GV27,0)</f>
        <v>0</v>
      </c>
      <c r="GW29" s="397">
        <f>IFERROR(GW28/GW27,0)</f>
        <v>0</v>
      </c>
      <c r="GX29" s="397">
        <f>IFERROR(GX28/GX27,0)</f>
        <v>0</v>
      </c>
      <c r="GY29" s="441">
        <f t="shared" ref="GY29:GZ29" si="399">IFERROR(GY28/GY27,0)</f>
        <v>0</v>
      </c>
      <c r="GZ29" s="441">
        <f t="shared" si="399"/>
        <v>0</v>
      </c>
      <c r="HA29" s="573">
        <f>IFERROR(HA28/HA27,0)</f>
        <v>0</v>
      </c>
    </row>
    <row r="30" spans="1:209" ht="15" thickTop="1" x14ac:dyDescent="0.3">
      <c r="A30" s="1555" t="s">
        <v>9428</v>
      </c>
      <c r="B30" s="428">
        <f>SUM(H30,N30,R30,W30,AC30,AI30,AO30,AU30,BA30,BG30,BM30,BS30,BY30,CE30,CK30,CQ30,CW30,DC30,DI30,DO30,DU30,EA30,EG30,EM30,ES30,EY30,FE30,FK30,FQ30,FW30,GC30,GI30,GO30,GU30,HA30)</f>
        <v>25</v>
      </c>
      <c r="C30" s="574">
        <f>COUNTIFS(STATUS!$Q:$Q,$A30,STATUS!$D:$D,C$1,STATUS!$K:$K,"РЕШ УВ DONE")</f>
        <v>0</v>
      </c>
      <c r="D30" s="574">
        <f>COUNTIFS(STATUS!$Q:$Q,$A30,STATUS!$D:$D,D$1,STATUS!$K:$K,"РЕШ УВ DONE")</f>
        <v>0</v>
      </c>
      <c r="E30" s="574">
        <f>COUNTIFS(STATUS!$Q:$Q,$A30,STATUS!$D:$D,E$1,STATUS!$K:$K,"РЕШ УВ DONE")</f>
        <v>0</v>
      </c>
      <c r="F30" s="574">
        <f>COUNTIFS(STATUS!$Q:$Q,$A30,STATUS!$D:$D,F$1,STATUS!$K:$K,"РЕШ УВ DONE")</f>
        <v>0</v>
      </c>
      <c r="G30" s="575">
        <f>COUNTIFS(STATUS!$Q:$Q,$A30,STATUS!$D:$D,G$1,STATUS!$K:$K,"РЕШ УВ DONE")</f>
        <v>0</v>
      </c>
      <c r="H30" s="576">
        <f>SUM(C30:G30)</f>
        <v>0</v>
      </c>
      <c r="I30" s="1239">
        <f>COUNTIFS(STATUS!$Q:$Q,$A30,STATUS!$D:$D,I$1,STATUS!$K:$K,"РЕШ УВ DONE")</f>
        <v>0</v>
      </c>
      <c r="J30" s="574">
        <f>COUNTIFS(STATUS!$Q:$Q,$A30,STATUS!$D:$D,J$1,STATUS!$K:$K,"РЕШ УВ DONE")</f>
        <v>0</v>
      </c>
      <c r="K30" s="574">
        <f>COUNTIFS(STATUS!$Q:$Q,$A30,STATUS!$D:$D,K$1,STATUS!$K:$K,"РЕШ УВ DONE")</f>
        <v>0</v>
      </c>
      <c r="L30" s="574">
        <f>COUNTIFS(STATUS!$Q:$Q,$A30,STATUS!$D:$D,L$1,STATUS!$K:$K,"РЕШ УВ DONE")</f>
        <v>0</v>
      </c>
      <c r="M30" s="575">
        <f>COUNTIFS(STATUS!$Q:$Q,$A30,STATUS!$D:$D,M$1,STATUS!$K:$K,"РЕШ УВ DONE")</f>
        <v>0</v>
      </c>
      <c r="N30" s="576">
        <f>SUM(I30:M30)</f>
        <v>0</v>
      </c>
      <c r="O30" s="1239">
        <f>COUNTIFS(STATUS!$Q:$Q,$A30,STATUS!$D:$D,O$1,STATUS!$K:$K,"РЕШ УВ DONE")</f>
        <v>0</v>
      </c>
      <c r="P30" s="574">
        <f>COUNTIFS(STATUS!$Q:$Q,$A30,STATUS!$D:$D,P$1,STATUS!$K:$K,"РЕШ УВ DONE")</f>
        <v>0</v>
      </c>
      <c r="Q30" s="574">
        <f>COUNTIFS(STATUS!$Q:$Q,$A30,STATUS!$D:$D,Q$1,STATUS!$K:$K,"РЕШ УВ DONE")</f>
        <v>0</v>
      </c>
      <c r="R30" s="1238">
        <f>SUM(O30:Q30)</f>
        <v>0</v>
      </c>
      <c r="S30" s="574">
        <f>COUNTIFS(STATUS!$Q:$Q,$A30,STATUS!$D:$D,S$1,STATUS!$K:$K,"РЕШ УВ DONE")</f>
        <v>0</v>
      </c>
      <c r="T30" s="574">
        <f>COUNTIFS(STATUS!$Q:$Q,$A30,STATUS!$D:$D,T$1,STATUS!$K:$K,"РЕШ УВ DONE")</f>
        <v>0</v>
      </c>
      <c r="U30" s="574">
        <f>COUNTIFS(STATUS!$Q:$Q,$A30,STATUS!$D:$D,U$1,STATUS!$K:$K,"РЕШ УВ DONE")</f>
        <v>0</v>
      </c>
      <c r="V30" s="575">
        <f>COUNTIFS(STATUS!$Q:$Q,$A30,STATUS!$D:$D,V$1,STATUS!$K:$K,"РЕШ УВ DONE")</f>
        <v>0</v>
      </c>
      <c r="W30" s="1238">
        <f>SUM(S30:V30)</f>
        <v>0</v>
      </c>
      <c r="X30" s="574">
        <f>COUNTIFS(STATUS!$Q:$Q,$A30,STATUS!$D:$D,X$1,STATUS!$K:$K,"РЕШ УВ DONE")</f>
        <v>0</v>
      </c>
      <c r="Y30" s="574">
        <f>COUNTIFS(STATUS!$Q:$Q,$A30,STATUS!$D:$D,Y$1,STATUS!$K:$K,"РЕШ УВ DONE")</f>
        <v>0</v>
      </c>
      <c r="Z30" s="574">
        <f>COUNTIFS(STATUS!$Q:$Q,$A30,STATUS!$D:$D,Z$1,STATUS!$K:$K,"РЕШ УВ DONE")</f>
        <v>0</v>
      </c>
      <c r="AA30" s="575">
        <f>COUNTIFS(STATUS!$Q:$Q,$A30,STATUS!$D:$D,AA$1,STATUS!$K:$K,"РЕШ УВ DONE")</f>
        <v>0</v>
      </c>
      <c r="AB30" s="575">
        <f>COUNTIFS(STATUS!$Q:$Q,$A30,STATUS!$D:$D,AB$1,STATUS!$K:$K,"РЕШ УВ DONE")</f>
        <v>0</v>
      </c>
      <c r="AC30" s="1238">
        <f>SUM(X30:AB30)</f>
        <v>0</v>
      </c>
      <c r="AD30" s="574">
        <f>COUNTIFS(STATUS!$Q:$Q,$A30,STATUS!$D:$D,AD$1,STATUS!$K:$K,"РЕШ УВ DONE")</f>
        <v>0</v>
      </c>
      <c r="AE30" s="574">
        <f>COUNTIFS(STATUS!$Q:$Q,$A30,STATUS!$D:$D,AE$1,STATUS!$K:$K,"РЕШ УВ DONE")</f>
        <v>0</v>
      </c>
      <c r="AF30" s="574">
        <f>COUNTIFS(STATUS!$Q:$Q,$A30,STATUS!$D:$D,AF$1,STATUS!$K:$K,"РЕШ УВ DONE")</f>
        <v>0</v>
      </c>
      <c r="AG30" s="575">
        <f>COUNTIFS(STATUS!$Q:$Q,$A30,STATUS!$D:$D,AG$1,STATUS!$K:$K,"РЕШ УВ DONE")</f>
        <v>0</v>
      </c>
      <c r="AH30" s="575">
        <f>COUNTIFS(STATUS!$Q:$Q,$A30,STATUS!$D:$D,AH$1,STATUS!$K:$K,"РЕШ УВ DONE")</f>
        <v>0</v>
      </c>
      <c r="AI30" s="1238">
        <f>SUM(AD30:AH30)</f>
        <v>0</v>
      </c>
      <c r="AJ30" s="574">
        <f>COUNTIFS(STATUS!$Q:$Q,$A30,STATUS!$D:$D,AJ$1,STATUS!$K:$K,"РЕШ УВ DONE")</f>
        <v>0</v>
      </c>
      <c r="AK30" s="574">
        <f>COUNTIFS(STATUS!$Q:$Q,$A30,STATUS!$D:$D,AK$1,STATUS!$K:$K,"РЕШ УВ DONE")</f>
        <v>0</v>
      </c>
      <c r="AL30" s="574">
        <f>COUNTIFS(STATUS!$Q:$Q,$A30,STATUS!$D:$D,AL$1,STATUS!$K:$K,"РЕШ УВ DONE")</f>
        <v>0</v>
      </c>
      <c r="AM30" s="575">
        <f>COUNTIFS(STATUS!$Q:$Q,$A30,STATUS!$D:$D,AM$1,STATUS!$K:$K,"РЕШ УВ DONE")</f>
        <v>0</v>
      </c>
      <c r="AN30" s="575">
        <f>COUNTIFS(STATUS!$Q:$Q,$A30,STATUS!$D:$D,AN$1,STATUS!$K:$K,"РЕШ УВ DONE")</f>
        <v>0</v>
      </c>
      <c r="AO30" s="1238">
        <f>SUM(AJ30:AN30)</f>
        <v>0</v>
      </c>
      <c r="AP30" s="574">
        <f>COUNTIFS(STATUS!$Q:$Q,$A30,STATUS!$D:$D,AP$1,STATUS!$K:$K,"РЕШ УВ DONE")</f>
        <v>0</v>
      </c>
      <c r="AQ30" s="574">
        <f>COUNTIFS(STATUS!$Q:$Q,$A30,STATUS!$D:$D,AQ$1,STATUS!$K:$K,"РЕШ УВ DONE")</f>
        <v>0</v>
      </c>
      <c r="AR30" s="574">
        <f>COUNTIFS(STATUS!$Q:$Q,$A30,STATUS!$D:$D,AR$1,STATUS!$K:$K,"РЕШ УВ DONE")</f>
        <v>0</v>
      </c>
      <c r="AS30" s="575">
        <f>COUNTIFS(STATUS!$Q:$Q,$A30,STATUS!$D:$D,AS$1,STATUS!$K:$K,"РЕШ УВ DONE")</f>
        <v>0</v>
      </c>
      <c r="AT30" s="575">
        <f>COUNTIFS(STATUS!$Q:$Q,$A30,STATUS!$D:$D,AT$1,STATUS!$K:$K,"РЕШ УВ DONE")</f>
        <v>0</v>
      </c>
      <c r="AU30" s="1238">
        <f>SUM(AP30:AT30)</f>
        <v>0</v>
      </c>
      <c r="AV30" s="574">
        <f>COUNTIFS(STATUS!$Q:$Q,$A30,STATUS!$D:$D,AV$1,STATUS!$K:$K,"РЕШ УВ DONE")</f>
        <v>0</v>
      </c>
      <c r="AW30" s="574">
        <f>COUNTIFS(STATUS!$Q:$Q,$A30,STATUS!$D:$D,AW$1,STATUS!$K:$K,"РЕШ УВ DONE")</f>
        <v>0</v>
      </c>
      <c r="AX30" s="574">
        <f>COUNTIFS(STATUS!$Q:$Q,$A30,STATUS!$D:$D,AX$1,STATUS!$K:$K,"РЕШ УВ DONE")</f>
        <v>0</v>
      </c>
      <c r="AY30" s="575">
        <f>COUNTIFS(STATUS!$Q:$Q,$A30,STATUS!$D:$D,AY$1,STATUS!$K:$K,"РЕШ УВ DONE")</f>
        <v>0</v>
      </c>
      <c r="AZ30" s="575">
        <f>COUNTIFS(STATUS!$Q:$Q,$A30,STATUS!$D:$D,AZ$1,STATUS!$K:$K,"РЕШ УВ DONE")</f>
        <v>0</v>
      </c>
      <c r="BA30" s="1238">
        <f>SUM(AV30:AZ30)</f>
        <v>0</v>
      </c>
      <c r="BB30" s="574">
        <f>COUNTIFS(STATUS!$Q:$Q,$A30,STATUS!$D:$D,BB$1,STATUS!$K:$K,"РЕШ УВ DONE")</f>
        <v>0</v>
      </c>
      <c r="BC30" s="574">
        <f>COUNTIFS(STATUS!$Q:$Q,$A30,STATUS!$D:$D,BC$1,STATUS!$K:$K,"РЕШ УВ DONE")</f>
        <v>0</v>
      </c>
      <c r="BD30" s="574">
        <f>COUNTIFS(STATUS!$Q:$Q,$A30,STATUS!$D:$D,BD$1,STATUS!$K:$K,"РЕШ УВ DONE")</f>
        <v>0</v>
      </c>
      <c r="BE30" s="575">
        <f>COUNTIFS(STATUS!$Q:$Q,$A30,STATUS!$D:$D,BE$1,STATUS!$K:$K,"РЕШ УВ DONE")</f>
        <v>0</v>
      </c>
      <c r="BF30" s="575">
        <f>COUNTIFS(STATUS!$Q:$Q,$A30,STATUS!$D:$D,BF$1,STATUS!$K:$K,"РЕШ УВ DONE")</f>
        <v>0</v>
      </c>
      <c r="BG30" s="1238">
        <f>SUM(BB30:BF30)</f>
        <v>0</v>
      </c>
      <c r="BH30" s="574">
        <f>COUNTIFS(STATUS!$Q:$Q,$A30,STATUS!$D:$D,BH$1,STATUS!$K:$K,"РЕШ УВ DONE")</f>
        <v>0</v>
      </c>
      <c r="BI30" s="574">
        <f>COUNTIFS(STATUS!$Q:$Q,$A30,STATUS!$D:$D,BI$1,STATUS!$K:$K,"РЕШ УВ DONE")</f>
        <v>0</v>
      </c>
      <c r="BJ30" s="574">
        <f>COUNTIFS(STATUS!$Q:$Q,$A30,STATUS!$D:$D,BJ$1,STATUS!$K:$K,"РЕШ УВ DONE")</f>
        <v>0</v>
      </c>
      <c r="BK30" s="575">
        <f>COUNTIFS(STATUS!$Q:$Q,$A30,STATUS!$D:$D,BK$1,STATUS!$K:$K,"РЕШ УВ DONE")</f>
        <v>0</v>
      </c>
      <c r="BL30" s="575">
        <f>COUNTIFS(STATUS!$Q:$Q,$A30,STATUS!$D:$D,BL$1,STATUS!$K:$K,"РЕШ УВ DONE")</f>
        <v>0</v>
      </c>
      <c r="BM30" s="1238">
        <f>SUM(BH30:BL30)</f>
        <v>0</v>
      </c>
      <c r="BN30" s="574">
        <f>COUNTIFS(STATUS!$Q:$Q,$A30,STATUS!$D:$D,BN$1,STATUS!$K:$K,"РЕШ УВ DONE")</f>
        <v>0</v>
      </c>
      <c r="BO30" s="574">
        <f>COUNTIFS(STATUS!$Q:$Q,$A30,STATUS!$D:$D,BO$1,STATUS!$K:$K,"РЕШ УВ DONE")</f>
        <v>0</v>
      </c>
      <c r="BP30" s="574">
        <f>COUNTIFS(STATUS!$Q:$Q,$A30,STATUS!$D:$D,BP$1,STATUS!$K:$K,"РЕШ УВ DONE")</f>
        <v>0</v>
      </c>
      <c r="BQ30" s="575">
        <f>COUNTIFS(STATUS!$Q:$Q,$A30,STATUS!$D:$D,BQ$1,STATUS!$K:$K,"РЕШ УВ DONE")</f>
        <v>0</v>
      </c>
      <c r="BR30" s="575">
        <f>COUNTIFS(STATUS!$Q:$Q,$A30,STATUS!$D:$D,BR$1,STATUS!$K:$K,"РЕШ УВ DONE")</f>
        <v>0</v>
      </c>
      <c r="BS30" s="1238">
        <f>SUM(BN30:BR30)</f>
        <v>0</v>
      </c>
      <c r="BT30" s="574">
        <f>COUNTIFS(STATUS!$Q:$Q,$A30,STATUS!$D:$D,BT$1,STATUS!$K:$K,"РЕШ УВ DONE")</f>
        <v>0</v>
      </c>
      <c r="BU30" s="574">
        <f>COUNTIFS(STATUS!$Q:$Q,$A30,STATUS!$D:$D,BU$1,STATUS!$K:$K,"РЕШ УВ DONE")</f>
        <v>0</v>
      </c>
      <c r="BV30" s="574">
        <f>COUNTIFS(STATUS!$Q:$Q,$A30,STATUS!$D:$D,BV$1,STATUS!$K:$K,"РЕШ УВ DONE")</f>
        <v>0</v>
      </c>
      <c r="BW30" s="575">
        <f>COUNTIFS(STATUS!$Q:$Q,$A30,STATUS!$D:$D,BW$1,STATUS!$K:$K,"РЕШ УВ DONE")</f>
        <v>0</v>
      </c>
      <c r="BX30" s="575">
        <f>COUNTIFS(STATUS!$Q:$Q,$A30,STATUS!$D:$D,BX$1,STATUS!$K:$K,"РЕШ УВ DONE")</f>
        <v>0</v>
      </c>
      <c r="BY30" s="1238">
        <f>SUM(BT30:BX30)</f>
        <v>0</v>
      </c>
      <c r="BZ30" s="574">
        <f>COUNTIFS(STATUS!$Q:$Q,$A30,STATUS!$D:$D,BZ$1,STATUS!$K:$K,"РЕШ УВ DONE")</f>
        <v>0</v>
      </c>
      <c r="CA30" s="574">
        <f>COUNTIFS(STATUS!$Q:$Q,$A30,STATUS!$D:$D,CA$1,STATUS!$K:$K,"РЕШ УВ DONE")</f>
        <v>0</v>
      </c>
      <c r="CB30" s="574">
        <f>COUNTIFS(STATUS!$Q:$Q,$A30,STATUS!$D:$D,CB$1,STATUS!$K:$K,"РЕШ УВ DONE")</f>
        <v>0</v>
      </c>
      <c r="CC30" s="575">
        <f>COUNTIFS(STATUS!$Q:$Q,$A30,STATUS!$D:$D,CC$1,STATUS!$K:$K,"РЕШ УВ DONE")</f>
        <v>0</v>
      </c>
      <c r="CD30" s="575">
        <f>COUNTIFS(STATUS!$Q:$Q,$A30,STATUS!$D:$D,CD$1,STATUS!$K:$K,"РЕШ УВ DONE")</f>
        <v>0</v>
      </c>
      <c r="CE30" s="1238">
        <f>SUM(BZ30:CD30)</f>
        <v>0</v>
      </c>
      <c r="CF30" s="574">
        <f>COUNTIFS(STATUS!$Q:$Q,$A30,STATUS!$D:$D,CF$1,STATUS!$K:$K,"РЕШ УВ DONE")</f>
        <v>0</v>
      </c>
      <c r="CG30" s="574">
        <f>COUNTIFS(STATUS!$Q:$Q,$A30,STATUS!$D:$D,CG$1,STATUS!$K:$K,"РЕШ УВ DONE")</f>
        <v>0</v>
      </c>
      <c r="CH30" s="574">
        <f>COUNTIFS(STATUS!$Q:$Q,$A30,STATUS!$D:$D,CH$1,STATUS!$K:$K,"РЕШ УВ DONE")</f>
        <v>0</v>
      </c>
      <c r="CI30" s="575">
        <f>COUNTIFS(STATUS!$Q:$Q,$A30,STATUS!$D:$D,CI$1,STATUS!$K:$K,"РЕШ УВ DONE")</f>
        <v>0</v>
      </c>
      <c r="CJ30" s="575">
        <f>COUNTIFS(STATUS!$Q:$Q,$A30,STATUS!$D:$D,CJ$1,STATUS!$K:$K,"РЕШ УВ DONE")</f>
        <v>0</v>
      </c>
      <c r="CK30" s="1238">
        <f>SUM(CF30:CJ30)</f>
        <v>0</v>
      </c>
      <c r="CL30" s="574">
        <f>COUNTIFS(STATUS!$Q:$Q,$A30,STATUS!$D:$D,CL$1,STATUS!$K:$K,"РЕШ УВ DONE")</f>
        <v>0</v>
      </c>
      <c r="CM30" s="574">
        <f>COUNTIFS(STATUS!$Q:$Q,$A30,STATUS!$D:$D,CM$1,STATUS!$K:$K,"РЕШ УВ DONE")</f>
        <v>0</v>
      </c>
      <c r="CN30" s="574">
        <f>COUNTIFS(STATUS!$Q:$Q,$A30,STATUS!$D:$D,CN$1,STATUS!$K:$K,"РЕШ УВ DONE")</f>
        <v>0</v>
      </c>
      <c r="CO30" s="575">
        <f>COUNTIFS(STATUS!$Q:$Q,$A30,STATUS!$D:$D,CO$1,STATUS!$K:$K,"РЕШ УВ DONE")</f>
        <v>0</v>
      </c>
      <c r="CP30" s="575">
        <f>COUNTIFS(STATUS!$Q:$Q,$A30,STATUS!$D:$D,CP$1,STATUS!$K:$K,"РЕШ УВ DONE")</f>
        <v>0</v>
      </c>
      <c r="CQ30" s="1238">
        <f>SUM(CL30:CP30)</f>
        <v>0</v>
      </c>
      <c r="CR30" s="1241">
        <f>COUNTIFS(STATUS!$Q:$Q,$A30,STATUS!$D:$D,CR$1,STATUS!$K:$K,"РЕШ УВ DONE")</f>
        <v>6</v>
      </c>
      <c r="CS30" s="1241">
        <f>COUNTIFS(STATUS!$Q:$Q,$A30,STATUS!$D:$D,CS$1,STATUS!$K:$K,"РЕШ УВ DONE")</f>
        <v>6</v>
      </c>
      <c r="CT30" s="1241">
        <f>COUNTIFS(STATUS!$Q:$Q,$A30,STATUS!$D:$D,CT$1,STATUS!$K:$K,"РЕШ УВ DONE")</f>
        <v>3</v>
      </c>
      <c r="CU30" s="1242">
        <f>COUNTIFS(STATUS!$Q:$Q,$A30,STATUS!$D:$D,CU$1,STATUS!$K:$K,"РЕШ УВ DONE")</f>
        <v>5</v>
      </c>
      <c r="CV30" s="1242">
        <f>COUNTIFS(STATUS!$Q:$Q,$A30,STATUS!$D:$D,CV$1,STATUS!$K:$K,"РЕШ УВ DONE")</f>
        <v>5</v>
      </c>
      <c r="CW30" s="571">
        <f>SUM(CR30:CV30)</f>
        <v>25</v>
      </c>
      <c r="CX30" s="1241">
        <f>COUNTIFS(STATUS!$Q:$Q,$A30,STATUS!$D:$D,CX$1,STATUS!$K:$K,"РЕШ УВ DONE")</f>
        <v>0</v>
      </c>
      <c r="CY30" s="1241">
        <f>COUNTIFS(STATUS!$Q:$Q,$A30,STATUS!$D:$D,CY$1,STATUS!$K:$K,"РЕШ УВ DONE")</f>
        <v>0</v>
      </c>
      <c r="CZ30" s="1241">
        <f>COUNTIFS(STATUS!$Q:$Q,$A30,STATUS!$D:$D,CZ$1,STATUS!$K:$K,"РЕШ УВ DONE")</f>
        <v>0</v>
      </c>
      <c r="DA30" s="1242">
        <f>COUNTIFS(STATUS!$Q:$Q,$A30,STATUS!$D:$D,DA$1,STATUS!$K:$K,"РЕШ УВ DONE")</f>
        <v>0</v>
      </c>
      <c r="DB30" s="1242">
        <f>COUNTIFS(STATUS!$Q:$Q,$A30,STATUS!$D:$D,DB$1,STATUS!$K:$K,"РЕШ УВ DONE")</f>
        <v>0</v>
      </c>
      <c r="DC30" s="1238">
        <f>SUM(CX30:DB30)</f>
        <v>0</v>
      </c>
      <c r="DD30" s="1241">
        <f>COUNTIFS(STATUS!$Q:$Q,$A30,STATUS!$D:$D,DD$1,STATUS!$K:$K,"РЕШ УВ DONE")</f>
        <v>0</v>
      </c>
      <c r="DE30" s="1241">
        <f>COUNTIFS(STATUS!$Q:$Q,$A30,STATUS!$D:$D,DE$1,STATUS!$K:$K,"РЕШ УВ DONE")</f>
        <v>0</v>
      </c>
      <c r="DF30" s="1241">
        <f>COUNTIFS(STATUS!$Q:$Q,$A30,STATUS!$D:$D,DF$1,STATUS!$K:$K,"РЕШ УВ DONE")</f>
        <v>0</v>
      </c>
      <c r="DG30" s="1242">
        <f>COUNTIFS(STATUS!$Q:$Q,$A30,STATUS!$D:$D,DG$1,STATUS!$K:$K,"РЕШ УВ DONE")</f>
        <v>0</v>
      </c>
      <c r="DH30" s="1242">
        <f>COUNTIFS(STATUS!$Q:$Q,$A30,STATUS!$D:$D,DH$1,STATUS!$K:$K,"РЕШ УВ DONE")</f>
        <v>0</v>
      </c>
      <c r="DI30" s="1238">
        <f>SUM(DD30:DH30)</f>
        <v>0</v>
      </c>
      <c r="DJ30" s="574">
        <f>COUNTIFS(STATUS!$Q:$Q,$A30,STATUS!$D:$D,DJ$1,STATUS!$K:$K,"РЕШ УВ DONE")</f>
        <v>0</v>
      </c>
      <c r="DK30" s="574">
        <f>COUNTIFS(STATUS!$Q:$Q,$A30,STATUS!$D:$D,DK$1,STATUS!$K:$K,"РЕШ УВ DONE")</f>
        <v>0</v>
      </c>
      <c r="DL30" s="574">
        <f>COUNTIFS(STATUS!$Q:$Q,$A30,STATUS!$D:$D,DL$1,STATUS!$K:$K,"РЕШ УВ DONE")</f>
        <v>0</v>
      </c>
      <c r="DM30" s="575">
        <f>COUNTIFS(STATUS!$Q:$Q,$A30,STATUS!$D:$D,DM$1,STATUS!$K:$K,"РЕШ УВ DONE")</f>
        <v>0</v>
      </c>
      <c r="DN30" s="575">
        <f>COUNTIFS(STATUS!$Q:$Q,$A30,STATUS!$D:$D,DN$1,STATUS!$K:$K,"РЕШ УВ DONE")</f>
        <v>0</v>
      </c>
      <c r="DO30" s="1238">
        <f>SUM(DJ30:DN30)</f>
        <v>0</v>
      </c>
      <c r="DP30" s="574">
        <f>COUNTIFS(STATUS!$Q:$Q,$A30,STATUS!$D:$D,DP$1,STATUS!$K:$K,"РЕШ УВ DONE")</f>
        <v>0</v>
      </c>
      <c r="DQ30" s="574">
        <f>COUNTIFS(STATUS!$Q:$Q,$A30,STATUS!$D:$D,DQ$1,STATUS!$K:$K,"РЕШ УВ DONE")</f>
        <v>0</v>
      </c>
      <c r="DR30" s="574">
        <f>COUNTIFS(STATUS!$Q:$Q,$A30,STATUS!$D:$D,DR$1,STATUS!$K:$K,"РЕШ УВ DONE")</f>
        <v>0</v>
      </c>
      <c r="DS30" s="575">
        <f>COUNTIFS(STATUS!$Q:$Q,$A30,STATUS!$D:$D,DS$1,STATUS!$K:$K,"РЕШ УВ DONE")</f>
        <v>0</v>
      </c>
      <c r="DT30" s="575">
        <f>COUNTIFS(STATUS!$Q:$Q,$A30,STATUS!$D:$D,DT$1,STATUS!$K:$K,"РЕШ УВ DONE")</f>
        <v>0</v>
      </c>
      <c r="DU30" s="1238">
        <f>SUM(DP30:DT30)</f>
        <v>0</v>
      </c>
      <c r="DV30" s="574">
        <f>COUNTIFS(STATUS!$Q:$Q,$A30,STATUS!$D:$D,DV$1,STATUS!$K:$K,"РЕШ УВ DONE")</f>
        <v>0</v>
      </c>
      <c r="DW30" s="574">
        <f>COUNTIFS(STATUS!$Q:$Q,$A30,STATUS!$D:$D,DW$1,STATUS!$K:$K,"РЕШ УВ DONE")</f>
        <v>0</v>
      </c>
      <c r="DX30" s="574">
        <f>COUNTIFS(STATUS!$Q:$Q,$A30,STATUS!$D:$D,DX$1,STATUS!$K:$K,"РЕШ УВ DONE")</f>
        <v>0</v>
      </c>
      <c r="DY30" s="575">
        <f>COUNTIFS(STATUS!$Q:$Q,$A30,STATUS!$D:$D,DY$1,STATUS!$K:$K,"РЕШ УВ DONE")</f>
        <v>0</v>
      </c>
      <c r="DZ30" s="575">
        <f>COUNTIFS(STATUS!$Q:$Q,$A30,STATUS!$D:$D,DZ$1,STATUS!$K:$K,"РЕШ УВ DONE")</f>
        <v>0</v>
      </c>
      <c r="EA30" s="1238">
        <f>SUM(DV30:DZ30)</f>
        <v>0</v>
      </c>
      <c r="EB30" s="574">
        <f>COUNTIFS(STATUS!$Q:$Q,$A30,STATUS!$D:$D,EB$1,STATUS!$K:$K,"РЕШ УВ DONE")</f>
        <v>0</v>
      </c>
      <c r="EC30" s="574">
        <f>COUNTIFS(STATUS!$Q:$Q,$A30,STATUS!$D:$D,EC$1,STATUS!$K:$K,"РЕШ УВ DONE")</f>
        <v>0</v>
      </c>
      <c r="ED30" s="574">
        <f>COUNTIFS(STATUS!$Q:$Q,$A30,STATUS!$D:$D,ED$1,STATUS!$K:$K,"РЕШ УВ DONE")</f>
        <v>0</v>
      </c>
      <c r="EE30" s="575">
        <f>COUNTIFS(STATUS!$Q:$Q,$A30,STATUS!$D:$D,EE$1,STATUS!$K:$K,"РЕШ УВ DONE")</f>
        <v>0</v>
      </c>
      <c r="EF30" s="575">
        <f>COUNTIFS(STATUS!$Q:$Q,$A30,STATUS!$D:$D,EF$1,STATUS!$K:$K,"РЕШ УВ DONE")</f>
        <v>0</v>
      </c>
      <c r="EG30" s="1238">
        <f>SUM(EB30:EF30)</f>
        <v>0</v>
      </c>
      <c r="EH30" s="574">
        <f>COUNTIFS(STATUS!$Q:$Q,$A30,STATUS!$D:$D,EH$1,STATUS!$K:$K,"РЕШ УВ DONE")</f>
        <v>0</v>
      </c>
      <c r="EI30" s="574">
        <f>COUNTIFS(STATUS!$Q:$Q,$A30,STATUS!$D:$D,EI$1,STATUS!$K:$K,"РЕШ УВ DONE")</f>
        <v>0</v>
      </c>
      <c r="EJ30" s="574">
        <f>COUNTIFS(STATUS!$Q:$Q,$A30,STATUS!$D:$D,EJ$1,STATUS!$K:$K,"РЕШ УВ DONE")</f>
        <v>0</v>
      </c>
      <c r="EK30" s="575">
        <f>COUNTIFS(STATUS!$Q:$Q,$A30,STATUS!$D:$D,EK$1,STATUS!$K:$K,"РЕШ УВ DONE")</f>
        <v>0</v>
      </c>
      <c r="EL30" s="575">
        <f>COUNTIFS(STATUS!$Q:$Q,$A30,STATUS!$D:$D,EL$1,STATUS!$K:$K,"РЕШ УВ DONE")</f>
        <v>0</v>
      </c>
      <c r="EM30" s="1238">
        <f>SUM(EH30:EL30)</f>
        <v>0</v>
      </c>
      <c r="EN30" s="574">
        <f>COUNTIFS(STATUS!$Q:$Q,$A30,STATUS!$D:$D,EN$1,STATUS!$K:$K,"РЕШ УВ DONE")</f>
        <v>0</v>
      </c>
      <c r="EO30" s="574">
        <f>COUNTIFS(STATUS!$Q:$Q,$A30,STATUS!$D:$D,EO$1,STATUS!$K:$K,"РЕШ УВ DONE")</f>
        <v>0</v>
      </c>
      <c r="EP30" s="574">
        <f>COUNTIFS(STATUS!$Q:$Q,$A30,STATUS!$D:$D,EP$1,STATUS!$K:$K,"РЕШ УВ DONE")</f>
        <v>0</v>
      </c>
      <c r="EQ30" s="575">
        <f>COUNTIFS(STATUS!$Q:$Q,$A30,STATUS!$D:$D,EQ$1,STATUS!$K:$K,"РЕШ УВ DONE")</f>
        <v>0</v>
      </c>
      <c r="ER30" s="575">
        <f>COUNTIFS(STATUS!$Q:$Q,$A30,STATUS!$D:$D,ER$1,STATUS!$K:$K,"РЕШ УВ DONE")</f>
        <v>0</v>
      </c>
      <c r="ES30" s="1238">
        <f>SUM(EN30:ER30)</f>
        <v>0</v>
      </c>
      <c r="ET30" s="574">
        <f>COUNTIFS(STATUS!$Q:$Q,$A30,STATUS!$D:$D,ET$1,STATUS!$K:$K,"РЕШ УВ DONE")</f>
        <v>0</v>
      </c>
      <c r="EU30" s="574">
        <f>COUNTIFS(STATUS!$Q:$Q,$A30,STATUS!$D:$D,EU$1,STATUS!$K:$K,"РЕШ УВ DONE")</f>
        <v>0</v>
      </c>
      <c r="EV30" s="574">
        <f>COUNTIFS(STATUS!$Q:$Q,$A30,STATUS!$D:$D,EV$1,STATUS!$K:$K,"РЕШ УВ DONE")</f>
        <v>0</v>
      </c>
      <c r="EW30" s="575">
        <f>COUNTIFS(STATUS!$Q:$Q,$A30,STATUS!$D:$D,EW$1,STATUS!$K:$K,"РЕШ УВ DONE")</f>
        <v>0</v>
      </c>
      <c r="EX30" s="575">
        <f>COUNTIFS(STATUS!$Q:$Q,$A30,STATUS!$D:$D,EX$1,STATUS!$K:$K,"РЕШ УВ DONE")</f>
        <v>0</v>
      </c>
      <c r="EY30" s="1238">
        <f>SUM(ET30:EX30)</f>
        <v>0</v>
      </c>
      <c r="EZ30" s="574">
        <f>COUNTIFS(STATUS!$Q:$Q,$A30,STATUS!$D:$D,EZ$1,STATUS!$K:$K,"РЕШ УВ DONE")</f>
        <v>0</v>
      </c>
      <c r="FA30" s="574">
        <f>COUNTIFS(STATUS!$Q:$Q,$A30,STATUS!$D:$D,FA$1,STATUS!$K:$K,"РЕШ УВ DONE")</f>
        <v>0</v>
      </c>
      <c r="FB30" s="574">
        <f>COUNTIFS(STATUS!$Q:$Q,$A30,STATUS!$D:$D,FB$1,STATUS!$K:$K,"РЕШ УВ DONE")</f>
        <v>0</v>
      </c>
      <c r="FC30" s="575">
        <f>COUNTIFS(STATUS!$Q:$Q,$A30,STATUS!$D:$D,FC$1,STATUS!$K:$K,"РЕШ УВ DONE")</f>
        <v>0</v>
      </c>
      <c r="FD30" s="575">
        <f>COUNTIFS(STATUS!$Q:$Q,$A30,STATUS!$D:$D,FD$1,STATUS!$K:$K,"РЕШ УВ DONE")</f>
        <v>0</v>
      </c>
      <c r="FE30" s="1238">
        <f>SUM(EZ30:FD30)</f>
        <v>0</v>
      </c>
      <c r="FF30" s="574">
        <f>COUNTIFS(STATUS!$Q:$Q,$A30,STATUS!$D:$D,FF$1,STATUS!$K:$K,"РЕШ УВ DONE")</f>
        <v>0</v>
      </c>
      <c r="FG30" s="574">
        <f>COUNTIFS(STATUS!$Q:$Q,$A30,STATUS!$D:$D,FG$1,STATUS!$K:$K,"РЕШ УВ DONE")</f>
        <v>0</v>
      </c>
      <c r="FH30" s="574">
        <f>COUNTIFS(STATUS!$Q:$Q,$A30,STATUS!$D:$D,FH$1,STATUS!$K:$K,"РЕШ УВ DONE")</f>
        <v>0</v>
      </c>
      <c r="FI30" s="575">
        <f>COUNTIFS(STATUS!$Q:$Q,$A30,STATUS!$D:$D,FI$1,STATUS!$K:$K,"РЕШ УВ DONE")</f>
        <v>0</v>
      </c>
      <c r="FJ30" s="575">
        <f>COUNTIFS(STATUS!$Q:$Q,$A30,STATUS!$D:$D,FJ$1,STATUS!$K:$K,"РЕШ УВ DONE")</f>
        <v>0</v>
      </c>
      <c r="FK30" s="1238">
        <f>SUM(FF30:FJ30)</f>
        <v>0</v>
      </c>
      <c r="FL30" s="574">
        <f>COUNTIFS(STATUS!$Q:$Q,$A30,STATUS!$D:$D,FL$1,STATUS!$K:$K,"РЕШ УВ DONE")</f>
        <v>0</v>
      </c>
      <c r="FM30" s="574">
        <f>COUNTIFS(STATUS!$Q:$Q,$A30,STATUS!$D:$D,FM$1,STATUS!$K:$K,"РЕШ УВ DONE")</f>
        <v>0</v>
      </c>
      <c r="FN30" s="574">
        <f>COUNTIFS(STATUS!$Q:$Q,$A30,STATUS!$D:$D,FN$1,STATUS!$K:$K,"РЕШ УВ DONE")</f>
        <v>0</v>
      </c>
      <c r="FO30" s="575">
        <f>COUNTIFS(STATUS!$Q:$Q,$A30,STATUS!$D:$D,FO$1,STATUS!$K:$K,"РЕШ УВ DONE")</f>
        <v>0</v>
      </c>
      <c r="FP30" s="575">
        <f>COUNTIFS(STATUS!$Q:$Q,$A30,STATUS!$D:$D,FP$1,STATUS!$K:$K,"РЕШ УВ DONE")</f>
        <v>0</v>
      </c>
      <c r="FQ30" s="1238">
        <f>SUM(FL30:FP30)</f>
        <v>0</v>
      </c>
      <c r="FR30" s="574">
        <f>COUNTIFS(STATUS!$Q:$Q,$A30,STATUS!$D:$D,FR$1,STATUS!$K:$K,"РЕШ УВ DONE")</f>
        <v>0</v>
      </c>
      <c r="FS30" s="574">
        <f>COUNTIFS(STATUS!$Q:$Q,$A30,STATUS!$D:$D,FS$1,STATUS!$K:$K,"РЕШ УВ DONE")</f>
        <v>0</v>
      </c>
      <c r="FT30" s="574">
        <f>COUNTIFS(STATUS!$Q:$Q,$A30,STATUS!$D:$D,FT$1,STATUS!$K:$K,"РЕШ УВ DONE")</f>
        <v>0</v>
      </c>
      <c r="FU30" s="575">
        <f>COUNTIFS(STATUS!$Q:$Q,$A30,STATUS!$D:$D,FU$1,STATUS!$K:$K,"РЕШ УВ DONE")</f>
        <v>0</v>
      </c>
      <c r="FV30" s="575">
        <f>COUNTIFS(STATUS!$Q:$Q,$A30,STATUS!$D:$D,FV$1,STATUS!$K:$K,"РЕШ УВ DONE")</f>
        <v>0</v>
      </c>
      <c r="FW30" s="1238">
        <f>SUM(FR30:FV30)</f>
        <v>0</v>
      </c>
      <c r="FX30" s="574">
        <f>COUNTIFS(STATUS!$Q:$Q,$A30,STATUS!$D:$D,FX$1,STATUS!$K:$K,"РЕШ УВ DONE")</f>
        <v>0</v>
      </c>
      <c r="FY30" s="574">
        <f>COUNTIFS(STATUS!$Q:$Q,$A30,STATUS!$D:$D,FY$1,STATUS!$K:$K,"РЕШ УВ DONE")</f>
        <v>0</v>
      </c>
      <c r="FZ30" s="574">
        <f>COUNTIFS(STATUS!$Q:$Q,$A30,STATUS!$D:$D,FZ$1,STATUS!$K:$K,"РЕШ УВ DONE")</f>
        <v>0</v>
      </c>
      <c r="GA30" s="575">
        <f>COUNTIFS(STATUS!$Q:$Q,$A30,STATUS!$D:$D,GA$1,STATUS!$K:$K,"РЕШ УВ DONE")</f>
        <v>0</v>
      </c>
      <c r="GB30" s="575">
        <f>COUNTIFS(STATUS!$Q:$Q,$A30,STATUS!$D:$D,GB$1,STATUS!$K:$K,"РЕШ УВ DONE")</f>
        <v>0</v>
      </c>
      <c r="GC30" s="1238">
        <f>SUM(FX30:GB30)</f>
        <v>0</v>
      </c>
      <c r="GD30" s="574">
        <f>COUNTIFS(STATUS!$Q:$Q,$A30,STATUS!$D:$D,GD$1,STATUS!$K:$K,"РЕШ УВ DONE")</f>
        <v>0</v>
      </c>
      <c r="GE30" s="574">
        <f>COUNTIFS(STATUS!$Q:$Q,$A30,STATUS!$D:$D,GE$1,STATUS!$K:$K,"РЕШ УВ DONE")</f>
        <v>0</v>
      </c>
      <c r="GF30" s="574">
        <f>COUNTIFS(STATUS!$Q:$Q,$A30,STATUS!$D:$D,GF$1,STATUS!$K:$K,"РЕШ УВ DONE")</f>
        <v>0</v>
      </c>
      <c r="GG30" s="575">
        <f>COUNTIFS(STATUS!$Q:$Q,$A30,STATUS!$D:$D,GG$1,STATUS!$K:$K,"РЕШ УВ DONE")</f>
        <v>0</v>
      </c>
      <c r="GH30" s="575">
        <f>COUNTIFS(STATUS!$Q:$Q,$A30,STATUS!$D:$D,GH$1,STATUS!$K:$K,"РЕШ УВ DONE")</f>
        <v>0</v>
      </c>
      <c r="GI30" s="1238">
        <f>SUM(GD30:GH30)</f>
        <v>0</v>
      </c>
      <c r="GJ30" s="574">
        <f>COUNTIFS(STATUS!$Q:$Q,$A30,STATUS!$D:$D,GJ$1,STATUS!$K:$K,"РЕШ УВ DONE")</f>
        <v>0</v>
      </c>
      <c r="GK30" s="574">
        <f>COUNTIFS(STATUS!$Q:$Q,$A30,STATUS!$D:$D,GK$1,STATUS!$K:$K,"РЕШ УВ DONE")</f>
        <v>0</v>
      </c>
      <c r="GL30" s="574">
        <f>COUNTIFS(STATUS!$Q:$Q,$A30,STATUS!$D:$D,GL$1,STATUS!$K:$K,"РЕШ УВ DONE")</f>
        <v>0</v>
      </c>
      <c r="GM30" s="575">
        <f>COUNTIFS(STATUS!$Q:$Q,$A30,STATUS!$D:$D,GM$1,STATUS!$K:$K,"РЕШ УВ DONE")</f>
        <v>0</v>
      </c>
      <c r="GN30" s="575">
        <f>COUNTIFS(STATUS!$Q:$Q,$A30,STATUS!$D:$D,GN$1,STATUS!$K:$K,"РЕШ УВ DONE")</f>
        <v>0</v>
      </c>
      <c r="GO30" s="1238">
        <f>SUM(GJ30:GN30)</f>
        <v>0</v>
      </c>
      <c r="GP30" s="574">
        <f>COUNTIFS(STATUS!$Q:$Q,$A30,STATUS!$D:$D,GP$1,STATUS!$K:$K,"РЕШ УВ DONE")</f>
        <v>0</v>
      </c>
      <c r="GQ30" s="574">
        <f>COUNTIFS(STATUS!$Q:$Q,$A30,STATUS!$D:$D,GQ$1,STATUS!$K:$K,"РЕШ УВ DONE")</f>
        <v>0</v>
      </c>
      <c r="GR30" s="574">
        <f>COUNTIFS(STATUS!$Q:$Q,$A30,STATUS!$D:$D,GR$1,STATUS!$K:$K,"РЕШ УВ DONE")</f>
        <v>0</v>
      </c>
      <c r="GS30" s="575">
        <f>COUNTIFS(STATUS!$Q:$Q,$A30,STATUS!$D:$D,GS$1,STATUS!$K:$K,"РЕШ УВ DONE")</f>
        <v>0</v>
      </c>
      <c r="GT30" s="575">
        <f>COUNTIFS(STATUS!$Q:$Q,$A30,STATUS!$D:$D,GT$1,STATUS!$K:$K,"РЕШ УВ DONE")</f>
        <v>0</v>
      </c>
      <c r="GU30" s="1238">
        <f>SUM(GP30:GT30)</f>
        <v>0</v>
      </c>
      <c r="GV30" s="574">
        <f>COUNTIFS(STATUS!$Q:$Q,$A30,STATUS!$D:$D,GV$1,STATUS!$K:$K,"РЕШ УВ DONE")</f>
        <v>0</v>
      </c>
      <c r="GW30" s="574">
        <f>COUNTIFS(STATUS!$Q:$Q,$A30,STATUS!$D:$D,GW$1,STATUS!$K:$K,"РЕШ УВ DONE")</f>
        <v>0</v>
      </c>
      <c r="GX30" s="574">
        <f>COUNTIFS(STATUS!$Q:$Q,$A30,STATUS!$D:$D,GX$1,STATUS!$K:$K,"РЕШ УВ DONE")</f>
        <v>0</v>
      </c>
      <c r="GY30" s="575">
        <f>COUNTIFS(STATUS!$Q:$Q,$A30,STATUS!$D:$D,GY$1,STATUS!$K:$K,"РЕШ УВ DONE")</f>
        <v>0</v>
      </c>
      <c r="GZ30" s="575">
        <f>COUNTIFS(STATUS!$Q:$Q,$A30,STATUS!$D:$D,GZ$1,STATUS!$K:$K,"РЕШ УВ DONE")</f>
        <v>0</v>
      </c>
      <c r="HA30" s="1238">
        <f>SUM(GV30:GZ30)</f>
        <v>0</v>
      </c>
    </row>
    <row r="31" spans="1:209" x14ac:dyDescent="0.3">
      <c r="A31" s="1556"/>
      <c r="B31" s="428">
        <f>SUM(H31,N31,R31,W31,AC31,AI31,AO31,AU31,BA31,BG31,BM31,BS31,BY31,CE31,CK31,CQ31,CW31,DC31,DI31,DO31,DU31,EA31,EG31,EM31,ES31,EY31,FE31,FK31,FQ31,FW31,GC31,GI31,GO31,GU31,HA31)</f>
        <v>5</v>
      </c>
      <c r="C31" s="577">
        <f>COUNTIFS(STATUS!$Q:$Q,$A30,STATUS!$D:$D,C$1,STATUS!$U:$U,"ВОЗВРАТ")</f>
        <v>0</v>
      </c>
      <c r="D31" s="577">
        <f>COUNTIFS(STATUS!$Q:$Q,$A30,STATUS!$D:$D,D$1,STATUS!$U:$U,"ВОЗВРАТ")</f>
        <v>0</v>
      </c>
      <c r="E31" s="577">
        <f>COUNTIFS(STATUS!$Q:$Q,$A30,STATUS!$D:$D,E$1,STATUS!$U:$U,"ВОЗВРАТ")</f>
        <v>0</v>
      </c>
      <c r="F31" s="577">
        <f>COUNTIFS(STATUS!$Q:$Q,$A30,STATUS!$D:$D,F$1,STATUS!$U:$U,"ВОЗВРАТ")</f>
        <v>0</v>
      </c>
      <c r="G31" s="578">
        <f>COUNTIFS(STATUS!$Q:$Q,$A30,STATUS!$D:$D,G$1,STATUS!$U:$U,"ВОЗВРАТ")</f>
        <v>0</v>
      </c>
      <c r="H31" s="576">
        <f>SUM(C31:G31)</f>
        <v>0</v>
      </c>
      <c r="I31" s="1240">
        <f>COUNTIFS(STATUS!$Q:$Q,$A30,STATUS!$D:$D,I$1,STATUS!$U:$U,"ВОЗВРАТ")</f>
        <v>0</v>
      </c>
      <c r="J31" s="577">
        <f>COUNTIFS(STATUS!$Q:$Q,$A30,STATUS!$D:$D,J$1,STATUS!$U:$U,"ВОЗВРАТ")</f>
        <v>0</v>
      </c>
      <c r="K31" s="577">
        <f>COUNTIFS(STATUS!$Q:$Q,$A30,STATUS!$D:$D,K$1,STATUS!$U:$U,"ВОЗВРАТ")</f>
        <v>0</v>
      </c>
      <c r="L31" s="577">
        <f>COUNTIFS(STATUS!$Q:$Q,$A30,STATUS!$D:$D,L$1,STATUS!$U:$U,"ВОЗВРАТ")</f>
        <v>0</v>
      </c>
      <c r="M31" s="578">
        <f>COUNTIFS(STATUS!$Q:$Q,$A30,STATUS!$D:$D,M$1,STATUS!$U:$U,"ВОЗВРАТ")</f>
        <v>0</v>
      </c>
      <c r="N31" s="576">
        <f>SUM(I31:M31)</f>
        <v>0</v>
      </c>
      <c r="O31" s="1240">
        <f>COUNTIFS(STATUS!$Q:$Q,$A30,STATUS!$D:$D,O$1,STATUS!$U:$U,"ВОЗВРАТ")</f>
        <v>0</v>
      </c>
      <c r="P31" s="577">
        <f>COUNTIFS(STATUS!$Q:$Q,$A30,STATUS!$D:$D,P$1,STATUS!$U:$U,"ВОЗВРАТ")</f>
        <v>0</v>
      </c>
      <c r="Q31" s="577">
        <f>COUNTIFS(STATUS!$Q:$Q,$A30,STATUS!$D:$D,Q$1,STATUS!$U:$U,"ВОЗВРАТ")</f>
        <v>0</v>
      </c>
      <c r="R31" s="576">
        <f>SUM(O31:Q31)</f>
        <v>0</v>
      </c>
      <c r="S31" s="577">
        <f>COUNTIFS(STATUS!$Q:$Q,$A30,STATUS!$D:$D,S$1,STATUS!$U:$U,"ВОЗВРАТ")</f>
        <v>0</v>
      </c>
      <c r="T31" s="577">
        <f>COUNTIFS(STATUS!$Q:$Q,$A30,STATUS!$D:$D,T$1,STATUS!$U:$U,"ВОЗВРАТ")</f>
        <v>0</v>
      </c>
      <c r="U31" s="577">
        <f>COUNTIFS(STATUS!$Q:$Q,$A30,STATUS!$D:$D,U$1,STATUS!$U:$U,"ВОЗВРАТ")</f>
        <v>0</v>
      </c>
      <c r="V31" s="578">
        <f>COUNTIFS(STATUS!$Q:$Q,$A30,STATUS!$D:$D,V$1,STATUS!$U:$U,"ВОЗВРАТ")</f>
        <v>0</v>
      </c>
      <c r="W31" s="576">
        <f>SUM(S31:V31)</f>
        <v>0</v>
      </c>
      <c r="X31" s="577">
        <f>COUNTIFS(STATUS!$Q:$Q,$A30,STATUS!$D:$D,X$1,STATUS!$U:$U,"ВОЗВРАТ")</f>
        <v>0</v>
      </c>
      <c r="Y31" s="577">
        <f>COUNTIFS(STATUS!$Q:$Q,$A30,STATUS!$D:$D,Y$1,STATUS!$U:$U,"ВОЗВРАТ")</f>
        <v>0</v>
      </c>
      <c r="Z31" s="577">
        <f>COUNTIFS(STATUS!$Q:$Q,$A30,STATUS!$D:$D,Z$1,STATUS!$U:$U,"ВОЗВРАТ")</f>
        <v>0</v>
      </c>
      <c r="AA31" s="578">
        <f>COUNTIFS(STATUS!$Q:$Q,$A30,STATUS!$D:$D,AA$1,STATUS!$U:$U,"ВОЗВРАТ")</f>
        <v>0</v>
      </c>
      <c r="AB31" s="578">
        <f>COUNTIFS(STATUS!$Q:$Q,$A30,STATUS!$D:$D,AB$1,STATUS!$U:$U,"ВОЗВРАТ")</f>
        <v>0</v>
      </c>
      <c r="AC31" s="576">
        <f>SUM(X31:AB31)</f>
        <v>0</v>
      </c>
      <c r="AD31" s="577">
        <f>COUNTIFS(STATUS!$Q:$Q,$A30,STATUS!$D:$D,AD$1,STATUS!$U:$U,"ВОЗВРАТ")</f>
        <v>0</v>
      </c>
      <c r="AE31" s="577">
        <f>COUNTIFS(STATUS!$Q:$Q,$A30,STATUS!$D:$D,AE$1,STATUS!$U:$U,"ВОЗВРАТ")</f>
        <v>0</v>
      </c>
      <c r="AF31" s="577">
        <f>COUNTIFS(STATUS!$Q:$Q,$A30,STATUS!$D:$D,AF$1,STATUS!$U:$U,"ВОЗВРАТ")</f>
        <v>0</v>
      </c>
      <c r="AG31" s="578">
        <f>COUNTIFS(STATUS!$Q:$Q,$A30,STATUS!$D:$D,AG$1,STATUS!$U:$U,"ВОЗВРАТ")</f>
        <v>0</v>
      </c>
      <c r="AH31" s="578">
        <f>COUNTIFS(STATUS!$Q:$Q,$A30,STATUS!$D:$D,AH$1,STATUS!$U:$U,"ВОЗВРАТ")</f>
        <v>0</v>
      </c>
      <c r="AI31" s="576">
        <f>SUM(AD31:AH31)</f>
        <v>0</v>
      </c>
      <c r="AJ31" s="577">
        <f>COUNTIFS(STATUS!$Q:$Q,$A30,STATUS!$D:$D,AJ$1,STATUS!$U:$U,"ВОЗВРАТ")</f>
        <v>0</v>
      </c>
      <c r="AK31" s="577">
        <f>COUNTIFS(STATUS!$Q:$Q,$A30,STATUS!$D:$D,AK$1,STATUS!$U:$U,"ВОЗВРАТ")</f>
        <v>0</v>
      </c>
      <c r="AL31" s="577">
        <f>COUNTIFS(STATUS!$Q:$Q,$A30,STATUS!$D:$D,AL$1,STATUS!$U:$U,"ВОЗВРАТ")</f>
        <v>0</v>
      </c>
      <c r="AM31" s="578">
        <f>COUNTIFS(STATUS!$Q:$Q,$A30,STATUS!$D:$D,AM$1,STATUS!$U:$U,"ВОЗВРАТ")</f>
        <v>0</v>
      </c>
      <c r="AN31" s="578">
        <f>COUNTIFS(STATUS!$Q:$Q,$A30,STATUS!$D:$D,AN$1,STATUS!$U:$U,"ВОЗВРАТ")</f>
        <v>0</v>
      </c>
      <c r="AO31" s="576">
        <f>SUM(AJ31:AN31)</f>
        <v>0</v>
      </c>
      <c r="AP31" s="577">
        <f>COUNTIFS(STATUS!$Q:$Q,$A30,STATUS!$D:$D,AP$1,STATUS!$U:$U,"ВОЗВРАТ")</f>
        <v>0</v>
      </c>
      <c r="AQ31" s="577">
        <f>COUNTIFS(STATUS!$Q:$Q,$A30,STATUS!$D:$D,AQ$1,STATUS!$U:$U,"ВОЗВРАТ")</f>
        <v>0</v>
      </c>
      <c r="AR31" s="577">
        <f>COUNTIFS(STATUS!$Q:$Q,$A30,STATUS!$D:$D,AR$1,STATUS!$U:$U,"ВОЗВРАТ")</f>
        <v>0</v>
      </c>
      <c r="AS31" s="578">
        <f>COUNTIFS(STATUS!$Q:$Q,$A30,STATUS!$D:$D,AS$1,STATUS!$U:$U,"ВОЗВРАТ")</f>
        <v>0</v>
      </c>
      <c r="AT31" s="578">
        <f>COUNTIFS(STATUS!$Q:$Q,$A30,STATUS!$D:$D,AT$1,STATUS!$U:$U,"ВОЗВРАТ")</f>
        <v>0</v>
      </c>
      <c r="AU31" s="576">
        <f>SUM(AP31:AT31)</f>
        <v>0</v>
      </c>
      <c r="AV31" s="577">
        <f>COUNTIFS(STATUS!$Q:$Q,$A30,STATUS!$D:$D,AV$1,STATUS!$U:$U,"ВОЗВРАТ")</f>
        <v>0</v>
      </c>
      <c r="AW31" s="577">
        <f>COUNTIFS(STATUS!$Q:$Q,$A30,STATUS!$D:$D,AW$1,STATUS!$U:$U,"ВОЗВРАТ")</f>
        <v>0</v>
      </c>
      <c r="AX31" s="577">
        <f>COUNTIFS(STATUS!$Q:$Q,$A30,STATUS!$D:$D,AX$1,STATUS!$U:$U,"ВОЗВРАТ")</f>
        <v>0</v>
      </c>
      <c r="AY31" s="578">
        <f>COUNTIFS(STATUS!$Q:$Q,$A30,STATUS!$D:$D,AY$1,STATUS!$U:$U,"ВОЗВРАТ")</f>
        <v>0</v>
      </c>
      <c r="AZ31" s="578">
        <f>COUNTIFS(STATUS!$Q:$Q,$A30,STATUS!$D:$D,AZ$1,STATUS!$U:$U,"ВОЗВРАТ")</f>
        <v>0</v>
      </c>
      <c r="BA31" s="576">
        <f>SUM(AV31:AZ31)</f>
        <v>0</v>
      </c>
      <c r="BB31" s="577">
        <f>COUNTIFS(STATUS!$Q:$Q,$A30,STATUS!$D:$D,BB$1,STATUS!$U:$U,"ВОЗВРАТ")</f>
        <v>0</v>
      </c>
      <c r="BC31" s="577">
        <f>COUNTIFS(STATUS!$Q:$Q,$A30,STATUS!$D:$D,BC$1,STATUS!$U:$U,"ВОЗВРАТ")</f>
        <v>0</v>
      </c>
      <c r="BD31" s="577">
        <f>COUNTIFS(STATUS!$Q:$Q,$A30,STATUS!$D:$D,BD$1,STATUS!$U:$U,"ВОЗВРАТ")</f>
        <v>0</v>
      </c>
      <c r="BE31" s="578">
        <f>COUNTIFS(STATUS!$Q:$Q,$A30,STATUS!$D:$D,BE$1,STATUS!$U:$U,"ВОЗВРАТ")</f>
        <v>0</v>
      </c>
      <c r="BF31" s="578">
        <f>COUNTIFS(STATUS!$Q:$Q,$A30,STATUS!$D:$D,BF$1,STATUS!$U:$U,"ВОЗВРАТ")</f>
        <v>0</v>
      </c>
      <c r="BG31" s="576">
        <f>SUM(BB31:BF31)</f>
        <v>0</v>
      </c>
      <c r="BH31" s="577">
        <f>COUNTIFS(STATUS!$Q:$Q,$A30,STATUS!$D:$D,BH$1,STATUS!$U:$U,"ВОЗВРАТ")</f>
        <v>0</v>
      </c>
      <c r="BI31" s="577">
        <f>COUNTIFS(STATUS!$Q:$Q,$A30,STATUS!$D:$D,BI$1,STATUS!$U:$U,"ВОЗВРАТ")</f>
        <v>0</v>
      </c>
      <c r="BJ31" s="577">
        <f>COUNTIFS(STATUS!$Q:$Q,$A30,STATUS!$D:$D,BJ$1,STATUS!$U:$U,"ВОЗВРАТ")</f>
        <v>0</v>
      </c>
      <c r="BK31" s="578">
        <f>COUNTIFS(STATUS!$Q:$Q,$A30,STATUS!$D:$D,BK$1,STATUS!$U:$U,"ВОЗВРАТ")</f>
        <v>0</v>
      </c>
      <c r="BL31" s="578">
        <f>COUNTIFS(STATUS!$Q:$Q,$A30,STATUS!$D:$D,BL$1,STATUS!$U:$U,"ВОЗВРАТ")</f>
        <v>0</v>
      </c>
      <c r="BM31" s="576">
        <f>SUM(BH31:BL31)</f>
        <v>0</v>
      </c>
      <c r="BN31" s="577">
        <f>COUNTIFS(STATUS!$Q:$Q,$A30,STATUS!$D:$D,BN$1,STATUS!$U:$U,"ВОЗВРАТ")</f>
        <v>0</v>
      </c>
      <c r="BO31" s="577">
        <f>COUNTIFS(STATUS!$Q:$Q,$A30,STATUS!$D:$D,BO$1,STATUS!$U:$U,"ВОЗВРАТ")</f>
        <v>0</v>
      </c>
      <c r="BP31" s="577">
        <f>COUNTIFS(STATUS!$Q:$Q,$A30,STATUS!$D:$D,BP$1,STATUS!$U:$U,"ВОЗВРАТ")</f>
        <v>0</v>
      </c>
      <c r="BQ31" s="578">
        <f>COUNTIFS(STATUS!$Q:$Q,$A30,STATUS!$D:$D,BQ$1,STATUS!$U:$U,"ВОЗВРАТ")</f>
        <v>0</v>
      </c>
      <c r="BR31" s="578">
        <f>COUNTIFS(STATUS!$Q:$Q,$A30,STATUS!$D:$D,BR$1,STATUS!$U:$U,"ВОЗВРАТ")</f>
        <v>0</v>
      </c>
      <c r="BS31" s="576">
        <f>SUM(BN31:BR31)</f>
        <v>0</v>
      </c>
      <c r="BT31" s="577">
        <f>COUNTIFS(STATUS!$Q:$Q,$A30,STATUS!$D:$D,BT$1,STATUS!$U:$U,"ВОЗВРАТ")</f>
        <v>0</v>
      </c>
      <c r="BU31" s="577">
        <f>COUNTIFS(STATUS!$Q:$Q,$A30,STATUS!$D:$D,BU$1,STATUS!$U:$U,"ВОЗВРАТ")</f>
        <v>0</v>
      </c>
      <c r="BV31" s="577">
        <f>COUNTIFS(STATUS!$Q:$Q,$A30,STATUS!$D:$D,BV$1,STATUS!$U:$U,"ВОЗВРАТ")</f>
        <v>0</v>
      </c>
      <c r="BW31" s="578">
        <f>COUNTIFS(STATUS!$Q:$Q,$A30,STATUS!$D:$D,BW$1,STATUS!$U:$U,"ВОЗВРАТ")</f>
        <v>0</v>
      </c>
      <c r="BX31" s="578">
        <f>COUNTIFS(STATUS!$Q:$Q,$A30,STATUS!$D:$D,BX$1,STATUS!$U:$U,"ВОЗВРАТ")</f>
        <v>0</v>
      </c>
      <c r="BY31" s="576">
        <f>SUM(BT31:BX31)</f>
        <v>0</v>
      </c>
      <c r="BZ31" s="577">
        <f>COUNTIFS(STATUS!$Q:$Q,$A30,STATUS!$D:$D,BZ$1,STATUS!$U:$U,"ВОЗВРАТ")</f>
        <v>0</v>
      </c>
      <c r="CA31" s="577">
        <f>COUNTIFS(STATUS!$Q:$Q,$A30,STATUS!$D:$D,CA$1,STATUS!$U:$U,"ВОЗВРАТ")</f>
        <v>0</v>
      </c>
      <c r="CB31" s="577">
        <f>COUNTIFS(STATUS!$Q:$Q,$A30,STATUS!$D:$D,CB$1,STATUS!$U:$U,"ВОЗВРАТ")</f>
        <v>0</v>
      </c>
      <c r="CC31" s="578">
        <f>COUNTIFS(STATUS!$Q:$Q,$A30,STATUS!$D:$D,CC$1,STATUS!$U:$U,"ВОЗВРАТ")</f>
        <v>0</v>
      </c>
      <c r="CD31" s="578">
        <f>COUNTIFS(STATUS!$Q:$Q,$A30,STATUS!$D:$D,CD$1,STATUS!$U:$U,"ВОЗВРАТ")</f>
        <v>0</v>
      </c>
      <c r="CE31" s="576">
        <f>SUM(BZ31:CD31)</f>
        <v>0</v>
      </c>
      <c r="CF31" s="577">
        <f>COUNTIFS(STATUS!$Q:$Q,$A30,STATUS!$D:$D,CF$1,STATUS!$U:$U,"ВОЗВРАТ")</f>
        <v>0</v>
      </c>
      <c r="CG31" s="577">
        <f>COUNTIFS(STATUS!$Q:$Q,$A30,STATUS!$D:$D,CG$1,STATUS!$U:$U,"ВОЗВРАТ")</f>
        <v>0</v>
      </c>
      <c r="CH31" s="577">
        <f>COUNTIFS(STATUS!$Q:$Q,$A30,STATUS!$D:$D,CH$1,STATUS!$U:$U,"ВОЗВРАТ")</f>
        <v>0</v>
      </c>
      <c r="CI31" s="578">
        <f>COUNTIFS(STATUS!$Q:$Q,$A30,STATUS!$D:$D,CI$1,STATUS!$U:$U,"ВОЗВРАТ")</f>
        <v>0</v>
      </c>
      <c r="CJ31" s="578">
        <f>COUNTIFS(STATUS!$Q:$Q,$A30,STATUS!$D:$D,CJ$1,STATUS!$U:$U,"ВОЗВРАТ")</f>
        <v>0</v>
      </c>
      <c r="CK31" s="576">
        <f>SUM(CF31:CJ31)</f>
        <v>0</v>
      </c>
      <c r="CL31" s="577">
        <f>COUNTIFS(STATUS!$Q:$Q,$A30,STATUS!$D:$D,CL$1,STATUS!$U:$U,"ВОЗВРАТ")</f>
        <v>0</v>
      </c>
      <c r="CM31" s="577">
        <f>COUNTIFS(STATUS!$Q:$Q,$A30,STATUS!$D:$D,CM$1,STATUS!$U:$U,"ВОЗВРАТ")</f>
        <v>0</v>
      </c>
      <c r="CN31" s="577">
        <f>COUNTIFS(STATUS!$Q:$Q,$A30,STATUS!$D:$D,CN$1,STATUS!$U:$U,"ВОЗВРАТ")</f>
        <v>0</v>
      </c>
      <c r="CO31" s="578">
        <f>COUNTIFS(STATUS!$Q:$Q,$A30,STATUS!$D:$D,CO$1,STATUS!$U:$U,"ВОЗВРАТ")</f>
        <v>0</v>
      </c>
      <c r="CP31" s="578">
        <f>COUNTIFS(STATUS!$Q:$Q,$A30,STATUS!$D:$D,CP$1,STATUS!$U:$U,"ВОЗВРАТ")</f>
        <v>0</v>
      </c>
      <c r="CQ31" s="576">
        <f>SUM(CL31:CP31)</f>
        <v>0</v>
      </c>
      <c r="CR31" s="1243">
        <f>COUNTIFS(STATUS!$Q:$Q,$A30,STATUS!$D:$D,CR$1,STATUS!$U:$U,"ВОЗВРАТ")</f>
        <v>2</v>
      </c>
      <c r="CS31" s="1243">
        <f>COUNTIFS(STATUS!$Q:$Q,$A30,STATUS!$D:$D,CS$1,STATUS!$U:$U,"ВОЗВРАТ")</f>
        <v>0</v>
      </c>
      <c r="CT31" s="1243">
        <f>COUNTIFS(STATUS!$Q:$Q,$A30,STATUS!$D:$D,CT$1,STATUS!$U:$U,"ВОЗВРАТ")</f>
        <v>0</v>
      </c>
      <c r="CU31" s="1244">
        <f>COUNTIFS(STATUS!$Q:$Q,$A30,STATUS!$D:$D,CU$1,STATUS!$U:$U,"ВОЗВРАТ")</f>
        <v>2</v>
      </c>
      <c r="CV31" s="1244">
        <f>COUNTIFS(STATUS!$Q:$Q,$A30,STATUS!$D:$D,CV$1,STATUS!$U:$U,"ВОЗВРАТ")</f>
        <v>1</v>
      </c>
      <c r="CW31" s="572">
        <f>SUM(CR31:CV31)</f>
        <v>5</v>
      </c>
      <c r="CX31" s="1243">
        <f>COUNTIFS(STATUS!$Q:$Q,$A30,STATUS!$D:$D,CX$1,STATUS!$U:$U,"ВОЗВРАТ")</f>
        <v>0</v>
      </c>
      <c r="CY31" s="1243">
        <f>COUNTIFS(STATUS!$Q:$Q,$A30,STATUS!$D:$D,CY$1,STATUS!$U:$U,"ВОЗВРАТ")</f>
        <v>0</v>
      </c>
      <c r="CZ31" s="1243">
        <f>COUNTIFS(STATUS!$Q:$Q,$A30,STATUS!$D:$D,CZ$1,STATUS!$U:$U,"ВОЗВРАТ")</f>
        <v>0</v>
      </c>
      <c r="DA31" s="1244">
        <f>COUNTIFS(STATUS!$Q:$Q,$A30,STATUS!$D:$D,DA$1,STATUS!$U:$U,"ВОЗВРАТ")</f>
        <v>0</v>
      </c>
      <c r="DB31" s="1244">
        <f>COUNTIFS(STATUS!$Q:$Q,$A30,STATUS!$D:$D,DB$1,STATUS!$U:$U,"ВОЗВРАТ")</f>
        <v>0</v>
      </c>
      <c r="DC31" s="576">
        <f>SUM(CX31:DB31)</f>
        <v>0</v>
      </c>
      <c r="DD31" s="1243">
        <f>COUNTIFS(STATUS!$Q:$Q,$A30,STATUS!$D:$D,DD$1,STATUS!$U:$U,"ВОЗВРАТ")</f>
        <v>0</v>
      </c>
      <c r="DE31" s="1243">
        <f>COUNTIFS(STATUS!$Q:$Q,$A30,STATUS!$D:$D,DE$1,STATUS!$U:$U,"ВОЗВРАТ")</f>
        <v>0</v>
      </c>
      <c r="DF31" s="1243">
        <f>COUNTIFS(STATUS!$Q:$Q,$A30,STATUS!$D:$D,DF$1,STATUS!$U:$U,"ВОЗВРАТ")</f>
        <v>0</v>
      </c>
      <c r="DG31" s="1244">
        <f>COUNTIFS(STATUS!$Q:$Q,$A30,STATUS!$D:$D,DG$1,STATUS!$U:$U,"ВОЗВРАТ")</f>
        <v>0</v>
      </c>
      <c r="DH31" s="1244">
        <f>COUNTIFS(STATUS!$Q:$Q,$A30,STATUS!$D:$D,DH$1,STATUS!$U:$U,"ВОЗВРАТ")</f>
        <v>0</v>
      </c>
      <c r="DI31" s="576">
        <f>SUM(DD31:DH31)</f>
        <v>0</v>
      </c>
      <c r="DJ31" s="577">
        <f>COUNTIFS(STATUS!$Q:$Q,$A30,STATUS!$D:$D,DJ$1,STATUS!$U:$U,"ВОЗВРАТ")</f>
        <v>0</v>
      </c>
      <c r="DK31" s="577">
        <f>COUNTIFS(STATUS!$Q:$Q,$A30,STATUS!$D:$D,DK$1,STATUS!$U:$U,"ВОЗВРАТ")</f>
        <v>0</v>
      </c>
      <c r="DL31" s="577">
        <f>COUNTIFS(STATUS!$Q:$Q,$A30,STATUS!$D:$D,DL$1,STATUS!$U:$U,"ВОЗВРАТ")</f>
        <v>0</v>
      </c>
      <c r="DM31" s="578">
        <f>COUNTIFS(STATUS!$Q:$Q,$A30,STATUS!$D:$D,DM$1,STATUS!$U:$U,"ВОЗВРАТ")</f>
        <v>0</v>
      </c>
      <c r="DN31" s="578">
        <f>COUNTIFS(STATUS!$Q:$Q,$A30,STATUS!$D:$D,DN$1,STATUS!$U:$U,"ВОЗВРАТ")</f>
        <v>0</v>
      </c>
      <c r="DO31" s="576">
        <f>SUM(DJ31:DN31)</f>
        <v>0</v>
      </c>
      <c r="DP31" s="577">
        <f>COUNTIFS(STATUS!$Q:$Q,$A30,STATUS!$D:$D,DP$1,STATUS!$U:$U,"ВОЗВРАТ")</f>
        <v>0</v>
      </c>
      <c r="DQ31" s="577">
        <f>COUNTIFS(STATUS!$Q:$Q,$A30,STATUS!$D:$D,DQ$1,STATUS!$U:$U,"ВОЗВРАТ")</f>
        <v>0</v>
      </c>
      <c r="DR31" s="577">
        <f>COUNTIFS(STATUS!$Q:$Q,$A30,STATUS!$D:$D,DR$1,STATUS!$U:$U,"ВОЗВРАТ")</f>
        <v>0</v>
      </c>
      <c r="DS31" s="578">
        <f>COUNTIFS(STATUS!$Q:$Q,$A30,STATUS!$D:$D,DS$1,STATUS!$U:$U,"ВОЗВРАТ")</f>
        <v>0</v>
      </c>
      <c r="DT31" s="578">
        <f>COUNTIFS(STATUS!$Q:$Q,$A30,STATUS!$D:$D,DT$1,STATUS!$U:$U,"ВОЗВРАТ")</f>
        <v>0</v>
      </c>
      <c r="DU31" s="576">
        <f>SUM(DP31:DT31)</f>
        <v>0</v>
      </c>
      <c r="DV31" s="577">
        <f>COUNTIFS(STATUS!$Q:$Q,$A30,STATUS!$D:$D,DV$1,STATUS!$U:$U,"ВОЗВРАТ")</f>
        <v>0</v>
      </c>
      <c r="DW31" s="577">
        <f>COUNTIFS(STATUS!$Q:$Q,$A30,STATUS!$D:$D,DW$1,STATUS!$U:$U,"ВОЗВРАТ")</f>
        <v>0</v>
      </c>
      <c r="DX31" s="577">
        <f>COUNTIFS(STATUS!$Q:$Q,$A30,STATUS!$D:$D,DX$1,STATUS!$U:$U,"ВОЗВРАТ")</f>
        <v>0</v>
      </c>
      <c r="DY31" s="578">
        <f>COUNTIFS(STATUS!$Q:$Q,$A30,STATUS!$D:$D,DY$1,STATUS!$U:$U,"ВОЗВРАТ")</f>
        <v>0</v>
      </c>
      <c r="DZ31" s="578">
        <f>COUNTIFS(STATUS!$Q:$Q,$A30,STATUS!$D:$D,DZ$1,STATUS!$U:$U,"ВОЗВРАТ")</f>
        <v>0</v>
      </c>
      <c r="EA31" s="576">
        <f>SUM(DV31:DZ31)</f>
        <v>0</v>
      </c>
      <c r="EB31" s="577">
        <f>COUNTIFS(STATUS!$Q:$Q,$A30,STATUS!$D:$D,EB$1,STATUS!$U:$U,"ВОЗВРАТ")</f>
        <v>0</v>
      </c>
      <c r="EC31" s="577">
        <f>COUNTIFS(STATUS!$Q:$Q,$A30,STATUS!$D:$D,EC$1,STATUS!$U:$U,"ВОЗВРАТ")</f>
        <v>0</v>
      </c>
      <c r="ED31" s="577">
        <f>COUNTIFS(STATUS!$Q:$Q,$A30,STATUS!$D:$D,ED$1,STATUS!$U:$U,"ВОЗВРАТ")</f>
        <v>0</v>
      </c>
      <c r="EE31" s="578">
        <f>COUNTIFS(STATUS!$Q:$Q,$A30,STATUS!$D:$D,EE$1,STATUS!$U:$U,"ВОЗВРАТ")</f>
        <v>0</v>
      </c>
      <c r="EF31" s="578">
        <f>COUNTIFS(STATUS!$Q:$Q,$A30,STATUS!$D:$D,EF$1,STATUS!$U:$U,"ВОЗВРАТ")</f>
        <v>0</v>
      </c>
      <c r="EG31" s="576">
        <f>SUM(EB31:EF31)</f>
        <v>0</v>
      </c>
      <c r="EH31" s="577">
        <f>COUNTIFS(STATUS!$Q:$Q,$A30,STATUS!$D:$D,EH$1,STATUS!$U:$U,"ВОЗВРАТ")</f>
        <v>0</v>
      </c>
      <c r="EI31" s="577">
        <f>COUNTIFS(STATUS!$Q:$Q,$A30,STATUS!$D:$D,EI$1,STATUS!$U:$U,"ВОЗВРАТ")</f>
        <v>0</v>
      </c>
      <c r="EJ31" s="577">
        <f>COUNTIFS(STATUS!$Q:$Q,$A30,STATUS!$D:$D,EJ$1,STATUS!$U:$U,"ВОЗВРАТ")</f>
        <v>0</v>
      </c>
      <c r="EK31" s="578">
        <f>COUNTIFS(STATUS!$Q:$Q,$A30,STATUS!$D:$D,EK$1,STATUS!$U:$U,"ВОЗВРАТ")</f>
        <v>0</v>
      </c>
      <c r="EL31" s="578">
        <f>COUNTIFS(STATUS!$Q:$Q,$A30,STATUS!$D:$D,EL$1,STATUS!$U:$U,"ВОЗВРАТ")</f>
        <v>0</v>
      </c>
      <c r="EM31" s="576">
        <f>SUM(EH31:EL31)</f>
        <v>0</v>
      </c>
      <c r="EN31" s="577">
        <f>COUNTIFS(STATUS!$Q:$Q,$A30,STATUS!$D:$D,EN$1,STATUS!$U:$U,"ВОЗВРАТ")</f>
        <v>0</v>
      </c>
      <c r="EO31" s="577">
        <f>COUNTIFS(STATUS!$Q:$Q,$A30,STATUS!$D:$D,EO$1,STATUS!$U:$U,"ВОЗВРАТ")</f>
        <v>0</v>
      </c>
      <c r="EP31" s="577">
        <f>COUNTIFS(STATUS!$Q:$Q,$A30,STATUS!$D:$D,EP$1,STATUS!$U:$U,"ВОЗВРАТ")</f>
        <v>0</v>
      </c>
      <c r="EQ31" s="578">
        <f>COUNTIFS(STATUS!$Q:$Q,$A30,STATUS!$D:$D,EQ$1,STATUS!$U:$U,"ВОЗВРАТ")</f>
        <v>0</v>
      </c>
      <c r="ER31" s="578">
        <f>COUNTIFS(STATUS!$Q:$Q,$A30,STATUS!$D:$D,ER$1,STATUS!$U:$U,"ВОЗВРАТ")</f>
        <v>0</v>
      </c>
      <c r="ES31" s="576">
        <f>SUM(EN31:ER31)</f>
        <v>0</v>
      </c>
      <c r="ET31" s="577">
        <f>COUNTIFS(STATUS!$Q:$Q,$A30,STATUS!$D:$D,ET$1,STATUS!$U:$U,"ВОЗВРАТ")</f>
        <v>0</v>
      </c>
      <c r="EU31" s="577">
        <f>COUNTIFS(STATUS!$Q:$Q,$A30,STATUS!$D:$D,EU$1,STATUS!$U:$U,"ВОЗВРАТ")</f>
        <v>0</v>
      </c>
      <c r="EV31" s="577">
        <f>COUNTIFS(STATUS!$Q:$Q,$A30,STATUS!$D:$D,EV$1,STATUS!$U:$U,"ВОЗВРАТ")</f>
        <v>0</v>
      </c>
      <c r="EW31" s="578">
        <f>COUNTIFS(STATUS!$Q:$Q,$A30,STATUS!$D:$D,EW$1,STATUS!$U:$U,"ВОЗВРАТ")</f>
        <v>0</v>
      </c>
      <c r="EX31" s="578">
        <f>COUNTIFS(STATUS!$Q:$Q,$A30,STATUS!$D:$D,EX$1,STATUS!$U:$U,"ВОЗВРАТ")</f>
        <v>0</v>
      </c>
      <c r="EY31" s="576">
        <f>SUM(ET31:EX31)</f>
        <v>0</v>
      </c>
      <c r="EZ31" s="577">
        <f>COUNTIFS(STATUS!$Q:$Q,$A30,STATUS!$D:$D,EZ$1,STATUS!$U:$U,"ВОЗВРАТ")</f>
        <v>0</v>
      </c>
      <c r="FA31" s="577">
        <f>COUNTIFS(STATUS!$Q:$Q,$A30,STATUS!$D:$D,FA$1,STATUS!$U:$U,"ВОЗВРАТ")</f>
        <v>0</v>
      </c>
      <c r="FB31" s="577">
        <f>COUNTIFS(STATUS!$Q:$Q,$A30,STATUS!$D:$D,FB$1,STATUS!$U:$U,"ВОЗВРАТ")</f>
        <v>0</v>
      </c>
      <c r="FC31" s="578">
        <f>COUNTIFS(STATUS!$Q:$Q,$A30,STATUS!$D:$D,FC$1,STATUS!$U:$U,"ВОЗВРАТ")</f>
        <v>0</v>
      </c>
      <c r="FD31" s="578">
        <f>COUNTIFS(STATUS!$Q:$Q,$A30,STATUS!$D:$D,FD$1,STATUS!$U:$U,"ВОЗВРАТ")</f>
        <v>0</v>
      </c>
      <c r="FE31" s="576">
        <f>SUM(EZ31:FD31)</f>
        <v>0</v>
      </c>
      <c r="FF31" s="577">
        <f>COUNTIFS(STATUS!$Q:$Q,$A30,STATUS!$D:$D,FF$1,STATUS!$U:$U,"ВОЗВРАТ")</f>
        <v>0</v>
      </c>
      <c r="FG31" s="577">
        <f>COUNTIFS(STATUS!$Q:$Q,$A30,STATUS!$D:$D,FG$1,STATUS!$U:$U,"ВОЗВРАТ")</f>
        <v>0</v>
      </c>
      <c r="FH31" s="577">
        <f>COUNTIFS(STATUS!$Q:$Q,$A30,STATUS!$D:$D,FH$1,STATUS!$U:$U,"ВОЗВРАТ")</f>
        <v>0</v>
      </c>
      <c r="FI31" s="578">
        <f>COUNTIFS(STATUS!$Q:$Q,$A30,STATUS!$D:$D,FI$1,STATUS!$U:$U,"ВОЗВРАТ")</f>
        <v>0</v>
      </c>
      <c r="FJ31" s="578">
        <f>COUNTIFS(STATUS!$Q:$Q,$A30,STATUS!$D:$D,FJ$1,STATUS!$U:$U,"ВОЗВРАТ")</f>
        <v>0</v>
      </c>
      <c r="FK31" s="576">
        <f>SUM(FF31:FJ31)</f>
        <v>0</v>
      </c>
      <c r="FL31" s="577">
        <f>COUNTIFS(STATUS!$Q:$Q,$A30,STATUS!$D:$D,FL$1,STATUS!$U:$U,"ВОЗВРАТ")</f>
        <v>0</v>
      </c>
      <c r="FM31" s="577">
        <f>COUNTIFS(STATUS!$Q:$Q,$A30,STATUS!$D:$D,FM$1,STATUS!$U:$U,"ВОЗВРАТ")</f>
        <v>0</v>
      </c>
      <c r="FN31" s="577">
        <f>COUNTIFS(STATUS!$Q:$Q,$A30,STATUS!$D:$D,FN$1,STATUS!$U:$U,"ВОЗВРАТ")</f>
        <v>0</v>
      </c>
      <c r="FO31" s="578">
        <f>COUNTIFS(STATUS!$Q:$Q,$A30,STATUS!$D:$D,FO$1,STATUS!$U:$U,"ВОЗВРАТ")</f>
        <v>0</v>
      </c>
      <c r="FP31" s="578">
        <f>COUNTIFS(STATUS!$Q:$Q,$A30,STATUS!$D:$D,FP$1,STATUS!$U:$U,"ВОЗВРАТ")</f>
        <v>0</v>
      </c>
      <c r="FQ31" s="576">
        <f>SUM(FL31:FP31)</f>
        <v>0</v>
      </c>
      <c r="FR31" s="577">
        <f>COUNTIFS(STATUS!$Q:$Q,$A30,STATUS!$D:$D,FR$1,STATUS!$U:$U,"ВОЗВРАТ")</f>
        <v>0</v>
      </c>
      <c r="FS31" s="577">
        <f>COUNTIFS(STATUS!$Q:$Q,$A30,STATUS!$D:$D,FS$1,STATUS!$U:$U,"ВОЗВРАТ")</f>
        <v>0</v>
      </c>
      <c r="FT31" s="577">
        <f>COUNTIFS(STATUS!$Q:$Q,$A30,STATUS!$D:$D,FT$1,STATUS!$U:$U,"ВОЗВРАТ")</f>
        <v>0</v>
      </c>
      <c r="FU31" s="578">
        <f>COUNTIFS(STATUS!$Q:$Q,$A30,STATUS!$D:$D,FU$1,STATUS!$U:$U,"ВОЗВРАТ")</f>
        <v>0</v>
      </c>
      <c r="FV31" s="578">
        <f>COUNTIFS(STATUS!$Q:$Q,$A30,STATUS!$D:$D,FV$1,STATUS!$U:$U,"ВОЗВРАТ")</f>
        <v>0</v>
      </c>
      <c r="FW31" s="576">
        <f>SUM(FR31:FV31)</f>
        <v>0</v>
      </c>
      <c r="FX31" s="577">
        <f>COUNTIFS(STATUS!$Q:$Q,$A30,STATUS!$D:$D,FX$1,STATUS!$U:$U,"ВОЗВРАТ")</f>
        <v>0</v>
      </c>
      <c r="FY31" s="577">
        <f>COUNTIFS(STATUS!$Q:$Q,$A30,STATUS!$D:$D,FY$1,STATUS!$U:$U,"ВОЗВРАТ")</f>
        <v>0</v>
      </c>
      <c r="FZ31" s="577">
        <f>COUNTIFS(STATUS!$Q:$Q,$A30,STATUS!$D:$D,FZ$1,STATUS!$U:$U,"ВОЗВРАТ")</f>
        <v>0</v>
      </c>
      <c r="GA31" s="578">
        <f>COUNTIFS(STATUS!$Q:$Q,$A30,STATUS!$D:$D,GA$1,STATUS!$U:$U,"ВОЗВРАТ")</f>
        <v>0</v>
      </c>
      <c r="GB31" s="578">
        <f>COUNTIFS(STATUS!$Q:$Q,$A30,STATUS!$D:$D,GB$1,STATUS!$U:$U,"ВОЗВРАТ")</f>
        <v>0</v>
      </c>
      <c r="GC31" s="576">
        <f>SUM(FX31:GB31)</f>
        <v>0</v>
      </c>
      <c r="GD31" s="577">
        <f>COUNTIFS(STATUS!$Q:$Q,$A30,STATUS!$D:$D,GD$1,STATUS!$U:$U,"ВОЗВРАТ")</f>
        <v>0</v>
      </c>
      <c r="GE31" s="577">
        <f>COUNTIFS(STATUS!$Q:$Q,$A30,STATUS!$D:$D,GE$1,STATUS!$U:$U,"ВОЗВРАТ")</f>
        <v>0</v>
      </c>
      <c r="GF31" s="577">
        <f>COUNTIFS(STATUS!$Q:$Q,$A30,STATUS!$D:$D,GF$1,STATUS!$U:$U,"ВОЗВРАТ")</f>
        <v>0</v>
      </c>
      <c r="GG31" s="578">
        <f>COUNTIFS(STATUS!$Q:$Q,$A30,STATUS!$D:$D,GG$1,STATUS!$U:$U,"ВОЗВРАТ")</f>
        <v>0</v>
      </c>
      <c r="GH31" s="578">
        <f>COUNTIFS(STATUS!$Q:$Q,$A30,STATUS!$D:$D,GH$1,STATUS!$U:$U,"ВОЗВРАТ")</f>
        <v>0</v>
      </c>
      <c r="GI31" s="576">
        <f>SUM(GD31:GH31)</f>
        <v>0</v>
      </c>
      <c r="GJ31" s="577">
        <f>COUNTIFS(STATUS!$Q:$Q,$A30,STATUS!$D:$D,GJ$1,STATUS!$U:$U,"ВОЗВРАТ")</f>
        <v>0</v>
      </c>
      <c r="GK31" s="577">
        <f>COUNTIFS(STATUS!$Q:$Q,$A30,STATUS!$D:$D,GK$1,STATUS!$U:$U,"ВОЗВРАТ")</f>
        <v>0</v>
      </c>
      <c r="GL31" s="577">
        <f>COUNTIFS(STATUS!$Q:$Q,$A30,STATUS!$D:$D,GL$1,STATUS!$U:$U,"ВОЗВРАТ")</f>
        <v>0</v>
      </c>
      <c r="GM31" s="578">
        <f>COUNTIFS(STATUS!$Q:$Q,$A30,STATUS!$D:$D,GM$1,STATUS!$U:$U,"ВОЗВРАТ")</f>
        <v>0</v>
      </c>
      <c r="GN31" s="578">
        <f>COUNTIFS(STATUS!$Q:$Q,$A30,STATUS!$D:$D,GN$1,STATUS!$U:$U,"ВОЗВРАТ")</f>
        <v>0</v>
      </c>
      <c r="GO31" s="576">
        <f>SUM(GJ31:GN31)</f>
        <v>0</v>
      </c>
      <c r="GP31" s="577">
        <f>COUNTIFS(STATUS!$Q:$Q,$A30,STATUS!$D:$D,GP$1,STATUS!$U:$U,"ВОЗВРАТ")</f>
        <v>0</v>
      </c>
      <c r="GQ31" s="577">
        <f>COUNTIFS(STATUS!$Q:$Q,$A30,STATUS!$D:$D,GQ$1,STATUS!$U:$U,"ВОЗВРАТ")</f>
        <v>0</v>
      </c>
      <c r="GR31" s="577">
        <f>COUNTIFS(STATUS!$Q:$Q,$A30,STATUS!$D:$D,GR$1,STATUS!$U:$U,"ВОЗВРАТ")</f>
        <v>0</v>
      </c>
      <c r="GS31" s="578">
        <f>COUNTIFS(STATUS!$Q:$Q,$A30,STATUS!$D:$D,GS$1,STATUS!$U:$U,"ВОЗВРАТ")</f>
        <v>0</v>
      </c>
      <c r="GT31" s="578">
        <f>COUNTIFS(STATUS!$Q:$Q,$A30,STATUS!$D:$D,GT$1,STATUS!$U:$U,"ВОЗВРАТ")</f>
        <v>0</v>
      </c>
      <c r="GU31" s="576">
        <f>SUM(GP31:GT31)</f>
        <v>0</v>
      </c>
      <c r="GV31" s="577">
        <f>COUNTIFS(STATUS!$Q:$Q,$A30,STATUS!$D:$D,GV$1,STATUS!$U:$U,"ВОЗВРАТ")</f>
        <v>0</v>
      </c>
      <c r="GW31" s="577">
        <f>COUNTIFS(STATUS!$Q:$Q,$A30,STATUS!$D:$D,GW$1,STATUS!$U:$U,"ВОЗВРАТ")</f>
        <v>0</v>
      </c>
      <c r="GX31" s="577">
        <f>COUNTIFS(STATUS!$Q:$Q,$A30,STATUS!$D:$D,GX$1,STATUS!$U:$U,"ВОЗВРАТ")</f>
        <v>0</v>
      </c>
      <c r="GY31" s="578">
        <f>COUNTIFS(STATUS!$Q:$Q,$A30,STATUS!$D:$D,GY$1,STATUS!$U:$U,"ВОЗВРАТ")</f>
        <v>0</v>
      </c>
      <c r="GZ31" s="578">
        <f>COUNTIFS(STATUS!$Q:$Q,$A30,STATUS!$D:$D,GZ$1,STATUS!$U:$U,"ВОЗВРАТ")</f>
        <v>0</v>
      </c>
      <c r="HA31" s="576">
        <f>SUM(GV31:GZ31)</f>
        <v>0</v>
      </c>
    </row>
    <row r="32" spans="1:209" ht="21.6" thickBot="1" x14ac:dyDescent="0.35">
      <c r="A32" s="1557"/>
      <c r="B32" s="434">
        <f>IFERROR(B31/B30,0)</f>
        <v>0.2</v>
      </c>
      <c r="C32" s="579">
        <f>IFERROR(C31/C30,0)</f>
        <v>0</v>
      </c>
      <c r="D32" s="579">
        <f t="shared" ref="D32:S32" si="400">IFERROR(D31/D30,0)</f>
        <v>0</v>
      </c>
      <c r="E32" s="579">
        <f t="shared" si="400"/>
        <v>0</v>
      </c>
      <c r="F32" s="579">
        <f t="shared" si="400"/>
        <v>0</v>
      </c>
      <c r="G32" s="580">
        <f t="shared" si="400"/>
        <v>0</v>
      </c>
      <c r="H32" s="581">
        <f t="shared" si="400"/>
        <v>0</v>
      </c>
      <c r="I32" s="444">
        <f t="shared" si="400"/>
        <v>0</v>
      </c>
      <c r="J32" s="397">
        <f t="shared" si="400"/>
        <v>0</v>
      </c>
      <c r="K32" s="397">
        <f t="shared" si="400"/>
        <v>0</v>
      </c>
      <c r="L32" s="397">
        <f t="shared" si="400"/>
        <v>0</v>
      </c>
      <c r="M32" s="441">
        <f t="shared" si="400"/>
        <v>0</v>
      </c>
      <c r="N32" s="573">
        <f t="shared" si="400"/>
        <v>0</v>
      </c>
      <c r="O32" s="444">
        <f t="shared" si="400"/>
        <v>0</v>
      </c>
      <c r="P32" s="397">
        <f t="shared" si="400"/>
        <v>0</v>
      </c>
      <c r="Q32" s="397">
        <f t="shared" si="400"/>
        <v>0</v>
      </c>
      <c r="R32" s="573">
        <f t="shared" si="400"/>
        <v>0</v>
      </c>
      <c r="S32" s="397">
        <f t="shared" si="400"/>
        <v>0</v>
      </c>
      <c r="T32" s="397">
        <f>IFERROR(T31/T30,0)</f>
        <v>0</v>
      </c>
      <c r="U32" s="397">
        <f>IFERROR(U31/U30,0)</f>
        <v>0</v>
      </c>
      <c r="V32" s="441">
        <f t="shared" ref="V32:W32" si="401">IFERROR(V31/V30,0)</f>
        <v>0</v>
      </c>
      <c r="W32" s="573">
        <f t="shared" si="401"/>
        <v>0</v>
      </c>
      <c r="X32" s="397">
        <f>IFERROR(X31/X30,0)</f>
        <v>0</v>
      </c>
      <c r="Y32" s="397">
        <f>IFERROR(Y31/Y30,0)</f>
        <v>0</v>
      </c>
      <c r="Z32" s="397">
        <f>IFERROR(Z31/Z30,0)</f>
        <v>0</v>
      </c>
      <c r="AA32" s="441">
        <f t="shared" ref="AA32:AB32" si="402">IFERROR(AA31/AA30,0)</f>
        <v>0</v>
      </c>
      <c r="AB32" s="441">
        <f t="shared" si="402"/>
        <v>0</v>
      </c>
      <c r="AC32" s="573">
        <f>IFERROR(AC31/AC30,0)</f>
        <v>0</v>
      </c>
      <c r="AD32" s="397">
        <f>IFERROR(AD31/AD30,0)</f>
        <v>0</v>
      </c>
      <c r="AE32" s="397">
        <f>IFERROR(AE31/AE30,0)</f>
        <v>0</v>
      </c>
      <c r="AF32" s="397">
        <f>IFERROR(AF31/AF30,0)</f>
        <v>0</v>
      </c>
      <c r="AG32" s="441">
        <f t="shared" ref="AG32:AH32" si="403">IFERROR(AG31/AG30,0)</f>
        <v>0</v>
      </c>
      <c r="AH32" s="441">
        <f t="shared" si="403"/>
        <v>0</v>
      </c>
      <c r="AI32" s="573">
        <f>IFERROR(AI31/AI30,0)</f>
        <v>0</v>
      </c>
      <c r="AJ32" s="397">
        <f>IFERROR(AJ31/AJ30,0)</f>
        <v>0</v>
      </c>
      <c r="AK32" s="397">
        <f>IFERROR(AK31/AK30,0)</f>
        <v>0</v>
      </c>
      <c r="AL32" s="397">
        <f>IFERROR(AL31/AL30,0)</f>
        <v>0</v>
      </c>
      <c r="AM32" s="441">
        <f t="shared" ref="AM32:AN32" si="404">IFERROR(AM31/AM30,0)</f>
        <v>0</v>
      </c>
      <c r="AN32" s="441">
        <f t="shared" si="404"/>
        <v>0</v>
      </c>
      <c r="AO32" s="573">
        <f>IFERROR(AO31/AO30,0)</f>
        <v>0</v>
      </c>
      <c r="AP32" s="397">
        <f>IFERROR(AP31/AP30,0)</f>
        <v>0</v>
      </c>
      <c r="AQ32" s="397">
        <f>IFERROR(AQ31/AQ30,0)</f>
        <v>0</v>
      </c>
      <c r="AR32" s="397">
        <f>IFERROR(AR31/AR30,0)</f>
        <v>0</v>
      </c>
      <c r="AS32" s="441">
        <f t="shared" ref="AS32:AT32" si="405">IFERROR(AS31/AS30,0)</f>
        <v>0</v>
      </c>
      <c r="AT32" s="441">
        <f t="shared" si="405"/>
        <v>0</v>
      </c>
      <c r="AU32" s="573">
        <f>IFERROR(AU31/AU30,0)</f>
        <v>0</v>
      </c>
      <c r="AV32" s="397">
        <f>IFERROR(AV31/AV30,0)</f>
        <v>0</v>
      </c>
      <c r="AW32" s="397">
        <f>IFERROR(AW31/AW30,0)</f>
        <v>0</v>
      </c>
      <c r="AX32" s="397">
        <f>IFERROR(AX31/AX30,0)</f>
        <v>0</v>
      </c>
      <c r="AY32" s="441">
        <f t="shared" ref="AY32:AZ32" si="406">IFERROR(AY31/AY30,0)</f>
        <v>0</v>
      </c>
      <c r="AZ32" s="441">
        <f t="shared" si="406"/>
        <v>0</v>
      </c>
      <c r="BA32" s="573">
        <f>IFERROR(BA31/BA30,0)</f>
        <v>0</v>
      </c>
      <c r="BB32" s="397">
        <f>IFERROR(BB31/BB30,0)</f>
        <v>0</v>
      </c>
      <c r="BC32" s="397">
        <f>IFERROR(BC31/BC30,0)</f>
        <v>0</v>
      </c>
      <c r="BD32" s="397">
        <f>IFERROR(BD31/BD30,0)</f>
        <v>0</v>
      </c>
      <c r="BE32" s="441">
        <f t="shared" ref="BE32:BF32" si="407">IFERROR(BE31/BE30,0)</f>
        <v>0</v>
      </c>
      <c r="BF32" s="441">
        <f t="shared" si="407"/>
        <v>0</v>
      </c>
      <c r="BG32" s="573">
        <f>IFERROR(BG31/BG30,0)</f>
        <v>0</v>
      </c>
      <c r="BH32" s="397">
        <f>IFERROR(BH31/BH30,0)</f>
        <v>0</v>
      </c>
      <c r="BI32" s="397">
        <f>IFERROR(BI31/BI30,0)</f>
        <v>0</v>
      </c>
      <c r="BJ32" s="397">
        <f>IFERROR(BJ31/BJ30,0)</f>
        <v>0</v>
      </c>
      <c r="BK32" s="441">
        <f t="shared" ref="BK32:BL32" si="408">IFERROR(BK31/BK30,0)</f>
        <v>0</v>
      </c>
      <c r="BL32" s="441">
        <f t="shared" si="408"/>
        <v>0</v>
      </c>
      <c r="BM32" s="573">
        <f>IFERROR(BM31/BM30,0)</f>
        <v>0</v>
      </c>
      <c r="BN32" s="397">
        <f>IFERROR(BN31/BN30,0)</f>
        <v>0</v>
      </c>
      <c r="BO32" s="397">
        <f>IFERROR(BO31/BO30,0)</f>
        <v>0</v>
      </c>
      <c r="BP32" s="397">
        <f>IFERROR(BP31/BP30,0)</f>
        <v>0</v>
      </c>
      <c r="BQ32" s="441">
        <f t="shared" ref="BQ32:BR32" si="409">IFERROR(BQ31/BQ30,0)</f>
        <v>0</v>
      </c>
      <c r="BR32" s="441">
        <f t="shared" si="409"/>
        <v>0</v>
      </c>
      <c r="BS32" s="573">
        <f>IFERROR(BS31/BS30,0)</f>
        <v>0</v>
      </c>
      <c r="BT32" s="397">
        <f>IFERROR(BT31/BT30,0)</f>
        <v>0</v>
      </c>
      <c r="BU32" s="397">
        <f>IFERROR(BU31/BU30,0)</f>
        <v>0</v>
      </c>
      <c r="BV32" s="397">
        <f>IFERROR(BV31/BV30,0)</f>
        <v>0</v>
      </c>
      <c r="BW32" s="441">
        <f t="shared" ref="BW32:BX32" si="410">IFERROR(BW31/BW30,0)</f>
        <v>0</v>
      </c>
      <c r="BX32" s="441">
        <f t="shared" si="410"/>
        <v>0</v>
      </c>
      <c r="BY32" s="573">
        <f>IFERROR(BY31/BY30,0)</f>
        <v>0</v>
      </c>
      <c r="BZ32" s="397">
        <f>IFERROR(BZ31/BZ30,0)</f>
        <v>0</v>
      </c>
      <c r="CA32" s="397">
        <f>IFERROR(CA31/CA30,0)</f>
        <v>0</v>
      </c>
      <c r="CB32" s="397">
        <f>IFERROR(CB31/CB30,0)</f>
        <v>0</v>
      </c>
      <c r="CC32" s="441">
        <f t="shared" ref="CC32:CD32" si="411">IFERROR(CC31/CC30,0)</f>
        <v>0</v>
      </c>
      <c r="CD32" s="441">
        <f t="shared" si="411"/>
        <v>0</v>
      </c>
      <c r="CE32" s="573">
        <f>IFERROR(CE31/CE30,0)</f>
        <v>0</v>
      </c>
      <c r="CF32" s="397">
        <f>IFERROR(CF31/CF30,0)</f>
        <v>0</v>
      </c>
      <c r="CG32" s="397">
        <f>IFERROR(CG31/CG30,0)</f>
        <v>0</v>
      </c>
      <c r="CH32" s="397">
        <f>IFERROR(CH31/CH30,0)</f>
        <v>0</v>
      </c>
      <c r="CI32" s="441">
        <f t="shared" ref="CI32:CJ32" si="412">IFERROR(CI31/CI30,0)</f>
        <v>0</v>
      </c>
      <c r="CJ32" s="441">
        <f t="shared" si="412"/>
        <v>0</v>
      </c>
      <c r="CK32" s="573">
        <f>IFERROR(CK31/CK30,0)</f>
        <v>0</v>
      </c>
      <c r="CL32" s="397">
        <f>IFERROR(CL31/CL30,0)</f>
        <v>0</v>
      </c>
      <c r="CM32" s="397">
        <f>IFERROR(CM31/CM30,0)</f>
        <v>0</v>
      </c>
      <c r="CN32" s="397">
        <f>IFERROR(CN31/CN30,0)</f>
        <v>0</v>
      </c>
      <c r="CO32" s="441">
        <f t="shared" ref="CO32:CP32" si="413">IFERROR(CO31/CO30,0)</f>
        <v>0</v>
      </c>
      <c r="CP32" s="441">
        <f t="shared" si="413"/>
        <v>0</v>
      </c>
      <c r="CQ32" s="573">
        <f>IFERROR(CQ31/CQ30,0)</f>
        <v>0</v>
      </c>
      <c r="CR32" s="397">
        <f>IFERROR(CR31/CR30,0)</f>
        <v>0.33333333333333331</v>
      </c>
      <c r="CS32" s="397">
        <f>IFERROR(CS31/CS30,0)</f>
        <v>0</v>
      </c>
      <c r="CT32" s="397">
        <f>IFERROR(CT31/CT30,0)</f>
        <v>0</v>
      </c>
      <c r="CU32" s="441">
        <f t="shared" ref="CU32:CV32" si="414">IFERROR(CU31/CU30,0)</f>
        <v>0.4</v>
      </c>
      <c r="CV32" s="441">
        <f t="shared" si="414"/>
        <v>0.2</v>
      </c>
      <c r="CW32" s="573">
        <f>IFERROR(CW31/CW30,0)</f>
        <v>0.2</v>
      </c>
      <c r="CX32" s="397">
        <f>IFERROR(CX31/CX30,0)</f>
        <v>0</v>
      </c>
      <c r="CY32" s="397">
        <f>IFERROR(CY31/CY30,0)</f>
        <v>0</v>
      </c>
      <c r="CZ32" s="397">
        <f>IFERROR(CZ31/CZ30,0)</f>
        <v>0</v>
      </c>
      <c r="DA32" s="441">
        <f t="shared" ref="DA32:DB32" si="415">IFERROR(DA31/DA30,0)</f>
        <v>0</v>
      </c>
      <c r="DB32" s="441">
        <f t="shared" si="415"/>
        <v>0</v>
      </c>
      <c r="DC32" s="573">
        <f>IFERROR(DC31/DC30,0)</f>
        <v>0</v>
      </c>
      <c r="DD32" s="397">
        <f>IFERROR(DD31/DD30,0)</f>
        <v>0</v>
      </c>
      <c r="DE32" s="397">
        <f>IFERROR(DE31/DE30,0)</f>
        <v>0</v>
      </c>
      <c r="DF32" s="397">
        <f>IFERROR(DF31/DF30,0)</f>
        <v>0</v>
      </c>
      <c r="DG32" s="441">
        <f t="shared" ref="DG32:DH32" si="416">IFERROR(DG31/DG30,0)</f>
        <v>0</v>
      </c>
      <c r="DH32" s="441">
        <f t="shared" si="416"/>
        <v>0</v>
      </c>
      <c r="DI32" s="573">
        <f>IFERROR(DI31/DI30,0)</f>
        <v>0</v>
      </c>
      <c r="DJ32" s="397">
        <f>IFERROR(DJ31/DJ30,0)</f>
        <v>0</v>
      </c>
      <c r="DK32" s="397">
        <f>IFERROR(DK31/DK30,0)</f>
        <v>0</v>
      </c>
      <c r="DL32" s="397">
        <f>IFERROR(DL31/DL30,0)</f>
        <v>0</v>
      </c>
      <c r="DM32" s="441">
        <f t="shared" ref="DM32:DN32" si="417">IFERROR(DM31/DM30,0)</f>
        <v>0</v>
      </c>
      <c r="DN32" s="441">
        <f t="shared" si="417"/>
        <v>0</v>
      </c>
      <c r="DO32" s="573">
        <f>IFERROR(DO31/DO30,0)</f>
        <v>0</v>
      </c>
      <c r="DP32" s="397">
        <f>IFERROR(DP31/DP30,0)</f>
        <v>0</v>
      </c>
      <c r="DQ32" s="397">
        <f>IFERROR(DQ31/DQ30,0)</f>
        <v>0</v>
      </c>
      <c r="DR32" s="397">
        <f>IFERROR(DR31/DR30,0)</f>
        <v>0</v>
      </c>
      <c r="DS32" s="441">
        <f t="shared" ref="DS32:DT32" si="418">IFERROR(DS31/DS30,0)</f>
        <v>0</v>
      </c>
      <c r="DT32" s="441">
        <f t="shared" si="418"/>
        <v>0</v>
      </c>
      <c r="DU32" s="573">
        <f>IFERROR(DU31/DU30,0)</f>
        <v>0</v>
      </c>
      <c r="DV32" s="397">
        <f>IFERROR(DV31/DV30,0)</f>
        <v>0</v>
      </c>
      <c r="DW32" s="397">
        <f>IFERROR(DW31/DW30,0)</f>
        <v>0</v>
      </c>
      <c r="DX32" s="397">
        <f>IFERROR(DX31/DX30,0)</f>
        <v>0</v>
      </c>
      <c r="DY32" s="441">
        <f t="shared" ref="DY32:DZ32" si="419">IFERROR(DY31/DY30,0)</f>
        <v>0</v>
      </c>
      <c r="DZ32" s="441">
        <f t="shared" si="419"/>
        <v>0</v>
      </c>
      <c r="EA32" s="573">
        <f>IFERROR(EA31/EA30,0)</f>
        <v>0</v>
      </c>
      <c r="EB32" s="397">
        <f>IFERROR(EB31/EB30,0)</f>
        <v>0</v>
      </c>
      <c r="EC32" s="397">
        <f>IFERROR(EC31/EC30,0)</f>
        <v>0</v>
      </c>
      <c r="ED32" s="397">
        <f>IFERROR(ED31/ED30,0)</f>
        <v>0</v>
      </c>
      <c r="EE32" s="441">
        <f t="shared" ref="EE32:EF32" si="420">IFERROR(EE31/EE30,0)</f>
        <v>0</v>
      </c>
      <c r="EF32" s="441">
        <f t="shared" si="420"/>
        <v>0</v>
      </c>
      <c r="EG32" s="573">
        <f>IFERROR(EG31/EG30,0)</f>
        <v>0</v>
      </c>
      <c r="EH32" s="397">
        <f>IFERROR(EH31/EH30,0)</f>
        <v>0</v>
      </c>
      <c r="EI32" s="397">
        <f>IFERROR(EI31/EI30,0)</f>
        <v>0</v>
      </c>
      <c r="EJ32" s="397">
        <f>IFERROR(EJ31/EJ30,0)</f>
        <v>0</v>
      </c>
      <c r="EK32" s="441">
        <f t="shared" ref="EK32:EL32" si="421">IFERROR(EK31/EK30,0)</f>
        <v>0</v>
      </c>
      <c r="EL32" s="441">
        <f t="shared" si="421"/>
        <v>0</v>
      </c>
      <c r="EM32" s="573">
        <f>IFERROR(EM31/EM30,0)</f>
        <v>0</v>
      </c>
      <c r="EN32" s="397">
        <f>IFERROR(EN31/EN30,0)</f>
        <v>0</v>
      </c>
      <c r="EO32" s="397">
        <f>IFERROR(EO31/EO30,0)</f>
        <v>0</v>
      </c>
      <c r="EP32" s="397">
        <f>IFERROR(EP31/EP30,0)</f>
        <v>0</v>
      </c>
      <c r="EQ32" s="441">
        <f t="shared" ref="EQ32:ER32" si="422">IFERROR(EQ31/EQ30,0)</f>
        <v>0</v>
      </c>
      <c r="ER32" s="441">
        <f t="shared" si="422"/>
        <v>0</v>
      </c>
      <c r="ES32" s="573">
        <f>IFERROR(ES31/ES30,0)</f>
        <v>0</v>
      </c>
      <c r="ET32" s="397">
        <f>IFERROR(ET31/ET30,0)</f>
        <v>0</v>
      </c>
      <c r="EU32" s="397">
        <f>IFERROR(EU31/EU30,0)</f>
        <v>0</v>
      </c>
      <c r="EV32" s="397">
        <f>IFERROR(EV31/EV30,0)</f>
        <v>0</v>
      </c>
      <c r="EW32" s="441">
        <f t="shared" ref="EW32:EX32" si="423">IFERROR(EW31/EW30,0)</f>
        <v>0</v>
      </c>
      <c r="EX32" s="441">
        <f t="shared" si="423"/>
        <v>0</v>
      </c>
      <c r="EY32" s="573">
        <f>IFERROR(EY31/EY30,0)</f>
        <v>0</v>
      </c>
      <c r="EZ32" s="397">
        <f>IFERROR(EZ31/EZ30,0)</f>
        <v>0</v>
      </c>
      <c r="FA32" s="397">
        <f>IFERROR(FA31/FA30,0)</f>
        <v>0</v>
      </c>
      <c r="FB32" s="397">
        <f>IFERROR(FB31/FB30,0)</f>
        <v>0</v>
      </c>
      <c r="FC32" s="441">
        <f t="shared" ref="FC32:FD32" si="424">IFERROR(FC31/FC30,0)</f>
        <v>0</v>
      </c>
      <c r="FD32" s="441">
        <f t="shared" si="424"/>
        <v>0</v>
      </c>
      <c r="FE32" s="573">
        <f>IFERROR(FE31/FE30,0)</f>
        <v>0</v>
      </c>
      <c r="FF32" s="397">
        <f>IFERROR(FF31/FF30,0)</f>
        <v>0</v>
      </c>
      <c r="FG32" s="397">
        <f>IFERROR(FG31/FG30,0)</f>
        <v>0</v>
      </c>
      <c r="FH32" s="397">
        <f>IFERROR(FH31/FH30,0)</f>
        <v>0</v>
      </c>
      <c r="FI32" s="441">
        <f t="shared" ref="FI32:FJ32" si="425">IFERROR(FI31/FI30,0)</f>
        <v>0</v>
      </c>
      <c r="FJ32" s="441">
        <f t="shared" si="425"/>
        <v>0</v>
      </c>
      <c r="FK32" s="573">
        <f>IFERROR(FK31/FK30,0)</f>
        <v>0</v>
      </c>
      <c r="FL32" s="397">
        <f>IFERROR(FL31/FL30,0)</f>
        <v>0</v>
      </c>
      <c r="FM32" s="397">
        <f>IFERROR(FM31/FM30,0)</f>
        <v>0</v>
      </c>
      <c r="FN32" s="397">
        <f>IFERROR(FN31/FN30,0)</f>
        <v>0</v>
      </c>
      <c r="FO32" s="441">
        <f t="shared" ref="FO32:FP32" si="426">IFERROR(FO31/FO30,0)</f>
        <v>0</v>
      </c>
      <c r="FP32" s="441">
        <f t="shared" si="426"/>
        <v>0</v>
      </c>
      <c r="FQ32" s="573">
        <f>IFERROR(FQ31/FQ30,0)</f>
        <v>0</v>
      </c>
      <c r="FR32" s="397">
        <f>IFERROR(FR31/FR30,0)</f>
        <v>0</v>
      </c>
      <c r="FS32" s="397">
        <f>IFERROR(FS31/FS30,0)</f>
        <v>0</v>
      </c>
      <c r="FT32" s="397">
        <f>IFERROR(FT31/FT30,0)</f>
        <v>0</v>
      </c>
      <c r="FU32" s="441">
        <f t="shared" ref="FU32:FV32" si="427">IFERROR(FU31/FU30,0)</f>
        <v>0</v>
      </c>
      <c r="FV32" s="441">
        <f t="shared" si="427"/>
        <v>0</v>
      </c>
      <c r="FW32" s="573">
        <f>IFERROR(FW31/FW30,0)</f>
        <v>0</v>
      </c>
      <c r="FX32" s="397">
        <f>IFERROR(FX31/FX30,0)</f>
        <v>0</v>
      </c>
      <c r="FY32" s="397">
        <f>IFERROR(FY31/FY30,0)</f>
        <v>0</v>
      </c>
      <c r="FZ32" s="397">
        <f>IFERROR(FZ31/FZ30,0)</f>
        <v>0</v>
      </c>
      <c r="GA32" s="441">
        <f t="shared" ref="GA32:GB32" si="428">IFERROR(GA31/GA30,0)</f>
        <v>0</v>
      </c>
      <c r="GB32" s="441">
        <f t="shared" si="428"/>
        <v>0</v>
      </c>
      <c r="GC32" s="573">
        <f>IFERROR(GC31/GC30,0)</f>
        <v>0</v>
      </c>
      <c r="GD32" s="397">
        <f>IFERROR(GD31/GD30,0)</f>
        <v>0</v>
      </c>
      <c r="GE32" s="397">
        <f>IFERROR(GE31/GE30,0)</f>
        <v>0</v>
      </c>
      <c r="GF32" s="397">
        <f>IFERROR(GF31/GF30,0)</f>
        <v>0</v>
      </c>
      <c r="GG32" s="441">
        <f t="shared" ref="GG32:GH32" si="429">IFERROR(GG31/GG30,0)</f>
        <v>0</v>
      </c>
      <c r="GH32" s="441">
        <f t="shared" si="429"/>
        <v>0</v>
      </c>
      <c r="GI32" s="573">
        <f>IFERROR(GI31/GI30,0)</f>
        <v>0</v>
      </c>
      <c r="GJ32" s="397">
        <f>IFERROR(GJ31/GJ30,0)</f>
        <v>0</v>
      </c>
      <c r="GK32" s="397">
        <f>IFERROR(GK31/GK30,0)</f>
        <v>0</v>
      </c>
      <c r="GL32" s="397">
        <f>IFERROR(GL31/GL30,0)</f>
        <v>0</v>
      </c>
      <c r="GM32" s="441">
        <f t="shared" ref="GM32:GN32" si="430">IFERROR(GM31/GM30,0)</f>
        <v>0</v>
      </c>
      <c r="GN32" s="441">
        <f t="shared" si="430"/>
        <v>0</v>
      </c>
      <c r="GO32" s="573">
        <f>IFERROR(GO31/GO30,0)</f>
        <v>0</v>
      </c>
      <c r="GP32" s="397">
        <f>IFERROR(GP31/GP30,0)</f>
        <v>0</v>
      </c>
      <c r="GQ32" s="397">
        <f>IFERROR(GQ31/GQ30,0)</f>
        <v>0</v>
      </c>
      <c r="GR32" s="397">
        <f>IFERROR(GR31/GR30,0)</f>
        <v>0</v>
      </c>
      <c r="GS32" s="441">
        <f t="shared" ref="GS32:GT32" si="431">IFERROR(GS31/GS30,0)</f>
        <v>0</v>
      </c>
      <c r="GT32" s="441">
        <f t="shared" si="431"/>
        <v>0</v>
      </c>
      <c r="GU32" s="573">
        <f>IFERROR(GU31/GU30,0)</f>
        <v>0</v>
      </c>
      <c r="GV32" s="397">
        <f>IFERROR(GV31/GV30,0)</f>
        <v>0</v>
      </c>
      <c r="GW32" s="397">
        <f>IFERROR(GW31/GW30,0)</f>
        <v>0</v>
      </c>
      <c r="GX32" s="397">
        <f>IFERROR(GX31/GX30,0)</f>
        <v>0</v>
      </c>
      <c r="GY32" s="441">
        <f t="shared" ref="GY32:GZ32" si="432">IFERROR(GY31/GY30,0)</f>
        <v>0</v>
      </c>
      <c r="GZ32" s="441">
        <f t="shared" si="432"/>
        <v>0</v>
      </c>
      <c r="HA32" s="573">
        <f>IFERROR(HA31/HA30,0)</f>
        <v>0</v>
      </c>
    </row>
    <row r="33" spans="1:209" ht="15" thickTop="1" x14ac:dyDescent="0.3">
      <c r="A33" s="1555" t="s">
        <v>10401</v>
      </c>
      <c r="B33" s="428">
        <f>SUM(H33,N33,R33,W33,AC33,AI33,AO33,AU33,BA33,BG33,BM33,BS33,BY33,CE33,CK33,CQ33,CW33,DC33,DI33,DO33,DU33,EA33,EG33,EM33,ES33,EY33,FE33,FK33,FQ33,FW33,GC33,GI33,GO33,GU33,HA33)</f>
        <v>45</v>
      </c>
      <c r="C33" s="574">
        <f>COUNTIFS(STATUS!$Q:$Q,$A33,STATUS!$D:$D,C$1,STATUS!$K:$K,"РЕШ УВ DONE")</f>
        <v>0</v>
      </c>
      <c r="D33" s="574">
        <f>COUNTIFS(STATUS!$Q:$Q,$A33,STATUS!$D:$D,D$1,STATUS!$K:$K,"РЕШ УВ DONE")</f>
        <v>0</v>
      </c>
      <c r="E33" s="574">
        <f>COUNTIFS(STATUS!$Q:$Q,$A33,STATUS!$D:$D,E$1,STATUS!$K:$K,"РЕШ УВ DONE")</f>
        <v>0</v>
      </c>
      <c r="F33" s="574">
        <f>COUNTIFS(STATUS!$Q:$Q,$A33,STATUS!$D:$D,F$1,STATUS!$K:$K,"РЕШ УВ DONE")</f>
        <v>0</v>
      </c>
      <c r="G33" s="575">
        <f>COUNTIFS(STATUS!$Q:$Q,$A33,STATUS!$D:$D,G$1,STATUS!$K:$K,"РЕШ УВ DONE")</f>
        <v>0</v>
      </c>
      <c r="H33" s="576">
        <f>SUM(C33:G33)</f>
        <v>0</v>
      </c>
      <c r="I33" s="1239">
        <f>COUNTIFS(STATUS!$Q:$Q,$A33,STATUS!$D:$D,I$1,STATUS!$K:$K,"РЕШ УВ DONE")</f>
        <v>0</v>
      </c>
      <c r="J33" s="574">
        <f>COUNTIFS(STATUS!$Q:$Q,$A33,STATUS!$D:$D,J$1,STATUS!$K:$K,"РЕШ УВ DONE")</f>
        <v>0</v>
      </c>
      <c r="K33" s="574">
        <f>COUNTIFS(STATUS!$Q:$Q,$A33,STATUS!$D:$D,K$1,STATUS!$K:$K,"РЕШ УВ DONE")</f>
        <v>0</v>
      </c>
      <c r="L33" s="574">
        <f>COUNTIFS(STATUS!$Q:$Q,$A33,STATUS!$D:$D,L$1,STATUS!$K:$K,"РЕШ УВ DONE")</f>
        <v>0</v>
      </c>
      <c r="M33" s="575">
        <f>COUNTIFS(STATUS!$Q:$Q,$A33,STATUS!$D:$D,M$1,STATUS!$K:$K,"РЕШ УВ DONE")</f>
        <v>0</v>
      </c>
      <c r="N33" s="576">
        <f>SUM(I33:M33)</f>
        <v>0</v>
      </c>
      <c r="O33" s="1239">
        <f>COUNTIFS(STATUS!$Q:$Q,$A33,STATUS!$D:$D,O$1,STATUS!$K:$K,"РЕШ УВ DONE")</f>
        <v>0</v>
      </c>
      <c r="P33" s="574">
        <f>COUNTIFS(STATUS!$Q:$Q,$A33,STATUS!$D:$D,P$1,STATUS!$K:$K,"РЕШ УВ DONE")</f>
        <v>0</v>
      </c>
      <c r="Q33" s="574">
        <f>COUNTIFS(STATUS!$Q:$Q,$A33,STATUS!$D:$D,Q$1,STATUS!$K:$K,"РЕШ УВ DONE")</f>
        <v>0</v>
      </c>
      <c r="R33" s="1238">
        <f>SUM(O33:Q33)</f>
        <v>0</v>
      </c>
      <c r="S33" s="574">
        <f>COUNTIFS(STATUS!$Q:$Q,$A33,STATUS!$D:$D,S$1,STATUS!$K:$K,"РЕШ УВ DONE")</f>
        <v>0</v>
      </c>
      <c r="T33" s="574">
        <f>COUNTIFS(STATUS!$Q:$Q,$A33,STATUS!$D:$D,T$1,STATUS!$K:$K,"РЕШ УВ DONE")</f>
        <v>0</v>
      </c>
      <c r="U33" s="574">
        <f>COUNTIFS(STATUS!$Q:$Q,$A33,STATUS!$D:$D,U$1,STATUS!$K:$K,"РЕШ УВ DONE")</f>
        <v>0</v>
      </c>
      <c r="V33" s="575">
        <f>COUNTIFS(STATUS!$Q:$Q,$A33,STATUS!$D:$D,V$1,STATUS!$K:$K,"РЕШ УВ DONE")</f>
        <v>0</v>
      </c>
      <c r="W33" s="1238">
        <f>SUM(S33:V33)</f>
        <v>0</v>
      </c>
      <c r="X33" s="574">
        <f>COUNTIFS(STATUS!$Q:$Q,$A33,STATUS!$D:$D,X$1,STATUS!$K:$K,"РЕШ УВ DONE")</f>
        <v>0</v>
      </c>
      <c r="Y33" s="574">
        <f>COUNTIFS(STATUS!$Q:$Q,$A33,STATUS!$D:$D,Y$1,STATUS!$K:$K,"РЕШ УВ DONE")</f>
        <v>0</v>
      </c>
      <c r="Z33" s="574">
        <f>COUNTIFS(STATUS!$Q:$Q,$A33,STATUS!$D:$D,Z$1,STATUS!$K:$K,"РЕШ УВ DONE")</f>
        <v>0</v>
      </c>
      <c r="AA33" s="575">
        <f>COUNTIFS(STATUS!$Q:$Q,$A33,STATUS!$D:$D,AA$1,STATUS!$K:$K,"РЕШ УВ DONE")</f>
        <v>0</v>
      </c>
      <c r="AB33" s="575">
        <f>COUNTIFS(STATUS!$Q:$Q,$A33,STATUS!$D:$D,AB$1,STATUS!$K:$K,"РЕШ УВ DONE")</f>
        <v>0</v>
      </c>
      <c r="AC33" s="1238">
        <f>SUM(X33:AB33)</f>
        <v>0</v>
      </c>
      <c r="AD33" s="574">
        <f>COUNTIFS(STATUS!$Q:$Q,$A33,STATUS!$D:$D,AD$1,STATUS!$K:$K,"РЕШ УВ DONE")</f>
        <v>0</v>
      </c>
      <c r="AE33" s="574">
        <f>COUNTIFS(STATUS!$Q:$Q,$A33,STATUS!$D:$D,AE$1,STATUS!$K:$K,"РЕШ УВ DONE")</f>
        <v>0</v>
      </c>
      <c r="AF33" s="574">
        <f>COUNTIFS(STATUS!$Q:$Q,$A33,STATUS!$D:$D,AF$1,STATUS!$K:$K,"РЕШ УВ DONE")</f>
        <v>0</v>
      </c>
      <c r="AG33" s="575">
        <f>COUNTIFS(STATUS!$Q:$Q,$A33,STATUS!$D:$D,AG$1,STATUS!$K:$K,"РЕШ УВ DONE")</f>
        <v>0</v>
      </c>
      <c r="AH33" s="575">
        <f>COUNTIFS(STATUS!$Q:$Q,$A33,STATUS!$D:$D,AH$1,STATUS!$K:$K,"РЕШ УВ DONE")</f>
        <v>0</v>
      </c>
      <c r="AI33" s="1238">
        <f>SUM(AD33:AH33)</f>
        <v>0</v>
      </c>
      <c r="AJ33" s="574">
        <f>COUNTIFS(STATUS!$Q:$Q,$A33,STATUS!$D:$D,AJ$1,STATUS!$K:$K,"РЕШ УВ DONE")</f>
        <v>0</v>
      </c>
      <c r="AK33" s="574">
        <f>COUNTIFS(STATUS!$Q:$Q,$A33,STATUS!$D:$D,AK$1,STATUS!$K:$K,"РЕШ УВ DONE")</f>
        <v>0</v>
      </c>
      <c r="AL33" s="574">
        <f>COUNTIFS(STATUS!$Q:$Q,$A33,STATUS!$D:$D,AL$1,STATUS!$K:$K,"РЕШ УВ DONE")</f>
        <v>0</v>
      </c>
      <c r="AM33" s="575">
        <f>COUNTIFS(STATUS!$Q:$Q,$A33,STATUS!$D:$D,AM$1,STATUS!$K:$K,"РЕШ УВ DONE")</f>
        <v>0</v>
      </c>
      <c r="AN33" s="575">
        <f>COUNTIFS(STATUS!$Q:$Q,$A33,STATUS!$D:$D,AN$1,STATUS!$K:$K,"РЕШ УВ DONE")</f>
        <v>0</v>
      </c>
      <c r="AO33" s="1238">
        <f>SUM(AJ33:AN33)</f>
        <v>0</v>
      </c>
      <c r="AP33" s="574">
        <f>COUNTIFS(STATUS!$Q:$Q,$A33,STATUS!$D:$D,AP$1,STATUS!$K:$K,"РЕШ УВ DONE")</f>
        <v>0</v>
      </c>
      <c r="AQ33" s="574">
        <f>COUNTIFS(STATUS!$Q:$Q,$A33,STATUS!$D:$D,AQ$1,STATUS!$K:$K,"РЕШ УВ DONE")</f>
        <v>0</v>
      </c>
      <c r="AR33" s="574">
        <f>COUNTIFS(STATUS!$Q:$Q,$A33,STATUS!$D:$D,AR$1,STATUS!$K:$K,"РЕШ УВ DONE")</f>
        <v>0</v>
      </c>
      <c r="AS33" s="575">
        <f>COUNTIFS(STATUS!$Q:$Q,$A33,STATUS!$D:$D,AS$1,STATUS!$K:$K,"РЕШ УВ DONE")</f>
        <v>0</v>
      </c>
      <c r="AT33" s="575">
        <f>COUNTIFS(STATUS!$Q:$Q,$A33,STATUS!$D:$D,AT$1,STATUS!$K:$K,"РЕШ УВ DONE")</f>
        <v>0</v>
      </c>
      <c r="AU33" s="1238">
        <f>SUM(AP33:AT33)</f>
        <v>0</v>
      </c>
      <c r="AV33" s="574">
        <f>COUNTIFS(STATUS!$Q:$Q,$A33,STATUS!$D:$D,AV$1,STATUS!$K:$K,"РЕШ УВ DONE")</f>
        <v>0</v>
      </c>
      <c r="AW33" s="574">
        <f>COUNTIFS(STATUS!$Q:$Q,$A33,STATUS!$D:$D,AW$1,STATUS!$K:$K,"РЕШ УВ DONE")</f>
        <v>0</v>
      </c>
      <c r="AX33" s="574">
        <f>COUNTIFS(STATUS!$Q:$Q,$A33,STATUS!$D:$D,AX$1,STATUS!$K:$K,"РЕШ УВ DONE")</f>
        <v>0</v>
      </c>
      <c r="AY33" s="575">
        <f>COUNTIFS(STATUS!$Q:$Q,$A33,STATUS!$D:$D,AY$1,STATUS!$K:$K,"РЕШ УВ DONE")</f>
        <v>0</v>
      </c>
      <c r="AZ33" s="575">
        <f>COUNTIFS(STATUS!$Q:$Q,$A33,STATUS!$D:$D,AZ$1,STATUS!$K:$K,"РЕШ УВ DONE")</f>
        <v>0</v>
      </c>
      <c r="BA33" s="1238">
        <f>SUM(AV33:AZ33)</f>
        <v>0</v>
      </c>
      <c r="BB33" s="574">
        <f>COUNTIFS(STATUS!$Q:$Q,$A33,STATUS!$D:$D,BB$1,STATUS!$K:$K,"РЕШ УВ DONE")</f>
        <v>0</v>
      </c>
      <c r="BC33" s="574">
        <f>COUNTIFS(STATUS!$Q:$Q,$A33,STATUS!$D:$D,BC$1,STATUS!$K:$K,"РЕШ УВ DONE")</f>
        <v>0</v>
      </c>
      <c r="BD33" s="574">
        <f>COUNTIFS(STATUS!$Q:$Q,$A33,STATUS!$D:$D,BD$1,STATUS!$K:$K,"РЕШ УВ DONE")</f>
        <v>0</v>
      </c>
      <c r="BE33" s="575">
        <f>COUNTIFS(STATUS!$Q:$Q,$A33,STATUS!$D:$D,BE$1,STATUS!$K:$K,"РЕШ УВ DONE")</f>
        <v>0</v>
      </c>
      <c r="BF33" s="575">
        <f>COUNTIFS(STATUS!$Q:$Q,$A33,STATUS!$D:$D,BF$1,STATUS!$K:$K,"РЕШ УВ DONE")</f>
        <v>0</v>
      </c>
      <c r="BG33" s="1238">
        <f>SUM(BB33:BF33)</f>
        <v>0</v>
      </c>
      <c r="BH33" s="574">
        <f>COUNTIFS(STATUS!$Q:$Q,$A33,STATUS!$D:$D,BH$1,STATUS!$K:$K,"РЕШ УВ DONE")</f>
        <v>0</v>
      </c>
      <c r="BI33" s="574">
        <f>COUNTIFS(STATUS!$Q:$Q,$A33,STATUS!$D:$D,BI$1,STATUS!$K:$K,"РЕШ УВ DONE")</f>
        <v>0</v>
      </c>
      <c r="BJ33" s="574">
        <f>COUNTIFS(STATUS!$Q:$Q,$A33,STATUS!$D:$D,BJ$1,STATUS!$K:$K,"РЕШ УВ DONE")</f>
        <v>0</v>
      </c>
      <c r="BK33" s="575">
        <f>COUNTIFS(STATUS!$Q:$Q,$A33,STATUS!$D:$D,BK$1,STATUS!$K:$K,"РЕШ УВ DONE")</f>
        <v>0</v>
      </c>
      <c r="BL33" s="575">
        <f>COUNTIFS(STATUS!$Q:$Q,$A33,STATUS!$D:$D,BL$1,STATUS!$K:$K,"РЕШ УВ DONE")</f>
        <v>0</v>
      </c>
      <c r="BM33" s="1238">
        <f>SUM(BH33:BL33)</f>
        <v>0</v>
      </c>
      <c r="BN33" s="574">
        <f>COUNTIFS(STATUS!$Q:$Q,$A33,STATUS!$D:$D,BN$1,STATUS!$K:$K,"РЕШ УВ DONE")</f>
        <v>0</v>
      </c>
      <c r="BO33" s="574">
        <f>COUNTIFS(STATUS!$Q:$Q,$A33,STATUS!$D:$D,BO$1,STATUS!$K:$K,"РЕШ УВ DONE")</f>
        <v>0</v>
      </c>
      <c r="BP33" s="574">
        <f>COUNTIFS(STATUS!$Q:$Q,$A33,STATUS!$D:$D,BP$1,STATUS!$K:$K,"РЕШ УВ DONE")</f>
        <v>0</v>
      </c>
      <c r="BQ33" s="575">
        <f>COUNTIFS(STATUS!$Q:$Q,$A33,STATUS!$D:$D,BQ$1,STATUS!$K:$K,"РЕШ УВ DONE")</f>
        <v>0</v>
      </c>
      <c r="BR33" s="575">
        <f>COUNTIFS(STATUS!$Q:$Q,$A33,STATUS!$D:$D,BR$1,STATUS!$K:$K,"РЕШ УВ DONE")</f>
        <v>0</v>
      </c>
      <c r="BS33" s="1238">
        <f>SUM(BN33:BR33)</f>
        <v>0</v>
      </c>
      <c r="BT33" s="574">
        <f>COUNTIFS(STATUS!$Q:$Q,$A33,STATUS!$D:$D,BT$1,STATUS!$K:$K,"РЕШ УВ DONE")</f>
        <v>0</v>
      </c>
      <c r="BU33" s="574">
        <f>COUNTIFS(STATUS!$Q:$Q,$A33,STATUS!$D:$D,BU$1,STATUS!$K:$K,"РЕШ УВ DONE")</f>
        <v>0</v>
      </c>
      <c r="BV33" s="574">
        <f>COUNTIFS(STATUS!$Q:$Q,$A33,STATUS!$D:$D,BV$1,STATUS!$K:$K,"РЕШ УВ DONE")</f>
        <v>0</v>
      </c>
      <c r="BW33" s="575">
        <f>COUNTIFS(STATUS!$Q:$Q,$A33,STATUS!$D:$D,BW$1,STATUS!$K:$K,"РЕШ УВ DONE")</f>
        <v>0</v>
      </c>
      <c r="BX33" s="575">
        <f>COUNTIFS(STATUS!$Q:$Q,$A33,STATUS!$D:$D,BX$1,STATUS!$K:$K,"РЕШ УВ DONE")</f>
        <v>0</v>
      </c>
      <c r="BY33" s="1238">
        <f>SUM(BT33:BX33)</f>
        <v>0</v>
      </c>
      <c r="BZ33" s="574">
        <f>COUNTIFS(STATUS!$Q:$Q,$A33,STATUS!$D:$D,BZ$1,STATUS!$K:$K,"РЕШ УВ DONE")</f>
        <v>0</v>
      </c>
      <c r="CA33" s="574">
        <f>COUNTIFS(STATUS!$Q:$Q,$A33,STATUS!$D:$D,CA$1,STATUS!$K:$K,"РЕШ УВ DONE")</f>
        <v>0</v>
      </c>
      <c r="CB33" s="574">
        <f>COUNTIFS(STATUS!$Q:$Q,$A33,STATUS!$D:$D,CB$1,STATUS!$K:$K,"РЕШ УВ DONE")</f>
        <v>0</v>
      </c>
      <c r="CC33" s="575">
        <f>COUNTIFS(STATUS!$Q:$Q,$A33,STATUS!$D:$D,CC$1,STATUS!$K:$K,"РЕШ УВ DONE")</f>
        <v>0</v>
      </c>
      <c r="CD33" s="575">
        <f>COUNTIFS(STATUS!$Q:$Q,$A33,STATUS!$D:$D,CD$1,STATUS!$K:$K,"РЕШ УВ DONE")</f>
        <v>0</v>
      </c>
      <c r="CE33" s="1238">
        <f>SUM(BZ33:CD33)</f>
        <v>0</v>
      </c>
      <c r="CF33" s="574">
        <f>COUNTIFS(STATUS!$Q:$Q,$A33,STATUS!$D:$D,CF$1,STATUS!$K:$K,"РЕШ УВ DONE")</f>
        <v>0</v>
      </c>
      <c r="CG33" s="574">
        <f>COUNTIFS(STATUS!$Q:$Q,$A33,STATUS!$D:$D,CG$1,STATUS!$K:$K,"РЕШ УВ DONE")</f>
        <v>0</v>
      </c>
      <c r="CH33" s="574">
        <f>COUNTIFS(STATUS!$Q:$Q,$A33,STATUS!$D:$D,CH$1,STATUS!$K:$K,"РЕШ УВ DONE")</f>
        <v>0</v>
      </c>
      <c r="CI33" s="575">
        <f>COUNTIFS(STATUS!$Q:$Q,$A33,STATUS!$D:$D,CI$1,STATUS!$K:$K,"РЕШ УВ DONE")</f>
        <v>0</v>
      </c>
      <c r="CJ33" s="575">
        <f>COUNTIFS(STATUS!$Q:$Q,$A33,STATUS!$D:$D,CJ$1,STATUS!$K:$K,"РЕШ УВ DONE")</f>
        <v>0</v>
      </c>
      <c r="CK33" s="1238">
        <f>SUM(CF33:CJ33)</f>
        <v>0</v>
      </c>
      <c r="CL33" s="574">
        <f>COUNTIFS(STATUS!$Q:$Q,$A33,STATUS!$D:$D,CL$1,STATUS!$K:$K,"РЕШ УВ DONE")</f>
        <v>0</v>
      </c>
      <c r="CM33" s="574">
        <f>COUNTIFS(STATUS!$Q:$Q,$A33,STATUS!$D:$D,CM$1,STATUS!$K:$K,"РЕШ УВ DONE")</f>
        <v>0</v>
      </c>
      <c r="CN33" s="574">
        <f>COUNTIFS(STATUS!$Q:$Q,$A33,STATUS!$D:$D,CN$1,STATUS!$K:$K,"РЕШ УВ DONE")</f>
        <v>0</v>
      </c>
      <c r="CO33" s="575">
        <f>COUNTIFS(STATUS!$Q:$Q,$A33,STATUS!$D:$D,CO$1,STATUS!$K:$K,"РЕШ УВ DONE")</f>
        <v>0</v>
      </c>
      <c r="CP33" s="575">
        <f>COUNTIFS(STATUS!$Q:$Q,$A33,STATUS!$D:$D,CP$1,STATUS!$K:$K,"РЕШ УВ DONE")</f>
        <v>0</v>
      </c>
      <c r="CQ33" s="1238">
        <f>SUM(CL33:CP33)</f>
        <v>0</v>
      </c>
      <c r="CR33" s="574">
        <f>COUNTIFS(STATUS!$Q:$Q,$A33,STATUS!$D:$D,CR$1,STATUS!$K:$K,"РЕШ УВ DONE")</f>
        <v>0</v>
      </c>
      <c r="CS33" s="574">
        <f>COUNTIFS(STATUS!$Q:$Q,$A33,STATUS!$D:$D,CS$1,STATUS!$K:$K,"РЕШ УВ DONE")</f>
        <v>0</v>
      </c>
      <c r="CT33" s="574">
        <f>COUNTIFS(STATUS!$Q:$Q,$A33,STATUS!$D:$D,CT$1,STATUS!$K:$K,"РЕШ УВ DONE")</f>
        <v>0</v>
      </c>
      <c r="CU33" s="575">
        <f>COUNTIFS(STATUS!$Q:$Q,$A33,STATUS!$D:$D,CU$1,STATUS!$K:$K,"РЕШ УВ DONE")</f>
        <v>0</v>
      </c>
      <c r="CV33" s="575">
        <f>COUNTIFS(STATUS!$Q:$Q,$A33,STATUS!$D:$D,CV$1,STATUS!$K:$K,"РЕШ УВ DONE")</f>
        <v>0</v>
      </c>
      <c r="CW33" s="1238">
        <f>SUM(CR33:CV33)</f>
        <v>0</v>
      </c>
      <c r="CX33" s="1241">
        <f>COUNTIFS(STATUS!$Q:$Q,$A33,STATUS!$D:$D,CX$1,STATUS!$K:$K,"РЕШ УВ DONE")</f>
        <v>0</v>
      </c>
      <c r="CY33" s="1241">
        <f>COUNTIFS(STATUS!$Q:$Q,$A33,STATUS!$D:$D,CY$1,STATUS!$K:$K,"РЕШ УВ DONE")</f>
        <v>0</v>
      </c>
      <c r="CZ33" s="1241">
        <f>COUNTIFS(STATUS!$Q:$Q,$A33,STATUS!$D:$D,CZ$1,STATUS!$K:$K,"РЕШ УВ DONE")</f>
        <v>0</v>
      </c>
      <c r="DA33" s="1242">
        <f>COUNTIFS(STATUS!$Q:$Q,$A33,STATUS!$D:$D,DA$1,STATUS!$K:$K,"РЕШ УВ DONE")</f>
        <v>0</v>
      </c>
      <c r="DB33" s="1242">
        <f>COUNTIFS(STATUS!$Q:$Q,$A33,STATUS!$D:$D,DB$1,STATUS!$K:$K,"РЕШ УВ DONE")</f>
        <v>0</v>
      </c>
      <c r="DC33" s="1238">
        <f>SUM(CX33:DB33)</f>
        <v>0</v>
      </c>
      <c r="DD33" s="1241">
        <f>COUNTIFS(STATUS!$Q:$Q,$A33,STATUS!$D:$D,DD$1,STATUS!$K:$K,"РЕШ УВ DONE")</f>
        <v>0</v>
      </c>
      <c r="DE33" s="1241">
        <f>COUNTIFS(STATUS!$Q:$Q,$A33,STATUS!$D:$D,DE$1,STATUS!$K:$K,"РЕШ УВ DONE")</f>
        <v>0</v>
      </c>
      <c r="DF33" s="1241">
        <f>COUNTIFS(STATUS!$Q:$Q,$A33,STATUS!$D:$D,DF$1,STATUS!$K:$K,"РЕШ УВ DONE")</f>
        <v>0</v>
      </c>
      <c r="DG33" s="1242">
        <f>COUNTIFS(STATUS!$Q:$Q,$A33,STATUS!$D:$D,DG$1,STATUS!$K:$K,"РЕШ УВ DONE")</f>
        <v>0</v>
      </c>
      <c r="DH33" s="1242">
        <f>COUNTIFS(STATUS!$Q:$Q,$A33,STATUS!$D:$D,DH$1,STATUS!$K:$K,"РЕШ УВ DONE")</f>
        <v>0</v>
      </c>
      <c r="DI33" s="1238">
        <f>SUM(DD33:DH33)</f>
        <v>0</v>
      </c>
      <c r="DJ33" s="574">
        <f>COUNTIFS(STATUS!$Q:$Q,$A33,STATUS!$D:$D,DJ$1,STATUS!$K:$K,"РЕШ УВ DONE")</f>
        <v>0</v>
      </c>
      <c r="DK33" s="574">
        <f>COUNTIFS(STATUS!$Q:$Q,$A33,STATUS!$D:$D,DK$1,STATUS!$K:$K,"РЕШ УВ DONE")</f>
        <v>0</v>
      </c>
      <c r="DL33" s="574">
        <f>COUNTIFS(STATUS!$Q:$Q,$A33,STATUS!$D:$D,DL$1,STATUS!$K:$K,"РЕШ УВ DONE")</f>
        <v>0</v>
      </c>
      <c r="DM33" s="575">
        <f>COUNTIFS(STATUS!$Q:$Q,$A33,STATUS!$D:$D,DM$1,STATUS!$K:$K,"РЕШ УВ DONE")</f>
        <v>0</v>
      </c>
      <c r="DN33" s="575">
        <f>COUNTIFS(STATUS!$Q:$Q,$A33,STATUS!$D:$D,DN$1,STATUS!$K:$K,"РЕШ УВ DONE")</f>
        <v>0</v>
      </c>
      <c r="DO33" s="1238">
        <f>SUM(DJ33:DN33)</f>
        <v>0</v>
      </c>
      <c r="DP33" s="838">
        <f>COUNTIFS(STATUS!$Q:$Q,$A33,STATUS!$D:$D,DP$1,STATUS!$K:$K,"РЕШ УВ DONE")</f>
        <v>0</v>
      </c>
      <c r="DQ33" s="838">
        <f>COUNTIFS(STATUS!$Q:$Q,$A33,STATUS!$D:$D,DQ$1,STATUS!$K:$K,"РЕШ УВ DONE")</f>
        <v>0</v>
      </c>
      <c r="DR33" s="838">
        <f>COUNTIFS(STATUS!$Q:$Q,$A33,STATUS!$D:$D,DR$1,STATUS!$K:$K,"РЕШ УВ DONE")</f>
        <v>1</v>
      </c>
      <c r="DS33" s="1303">
        <f>COUNTIFS(STATUS!$Q:$Q,$A33,STATUS!$D:$D,DS$1,STATUS!$K:$K,"РЕШ УВ DONE")</f>
        <v>0</v>
      </c>
      <c r="DT33" s="1303">
        <f>COUNTIFS(STATUS!$Q:$Q,$A33,STATUS!$D:$D,DT$1,STATUS!$K:$K,"РЕШ УВ DONE")</f>
        <v>2</v>
      </c>
      <c r="DU33" s="571">
        <f>SUM(DP33:DT33)</f>
        <v>3</v>
      </c>
      <c r="DV33" s="1298">
        <f>COUNTIFS(STATUS!$Q:$Q,$A33,STATUS!$D:$D,DV$1,STATUS!$K:$K,"РЕШ УВ DONE")</f>
        <v>5</v>
      </c>
      <c r="DW33" s="1298">
        <f>COUNTIFS(STATUS!$Q:$Q,$A33,STATUS!$D:$D,DW$1,STATUS!$K:$K,"РЕШ УВ DONE")</f>
        <v>4</v>
      </c>
      <c r="DX33" s="1298">
        <f>COUNTIFS(STATUS!$Q:$Q,$A33,STATUS!$D:$D,DX$1,STATUS!$K:$K,"РЕШ УВ DONE")</f>
        <v>3</v>
      </c>
      <c r="DY33" s="1299">
        <f>COUNTIFS(STATUS!$Q:$Q,$A33,STATUS!$D:$D,DY$1,STATUS!$K:$K,"РЕШ УВ DONE")</f>
        <v>5</v>
      </c>
      <c r="DZ33" s="1299">
        <f>COUNTIFS(STATUS!$Q:$Q,$A33,STATUS!$D:$D,DZ$1,STATUS!$K:$K,"РЕШ УВ DONE")</f>
        <v>4</v>
      </c>
      <c r="EA33" s="571">
        <f>SUM(DV33:DZ33)</f>
        <v>21</v>
      </c>
      <c r="EB33" s="1298">
        <f>COUNTIFS(STATUS!$Q:$Q,$A33,STATUS!$D:$D,EB$1,STATUS!$K:$K,"РЕШ УВ DONE")</f>
        <v>2</v>
      </c>
      <c r="EC33" s="1298">
        <f>COUNTIFS(STATUS!$Q:$Q,$A33,STATUS!$D:$D,EC$1,STATUS!$K:$K,"РЕШ УВ DONE")</f>
        <v>5</v>
      </c>
      <c r="ED33" s="1298">
        <f>COUNTIFS(STATUS!$Q:$Q,$A33,STATUS!$D:$D,ED$1,STATUS!$K:$K,"РЕШ УВ DONE")</f>
        <v>5</v>
      </c>
      <c r="EE33" s="1299">
        <f>COUNTIFS(STATUS!$Q:$Q,$A33,STATUS!$D:$D,EE$1,STATUS!$K:$K,"РЕШ УВ DONE")</f>
        <v>5</v>
      </c>
      <c r="EF33" s="1299">
        <f>COUNTIFS(STATUS!$Q:$Q,$A33,STATUS!$D:$D,EF$1,STATUS!$K:$K,"РЕШ УВ DONE")</f>
        <v>4</v>
      </c>
      <c r="EG33" s="571">
        <f>SUM(EB33:EF33)</f>
        <v>21</v>
      </c>
      <c r="EH33" s="574">
        <f>COUNTIFS(STATUS!$Q:$Q,$A33,STATUS!$D:$D,EH$1,STATUS!$K:$K,"РЕШ УВ DONE")</f>
        <v>0</v>
      </c>
      <c r="EI33" s="574">
        <f>COUNTIFS(STATUS!$Q:$Q,$A33,STATUS!$D:$D,EI$1,STATUS!$K:$K,"РЕШ УВ DONE")</f>
        <v>0</v>
      </c>
      <c r="EJ33" s="574">
        <f>COUNTIFS(STATUS!$Q:$Q,$A33,STATUS!$D:$D,EJ$1,STATUS!$K:$K,"РЕШ УВ DONE")</f>
        <v>0</v>
      </c>
      <c r="EK33" s="575">
        <f>COUNTIFS(STATUS!$Q:$Q,$A33,STATUS!$D:$D,EK$1,STATUS!$K:$K,"РЕШ УВ DONE")</f>
        <v>0</v>
      </c>
      <c r="EL33" s="575">
        <f>COUNTIFS(STATUS!$Q:$Q,$A33,STATUS!$D:$D,EL$1,STATUS!$K:$K,"РЕШ УВ DONE")</f>
        <v>0</v>
      </c>
      <c r="EM33" s="1238">
        <f>SUM(EH33:EL33)</f>
        <v>0</v>
      </c>
      <c r="EN33" s="574">
        <f>COUNTIFS(STATUS!$Q:$Q,$A33,STATUS!$D:$D,EN$1,STATUS!$K:$K,"РЕШ УВ DONE")</f>
        <v>0</v>
      </c>
      <c r="EO33" s="574">
        <f>COUNTIFS(STATUS!$Q:$Q,$A33,STATUS!$D:$D,EO$1,STATUS!$K:$K,"РЕШ УВ DONE")</f>
        <v>0</v>
      </c>
      <c r="EP33" s="574">
        <f>COUNTIFS(STATUS!$Q:$Q,$A33,STATUS!$D:$D,EP$1,STATUS!$K:$K,"РЕШ УВ DONE")</f>
        <v>0</v>
      </c>
      <c r="EQ33" s="575">
        <f>COUNTIFS(STATUS!$Q:$Q,$A33,STATUS!$D:$D,EQ$1,STATUS!$K:$K,"РЕШ УВ DONE")</f>
        <v>0</v>
      </c>
      <c r="ER33" s="575">
        <f>COUNTIFS(STATUS!$Q:$Q,$A33,STATUS!$D:$D,ER$1,STATUS!$K:$K,"РЕШ УВ DONE")</f>
        <v>0</v>
      </c>
      <c r="ES33" s="1238">
        <f>SUM(EN33:ER33)</f>
        <v>0</v>
      </c>
      <c r="ET33" s="574">
        <f>COUNTIFS(STATUS!$Q:$Q,$A33,STATUS!$D:$D,ET$1,STATUS!$K:$K,"РЕШ УВ DONE")</f>
        <v>0</v>
      </c>
      <c r="EU33" s="574">
        <f>COUNTIFS(STATUS!$Q:$Q,$A33,STATUS!$D:$D,EU$1,STATUS!$K:$K,"РЕШ УВ DONE")</f>
        <v>0</v>
      </c>
      <c r="EV33" s="574">
        <f>COUNTIFS(STATUS!$Q:$Q,$A33,STATUS!$D:$D,EV$1,STATUS!$K:$K,"РЕШ УВ DONE")</f>
        <v>0</v>
      </c>
      <c r="EW33" s="575">
        <f>COUNTIFS(STATUS!$Q:$Q,$A33,STATUS!$D:$D,EW$1,STATUS!$K:$K,"РЕШ УВ DONE")</f>
        <v>0</v>
      </c>
      <c r="EX33" s="575">
        <f>COUNTIFS(STATUS!$Q:$Q,$A33,STATUS!$D:$D,EX$1,STATUS!$K:$K,"РЕШ УВ DONE")</f>
        <v>0</v>
      </c>
      <c r="EY33" s="1238">
        <f>SUM(ET33:EX33)</f>
        <v>0</v>
      </c>
      <c r="EZ33" s="574">
        <f>COUNTIFS(STATUS!$Q:$Q,$A33,STATUS!$D:$D,EZ$1,STATUS!$K:$K,"РЕШ УВ DONE")</f>
        <v>0</v>
      </c>
      <c r="FA33" s="574">
        <f>COUNTIFS(STATUS!$Q:$Q,$A33,STATUS!$D:$D,FA$1,STATUS!$K:$K,"РЕШ УВ DONE")</f>
        <v>0</v>
      </c>
      <c r="FB33" s="574">
        <f>COUNTIFS(STATUS!$Q:$Q,$A33,STATUS!$D:$D,FB$1,STATUS!$K:$K,"РЕШ УВ DONE")</f>
        <v>0</v>
      </c>
      <c r="FC33" s="575">
        <f>COUNTIFS(STATUS!$Q:$Q,$A33,STATUS!$D:$D,FC$1,STATUS!$K:$K,"РЕШ УВ DONE")</f>
        <v>0</v>
      </c>
      <c r="FD33" s="575">
        <f>COUNTIFS(STATUS!$Q:$Q,$A33,STATUS!$D:$D,FD$1,STATUS!$K:$K,"РЕШ УВ DONE")</f>
        <v>0</v>
      </c>
      <c r="FE33" s="1238">
        <f>SUM(EZ33:FD33)</f>
        <v>0</v>
      </c>
      <c r="FF33" s="574">
        <f>COUNTIFS(STATUS!$Q:$Q,$A33,STATUS!$D:$D,FF$1,STATUS!$K:$K,"РЕШ УВ DONE")</f>
        <v>0</v>
      </c>
      <c r="FG33" s="574">
        <f>COUNTIFS(STATUS!$Q:$Q,$A33,STATUS!$D:$D,FG$1,STATUS!$K:$K,"РЕШ УВ DONE")</f>
        <v>0</v>
      </c>
      <c r="FH33" s="574">
        <f>COUNTIFS(STATUS!$Q:$Q,$A33,STATUS!$D:$D,FH$1,STATUS!$K:$K,"РЕШ УВ DONE")</f>
        <v>0</v>
      </c>
      <c r="FI33" s="575">
        <f>COUNTIFS(STATUS!$Q:$Q,$A33,STATUS!$D:$D,FI$1,STATUS!$K:$K,"РЕШ УВ DONE")</f>
        <v>0</v>
      </c>
      <c r="FJ33" s="575">
        <f>COUNTIFS(STATUS!$Q:$Q,$A33,STATUS!$D:$D,FJ$1,STATUS!$K:$K,"РЕШ УВ DONE")</f>
        <v>0</v>
      </c>
      <c r="FK33" s="1238">
        <f>SUM(FF33:FJ33)</f>
        <v>0</v>
      </c>
      <c r="FL33" s="574">
        <f>COUNTIFS(STATUS!$Q:$Q,$A33,STATUS!$D:$D,FL$1,STATUS!$K:$K,"РЕШ УВ DONE")</f>
        <v>0</v>
      </c>
      <c r="FM33" s="574">
        <f>COUNTIFS(STATUS!$Q:$Q,$A33,STATUS!$D:$D,FM$1,STATUS!$K:$K,"РЕШ УВ DONE")</f>
        <v>0</v>
      </c>
      <c r="FN33" s="574">
        <f>COUNTIFS(STATUS!$Q:$Q,$A33,STATUS!$D:$D,FN$1,STATUS!$K:$K,"РЕШ УВ DONE")</f>
        <v>0</v>
      </c>
      <c r="FO33" s="575">
        <f>COUNTIFS(STATUS!$Q:$Q,$A33,STATUS!$D:$D,FO$1,STATUS!$K:$K,"РЕШ УВ DONE")</f>
        <v>0</v>
      </c>
      <c r="FP33" s="575">
        <f>COUNTIFS(STATUS!$Q:$Q,$A33,STATUS!$D:$D,FP$1,STATUS!$K:$K,"РЕШ УВ DONE")</f>
        <v>0</v>
      </c>
      <c r="FQ33" s="1238">
        <f>SUM(FL33:FP33)</f>
        <v>0</v>
      </c>
      <c r="FR33" s="574">
        <f>COUNTIFS(STATUS!$Q:$Q,$A33,STATUS!$D:$D,FR$1,STATUS!$K:$K,"РЕШ УВ DONE")</f>
        <v>0</v>
      </c>
      <c r="FS33" s="574">
        <f>COUNTIFS(STATUS!$Q:$Q,$A33,STATUS!$D:$D,FS$1,STATUS!$K:$K,"РЕШ УВ DONE")</f>
        <v>0</v>
      </c>
      <c r="FT33" s="574">
        <f>COUNTIFS(STATUS!$Q:$Q,$A33,STATUS!$D:$D,FT$1,STATUS!$K:$K,"РЕШ УВ DONE")</f>
        <v>0</v>
      </c>
      <c r="FU33" s="575">
        <f>COUNTIFS(STATUS!$Q:$Q,$A33,STATUS!$D:$D,FU$1,STATUS!$K:$K,"РЕШ УВ DONE")</f>
        <v>0</v>
      </c>
      <c r="FV33" s="575">
        <f>COUNTIFS(STATUS!$Q:$Q,$A33,STATUS!$D:$D,FV$1,STATUS!$K:$K,"РЕШ УВ DONE")</f>
        <v>0</v>
      </c>
      <c r="FW33" s="1238">
        <f>SUM(FR33:FV33)</f>
        <v>0</v>
      </c>
      <c r="FX33" s="574">
        <f>COUNTIFS(STATUS!$Q:$Q,$A33,STATUS!$D:$D,FX$1,STATUS!$K:$K,"РЕШ УВ DONE")</f>
        <v>0</v>
      </c>
      <c r="FY33" s="574">
        <f>COUNTIFS(STATUS!$Q:$Q,$A33,STATUS!$D:$D,FY$1,STATUS!$K:$K,"РЕШ УВ DONE")</f>
        <v>0</v>
      </c>
      <c r="FZ33" s="574">
        <f>COUNTIFS(STATUS!$Q:$Q,$A33,STATUS!$D:$D,FZ$1,STATUS!$K:$K,"РЕШ УВ DONE")</f>
        <v>0</v>
      </c>
      <c r="GA33" s="575">
        <f>COUNTIFS(STATUS!$Q:$Q,$A33,STATUS!$D:$D,GA$1,STATUS!$K:$K,"РЕШ УВ DONE")</f>
        <v>0</v>
      </c>
      <c r="GB33" s="575">
        <f>COUNTIFS(STATUS!$Q:$Q,$A33,STATUS!$D:$D,GB$1,STATUS!$K:$K,"РЕШ УВ DONE")</f>
        <v>0</v>
      </c>
      <c r="GC33" s="1238">
        <f>SUM(FX33:GB33)</f>
        <v>0</v>
      </c>
      <c r="GD33" s="574">
        <f>COUNTIFS(STATUS!$Q:$Q,$A33,STATUS!$D:$D,GD$1,STATUS!$K:$K,"РЕШ УВ DONE")</f>
        <v>0</v>
      </c>
      <c r="GE33" s="574">
        <f>COUNTIFS(STATUS!$Q:$Q,$A33,STATUS!$D:$D,GE$1,STATUS!$K:$K,"РЕШ УВ DONE")</f>
        <v>0</v>
      </c>
      <c r="GF33" s="574">
        <f>COUNTIFS(STATUS!$Q:$Q,$A33,STATUS!$D:$D,GF$1,STATUS!$K:$K,"РЕШ УВ DONE")</f>
        <v>0</v>
      </c>
      <c r="GG33" s="575">
        <f>COUNTIFS(STATUS!$Q:$Q,$A33,STATUS!$D:$D,GG$1,STATUS!$K:$K,"РЕШ УВ DONE")</f>
        <v>0</v>
      </c>
      <c r="GH33" s="575">
        <f>COUNTIFS(STATUS!$Q:$Q,$A33,STATUS!$D:$D,GH$1,STATUS!$K:$K,"РЕШ УВ DONE")</f>
        <v>0</v>
      </c>
      <c r="GI33" s="1238">
        <f>SUM(GD33:GH33)</f>
        <v>0</v>
      </c>
      <c r="GJ33" s="574">
        <f>COUNTIFS(STATUS!$Q:$Q,$A33,STATUS!$D:$D,GJ$1,STATUS!$K:$K,"РЕШ УВ DONE")</f>
        <v>0</v>
      </c>
      <c r="GK33" s="574">
        <f>COUNTIFS(STATUS!$Q:$Q,$A33,STATUS!$D:$D,GK$1,STATUS!$K:$K,"РЕШ УВ DONE")</f>
        <v>0</v>
      </c>
      <c r="GL33" s="574">
        <f>COUNTIFS(STATUS!$Q:$Q,$A33,STATUS!$D:$D,GL$1,STATUS!$K:$K,"РЕШ УВ DONE")</f>
        <v>0</v>
      </c>
      <c r="GM33" s="575">
        <f>COUNTIFS(STATUS!$Q:$Q,$A33,STATUS!$D:$D,GM$1,STATUS!$K:$K,"РЕШ УВ DONE")</f>
        <v>0</v>
      </c>
      <c r="GN33" s="575">
        <f>COUNTIFS(STATUS!$Q:$Q,$A33,STATUS!$D:$D,GN$1,STATUS!$K:$K,"РЕШ УВ DONE")</f>
        <v>0</v>
      </c>
      <c r="GO33" s="1238">
        <f>SUM(GJ33:GN33)</f>
        <v>0</v>
      </c>
      <c r="GP33" s="574">
        <f>COUNTIFS(STATUS!$Q:$Q,$A33,STATUS!$D:$D,GP$1,STATUS!$K:$K,"РЕШ УВ DONE")</f>
        <v>0</v>
      </c>
      <c r="GQ33" s="574">
        <f>COUNTIFS(STATUS!$Q:$Q,$A33,STATUS!$D:$D,GQ$1,STATUS!$K:$K,"РЕШ УВ DONE")</f>
        <v>0</v>
      </c>
      <c r="GR33" s="574">
        <f>COUNTIFS(STATUS!$Q:$Q,$A33,STATUS!$D:$D,GR$1,STATUS!$K:$K,"РЕШ УВ DONE")</f>
        <v>0</v>
      </c>
      <c r="GS33" s="575">
        <f>COUNTIFS(STATUS!$Q:$Q,$A33,STATUS!$D:$D,GS$1,STATUS!$K:$K,"РЕШ УВ DONE")</f>
        <v>0</v>
      </c>
      <c r="GT33" s="575">
        <f>COUNTIFS(STATUS!$Q:$Q,$A33,STATUS!$D:$D,GT$1,STATUS!$K:$K,"РЕШ УВ DONE")</f>
        <v>0</v>
      </c>
      <c r="GU33" s="1238">
        <f>SUM(GP33:GT33)</f>
        <v>0</v>
      </c>
      <c r="GV33" s="574">
        <f>COUNTIFS(STATUS!$Q:$Q,$A33,STATUS!$D:$D,GV$1,STATUS!$K:$K,"РЕШ УВ DONE")</f>
        <v>0</v>
      </c>
      <c r="GW33" s="574">
        <f>COUNTIFS(STATUS!$Q:$Q,$A33,STATUS!$D:$D,GW$1,STATUS!$K:$K,"РЕШ УВ DONE")</f>
        <v>0</v>
      </c>
      <c r="GX33" s="574">
        <f>COUNTIFS(STATUS!$Q:$Q,$A33,STATUS!$D:$D,GX$1,STATUS!$K:$K,"РЕШ УВ DONE")</f>
        <v>0</v>
      </c>
      <c r="GY33" s="575">
        <f>COUNTIFS(STATUS!$Q:$Q,$A33,STATUS!$D:$D,GY$1,STATUS!$K:$K,"РЕШ УВ DONE")</f>
        <v>0</v>
      </c>
      <c r="GZ33" s="575">
        <f>COUNTIFS(STATUS!$Q:$Q,$A33,STATUS!$D:$D,GZ$1,STATUS!$K:$K,"РЕШ УВ DONE")</f>
        <v>0</v>
      </c>
      <c r="HA33" s="1238">
        <f>SUM(GV33:GZ33)</f>
        <v>0</v>
      </c>
    </row>
    <row r="34" spans="1:209" x14ac:dyDescent="0.3">
      <c r="A34" s="1556"/>
      <c r="B34" s="428">
        <f>SUM(H34,N34,R34,W34,AC34,AI34,AO34,AU34,BA34,BG34,BM34,BS34,BY34,CE34,CK34,CQ34,CW34,DC34,DI34,DO34,DU34,EA34,EG34,EM34,ES34,EY34,FE34,FK34,FQ34,FW34,GC34,GI34,GO34,GU34,HA34)</f>
        <v>5</v>
      </c>
      <c r="C34" s="577">
        <f>COUNTIFS(STATUS!$Q:$Q,$A33,STATUS!$D:$D,C$1,STATUS!$U:$U,"ВОЗВРАТ")</f>
        <v>0</v>
      </c>
      <c r="D34" s="577">
        <f>COUNTIFS(STATUS!$Q:$Q,$A33,STATUS!$D:$D,D$1,STATUS!$U:$U,"ВОЗВРАТ")</f>
        <v>0</v>
      </c>
      <c r="E34" s="577">
        <f>COUNTIFS(STATUS!$Q:$Q,$A33,STATUS!$D:$D,E$1,STATUS!$U:$U,"ВОЗВРАТ")</f>
        <v>0</v>
      </c>
      <c r="F34" s="577">
        <f>COUNTIFS(STATUS!$Q:$Q,$A33,STATUS!$D:$D,F$1,STATUS!$U:$U,"ВОЗВРАТ")</f>
        <v>0</v>
      </c>
      <c r="G34" s="578">
        <f>COUNTIFS(STATUS!$Q:$Q,$A33,STATUS!$D:$D,G$1,STATUS!$U:$U,"ВОЗВРАТ")</f>
        <v>0</v>
      </c>
      <c r="H34" s="576">
        <f>SUM(C34:G34)</f>
        <v>0</v>
      </c>
      <c r="I34" s="1240">
        <f>COUNTIFS(STATUS!$Q:$Q,$A33,STATUS!$D:$D,I$1,STATUS!$U:$U,"ВОЗВРАТ")</f>
        <v>0</v>
      </c>
      <c r="J34" s="577">
        <f>COUNTIFS(STATUS!$Q:$Q,$A33,STATUS!$D:$D,J$1,STATUS!$U:$U,"ВОЗВРАТ")</f>
        <v>0</v>
      </c>
      <c r="K34" s="577">
        <f>COUNTIFS(STATUS!$Q:$Q,$A33,STATUS!$D:$D,K$1,STATUS!$U:$U,"ВОЗВРАТ")</f>
        <v>0</v>
      </c>
      <c r="L34" s="577">
        <f>COUNTIFS(STATUS!$Q:$Q,$A33,STATUS!$D:$D,L$1,STATUS!$U:$U,"ВОЗВРАТ")</f>
        <v>0</v>
      </c>
      <c r="M34" s="578">
        <f>COUNTIFS(STATUS!$Q:$Q,$A33,STATUS!$D:$D,M$1,STATUS!$U:$U,"ВОЗВРАТ")</f>
        <v>0</v>
      </c>
      <c r="N34" s="576">
        <f>SUM(I34:M34)</f>
        <v>0</v>
      </c>
      <c r="O34" s="1240">
        <f>COUNTIFS(STATUS!$Q:$Q,$A33,STATUS!$D:$D,O$1,STATUS!$U:$U,"ВОЗВРАТ")</f>
        <v>0</v>
      </c>
      <c r="P34" s="577">
        <f>COUNTIFS(STATUS!$Q:$Q,$A33,STATUS!$D:$D,P$1,STATUS!$U:$U,"ВОЗВРАТ")</f>
        <v>0</v>
      </c>
      <c r="Q34" s="577">
        <f>COUNTIFS(STATUS!$Q:$Q,$A33,STATUS!$D:$D,Q$1,STATUS!$U:$U,"ВОЗВРАТ")</f>
        <v>0</v>
      </c>
      <c r="R34" s="576">
        <f>SUM(O34:Q34)</f>
        <v>0</v>
      </c>
      <c r="S34" s="577">
        <f>COUNTIFS(STATUS!$Q:$Q,$A33,STATUS!$D:$D,S$1,STATUS!$U:$U,"ВОЗВРАТ")</f>
        <v>0</v>
      </c>
      <c r="T34" s="577">
        <f>COUNTIFS(STATUS!$Q:$Q,$A33,STATUS!$D:$D,T$1,STATUS!$U:$U,"ВОЗВРАТ")</f>
        <v>0</v>
      </c>
      <c r="U34" s="577">
        <f>COUNTIFS(STATUS!$Q:$Q,$A33,STATUS!$D:$D,U$1,STATUS!$U:$U,"ВОЗВРАТ")</f>
        <v>0</v>
      </c>
      <c r="V34" s="578">
        <f>COUNTIFS(STATUS!$Q:$Q,$A33,STATUS!$D:$D,V$1,STATUS!$U:$U,"ВОЗВРАТ")</f>
        <v>0</v>
      </c>
      <c r="W34" s="576">
        <f>SUM(S34:V34)</f>
        <v>0</v>
      </c>
      <c r="X34" s="577">
        <f>COUNTIFS(STATUS!$Q:$Q,$A33,STATUS!$D:$D,X$1,STATUS!$U:$U,"ВОЗВРАТ")</f>
        <v>0</v>
      </c>
      <c r="Y34" s="577">
        <f>COUNTIFS(STATUS!$Q:$Q,$A33,STATUS!$D:$D,Y$1,STATUS!$U:$U,"ВОЗВРАТ")</f>
        <v>0</v>
      </c>
      <c r="Z34" s="577">
        <f>COUNTIFS(STATUS!$Q:$Q,$A33,STATUS!$D:$D,Z$1,STATUS!$U:$U,"ВОЗВРАТ")</f>
        <v>0</v>
      </c>
      <c r="AA34" s="578">
        <f>COUNTIFS(STATUS!$Q:$Q,$A33,STATUS!$D:$D,AA$1,STATUS!$U:$U,"ВОЗВРАТ")</f>
        <v>0</v>
      </c>
      <c r="AB34" s="578">
        <f>COUNTIFS(STATUS!$Q:$Q,$A33,STATUS!$D:$D,AB$1,STATUS!$U:$U,"ВОЗВРАТ")</f>
        <v>0</v>
      </c>
      <c r="AC34" s="576">
        <f>SUM(X34:AB34)</f>
        <v>0</v>
      </c>
      <c r="AD34" s="577">
        <f>COUNTIFS(STATUS!$Q:$Q,$A33,STATUS!$D:$D,AD$1,STATUS!$U:$U,"ВОЗВРАТ")</f>
        <v>0</v>
      </c>
      <c r="AE34" s="577">
        <f>COUNTIFS(STATUS!$Q:$Q,$A33,STATUS!$D:$D,AE$1,STATUS!$U:$U,"ВОЗВРАТ")</f>
        <v>0</v>
      </c>
      <c r="AF34" s="577">
        <f>COUNTIFS(STATUS!$Q:$Q,$A33,STATUS!$D:$D,AF$1,STATUS!$U:$U,"ВОЗВРАТ")</f>
        <v>0</v>
      </c>
      <c r="AG34" s="578">
        <f>COUNTIFS(STATUS!$Q:$Q,$A33,STATUS!$D:$D,AG$1,STATUS!$U:$U,"ВОЗВРАТ")</f>
        <v>0</v>
      </c>
      <c r="AH34" s="578">
        <f>COUNTIFS(STATUS!$Q:$Q,$A33,STATUS!$D:$D,AH$1,STATUS!$U:$U,"ВОЗВРАТ")</f>
        <v>0</v>
      </c>
      <c r="AI34" s="576">
        <f>SUM(AD34:AH34)</f>
        <v>0</v>
      </c>
      <c r="AJ34" s="577">
        <f>COUNTIFS(STATUS!$Q:$Q,$A33,STATUS!$D:$D,AJ$1,STATUS!$U:$U,"ВОЗВРАТ")</f>
        <v>0</v>
      </c>
      <c r="AK34" s="577">
        <f>COUNTIFS(STATUS!$Q:$Q,$A33,STATUS!$D:$D,AK$1,STATUS!$U:$U,"ВОЗВРАТ")</f>
        <v>0</v>
      </c>
      <c r="AL34" s="577">
        <f>COUNTIFS(STATUS!$Q:$Q,$A33,STATUS!$D:$D,AL$1,STATUS!$U:$U,"ВОЗВРАТ")</f>
        <v>0</v>
      </c>
      <c r="AM34" s="578">
        <f>COUNTIFS(STATUS!$Q:$Q,$A33,STATUS!$D:$D,AM$1,STATUS!$U:$U,"ВОЗВРАТ")</f>
        <v>0</v>
      </c>
      <c r="AN34" s="578">
        <f>COUNTIFS(STATUS!$Q:$Q,$A33,STATUS!$D:$D,AN$1,STATUS!$U:$U,"ВОЗВРАТ")</f>
        <v>0</v>
      </c>
      <c r="AO34" s="576">
        <f>SUM(AJ34:AN34)</f>
        <v>0</v>
      </c>
      <c r="AP34" s="577">
        <f>COUNTIFS(STATUS!$Q:$Q,$A33,STATUS!$D:$D,AP$1,STATUS!$U:$U,"ВОЗВРАТ")</f>
        <v>0</v>
      </c>
      <c r="AQ34" s="577">
        <f>COUNTIFS(STATUS!$Q:$Q,$A33,STATUS!$D:$D,AQ$1,STATUS!$U:$U,"ВОЗВРАТ")</f>
        <v>0</v>
      </c>
      <c r="AR34" s="577">
        <f>COUNTIFS(STATUS!$Q:$Q,$A33,STATUS!$D:$D,AR$1,STATUS!$U:$U,"ВОЗВРАТ")</f>
        <v>0</v>
      </c>
      <c r="AS34" s="578">
        <f>COUNTIFS(STATUS!$Q:$Q,$A33,STATUS!$D:$D,AS$1,STATUS!$U:$U,"ВОЗВРАТ")</f>
        <v>0</v>
      </c>
      <c r="AT34" s="578">
        <f>COUNTIFS(STATUS!$Q:$Q,$A33,STATUS!$D:$D,AT$1,STATUS!$U:$U,"ВОЗВРАТ")</f>
        <v>0</v>
      </c>
      <c r="AU34" s="576">
        <f>SUM(AP34:AT34)</f>
        <v>0</v>
      </c>
      <c r="AV34" s="577">
        <f>COUNTIFS(STATUS!$Q:$Q,$A33,STATUS!$D:$D,AV$1,STATUS!$U:$U,"ВОЗВРАТ")</f>
        <v>0</v>
      </c>
      <c r="AW34" s="577">
        <f>COUNTIFS(STATUS!$Q:$Q,$A33,STATUS!$D:$D,AW$1,STATUS!$U:$U,"ВОЗВРАТ")</f>
        <v>0</v>
      </c>
      <c r="AX34" s="577">
        <f>COUNTIFS(STATUS!$Q:$Q,$A33,STATUS!$D:$D,AX$1,STATUS!$U:$U,"ВОЗВРАТ")</f>
        <v>0</v>
      </c>
      <c r="AY34" s="578">
        <f>COUNTIFS(STATUS!$Q:$Q,$A33,STATUS!$D:$D,AY$1,STATUS!$U:$U,"ВОЗВРАТ")</f>
        <v>0</v>
      </c>
      <c r="AZ34" s="578">
        <f>COUNTIFS(STATUS!$Q:$Q,$A33,STATUS!$D:$D,AZ$1,STATUS!$U:$U,"ВОЗВРАТ")</f>
        <v>0</v>
      </c>
      <c r="BA34" s="576">
        <f>SUM(AV34:AZ34)</f>
        <v>0</v>
      </c>
      <c r="BB34" s="577">
        <f>COUNTIFS(STATUS!$Q:$Q,$A33,STATUS!$D:$D,BB$1,STATUS!$U:$U,"ВОЗВРАТ")</f>
        <v>0</v>
      </c>
      <c r="BC34" s="577">
        <f>COUNTIFS(STATUS!$Q:$Q,$A33,STATUS!$D:$D,BC$1,STATUS!$U:$U,"ВОЗВРАТ")</f>
        <v>0</v>
      </c>
      <c r="BD34" s="577">
        <f>COUNTIFS(STATUS!$Q:$Q,$A33,STATUS!$D:$D,BD$1,STATUS!$U:$U,"ВОЗВРАТ")</f>
        <v>0</v>
      </c>
      <c r="BE34" s="578">
        <f>COUNTIFS(STATUS!$Q:$Q,$A33,STATUS!$D:$D,BE$1,STATUS!$U:$U,"ВОЗВРАТ")</f>
        <v>0</v>
      </c>
      <c r="BF34" s="578">
        <f>COUNTIFS(STATUS!$Q:$Q,$A33,STATUS!$D:$D,BF$1,STATUS!$U:$U,"ВОЗВРАТ")</f>
        <v>0</v>
      </c>
      <c r="BG34" s="576">
        <f>SUM(BB34:BF34)</f>
        <v>0</v>
      </c>
      <c r="BH34" s="577">
        <f>COUNTIFS(STATUS!$Q:$Q,$A33,STATUS!$D:$D,BH$1,STATUS!$U:$U,"ВОЗВРАТ")</f>
        <v>0</v>
      </c>
      <c r="BI34" s="577">
        <f>COUNTIFS(STATUS!$Q:$Q,$A33,STATUS!$D:$D,BI$1,STATUS!$U:$U,"ВОЗВРАТ")</f>
        <v>0</v>
      </c>
      <c r="BJ34" s="577">
        <f>COUNTIFS(STATUS!$Q:$Q,$A33,STATUS!$D:$D,BJ$1,STATUS!$U:$U,"ВОЗВРАТ")</f>
        <v>0</v>
      </c>
      <c r="BK34" s="578">
        <f>COUNTIFS(STATUS!$Q:$Q,$A33,STATUS!$D:$D,BK$1,STATUS!$U:$U,"ВОЗВРАТ")</f>
        <v>0</v>
      </c>
      <c r="BL34" s="578">
        <f>COUNTIFS(STATUS!$Q:$Q,$A33,STATUS!$D:$D,BL$1,STATUS!$U:$U,"ВОЗВРАТ")</f>
        <v>0</v>
      </c>
      <c r="BM34" s="576">
        <f>SUM(BH34:BL34)</f>
        <v>0</v>
      </c>
      <c r="BN34" s="577">
        <f>COUNTIFS(STATUS!$Q:$Q,$A33,STATUS!$D:$D,BN$1,STATUS!$U:$U,"ВОЗВРАТ")</f>
        <v>0</v>
      </c>
      <c r="BO34" s="577">
        <f>COUNTIFS(STATUS!$Q:$Q,$A33,STATUS!$D:$D,BO$1,STATUS!$U:$U,"ВОЗВРАТ")</f>
        <v>0</v>
      </c>
      <c r="BP34" s="577">
        <f>COUNTIFS(STATUS!$Q:$Q,$A33,STATUS!$D:$D,BP$1,STATUS!$U:$U,"ВОЗВРАТ")</f>
        <v>0</v>
      </c>
      <c r="BQ34" s="578">
        <f>COUNTIFS(STATUS!$Q:$Q,$A33,STATUS!$D:$D,BQ$1,STATUS!$U:$U,"ВОЗВРАТ")</f>
        <v>0</v>
      </c>
      <c r="BR34" s="578">
        <f>COUNTIFS(STATUS!$Q:$Q,$A33,STATUS!$D:$D,BR$1,STATUS!$U:$U,"ВОЗВРАТ")</f>
        <v>0</v>
      </c>
      <c r="BS34" s="576">
        <f>SUM(BN34:BR34)</f>
        <v>0</v>
      </c>
      <c r="BT34" s="577">
        <f>COUNTIFS(STATUS!$Q:$Q,$A33,STATUS!$D:$D,BT$1,STATUS!$U:$U,"ВОЗВРАТ")</f>
        <v>0</v>
      </c>
      <c r="BU34" s="577">
        <f>COUNTIFS(STATUS!$Q:$Q,$A33,STATUS!$D:$D,BU$1,STATUS!$U:$U,"ВОЗВРАТ")</f>
        <v>0</v>
      </c>
      <c r="BV34" s="577">
        <f>COUNTIFS(STATUS!$Q:$Q,$A33,STATUS!$D:$D,BV$1,STATUS!$U:$U,"ВОЗВРАТ")</f>
        <v>0</v>
      </c>
      <c r="BW34" s="578">
        <f>COUNTIFS(STATUS!$Q:$Q,$A33,STATUS!$D:$D,BW$1,STATUS!$U:$U,"ВОЗВРАТ")</f>
        <v>0</v>
      </c>
      <c r="BX34" s="578">
        <f>COUNTIFS(STATUS!$Q:$Q,$A33,STATUS!$D:$D,BX$1,STATUS!$U:$U,"ВОЗВРАТ")</f>
        <v>0</v>
      </c>
      <c r="BY34" s="576">
        <f>SUM(BT34:BX34)</f>
        <v>0</v>
      </c>
      <c r="BZ34" s="577">
        <f>COUNTIFS(STATUS!$Q:$Q,$A33,STATUS!$D:$D,BZ$1,STATUS!$U:$U,"ВОЗВРАТ")</f>
        <v>0</v>
      </c>
      <c r="CA34" s="577">
        <f>COUNTIFS(STATUS!$Q:$Q,$A33,STATUS!$D:$D,CA$1,STATUS!$U:$U,"ВОЗВРАТ")</f>
        <v>0</v>
      </c>
      <c r="CB34" s="577">
        <f>COUNTIFS(STATUS!$Q:$Q,$A33,STATUS!$D:$D,CB$1,STATUS!$U:$U,"ВОЗВРАТ")</f>
        <v>0</v>
      </c>
      <c r="CC34" s="578">
        <f>COUNTIFS(STATUS!$Q:$Q,$A33,STATUS!$D:$D,CC$1,STATUS!$U:$U,"ВОЗВРАТ")</f>
        <v>0</v>
      </c>
      <c r="CD34" s="578">
        <f>COUNTIFS(STATUS!$Q:$Q,$A33,STATUS!$D:$D,CD$1,STATUS!$U:$U,"ВОЗВРАТ")</f>
        <v>0</v>
      </c>
      <c r="CE34" s="576">
        <f>SUM(BZ34:CD34)</f>
        <v>0</v>
      </c>
      <c r="CF34" s="577">
        <f>COUNTIFS(STATUS!$Q:$Q,$A33,STATUS!$D:$D,CF$1,STATUS!$U:$U,"ВОЗВРАТ")</f>
        <v>0</v>
      </c>
      <c r="CG34" s="577">
        <f>COUNTIFS(STATUS!$Q:$Q,$A33,STATUS!$D:$D,CG$1,STATUS!$U:$U,"ВОЗВРАТ")</f>
        <v>0</v>
      </c>
      <c r="CH34" s="577">
        <f>COUNTIFS(STATUS!$Q:$Q,$A33,STATUS!$D:$D,CH$1,STATUS!$U:$U,"ВОЗВРАТ")</f>
        <v>0</v>
      </c>
      <c r="CI34" s="578">
        <f>COUNTIFS(STATUS!$Q:$Q,$A33,STATUS!$D:$D,CI$1,STATUS!$U:$U,"ВОЗВРАТ")</f>
        <v>0</v>
      </c>
      <c r="CJ34" s="578">
        <f>COUNTIFS(STATUS!$Q:$Q,$A33,STATUS!$D:$D,CJ$1,STATUS!$U:$U,"ВОЗВРАТ")</f>
        <v>0</v>
      </c>
      <c r="CK34" s="576">
        <f>SUM(CF34:CJ34)</f>
        <v>0</v>
      </c>
      <c r="CL34" s="577">
        <f>COUNTIFS(STATUS!$Q:$Q,$A33,STATUS!$D:$D,CL$1,STATUS!$U:$U,"ВОЗВРАТ")</f>
        <v>0</v>
      </c>
      <c r="CM34" s="577">
        <f>COUNTIFS(STATUS!$Q:$Q,$A33,STATUS!$D:$D,CM$1,STATUS!$U:$U,"ВОЗВРАТ")</f>
        <v>0</v>
      </c>
      <c r="CN34" s="577">
        <f>COUNTIFS(STATUS!$Q:$Q,$A33,STATUS!$D:$D,CN$1,STATUS!$U:$U,"ВОЗВРАТ")</f>
        <v>0</v>
      </c>
      <c r="CO34" s="578">
        <f>COUNTIFS(STATUS!$Q:$Q,$A33,STATUS!$D:$D,CO$1,STATUS!$U:$U,"ВОЗВРАТ")</f>
        <v>0</v>
      </c>
      <c r="CP34" s="578">
        <f>COUNTIFS(STATUS!$Q:$Q,$A33,STATUS!$D:$D,CP$1,STATUS!$U:$U,"ВОЗВРАТ")</f>
        <v>0</v>
      </c>
      <c r="CQ34" s="576">
        <f>SUM(CL34:CP34)</f>
        <v>0</v>
      </c>
      <c r="CR34" s="577">
        <f>COUNTIFS(STATUS!$Q:$Q,$A33,STATUS!$D:$D,CR$1,STATUS!$U:$U,"ВОЗВРАТ")</f>
        <v>0</v>
      </c>
      <c r="CS34" s="577">
        <f>COUNTIFS(STATUS!$Q:$Q,$A33,STATUS!$D:$D,CS$1,STATUS!$U:$U,"ВОЗВРАТ")</f>
        <v>0</v>
      </c>
      <c r="CT34" s="577">
        <f>COUNTIFS(STATUS!$Q:$Q,$A33,STATUS!$D:$D,CT$1,STATUS!$U:$U,"ВОЗВРАТ")</f>
        <v>0</v>
      </c>
      <c r="CU34" s="578">
        <f>COUNTIFS(STATUS!$Q:$Q,$A33,STATUS!$D:$D,CU$1,STATUS!$U:$U,"ВОЗВРАТ")</f>
        <v>0</v>
      </c>
      <c r="CV34" s="578">
        <f>COUNTIFS(STATUS!$Q:$Q,$A33,STATUS!$D:$D,CV$1,STATUS!$U:$U,"ВОЗВРАТ")</f>
        <v>0</v>
      </c>
      <c r="CW34" s="576">
        <f>SUM(CR34:CV34)</f>
        <v>0</v>
      </c>
      <c r="CX34" s="1243">
        <f>COUNTIFS(STATUS!$Q:$Q,$A33,STATUS!$D:$D,CX$1,STATUS!$U:$U,"ВОЗВРАТ")</f>
        <v>0</v>
      </c>
      <c r="CY34" s="1243">
        <f>COUNTIFS(STATUS!$Q:$Q,$A33,STATUS!$D:$D,CY$1,STATUS!$U:$U,"ВОЗВРАТ")</f>
        <v>0</v>
      </c>
      <c r="CZ34" s="1243">
        <f>COUNTIFS(STATUS!$Q:$Q,$A33,STATUS!$D:$D,CZ$1,STATUS!$U:$U,"ВОЗВРАТ")</f>
        <v>0</v>
      </c>
      <c r="DA34" s="1244">
        <f>COUNTIFS(STATUS!$Q:$Q,$A33,STATUS!$D:$D,DA$1,STATUS!$U:$U,"ВОЗВРАТ")</f>
        <v>0</v>
      </c>
      <c r="DB34" s="1244">
        <f>COUNTIFS(STATUS!$Q:$Q,$A33,STATUS!$D:$D,DB$1,STATUS!$U:$U,"ВОЗВРАТ")</f>
        <v>0</v>
      </c>
      <c r="DC34" s="576">
        <f>SUM(CX34:DB34)</f>
        <v>0</v>
      </c>
      <c r="DD34" s="1243">
        <f>COUNTIFS(STATUS!$Q:$Q,$A33,STATUS!$D:$D,DD$1,STATUS!$U:$U,"ВОЗВРАТ")</f>
        <v>0</v>
      </c>
      <c r="DE34" s="1243">
        <f>COUNTIFS(STATUS!$Q:$Q,$A33,STATUS!$D:$D,DE$1,STATUS!$U:$U,"ВОЗВРАТ")</f>
        <v>0</v>
      </c>
      <c r="DF34" s="1243">
        <f>COUNTIFS(STATUS!$Q:$Q,$A33,STATUS!$D:$D,DF$1,STATUS!$U:$U,"ВОЗВРАТ")</f>
        <v>0</v>
      </c>
      <c r="DG34" s="1244">
        <f>COUNTIFS(STATUS!$Q:$Q,$A33,STATUS!$D:$D,DG$1,STATUS!$U:$U,"ВОЗВРАТ")</f>
        <v>0</v>
      </c>
      <c r="DH34" s="1244">
        <f>COUNTIFS(STATUS!$Q:$Q,$A33,STATUS!$D:$D,DH$1,STATUS!$U:$U,"ВОЗВРАТ")</f>
        <v>0</v>
      </c>
      <c r="DI34" s="576">
        <f>SUM(DD34:DH34)</f>
        <v>0</v>
      </c>
      <c r="DJ34" s="577">
        <f>COUNTIFS(STATUS!$Q:$Q,$A33,STATUS!$D:$D,DJ$1,STATUS!$U:$U,"ВОЗВРАТ")</f>
        <v>0</v>
      </c>
      <c r="DK34" s="577">
        <f>COUNTIFS(STATUS!$Q:$Q,$A33,STATUS!$D:$D,DK$1,STATUS!$U:$U,"ВОЗВРАТ")</f>
        <v>0</v>
      </c>
      <c r="DL34" s="577">
        <f>COUNTIFS(STATUS!$Q:$Q,$A33,STATUS!$D:$D,DL$1,STATUS!$U:$U,"ВОЗВРАТ")</f>
        <v>0</v>
      </c>
      <c r="DM34" s="578">
        <f>COUNTIFS(STATUS!$Q:$Q,$A33,STATUS!$D:$D,DM$1,STATUS!$U:$U,"ВОЗВРАТ")</f>
        <v>0</v>
      </c>
      <c r="DN34" s="578">
        <f>COUNTIFS(STATUS!$Q:$Q,$A33,STATUS!$D:$D,DN$1,STATUS!$U:$U,"ВОЗВРАТ")</f>
        <v>0</v>
      </c>
      <c r="DO34" s="576">
        <f>SUM(DJ34:DN34)</f>
        <v>0</v>
      </c>
      <c r="DP34" s="836">
        <f>COUNTIFS(STATUS!$Q:$Q,$A33,STATUS!$D:$D,DP$1,STATUS!$U:$U,"ВОЗВРАТ")</f>
        <v>0</v>
      </c>
      <c r="DQ34" s="836">
        <f>COUNTIFS(STATUS!$Q:$Q,$A33,STATUS!$D:$D,DQ$1,STATUS!$U:$U,"ВОЗВРАТ")</f>
        <v>0</v>
      </c>
      <c r="DR34" s="836">
        <f>COUNTIFS(STATUS!$Q:$Q,$A33,STATUS!$D:$D,DR$1,STATUS!$U:$U,"ВОЗВРАТ")</f>
        <v>0</v>
      </c>
      <c r="DS34" s="1304">
        <f>COUNTIFS(STATUS!$Q:$Q,$A33,STATUS!$D:$D,DS$1,STATUS!$U:$U,"ВОЗВРАТ")</f>
        <v>0</v>
      </c>
      <c r="DT34" s="1304">
        <f>COUNTIFS(STATUS!$Q:$Q,$A33,STATUS!$D:$D,DT$1,STATUS!$U:$U,"ВОЗВРАТ")</f>
        <v>2</v>
      </c>
      <c r="DU34" s="572">
        <f>SUM(DP34:DT34)</f>
        <v>2</v>
      </c>
      <c r="DV34" s="1300">
        <f>COUNTIFS(STATUS!$Q:$Q,$A33,STATUS!$D:$D,DV$1,STATUS!$U:$U,"ВОЗВРАТ")</f>
        <v>0</v>
      </c>
      <c r="DW34" s="1300">
        <f>COUNTIFS(STATUS!$Q:$Q,$A33,STATUS!$D:$D,DW$1,STATUS!$U:$U,"ВОЗВРАТ")</f>
        <v>0</v>
      </c>
      <c r="DX34" s="1300">
        <f>COUNTIFS(STATUS!$Q:$Q,$A33,STATUS!$D:$D,DX$1,STATUS!$U:$U,"ВОЗВРАТ")</f>
        <v>1</v>
      </c>
      <c r="DY34" s="1301">
        <f>COUNTIFS(STATUS!$Q:$Q,$A33,STATUS!$D:$D,DY$1,STATUS!$U:$U,"ВОЗВРАТ")</f>
        <v>0</v>
      </c>
      <c r="DZ34" s="1301">
        <f>COUNTIFS(STATUS!$Q:$Q,$A33,STATUS!$D:$D,DZ$1,STATUS!$U:$U,"ВОЗВРАТ")</f>
        <v>0</v>
      </c>
      <c r="EA34" s="572">
        <f>SUM(DV34:DZ34)</f>
        <v>1</v>
      </c>
      <c r="EB34" s="1300">
        <f>COUNTIFS(STATUS!$Q:$Q,$A33,STATUS!$D:$D,EB$1,STATUS!$U:$U,"ВОЗВРАТ")</f>
        <v>0</v>
      </c>
      <c r="EC34" s="1300">
        <f>COUNTIFS(STATUS!$Q:$Q,$A33,STATUS!$D:$D,EC$1,STATUS!$U:$U,"ВОЗВРАТ")</f>
        <v>1</v>
      </c>
      <c r="ED34" s="1300">
        <f>COUNTIFS(STATUS!$Q:$Q,$A33,STATUS!$D:$D,ED$1,STATUS!$U:$U,"ВОЗВРАТ")</f>
        <v>1</v>
      </c>
      <c r="EE34" s="1301">
        <f>COUNTIFS(STATUS!$Q:$Q,$A33,STATUS!$D:$D,EE$1,STATUS!$U:$U,"ВОЗВРАТ")</f>
        <v>0</v>
      </c>
      <c r="EF34" s="1301">
        <f>COUNTIFS(STATUS!$Q:$Q,$A33,STATUS!$D:$D,EF$1,STATUS!$U:$U,"ВОЗВРАТ")</f>
        <v>0</v>
      </c>
      <c r="EG34" s="572">
        <f>SUM(EB34:EF34)</f>
        <v>2</v>
      </c>
      <c r="EH34" s="577">
        <f>COUNTIFS(STATUS!$Q:$Q,$A33,STATUS!$D:$D,EH$1,STATUS!$U:$U,"ВОЗВРАТ")</f>
        <v>0</v>
      </c>
      <c r="EI34" s="577">
        <f>COUNTIFS(STATUS!$Q:$Q,$A33,STATUS!$D:$D,EI$1,STATUS!$U:$U,"ВОЗВРАТ")</f>
        <v>0</v>
      </c>
      <c r="EJ34" s="577">
        <f>COUNTIFS(STATUS!$Q:$Q,$A33,STATUS!$D:$D,EJ$1,STATUS!$U:$U,"ВОЗВРАТ")</f>
        <v>0</v>
      </c>
      <c r="EK34" s="578">
        <f>COUNTIFS(STATUS!$Q:$Q,$A33,STATUS!$D:$D,EK$1,STATUS!$U:$U,"ВОЗВРАТ")</f>
        <v>0</v>
      </c>
      <c r="EL34" s="578">
        <f>COUNTIFS(STATUS!$Q:$Q,$A33,STATUS!$D:$D,EL$1,STATUS!$U:$U,"ВОЗВРАТ")</f>
        <v>0</v>
      </c>
      <c r="EM34" s="576">
        <f>SUM(EH34:EL34)</f>
        <v>0</v>
      </c>
      <c r="EN34" s="577">
        <f>COUNTIFS(STATUS!$Q:$Q,$A33,STATUS!$D:$D,EN$1,STATUS!$U:$U,"ВОЗВРАТ")</f>
        <v>0</v>
      </c>
      <c r="EO34" s="577">
        <f>COUNTIFS(STATUS!$Q:$Q,$A33,STATUS!$D:$D,EO$1,STATUS!$U:$U,"ВОЗВРАТ")</f>
        <v>0</v>
      </c>
      <c r="EP34" s="577">
        <f>COUNTIFS(STATUS!$Q:$Q,$A33,STATUS!$D:$D,EP$1,STATUS!$U:$U,"ВОЗВРАТ")</f>
        <v>0</v>
      </c>
      <c r="EQ34" s="578">
        <f>COUNTIFS(STATUS!$Q:$Q,$A33,STATUS!$D:$D,EQ$1,STATUS!$U:$U,"ВОЗВРАТ")</f>
        <v>0</v>
      </c>
      <c r="ER34" s="578">
        <f>COUNTIFS(STATUS!$Q:$Q,$A33,STATUS!$D:$D,ER$1,STATUS!$U:$U,"ВОЗВРАТ")</f>
        <v>0</v>
      </c>
      <c r="ES34" s="576">
        <f>SUM(EN34:ER34)</f>
        <v>0</v>
      </c>
      <c r="ET34" s="577">
        <f>COUNTIFS(STATUS!$Q:$Q,$A33,STATUS!$D:$D,ET$1,STATUS!$U:$U,"ВОЗВРАТ")</f>
        <v>0</v>
      </c>
      <c r="EU34" s="577">
        <f>COUNTIFS(STATUS!$Q:$Q,$A33,STATUS!$D:$D,EU$1,STATUS!$U:$U,"ВОЗВРАТ")</f>
        <v>0</v>
      </c>
      <c r="EV34" s="577">
        <f>COUNTIFS(STATUS!$Q:$Q,$A33,STATUS!$D:$D,EV$1,STATUS!$U:$U,"ВОЗВРАТ")</f>
        <v>0</v>
      </c>
      <c r="EW34" s="578">
        <f>COUNTIFS(STATUS!$Q:$Q,$A33,STATUS!$D:$D,EW$1,STATUS!$U:$U,"ВОЗВРАТ")</f>
        <v>0</v>
      </c>
      <c r="EX34" s="578">
        <f>COUNTIFS(STATUS!$Q:$Q,$A33,STATUS!$D:$D,EX$1,STATUS!$U:$U,"ВОЗВРАТ")</f>
        <v>0</v>
      </c>
      <c r="EY34" s="576">
        <f>SUM(ET34:EX34)</f>
        <v>0</v>
      </c>
      <c r="EZ34" s="577">
        <f>COUNTIFS(STATUS!$Q:$Q,$A33,STATUS!$D:$D,EZ$1,STATUS!$U:$U,"ВОЗВРАТ")</f>
        <v>0</v>
      </c>
      <c r="FA34" s="577">
        <f>COUNTIFS(STATUS!$Q:$Q,$A33,STATUS!$D:$D,FA$1,STATUS!$U:$U,"ВОЗВРАТ")</f>
        <v>0</v>
      </c>
      <c r="FB34" s="577">
        <f>COUNTIFS(STATUS!$Q:$Q,$A33,STATUS!$D:$D,FB$1,STATUS!$U:$U,"ВОЗВРАТ")</f>
        <v>0</v>
      </c>
      <c r="FC34" s="578">
        <f>COUNTIFS(STATUS!$Q:$Q,$A33,STATUS!$D:$D,FC$1,STATUS!$U:$U,"ВОЗВРАТ")</f>
        <v>0</v>
      </c>
      <c r="FD34" s="578">
        <f>COUNTIFS(STATUS!$Q:$Q,$A33,STATUS!$D:$D,FD$1,STATUS!$U:$U,"ВОЗВРАТ")</f>
        <v>0</v>
      </c>
      <c r="FE34" s="576">
        <f>SUM(EZ34:FD34)</f>
        <v>0</v>
      </c>
      <c r="FF34" s="577">
        <f>COUNTIFS(STATUS!$Q:$Q,$A33,STATUS!$D:$D,FF$1,STATUS!$U:$U,"ВОЗВРАТ")</f>
        <v>0</v>
      </c>
      <c r="FG34" s="577">
        <f>COUNTIFS(STATUS!$Q:$Q,$A33,STATUS!$D:$D,FG$1,STATUS!$U:$U,"ВОЗВРАТ")</f>
        <v>0</v>
      </c>
      <c r="FH34" s="577">
        <f>COUNTIFS(STATUS!$Q:$Q,$A33,STATUS!$D:$D,FH$1,STATUS!$U:$U,"ВОЗВРАТ")</f>
        <v>0</v>
      </c>
      <c r="FI34" s="578">
        <f>COUNTIFS(STATUS!$Q:$Q,$A33,STATUS!$D:$D,FI$1,STATUS!$U:$U,"ВОЗВРАТ")</f>
        <v>0</v>
      </c>
      <c r="FJ34" s="578">
        <f>COUNTIFS(STATUS!$Q:$Q,$A33,STATUS!$D:$D,FJ$1,STATUS!$U:$U,"ВОЗВРАТ")</f>
        <v>0</v>
      </c>
      <c r="FK34" s="576">
        <f>SUM(FF34:FJ34)</f>
        <v>0</v>
      </c>
      <c r="FL34" s="577">
        <f>COUNTIFS(STATUS!$Q:$Q,$A33,STATUS!$D:$D,FL$1,STATUS!$U:$U,"ВОЗВРАТ")</f>
        <v>0</v>
      </c>
      <c r="FM34" s="577">
        <f>COUNTIFS(STATUS!$Q:$Q,$A33,STATUS!$D:$D,FM$1,STATUS!$U:$U,"ВОЗВРАТ")</f>
        <v>0</v>
      </c>
      <c r="FN34" s="577">
        <f>COUNTIFS(STATUS!$Q:$Q,$A33,STATUS!$D:$D,FN$1,STATUS!$U:$U,"ВОЗВРАТ")</f>
        <v>0</v>
      </c>
      <c r="FO34" s="578">
        <f>COUNTIFS(STATUS!$Q:$Q,$A33,STATUS!$D:$D,FO$1,STATUS!$U:$U,"ВОЗВРАТ")</f>
        <v>0</v>
      </c>
      <c r="FP34" s="578">
        <f>COUNTIFS(STATUS!$Q:$Q,$A33,STATUS!$D:$D,FP$1,STATUS!$U:$U,"ВОЗВРАТ")</f>
        <v>0</v>
      </c>
      <c r="FQ34" s="576">
        <f>SUM(FL34:FP34)</f>
        <v>0</v>
      </c>
      <c r="FR34" s="577">
        <f>COUNTIFS(STATUS!$Q:$Q,$A33,STATUS!$D:$D,FR$1,STATUS!$U:$U,"ВОЗВРАТ")</f>
        <v>0</v>
      </c>
      <c r="FS34" s="577">
        <f>COUNTIFS(STATUS!$Q:$Q,$A33,STATUS!$D:$D,FS$1,STATUS!$U:$U,"ВОЗВРАТ")</f>
        <v>0</v>
      </c>
      <c r="FT34" s="577">
        <f>COUNTIFS(STATUS!$Q:$Q,$A33,STATUS!$D:$D,FT$1,STATUS!$U:$U,"ВОЗВРАТ")</f>
        <v>0</v>
      </c>
      <c r="FU34" s="578">
        <f>COUNTIFS(STATUS!$Q:$Q,$A33,STATUS!$D:$D,FU$1,STATUS!$U:$U,"ВОЗВРАТ")</f>
        <v>0</v>
      </c>
      <c r="FV34" s="578">
        <f>COUNTIFS(STATUS!$Q:$Q,$A33,STATUS!$D:$D,FV$1,STATUS!$U:$U,"ВОЗВРАТ")</f>
        <v>0</v>
      </c>
      <c r="FW34" s="576">
        <f>SUM(FR34:FV34)</f>
        <v>0</v>
      </c>
      <c r="FX34" s="577">
        <f>COUNTIFS(STATUS!$Q:$Q,$A33,STATUS!$D:$D,FX$1,STATUS!$U:$U,"ВОЗВРАТ")</f>
        <v>0</v>
      </c>
      <c r="FY34" s="577">
        <f>COUNTIFS(STATUS!$Q:$Q,$A33,STATUS!$D:$D,FY$1,STATUS!$U:$U,"ВОЗВРАТ")</f>
        <v>0</v>
      </c>
      <c r="FZ34" s="577">
        <f>COUNTIFS(STATUS!$Q:$Q,$A33,STATUS!$D:$D,FZ$1,STATUS!$U:$U,"ВОЗВРАТ")</f>
        <v>0</v>
      </c>
      <c r="GA34" s="578">
        <f>COUNTIFS(STATUS!$Q:$Q,$A33,STATUS!$D:$D,GA$1,STATUS!$U:$U,"ВОЗВРАТ")</f>
        <v>0</v>
      </c>
      <c r="GB34" s="578">
        <f>COUNTIFS(STATUS!$Q:$Q,$A33,STATUS!$D:$D,GB$1,STATUS!$U:$U,"ВОЗВРАТ")</f>
        <v>0</v>
      </c>
      <c r="GC34" s="576">
        <f>SUM(FX34:GB34)</f>
        <v>0</v>
      </c>
      <c r="GD34" s="577">
        <f>COUNTIFS(STATUS!$Q:$Q,$A33,STATUS!$D:$D,GD$1,STATUS!$U:$U,"ВОЗВРАТ")</f>
        <v>0</v>
      </c>
      <c r="GE34" s="577">
        <f>COUNTIFS(STATUS!$Q:$Q,$A33,STATUS!$D:$D,GE$1,STATUS!$U:$U,"ВОЗВРАТ")</f>
        <v>0</v>
      </c>
      <c r="GF34" s="577">
        <f>COUNTIFS(STATUS!$Q:$Q,$A33,STATUS!$D:$D,GF$1,STATUS!$U:$U,"ВОЗВРАТ")</f>
        <v>0</v>
      </c>
      <c r="GG34" s="578">
        <f>COUNTIFS(STATUS!$Q:$Q,$A33,STATUS!$D:$D,GG$1,STATUS!$U:$U,"ВОЗВРАТ")</f>
        <v>0</v>
      </c>
      <c r="GH34" s="578">
        <f>COUNTIFS(STATUS!$Q:$Q,$A33,STATUS!$D:$D,GH$1,STATUS!$U:$U,"ВОЗВРАТ")</f>
        <v>0</v>
      </c>
      <c r="GI34" s="576">
        <f>SUM(GD34:GH34)</f>
        <v>0</v>
      </c>
      <c r="GJ34" s="577">
        <f>COUNTIFS(STATUS!$Q:$Q,$A33,STATUS!$D:$D,GJ$1,STATUS!$U:$U,"ВОЗВРАТ")</f>
        <v>0</v>
      </c>
      <c r="GK34" s="577">
        <f>COUNTIFS(STATUS!$Q:$Q,$A33,STATUS!$D:$D,GK$1,STATUS!$U:$U,"ВОЗВРАТ")</f>
        <v>0</v>
      </c>
      <c r="GL34" s="577">
        <f>COUNTIFS(STATUS!$Q:$Q,$A33,STATUS!$D:$D,GL$1,STATUS!$U:$U,"ВОЗВРАТ")</f>
        <v>0</v>
      </c>
      <c r="GM34" s="578">
        <f>COUNTIFS(STATUS!$Q:$Q,$A33,STATUS!$D:$D,GM$1,STATUS!$U:$U,"ВОЗВРАТ")</f>
        <v>0</v>
      </c>
      <c r="GN34" s="578">
        <f>COUNTIFS(STATUS!$Q:$Q,$A33,STATUS!$D:$D,GN$1,STATUS!$U:$U,"ВОЗВРАТ")</f>
        <v>0</v>
      </c>
      <c r="GO34" s="576">
        <f>SUM(GJ34:GN34)</f>
        <v>0</v>
      </c>
      <c r="GP34" s="577">
        <f>COUNTIFS(STATUS!$Q:$Q,$A33,STATUS!$D:$D,GP$1,STATUS!$U:$U,"ВОЗВРАТ")</f>
        <v>0</v>
      </c>
      <c r="GQ34" s="577">
        <f>COUNTIFS(STATUS!$Q:$Q,$A33,STATUS!$D:$D,GQ$1,STATUS!$U:$U,"ВОЗВРАТ")</f>
        <v>0</v>
      </c>
      <c r="GR34" s="577">
        <f>COUNTIFS(STATUS!$Q:$Q,$A33,STATUS!$D:$D,GR$1,STATUS!$U:$U,"ВОЗВРАТ")</f>
        <v>0</v>
      </c>
      <c r="GS34" s="578">
        <f>COUNTIFS(STATUS!$Q:$Q,$A33,STATUS!$D:$D,GS$1,STATUS!$U:$U,"ВОЗВРАТ")</f>
        <v>0</v>
      </c>
      <c r="GT34" s="578">
        <f>COUNTIFS(STATUS!$Q:$Q,$A33,STATUS!$D:$D,GT$1,STATUS!$U:$U,"ВОЗВРАТ")</f>
        <v>0</v>
      </c>
      <c r="GU34" s="576">
        <f>SUM(GP34:GT34)</f>
        <v>0</v>
      </c>
      <c r="GV34" s="577">
        <f>COUNTIFS(STATUS!$Q:$Q,$A33,STATUS!$D:$D,GV$1,STATUS!$U:$U,"ВОЗВРАТ")</f>
        <v>0</v>
      </c>
      <c r="GW34" s="577">
        <f>COUNTIFS(STATUS!$Q:$Q,$A33,STATUS!$D:$D,GW$1,STATUS!$U:$U,"ВОЗВРАТ")</f>
        <v>0</v>
      </c>
      <c r="GX34" s="577">
        <f>COUNTIFS(STATUS!$Q:$Q,$A33,STATUS!$D:$D,GX$1,STATUS!$U:$U,"ВОЗВРАТ")</f>
        <v>0</v>
      </c>
      <c r="GY34" s="578">
        <f>COUNTIFS(STATUS!$Q:$Q,$A33,STATUS!$D:$D,GY$1,STATUS!$U:$U,"ВОЗВРАТ")</f>
        <v>0</v>
      </c>
      <c r="GZ34" s="578">
        <f>COUNTIFS(STATUS!$Q:$Q,$A33,STATUS!$D:$D,GZ$1,STATUS!$U:$U,"ВОЗВРАТ")</f>
        <v>0</v>
      </c>
      <c r="HA34" s="576">
        <f>SUM(GV34:GZ34)</f>
        <v>0</v>
      </c>
    </row>
    <row r="35" spans="1:209" ht="21.6" thickBot="1" x14ac:dyDescent="0.35">
      <c r="A35" s="1557"/>
      <c r="B35" s="434">
        <f>IFERROR(B34/B33,0)</f>
        <v>0.1111111111111111</v>
      </c>
      <c r="C35" s="579">
        <f>IFERROR(C34/C33,0)</f>
        <v>0</v>
      </c>
      <c r="D35" s="579">
        <f t="shared" ref="D35:S35" si="433">IFERROR(D34/D33,0)</f>
        <v>0</v>
      </c>
      <c r="E35" s="579">
        <f t="shared" si="433"/>
        <v>0</v>
      </c>
      <c r="F35" s="579">
        <f t="shared" si="433"/>
        <v>0</v>
      </c>
      <c r="G35" s="580">
        <f t="shared" si="433"/>
        <v>0</v>
      </c>
      <c r="H35" s="581">
        <f t="shared" si="433"/>
        <v>0</v>
      </c>
      <c r="I35" s="444">
        <f t="shared" si="433"/>
        <v>0</v>
      </c>
      <c r="J35" s="397">
        <f t="shared" si="433"/>
        <v>0</v>
      </c>
      <c r="K35" s="397">
        <f t="shared" si="433"/>
        <v>0</v>
      </c>
      <c r="L35" s="397">
        <f t="shared" si="433"/>
        <v>0</v>
      </c>
      <c r="M35" s="441">
        <f t="shared" si="433"/>
        <v>0</v>
      </c>
      <c r="N35" s="573">
        <f t="shared" si="433"/>
        <v>0</v>
      </c>
      <c r="O35" s="444">
        <f t="shared" si="433"/>
        <v>0</v>
      </c>
      <c r="P35" s="397">
        <f t="shared" si="433"/>
        <v>0</v>
      </c>
      <c r="Q35" s="397">
        <f t="shared" si="433"/>
        <v>0</v>
      </c>
      <c r="R35" s="573">
        <f t="shared" si="433"/>
        <v>0</v>
      </c>
      <c r="S35" s="397">
        <f t="shared" si="433"/>
        <v>0</v>
      </c>
      <c r="T35" s="397">
        <f>IFERROR(T34/T33,0)</f>
        <v>0</v>
      </c>
      <c r="U35" s="397">
        <f>IFERROR(U34/U33,0)</f>
        <v>0</v>
      </c>
      <c r="V35" s="441">
        <f t="shared" ref="V35:W35" si="434">IFERROR(V34/V33,0)</f>
        <v>0</v>
      </c>
      <c r="W35" s="573">
        <f t="shared" si="434"/>
        <v>0</v>
      </c>
      <c r="X35" s="397">
        <f>IFERROR(X34/X33,0)</f>
        <v>0</v>
      </c>
      <c r="Y35" s="397">
        <f>IFERROR(Y34/Y33,0)</f>
        <v>0</v>
      </c>
      <c r="Z35" s="397">
        <f>IFERROR(Z34/Z33,0)</f>
        <v>0</v>
      </c>
      <c r="AA35" s="441">
        <f t="shared" ref="AA35:AB35" si="435">IFERROR(AA34/AA33,0)</f>
        <v>0</v>
      </c>
      <c r="AB35" s="441">
        <f t="shared" si="435"/>
        <v>0</v>
      </c>
      <c r="AC35" s="573">
        <f>IFERROR(AC34/AC33,0)</f>
        <v>0</v>
      </c>
      <c r="AD35" s="397">
        <f>IFERROR(AD34/AD33,0)</f>
        <v>0</v>
      </c>
      <c r="AE35" s="397">
        <f>IFERROR(AE34/AE33,0)</f>
        <v>0</v>
      </c>
      <c r="AF35" s="397">
        <f>IFERROR(AF34/AF33,0)</f>
        <v>0</v>
      </c>
      <c r="AG35" s="441">
        <f t="shared" ref="AG35:AH35" si="436">IFERROR(AG34/AG33,0)</f>
        <v>0</v>
      </c>
      <c r="AH35" s="441">
        <f t="shared" si="436"/>
        <v>0</v>
      </c>
      <c r="AI35" s="573">
        <f>IFERROR(AI34/AI33,0)</f>
        <v>0</v>
      </c>
      <c r="AJ35" s="397">
        <f>IFERROR(AJ34/AJ33,0)</f>
        <v>0</v>
      </c>
      <c r="AK35" s="397">
        <f>IFERROR(AK34/AK33,0)</f>
        <v>0</v>
      </c>
      <c r="AL35" s="397">
        <f>IFERROR(AL34/AL33,0)</f>
        <v>0</v>
      </c>
      <c r="AM35" s="441">
        <f t="shared" ref="AM35:AN35" si="437">IFERROR(AM34/AM33,0)</f>
        <v>0</v>
      </c>
      <c r="AN35" s="441">
        <f t="shared" si="437"/>
        <v>0</v>
      </c>
      <c r="AO35" s="573">
        <f>IFERROR(AO34/AO33,0)</f>
        <v>0</v>
      </c>
      <c r="AP35" s="397">
        <f>IFERROR(AP34/AP33,0)</f>
        <v>0</v>
      </c>
      <c r="AQ35" s="397">
        <f>IFERROR(AQ34/AQ33,0)</f>
        <v>0</v>
      </c>
      <c r="AR35" s="397">
        <f>IFERROR(AR34/AR33,0)</f>
        <v>0</v>
      </c>
      <c r="AS35" s="441">
        <f t="shared" ref="AS35:AT35" si="438">IFERROR(AS34/AS33,0)</f>
        <v>0</v>
      </c>
      <c r="AT35" s="441">
        <f t="shared" si="438"/>
        <v>0</v>
      </c>
      <c r="AU35" s="573">
        <f>IFERROR(AU34/AU33,0)</f>
        <v>0</v>
      </c>
      <c r="AV35" s="397">
        <f>IFERROR(AV34/AV33,0)</f>
        <v>0</v>
      </c>
      <c r="AW35" s="397">
        <f>IFERROR(AW34/AW33,0)</f>
        <v>0</v>
      </c>
      <c r="AX35" s="397">
        <f>IFERROR(AX34/AX33,0)</f>
        <v>0</v>
      </c>
      <c r="AY35" s="441">
        <f t="shared" ref="AY35:AZ35" si="439">IFERROR(AY34/AY33,0)</f>
        <v>0</v>
      </c>
      <c r="AZ35" s="441">
        <f t="shared" si="439"/>
        <v>0</v>
      </c>
      <c r="BA35" s="573">
        <f>IFERROR(BA34/BA33,0)</f>
        <v>0</v>
      </c>
      <c r="BB35" s="397">
        <f>IFERROR(BB34/BB33,0)</f>
        <v>0</v>
      </c>
      <c r="BC35" s="397">
        <f>IFERROR(BC34/BC33,0)</f>
        <v>0</v>
      </c>
      <c r="BD35" s="397">
        <f>IFERROR(BD34/BD33,0)</f>
        <v>0</v>
      </c>
      <c r="BE35" s="441">
        <f t="shared" ref="BE35:BF35" si="440">IFERROR(BE34/BE33,0)</f>
        <v>0</v>
      </c>
      <c r="BF35" s="441">
        <f t="shared" si="440"/>
        <v>0</v>
      </c>
      <c r="BG35" s="573">
        <f>IFERROR(BG34/BG33,0)</f>
        <v>0</v>
      </c>
      <c r="BH35" s="397">
        <f>IFERROR(BH34/BH33,0)</f>
        <v>0</v>
      </c>
      <c r="BI35" s="397">
        <f>IFERROR(BI34/BI33,0)</f>
        <v>0</v>
      </c>
      <c r="BJ35" s="397">
        <f>IFERROR(BJ34/BJ33,0)</f>
        <v>0</v>
      </c>
      <c r="BK35" s="441">
        <f t="shared" ref="BK35:BL35" si="441">IFERROR(BK34/BK33,0)</f>
        <v>0</v>
      </c>
      <c r="BL35" s="441">
        <f t="shared" si="441"/>
        <v>0</v>
      </c>
      <c r="BM35" s="573">
        <f>IFERROR(BM34/BM33,0)</f>
        <v>0</v>
      </c>
      <c r="BN35" s="397">
        <f>IFERROR(BN34/BN33,0)</f>
        <v>0</v>
      </c>
      <c r="BO35" s="397">
        <f>IFERROR(BO34/BO33,0)</f>
        <v>0</v>
      </c>
      <c r="BP35" s="397">
        <f>IFERROR(BP34/BP33,0)</f>
        <v>0</v>
      </c>
      <c r="BQ35" s="441">
        <f t="shared" ref="BQ35:BR35" si="442">IFERROR(BQ34/BQ33,0)</f>
        <v>0</v>
      </c>
      <c r="BR35" s="441">
        <f t="shared" si="442"/>
        <v>0</v>
      </c>
      <c r="BS35" s="573">
        <f>IFERROR(BS34/BS33,0)</f>
        <v>0</v>
      </c>
      <c r="BT35" s="397">
        <f>IFERROR(BT34/BT33,0)</f>
        <v>0</v>
      </c>
      <c r="BU35" s="397">
        <f>IFERROR(BU34/BU33,0)</f>
        <v>0</v>
      </c>
      <c r="BV35" s="397">
        <f>IFERROR(BV34/BV33,0)</f>
        <v>0</v>
      </c>
      <c r="BW35" s="441">
        <f t="shared" ref="BW35:BX35" si="443">IFERROR(BW34/BW33,0)</f>
        <v>0</v>
      </c>
      <c r="BX35" s="441">
        <f t="shared" si="443"/>
        <v>0</v>
      </c>
      <c r="BY35" s="573">
        <f>IFERROR(BY34/BY33,0)</f>
        <v>0</v>
      </c>
      <c r="BZ35" s="397">
        <f>IFERROR(BZ34/BZ33,0)</f>
        <v>0</v>
      </c>
      <c r="CA35" s="397">
        <f>IFERROR(CA34/CA33,0)</f>
        <v>0</v>
      </c>
      <c r="CB35" s="397">
        <f>IFERROR(CB34/CB33,0)</f>
        <v>0</v>
      </c>
      <c r="CC35" s="441">
        <f t="shared" ref="CC35:CD35" si="444">IFERROR(CC34/CC33,0)</f>
        <v>0</v>
      </c>
      <c r="CD35" s="441">
        <f t="shared" si="444"/>
        <v>0</v>
      </c>
      <c r="CE35" s="573">
        <f>IFERROR(CE34/CE33,0)</f>
        <v>0</v>
      </c>
      <c r="CF35" s="397">
        <f>IFERROR(CF34/CF33,0)</f>
        <v>0</v>
      </c>
      <c r="CG35" s="397">
        <f>IFERROR(CG34/CG33,0)</f>
        <v>0</v>
      </c>
      <c r="CH35" s="397">
        <f>IFERROR(CH34/CH33,0)</f>
        <v>0</v>
      </c>
      <c r="CI35" s="441">
        <f t="shared" ref="CI35:CJ35" si="445">IFERROR(CI34/CI33,0)</f>
        <v>0</v>
      </c>
      <c r="CJ35" s="441">
        <f t="shared" si="445"/>
        <v>0</v>
      </c>
      <c r="CK35" s="573">
        <f>IFERROR(CK34/CK33,0)</f>
        <v>0</v>
      </c>
      <c r="CL35" s="397">
        <f>IFERROR(CL34/CL33,0)</f>
        <v>0</v>
      </c>
      <c r="CM35" s="397">
        <f>IFERROR(CM34/CM33,0)</f>
        <v>0</v>
      </c>
      <c r="CN35" s="397">
        <f>IFERROR(CN34/CN33,0)</f>
        <v>0</v>
      </c>
      <c r="CO35" s="441">
        <f t="shared" ref="CO35:CP35" si="446">IFERROR(CO34/CO33,0)</f>
        <v>0</v>
      </c>
      <c r="CP35" s="441">
        <f t="shared" si="446"/>
        <v>0</v>
      </c>
      <c r="CQ35" s="573">
        <f>IFERROR(CQ34/CQ33,0)</f>
        <v>0</v>
      </c>
      <c r="CR35" s="397">
        <f>IFERROR(CR34/CR33,0)</f>
        <v>0</v>
      </c>
      <c r="CS35" s="397">
        <f>IFERROR(CS34/CS33,0)</f>
        <v>0</v>
      </c>
      <c r="CT35" s="397">
        <f>IFERROR(CT34/CT33,0)</f>
        <v>0</v>
      </c>
      <c r="CU35" s="441">
        <f t="shared" ref="CU35:CV35" si="447">IFERROR(CU34/CU33,0)</f>
        <v>0</v>
      </c>
      <c r="CV35" s="441">
        <f t="shared" si="447"/>
        <v>0</v>
      </c>
      <c r="CW35" s="573">
        <f>IFERROR(CW34/CW33,0)</f>
        <v>0</v>
      </c>
      <c r="CX35" s="397">
        <f>IFERROR(CX34/CX33,0)</f>
        <v>0</v>
      </c>
      <c r="CY35" s="397">
        <f>IFERROR(CY34/CY33,0)</f>
        <v>0</v>
      </c>
      <c r="CZ35" s="397">
        <f>IFERROR(CZ34/CZ33,0)</f>
        <v>0</v>
      </c>
      <c r="DA35" s="441">
        <f t="shared" ref="DA35:DB35" si="448">IFERROR(DA34/DA33,0)</f>
        <v>0</v>
      </c>
      <c r="DB35" s="441">
        <f t="shared" si="448"/>
        <v>0</v>
      </c>
      <c r="DC35" s="573">
        <f>IFERROR(DC34/DC33,0)</f>
        <v>0</v>
      </c>
      <c r="DD35" s="397">
        <f>IFERROR(DD34/DD33,0)</f>
        <v>0</v>
      </c>
      <c r="DE35" s="397">
        <f>IFERROR(DE34/DE33,0)</f>
        <v>0</v>
      </c>
      <c r="DF35" s="397">
        <f>IFERROR(DF34/DF33,0)</f>
        <v>0</v>
      </c>
      <c r="DG35" s="441">
        <f t="shared" ref="DG35:DH35" si="449">IFERROR(DG34/DG33,0)</f>
        <v>0</v>
      </c>
      <c r="DH35" s="441">
        <f t="shared" si="449"/>
        <v>0</v>
      </c>
      <c r="DI35" s="573">
        <f>IFERROR(DI34/DI33,0)</f>
        <v>0</v>
      </c>
      <c r="DJ35" s="397">
        <f>IFERROR(DJ34/DJ33,0)</f>
        <v>0</v>
      </c>
      <c r="DK35" s="397">
        <f>IFERROR(DK34/DK33,0)</f>
        <v>0</v>
      </c>
      <c r="DL35" s="397">
        <f>IFERROR(DL34/DL33,0)</f>
        <v>0</v>
      </c>
      <c r="DM35" s="441">
        <f t="shared" ref="DM35:DN35" si="450">IFERROR(DM34/DM33,0)</f>
        <v>0</v>
      </c>
      <c r="DN35" s="441">
        <f t="shared" si="450"/>
        <v>0</v>
      </c>
      <c r="DO35" s="573">
        <f>IFERROR(DO34/DO33,0)</f>
        <v>0</v>
      </c>
      <c r="DP35" s="397">
        <f>IFERROR(DP34/DP33,0)</f>
        <v>0</v>
      </c>
      <c r="DQ35" s="397">
        <f>IFERROR(DQ34/DQ33,0)</f>
        <v>0</v>
      </c>
      <c r="DR35" s="397">
        <f>IFERROR(DR34/DR33,0)</f>
        <v>0</v>
      </c>
      <c r="DS35" s="441">
        <f t="shared" ref="DS35:DT35" si="451">IFERROR(DS34/DS33,0)</f>
        <v>0</v>
      </c>
      <c r="DT35" s="441">
        <f t="shared" si="451"/>
        <v>1</v>
      </c>
      <c r="DU35" s="573">
        <f>IFERROR(DU34/DU33,0)</f>
        <v>0.66666666666666663</v>
      </c>
      <c r="DV35" s="397">
        <f>IFERROR(DV34/DV33,0)</f>
        <v>0</v>
      </c>
      <c r="DW35" s="397">
        <f>IFERROR(DW34/DW33,0)</f>
        <v>0</v>
      </c>
      <c r="DX35" s="397">
        <f>IFERROR(DX34/DX33,0)</f>
        <v>0.33333333333333331</v>
      </c>
      <c r="DY35" s="441">
        <f t="shared" ref="DY35:DZ35" si="452">IFERROR(DY34/DY33,0)</f>
        <v>0</v>
      </c>
      <c r="DZ35" s="441">
        <f t="shared" si="452"/>
        <v>0</v>
      </c>
      <c r="EA35" s="573">
        <f>IFERROR(EA34/EA33,0)</f>
        <v>4.7619047619047616E-2</v>
      </c>
      <c r="EB35" s="397">
        <f>IFERROR(EB34/EB33,0)</f>
        <v>0</v>
      </c>
      <c r="EC35" s="397">
        <f>IFERROR(EC34/EC33,0)</f>
        <v>0.2</v>
      </c>
      <c r="ED35" s="397">
        <f>IFERROR(ED34/ED33,0)</f>
        <v>0.2</v>
      </c>
      <c r="EE35" s="441">
        <f t="shared" ref="EE35:EF35" si="453">IFERROR(EE34/EE33,0)</f>
        <v>0</v>
      </c>
      <c r="EF35" s="441">
        <f t="shared" si="453"/>
        <v>0</v>
      </c>
      <c r="EG35" s="573">
        <f>IFERROR(EG34/EG33,0)</f>
        <v>9.5238095238095233E-2</v>
      </c>
      <c r="EH35" s="397">
        <f>IFERROR(EH34/EH33,0)</f>
        <v>0</v>
      </c>
      <c r="EI35" s="397">
        <f>IFERROR(EI34/EI33,0)</f>
        <v>0</v>
      </c>
      <c r="EJ35" s="397">
        <f>IFERROR(EJ34/EJ33,0)</f>
        <v>0</v>
      </c>
      <c r="EK35" s="441">
        <f t="shared" ref="EK35:EL35" si="454">IFERROR(EK34/EK33,0)</f>
        <v>0</v>
      </c>
      <c r="EL35" s="441">
        <f t="shared" si="454"/>
        <v>0</v>
      </c>
      <c r="EM35" s="573">
        <f>IFERROR(EM34/EM33,0)</f>
        <v>0</v>
      </c>
      <c r="EN35" s="397">
        <f>IFERROR(EN34/EN33,0)</f>
        <v>0</v>
      </c>
      <c r="EO35" s="397">
        <f>IFERROR(EO34/EO33,0)</f>
        <v>0</v>
      </c>
      <c r="EP35" s="397">
        <f>IFERROR(EP34/EP33,0)</f>
        <v>0</v>
      </c>
      <c r="EQ35" s="441">
        <f t="shared" ref="EQ35:ER35" si="455">IFERROR(EQ34/EQ33,0)</f>
        <v>0</v>
      </c>
      <c r="ER35" s="441">
        <f t="shared" si="455"/>
        <v>0</v>
      </c>
      <c r="ES35" s="573">
        <f>IFERROR(ES34/ES33,0)</f>
        <v>0</v>
      </c>
      <c r="ET35" s="397">
        <f>IFERROR(ET34/ET33,0)</f>
        <v>0</v>
      </c>
      <c r="EU35" s="397">
        <f>IFERROR(EU34/EU33,0)</f>
        <v>0</v>
      </c>
      <c r="EV35" s="397">
        <f>IFERROR(EV34/EV33,0)</f>
        <v>0</v>
      </c>
      <c r="EW35" s="441">
        <f t="shared" ref="EW35:EX35" si="456">IFERROR(EW34/EW33,0)</f>
        <v>0</v>
      </c>
      <c r="EX35" s="441">
        <f t="shared" si="456"/>
        <v>0</v>
      </c>
      <c r="EY35" s="573">
        <f>IFERROR(EY34/EY33,0)</f>
        <v>0</v>
      </c>
      <c r="EZ35" s="397">
        <f>IFERROR(EZ34/EZ33,0)</f>
        <v>0</v>
      </c>
      <c r="FA35" s="397">
        <f>IFERROR(FA34/FA33,0)</f>
        <v>0</v>
      </c>
      <c r="FB35" s="397">
        <f>IFERROR(FB34/FB33,0)</f>
        <v>0</v>
      </c>
      <c r="FC35" s="441">
        <f t="shared" ref="FC35:FD35" si="457">IFERROR(FC34/FC33,0)</f>
        <v>0</v>
      </c>
      <c r="FD35" s="441">
        <f t="shared" si="457"/>
        <v>0</v>
      </c>
      <c r="FE35" s="573">
        <f>IFERROR(FE34/FE33,0)</f>
        <v>0</v>
      </c>
      <c r="FF35" s="397">
        <f>IFERROR(FF34/FF33,0)</f>
        <v>0</v>
      </c>
      <c r="FG35" s="397">
        <f>IFERROR(FG34/FG33,0)</f>
        <v>0</v>
      </c>
      <c r="FH35" s="397">
        <f>IFERROR(FH34/FH33,0)</f>
        <v>0</v>
      </c>
      <c r="FI35" s="441">
        <f t="shared" ref="FI35:FJ35" si="458">IFERROR(FI34/FI33,0)</f>
        <v>0</v>
      </c>
      <c r="FJ35" s="441">
        <f t="shared" si="458"/>
        <v>0</v>
      </c>
      <c r="FK35" s="573">
        <f>IFERROR(FK34/FK33,0)</f>
        <v>0</v>
      </c>
      <c r="FL35" s="397">
        <f>IFERROR(FL34/FL33,0)</f>
        <v>0</v>
      </c>
      <c r="FM35" s="397">
        <f>IFERROR(FM34/FM33,0)</f>
        <v>0</v>
      </c>
      <c r="FN35" s="397">
        <f>IFERROR(FN34/FN33,0)</f>
        <v>0</v>
      </c>
      <c r="FO35" s="441">
        <f t="shared" ref="FO35:FP35" si="459">IFERROR(FO34/FO33,0)</f>
        <v>0</v>
      </c>
      <c r="FP35" s="441">
        <f t="shared" si="459"/>
        <v>0</v>
      </c>
      <c r="FQ35" s="573">
        <f>IFERROR(FQ34/FQ33,0)</f>
        <v>0</v>
      </c>
      <c r="FR35" s="397">
        <f>IFERROR(FR34/FR33,0)</f>
        <v>0</v>
      </c>
      <c r="FS35" s="397">
        <f>IFERROR(FS34/FS33,0)</f>
        <v>0</v>
      </c>
      <c r="FT35" s="397">
        <f>IFERROR(FT34/FT33,0)</f>
        <v>0</v>
      </c>
      <c r="FU35" s="441">
        <f t="shared" ref="FU35:FV35" si="460">IFERROR(FU34/FU33,0)</f>
        <v>0</v>
      </c>
      <c r="FV35" s="441">
        <f t="shared" si="460"/>
        <v>0</v>
      </c>
      <c r="FW35" s="573">
        <f>IFERROR(FW34/FW33,0)</f>
        <v>0</v>
      </c>
      <c r="FX35" s="397">
        <f>IFERROR(FX34/FX33,0)</f>
        <v>0</v>
      </c>
      <c r="FY35" s="397">
        <f>IFERROR(FY34/FY33,0)</f>
        <v>0</v>
      </c>
      <c r="FZ35" s="397">
        <f>IFERROR(FZ34/FZ33,0)</f>
        <v>0</v>
      </c>
      <c r="GA35" s="441">
        <f t="shared" ref="GA35:GB35" si="461">IFERROR(GA34/GA33,0)</f>
        <v>0</v>
      </c>
      <c r="GB35" s="441">
        <f t="shared" si="461"/>
        <v>0</v>
      </c>
      <c r="GC35" s="573">
        <f>IFERROR(GC34/GC33,0)</f>
        <v>0</v>
      </c>
      <c r="GD35" s="397">
        <f>IFERROR(GD34/GD33,0)</f>
        <v>0</v>
      </c>
      <c r="GE35" s="397">
        <f>IFERROR(GE34/GE33,0)</f>
        <v>0</v>
      </c>
      <c r="GF35" s="397">
        <f>IFERROR(GF34/GF33,0)</f>
        <v>0</v>
      </c>
      <c r="GG35" s="441">
        <f t="shared" ref="GG35:GH35" si="462">IFERROR(GG34/GG33,0)</f>
        <v>0</v>
      </c>
      <c r="GH35" s="441">
        <f t="shared" si="462"/>
        <v>0</v>
      </c>
      <c r="GI35" s="573">
        <f>IFERROR(GI34/GI33,0)</f>
        <v>0</v>
      </c>
      <c r="GJ35" s="397">
        <f>IFERROR(GJ34/GJ33,0)</f>
        <v>0</v>
      </c>
      <c r="GK35" s="397">
        <f>IFERROR(GK34/GK33,0)</f>
        <v>0</v>
      </c>
      <c r="GL35" s="397">
        <f>IFERROR(GL34/GL33,0)</f>
        <v>0</v>
      </c>
      <c r="GM35" s="441">
        <f t="shared" ref="GM35:GN35" si="463">IFERROR(GM34/GM33,0)</f>
        <v>0</v>
      </c>
      <c r="GN35" s="441">
        <f t="shared" si="463"/>
        <v>0</v>
      </c>
      <c r="GO35" s="573">
        <f>IFERROR(GO34/GO33,0)</f>
        <v>0</v>
      </c>
      <c r="GP35" s="397">
        <f>IFERROR(GP34/GP33,0)</f>
        <v>0</v>
      </c>
      <c r="GQ35" s="397">
        <f>IFERROR(GQ34/GQ33,0)</f>
        <v>0</v>
      </c>
      <c r="GR35" s="397">
        <f>IFERROR(GR34/GR33,0)</f>
        <v>0</v>
      </c>
      <c r="GS35" s="441">
        <f t="shared" ref="GS35:GT35" si="464">IFERROR(GS34/GS33,0)</f>
        <v>0</v>
      </c>
      <c r="GT35" s="441">
        <f t="shared" si="464"/>
        <v>0</v>
      </c>
      <c r="GU35" s="573">
        <f>IFERROR(GU34/GU33,0)</f>
        <v>0</v>
      </c>
      <c r="GV35" s="397">
        <f>IFERROR(GV34/GV33,0)</f>
        <v>0</v>
      </c>
      <c r="GW35" s="397">
        <f>IFERROR(GW34/GW33,0)</f>
        <v>0</v>
      </c>
      <c r="GX35" s="397">
        <f>IFERROR(GX34/GX33,0)</f>
        <v>0</v>
      </c>
      <c r="GY35" s="441">
        <f t="shared" ref="GY35:GZ35" si="465">IFERROR(GY34/GY33,0)</f>
        <v>0</v>
      </c>
      <c r="GZ35" s="441">
        <f t="shared" si="465"/>
        <v>0</v>
      </c>
      <c r="HA35" s="573">
        <f>IFERROR(HA34/HA33,0)</f>
        <v>0</v>
      </c>
    </row>
    <row r="36" spans="1:209" ht="15" thickTop="1" x14ac:dyDescent="0.3">
      <c r="A36" s="1555" t="s">
        <v>11751</v>
      </c>
      <c r="B36" s="428">
        <f>SUM(H36,N36,R36,W36,AC36,AI36,AO36,AU36,BA36,BG36,BM36,BS36,BY36,CE36,CK36,CQ36,CW36,DC36,DI36,DO36,DU36,EA36,EG36,EM36,ES36,EY36,FE36,FK36,FQ36,FW36,GC36,GI36,GO36,GU36,HA36)</f>
        <v>29</v>
      </c>
      <c r="C36" s="574">
        <f>COUNTIFS(STATUS!$Q:$Q,$A36,STATUS!$D:$D,C$1,STATUS!$K:$K,"РЕШ УВ DONE")</f>
        <v>0</v>
      </c>
      <c r="D36" s="574">
        <f>COUNTIFS(STATUS!$Q:$Q,$A36,STATUS!$D:$D,D$1,STATUS!$K:$K,"РЕШ УВ DONE")</f>
        <v>0</v>
      </c>
      <c r="E36" s="574">
        <f>COUNTIFS(STATUS!$Q:$Q,$A36,STATUS!$D:$D,E$1,STATUS!$K:$K,"РЕШ УВ DONE")</f>
        <v>0</v>
      </c>
      <c r="F36" s="574">
        <f>COUNTIFS(STATUS!$Q:$Q,$A36,STATUS!$D:$D,F$1,STATUS!$K:$K,"РЕШ УВ DONE")</f>
        <v>0</v>
      </c>
      <c r="G36" s="575">
        <f>COUNTIFS(STATUS!$Q:$Q,$A36,STATUS!$D:$D,G$1,STATUS!$K:$K,"РЕШ УВ DONE")</f>
        <v>0</v>
      </c>
      <c r="H36" s="576">
        <f>SUM(C36:G36)</f>
        <v>0</v>
      </c>
      <c r="I36" s="1239">
        <f>COUNTIFS(STATUS!$Q:$Q,$A36,STATUS!$D:$D,I$1,STATUS!$K:$K,"РЕШ УВ DONE")</f>
        <v>0</v>
      </c>
      <c r="J36" s="574">
        <f>COUNTIFS(STATUS!$Q:$Q,$A36,STATUS!$D:$D,J$1,STATUS!$K:$K,"РЕШ УВ DONE")</f>
        <v>0</v>
      </c>
      <c r="K36" s="574">
        <f>COUNTIFS(STATUS!$Q:$Q,$A36,STATUS!$D:$D,K$1,STATUS!$K:$K,"РЕШ УВ DONE")</f>
        <v>0</v>
      </c>
      <c r="L36" s="574">
        <f>COUNTIFS(STATUS!$Q:$Q,$A36,STATUS!$D:$D,L$1,STATUS!$K:$K,"РЕШ УВ DONE")</f>
        <v>0</v>
      </c>
      <c r="M36" s="575">
        <f>COUNTIFS(STATUS!$Q:$Q,$A36,STATUS!$D:$D,M$1,STATUS!$K:$K,"РЕШ УВ DONE")</f>
        <v>0</v>
      </c>
      <c r="N36" s="576">
        <f>SUM(I36:M36)</f>
        <v>0</v>
      </c>
      <c r="O36" s="1239">
        <f>COUNTIFS(STATUS!$Q:$Q,$A36,STATUS!$D:$D,O$1,STATUS!$K:$K,"РЕШ УВ DONE")</f>
        <v>0</v>
      </c>
      <c r="P36" s="574">
        <f>COUNTIFS(STATUS!$Q:$Q,$A36,STATUS!$D:$D,P$1,STATUS!$K:$K,"РЕШ УВ DONE")</f>
        <v>0</v>
      </c>
      <c r="Q36" s="574">
        <f>COUNTIFS(STATUS!$Q:$Q,$A36,STATUS!$D:$D,Q$1,STATUS!$K:$K,"РЕШ УВ DONE")</f>
        <v>0</v>
      </c>
      <c r="R36" s="1238">
        <f>SUM(O36:Q36)</f>
        <v>0</v>
      </c>
      <c r="S36" s="574">
        <f>COUNTIFS(STATUS!$Q:$Q,$A36,STATUS!$D:$D,S$1,STATUS!$K:$K,"РЕШ УВ DONE")</f>
        <v>0</v>
      </c>
      <c r="T36" s="574">
        <f>COUNTIFS(STATUS!$Q:$Q,$A36,STATUS!$D:$D,T$1,STATUS!$K:$K,"РЕШ УВ DONE")</f>
        <v>0</v>
      </c>
      <c r="U36" s="574">
        <f>COUNTIFS(STATUS!$Q:$Q,$A36,STATUS!$D:$D,U$1,STATUS!$K:$K,"РЕШ УВ DONE")</f>
        <v>0</v>
      </c>
      <c r="V36" s="575">
        <f>COUNTIFS(STATUS!$Q:$Q,$A36,STATUS!$D:$D,V$1,STATUS!$K:$K,"РЕШ УВ DONE")</f>
        <v>0</v>
      </c>
      <c r="W36" s="1238">
        <f>SUM(S36:V36)</f>
        <v>0</v>
      </c>
      <c r="X36" s="574">
        <f>COUNTIFS(STATUS!$Q:$Q,$A36,STATUS!$D:$D,X$1,STATUS!$K:$K,"РЕШ УВ DONE")</f>
        <v>0</v>
      </c>
      <c r="Y36" s="574">
        <f>COUNTIFS(STATUS!$Q:$Q,$A36,STATUS!$D:$D,Y$1,STATUS!$K:$K,"РЕШ УВ DONE")</f>
        <v>0</v>
      </c>
      <c r="Z36" s="574">
        <f>COUNTIFS(STATUS!$Q:$Q,$A36,STATUS!$D:$D,Z$1,STATUS!$K:$K,"РЕШ УВ DONE")</f>
        <v>0</v>
      </c>
      <c r="AA36" s="575">
        <f>COUNTIFS(STATUS!$Q:$Q,$A36,STATUS!$D:$D,AA$1,STATUS!$K:$K,"РЕШ УВ DONE")</f>
        <v>0</v>
      </c>
      <c r="AB36" s="575">
        <f>COUNTIFS(STATUS!$Q:$Q,$A36,STATUS!$D:$D,AB$1,STATUS!$K:$K,"РЕШ УВ DONE")</f>
        <v>0</v>
      </c>
      <c r="AC36" s="1238">
        <f>SUM(X36:AB36)</f>
        <v>0</v>
      </c>
      <c r="AD36" s="574">
        <f>COUNTIFS(STATUS!$Q:$Q,$A36,STATUS!$D:$D,AD$1,STATUS!$K:$K,"РЕШ УВ DONE")</f>
        <v>0</v>
      </c>
      <c r="AE36" s="574">
        <f>COUNTIFS(STATUS!$Q:$Q,$A36,STATUS!$D:$D,AE$1,STATUS!$K:$K,"РЕШ УВ DONE")</f>
        <v>0</v>
      </c>
      <c r="AF36" s="574">
        <f>COUNTIFS(STATUS!$Q:$Q,$A36,STATUS!$D:$D,AF$1,STATUS!$K:$K,"РЕШ УВ DONE")</f>
        <v>0</v>
      </c>
      <c r="AG36" s="575">
        <f>COUNTIFS(STATUS!$Q:$Q,$A36,STATUS!$D:$D,AG$1,STATUS!$K:$K,"РЕШ УВ DONE")</f>
        <v>0</v>
      </c>
      <c r="AH36" s="575">
        <f>COUNTIFS(STATUS!$Q:$Q,$A36,STATUS!$D:$D,AH$1,STATUS!$K:$K,"РЕШ УВ DONE")</f>
        <v>0</v>
      </c>
      <c r="AI36" s="1238">
        <f>SUM(AD36:AH36)</f>
        <v>0</v>
      </c>
      <c r="AJ36" s="574">
        <f>COUNTIFS(STATUS!$Q:$Q,$A36,STATUS!$D:$D,AJ$1,STATUS!$K:$K,"РЕШ УВ DONE")</f>
        <v>0</v>
      </c>
      <c r="AK36" s="574">
        <f>COUNTIFS(STATUS!$Q:$Q,$A36,STATUS!$D:$D,AK$1,STATUS!$K:$K,"РЕШ УВ DONE")</f>
        <v>0</v>
      </c>
      <c r="AL36" s="574">
        <f>COUNTIFS(STATUS!$Q:$Q,$A36,STATUS!$D:$D,AL$1,STATUS!$K:$K,"РЕШ УВ DONE")</f>
        <v>0</v>
      </c>
      <c r="AM36" s="575">
        <f>COUNTIFS(STATUS!$Q:$Q,$A36,STATUS!$D:$D,AM$1,STATUS!$K:$K,"РЕШ УВ DONE")</f>
        <v>0</v>
      </c>
      <c r="AN36" s="575">
        <f>COUNTIFS(STATUS!$Q:$Q,$A36,STATUS!$D:$D,AN$1,STATUS!$K:$K,"РЕШ УВ DONE")</f>
        <v>0</v>
      </c>
      <c r="AO36" s="1238">
        <f>SUM(AJ36:AN36)</f>
        <v>0</v>
      </c>
      <c r="AP36" s="574">
        <f>COUNTIFS(STATUS!$Q:$Q,$A36,STATUS!$D:$D,AP$1,STATUS!$K:$K,"РЕШ УВ DONE")</f>
        <v>0</v>
      </c>
      <c r="AQ36" s="574">
        <f>COUNTIFS(STATUS!$Q:$Q,$A36,STATUS!$D:$D,AQ$1,STATUS!$K:$K,"РЕШ УВ DONE")</f>
        <v>0</v>
      </c>
      <c r="AR36" s="574">
        <f>COUNTIFS(STATUS!$Q:$Q,$A36,STATUS!$D:$D,AR$1,STATUS!$K:$K,"РЕШ УВ DONE")</f>
        <v>0</v>
      </c>
      <c r="AS36" s="575">
        <f>COUNTIFS(STATUS!$Q:$Q,$A36,STATUS!$D:$D,AS$1,STATUS!$K:$K,"РЕШ УВ DONE")</f>
        <v>0</v>
      </c>
      <c r="AT36" s="575">
        <f>COUNTIFS(STATUS!$Q:$Q,$A36,STATUS!$D:$D,AT$1,STATUS!$K:$K,"РЕШ УВ DONE")</f>
        <v>0</v>
      </c>
      <c r="AU36" s="1238">
        <f>SUM(AP36:AT36)</f>
        <v>0</v>
      </c>
      <c r="AV36" s="574">
        <f>COUNTIFS(STATUS!$Q:$Q,$A36,STATUS!$D:$D,AV$1,STATUS!$K:$K,"РЕШ УВ DONE")</f>
        <v>0</v>
      </c>
      <c r="AW36" s="574">
        <f>COUNTIFS(STATUS!$Q:$Q,$A36,STATUS!$D:$D,AW$1,STATUS!$K:$K,"РЕШ УВ DONE")</f>
        <v>0</v>
      </c>
      <c r="AX36" s="574">
        <f>COUNTIFS(STATUS!$Q:$Q,$A36,STATUS!$D:$D,AX$1,STATUS!$K:$K,"РЕШ УВ DONE")</f>
        <v>0</v>
      </c>
      <c r="AY36" s="575">
        <f>COUNTIFS(STATUS!$Q:$Q,$A36,STATUS!$D:$D,AY$1,STATUS!$K:$K,"РЕШ УВ DONE")</f>
        <v>0</v>
      </c>
      <c r="AZ36" s="575">
        <f>COUNTIFS(STATUS!$Q:$Q,$A36,STATUS!$D:$D,AZ$1,STATUS!$K:$K,"РЕШ УВ DONE")</f>
        <v>0</v>
      </c>
      <c r="BA36" s="1238">
        <f>SUM(AV36:AZ36)</f>
        <v>0</v>
      </c>
      <c r="BB36" s="574">
        <f>COUNTIFS(STATUS!$Q:$Q,$A36,STATUS!$D:$D,BB$1,STATUS!$K:$K,"РЕШ УВ DONE")</f>
        <v>0</v>
      </c>
      <c r="BC36" s="574">
        <f>COUNTIFS(STATUS!$Q:$Q,$A36,STATUS!$D:$D,BC$1,STATUS!$K:$K,"РЕШ УВ DONE")</f>
        <v>0</v>
      </c>
      <c r="BD36" s="574">
        <f>COUNTIFS(STATUS!$Q:$Q,$A36,STATUS!$D:$D,BD$1,STATUS!$K:$K,"РЕШ УВ DONE")</f>
        <v>0</v>
      </c>
      <c r="BE36" s="575">
        <f>COUNTIFS(STATUS!$Q:$Q,$A36,STATUS!$D:$D,BE$1,STATUS!$K:$K,"РЕШ УВ DONE")</f>
        <v>0</v>
      </c>
      <c r="BF36" s="575">
        <f>COUNTIFS(STATUS!$Q:$Q,$A36,STATUS!$D:$D,BF$1,STATUS!$K:$K,"РЕШ УВ DONE")</f>
        <v>0</v>
      </c>
      <c r="BG36" s="1238">
        <f>SUM(BB36:BF36)</f>
        <v>0</v>
      </c>
      <c r="BH36" s="574">
        <f>COUNTIFS(STATUS!$Q:$Q,$A36,STATUS!$D:$D,BH$1,STATUS!$K:$K,"РЕШ УВ DONE")</f>
        <v>0</v>
      </c>
      <c r="BI36" s="574">
        <f>COUNTIFS(STATUS!$Q:$Q,$A36,STATUS!$D:$D,BI$1,STATUS!$K:$K,"РЕШ УВ DONE")</f>
        <v>0</v>
      </c>
      <c r="BJ36" s="574">
        <f>COUNTIFS(STATUS!$Q:$Q,$A36,STATUS!$D:$D,BJ$1,STATUS!$K:$K,"РЕШ УВ DONE")</f>
        <v>0</v>
      </c>
      <c r="BK36" s="575">
        <f>COUNTIFS(STATUS!$Q:$Q,$A36,STATUS!$D:$D,BK$1,STATUS!$K:$K,"РЕШ УВ DONE")</f>
        <v>0</v>
      </c>
      <c r="BL36" s="575">
        <f>COUNTIFS(STATUS!$Q:$Q,$A36,STATUS!$D:$D,BL$1,STATUS!$K:$K,"РЕШ УВ DONE")</f>
        <v>0</v>
      </c>
      <c r="BM36" s="1238">
        <f>SUM(BH36:BL36)</f>
        <v>0</v>
      </c>
      <c r="BN36" s="574">
        <f>COUNTIFS(STATUS!$Q:$Q,$A36,STATUS!$D:$D,BN$1,STATUS!$K:$K,"РЕШ УВ DONE")</f>
        <v>0</v>
      </c>
      <c r="BO36" s="574">
        <f>COUNTIFS(STATUS!$Q:$Q,$A36,STATUS!$D:$D,BO$1,STATUS!$K:$K,"РЕШ УВ DONE")</f>
        <v>0</v>
      </c>
      <c r="BP36" s="574">
        <f>COUNTIFS(STATUS!$Q:$Q,$A36,STATUS!$D:$D,BP$1,STATUS!$K:$K,"РЕШ УВ DONE")</f>
        <v>0</v>
      </c>
      <c r="BQ36" s="575">
        <f>COUNTIFS(STATUS!$Q:$Q,$A36,STATUS!$D:$D,BQ$1,STATUS!$K:$K,"РЕШ УВ DONE")</f>
        <v>0</v>
      </c>
      <c r="BR36" s="575">
        <f>COUNTIFS(STATUS!$Q:$Q,$A36,STATUS!$D:$D,BR$1,STATUS!$K:$K,"РЕШ УВ DONE")</f>
        <v>0</v>
      </c>
      <c r="BS36" s="1238">
        <f>SUM(BN36:BR36)</f>
        <v>0</v>
      </c>
      <c r="BT36" s="574">
        <f>COUNTIFS(STATUS!$Q:$Q,$A36,STATUS!$D:$D,BT$1,STATUS!$K:$K,"РЕШ УВ DONE")</f>
        <v>0</v>
      </c>
      <c r="BU36" s="574">
        <f>COUNTIFS(STATUS!$Q:$Q,$A36,STATUS!$D:$D,BU$1,STATUS!$K:$K,"РЕШ УВ DONE")</f>
        <v>0</v>
      </c>
      <c r="BV36" s="574">
        <f>COUNTIFS(STATUS!$Q:$Q,$A36,STATUS!$D:$D,BV$1,STATUS!$K:$K,"РЕШ УВ DONE")</f>
        <v>0</v>
      </c>
      <c r="BW36" s="575">
        <f>COUNTIFS(STATUS!$Q:$Q,$A36,STATUS!$D:$D,BW$1,STATUS!$K:$K,"РЕШ УВ DONE")</f>
        <v>0</v>
      </c>
      <c r="BX36" s="575">
        <f>COUNTIFS(STATUS!$Q:$Q,$A36,STATUS!$D:$D,BX$1,STATUS!$K:$K,"РЕШ УВ DONE")</f>
        <v>0</v>
      </c>
      <c r="BY36" s="1238">
        <f>SUM(BT36:BX36)</f>
        <v>0</v>
      </c>
      <c r="BZ36" s="574">
        <f>COUNTIFS(STATUS!$Q:$Q,$A36,STATUS!$D:$D,BZ$1,STATUS!$K:$K,"РЕШ УВ DONE")</f>
        <v>0</v>
      </c>
      <c r="CA36" s="574">
        <f>COUNTIFS(STATUS!$Q:$Q,$A36,STATUS!$D:$D,CA$1,STATUS!$K:$K,"РЕШ УВ DONE")</f>
        <v>0</v>
      </c>
      <c r="CB36" s="574">
        <f>COUNTIFS(STATUS!$Q:$Q,$A36,STATUS!$D:$D,CB$1,STATUS!$K:$K,"РЕШ УВ DONE")</f>
        <v>0</v>
      </c>
      <c r="CC36" s="575">
        <f>COUNTIFS(STATUS!$Q:$Q,$A36,STATUS!$D:$D,CC$1,STATUS!$K:$K,"РЕШ УВ DONE")</f>
        <v>0</v>
      </c>
      <c r="CD36" s="575">
        <f>COUNTIFS(STATUS!$Q:$Q,$A36,STATUS!$D:$D,CD$1,STATUS!$K:$K,"РЕШ УВ DONE")</f>
        <v>0</v>
      </c>
      <c r="CE36" s="1238">
        <f>SUM(BZ36:CD36)</f>
        <v>0</v>
      </c>
      <c r="CF36" s="574">
        <f>COUNTIFS(STATUS!$Q:$Q,$A36,STATUS!$D:$D,CF$1,STATUS!$K:$K,"РЕШ УВ DONE")</f>
        <v>0</v>
      </c>
      <c r="CG36" s="574">
        <f>COUNTIFS(STATUS!$Q:$Q,$A36,STATUS!$D:$D,CG$1,STATUS!$K:$K,"РЕШ УВ DONE")</f>
        <v>0</v>
      </c>
      <c r="CH36" s="574">
        <f>COUNTIFS(STATUS!$Q:$Q,$A36,STATUS!$D:$D,CH$1,STATUS!$K:$K,"РЕШ УВ DONE")</f>
        <v>0</v>
      </c>
      <c r="CI36" s="575">
        <f>COUNTIFS(STATUS!$Q:$Q,$A36,STATUS!$D:$D,CI$1,STATUS!$K:$K,"РЕШ УВ DONE")</f>
        <v>0</v>
      </c>
      <c r="CJ36" s="575">
        <f>COUNTIFS(STATUS!$Q:$Q,$A36,STATUS!$D:$D,CJ$1,STATUS!$K:$K,"РЕШ УВ DONE")</f>
        <v>0</v>
      </c>
      <c r="CK36" s="1238">
        <f>SUM(CF36:CJ36)</f>
        <v>0</v>
      </c>
      <c r="CL36" s="574">
        <f>COUNTIFS(STATUS!$Q:$Q,$A36,STATUS!$D:$D,CL$1,STATUS!$K:$K,"РЕШ УВ DONE")</f>
        <v>0</v>
      </c>
      <c r="CM36" s="574">
        <f>COUNTIFS(STATUS!$Q:$Q,$A36,STATUS!$D:$D,CM$1,STATUS!$K:$K,"РЕШ УВ DONE")</f>
        <v>0</v>
      </c>
      <c r="CN36" s="574">
        <f>COUNTIFS(STATUS!$Q:$Q,$A36,STATUS!$D:$D,CN$1,STATUS!$K:$K,"РЕШ УВ DONE")</f>
        <v>0</v>
      </c>
      <c r="CO36" s="575">
        <f>COUNTIFS(STATUS!$Q:$Q,$A36,STATUS!$D:$D,CO$1,STATUS!$K:$K,"РЕШ УВ DONE")</f>
        <v>0</v>
      </c>
      <c r="CP36" s="575">
        <f>COUNTIFS(STATUS!$Q:$Q,$A36,STATUS!$D:$D,CP$1,STATUS!$K:$K,"РЕШ УВ DONE")</f>
        <v>0</v>
      </c>
      <c r="CQ36" s="1238">
        <f>SUM(CL36:CP36)</f>
        <v>0</v>
      </c>
      <c r="CR36" s="574">
        <f>COUNTIFS(STATUS!$Q:$Q,$A36,STATUS!$D:$D,CR$1,STATUS!$K:$K,"РЕШ УВ DONE")</f>
        <v>0</v>
      </c>
      <c r="CS36" s="574">
        <f>COUNTIFS(STATUS!$Q:$Q,$A36,STATUS!$D:$D,CS$1,STATUS!$K:$K,"РЕШ УВ DONE")</f>
        <v>0</v>
      </c>
      <c r="CT36" s="574">
        <f>COUNTIFS(STATUS!$Q:$Q,$A36,STATUS!$D:$D,CT$1,STATUS!$K:$K,"РЕШ УВ DONE")</f>
        <v>0</v>
      </c>
      <c r="CU36" s="575">
        <f>COUNTIFS(STATUS!$Q:$Q,$A36,STATUS!$D:$D,CU$1,STATUS!$K:$K,"РЕШ УВ DONE")</f>
        <v>0</v>
      </c>
      <c r="CV36" s="575">
        <f>COUNTIFS(STATUS!$Q:$Q,$A36,STATUS!$D:$D,CV$1,STATUS!$K:$K,"РЕШ УВ DONE")</f>
        <v>0</v>
      </c>
      <c r="CW36" s="1238">
        <f>SUM(CR36:CV36)</f>
        <v>0</v>
      </c>
      <c r="CX36" s="1241">
        <f>COUNTIFS(STATUS!$Q:$Q,$A36,STATUS!$D:$D,CX$1,STATUS!$K:$K,"РЕШ УВ DONE")</f>
        <v>0</v>
      </c>
      <c r="CY36" s="1241">
        <f>COUNTIFS(STATUS!$Q:$Q,$A36,STATUS!$D:$D,CY$1,STATUS!$K:$K,"РЕШ УВ DONE")</f>
        <v>0</v>
      </c>
      <c r="CZ36" s="1241">
        <f>COUNTIFS(STATUS!$Q:$Q,$A36,STATUS!$D:$D,CZ$1,STATUS!$K:$K,"РЕШ УВ DONE")</f>
        <v>0</v>
      </c>
      <c r="DA36" s="1242">
        <f>COUNTIFS(STATUS!$Q:$Q,$A36,STATUS!$D:$D,DA$1,STATUS!$K:$K,"РЕШ УВ DONE")</f>
        <v>0</v>
      </c>
      <c r="DB36" s="1242">
        <f>COUNTIFS(STATUS!$Q:$Q,$A36,STATUS!$D:$D,DB$1,STATUS!$K:$K,"РЕШ УВ DONE")</f>
        <v>0</v>
      </c>
      <c r="DC36" s="1238">
        <f>SUM(CX36:DB36)</f>
        <v>0</v>
      </c>
      <c r="DD36" s="1241">
        <f>COUNTIFS(STATUS!$Q:$Q,$A36,STATUS!$D:$D,DD$1,STATUS!$K:$K,"РЕШ УВ DONE")</f>
        <v>0</v>
      </c>
      <c r="DE36" s="1241">
        <f>COUNTIFS(STATUS!$Q:$Q,$A36,STATUS!$D:$D,DE$1,STATUS!$K:$K,"РЕШ УВ DONE")</f>
        <v>0</v>
      </c>
      <c r="DF36" s="1241">
        <f>COUNTIFS(STATUS!$Q:$Q,$A36,STATUS!$D:$D,DF$1,STATUS!$K:$K,"РЕШ УВ DONE")</f>
        <v>0</v>
      </c>
      <c r="DG36" s="1242">
        <f>COUNTIFS(STATUS!$Q:$Q,$A36,STATUS!$D:$D,DG$1,STATUS!$K:$K,"РЕШ УВ DONE")</f>
        <v>0</v>
      </c>
      <c r="DH36" s="1242">
        <f>COUNTIFS(STATUS!$Q:$Q,$A36,STATUS!$D:$D,DH$1,STATUS!$K:$K,"РЕШ УВ DONE")</f>
        <v>0</v>
      </c>
      <c r="DI36" s="1238">
        <f>SUM(DD36:DH36)</f>
        <v>0</v>
      </c>
      <c r="DJ36" s="574">
        <f>COUNTIFS(STATUS!$Q:$Q,$A36,STATUS!$D:$D,DJ$1,STATUS!$K:$K,"РЕШ УВ DONE")</f>
        <v>0</v>
      </c>
      <c r="DK36" s="574">
        <f>COUNTIFS(STATUS!$Q:$Q,$A36,STATUS!$D:$D,DK$1,STATUS!$K:$K,"РЕШ УВ DONE")</f>
        <v>0</v>
      </c>
      <c r="DL36" s="574">
        <f>COUNTIFS(STATUS!$Q:$Q,$A36,STATUS!$D:$D,DL$1,STATUS!$K:$K,"РЕШ УВ DONE")</f>
        <v>0</v>
      </c>
      <c r="DM36" s="575">
        <f>COUNTIFS(STATUS!$Q:$Q,$A36,STATUS!$D:$D,DM$1,STATUS!$K:$K,"РЕШ УВ DONE")</f>
        <v>0</v>
      </c>
      <c r="DN36" s="575">
        <f>COUNTIFS(STATUS!$Q:$Q,$A36,STATUS!$D:$D,DN$1,STATUS!$K:$K,"РЕШ УВ DONE")</f>
        <v>0</v>
      </c>
      <c r="DO36" s="1238">
        <f>SUM(DJ36:DN36)</f>
        <v>0</v>
      </c>
      <c r="DP36" s="838">
        <f>COUNTIFS(STATUS!$Q:$Q,$A36,STATUS!$D:$D,DP$1,STATUS!$K:$K,"РЕШ УВ DONE")</f>
        <v>0</v>
      </c>
      <c r="DQ36" s="838">
        <f>COUNTIFS(STATUS!$Q:$Q,$A36,STATUS!$D:$D,DQ$1,STATUS!$K:$K,"РЕШ УВ DONE")</f>
        <v>0</v>
      </c>
      <c r="DR36" s="838">
        <f>COUNTIFS(STATUS!$Q:$Q,$A36,STATUS!$D:$D,DR$1,STATUS!$K:$K,"РЕШ УВ DONE")</f>
        <v>0</v>
      </c>
      <c r="DS36" s="1303">
        <f>COUNTIFS(STATUS!$Q:$Q,$A36,STATUS!$D:$D,DS$1,STATUS!$K:$K,"РЕШ УВ DONE")</f>
        <v>0</v>
      </c>
      <c r="DT36" s="1303">
        <f>COUNTIFS(STATUS!$Q:$Q,$A36,STATUS!$D:$D,DT$1,STATUS!$K:$K,"РЕШ УВ DONE")</f>
        <v>0</v>
      </c>
      <c r="DU36" s="571">
        <f>SUM(DP36:DT36)</f>
        <v>0</v>
      </c>
      <c r="DV36" s="1298">
        <f>COUNTIFS(STATUS!$Q:$Q,$A36,STATUS!$D:$D,DV$1,STATUS!$K:$K,"РЕШ УВ DONE")</f>
        <v>0</v>
      </c>
      <c r="DW36" s="1298">
        <f>COUNTIFS(STATUS!$Q:$Q,$A36,STATUS!$D:$D,DW$1,STATUS!$K:$K,"РЕШ УВ DONE")</f>
        <v>0</v>
      </c>
      <c r="DX36" s="1298">
        <f>COUNTIFS(STATUS!$Q:$Q,$A36,STATUS!$D:$D,DX$1,STATUS!$K:$K,"РЕШ УВ DONE")</f>
        <v>0</v>
      </c>
      <c r="DY36" s="1299">
        <f>COUNTIFS(STATUS!$Q:$Q,$A36,STATUS!$D:$D,DY$1,STATUS!$K:$K,"РЕШ УВ DONE")</f>
        <v>0</v>
      </c>
      <c r="DZ36" s="1299">
        <f>COUNTIFS(STATUS!$Q:$Q,$A36,STATUS!$D:$D,DZ$1,STATUS!$K:$K,"РЕШ УВ DONE")</f>
        <v>0</v>
      </c>
      <c r="EA36" s="571">
        <f>SUM(DV36:DZ36)</f>
        <v>0</v>
      </c>
      <c r="EB36" s="1298">
        <f>COUNTIFS(STATUS!$Q:$Q,$A36,STATUS!$D:$D,EB$1,STATUS!$K:$K,"РЕШ УВ DONE")</f>
        <v>0</v>
      </c>
      <c r="EC36" s="1298">
        <f>COUNTIFS(STATUS!$Q:$Q,$A36,STATUS!$D:$D,EC$1,STATUS!$K:$K,"РЕШ УВ DONE")</f>
        <v>0</v>
      </c>
      <c r="ED36" s="1298">
        <f>COUNTIFS(STATUS!$Q:$Q,$A36,STATUS!$D:$D,ED$1,STATUS!$K:$K,"РЕШ УВ DONE")</f>
        <v>0</v>
      </c>
      <c r="EE36" s="1299">
        <f>COUNTIFS(STATUS!$Q:$Q,$A36,STATUS!$D:$D,EE$1,STATUS!$K:$K,"РЕШ УВ DONE")</f>
        <v>0</v>
      </c>
      <c r="EF36" s="1299">
        <f>COUNTIFS(STATUS!$Q:$Q,$A36,STATUS!$D:$D,EF$1,STATUS!$K:$K,"РЕШ УВ DONE")</f>
        <v>0</v>
      </c>
      <c r="EG36" s="571">
        <f>SUM(EB36:EF36)</f>
        <v>0</v>
      </c>
      <c r="EH36" s="574">
        <f>COUNTIFS(STATUS!$Q:$Q,$A36,STATUS!$D:$D,EH$1,STATUS!$K:$K,"РЕШ УВ DONE")</f>
        <v>0</v>
      </c>
      <c r="EI36" s="574">
        <f>COUNTIFS(STATUS!$Q:$Q,$A36,STATUS!$D:$D,EI$1,STATUS!$K:$K,"РЕШ УВ DONE")</f>
        <v>0</v>
      </c>
      <c r="EJ36" s="574">
        <f>COUNTIFS(STATUS!$Q:$Q,$A36,STATUS!$D:$D,EJ$1,STATUS!$K:$K,"РЕШ УВ DONE")</f>
        <v>0</v>
      </c>
      <c r="EK36" s="575">
        <f>COUNTIFS(STATUS!$Q:$Q,$A36,STATUS!$D:$D,EK$1,STATUS!$K:$K,"РЕШ УВ DONE")</f>
        <v>0</v>
      </c>
      <c r="EL36" s="575">
        <f>COUNTIFS(STATUS!$Q:$Q,$A36,STATUS!$D:$D,EL$1,STATUS!$K:$K,"РЕШ УВ DONE")</f>
        <v>0</v>
      </c>
      <c r="EM36" s="1238">
        <f>SUM(EH36:EL36)</f>
        <v>0</v>
      </c>
      <c r="EN36" s="574">
        <f>COUNTIFS(STATUS!$Q:$Q,$A36,STATUS!$D:$D,EN$1,STATUS!$K:$K,"РЕШ УВ DONE")</f>
        <v>0</v>
      </c>
      <c r="EO36" s="574">
        <f>COUNTIFS(STATUS!$Q:$Q,$A36,STATUS!$D:$D,EO$1,STATUS!$K:$K,"РЕШ УВ DONE")</f>
        <v>0</v>
      </c>
      <c r="EP36" s="574">
        <f>COUNTIFS(STATUS!$Q:$Q,$A36,STATUS!$D:$D,EP$1,STATUS!$K:$K,"РЕШ УВ DONE")</f>
        <v>0</v>
      </c>
      <c r="EQ36" s="575">
        <f>COUNTIFS(STATUS!$Q:$Q,$A36,STATUS!$D:$D,EQ$1,STATUS!$K:$K,"РЕШ УВ DONE")</f>
        <v>0</v>
      </c>
      <c r="ER36" s="575">
        <f>COUNTIFS(STATUS!$Q:$Q,$A36,STATUS!$D:$D,ER$1,STATUS!$K:$K,"РЕШ УВ DONE")</f>
        <v>0</v>
      </c>
      <c r="ES36" s="1238">
        <f>SUM(EN36:ER36)</f>
        <v>0</v>
      </c>
      <c r="ET36" s="574">
        <f>COUNTIFS(STATUS!$Q:$Q,$A36,STATUS!$D:$D,ET$1,STATUS!$K:$K,"РЕШ УВ DONE")</f>
        <v>0</v>
      </c>
      <c r="EU36" s="574">
        <f>COUNTIFS(STATUS!$Q:$Q,$A36,STATUS!$D:$D,EU$1,STATUS!$K:$K,"РЕШ УВ DONE")</f>
        <v>0</v>
      </c>
      <c r="EV36" s="574">
        <f>COUNTIFS(STATUS!$Q:$Q,$A36,STATUS!$D:$D,EV$1,STATUS!$K:$K,"РЕШ УВ DONE")</f>
        <v>0</v>
      </c>
      <c r="EW36" s="575">
        <f>COUNTIFS(STATUS!$Q:$Q,$A36,STATUS!$D:$D,EW$1,STATUS!$K:$K,"РЕШ УВ DONE")</f>
        <v>0</v>
      </c>
      <c r="EX36" s="575">
        <f>COUNTIFS(STATUS!$Q:$Q,$A36,STATUS!$D:$D,EX$1,STATUS!$K:$K,"РЕШ УВ DONE")</f>
        <v>0</v>
      </c>
      <c r="EY36" s="1238">
        <f>SUM(ET36:EX36)</f>
        <v>0</v>
      </c>
      <c r="EZ36" s="574">
        <f>COUNTIFS(STATUS!$Q:$Q,$A36,STATUS!$D:$D,EZ$1,STATUS!$K:$K,"РЕШ УВ DONE")</f>
        <v>0</v>
      </c>
      <c r="FA36" s="574">
        <f>COUNTIFS(STATUS!$Q:$Q,$A36,STATUS!$D:$D,FA$1,STATUS!$K:$K,"РЕШ УВ DONE")</f>
        <v>0</v>
      </c>
      <c r="FB36" s="574">
        <f>COUNTIFS(STATUS!$Q:$Q,$A36,STATUS!$D:$D,FB$1,STATUS!$K:$K,"РЕШ УВ DONE")</f>
        <v>0</v>
      </c>
      <c r="FC36" s="575">
        <f>COUNTIFS(STATUS!$Q:$Q,$A36,STATUS!$D:$D,FC$1,STATUS!$K:$K,"РЕШ УВ DONE")</f>
        <v>0</v>
      </c>
      <c r="FD36" s="575">
        <f>COUNTIFS(STATUS!$Q:$Q,$A36,STATUS!$D:$D,FD$1,STATUS!$K:$K,"РЕШ УВ DONE")</f>
        <v>0</v>
      </c>
      <c r="FE36" s="1238">
        <f>SUM(EZ36:FD36)</f>
        <v>0</v>
      </c>
      <c r="FF36" s="574">
        <f>COUNTIFS(STATUS!$Q:$Q,$A36,STATUS!$D:$D,FF$1,STATUS!$K:$K,"РЕШ УВ DONE")</f>
        <v>0</v>
      </c>
      <c r="FG36" s="574">
        <f>COUNTIFS(STATUS!$Q:$Q,$A36,STATUS!$D:$D,FG$1,STATUS!$K:$K,"РЕШ УВ DONE")</f>
        <v>0</v>
      </c>
      <c r="FH36" s="574">
        <f>COUNTIFS(STATUS!$Q:$Q,$A36,STATUS!$D:$D,FH$1,STATUS!$K:$K,"РЕШ УВ DONE")</f>
        <v>0</v>
      </c>
      <c r="FI36" s="575">
        <f>COUNTIFS(STATUS!$Q:$Q,$A36,STATUS!$D:$D,FI$1,STATUS!$K:$K,"РЕШ УВ DONE")</f>
        <v>0</v>
      </c>
      <c r="FJ36" s="575">
        <f>COUNTIFS(STATUS!$Q:$Q,$A36,STATUS!$D:$D,FJ$1,STATUS!$K:$K,"РЕШ УВ DONE")</f>
        <v>0</v>
      </c>
      <c r="FK36" s="1238">
        <f>SUM(FF36:FJ36)</f>
        <v>0</v>
      </c>
      <c r="FL36" s="1298">
        <f>COUNTIFS(STATUS!$Q:$Q,$A36,STATUS!$D:$D,FL$1,STATUS!$K:$K,"РЕШ УВ DONE")</f>
        <v>6</v>
      </c>
      <c r="FM36" s="1298">
        <f>COUNTIFS(STATUS!$Q:$Q,$A36,STATUS!$D:$D,FM$1,STATUS!$K:$K,"РЕШ УВ DONE")</f>
        <v>2</v>
      </c>
      <c r="FN36" s="574">
        <f>COUNTIFS(STATUS!$Q:$Q,$A36,STATUS!$D:$D,FN$1,STATUS!$K:$K,"РЕШ УВ DONE")</f>
        <v>0</v>
      </c>
      <c r="FO36" s="1299">
        <f>COUNTIFS(STATUS!$Q:$Q,$A36,STATUS!$D:$D,FO$1,STATUS!$K:$K,"РЕШ УВ DONE")</f>
        <v>6</v>
      </c>
      <c r="FP36" s="1299">
        <f>COUNTIFS(STATUS!$Q:$Q,$A36,STATUS!$D:$D,FP$1,STATUS!$K:$K,"РЕШ УВ DONE")</f>
        <v>5</v>
      </c>
      <c r="FQ36" s="571">
        <f>SUM(FL36:FP36)</f>
        <v>19</v>
      </c>
      <c r="FR36" s="1298">
        <f>COUNTIFS(STATUS!$Q:$Q,$A36,STATUS!$D:$D,FR$1,STATUS!$K:$K,"РЕШ УВ DONE")</f>
        <v>3</v>
      </c>
      <c r="FS36" s="574">
        <f>COUNTIFS(STATUS!$Q:$Q,$A36,STATUS!$D:$D,FS$1,STATUS!$K:$K,"РЕШ УВ DONE")</f>
        <v>4</v>
      </c>
      <c r="FT36" s="574">
        <f>COUNTIFS(STATUS!$Q:$Q,$A36,STATUS!$D:$D,FT$1,STATUS!$K:$K,"РЕШ УВ DONE")</f>
        <v>3</v>
      </c>
      <c r="FU36" s="575">
        <f>COUNTIFS(STATUS!$Q:$Q,$A36,STATUS!$D:$D,FU$1,STATUS!$K:$K,"РЕШ УВ DONE")</f>
        <v>0</v>
      </c>
      <c r="FV36" s="575">
        <f>COUNTIFS(STATUS!$Q:$Q,$A36,STATUS!$D:$D,FV$1,STATUS!$K:$K,"РЕШ УВ DONE")</f>
        <v>0</v>
      </c>
      <c r="FW36" s="571">
        <f>SUM(FR36:FV36)</f>
        <v>10</v>
      </c>
      <c r="FX36" s="1298">
        <f>COUNTIFS(STATUS!$Q:$Q,$A36,STATUS!$D:$D,FX$1,STATUS!$K:$K,"РЕШ УВ DONE")</f>
        <v>0</v>
      </c>
      <c r="FY36" s="574">
        <f>COUNTIFS(STATUS!$Q:$Q,$A36,STATUS!$D:$D,FY$1,STATUS!$K:$K,"РЕШ УВ DONE")</f>
        <v>0</v>
      </c>
      <c r="FZ36" s="574">
        <f>COUNTIFS(STATUS!$Q:$Q,$A36,STATUS!$D:$D,FZ$1,STATUS!$K:$K,"РЕШ УВ DONE")</f>
        <v>0</v>
      </c>
      <c r="GA36" s="575">
        <f>COUNTIFS(STATUS!$Q:$Q,$A36,STATUS!$D:$D,GA$1,STATUS!$K:$K,"РЕШ УВ DONE")</f>
        <v>0</v>
      </c>
      <c r="GB36" s="575">
        <f>COUNTIFS(STATUS!$Q:$Q,$A36,STATUS!$D:$D,GB$1,STATUS!$K:$K,"РЕШ УВ DONE")</f>
        <v>0</v>
      </c>
      <c r="GC36" s="1238">
        <f>SUM(FX36:GB36)</f>
        <v>0</v>
      </c>
      <c r="GD36" s="574">
        <f>COUNTIFS(STATUS!$Q:$Q,$A36,STATUS!$D:$D,GD$1,STATUS!$K:$K,"РЕШ УВ DONE")</f>
        <v>0</v>
      </c>
      <c r="GE36" s="574">
        <f>COUNTIFS(STATUS!$Q:$Q,$A36,STATUS!$D:$D,GE$1,STATUS!$K:$K,"РЕШ УВ DONE")</f>
        <v>0</v>
      </c>
      <c r="GF36" s="574">
        <f>COUNTIFS(STATUS!$Q:$Q,$A36,STATUS!$D:$D,GF$1,STATUS!$K:$K,"РЕШ УВ DONE")</f>
        <v>0</v>
      </c>
      <c r="GG36" s="575">
        <f>COUNTIFS(STATUS!$Q:$Q,$A36,STATUS!$D:$D,GG$1,STATUS!$K:$K,"РЕШ УВ DONE")</f>
        <v>0</v>
      </c>
      <c r="GH36" s="575">
        <f>COUNTIFS(STATUS!$Q:$Q,$A36,STATUS!$D:$D,GH$1,STATUS!$K:$K,"РЕШ УВ DONE")</f>
        <v>0</v>
      </c>
      <c r="GI36" s="1238">
        <f>SUM(GD36:GH36)</f>
        <v>0</v>
      </c>
      <c r="GJ36" s="574">
        <f>COUNTIFS(STATUS!$Q:$Q,$A36,STATUS!$D:$D,GJ$1,STATUS!$K:$K,"РЕШ УВ DONE")</f>
        <v>0</v>
      </c>
      <c r="GK36" s="574">
        <f>COUNTIFS(STATUS!$Q:$Q,$A36,STATUS!$D:$D,GK$1,STATUS!$K:$K,"РЕШ УВ DONE")</f>
        <v>0</v>
      </c>
      <c r="GL36" s="574">
        <f>COUNTIFS(STATUS!$Q:$Q,$A36,STATUS!$D:$D,GL$1,STATUS!$K:$K,"РЕШ УВ DONE")</f>
        <v>0</v>
      </c>
      <c r="GM36" s="575">
        <f>COUNTIFS(STATUS!$Q:$Q,$A36,STATUS!$D:$D,GM$1,STATUS!$K:$K,"РЕШ УВ DONE")</f>
        <v>0</v>
      </c>
      <c r="GN36" s="575">
        <f>COUNTIFS(STATUS!$Q:$Q,$A36,STATUS!$D:$D,GN$1,STATUS!$K:$K,"РЕШ УВ DONE")</f>
        <v>0</v>
      </c>
      <c r="GO36" s="1238">
        <f>SUM(GJ36:GN36)</f>
        <v>0</v>
      </c>
      <c r="GP36" s="574">
        <f>COUNTIFS(STATUS!$Q:$Q,$A36,STATUS!$D:$D,GP$1,STATUS!$K:$K,"РЕШ УВ DONE")</f>
        <v>0</v>
      </c>
      <c r="GQ36" s="574">
        <f>COUNTIFS(STATUS!$Q:$Q,$A36,STATUS!$D:$D,GQ$1,STATUS!$K:$K,"РЕШ УВ DONE")</f>
        <v>0</v>
      </c>
      <c r="GR36" s="574">
        <f>COUNTIFS(STATUS!$Q:$Q,$A36,STATUS!$D:$D,GR$1,STATUS!$K:$K,"РЕШ УВ DONE")</f>
        <v>0</v>
      </c>
      <c r="GS36" s="575">
        <f>COUNTIFS(STATUS!$Q:$Q,$A36,STATUS!$D:$D,GS$1,STATUS!$K:$K,"РЕШ УВ DONE")</f>
        <v>0</v>
      </c>
      <c r="GT36" s="575">
        <f>COUNTIFS(STATUS!$Q:$Q,$A36,STATUS!$D:$D,GT$1,STATUS!$K:$K,"РЕШ УВ DONE")</f>
        <v>0</v>
      </c>
      <c r="GU36" s="1238">
        <f>SUM(GP36:GT36)</f>
        <v>0</v>
      </c>
      <c r="GV36" s="574">
        <f>COUNTIFS(STATUS!$Q:$Q,$A36,STATUS!$D:$D,GV$1,STATUS!$K:$K,"РЕШ УВ DONE")</f>
        <v>0</v>
      </c>
      <c r="GW36" s="574">
        <f>COUNTIFS(STATUS!$Q:$Q,$A36,STATUS!$D:$D,GW$1,STATUS!$K:$K,"РЕШ УВ DONE")</f>
        <v>0</v>
      </c>
      <c r="GX36" s="574">
        <f>COUNTIFS(STATUS!$Q:$Q,$A36,STATUS!$D:$D,GX$1,STATUS!$K:$K,"РЕШ УВ DONE")</f>
        <v>0</v>
      </c>
      <c r="GY36" s="575">
        <f>COUNTIFS(STATUS!$Q:$Q,$A36,STATUS!$D:$D,GY$1,STATUS!$K:$K,"РЕШ УВ DONE")</f>
        <v>0</v>
      </c>
      <c r="GZ36" s="575">
        <f>COUNTIFS(STATUS!$Q:$Q,$A36,STATUS!$D:$D,GZ$1,STATUS!$K:$K,"РЕШ УВ DONE")</f>
        <v>0</v>
      </c>
      <c r="HA36" s="1238">
        <f>SUM(GV36:GZ36)</f>
        <v>0</v>
      </c>
    </row>
    <row r="37" spans="1:209" x14ac:dyDescent="0.3">
      <c r="A37" s="1556"/>
      <c r="B37" s="428">
        <f>SUM(H37,N37,R37,W37,AC37,AI37,AO37,AU37,BA37,BG37,BM37,BS37,BY37,CE37,CK37,CQ37,CW37,DC37,DI37,DO37,DU37,EA37,EG37,EM37,ES37,EY37,FE37,FK37,FQ37,FW37,GC37,GI37,GO37,GU37,HA37)</f>
        <v>6</v>
      </c>
      <c r="C37" s="577">
        <f>COUNTIFS(STATUS!$Q:$Q,$A36,STATUS!$D:$D,C$1,STATUS!$U:$U,"ВОЗВРАТ")</f>
        <v>0</v>
      </c>
      <c r="D37" s="577">
        <f>COUNTIFS(STATUS!$Q:$Q,$A36,STATUS!$D:$D,D$1,STATUS!$U:$U,"ВОЗВРАТ")</f>
        <v>0</v>
      </c>
      <c r="E37" s="577">
        <f>COUNTIFS(STATUS!$Q:$Q,$A36,STATUS!$D:$D,E$1,STATUS!$U:$U,"ВОЗВРАТ")</f>
        <v>0</v>
      </c>
      <c r="F37" s="577">
        <f>COUNTIFS(STATUS!$Q:$Q,$A36,STATUS!$D:$D,F$1,STATUS!$U:$U,"ВОЗВРАТ")</f>
        <v>0</v>
      </c>
      <c r="G37" s="578">
        <f>COUNTIFS(STATUS!$Q:$Q,$A36,STATUS!$D:$D,G$1,STATUS!$U:$U,"ВОЗВРАТ")</f>
        <v>0</v>
      </c>
      <c r="H37" s="576">
        <f>SUM(C37:G37)</f>
        <v>0</v>
      </c>
      <c r="I37" s="1240">
        <f>COUNTIFS(STATUS!$Q:$Q,$A36,STATUS!$D:$D,I$1,STATUS!$U:$U,"ВОЗВРАТ")</f>
        <v>0</v>
      </c>
      <c r="J37" s="577">
        <f>COUNTIFS(STATUS!$Q:$Q,$A36,STATUS!$D:$D,J$1,STATUS!$U:$U,"ВОЗВРАТ")</f>
        <v>0</v>
      </c>
      <c r="K37" s="577">
        <f>COUNTIFS(STATUS!$Q:$Q,$A36,STATUS!$D:$D,K$1,STATUS!$U:$U,"ВОЗВРАТ")</f>
        <v>0</v>
      </c>
      <c r="L37" s="577">
        <f>COUNTIFS(STATUS!$Q:$Q,$A36,STATUS!$D:$D,L$1,STATUS!$U:$U,"ВОЗВРАТ")</f>
        <v>0</v>
      </c>
      <c r="M37" s="578">
        <f>COUNTIFS(STATUS!$Q:$Q,$A36,STATUS!$D:$D,M$1,STATUS!$U:$U,"ВОЗВРАТ")</f>
        <v>0</v>
      </c>
      <c r="N37" s="576">
        <f>SUM(I37:M37)</f>
        <v>0</v>
      </c>
      <c r="O37" s="1240">
        <f>COUNTIFS(STATUS!$Q:$Q,$A36,STATUS!$D:$D,O$1,STATUS!$U:$U,"ВОЗВРАТ")</f>
        <v>0</v>
      </c>
      <c r="P37" s="577">
        <f>COUNTIFS(STATUS!$Q:$Q,$A36,STATUS!$D:$D,P$1,STATUS!$U:$U,"ВОЗВРАТ")</f>
        <v>0</v>
      </c>
      <c r="Q37" s="577">
        <f>COUNTIFS(STATUS!$Q:$Q,$A36,STATUS!$D:$D,Q$1,STATUS!$U:$U,"ВОЗВРАТ")</f>
        <v>0</v>
      </c>
      <c r="R37" s="576">
        <f>SUM(O37:Q37)</f>
        <v>0</v>
      </c>
      <c r="S37" s="577">
        <f>COUNTIFS(STATUS!$Q:$Q,$A36,STATUS!$D:$D,S$1,STATUS!$U:$U,"ВОЗВРАТ")</f>
        <v>0</v>
      </c>
      <c r="T37" s="577">
        <f>COUNTIFS(STATUS!$Q:$Q,$A36,STATUS!$D:$D,T$1,STATUS!$U:$U,"ВОЗВРАТ")</f>
        <v>0</v>
      </c>
      <c r="U37" s="577">
        <f>COUNTIFS(STATUS!$Q:$Q,$A36,STATUS!$D:$D,U$1,STATUS!$U:$U,"ВОЗВРАТ")</f>
        <v>0</v>
      </c>
      <c r="V37" s="578">
        <f>COUNTIFS(STATUS!$Q:$Q,$A36,STATUS!$D:$D,V$1,STATUS!$U:$U,"ВОЗВРАТ")</f>
        <v>0</v>
      </c>
      <c r="W37" s="576">
        <f>SUM(S37:V37)</f>
        <v>0</v>
      </c>
      <c r="X37" s="577">
        <f>COUNTIFS(STATUS!$Q:$Q,$A36,STATUS!$D:$D,X$1,STATUS!$U:$U,"ВОЗВРАТ")</f>
        <v>0</v>
      </c>
      <c r="Y37" s="577">
        <f>COUNTIFS(STATUS!$Q:$Q,$A36,STATUS!$D:$D,Y$1,STATUS!$U:$U,"ВОЗВРАТ")</f>
        <v>0</v>
      </c>
      <c r="Z37" s="577">
        <f>COUNTIFS(STATUS!$Q:$Q,$A36,STATUS!$D:$D,Z$1,STATUS!$U:$U,"ВОЗВРАТ")</f>
        <v>0</v>
      </c>
      <c r="AA37" s="578">
        <f>COUNTIFS(STATUS!$Q:$Q,$A36,STATUS!$D:$D,AA$1,STATUS!$U:$U,"ВОЗВРАТ")</f>
        <v>0</v>
      </c>
      <c r="AB37" s="578">
        <f>COUNTIFS(STATUS!$Q:$Q,$A36,STATUS!$D:$D,AB$1,STATUS!$U:$U,"ВОЗВРАТ")</f>
        <v>0</v>
      </c>
      <c r="AC37" s="576">
        <f>SUM(X37:AB37)</f>
        <v>0</v>
      </c>
      <c r="AD37" s="577">
        <f>COUNTIFS(STATUS!$Q:$Q,$A36,STATUS!$D:$D,AD$1,STATUS!$U:$U,"ВОЗВРАТ")</f>
        <v>0</v>
      </c>
      <c r="AE37" s="577">
        <f>COUNTIFS(STATUS!$Q:$Q,$A36,STATUS!$D:$D,AE$1,STATUS!$U:$U,"ВОЗВРАТ")</f>
        <v>0</v>
      </c>
      <c r="AF37" s="577">
        <f>COUNTIFS(STATUS!$Q:$Q,$A36,STATUS!$D:$D,AF$1,STATUS!$U:$U,"ВОЗВРАТ")</f>
        <v>0</v>
      </c>
      <c r="AG37" s="578">
        <f>COUNTIFS(STATUS!$Q:$Q,$A36,STATUS!$D:$D,AG$1,STATUS!$U:$U,"ВОЗВРАТ")</f>
        <v>0</v>
      </c>
      <c r="AH37" s="578">
        <f>COUNTIFS(STATUS!$Q:$Q,$A36,STATUS!$D:$D,AH$1,STATUS!$U:$U,"ВОЗВРАТ")</f>
        <v>0</v>
      </c>
      <c r="AI37" s="576">
        <f>SUM(AD37:AH37)</f>
        <v>0</v>
      </c>
      <c r="AJ37" s="577">
        <f>COUNTIFS(STATUS!$Q:$Q,$A36,STATUS!$D:$D,AJ$1,STATUS!$U:$U,"ВОЗВРАТ")</f>
        <v>0</v>
      </c>
      <c r="AK37" s="577">
        <f>COUNTIFS(STATUS!$Q:$Q,$A36,STATUS!$D:$D,AK$1,STATUS!$U:$U,"ВОЗВРАТ")</f>
        <v>0</v>
      </c>
      <c r="AL37" s="577">
        <f>COUNTIFS(STATUS!$Q:$Q,$A36,STATUS!$D:$D,AL$1,STATUS!$U:$U,"ВОЗВРАТ")</f>
        <v>0</v>
      </c>
      <c r="AM37" s="578">
        <f>COUNTIFS(STATUS!$Q:$Q,$A36,STATUS!$D:$D,AM$1,STATUS!$U:$U,"ВОЗВРАТ")</f>
        <v>0</v>
      </c>
      <c r="AN37" s="578">
        <f>COUNTIFS(STATUS!$Q:$Q,$A36,STATUS!$D:$D,AN$1,STATUS!$U:$U,"ВОЗВРАТ")</f>
        <v>0</v>
      </c>
      <c r="AO37" s="576">
        <f>SUM(AJ37:AN37)</f>
        <v>0</v>
      </c>
      <c r="AP37" s="577">
        <f>COUNTIFS(STATUS!$Q:$Q,$A36,STATUS!$D:$D,AP$1,STATUS!$U:$U,"ВОЗВРАТ")</f>
        <v>0</v>
      </c>
      <c r="AQ37" s="577">
        <f>COUNTIFS(STATUS!$Q:$Q,$A36,STATUS!$D:$D,AQ$1,STATUS!$U:$U,"ВОЗВРАТ")</f>
        <v>0</v>
      </c>
      <c r="AR37" s="577">
        <f>COUNTIFS(STATUS!$Q:$Q,$A36,STATUS!$D:$D,AR$1,STATUS!$U:$U,"ВОЗВРАТ")</f>
        <v>0</v>
      </c>
      <c r="AS37" s="578">
        <f>COUNTIFS(STATUS!$Q:$Q,$A36,STATUS!$D:$D,AS$1,STATUS!$U:$U,"ВОЗВРАТ")</f>
        <v>0</v>
      </c>
      <c r="AT37" s="578">
        <f>COUNTIFS(STATUS!$Q:$Q,$A36,STATUS!$D:$D,AT$1,STATUS!$U:$U,"ВОЗВРАТ")</f>
        <v>0</v>
      </c>
      <c r="AU37" s="576">
        <f>SUM(AP37:AT37)</f>
        <v>0</v>
      </c>
      <c r="AV37" s="577">
        <f>COUNTIFS(STATUS!$Q:$Q,$A36,STATUS!$D:$D,AV$1,STATUS!$U:$U,"ВОЗВРАТ")</f>
        <v>0</v>
      </c>
      <c r="AW37" s="577">
        <f>COUNTIFS(STATUS!$Q:$Q,$A36,STATUS!$D:$D,AW$1,STATUS!$U:$U,"ВОЗВРАТ")</f>
        <v>0</v>
      </c>
      <c r="AX37" s="577">
        <f>COUNTIFS(STATUS!$Q:$Q,$A36,STATUS!$D:$D,AX$1,STATUS!$U:$U,"ВОЗВРАТ")</f>
        <v>0</v>
      </c>
      <c r="AY37" s="578">
        <f>COUNTIFS(STATUS!$Q:$Q,$A36,STATUS!$D:$D,AY$1,STATUS!$U:$U,"ВОЗВРАТ")</f>
        <v>0</v>
      </c>
      <c r="AZ37" s="578">
        <f>COUNTIFS(STATUS!$Q:$Q,$A36,STATUS!$D:$D,AZ$1,STATUS!$U:$U,"ВОЗВРАТ")</f>
        <v>0</v>
      </c>
      <c r="BA37" s="576">
        <f>SUM(AV37:AZ37)</f>
        <v>0</v>
      </c>
      <c r="BB37" s="577">
        <f>COUNTIFS(STATUS!$Q:$Q,$A36,STATUS!$D:$D,BB$1,STATUS!$U:$U,"ВОЗВРАТ")</f>
        <v>0</v>
      </c>
      <c r="BC37" s="577">
        <f>COUNTIFS(STATUS!$Q:$Q,$A36,STATUS!$D:$D,BC$1,STATUS!$U:$U,"ВОЗВРАТ")</f>
        <v>0</v>
      </c>
      <c r="BD37" s="577">
        <f>COUNTIFS(STATUS!$Q:$Q,$A36,STATUS!$D:$D,BD$1,STATUS!$U:$U,"ВОЗВРАТ")</f>
        <v>0</v>
      </c>
      <c r="BE37" s="578">
        <f>COUNTIFS(STATUS!$Q:$Q,$A36,STATUS!$D:$D,BE$1,STATUS!$U:$U,"ВОЗВРАТ")</f>
        <v>0</v>
      </c>
      <c r="BF37" s="578">
        <f>COUNTIFS(STATUS!$Q:$Q,$A36,STATUS!$D:$D,BF$1,STATUS!$U:$U,"ВОЗВРАТ")</f>
        <v>0</v>
      </c>
      <c r="BG37" s="576">
        <f>SUM(BB37:BF37)</f>
        <v>0</v>
      </c>
      <c r="BH37" s="577">
        <f>COUNTIFS(STATUS!$Q:$Q,$A36,STATUS!$D:$D,BH$1,STATUS!$U:$U,"ВОЗВРАТ")</f>
        <v>0</v>
      </c>
      <c r="BI37" s="577">
        <f>COUNTIFS(STATUS!$Q:$Q,$A36,STATUS!$D:$D,BI$1,STATUS!$U:$U,"ВОЗВРАТ")</f>
        <v>0</v>
      </c>
      <c r="BJ37" s="577">
        <f>COUNTIFS(STATUS!$Q:$Q,$A36,STATUS!$D:$D,BJ$1,STATUS!$U:$U,"ВОЗВРАТ")</f>
        <v>0</v>
      </c>
      <c r="BK37" s="578">
        <f>COUNTIFS(STATUS!$Q:$Q,$A36,STATUS!$D:$D,BK$1,STATUS!$U:$U,"ВОЗВРАТ")</f>
        <v>0</v>
      </c>
      <c r="BL37" s="578">
        <f>COUNTIFS(STATUS!$Q:$Q,$A36,STATUS!$D:$D,BL$1,STATUS!$U:$U,"ВОЗВРАТ")</f>
        <v>0</v>
      </c>
      <c r="BM37" s="576">
        <f>SUM(BH37:BL37)</f>
        <v>0</v>
      </c>
      <c r="BN37" s="577">
        <f>COUNTIFS(STATUS!$Q:$Q,$A36,STATUS!$D:$D,BN$1,STATUS!$U:$U,"ВОЗВРАТ")</f>
        <v>0</v>
      </c>
      <c r="BO37" s="577">
        <f>COUNTIFS(STATUS!$Q:$Q,$A36,STATUS!$D:$D,BO$1,STATUS!$U:$U,"ВОЗВРАТ")</f>
        <v>0</v>
      </c>
      <c r="BP37" s="577">
        <f>COUNTIFS(STATUS!$Q:$Q,$A36,STATUS!$D:$D,BP$1,STATUS!$U:$U,"ВОЗВРАТ")</f>
        <v>0</v>
      </c>
      <c r="BQ37" s="578">
        <f>COUNTIFS(STATUS!$Q:$Q,$A36,STATUS!$D:$D,BQ$1,STATUS!$U:$U,"ВОЗВРАТ")</f>
        <v>0</v>
      </c>
      <c r="BR37" s="578">
        <f>COUNTIFS(STATUS!$Q:$Q,$A36,STATUS!$D:$D,BR$1,STATUS!$U:$U,"ВОЗВРАТ")</f>
        <v>0</v>
      </c>
      <c r="BS37" s="576">
        <f>SUM(BN37:BR37)</f>
        <v>0</v>
      </c>
      <c r="BT37" s="577">
        <f>COUNTIFS(STATUS!$Q:$Q,$A36,STATUS!$D:$D,BT$1,STATUS!$U:$U,"ВОЗВРАТ")</f>
        <v>0</v>
      </c>
      <c r="BU37" s="577">
        <f>COUNTIFS(STATUS!$Q:$Q,$A36,STATUS!$D:$D,BU$1,STATUS!$U:$U,"ВОЗВРАТ")</f>
        <v>0</v>
      </c>
      <c r="BV37" s="577">
        <f>COUNTIFS(STATUS!$Q:$Q,$A36,STATUS!$D:$D,BV$1,STATUS!$U:$U,"ВОЗВРАТ")</f>
        <v>0</v>
      </c>
      <c r="BW37" s="578">
        <f>COUNTIFS(STATUS!$Q:$Q,$A36,STATUS!$D:$D,BW$1,STATUS!$U:$U,"ВОЗВРАТ")</f>
        <v>0</v>
      </c>
      <c r="BX37" s="578">
        <f>COUNTIFS(STATUS!$Q:$Q,$A36,STATUS!$D:$D,BX$1,STATUS!$U:$U,"ВОЗВРАТ")</f>
        <v>0</v>
      </c>
      <c r="BY37" s="576">
        <f>SUM(BT37:BX37)</f>
        <v>0</v>
      </c>
      <c r="BZ37" s="577">
        <f>COUNTIFS(STATUS!$Q:$Q,$A36,STATUS!$D:$D,BZ$1,STATUS!$U:$U,"ВОЗВРАТ")</f>
        <v>0</v>
      </c>
      <c r="CA37" s="577">
        <f>COUNTIFS(STATUS!$Q:$Q,$A36,STATUS!$D:$D,CA$1,STATUS!$U:$U,"ВОЗВРАТ")</f>
        <v>0</v>
      </c>
      <c r="CB37" s="577">
        <f>COUNTIFS(STATUS!$Q:$Q,$A36,STATUS!$D:$D,CB$1,STATUS!$U:$U,"ВОЗВРАТ")</f>
        <v>0</v>
      </c>
      <c r="CC37" s="578">
        <f>COUNTIFS(STATUS!$Q:$Q,$A36,STATUS!$D:$D,CC$1,STATUS!$U:$U,"ВОЗВРАТ")</f>
        <v>0</v>
      </c>
      <c r="CD37" s="578">
        <f>COUNTIFS(STATUS!$Q:$Q,$A36,STATUS!$D:$D,CD$1,STATUS!$U:$U,"ВОЗВРАТ")</f>
        <v>0</v>
      </c>
      <c r="CE37" s="576">
        <f>SUM(BZ37:CD37)</f>
        <v>0</v>
      </c>
      <c r="CF37" s="577">
        <f>COUNTIFS(STATUS!$Q:$Q,$A36,STATUS!$D:$D,CF$1,STATUS!$U:$U,"ВОЗВРАТ")</f>
        <v>0</v>
      </c>
      <c r="CG37" s="577">
        <f>COUNTIFS(STATUS!$Q:$Q,$A36,STATUS!$D:$D,CG$1,STATUS!$U:$U,"ВОЗВРАТ")</f>
        <v>0</v>
      </c>
      <c r="CH37" s="577">
        <f>COUNTIFS(STATUS!$Q:$Q,$A36,STATUS!$D:$D,CH$1,STATUS!$U:$U,"ВОЗВРАТ")</f>
        <v>0</v>
      </c>
      <c r="CI37" s="578">
        <f>COUNTIFS(STATUS!$Q:$Q,$A36,STATUS!$D:$D,CI$1,STATUS!$U:$U,"ВОЗВРАТ")</f>
        <v>0</v>
      </c>
      <c r="CJ37" s="578">
        <f>COUNTIFS(STATUS!$Q:$Q,$A36,STATUS!$D:$D,CJ$1,STATUS!$U:$U,"ВОЗВРАТ")</f>
        <v>0</v>
      </c>
      <c r="CK37" s="576">
        <f>SUM(CF37:CJ37)</f>
        <v>0</v>
      </c>
      <c r="CL37" s="577">
        <f>COUNTIFS(STATUS!$Q:$Q,$A36,STATUS!$D:$D,CL$1,STATUS!$U:$U,"ВОЗВРАТ")</f>
        <v>0</v>
      </c>
      <c r="CM37" s="577">
        <f>COUNTIFS(STATUS!$Q:$Q,$A36,STATUS!$D:$D,CM$1,STATUS!$U:$U,"ВОЗВРАТ")</f>
        <v>0</v>
      </c>
      <c r="CN37" s="577">
        <f>COUNTIFS(STATUS!$Q:$Q,$A36,STATUS!$D:$D,CN$1,STATUS!$U:$U,"ВОЗВРАТ")</f>
        <v>0</v>
      </c>
      <c r="CO37" s="578">
        <f>COUNTIFS(STATUS!$Q:$Q,$A36,STATUS!$D:$D,CO$1,STATUS!$U:$U,"ВОЗВРАТ")</f>
        <v>0</v>
      </c>
      <c r="CP37" s="578">
        <f>COUNTIFS(STATUS!$Q:$Q,$A36,STATUS!$D:$D,CP$1,STATUS!$U:$U,"ВОЗВРАТ")</f>
        <v>0</v>
      </c>
      <c r="CQ37" s="576">
        <f>SUM(CL37:CP37)</f>
        <v>0</v>
      </c>
      <c r="CR37" s="577">
        <f>COUNTIFS(STATUS!$Q:$Q,$A36,STATUS!$D:$D,CR$1,STATUS!$U:$U,"ВОЗВРАТ")</f>
        <v>0</v>
      </c>
      <c r="CS37" s="577">
        <f>COUNTIFS(STATUS!$Q:$Q,$A36,STATUS!$D:$D,CS$1,STATUS!$U:$U,"ВОЗВРАТ")</f>
        <v>0</v>
      </c>
      <c r="CT37" s="577">
        <f>COUNTIFS(STATUS!$Q:$Q,$A36,STATUS!$D:$D,CT$1,STATUS!$U:$U,"ВОЗВРАТ")</f>
        <v>0</v>
      </c>
      <c r="CU37" s="578">
        <f>COUNTIFS(STATUS!$Q:$Q,$A36,STATUS!$D:$D,CU$1,STATUS!$U:$U,"ВОЗВРАТ")</f>
        <v>0</v>
      </c>
      <c r="CV37" s="578">
        <f>COUNTIFS(STATUS!$Q:$Q,$A36,STATUS!$D:$D,CV$1,STATUS!$U:$U,"ВОЗВРАТ")</f>
        <v>0</v>
      </c>
      <c r="CW37" s="576">
        <f>SUM(CR37:CV37)</f>
        <v>0</v>
      </c>
      <c r="CX37" s="1243">
        <f>COUNTIFS(STATUS!$Q:$Q,$A36,STATUS!$D:$D,CX$1,STATUS!$U:$U,"ВОЗВРАТ")</f>
        <v>0</v>
      </c>
      <c r="CY37" s="1243">
        <f>COUNTIFS(STATUS!$Q:$Q,$A36,STATUS!$D:$D,CY$1,STATUS!$U:$U,"ВОЗВРАТ")</f>
        <v>0</v>
      </c>
      <c r="CZ37" s="1243">
        <f>COUNTIFS(STATUS!$Q:$Q,$A36,STATUS!$D:$D,CZ$1,STATUS!$U:$U,"ВОЗВРАТ")</f>
        <v>0</v>
      </c>
      <c r="DA37" s="1244">
        <f>COUNTIFS(STATUS!$Q:$Q,$A36,STATUS!$D:$D,DA$1,STATUS!$U:$U,"ВОЗВРАТ")</f>
        <v>0</v>
      </c>
      <c r="DB37" s="1244">
        <f>COUNTIFS(STATUS!$Q:$Q,$A36,STATUS!$D:$D,DB$1,STATUS!$U:$U,"ВОЗВРАТ")</f>
        <v>0</v>
      </c>
      <c r="DC37" s="576">
        <f>SUM(CX37:DB37)</f>
        <v>0</v>
      </c>
      <c r="DD37" s="1243">
        <f>COUNTIFS(STATUS!$Q:$Q,$A36,STATUS!$D:$D,DD$1,STATUS!$U:$U,"ВОЗВРАТ")</f>
        <v>0</v>
      </c>
      <c r="DE37" s="1243">
        <f>COUNTIFS(STATUS!$Q:$Q,$A36,STATUS!$D:$D,DE$1,STATUS!$U:$U,"ВОЗВРАТ")</f>
        <v>0</v>
      </c>
      <c r="DF37" s="1243">
        <f>COUNTIFS(STATUS!$Q:$Q,$A36,STATUS!$D:$D,DF$1,STATUS!$U:$U,"ВОЗВРАТ")</f>
        <v>0</v>
      </c>
      <c r="DG37" s="1244">
        <f>COUNTIFS(STATUS!$Q:$Q,$A36,STATUS!$D:$D,DG$1,STATUS!$U:$U,"ВОЗВРАТ")</f>
        <v>0</v>
      </c>
      <c r="DH37" s="1244">
        <f>COUNTIFS(STATUS!$Q:$Q,$A36,STATUS!$D:$D,DH$1,STATUS!$U:$U,"ВОЗВРАТ")</f>
        <v>0</v>
      </c>
      <c r="DI37" s="576">
        <f>SUM(DD37:DH37)</f>
        <v>0</v>
      </c>
      <c r="DJ37" s="577">
        <f>COUNTIFS(STATUS!$Q:$Q,$A36,STATUS!$D:$D,DJ$1,STATUS!$U:$U,"ВОЗВРАТ")</f>
        <v>0</v>
      </c>
      <c r="DK37" s="577">
        <f>COUNTIFS(STATUS!$Q:$Q,$A36,STATUS!$D:$D,DK$1,STATUS!$U:$U,"ВОЗВРАТ")</f>
        <v>0</v>
      </c>
      <c r="DL37" s="577">
        <f>COUNTIFS(STATUS!$Q:$Q,$A36,STATUS!$D:$D,DL$1,STATUS!$U:$U,"ВОЗВРАТ")</f>
        <v>0</v>
      </c>
      <c r="DM37" s="578">
        <f>COUNTIFS(STATUS!$Q:$Q,$A36,STATUS!$D:$D,DM$1,STATUS!$U:$U,"ВОЗВРАТ")</f>
        <v>0</v>
      </c>
      <c r="DN37" s="578">
        <f>COUNTIFS(STATUS!$Q:$Q,$A36,STATUS!$D:$D,DN$1,STATUS!$U:$U,"ВОЗВРАТ")</f>
        <v>0</v>
      </c>
      <c r="DO37" s="576">
        <f>SUM(DJ37:DN37)</f>
        <v>0</v>
      </c>
      <c r="DP37" s="836">
        <f>COUNTIFS(STATUS!$Q:$Q,$A36,STATUS!$D:$D,DP$1,STATUS!$U:$U,"ВОЗВРАТ")</f>
        <v>0</v>
      </c>
      <c r="DQ37" s="836">
        <f>COUNTIFS(STATUS!$Q:$Q,$A36,STATUS!$D:$D,DQ$1,STATUS!$U:$U,"ВОЗВРАТ")</f>
        <v>0</v>
      </c>
      <c r="DR37" s="836">
        <f>COUNTIFS(STATUS!$Q:$Q,$A36,STATUS!$D:$D,DR$1,STATUS!$U:$U,"ВОЗВРАТ")</f>
        <v>0</v>
      </c>
      <c r="DS37" s="1304">
        <f>COUNTIFS(STATUS!$Q:$Q,$A36,STATUS!$D:$D,DS$1,STATUS!$U:$U,"ВОЗВРАТ")</f>
        <v>0</v>
      </c>
      <c r="DT37" s="1304">
        <f>COUNTIFS(STATUS!$Q:$Q,$A36,STATUS!$D:$D,DT$1,STATUS!$U:$U,"ВОЗВРАТ")</f>
        <v>0</v>
      </c>
      <c r="DU37" s="572">
        <f>SUM(DP37:DT37)</f>
        <v>0</v>
      </c>
      <c r="DV37" s="1300">
        <f>COUNTIFS(STATUS!$Q:$Q,$A36,STATUS!$D:$D,DV$1,STATUS!$U:$U,"ВОЗВРАТ")</f>
        <v>0</v>
      </c>
      <c r="DW37" s="1300">
        <f>COUNTIFS(STATUS!$Q:$Q,$A36,STATUS!$D:$D,DW$1,STATUS!$U:$U,"ВОЗВРАТ")</f>
        <v>0</v>
      </c>
      <c r="DX37" s="1300">
        <f>COUNTIFS(STATUS!$Q:$Q,$A36,STATUS!$D:$D,DX$1,STATUS!$U:$U,"ВОЗВРАТ")</f>
        <v>0</v>
      </c>
      <c r="DY37" s="1301">
        <f>COUNTIFS(STATUS!$Q:$Q,$A36,STATUS!$D:$D,DY$1,STATUS!$U:$U,"ВОЗВРАТ")</f>
        <v>0</v>
      </c>
      <c r="DZ37" s="1301">
        <f>COUNTIFS(STATUS!$Q:$Q,$A36,STATUS!$D:$D,DZ$1,STATUS!$U:$U,"ВОЗВРАТ")</f>
        <v>0</v>
      </c>
      <c r="EA37" s="572">
        <f>SUM(DV37:DZ37)</f>
        <v>0</v>
      </c>
      <c r="EB37" s="1300">
        <f>COUNTIFS(STATUS!$Q:$Q,$A36,STATUS!$D:$D,EB$1,STATUS!$U:$U,"ВОЗВРАТ")</f>
        <v>0</v>
      </c>
      <c r="EC37" s="1300">
        <f>COUNTIFS(STATUS!$Q:$Q,$A36,STATUS!$D:$D,EC$1,STATUS!$U:$U,"ВОЗВРАТ")</f>
        <v>0</v>
      </c>
      <c r="ED37" s="1300">
        <f>COUNTIFS(STATUS!$Q:$Q,$A36,STATUS!$D:$D,ED$1,STATUS!$U:$U,"ВОЗВРАТ")</f>
        <v>0</v>
      </c>
      <c r="EE37" s="1301">
        <f>COUNTIFS(STATUS!$Q:$Q,$A36,STATUS!$D:$D,EE$1,STATUS!$U:$U,"ВОЗВРАТ")</f>
        <v>0</v>
      </c>
      <c r="EF37" s="1301">
        <f>COUNTIFS(STATUS!$Q:$Q,$A36,STATUS!$D:$D,EF$1,STATUS!$U:$U,"ВОЗВРАТ")</f>
        <v>0</v>
      </c>
      <c r="EG37" s="572">
        <f>SUM(EB37:EF37)</f>
        <v>0</v>
      </c>
      <c r="EH37" s="577">
        <f>COUNTIFS(STATUS!$Q:$Q,$A36,STATUS!$D:$D,EH$1,STATUS!$U:$U,"ВОЗВРАТ")</f>
        <v>0</v>
      </c>
      <c r="EI37" s="577">
        <f>COUNTIFS(STATUS!$Q:$Q,$A36,STATUS!$D:$D,EI$1,STATUS!$U:$U,"ВОЗВРАТ")</f>
        <v>0</v>
      </c>
      <c r="EJ37" s="577">
        <f>COUNTIFS(STATUS!$Q:$Q,$A36,STATUS!$D:$D,EJ$1,STATUS!$U:$U,"ВОЗВРАТ")</f>
        <v>0</v>
      </c>
      <c r="EK37" s="578">
        <f>COUNTIFS(STATUS!$Q:$Q,$A36,STATUS!$D:$D,EK$1,STATUS!$U:$U,"ВОЗВРАТ")</f>
        <v>0</v>
      </c>
      <c r="EL37" s="578">
        <f>COUNTIFS(STATUS!$Q:$Q,$A36,STATUS!$D:$D,EL$1,STATUS!$U:$U,"ВОЗВРАТ")</f>
        <v>0</v>
      </c>
      <c r="EM37" s="576">
        <f>SUM(EH37:EL37)</f>
        <v>0</v>
      </c>
      <c r="EN37" s="577">
        <f>COUNTIFS(STATUS!$Q:$Q,$A36,STATUS!$D:$D,EN$1,STATUS!$U:$U,"ВОЗВРАТ")</f>
        <v>0</v>
      </c>
      <c r="EO37" s="577">
        <f>COUNTIFS(STATUS!$Q:$Q,$A36,STATUS!$D:$D,EO$1,STATUS!$U:$U,"ВОЗВРАТ")</f>
        <v>0</v>
      </c>
      <c r="EP37" s="577">
        <f>COUNTIFS(STATUS!$Q:$Q,$A36,STATUS!$D:$D,EP$1,STATUS!$U:$U,"ВОЗВРАТ")</f>
        <v>0</v>
      </c>
      <c r="EQ37" s="578">
        <f>COUNTIFS(STATUS!$Q:$Q,$A36,STATUS!$D:$D,EQ$1,STATUS!$U:$U,"ВОЗВРАТ")</f>
        <v>0</v>
      </c>
      <c r="ER37" s="578">
        <f>COUNTIFS(STATUS!$Q:$Q,$A36,STATUS!$D:$D,ER$1,STATUS!$U:$U,"ВОЗВРАТ")</f>
        <v>0</v>
      </c>
      <c r="ES37" s="576">
        <f>SUM(EN37:ER37)</f>
        <v>0</v>
      </c>
      <c r="ET37" s="577">
        <f>COUNTIFS(STATUS!$Q:$Q,$A36,STATUS!$D:$D,ET$1,STATUS!$U:$U,"ВОЗВРАТ")</f>
        <v>0</v>
      </c>
      <c r="EU37" s="577">
        <f>COUNTIFS(STATUS!$Q:$Q,$A36,STATUS!$D:$D,EU$1,STATUS!$U:$U,"ВОЗВРАТ")</f>
        <v>0</v>
      </c>
      <c r="EV37" s="577">
        <f>COUNTIFS(STATUS!$Q:$Q,$A36,STATUS!$D:$D,EV$1,STATUS!$U:$U,"ВОЗВРАТ")</f>
        <v>0</v>
      </c>
      <c r="EW37" s="578">
        <f>COUNTIFS(STATUS!$Q:$Q,$A36,STATUS!$D:$D,EW$1,STATUS!$U:$U,"ВОЗВРАТ")</f>
        <v>0</v>
      </c>
      <c r="EX37" s="578">
        <f>COUNTIFS(STATUS!$Q:$Q,$A36,STATUS!$D:$D,EX$1,STATUS!$U:$U,"ВОЗВРАТ")</f>
        <v>0</v>
      </c>
      <c r="EY37" s="576">
        <f>SUM(ET37:EX37)</f>
        <v>0</v>
      </c>
      <c r="EZ37" s="577">
        <f>COUNTIFS(STATUS!$Q:$Q,$A36,STATUS!$D:$D,EZ$1,STATUS!$U:$U,"ВОЗВРАТ")</f>
        <v>0</v>
      </c>
      <c r="FA37" s="577">
        <f>COUNTIFS(STATUS!$Q:$Q,$A36,STATUS!$D:$D,FA$1,STATUS!$U:$U,"ВОЗВРАТ")</f>
        <v>0</v>
      </c>
      <c r="FB37" s="577">
        <f>COUNTIFS(STATUS!$Q:$Q,$A36,STATUS!$D:$D,FB$1,STATUS!$U:$U,"ВОЗВРАТ")</f>
        <v>0</v>
      </c>
      <c r="FC37" s="578">
        <f>COUNTIFS(STATUS!$Q:$Q,$A36,STATUS!$D:$D,FC$1,STATUS!$U:$U,"ВОЗВРАТ")</f>
        <v>0</v>
      </c>
      <c r="FD37" s="578">
        <f>COUNTIFS(STATUS!$Q:$Q,$A36,STATUS!$D:$D,FD$1,STATUS!$U:$U,"ВОЗВРАТ")</f>
        <v>0</v>
      </c>
      <c r="FE37" s="576">
        <f>SUM(EZ37:FD37)</f>
        <v>0</v>
      </c>
      <c r="FF37" s="577">
        <f>COUNTIFS(STATUS!$Q:$Q,$A36,STATUS!$D:$D,FF$1,STATUS!$U:$U,"ВОЗВРАТ")</f>
        <v>0</v>
      </c>
      <c r="FG37" s="577">
        <f>COUNTIFS(STATUS!$Q:$Q,$A36,STATUS!$D:$D,FG$1,STATUS!$U:$U,"ВОЗВРАТ")</f>
        <v>0</v>
      </c>
      <c r="FH37" s="577">
        <f>COUNTIFS(STATUS!$Q:$Q,$A36,STATUS!$D:$D,FH$1,STATUS!$U:$U,"ВОЗВРАТ")</f>
        <v>0</v>
      </c>
      <c r="FI37" s="578">
        <f>COUNTIFS(STATUS!$Q:$Q,$A36,STATUS!$D:$D,FI$1,STATUS!$U:$U,"ВОЗВРАТ")</f>
        <v>0</v>
      </c>
      <c r="FJ37" s="578">
        <f>COUNTIFS(STATUS!$Q:$Q,$A36,STATUS!$D:$D,FJ$1,STATUS!$U:$U,"ВОЗВРАТ")</f>
        <v>0</v>
      </c>
      <c r="FK37" s="576">
        <f>SUM(FF37:FJ37)</f>
        <v>0</v>
      </c>
      <c r="FL37" s="1300">
        <f>COUNTIFS(STATUS!$Q:$Q,$A36,STATUS!$D:$D,FL$1,STATUS!$U:$U,"ВОЗВРАТ")</f>
        <v>2</v>
      </c>
      <c r="FM37" s="1300">
        <f>COUNTIFS(STATUS!$Q:$Q,$A36,STATUS!$D:$D,FM$1,STATUS!$U:$U,"ВОЗВРАТ")</f>
        <v>0</v>
      </c>
      <c r="FN37" s="577">
        <f>COUNTIFS(STATUS!$Q:$Q,$A36,STATUS!$D:$D,FN$1,STATUS!$U:$U,"ВОЗВРАТ")</f>
        <v>0</v>
      </c>
      <c r="FO37" s="1301">
        <f>COUNTIFS(STATUS!$Q:$Q,$A36,STATUS!$D:$D,FO$1,STATUS!$U:$U,"ВОЗВРАТ")</f>
        <v>0</v>
      </c>
      <c r="FP37" s="1301">
        <f>COUNTIFS(STATUS!$Q:$Q,$A36,STATUS!$D:$D,FP$1,STATUS!$U:$U,"ВОЗВРАТ")</f>
        <v>3</v>
      </c>
      <c r="FQ37" s="572">
        <f>SUM(FL37:FP37)</f>
        <v>5</v>
      </c>
      <c r="FR37" s="1300">
        <f>COUNTIFS(STATUS!$Q:$Q,$A36,STATUS!$D:$D,FR$1,STATUS!$U:$U,"ВОЗВРАТ")</f>
        <v>1</v>
      </c>
      <c r="FS37" s="577">
        <f>COUNTIFS(STATUS!$Q:$Q,$A36,STATUS!$D:$D,FS$1,STATUS!$U:$U,"ВОЗВРАТ")</f>
        <v>0</v>
      </c>
      <c r="FT37" s="577">
        <f>COUNTIFS(STATUS!$Q:$Q,$A36,STATUS!$D:$D,FT$1,STATUS!$U:$U,"ВОЗВРАТ")</f>
        <v>0</v>
      </c>
      <c r="FU37" s="578">
        <f>COUNTIFS(STATUS!$Q:$Q,$A36,STATUS!$D:$D,FU$1,STATUS!$U:$U,"ВОЗВРАТ")</f>
        <v>0</v>
      </c>
      <c r="FV37" s="578">
        <f>COUNTIFS(STATUS!$Q:$Q,$A36,STATUS!$D:$D,FV$1,STATUS!$U:$U,"ВОЗВРАТ")</f>
        <v>0</v>
      </c>
      <c r="FW37" s="572">
        <f>SUM(FR37:FV37)</f>
        <v>1</v>
      </c>
      <c r="FX37" s="1300">
        <f>COUNTIFS(STATUS!$Q:$Q,$A36,STATUS!$D:$D,FX$1,STATUS!$U:$U,"ВОЗВРАТ")</f>
        <v>0</v>
      </c>
      <c r="FY37" s="577">
        <f>COUNTIFS(STATUS!$Q:$Q,$A36,STATUS!$D:$D,FY$1,STATUS!$U:$U,"ВОЗВРАТ")</f>
        <v>0</v>
      </c>
      <c r="FZ37" s="577">
        <f>COUNTIFS(STATUS!$Q:$Q,$A36,STATUS!$D:$D,FZ$1,STATUS!$U:$U,"ВОЗВРАТ")</f>
        <v>0</v>
      </c>
      <c r="GA37" s="578">
        <f>COUNTIFS(STATUS!$Q:$Q,$A36,STATUS!$D:$D,GA$1,STATUS!$U:$U,"ВОЗВРАТ")</f>
        <v>0</v>
      </c>
      <c r="GB37" s="578">
        <f>COUNTIFS(STATUS!$Q:$Q,$A36,STATUS!$D:$D,GB$1,STATUS!$U:$U,"ВОЗВРАТ")</f>
        <v>0</v>
      </c>
      <c r="GC37" s="576">
        <f>SUM(FX37:GB37)</f>
        <v>0</v>
      </c>
      <c r="GD37" s="577">
        <f>COUNTIFS(STATUS!$Q:$Q,$A36,STATUS!$D:$D,GD$1,STATUS!$U:$U,"ВОЗВРАТ")</f>
        <v>0</v>
      </c>
      <c r="GE37" s="577">
        <f>COUNTIFS(STATUS!$Q:$Q,$A36,STATUS!$D:$D,GE$1,STATUS!$U:$U,"ВОЗВРАТ")</f>
        <v>0</v>
      </c>
      <c r="GF37" s="577">
        <f>COUNTIFS(STATUS!$Q:$Q,$A36,STATUS!$D:$D,GF$1,STATUS!$U:$U,"ВОЗВРАТ")</f>
        <v>0</v>
      </c>
      <c r="GG37" s="578">
        <f>COUNTIFS(STATUS!$Q:$Q,$A36,STATUS!$D:$D,GG$1,STATUS!$U:$U,"ВОЗВРАТ")</f>
        <v>0</v>
      </c>
      <c r="GH37" s="578">
        <f>COUNTIFS(STATUS!$Q:$Q,$A36,STATUS!$D:$D,GH$1,STATUS!$U:$U,"ВОЗВРАТ")</f>
        <v>0</v>
      </c>
      <c r="GI37" s="576">
        <f>SUM(GD37:GH37)</f>
        <v>0</v>
      </c>
      <c r="GJ37" s="577">
        <f>COUNTIFS(STATUS!$Q:$Q,$A36,STATUS!$D:$D,GJ$1,STATUS!$U:$U,"ВОЗВРАТ")</f>
        <v>0</v>
      </c>
      <c r="GK37" s="577">
        <f>COUNTIFS(STATUS!$Q:$Q,$A36,STATUS!$D:$D,GK$1,STATUS!$U:$U,"ВОЗВРАТ")</f>
        <v>0</v>
      </c>
      <c r="GL37" s="577">
        <f>COUNTIFS(STATUS!$Q:$Q,$A36,STATUS!$D:$D,GL$1,STATUS!$U:$U,"ВОЗВРАТ")</f>
        <v>0</v>
      </c>
      <c r="GM37" s="578">
        <f>COUNTIFS(STATUS!$Q:$Q,$A36,STATUS!$D:$D,GM$1,STATUS!$U:$U,"ВОЗВРАТ")</f>
        <v>0</v>
      </c>
      <c r="GN37" s="578">
        <f>COUNTIFS(STATUS!$Q:$Q,$A36,STATUS!$D:$D,GN$1,STATUS!$U:$U,"ВОЗВРАТ")</f>
        <v>0</v>
      </c>
      <c r="GO37" s="576">
        <f>SUM(GJ37:GN37)</f>
        <v>0</v>
      </c>
      <c r="GP37" s="577">
        <f>COUNTIFS(STATUS!$Q:$Q,$A36,STATUS!$D:$D,GP$1,STATUS!$U:$U,"ВОЗВРАТ")</f>
        <v>0</v>
      </c>
      <c r="GQ37" s="577">
        <f>COUNTIFS(STATUS!$Q:$Q,$A36,STATUS!$D:$D,GQ$1,STATUS!$U:$U,"ВОЗВРАТ")</f>
        <v>0</v>
      </c>
      <c r="GR37" s="577">
        <f>COUNTIFS(STATUS!$Q:$Q,$A36,STATUS!$D:$D,GR$1,STATUS!$U:$U,"ВОЗВРАТ")</f>
        <v>0</v>
      </c>
      <c r="GS37" s="578">
        <f>COUNTIFS(STATUS!$Q:$Q,$A36,STATUS!$D:$D,GS$1,STATUS!$U:$U,"ВОЗВРАТ")</f>
        <v>0</v>
      </c>
      <c r="GT37" s="578">
        <f>COUNTIFS(STATUS!$Q:$Q,$A36,STATUS!$D:$D,GT$1,STATUS!$U:$U,"ВОЗВРАТ")</f>
        <v>0</v>
      </c>
      <c r="GU37" s="576">
        <f>SUM(GP37:GT37)</f>
        <v>0</v>
      </c>
      <c r="GV37" s="577">
        <f>COUNTIFS(STATUS!$Q:$Q,$A36,STATUS!$D:$D,GV$1,STATUS!$U:$U,"ВОЗВРАТ")</f>
        <v>0</v>
      </c>
      <c r="GW37" s="577">
        <f>COUNTIFS(STATUS!$Q:$Q,$A36,STATUS!$D:$D,GW$1,STATUS!$U:$U,"ВОЗВРАТ")</f>
        <v>0</v>
      </c>
      <c r="GX37" s="577">
        <f>COUNTIFS(STATUS!$Q:$Q,$A36,STATUS!$D:$D,GX$1,STATUS!$U:$U,"ВОЗВРАТ")</f>
        <v>0</v>
      </c>
      <c r="GY37" s="578">
        <f>COUNTIFS(STATUS!$Q:$Q,$A36,STATUS!$D:$D,GY$1,STATUS!$U:$U,"ВОЗВРАТ")</f>
        <v>0</v>
      </c>
      <c r="GZ37" s="578">
        <f>COUNTIFS(STATUS!$Q:$Q,$A36,STATUS!$D:$D,GZ$1,STATUS!$U:$U,"ВОЗВРАТ")</f>
        <v>0</v>
      </c>
      <c r="HA37" s="576">
        <f>SUM(GV37:GZ37)</f>
        <v>0</v>
      </c>
    </row>
    <row r="38" spans="1:209" ht="21.6" thickBot="1" x14ac:dyDescent="0.35">
      <c r="A38" s="1557"/>
      <c r="B38" s="434">
        <f>IFERROR(B37/B36,0)</f>
        <v>0.20689655172413793</v>
      </c>
      <c r="C38" s="579">
        <f>IFERROR(C37/C36,0)</f>
        <v>0</v>
      </c>
      <c r="D38" s="579">
        <f t="shared" ref="D38:S38" si="466">IFERROR(D37/D36,0)</f>
        <v>0</v>
      </c>
      <c r="E38" s="579">
        <f t="shared" si="466"/>
        <v>0</v>
      </c>
      <c r="F38" s="579">
        <f t="shared" si="466"/>
        <v>0</v>
      </c>
      <c r="G38" s="580">
        <f t="shared" si="466"/>
        <v>0</v>
      </c>
      <c r="H38" s="581">
        <f t="shared" si="466"/>
        <v>0</v>
      </c>
      <c r="I38" s="444">
        <f t="shared" si="466"/>
        <v>0</v>
      </c>
      <c r="J38" s="397">
        <f t="shared" si="466"/>
        <v>0</v>
      </c>
      <c r="K38" s="397">
        <f t="shared" si="466"/>
        <v>0</v>
      </c>
      <c r="L38" s="397">
        <f t="shared" si="466"/>
        <v>0</v>
      </c>
      <c r="M38" s="441">
        <f t="shared" si="466"/>
        <v>0</v>
      </c>
      <c r="N38" s="573">
        <f t="shared" si="466"/>
        <v>0</v>
      </c>
      <c r="O38" s="444">
        <f t="shared" si="466"/>
        <v>0</v>
      </c>
      <c r="P38" s="397">
        <f t="shared" si="466"/>
        <v>0</v>
      </c>
      <c r="Q38" s="397">
        <f t="shared" si="466"/>
        <v>0</v>
      </c>
      <c r="R38" s="573">
        <f t="shared" si="466"/>
        <v>0</v>
      </c>
      <c r="S38" s="397">
        <f t="shared" si="466"/>
        <v>0</v>
      </c>
      <c r="T38" s="397">
        <f>IFERROR(T37/T36,0)</f>
        <v>0</v>
      </c>
      <c r="U38" s="397">
        <f>IFERROR(U37/U36,0)</f>
        <v>0</v>
      </c>
      <c r="V38" s="441">
        <f t="shared" ref="V38:W38" si="467">IFERROR(V37/V36,0)</f>
        <v>0</v>
      </c>
      <c r="W38" s="573">
        <f t="shared" si="467"/>
        <v>0</v>
      </c>
      <c r="X38" s="397">
        <f>IFERROR(X37/X36,0)</f>
        <v>0</v>
      </c>
      <c r="Y38" s="397">
        <f>IFERROR(Y37/Y36,0)</f>
        <v>0</v>
      </c>
      <c r="Z38" s="397">
        <f>IFERROR(Z37/Z36,0)</f>
        <v>0</v>
      </c>
      <c r="AA38" s="441">
        <f t="shared" ref="AA38:AB38" si="468">IFERROR(AA37/AA36,0)</f>
        <v>0</v>
      </c>
      <c r="AB38" s="441">
        <f t="shared" si="468"/>
        <v>0</v>
      </c>
      <c r="AC38" s="573">
        <f>IFERROR(AC37/AC36,0)</f>
        <v>0</v>
      </c>
      <c r="AD38" s="397">
        <f>IFERROR(AD37/AD36,0)</f>
        <v>0</v>
      </c>
      <c r="AE38" s="397">
        <f>IFERROR(AE37/AE36,0)</f>
        <v>0</v>
      </c>
      <c r="AF38" s="397">
        <f>IFERROR(AF37/AF36,0)</f>
        <v>0</v>
      </c>
      <c r="AG38" s="441">
        <f t="shared" ref="AG38:AH38" si="469">IFERROR(AG37/AG36,0)</f>
        <v>0</v>
      </c>
      <c r="AH38" s="441">
        <f t="shared" si="469"/>
        <v>0</v>
      </c>
      <c r="AI38" s="573">
        <f>IFERROR(AI37/AI36,0)</f>
        <v>0</v>
      </c>
      <c r="AJ38" s="397">
        <f>IFERROR(AJ37/AJ36,0)</f>
        <v>0</v>
      </c>
      <c r="AK38" s="397">
        <f>IFERROR(AK37/AK36,0)</f>
        <v>0</v>
      </c>
      <c r="AL38" s="397">
        <f>IFERROR(AL37/AL36,0)</f>
        <v>0</v>
      </c>
      <c r="AM38" s="441">
        <f t="shared" ref="AM38:AN38" si="470">IFERROR(AM37/AM36,0)</f>
        <v>0</v>
      </c>
      <c r="AN38" s="441">
        <f t="shared" si="470"/>
        <v>0</v>
      </c>
      <c r="AO38" s="573">
        <f>IFERROR(AO37/AO36,0)</f>
        <v>0</v>
      </c>
      <c r="AP38" s="397">
        <f>IFERROR(AP37/AP36,0)</f>
        <v>0</v>
      </c>
      <c r="AQ38" s="397">
        <f>IFERROR(AQ37/AQ36,0)</f>
        <v>0</v>
      </c>
      <c r="AR38" s="397">
        <f>IFERROR(AR37/AR36,0)</f>
        <v>0</v>
      </c>
      <c r="AS38" s="441">
        <f t="shared" ref="AS38:AT38" si="471">IFERROR(AS37/AS36,0)</f>
        <v>0</v>
      </c>
      <c r="AT38" s="441">
        <f t="shared" si="471"/>
        <v>0</v>
      </c>
      <c r="AU38" s="573">
        <f>IFERROR(AU37/AU36,0)</f>
        <v>0</v>
      </c>
      <c r="AV38" s="397">
        <f>IFERROR(AV37/AV36,0)</f>
        <v>0</v>
      </c>
      <c r="AW38" s="397">
        <f>IFERROR(AW37/AW36,0)</f>
        <v>0</v>
      </c>
      <c r="AX38" s="397">
        <f>IFERROR(AX37/AX36,0)</f>
        <v>0</v>
      </c>
      <c r="AY38" s="441">
        <f t="shared" ref="AY38:AZ38" si="472">IFERROR(AY37/AY36,0)</f>
        <v>0</v>
      </c>
      <c r="AZ38" s="441">
        <f t="shared" si="472"/>
        <v>0</v>
      </c>
      <c r="BA38" s="573">
        <f>IFERROR(BA37/BA36,0)</f>
        <v>0</v>
      </c>
      <c r="BB38" s="397">
        <f>IFERROR(BB37/BB36,0)</f>
        <v>0</v>
      </c>
      <c r="BC38" s="397">
        <f>IFERROR(BC37/BC36,0)</f>
        <v>0</v>
      </c>
      <c r="BD38" s="397">
        <f>IFERROR(BD37/BD36,0)</f>
        <v>0</v>
      </c>
      <c r="BE38" s="441">
        <f t="shared" ref="BE38:BF38" si="473">IFERROR(BE37/BE36,0)</f>
        <v>0</v>
      </c>
      <c r="BF38" s="441">
        <f t="shared" si="473"/>
        <v>0</v>
      </c>
      <c r="BG38" s="573">
        <f>IFERROR(BG37/BG36,0)</f>
        <v>0</v>
      </c>
      <c r="BH38" s="397">
        <f>IFERROR(BH37/BH36,0)</f>
        <v>0</v>
      </c>
      <c r="BI38" s="397">
        <f>IFERROR(BI37/BI36,0)</f>
        <v>0</v>
      </c>
      <c r="BJ38" s="397">
        <f>IFERROR(BJ37/BJ36,0)</f>
        <v>0</v>
      </c>
      <c r="BK38" s="441">
        <f t="shared" ref="BK38:BL38" si="474">IFERROR(BK37/BK36,0)</f>
        <v>0</v>
      </c>
      <c r="BL38" s="441">
        <f t="shared" si="474"/>
        <v>0</v>
      </c>
      <c r="BM38" s="573">
        <f>IFERROR(BM37/BM36,0)</f>
        <v>0</v>
      </c>
      <c r="BN38" s="397">
        <f>IFERROR(BN37/BN36,0)</f>
        <v>0</v>
      </c>
      <c r="BO38" s="397">
        <f>IFERROR(BO37/BO36,0)</f>
        <v>0</v>
      </c>
      <c r="BP38" s="397">
        <f>IFERROR(BP37/BP36,0)</f>
        <v>0</v>
      </c>
      <c r="BQ38" s="441">
        <f t="shared" ref="BQ38:BR38" si="475">IFERROR(BQ37/BQ36,0)</f>
        <v>0</v>
      </c>
      <c r="BR38" s="441">
        <f t="shared" si="475"/>
        <v>0</v>
      </c>
      <c r="BS38" s="573">
        <f>IFERROR(BS37/BS36,0)</f>
        <v>0</v>
      </c>
      <c r="BT38" s="397">
        <f>IFERROR(BT37/BT36,0)</f>
        <v>0</v>
      </c>
      <c r="BU38" s="397">
        <f>IFERROR(BU37/BU36,0)</f>
        <v>0</v>
      </c>
      <c r="BV38" s="397">
        <f>IFERROR(BV37/BV36,0)</f>
        <v>0</v>
      </c>
      <c r="BW38" s="441">
        <f t="shared" ref="BW38:BX38" si="476">IFERROR(BW37/BW36,0)</f>
        <v>0</v>
      </c>
      <c r="BX38" s="441">
        <f t="shared" si="476"/>
        <v>0</v>
      </c>
      <c r="BY38" s="573">
        <f>IFERROR(BY37/BY36,0)</f>
        <v>0</v>
      </c>
      <c r="BZ38" s="397">
        <f>IFERROR(BZ37/BZ36,0)</f>
        <v>0</v>
      </c>
      <c r="CA38" s="397">
        <f>IFERROR(CA37/CA36,0)</f>
        <v>0</v>
      </c>
      <c r="CB38" s="397">
        <f>IFERROR(CB37/CB36,0)</f>
        <v>0</v>
      </c>
      <c r="CC38" s="441">
        <f t="shared" ref="CC38:CD38" si="477">IFERROR(CC37/CC36,0)</f>
        <v>0</v>
      </c>
      <c r="CD38" s="441">
        <f t="shared" si="477"/>
        <v>0</v>
      </c>
      <c r="CE38" s="573">
        <f>IFERROR(CE37/CE36,0)</f>
        <v>0</v>
      </c>
      <c r="CF38" s="397">
        <f>IFERROR(CF37/CF36,0)</f>
        <v>0</v>
      </c>
      <c r="CG38" s="397">
        <f>IFERROR(CG37/CG36,0)</f>
        <v>0</v>
      </c>
      <c r="CH38" s="397">
        <f>IFERROR(CH37/CH36,0)</f>
        <v>0</v>
      </c>
      <c r="CI38" s="441">
        <f t="shared" ref="CI38:CJ38" si="478">IFERROR(CI37/CI36,0)</f>
        <v>0</v>
      </c>
      <c r="CJ38" s="441">
        <f t="shared" si="478"/>
        <v>0</v>
      </c>
      <c r="CK38" s="573">
        <f>IFERROR(CK37/CK36,0)</f>
        <v>0</v>
      </c>
      <c r="CL38" s="397">
        <f>IFERROR(CL37/CL36,0)</f>
        <v>0</v>
      </c>
      <c r="CM38" s="397">
        <f>IFERROR(CM37/CM36,0)</f>
        <v>0</v>
      </c>
      <c r="CN38" s="397">
        <f>IFERROR(CN37/CN36,0)</f>
        <v>0</v>
      </c>
      <c r="CO38" s="441">
        <f t="shared" ref="CO38:CP38" si="479">IFERROR(CO37/CO36,0)</f>
        <v>0</v>
      </c>
      <c r="CP38" s="441">
        <f t="shared" si="479"/>
        <v>0</v>
      </c>
      <c r="CQ38" s="573">
        <f>IFERROR(CQ37/CQ36,0)</f>
        <v>0</v>
      </c>
      <c r="CR38" s="397">
        <f>IFERROR(CR37/CR36,0)</f>
        <v>0</v>
      </c>
      <c r="CS38" s="397">
        <f>IFERROR(CS37/CS36,0)</f>
        <v>0</v>
      </c>
      <c r="CT38" s="397">
        <f>IFERROR(CT37/CT36,0)</f>
        <v>0</v>
      </c>
      <c r="CU38" s="441">
        <f t="shared" ref="CU38:CV38" si="480">IFERROR(CU37/CU36,0)</f>
        <v>0</v>
      </c>
      <c r="CV38" s="441">
        <f t="shared" si="480"/>
        <v>0</v>
      </c>
      <c r="CW38" s="573">
        <f>IFERROR(CW37/CW36,0)</f>
        <v>0</v>
      </c>
      <c r="CX38" s="397">
        <f>IFERROR(CX37/CX36,0)</f>
        <v>0</v>
      </c>
      <c r="CY38" s="397">
        <f>IFERROR(CY37/CY36,0)</f>
        <v>0</v>
      </c>
      <c r="CZ38" s="397">
        <f>IFERROR(CZ37/CZ36,0)</f>
        <v>0</v>
      </c>
      <c r="DA38" s="441">
        <f t="shared" ref="DA38:DB38" si="481">IFERROR(DA37/DA36,0)</f>
        <v>0</v>
      </c>
      <c r="DB38" s="441">
        <f t="shared" si="481"/>
        <v>0</v>
      </c>
      <c r="DC38" s="573">
        <f>IFERROR(DC37/DC36,0)</f>
        <v>0</v>
      </c>
      <c r="DD38" s="397">
        <f>IFERROR(DD37/DD36,0)</f>
        <v>0</v>
      </c>
      <c r="DE38" s="397">
        <f>IFERROR(DE37/DE36,0)</f>
        <v>0</v>
      </c>
      <c r="DF38" s="397">
        <f>IFERROR(DF37/DF36,0)</f>
        <v>0</v>
      </c>
      <c r="DG38" s="441">
        <f t="shared" ref="DG38:DH38" si="482">IFERROR(DG37/DG36,0)</f>
        <v>0</v>
      </c>
      <c r="DH38" s="441">
        <f t="shared" si="482"/>
        <v>0</v>
      </c>
      <c r="DI38" s="573">
        <f>IFERROR(DI37/DI36,0)</f>
        <v>0</v>
      </c>
      <c r="DJ38" s="397">
        <f>IFERROR(DJ37/DJ36,0)</f>
        <v>0</v>
      </c>
      <c r="DK38" s="397">
        <f>IFERROR(DK37/DK36,0)</f>
        <v>0</v>
      </c>
      <c r="DL38" s="397">
        <f>IFERROR(DL37/DL36,0)</f>
        <v>0</v>
      </c>
      <c r="DM38" s="441">
        <f t="shared" ref="DM38:DN38" si="483">IFERROR(DM37/DM36,0)</f>
        <v>0</v>
      </c>
      <c r="DN38" s="441">
        <f t="shared" si="483"/>
        <v>0</v>
      </c>
      <c r="DO38" s="573">
        <f>IFERROR(DO37/DO36,0)</f>
        <v>0</v>
      </c>
      <c r="DP38" s="397">
        <f>IFERROR(DP37/DP36,0)</f>
        <v>0</v>
      </c>
      <c r="DQ38" s="397">
        <f>IFERROR(DQ37/DQ36,0)</f>
        <v>0</v>
      </c>
      <c r="DR38" s="397">
        <f>IFERROR(DR37/DR36,0)</f>
        <v>0</v>
      </c>
      <c r="DS38" s="441">
        <f t="shared" ref="DS38:DT38" si="484">IFERROR(DS37/DS36,0)</f>
        <v>0</v>
      </c>
      <c r="DT38" s="441">
        <f t="shared" si="484"/>
        <v>0</v>
      </c>
      <c r="DU38" s="573">
        <f>IFERROR(DU37/DU36,0)</f>
        <v>0</v>
      </c>
      <c r="DV38" s="397">
        <f>IFERROR(DV37/DV36,0)</f>
        <v>0</v>
      </c>
      <c r="DW38" s="397">
        <f>IFERROR(DW37/DW36,0)</f>
        <v>0</v>
      </c>
      <c r="DX38" s="397">
        <f>IFERROR(DX37/DX36,0)</f>
        <v>0</v>
      </c>
      <c r="DY38" s="441">
        <f t="shared" ref="DY38:DZ38" si="485">IFERROR(DY37/DY36,0)</f>
        <v>0</v>
      </c>
      <c r="DZ38" s="441">
        <f t="shared" si="485"/>
        <v>0</v>
      </c>
      <c r="EA38" s="573">
        <f>IFERROR(EA37/EA36,0)</f>
        <v>0</v>
      </c>
      <c r="EB38" s="397">
        <f>IFERROR(EB37/EB36,0)</f>
        <v>0</v>
      </c>
      <c r="EC38" s="397">
        <f>IFERROR(EC37/EC36,0)</f>
        <v>0</v>
      </c>
      <c r="ED38" s="397">
        <f>IFERROR(ED37/ED36,0)</f>
        <v>0</v>
      </c>
      <c r="EE38" s="441">
        <f t="shared" ref="EE38:EF38" si="486">IFERROR(EE37/EE36,0)</f>
        <v>0</v>
      </c>
      <c r="EF38" s="441">
        <f t="shared" si="486"/>
        <v>0</v>
      </c>
      <c r="EG38" s="573">
        <f>IFERROR(EG37/EG36,0)</f>
        <v>0</v>
      </c>
      <c r="EH38" s="397">
        <f>IFERROR(EH37/EH36,0)</f>
        <v>0</v>
      </c>
      <c r="EI38" s="397">
        <f>IFERROR(EI37/EI36,0)</f>
        <v>0</v>
      </c>
      <c r="EJ38" s="397">
        <f>IFERROR(EJ37/EJ36,0)</f>
        <v>0</v>
      </c>
      <c r="EK38" s="441">
        <f t="shared" ref="EK38:EL38" si="487">IFERROR(EK37/EK36,0)</f>
        <v>0</v>
      </c>
      <c r="EL38" s="441">
        <f t="shared" si="487"/>
        <v>0</v>
      </c>
      <c r="EM38" s="573">
        <f>IFERROR(EM37/EM36,0)</f>
        <v>0</v>
      </c>
      <c r="EN38" s="397">
        <f>IFERROR(EN37/EN36,0)</f>
        <v>0</v>
      </c>
      <c r="EO38" s="397">
        <f>IFERROR(EO37/EO36,0)</f>
        <v>0</v>
      </c>
      <c r="EP38" s="397">
        <f>IFERROR(EP37/EP36,0)</f>
        <v>0</v>
      </c>
      <c r="EQ38" s="441">
        <f t="shared" ref="EQ38:ER38" si="488">IFERROR(EQ37/EQ36,0)</f>
        <v>0</v>
      </c>
      <c r="ER38" s="441">
        <f t="shared" si="488"/>
        <v>0</v>
      </c>
      <c r="ES38" s="573">
        <f>IFERROR(ES37/ES36,0)</f>
        <v>0</v>
      </c>
      <c r="ET38" s="397">
        <f>IFERROR(ET37/ET36,0)</f>
        <v>0</v>
      </c>
      <c r="EU38" s="397">
        <f>IFERROR(EU37/EU36,0)</f>
        <v>0</v>
      </c>
      <c r="EV38" s="397">
        <f>IFERROR(EV37/EV36,0)</f>
        <v>0</v>
      </c>
      <c r="EW38" s="441">
        <f t="shared" ref="EW38:EX38" si="489">IFERROR(EW37/EW36,0)</f>
        <v>0</v>
      </c>
      <c r="EX38" s="441">
        <f t="shared" si="489"/>
        <v>0</v>
      </c>
      <c r="EY38" s="573">
        <f>IFERROR(EY37/EY36,0)</f>
        <v>0</v>
      </c>
      <c r="EZ38" s="397">
        <f>IFERROR(EZ37/EZ36,0)</f>
        <v>0</v>
      </c>
      <c r="FA38" s="397">
        <f>IFERROR(FA37/FA36,0)</f>
        <v>0</v>
      </c>
      <c r="FB38" s="397">
        <f>IFERROR(FB37/FB36,0)</f>
        <v>0</v>
      </c>
      <c r="FC38" s="441">
        <f t="shared" ref="FC38:FD38" si="490">IFERROR(FC37/FC36,0)</f>
        <v>0</v>
      </c>
      <c r="FD38" s="441">
        <f t="shared" si="490"/>
        <v>0</v>
      </c>
      <c r="FE38" s="573">
        <f>IFERROR(FE37/FE36,0)</f>
        <v>0</v>
      </c>
      <c r="FF38" s="397">
        <f>IFERROR(FF37/FF36,0)</f>
        <v>0</v>
      </c>
      <c r="FG38" s="397">
        <f>IFERROR(FG37/FG36,0)</f>
        <v>0</v>
      </c>
      <c r="FH38" s="397">
        <f>IFERROR(FH37/FH36,0)</f>
        <v>0</v>
      </c>
      <c r="FI38" s="441">
        <f t="shared" ref="FI38:FJ38" si="491">IFERROR(FI37/FI36,0)</f>
        <v>0</v>
      </c>
      <c r="FJ38" s="441">
        <f t="shared" si="491"/>
        <v>0</v>
      </c>
      <c r="FK38" s="573">
        <f>IFERROR(FK37/FK36,0)</f>
        <v>0</v>
      </c>
      <c r="FL38" s="397">
        <f>IFERROR(FL37/FL36,0)</f>
        <v>0.33333333333333331</v>
      </c>
      <c r="FM38" s="397">
        <f>IFERROR(FM37/FM36,0)</f>
        <v>0</v>
      </c>
      <c r="FN38" s="397">
        <f>IFERROR(FN37/FN36,0)</f>
        <v>0</v>
      </c>
      <c r="FO38" s="441">
        <f t="shared" ref="FO38:FP38" si="492">IFERROR(FO37/FO36,0)</f>
        <v>0</v>
      </c>
      <c r="FP38" s="441">
        <f t="shared" si="492"/>
        <v>0.6</v>
      </c>
      <c r="FQ38" s="573">
        <f>IFERROR(FQ37/FQ36,0)</f>
        <v>0.26315789473684209</v>
      </c>
      <c r="FR38" s="397">
        <f>IFERROR(FR37/FR36,0)</f>
        <v>0.33333333333333331</v>
      </c>
      <c r="FS38" s="397">
        <f>IFERROR(FS37/FS36,0)</f>
        <v>0</v>
      </c>
      <c r="FT38" s="397">
        <f>IFERROR(FT37/FT36,0)</f>
        <v>0</v>
      </c>
      <c r="FU38" s="441">
        <f t="shared" ref="FU38:FV38" si="493">IFERROR(FU37/FU36,0)</f>
        <v>0</v>
      </c>
      <c r="FV38" s="441">
        <f t="shared" si="493"/>
        <v>0</v>
      </c>
      <c r="FW38" s="573">
        <f>IFERROR(FW37/FW36,0)</f>
        <v>0.1</v>
      </c>
      <c r="FX38" s="397">
        <f>IFERROR(FX37/FX36,0)</f>
        <v>0</v>
      </c>
      <c r="FY38" s="397">
        <f>IFERROR(FY37/FY36,0)</f>
        <v>0</v>
      </c>
      <c r="FZ38" s="397">
        <f>IFERROR(FZ37/FZ36,0)</f>
        <v>0</v>
      </c>
      <c r="GA38" s="441">
        <f t="shared" ref="GA38:GB38" si="494">IFERROR(GA37/GA36,0)</f>
        <v>0</v>
      </c>
      <c r="GB38" s="441">
        <f t="shared" si="494"/>
        <v>0</v>
      </c>
      <c r="GC38" s="573">
        <f>IFERROR(GC37/GC36,0)</f>
        <v>0</v>
      </c>
      <c r="GD38" s="397">
        <f>IFERROR(GD37/GD36,0)</f>
        <v>0</v>
      </c>
      <c r="GE38" s="397">
        <f>IFERROR(GE37/GE36,0)</f>
        <v>0</v>
      </c>
      <c r="GF38" s="397">
        <f>IFERROR(GF37/GF36,0)</f>
        <v>0</v>
      </c>
      <c r="GG38" s="441">
        <f t="shared" ref="GG38:GH38" si="495">IFERROR(GG37/GG36,0)</f>
        <v>0</v>
      </c>
      <c r="GH38" s="441">
        <f t="shared" si="495"/>
        <v>0</v>
      </c>
      <c r="GI38" s="573">
        <f>IFERROR(GI37/GI36,0)</f>
        <v>0</v>
      </c>
      <c r="GJ38" s="397">
        <f>IFERROR(GJ37/GJ36,0)</f>
        <v>0</v>
      </c>
      <c r="GK38" s="397">
        <f>IFERROR(GK37/GK36,0)</f>
        <v>0</v>
      </c>
      <c r="GL38" s="397">
        <f>IFERROR(GL37/GL36,0)</f>
        <v>0</v>
      </c>
      <c r="GM38" s="441">
        <f t="shared" ref="GM38:GN38" si="496">IFERROR(GM37/GM36,0)</f>
        <v>0</v>
      </c>
      <c r="GN38" s="441">
        <f t="shared" si="496"/>
        <v>0</v>
      </c>
      <c r="GO38" s="573">
        <f>IFERROR(GO37/GO36,0)</f>
        <v>0</v>
      </c>
      <c r="GP38" s="397">
        <f>IFERROR(GP37/GP36,0)</f>
        <v>0</v>
      </c>
      <c r="GQ38" s="397">
        <f>IFERROR(GQ37/GQ36,0)</f>
        <v>0</v>
      </c>
      <c r="GR38" s="397">
        <f>IFERROR(GR37/GR36,0)</f>
        <v>0</v>
      </c>
      <c r="GS38" s="441">
        <f t="shared" ref="GS38:GT38" si="497">IFERROR(GS37/GS36,0)</f>
        <v>0</v>
      </c>
      <c r="GT38" s="441">
        <f t="shared" si="497"/>
        <v>0</v>
      </c>
      <c r="GU38" s="573">
        <f>IFERROR(GU37/GU36,0)</f>
        <v>0</v>
      </c>
      <c r="GV38" s="397">
        <f>IFERROR(GV37/GV36,0)</f>
        <v>0</v>
      </c>
      <c r="GW38" s="397">
        <f>IFERROR(GW37/GW36,0)</f>
        <v>0</v>
      </c>
      <c r="GX38" s="397">
        <f>IFERROR(GX37/GX36,0)</f>
        <v>0</v>
      </c>
      <c r="GY38" s="441">
        <f t="shared" ref="GY38:GZ38" si="498">IFERROR(GY37/GY36,0)</f>
        <v>0</v>
      </c>
      <c r="GZ38" s="441">
        <f t="shared" si="498"/>
        <v>0</v>
      </c>
      <c r="HA38" s="573">
        <f>IFERROR(HA37/HA36,0)</f>
        <v>0</v>
      </c>
    </row>
    <row r="39" spans="1:209" ht="15" thickTop="1" x14ac:dyDescent="0.3"/>
  </sheetData>
  <mergeCells count="12">
    <mergeCell ref="A36:A38"/>
    <mergeCell ref="A33:A35"/>
    <mergeCell ref="A2:A4"/>
    <mergeCell ref="A5:A7"/>
    <mergeCell ref="A8:A10"/>
    <mergeCell ref="A14:A16"/>
    <mergeCell ref="A17:A19"/>
    <mergeCell ref="A24:A26"/>
    <mergeCell ref="A27:A29"/>
    <mergeCell ref="A30:A32"/>
    <mergeCell ref="A20:A22"/>
    <mergeCell ref="A11:A13"/>
  </mergeCells>
  <conditionalFormatting sqref="A1:Q1 S1:V1 HB1:XFD1">
    <cfRule type="timePeriod" dxfId="54" priority="1850" timePeriod="today">
      <formula>FLOOR(A1,1)=TODAY()</formula>
    </cfRule>
  </conditionalFormatting>
  <conditionalFormatting sqref="B4:Q4 B7:Q7 B10:Q10 B16:Q16 B22:Q22 S22 S16 S10 S7 S4 V4:W4 V7:W7 V10:W10 V16:W16 V22:W22">
    <cfRule type="colorScale" priority="1811">
      <colorScale>
        <cfvo type="num" val="0"/>
        <cfvo type="num" val="0.5"/>
        <cfvo type="num" val="1"/>
        <color rgb="FF92D050"/>
        <color rgb="FFFFA709"/>
        <color rgb="FFFF0000"/>
      </colorScale>
    </cfRule>
  </conditionalFormatting>
  <conditionalFormatting sqref="C19:Q19 S19 V19:W19">
    <cfRule type="colorScale" priority="1808">
      <colorScale>
        <cfvo type="num" val="0"/>
        <cfvo type="num" val="0.5"/>
        <cfvo type="num" val="1"/>
        <color rgb="FF92D050"/>
        <color rgb="FFFFA709"/>
        <color rgb="FFFF0000"/>
      </colorScale>
    </cfRule>
  </conditionalFormatting>
  <conditionalFormatting sqref="B19">
    <cfRule type="colorScale" priority="1809">
      <colorScale>
        <cfvo type="num" val="0"/>
        <cfvo type="num" val="0.5"/>
        <cfvo type="num" val="1"/>
        <color rgb="FF92D050"/>
        <color rgb="FFFFA709"/>
        <color rgb="FFFF0000"/>
      </colorScale>
    </cfRule>
  </conditionalFormatting>
  <conditionalFormatting sqref="R22 R16 R10 R7 R4">
    <cfRule type="colorScale" priority="1807">
      <colorScale>
        <cfvo type="num" val="0"/>
        <cfvo type="num" val="0.5"/>
        <cfvo type="num" val="1"/>
        <color rgb="FF92D050"/>
        <color rgb="FFFFA709"/>
        <color rgb="FFFF0000"/>
      </colorScale>
    </cfRule>
  </conditionalFormatting>
  <conditionalFormatting sqref="R19">
    <cfRule type="colorScale" priority="1806">
      <colorScale>
        <cfvo type="num" val="0"/>
        <cfvo type="num" val="0.5"/>
        <cfvo type="num" val="1"/>
        <color rgb="FF92D050"/>
        <color rgb="FFFFA709"/>
        <color rgb="FFFF0000"/>
      </colorScale>
    </cfRule>
  </conditionalFormatting>
  <conditionalFormatting sqref="T4">
    <cfRule type="colorScale" priority="1805">
      <colorScale>
        <cfvo type="num" val="0"/>
        <cfvo type="num" val="0.5"/>
        <cfvo type="num" val="1"/>
        <color rgb="FF92D050"/>
        <color rgb="FFFFA709"/>
        <color rgb="FFFF0000"/>
      </colorScale>
    </cfRule>
  </conditionalFormatting>
  <conditionalFormatting sqref="U4">
    <cfRule type="colorScale" priority="1804">
      <colorScale>
        <cfvo type="num" val="0"/>
        <cfvo type="num" val="0.5"/>
        <cfvo type="num" val="1"/>
        <color rgb="FF92D050"/>
        <color rgb="FFFFA709"/>
        <color rgb="FFFF0000"/>
      </colorScale>
    </cfRule>
  </conditionalFormatting>
  <conditionalFormatting sqref="T7">
    <cfRule type="colorScale" priority="1803">
      <colorScale>
        <cfvo type="num" val="0"/>
        <cfvo type="num" val="0.5"/>
        <cfvo type="num" val="1"/>
        <color rgb="FF92D050"/>
        <color rgb="FFFFA709"/>
        <color rgb="FFFF0000"/>
      </colorScale>
    </cfRule>
  </conditionalFormatting>
  <conditionalFormatting sqref="U7">
    <cfRule type="colorScale" priority="1802">
      <colorScale>
        <cfvo type="num" val="0"/>
        <cfvo type="num" val="0.5"/>
        <cfvo type="num" val="1"/>
        <color rgb="FF92D050"/>
        <color rgb="FFFFA709"/>
        <color rgb="FFFF0000"/>
      </colorScale>
    </cfRule>
  </conditionalFormatting>
  <conditionalFormatting sqref="T10">
    <cfRule type="colorScale" priority="1801">
      <colorScale>
        <cfvo type="num" val="0"/>
        <cfvo type="num" val="0.5"/>
        <cfvo type="num" val="1"/>
        <color rgb="FF92D050"/>
        <color rgb="FFFFA709"/>
        <color rgb="FFFF0000"/>
      </colorScale>
    </cfRule>
  </conditionalFormatting>
  <conditionalFormatting sqref="U10">
    <cfRule type="colorScale" priority="1800">
      <colorScale>
        <cfvo type="num" val="0"/>
        <cfvo type="num" val="0.5"/>
        <cfvo type="num" val="1"/>
        <color rgb="FF92D050"/>
        <color rgb="FFFFA709"/>
        <color rgb="FFFF0000"/>
      </colorScale>
    </cfRule>
  </conditionalFormatting>
  <conditionalFormatting sqref="T16">
    <cfRule type="colorScale" priority="1799">
      <colorScale>
        <cfvo type="num" val="0"/>
        <cfvo type="num" val="0.5"/>
        <cfvo type="num" val="1"/>
        <color rgb="FF92D050"/>
        <color rgb="FFFFA709"/>
        <color rgb="FFFF0000"/>
      </colorScale>
    </cfRule>
  </conditionalFormatting>
  <conditionalFormatting sqref="U16">
    <cfRule type="colorScale" priority="1798">
      <colorScale>
        <cfvo type="num" val="0"/>
        <cfvo type="num" val="0.5"/>
        <cfvo type="num" val="1"/>
        <color rgb="FF92D050"/>
        <color rgb="FFFFA709"/>
        <color rgb="FFFF0000"/>
      </colorScale>
    </cfRule>
  </conditionalFormatting>
  <conditionalFormatting sqref="T19">
    <cfRule type="colorScale" priority="1797">
      <colorScale>
        <cfvo type="num" val="0"/>
        <cfvo type="num" val="0.5"/>
        <cfvo type="num" val="1"/>
        <color rgb="FF92D050"/>
        <color rgb="FFFFA709"/>
        <color rgb="FFFF0000"/>
      </colorScale>
    </cfRule>
  </conditionalFormatting>
  <conditionalFormatting sqref="U19">
    <cfRule type="colorScale" priority="1796">
      <colorScale>
        <cfvo type="num" val="0"/>
        <cfvo type="num" val="0.5"/>
        <cfvo type="num" val="1"/>
        <color rgb="FF92D050"/>
        <color rgb="FFFFA709"/>
        <color rgb="FFFF0000"/>
      </colorScale>
    </cfRule>
  </conditionalFormatting>
  <conditionalFormatting sqref="T22">
    <cfRule type="colorScale" priority="1795">
      <colorScale>
        <cfvo type="num" val="0"/>
        <cfvo type="num" val="0.5"/>
        <cfvo type="num" val="1"/>
        <color rgb="FF92D050"/>
        <color rgb="FFFFA709"/>
        <color rgb="FFFF0000"/>
      </colorScale>
    </cfRule>
  </conditionalFormatting>
  <conditionalFormatting sqref="U22">
    <cfRule type="colorScale" priority="1794">
      <colorScale>
        <cfvo type="num" val="0"/>
        <cfvo type="num" val="0.5"/>
        <cfvo type="num" val="1"/>
        <color rgb="FF92D050"/>
        <color rgb="FFFFA709"/>
        <color rgb="FFFF0000"/>
      </colorScale>
    </cfRule>
  </conditionalFormatting>
  <conditionalFormatting sqref="X1:AB1">
    <cfRule type="timePeriod" dxfId="53" priority="1792" timePeriod="today">
      <formula>FLOOR(X1,1)=TODAY()</formula>
    </cfRule>
  </conditionalFormatting>
  <conditionalFormatting sqref="X4 AA4 AC4">
    <cfRule type="colorScale" priority="1791">
      <colorScale>
        <cfvo type="num" val="0"/>
        <cfvo type="num" val="0.5"/>
        <cfvo type="num" val="1"/>
        <color rgb="FF92D050"/>
        <color rgb="FFFFA709"/>
        <color rgb="FFFF0000"/>
      </colorScale>
    </cfRule>
  </conditionalFormatting>
  <conditionalFormatting sqref="Y4">
    <cfRule type="colorScale" priority="1790">
      <colorScale>
        <cfvo type="num" val="0"/>
        <cfvo type="num" val="0.5"/>
        <cfvo type="num" val="1"/>
        <color rgb="FF92D050"/>
        <color rgb="FFFFA709"/>
        <color rgb="FFFF0000"/>
      </colorScale>
    </cfRule>
  </conditionalFormatting>
  <conditionalFormatting sqref="Z4">
    <cfRule type="colorScale" priority="1789">
      <colorScale>
        <cfvo type="num" val="0"/>
        <cfvo type="num" val="0.5"/>
        <cfvo type="num" val="1"/>
        <color rgb="FF92D050"/>
        <color rgb="FFFFA709"/>
        <color rgb="FFFF0000"/>
      </colorScale>
    </cfRule>
  </conditionalFormatting>
  <conditionalFormatting sqref="AB4">
    <cfRule type="colorScale" priority="1788">
      <colorScale>
        <cfvo type="num" val="0"/>
        <cfvo type="num" val="0.5"/>
        <cfvo type="num" val="1"/>
        <color rgb="FF92D050"/>
        <color rgb="FFFFA709"/>
        <color rgb="FFFF0000"/>
      </colorScale>
    </cfRule>
  </conditionalFormatting>
  <conditionalFormatting sqref="AA7 X7 AC7">
    <cfRule type="colorScale" priority="1787">
      <colorScale>
        <cfvo type="num" val="0"/>
        <cfvo type="num" val="0.5"/>
        <cfvo type="num" val="1"/>
        <color rgb="FF92D050"/>
        <color rgb="FFFFA709"/>
        <color rgb="FFFF0000"/>
      </colorScale>
    </cfRule>
  </conditionalFormatting>
  <conditionalFormatting sqref="Y7">
    <cfRule type="colorScale" priority="1786">
      <colorScale>
        <cfvo type="num" val="0"/>
        <cfvo type="num" val="0.5"/>
        <cfvo type="num" val="1"/>
        <color rgb="FF92D050"/>
        <color rgb="FFFFA709"/>
        <color rgb="FFFF0000"/>
      </colorScale>
    </cfRule>
  </conditionalFormatting>
  <conditionalFormatting sqref="Z7">
    <cfRule type="colorScale" priority="1785">
      <colorScale>
        <cfvo type="num" val="0"/>
        <cfvo type="num" val="0.5"/>
        <cfvo type="num" val="1"/>
        <color rgb="FF92D050"/>
        <color rgb="FFFFA709"/>
        <color rgb="FFFF0000"/>
      </colorScale>
    </cfRule>
  </conditionalFormatting>
  <conditionalFormatting sqref="AB7">
    <cfRule type="colorScale" priority="1784">
      <colorScale>
        <cfvo type="num" val="0"/>
        <cfvo type="num" val="0.5"/>
        <cfvo type="num" val="1"/>
        <color rgb="FF92D050"/>
        <color rgb="FFFFA709"/>
        <color rgb="FFFF0000"/>
      </colorScale>
    </cfRule>
  </conditionalFormatting>
  <conditionalFormatting sqref="X10 AA10 AC10">
    <cfRule type="colorScale" priority="1783">
      <colorScale>
        <cfvo type="num" val="0"/>
        <cfvo type="num" val="0.5"/>
        <cfvo type="num" val="1"/>
        <color rgb="FF92D050"/>
        <color rgb="FFFFA709"/>
        <color rgb="FFFF0000"/>
      </colorScale>
    </cfRule>
  </conditionalFormatting>
  <conditionalFormatting sqref="Y10">
    <cfRule type="colorScale" priority="1782">
      <colorScale>
        <cfvo type="num" val="0"/>
        <cfvo type="num" val="0.5"/>
        <cfvo type="num" val="1"/>
        <color rgb="FF92D050"/>
        <color rgb="FFFFA709"/>
        <color rgb="FFFF0000"/>
      </colorScale>
    </cfRule>
  </conditionalFormatting>
  <conditionalFormatting sqref="Z10">
    <cfRule type="colorScale" priority="1781">
      <colorScale>
        <cfvo type="num" val="0"/>
        <cfvo type="num" val="0.5"/>
        <cfvo type="num" val="1"/>
        <color rgb="FF92D050"/>
        <color rgb="FFFFA709"/>
        <color rgb="FFFF0000"/>
      </colorScale>
    </cfRule>
  </conditionalFormatting>
  <conditionalFormatting sqref="AB10">
    <cfRule type="colorScale" priority="1780">
      <colorScale>
        <cfvo type="num" val="0"/>
        <cfvo type="num" val="0.5"/>
        <cfvo type="num" val="1"/>
        <color rgb="FF92D050"/>
        <color rgb="FFFFA709"/>
        <color rgb="FFFF0000"/>
      </colorScale>
    </cfRule>
  </conditionalFormatting>
  <conditionalFormatting sqref="X16 AA16 AC16">
    <cfRule type="colorScale" priority="1779">
      <colorScale>
        <cfvo type="num" val="0"/>
        <cfvo type="num" val="0.5"/>
        <cfvo type="num" val="1"/>
        <color rgb="FF92D050"/>
        <color rgb="FFFFA709"/>
        <color rgb="FFFF0000"/>
      </colorScale>
    </cfRule>
  </conditionalFormatting>
  <conditionalFormatting sqref="Y16">
    <cfRule type="colorScale" priority="1778">
      <colorScale>
        <cfvo type="num" val="0"/>
        <cfvo type="num" val="0.5"/>
        <cfvo type="num" val="1"/>
        <color rgb="FF92D050"/>
        <color rgb="FFFFA709"/>
        <color rgb="FFFF0000"/>
      </colorScale>
    </cfRule>
  </conditionalFormatting>
  <conditionalFormatting sqref="Z16">
    <cfRule type="colorScale" priority="1777">
      <colorScale>
        <cfvo type="num" val="0"/>
        <cfvo type="num" val="0.5"/>
        <cfvo type="num" val="1"/>
        <color rgb="FF92D050"/>
        <color rgb="FFFFA709"/>
        <color rgb="FFFF0000"/>
      </colorScale>
    </cfRule>
  </conditionalFormatting>
  <conditionalFormatting sqref="AB16">
    <cfRule type="colorScale" priority="1776">
      <colorScale>
        <cfvo type="num" val="0"/>
        <cfvo type="num" val="0.5"/>
        <cfvo type="num" val="1"/>
        <color rgb="FF92D050"/>
        <color rgb="FFFFA709"/>
        <color rgb="FFFF0000"/>
      </colorScale>
    </cfRule>
  </conditionalFormatting>
  <conditionalFormatting sqref="X19 AA19 AC19">
    <cfRule type="colorScale" priority="1775">
      <colorScale>
        <cfvo type="num" val="0"/>
        <cfvo type="num" val="0.5"/>
        <cfvo type="num" val="1"/>
        <color rgb="FF92D050"/>
        <color rgb="FFFFA709"/>
        <color rgb="FFFF0000"/>
      </colorScale>
    </cfRule>
  </conditionalFormatting>
  <conditionalFormatting sqref="Y19">
    <cfRule type="colorScale" priority="1774">
      <colorScale>
        <cfvo type="num" val="0"/>
        <cfvo type="num" val="0.5"/>
        <cfvo type="num" val="1"/>
        <color rgb="FF92D050"/>
        <color rgb="FFFFA709"/>
        <color rgb="FFFF0000"/>
      </colorScale>
    </cfRule>
  </conditionalFormatting>
  <conditionalFormatting sqref="Z19">
    <cfRule type="colorScale" priority="1773">
      <colorScale>
        <cfvo type="num" val="0"/>
        <cfvo type="num" val="0.5"/>
        <cfvo type="num" val="1"/>
        <color rgb="FF92D050"/>
        <color rgb="FFFFA709"/>
        <color rgb="FFFF0000"/>
      </colorScale>
    </cfRule>
  </conditionalFormatting>
  <conditionalFormatting sqref="AB19">
    <cfRule type="colorScale" priority="1772">
      <colorScale>
        <cfvo type="num" val="0"/>
        <cfvo type="num" val="0.5"/>
        <cfvo type="num" val="1"/>
        <color rgb="FF92D050"/>
        <color rgb="FFFFA709"/>
        <color rgb="FFFF0000"/>
      </colorScale>
    </cfRule>
  </conditionalFormatting>
  <conditionalFormatting sqref="X22">
    <cfRule type="colorScale" priority="1771">
      <colorScale>
        <cfvo type="num" val="0"/>
        <cfvo type="num" val="0.5"/>
        <cfvo type="num" val="1"/>
        <color rgb="FF92D050"/>
        <color rgb="FFFFA709"/>
        <color rgb="FFFF0000"/>
      </colorScale>
    </cfRule>
  </conditionalFormatting>
  <conditionalFormatting sqref="Y22">
    <cfRule type="colorScale" priority="1770">
      <colorScale>
        <cfvo type="num" val="0"/>
        <cfvo type="num" val="0.5"/>
        <cfvo type="num" val="1"/>
        <color rgb="FF92D050"/>
        <color rgb="FFFFA709"/>
        <color rgb="FFFF0000"/>
      </colorScale>
    </cfRule>
  </conditionalFormatting>
  <conditionalFormatting sqref="Z22">
    <cfRule type="colorScale" priority="1769">
      <colorScale>
        <cfvo type="num" val="0"/>
        <cfvo type="num" val="0.5"/>
        <cfvo type="num" val="1"/>
        <color rgb="FF92D050"/>
        <color rgb="FFFFA709"/>
        <color rgb="FFFF0000"/>
      </colorScale>
    </cfRule>
  </conditionalFormatting>
  <conditionalFormatting sqref="AA22">
    <cfRule type="colorScale" priority="1768">
      <colorScale>
        <cfvo type="num" val="0"/>
        <cfvo type="num" val="0.5"/>
        <cfvo type="num" val="1"/>
        <color rgb="FF92D050"/>
        <color rgb="FFFFA709"/>
        <color rgb="FFFF0000"/>
      </colorScale>
    </cfRule>
  </conditionalFormatting>
  <conditionalFormatting sqref="AB22">
    <cfRule type="colorScale" priority="1767">
      <colorScale>
        <cfvo type="num" val="0"/>
        <cfvo type="num" val="0.5"/>
        <cfvo type="num" val="1"/>
        <color rgb="FF92D050"/>
        <color rgb="FFFFA709"/>
        <color rgb="FFFF0000"/>
      </colorScale>
    </cfRule>
  </conditionalFormatting>
  <conditionalFormatting sqref="AC22">
    <cfRule type="colorScale" priority="1766">
      <colorScale>
        <cfvo type="num" val="0"/>
        <cfvo type="num" val="0.5"/>
        <cfvo type="num" val="1"/>
        <color rgb="FF92D050"/>
        <color rgb="FFFFA709"/>
        <color rgb="FFFF0000"/>
      </colorScale>
    </cfRule>
  </conditionalFormatting>
  <conditionalFormatting sqref="AD1:AH1">
    <cfRule type="timePeriod" dxfId="52" priority="1765" timePeriod="today">
      <formula>FLOOR(AD1,1)=TODAY()</formula>
    </cfRule>
  </conditionalFormatting>
  <conditionalFormatting sqref="AG4 AD4 AI4">
    <cfRule type="colorScale" priority="1764">
      <colorScale>
        <cfvo type="num" val="0"/>
        <cfvo type="num" val="0.5"/>
        <cfvo type="num" val="1"/>
        <color rgb="FF92D050"/>
        <color rgb="FFFFA709"/>
        <color rgb="FFFF0000"/>
      </colorScale>
    </cfRule>
  </conditionalFormatting>
  <conditionalFormatting sqref="AE4">
    <cfRule type="colorScale" priority="1763">
      <colorScale>
        <cfvo type="num" val="0"/>
        <cfvo type="num" val="0.5"/>
        <cfvo type="num" val="1"/>
        <color rgb="FF92D050"/>
        <color rgb="FFFFA709"/>
        <color rgb="FFFF0000"/>
      </colorScale>
    </cfRule>
  </conditionalFormatting>
  <conditionalFormatting sqref="AF4">
    <cfRule type="colorScale" priority="1762">
      <colorScale>
        <cfvo type="num" val="0"/>
        <cfvo type="num" val="0.5"/>
        <cfvo type="num" val="1"/>
        <color rgb="FF92D050"/>
        <color rgb="FFFFA709"/>
        <color rgb="FFFF0000"/>
      </colorScale>
    </cfRule>
  </conditionalFormatting>
  <conditionalFormatting sqref="AH4">
    <cfRule type="colorScale" priority="1761">
      <colorScale>
        <cfvo type="num" val="0"/>
        <cfvo type="num" val="0.5"/>
        <cfvo type="num" val="1"/>
        <color rgb="FF92D050"/>
        <color rgb="FFFFA709"/>
        <color rgb="FFFF0000"/>
      </colorScale>
    </cfRule>
  </conditionalFormatting>
  <conditionalFormatting sqref="AD7 AG7 AI7">
    <cfRule type="colorScale" priority="1760">
      <colorScale>
        <cfvo type="num" val="0"/>
        <cfvo type="num" val="0.5"/>
        <cfvo type="num" val="1"/>
        <color rgb="FF92D050"/>
        <color rgb="FFFFA709"/>
        <color rgb="FFFF0000"/>
      </colorScale>
    </cfRule>
  </conditionalFormatting>
  <conditionalFormatting sqref="AE7">
    <cfRule type="colorScale" priority="1759">
      <colorScale>
        <cfvo type="num" val="0"/>
        <cfvo type="num" val="0.5"/>
        <cfvo type="num" val="1"/>
        <color rgb="FF92D050"/>
        <color rgb="FFFFA709"/>
        <color rgb="FFFF0000"/>
      </colorScale>
    </cfRule>
  </conditionalFormatting>
  <conditionalFormatting sqref="AF7">
    <cfRule type="colorScale" priority="1758">
      <colorScale>
        <cfvo type="num" val="0"/>
        <cfvo type="num" val="0.5"/>
        <cfvo type="num" val="1"/>
        <color rgb="FF92D050"/>
        <color rgb="FFFFA709"/>
        <color rgb="FFFF0000"/>
      </colorScale>
    </cfRule>
  </conditionalFormatting>
  <conditionalFormatting sqref="AH7">
    <cfRule type="colorScale" priority="1757">
      <colorScale>
        <cfvo type="num" val="0"/>
        <cfvo type="num" val="0.5"/>
        <cfvo type="num" val="1"/>
        <color rgb="FF92D050"/>
        <color rgb="FFFFA709"/>
        <color rgb="FFFF0000"/>
      </colorScale>
    </cfRule>
  </conditionalFormatting>
  <conditionalFormatting sqref="AD10 AG10 AI10">
    <cfRule type="colorScale" priority="1756">
      <colorScale>
        <cfvo type="num" val="0"/>
        <cfvo type="num" val="0.5"/>
        <cfvo type="num" val="1"/>
        <color rgb="FF92D050"/>
        <color rgb="FFFFA709"/>
        <color rgb="FFFF0000"/>
      </colorScale>
    </cfRule>
  </conditionalFormatting>
  <conditionalFormatting sqref="AE10">
    <cfRule type="colorScale" priority="1755">
      <colorScale>
        <cfvo type="num" val="0"/>
        <cfvo type="num" val="0.5"/>
        <cfvo type="num" val="1"/>
        <color rgb="FF92D050"/>
        <color rgb="FFFFA709"/>
        <color rgb="FFFF0000"/>
      </colorScale>
    </cfRule>
  </conditionalFormatting>
  <conditionalFormatting sqref="AF10">
    <cfRule type="colorScale" priority="1754">
      <colorScale>
        <cfvo type="num" val="0"/>
        <cfvo type="num" val="0.5"/>
        <cfvo type="num" val="1"/>
        <color rgb="FF92D050"/>
        <color rgb="FFFFA709"/>
        <color rgb="FFFF0000"/>
      </colorScale>
    </cfRule>
  </conditionalFormatting>
  <conditionalFormatting sqref="AH10">
    <cfRule type="colorScale" priority="1753">
      <colorScale>
        <cfvo type="num" val="0"/>
        <cfvo type="num" val="0.5"/>
        <cfvo type="num" val="1"/>
        <color rgb="FF92D050"/>
        <color rgb="FFFFA709"/>
        <color rgb="FFFF0000"/>
      </colorScale>
    </cfRule>
  </conditionalFormatting>
  <conditionalFormatting sqref="AG16 AD16 AI16">
    <cfRule type="colorScale" priority="1752">
      <colorScale>
        <cfvo type="num" val="0"/>
        <cfvo type="num" val="0.5"/>
        <cfvo type="num" val="1"/>
        <color rgb="FF92D050"/>
        <color rgb="FFFFA709"/>
        <color rgb="FFFF0000"/>
      </colorScale>
    </cfRule>
  </conditionalFormatting>
  <conditionalFormatting sqref="AE16">
    <cfRule type="colorScale" priority="1751">
      <colorScale>
        <cfvo type="num" val="0"/>
        <cfvo type="num" val="0.5"/>
        <cfvo type="num" val="1"/>
        <color rgb="FF92D050"/>
        <color rgb="FFFFA709"/>
        <color rgb="FFFF0000"/>
      </colorScale>
    </cfRule>
  </conditionalFormatting>
  <conditionalFormatting sqref="AF16">
    <cfRule type="colorScale" priority="1750">
      <colorScale>
        <cfvo type="num" val="0"/>
        <cfvo type="num" val="0.5"/>
        <cfvo type="num" val="1"/>
        <color rgb="FF92D050"/>
        <color rgb="FFFFA709"/>
        <color rgb="FFFF0000"/>
      </colorScale>
    </cfRule>
  </conditionalFormatting>
  <conditionalFormatting sqref="AH16">
    <cfRule type="colorScale" priority="1749">
      <colorScale>
        <cfvo type="num" val="0"/>
        <cfvo type="num" val="0.5"/>
        <cfvo type="num" val="1"/>
        <color rgb="FF92D050"/>
        <color rgb="FFFFA709"/>
        <color rgb="FFFF0000"/>
      </colorScale>
    </cfRule>
  </conditionalFormatting>
  <conditionalFormatting sqref="AD19 AG19 AI19">
    <cfRule type="colorScale" priority="1748">
      <colorScale>
        <cfvo type="num" val="0"/>
        <cfvo type="num" val="0.5"/>
        <cfvo type="num" val="1"/>
        <color rgb="FF92D050"/>
        <color rgb="FFFFA709"/>
        <color rgb="FFFF0000"/>
      </colorScale>
    </cfRule>
  </conditionalFormatting>
  <conditionalFormatting sqref="AE19">
    <cfRule type="colorScale" priority="1747">
      <colorScale>
        <cfvo type="num" val="0"/>
        <cfvo type="num" val="0.5"/>
        <cfvo type="num" val="1"/>
        <color rgb="FF92D050"/>
        <color rgb="FFFFA709"/>
        <color rgb="FFFF0000"/>
      </colorScale>
    </cfRule>
  </conditionalFormatting>
  <conditionalFormatting sqref="AF19">
    <cfRule type="colorScale" priority="1746">
      <colorScale>
        <cfvo type="num" val="0"/>
        <cfvo type="num" val="0.5"/>
        <cfvo type="num" val="1"/>
        <color rgb="FF92D050"/>
        <color rgb="FFFFA709"/>
        <color rgb="FFFF0000"/>
      </colorScale>
    </cfRule>
  </conditionalFormatting>
  <conditionalFormatting sqref="AH19">
    <cfRule type="colorScale" priority="1745">
      <colorScale>
        <cfvo type="num" val="0"/>
        <cfvo type="num" val="0.5"/>
        <cfvo type="num" val="1"/>
        <color rgb="FF92D050"/>
        <color rgb="FFFFA709"/>
        <color rgb="FFFF0000"/>
      </colorScale>
    </cfRule>
  </conditionalFormatting>
  <conditionalFormatting sqref="AD22">
    <cfRule type="colorScale" priority="1744">
      <colorScale>
        <cfvo type="num" val="0"/>
        <cfvo type="num" val="0.5"/>
        <cfvo type="num" val="1"/>
        <color rgb="FF92D050"/>
        <color rgb="FFFFA709"/>
        <color rgb="FFFF0000"/>
      </colorScale>
    </cfRule>
  </conditionalFormatting>
  <conditionalFormatting sqref="AE22">
    <cfRule type="colorScale" priority="1743">
      <colorScale>
        <cfvo type="num" val="0"/>
        <cfvo type="num" val="0.5"/>
        <cfvo type="num" val="1"/>
        <color rgb="FF92D050"/>
        <color rgb="FFFFA709"/>
        <color rgb="FFFF0000"/>
      </colorScale>
    </cfRule>
  </conditionalFormatting>
  <conditionalFormatting sqref="AF22">
    <cfRule type="colorScale" priority="1742">
      <colorScale>
        <cfvo type="num" val="0"/>
        <cfvo type="num" val="0.5"/>
        <cfvo type="num" val="1"/>
        <color rgb="FF92D050"/>
        <color rgb="FFFFA709"/>
        <color rgb="FFFF0000"/>
      </colorScale>
    </cfRule>
  </conditionalFormatting>
  <conditionalFormatting sqref="AG22">
    <cfRule type="colorScale" priority="1741">
      <colorScale>
        <cfvo type="num" val="0"/>
        <cfvo type="num" val="0.5"/>
        <cfvo type="num" val="1"/>
        <color rgb="FF92D050"/>
        <color rgb="FFFFA709"/>
        <color rgb="FFFF0000"/>
      </colorScale>
    </cfRule>
  </conditionalFormatting>
  <conditionalFormatting sqref="AH22">
    <cfRule type="colorScale" priority="1740">
      <colorScale>
        <cfvo type="num" val="0"/>
        <cfvo type="num" val="0.5"/>
        <cfvo type="num" val="1"/>
        <color rgb="FF92D050"/>
        <color rgb="FFFFA709"/>
        <color rgb="FFFF0000"/>
      </colorScale>
    </cfRule>
  </conditionalFormatting>
  <conditionalFormatting sqref="AI22">
    <cfRule type="colorScale" priority="1739">
      <colorScale>
        <cfvo type="num" val="0"/>
        <cfvo type="num" val="0.5"/>
        <cfvo type="num" val="1"/>
        <color rgb="FF92D050"/>
        <color rgb="FFFFA709"/>
        <color rgb="FFFF0000"/>
      </colorScale>
    </cfRule>
  </conditionalFormatting>
  <conditionalFormatting sqref="AJ1:AN1">
    <cfRule type="timePeriod" dxfId="51" priority="1738" timePeriod="today">
      <formula>FLOOR(AJ1,1)=TODAY()</formula>
    </cfRule>
  </conditionalFormatting>
  <conditionalFormatting sqref="AM4 AJ4 AO4">
    <cfRule type="colorScale" priority="1737">
      <colorScale>
        <cfvo type="num" val="0"/>
        <cfvo type="num" val="0.5"/>
        <cfvo type="num" val="1"/>
        <color rgb="FF92D050"/>
        <color rgb="FFFFA709"/>
        <color rgb="FFFF0000"/>
      </colorScale>
    </cfRule>
  </conditionalFormatting>
  <conditionalFormatting sqref="AK4">
    <cfRule type="colorScale" priority="1736">
      <colorScale>
        <cfvo type="num" val="0"/>
        <cfvo type="num" val="0.5"/>
        <cfvo type="num" val="1"/>
        <color rgb="FF92D050"/>
        <color rgb="FFFFA709"/>
        <color rgb="FFFF0000"/>
      </colorScale>
    </cfRule>
  </conditionalFormatting>
  <conditionalFormatting sqref="AL4">
    <cfRule type="colorScale" priority="1735">
      <colorScale>
        <cfvo type="num" val="0"/>
        <cfvo type="num" val="0.5"/>
        <cfvo type="num" val="1"/>
        <color rgb="FF92D050"/>
        <color rgb="FFFFA709"/>
        <color rgb="FFFF0000"/>
      </colorScale>
    </cfRule>
  </conditionalFormatting>
  <conditionalFormatting sqref="AN4">
    <cfRule type="colorScale" priority="1734">
      <colorScale>
        <cfvo type="num" val="0"/>
        <cfvo type="num" val="0.5"/>
        <cfvo type="num" val="1"/>
        <color rgb="FF92D050"/>
        <color rgb="FFFFA709"/>
        <color rgb="FFFF0000"/>
      </colorScale>
    </cfRule>
  </conditionalFormatting>
  <conditionalFormatting sqref="AJ7 AM7 AO7">
    <cfRule type="colorScale" priority="1733">
      <colorScale>
        <cfvo type="num" val="0"/>
        <cfvo type="num" val="0.5"/>
        <cfvo type="num" val="1"/>
        <color rgb="FF92D050"/>
        <color rgb="FFFFA709"/>
        <color rgb="FFFF0000"/>
      </colorScale>
    </cfRule>
  </conditionalFormatting>
  <conditionalFormatting sqref="AK7">
    <cfRule type="colorScale" priority="1732">
      <colorScale>
        <cfvo type="num" val="0"/>
        <cfvo type="num" val="0.5"/>
        <cfvo type="num" val="1"/>
        <color rgb="FF92D050"/>
        <color rgb="FFFFA709"/>
        <color rgb="FFFF0000"/>
      </colorScale>
    </cfRule>
  </conditionalFormatting>
  <conditionalFormatting sqref="AL7">
    <cfRule type="colorScale" priority="1731">
      <colorScale>
        <cfvo type="num" val="0"/>
        <cfvo type="num" val="0.5"/>
        <cfvo type="num" val="1"/>
        <color rgb="FF92D050"/>
        <color rgb="FFFFA709"/>
        <color rgb="FFFF0000"/>
      </colorScale>
    </cfRule>
  </conditionalFormatting>
  <conditionalFormatting sqref="AN7">
    <cfRule type="colorScale" priority="1730">
      <colorScale>
        <cfvo type="num" val="0"/>
        <cfvo type="num" val="0.5"/>
        <cfvo type="num" val="1"/>
        <color rgb="FF92D050"/>
        <color rgb="FFFFA709"/>
        <color rgb="FFFF0000"/>
      </colorScale>
    </cfRule>
  </conditionalFormatting>
  <conditionalFormatting sqref="AJ10 AM10 AO10">
    <cfRule type="colorScale" priority="1729">
      <colorScale>
        <cfvo type="num" val="0"/>
        <cfvo type="num" val="0.5"/>
        <cfvo type="num" val="1"/>
        <color rgb="FF92D050"/>
        <color rgb="FFFFA709"/>
        <color rgb="FFFF0000"/>
      </colorScale>
    </cfRule>
  </conditionalFormatting>
  <conditionalFormatting sqref="AK10">
    <cfRule type="colorScale" priority="1728">
      <colorScale>
        <cfvo type="num" val="0"/>
        <cfvo type="num" val="0.5"/>
        <cfvo type="num" val="1"/>
        <color rgb="FF92D050"/>
        <color rgb="FFFFA709"/>
        <color rgb="FFFF0000"/>
      </colorScale>
    </cfRule>
  </conditionalFormatting>
  <conditionalFormatting sqref="AL10">
    <cfRule type="colorScale" priority="1727">
      <colorScale>
        <cfvo type="num" val="0"/>
        <cfvo type="num" val="0.5"/>
        <cfvo type="num" val="1"/>
        <color rgb="FF92D050"/>
        <color rgb="FFFFA709"/>
        <color rgb="FFFF0000"/>
      </colorScale>
    </cfRule>
  </conditionalFormatting>
  <conditionalFormatting sqref="AN10">
    <cfRule type="colorScale" priority="1726">
      <colorScale>
        <cfvo type="num" val="0"/>
        <cfvo type="num" val="0.5"/>
        <cfvo type="num" val="1"/>
        <color rgb="FF92D050"/>
        <color rgb="FFFFA709"/>
        <color rgb="FFFF0000"/>
      </colorScale>
    </cfRule>
  </conditionalFormatting>
  <conditionalFormatting sqref="AM16 AJ16 AO16">
    <cfRule type="colorScale" priority="1725">
      <colorScale>
        <cfvo type="num" val="0"/>
        <cfvo type="num" val="0.5"/>
        <cfvo type="num" val="1"/>
        <color rgb="FF92D050"/>
        <color rgb="FFFFA709"/>
        <color rgb="FFFF0000"/>
      </colorScale>
    </cfRule>
  </conditionalFormatting>
  <conditionalFormatting sqref="AK16">
    <cfRule type="colorScale" priority="1724">
      <colorScale>
        <cfvo type="num" val="0"/>
        <cfvo type="num" val="0.5"/>
        <cfvo type="num" val="1"/>
        <color rgb="FF92D050"/>
        <color rgb="FFFFA709"/>
        <color rgb="FFFF0000"/>
      </colorScale>
    </cfRule>
  </conditionalFormatting>
  <conditionalFormatting sqref="AL16">
    <cfRule type="colorScale" priority="1723">
      <colorScale>
        <cfvo type="num" val="0"/>
        <cfvo type="num" val="0.5"/>
        <cfvo type="num" val="1"/>
        <color rgb="FF92D050"/>
        <color rgb="FFFFA709"/>
        <color rgb="FFFF0000"/>
      </colorScale>
    </cfRule>
  </conditionalFormatting>
  <conditionalFormatting sqref="AN16">
    <cfRule type="colorScale" priority="1722">
      <colorScale>
        <cfvo type="num" val="0"/>
        <cfvo type="num" val="0.5"/>
        <cfvo type="num" val="1"/>
        <color rgb="FF92D050"/>
        <color rgb="FFFFA709"/>
        <color rgb="FFFF0000"/>
      </colorScale>
    </cfRule>
  </conditionalFormatting>
  <conditionalFormatting sqref="AM19 AJ19 AO19">
    <cfRule type="colorScale" priority="1721">
      <colorScale>
        <cfvo type="num" val="0"/>
        <cfvo type="num" val="0.5"/>
        <cfvo type="num" val="1"/>
        <color rgb="FF92D050"/>
        <color rgb="FFFFA709"/>
        <color rgb="FFFF0000"/>
      </colorScale>
    </cfRule>
  </conditionalFormatting>
  <conditionalFormatting sqref="AK19">
    <cfRule type="colorScale" priority="1720">
      <colorScale>
        <cfvo type="num" val="0"/>
        <cfvo type="num" val="0.5"/>
        <cfvo type="num" val="1"/>
        <color rgb="FF92D050"/>
        <color rgb="FFFFA709"/>
        <color rgb="FFFF0000"/>
      </colorScale>
    </cfRule>
  </conditionalFormatting>
  <conditionalFormatting sqref="AL19">
    <cfRule type="colorScale" priority="1719">
      <colorScale>
        <cfvo type="num" val="0"/>
        <cfvo type="num" val="0.5"/>
        <cfvo type="num" val="1"/>
        <color rgb="FF92D050"/>
        <color rgb="FFFFA709"/>
        <color rgb="FFFF0000"/>
      </colorScale>
    </cfRule>
  </conditionalFormatting>
  <conditionalFormatting sqref="AN19">
    <cfRule type="colorScale" priority="1718">
      <colorScale>
        <cfvo type="num" val="0"/>
        <cfvo type="num" val="0.5"/>
        <cfvo type="num" val="1"/>
        <color rgb="FF92D050"/>
        <color rgb="FFFFA709"/>
        <color rgb="FFFF0000"/>
      </colorScale>
    </cfRule>
  </conditionalFormatting>
  <conditionalFormatting sqref="AJ22">
    <cfRule type="colorScale" priority="1717">
      <colorScale>
        <cfvo type="num" val="0"/>
        <cfvo type="num" val="0.5"/>
        <cfvo type="num" val="1"/>
        <color rgb="FF92D050"/>
        <color rgb="FFFFA709"/>
        <color rgb="FFFF0000"/>
      </colorScale>
    </cfRule>
  </conditionalFormatting>
  <conditionalFormatting sqref="AK22">
    <cfRule type="colorScale" priority="1716">
      <colorScale>
        <cfvo type="num" val="0"/>
        <cfvo type="num" val="0.5"/>
        <cfvo type="num" val="1"/>
        <color rgb="FF92D050"/>
        <color rgb="FFFFA709"/>
        <color rgb="FFFF0000"/>
      </colorScale>
    </cfRule>
  </conditionalFormatting>
  <conditionalFormatting sqref="AL22">
    <cfRule type="colorScale" priority="1715">
      <colorScale>
        <cfvo type="num" val="0"/>
        <cfvo type="num" val="0.5"/>
        <cfvo type="num" val="1"/>
        <color rgb="FF92D050"/>
        <color rgb="FFFFA709"/>
        <color rgb="FFFF0000"/>
      </colorScale>
    </cfRule>
  </conditionalFormatting>
  <conditionalFormatting sqref="AM22">
    <cfRule type="colorScale" priority="1714">
      <colorScale>
        <cfvo type="num" val="0"/>
        <cfvo type="num" val="0.5"/>
        <cfvo type="num" val="1"/>
        <color rgb="FF92D050"/>
        <color rgb="FFFFA709"/>
        <color rgb="FFFF0000"/>
      </colorScale>
    </cfRule>
  </conditionalFormatting>
  <conditionalFormatting sqref="AN22">
    <cfRule type="colorScale" priority="1713">
      <colorScale>
        <cfvo type="num" val="0"/>
        <cfvo type="num" val="0.5"/>
        <cfvo type="num" val="1"/>
        <color rgb="FF92D050"/>
        <color rgb="FFFFA709"/>
        <color rgb="FFFF0000"/>
      </colorScale>
    </cfRule>
  </conditionalFormatting>
  <conditionalFormatting sqref="AO22">
    <cfRule type="colorScale" priority="1712">
      <colorScale>
        <cfvo type="num" val="0"/>
        <cfvo type="num" val="0.5"/>
        <cfvo type="num" val="1"/>
        <color rgb="FF92D050"/>
        <color rgb="FFFFA709"/>
        <color rgb="FFFF0000"/>
      </colorScale>
    </cfRule>
  </conditionalFormatting>
  <conditionalFormatting sqref="AP1:AT1">
    <cfRule type="timePeriod" dxfId="50" priority="1711" timePeriod="today">
      <formula>FLOOR(AP1,1)=TODAY()</formula>
    </cfRule>
  </conditionalFormatting>
  <conditionalFormatting sqref="AP4 AS4 AU4">
    <cfRule type="colorScale" priority="1710">
      <colorScale>
        <cfvo type="num" val="0"/>
        <cfvo type="num" val="0.5"/>
        <cfvo type="num" val="1"/>
        <color rgb="FF92D050"/>
        <color rgb="FFFFA709"/>
        <color rgb="FFFF0000"/>
      </colorScale>
    </cfRule>
  </conditionalFormatting>
  <conditionalFormatting sqref="AQ4">
    <cfRule type="colorScale" priority="1709">
      <colorScale>
        <cfvo type="num" val="0"/>
        <cfvo type="num" val="0.5"/>
        <cfvo type="num" val="1"/>
        <color rgb="FF92D050"/>
        <color rgb="FFFFA709"/>
        <color rgb="FFFF0000"/>
      </colorScale>
    </cfRule>
  </conditionalFormatting>
  <conditionalFormatting sqref="AR4">
    <cfRule type="colorScale" priority="1708">
      <colorScale>
        <cfvo type="num" val="0"/>
        <cfvo type="num" val="0.5"/>
        <cfvo type="num" val="1"/>
        <color rgb="FF92D050"/>
        <color rgb="FFFFA709"/>
        <color rgb="FFFF0000"/>
      </colorScale>
    </cfRule>
  </conditionalFormatting>
  <conditionalFormatting sqref="AT4">
    <cfRule type="colorScale" priority="1707">
      <colorScale>
        <cfvo type="num" val="0"/>
        <cfvo type="num" val="0.5"/>
        <cfvo type="num" val="1"/>
        <color rgb="FF92D050"/>
        <color rgb="FFFFA709"/>
        <color rgb="FFFF0000"/>
      </colorScale>
    </cfRule>
  </conditionalFormatting>
  <conditionalFormatting sqref="AP7 AS7 AU7">
    <cfRule type="colorScale" priority="1706">
      <colorScale>
        <cfvo type="num" val="0"/>
        <cfvo type="num" val="0.5"/>
        <cfvo type="num" val="1"/>
        <color rgb="FF92D050"/>
        <color rgb="FFFFA709"/>
        <color rgb="FFFF0000"/>
      </colorScale>
    </cfRule>
  </conditionalFormatting>
  <conditionalFormatting sqref="AQ7">
    <cfRule type="colorScale" priority="1705">
      <colorScale>
        <cfvo type="num" val="0"/>
        <cfvo type="num" val="0.5"/>
        <cfvo type="num" val="1"/>
        <color rgb="FF92D050"/>
        <color rgb="FFFFA709"/>
        <color rgb="FFFF0000"/>
      </colorScale>
    </cfRule>
  </conditionalFormatting>
  <conditionalFormatting sqref="AR7">
    <cfRule type="colorScale" priority="1704">
      <colorScale>
        <cfvo type="num" val="0"/>
        <cfvo type="num" val="0.5"/>
        <cfvo type="num" val="1"/>
        <color rgb="FF92D050"/>
        <color rgb="FFFFA709"/>
        <color rgb="FFFF0000"/>
      </colorScale>
    </cfRule>
  </conditionalFormatting>
  <conditionalFormatting sqref="AT7">
    <cfRule type="colorScale" priority="1703">
      <colorScale>
        <cfvo type="num" val="0"/>
        <cfvo type="num" val="0.5"/>
        <cfvo type="num" val="1"/>
        <color rgb="FF92D050"/>
        <color rgb="FFFFA709"/>
        <color rgb="FFFF0000"/>
      </colorScale>
    </cfRule>
  </conditionalFormatting>
  <conditionalFormatting sqref="AP10 AS10 AU10">
    <cfRule type="colorScale" priority="1702">
      <colorScale>
        <cfvo type="num" val="0"/>
        <cfvo type="num" val="0.5"/>
        <cfvo type="num" val="1"/>
        <color rgb="FF92D050"/>
        <color rgb="FFFFA709"/>
        <color rgb="FFFF0000"/>
      </colorScale>
    </cfRule>
  </conditionalFormatting>
  <conditionalFormatting sqref="AQ10">
    <cfRule type="colorScale" priority="1701">
      <colorScale>
        <cfvo type="num" val="0"/>
        <cfvo type="num" val="0.5"/>
        <cfvo type="num" val="1"/>
        <color rgb="FF92D050"/>
        <color rgb="FFFFA709"/>
        <color rgb="FFFF0000"/>
      </colorScale>
    </cfRule>
  </conditionalFormatting>
  <conditionalFormatting sqref="AR10">
    <cfRule type="colorScale" priority="1700">
      <colorScale>
        <cfvo type="num" val="0"/>
        <cfvo type="num" val="0.5"/>
        <cfvo type="num" val="1"/>
        <color rgb="FF92D050"/>
        <color rgb="FFFFA709"/>
        <color rgb="FFFF0000"/>
      </colorScale>
    </cfRule>
  </conditionalFormatting>
  <conditionalFormatting sqref="AT10">
    <cfRule type="colorScale" priority="1699">
      <colorScale>
        <cfvo type="num" val="0"/>
        <cfvo type="num" val="0.5"/>
        <cfvo type="num" val="1"/>
        <color rgb="FF92D050"/>
        <color rgb="FFFFA709"/>
        <color rgb="FFFF0000"/>
      </colorScale>
    </cfRule>
  </conditionalFormatting>
  <conditionalFormatting sqref="AP16 AS16 AU16">
    <cfRule type="colorScale" priority="1698">
      <colorScale>
        <cfvo type="num" val="0"/>
        <cfvo type="num" val="0.5"/>
        <cfvo type="num" val="1"/>
        <color rgb="FF92D050"/>
        <color rgb="FFFFA709"/>
        <color rgb="FFFF0000"/>
      </colorScale>
    </cfRule>
  </conditionalFormatting>
  <conditionalFormatting sqref="AQ16">
    <cfRule type="colorScale" priority="1697">
      <colorScale>
        <cfvo type="num" val="0"/>
        <cfvo type="num" val="0.5"/>
        <cfvo type="num" val="1"/>
        <color rgb="FF92D050"/>
        <color rgb="FFFFA709"/>
        <color rgb="FFFF0000"/>
      </colorScale>
    </cfRule>
  </conditionalFormatting>
  <conditionalFormatting sqref="AR16">
    <cfRule type="colorScale" priority="1696">
      <colorScale>
        <cfvo type="num" val="0"/>
        <cfvo type="num" val="0.5"/>
        <cfvo type="num" val="1"/>
        <color rgb="FF92D050"/>
        <color rgb="FFFFA709"/>
        <color rgb="FFFF0000"/>
      </colorScale>
    </cfRule>
  </conditionalFormatting>
  <conditionalFormatting sqref="AT16">
    <cfRule type="colorScale" priority="1695">
      <colorScale>
        <cfvo type="num" val="0"/>
        <cfvo type="num" val="0.5"/>
        <cfvo type="num" val="1"/>
        <color rgb="FF92D050"/>
        <color rgb="FFFFA709"/>
        <color rgb="FFFF0000"/>
      </colorScale>
    </cfRule>
  </conditionalFormatting>
  <conditionalFormatting sqref="AP19 AS19 AU19">
    <cfRule type="colorScale" priority="1694">
      <colorScale>
        <cfvo type="num" val="0"/>
        <cfvo type="num" val="0.5"/>
        <cfvo type="num" val="1"/>
        <color rgb="FF92D050"/>
        <color rgb="FFFFA709"/>
        <color rgb="FFFF0000"/>
      </colorScale>
    </cfRule>
  </conditionalFormatting>
  <conditionalFormatting sqref="AQ19">
    <cfRule type="colorScale" priority="1693">
      <colorScale>
        <cfvo type="num" val="0"/>
        <cfvo type="num" val="0.5"/>
        <cfvo type="num" val="1"/>
        <color rgb="FF92D050"/>
        <color rgb="FFFFA709"/>
        <color rgb="FFFF0000"/>
      </colorScale>
    </cfRule>
  </conditionalFormatting>
  <conditionalFormatting sqref="AR19">
    <cfRule type="colorScale" priority="1692">
      <colorScale>
        <cfvo type="num" val="0"/>
        <cfvo type="num" val="0.5"/>
        <cfvo type="num" val="1"/>
        <color rgb="FF92D050"/>
        <color rgb="FFFFA709"/>
        <color rgb="FFFF0000"/>
      </colorScale>
    </cfRule>
  </conditionalFormatting>
  <conditionalFormatting sqref="AT19">
    <cfRule type="colorScale" priority="1691">
      <colorScale>
        <cfvo type="num" val="0"/>
        <cfvo type="num" val="0.5"/>
        <cfvo type="num" val="1"/>
        <color rgb="FF92D050"/>
        <color rgb="FFFFA709"/>
        <color rgb="FFFF0000"/>
      </colorScale>
    </cfRule>
  </conditionalFormatting>
  <conditionalFormatting sqref="AP22">
    <cfRule type="colorScale" priority="1690">
      <colorScale>
        <cfvo type="num" val="0"/>
        <cfvo type="num" val="0.5"/>
        <cfvo type="num" val="1"/>
        <color rgb="FF92D050"/>
        <color rgb="FFFFA709"/>
        <color rgb="FFFF0000"/>
      </colorScale>
    </cfRule>
  </conditionalFormatting>
  <conditionalFormatting sqref="AQ22">
    <cfRule type="colorScale" priority="1689">
      <colorScale>
        <cfvo type="num" val="0"/>
        <cfvo type="num" val="0.5"/>
        <cfvo type="num" val="1"/>
        <color rgb="FF92D050"/>
        <color rgb="FFFFA709"/>
        <color rgb="FFFF0000"/>
      </colorScale>
    </cfRule>
  </conditionalFormatting>
  <conditionalFormatting sqref="AR22">
    <cfRule type="colorScale" priority="1688">
      <colorScale>
        <cfvo type="num" val="0"/>
        <cfvo type="num" val="0.5"/>
        <cfvo type="num" val="1"/>
        <color rgb="FF92D050"/>
        <color rgb="FFFFA709"/>
        <color rgb="FFFF0000"/>
      </colorScale>
    </cfRule>
  </conditionalFormatting>
  <conditionalFormatting sqref="AS22">
    <cfRule type="colorScale" priority="1687">
      <colorScale>
        <cfvo type="num" val="0"/>
        <cfvo type="num" val="0.5"/>
        <cfvo type="num" val="1"/>
        <color rgb="FF92D050"/>
        <color rgb="FFFFA709"/>
        <color rgb="FFFF0000"/>
      </colorScale>
    </cfRule>
  </conditionalFormatting>
  <conditionalFormatting sqref="AT22">
    <cfRule type="colorScale" priority="1686">
      <colorScale>
        <cfvo type="num" val="0"/>
        <cfvo type="num" val="0.5"/>
        <cfvo type="num" val="1"/>
        <color rgb="FF92D050"/>
        <color rgb="FFFFA709"/>
        <color rgb="FFFF0000"/>
      </colorScale>
    </cfRule>
  </conditionalFormatting>
  <conditionalFormatting sqref="AU22">
    <cfRule type="colorScale" priority="1685">
      <colorScale>
        <cfvo type="num" val="0"/>
        <cfvo type="num" val="0.5"/>
        <cfvo type="num" val="1"/>
        <color rgb="FF92D050"/>
        <color rgb="FFFFA709"/>
        <color rgb="FFFF0000"/>
      </colorScale>
    </cfRule>
  </conditionalFormatting>
  <conditionalFormatting sqref="AV1:AZ1">
    <cfRule type="timePeriod" dxfId="49" priority="1684" timePeriod="today">
      <formula>FLOOR(AV1,1)=TODAY()</formula>
    </cfRule>
  </conditionalFormatting>
  <conditionalFormatting sqref="AV4 AY4 BA4">
    <cfRule type="colorScale" priority="1683">
      <colorScale>
        <cfvo type="num" val="0"/>
        <cfvo type="num" val="0.5"/>
        <cfvo type="num" val="1"/>
        <color rgb="FF92D050"/>
        <color rgb="FFFFA709"/>
        <color rgb="FFFF0000"/>
      </colorScale>
    </cfRule>
  </conditionalFormatting>
  <conditionalFormatting sqref="AW4">
    <cfRule type="colorScale" priority="1682">
      <colorScale>
        <cfvo type="num" val="0"/>
        <cfvo type="num" val="0.5"/>
        <cfvo type="num" val="1"/>
        <color rgb="FF92D050"/>
        <color rgb="FFFFA709"/>
        <color rgb="FFFF0000"/>
      </colorScale>
    </cfRule>
  </conditionalFormatting>
  <conditionalFormatting sqref="AX4">
    <cfRule type="colorScale" priority="1681">
      <colorScale>
        <cfvo type="num" val="0"/>
        <cfvo type="num" val="0.5"/>
        <cfvo type="num" val="1"/>
        <color rgb="FF92D050"/>
        <color rgb="FFFFA709"/>
        <color rgb="FFFF0000"/>
      </colorScale>
    </cfRule>
  </conditionalFormatting>
  <conditionalFormatting sqref="AZ4">
    <cfRule type="colorScale" priority="1680">
      <colorScale>
        <cfvo type="num" val="0"/>
        <cfvo type="num" val="0.5"/>
        <cfvo type="num" val="1"/>
        <color rgb="FF92D050"/>
        <color rgb="FFFFA709"/>
        <color rgb="FFFF0000"/>
      </colorScale>
    </cfRule>
  </conditionalFormatting>
  <conditionalFormatting sqref="AV7 AY7 BA7">
    <cfRule type="colorScale" priority="1679">
      <colorScale>
        <cfvo type="num" val="0"/>
        <cfvo type="num" val="0.5"/>
        <cfvo type="num" val="1"/>
        <color rgb="FF92D050"/>
        <color rgb="FFFFA709"/>
        <color rgb="FFFF0000"/>
      </colorScale>
    </cfRule>
  </conditionalFormatting>
  <conditionalFormatting sqref="AW7">
    <cfRule type="colorScale" priority="1678">
      <colorScale>
        <cfvo type="num" val="0"/>
        <cfvo type="num" val="0.5"/>
        <cfvo type="num" val="1"/>
        <color rgb="FF92D050"/>
        <color rgb="FFFFA709"/>
        <color rgb="FFFF0000"/>
      </colorScale>
    </cfRule>
  </conditionalFormatting>
  <conditionalFormatting sqref="AX7">
    <cfRule type="colorScale" priority="1677">
      <colorScale>
        <cfvo type="num" val="0"/>
        <cfvo type="num" val="0.5"/>
        <cfvo type="num" val="1"/>
        <color rgb="FF92D050"/>
        <color rgb="FFFFA709"/>
        <color rgb="FFFF0000"/>
      </colorScale>
    </cfRule>
  </conditionalFormatting>
  <conditionalFormatting sqref="AZ7">
    <cfRule type="colorScale" priority="1676">
      <colorScale>
        <cfvo type="num" val="0"/>
        <cfvo type="num" val="0.5"/>
        <cfvo type="num" val="1"/>
        <color rgb="FF92D050"/>
        <color rgb="FFFFA709"/>
        <color rgb="FFFF0000"/>
      </colorScale>
    </cfRule>
  </conditionalFormatting>
  <conditionalFormatting sqref="AV10 AY10 BA10">
    <cfRule type="colorScale" priority="1675">
      <colorScale>
        <cfvo type="num" val="0"/>
        <cfvo type="num" val="0.5"/>
        <cfvo type="num" val="1"/>
        <color rgb="FF92D050"/>
        <color rgb="FFFFA709"/>
        <color rgb="FFFF0000"/>
      </colorScale>
    </cfRule>
  </conditionalFormatting>
  <conditionalFormatting sqref="AW10">
    <cfRule type="colorScale" priority="1674">
      <colorScale>
        <cfvo type="num" val="0"/>
        <cfvo type="num" val="0.5"/>
        <cfvo type="num" val="1"/>
        <color rgb="FF92D050"/>
        <color rgb="FFFFA709"/>
        <color rgb="FFFF0000"/>
      </colorScale>
    </cfRule>
  </conditionalFormatting>
  <conditionalFormatting sqref="AX10">
    <cfRule type="colorScale" priority="1673">
      <colorScale>
        <cfvo type="num" val="0"/>
        <cfvo type="num" val="0.5"/>
        <cfvo type="num" val="1"/>
        <color rgb="FF92D050"/>
        <color rgb="FFFFA709"/>
        <color rgb="FFFF0000"/>
      </colorScale>
    </cfRule>
  </conditionalFormatting>
  <conditionalFormatting sqref="AZ10">
    <cfRule type="colorScale" priority="1672">
      <colorScale>
        <cfvo type="num" val="0"/>
        <cfvo type="num" val="0.5"/>
        <cfvo type="num" val="1"/>
        <color rgb="FF92D050"/>
        <color rgb="FFFFA709"/>
        <color rgb="FFFF0000"/>
      </colorScale>
    </cfRule>
  </conditionalFormatting>
  <conditionalFormatting sqref="AV16 AY16 BA16">
    <cfRule type="colorScale" priority="1671">
      <colorScale>
        <cfvo type="num" val="0"/>
        <cfvo type="num" val="0.5"/>
        <cfvo type="num" val="1"/>
        <color rgb="FF92D050"/>
        <color rgb="FFFFA709"/>
        <color rgb="FFFF0000"/>
      </colorScale>
    </cfRule>
  </conditionalFormatting>
  <conditionalFormatting sqref="AW16">
    <cfRule type="colorScale" priority="1670">
      <colorScale>
        <cfvo type="num" val="0"/>
        <cfvo type="num" val="0.5"/>
        <cfvo type="num" val="1"/>
        <color rgb="FF92D050"/>
        <color rgb="FFFFA709"/>
        <color rgb="FFFF0000"/>
      </colorScale>
    </cfRule>
  </conditionalFormatting>
  <conditionalFormatting sqref="AX16">
    <cfRule type="colorScale" priority="1669">
      <colorScale>
        <cfvo type="num" val="0"/>
        <cfvo type="num" val="0.5"/>
        <cfvo type="num" val="1"/>
        <color rgb="FF92D050"/>
        <color rgb="FFFFA709"/>
        <color rgb="FFFF0000"/>
      </colorScale>
    </cfRule>
  </conditionalFormatting>
  <conditionalFormatting sqref="AZ16">
    <cfRule type="colorScale" priority="1668">
      <colorScale>
        <cfvo type="num" val="0"/>
        <cfvo type="num" val="0.5"/>
        <cfvo type="num" val="1"/>
        <color rgb="FF92D050"/>
        <color rgb="FFFFA709"/>
        <color rgb="FFFF0000"/>
      </colorScale>
    </cfRule>
  </conditionalFormatting>
  <conditionalFormatting sqref="AV19 AY19 BA19">
    <cfRule type="colorScale" priority="1667">
      <colorScale>
        <cfvo type="num" val="0"/>
        <cfvo type="num" val="0.5"/>
        <cfvo type="num" val="1"/>
        <color rgb="FF92D050"/>
        <color rgb="FFFFA709"/>
        <color rgb="FFFF0000"/>
      </colorScale>
    </cfRule>
  </conditionalFormatting>
  <conditionalFormatting sqref="AW19">
    <cfRule type="colorScale" priority="1666">
      <colorScale>
        <cfvo type="num" val="0"/>
        <cfvo type="num" val="0.5"/>
        <cfvo type="num" val="1"/>
        <color rgb="FF92D050"/>
        <color rgb="FFFFA709"/>
        <color rgb="FFFF0000"/>
      </colorScale>
    </cfRule>
  </conditionalFormatting>
  <conditionalFormatting sqref="AX19">
    <cfRule type="colorScale" priority="1665">
      <colorScale>
        <cfvo type="num" val="0"/>
        <cfvo type="num" val="0.5"/>
        <cfvo type="num" val="1"/>
        <color rgb="FF92D050"/>
        <color rgb="FFFFA709"/>
        <color rgb="FFFF0000"/>
      </colorScale>
    </cfRule>
  </conditionalFormatting>
  <conditionalFormatting sqref="AZ19">
    <cfRule type="colorScale" priority="1664">
      <colorScale>
        <cfvo type="num" val="0"/>
        <cfvo type="num" val="0.5"/>
        <cfvo type="num" val="1"/>
        <color rgb="FF92D050"/>
        <color rgb="FFFFA709"/>
        <color rgb="FFFF0000"/>
      </colorScale>
    </cfRule>
  </conditionalFormatting>
  <conditionalFormatting sqref="AV22">
    <cfRule type="colorScale" priority="1663">
      <colorScale>
        <cfvo type="num" val="0"/>
        <cfvo type="num" val="0.5"/>
        <cfvo type="num" val="1"/>
        <color rgb="FF92D050"/>
        <color rgb="FFFFA709"/>
        <color rgb="FFFF0000"/>
      </colorScale>
    </cfRule>
  </conditionalFormatting>
  <conditionalFormatting sqref="AW22">
    <cfRule type="colorScale" priority="1662">
      <colorScale>
        <cfvo type="num" val="0"/>
        <cfvo type="num" val="0.5"/>
        <cfvo type="num" val="1"/>
        <color rgb="FF92D050"/>
        <color rgb="FFFFA709"/>
        <color rgb="FFFF0000"/>
      </colorScale>
    </cfRule>
  </conditionalFormatting>
  <conditionalFormatting sqref="AX22">
    <cfRule type="colorScale" priority="1661">
      <colorScale>
        <cfvo type="num" val="0"/>
        <cfvo type="num" val="0.5"/>
        <cfvo type="num" val="1"/>
        <color rgb="FF92D050"/>
        <color rgb="FFFFA709"/>
        <color rgb="FFFF0000"/>
      </colorScale>
    </cfRule>
  </conditionalFormatting>
  <conditionalFormatting sqref="AY22">
    <cfRule type="colorScale" priority="1660">
      <colorScale>
        <cfvo type="num" val="0"/>
        <cfvo type="num" val="0.5"/>
        <cfvo type="num" val="1"/>
        <color rgb="FF92D050"/>
        <color rgb="FFFFA709"/>
        <color rgb="FFFF0000"/>
      </colorScale>
    </cfRule>
  </conditionalFormatting>
  <conditionalFormatting sqref="AZ22">
    <cfRule type="colorScale" priority="1659">
      <colorScale>
        <cfvo type="num" val="0"/>
        <cfvo type="num" val="0.5"/>
        <cfvo type="num" val="1"/>
        <color rgb="FF92D050"/>
        <color rgb="FFFFA709"/>
        <color rgb="FFFF0000"/>
      </colorScale>
    </cfRule>
  </conditionalFormatting>
  <conditionalFormatting sqref="BA22">
    <cfRule type="colorScale" priority="1658">
      <colorScale>
        <cfvo type="num" val="0"/>
        <cfvo type="num" val="0.5"/>
        <cfvo type="num" val="1"/>
        <color rgb="FF92D050"/>
        <color rgb="FFFFA709"/>
        <color rgb="FFFF0000"/>
      </colorScale>
    </cfRule>
  </conditionalFormatting>
  <conditionalFormatting sqref="BB1:BF1">
    <cfRule type="timePeriod" dxfId="48" priority="1657" timePeriod="today">
      <formula>FLOOR(BB1,1)=TODAY()</formula>
    </cfRule>
  </conditionalFormatting>
  <conditionalFormatting sqref="BB4 BE4 BG4">
    <cfRule type="colorScale" priority="1656">
      <colorScale>
        <cfvo type="num" val="0"/>
        <cfvo type="num" val="0.5"/>
        <cfvo type="num" val="1"/>
        <color rgb="FF92D050"/>
        <color rgb="FFFFA709"/>
        <color rgb="FFFF0000"/>
      </colorScale>
    </cfRule>
  </conditionalFormatting>
  <conditionalFormatting sqref="BC4">
    <cfRule type="colorScale" priority="1655">
      <colorScale>
        <cfvo type="num" val="0"/>
        <cfvo type="num" val="0.5"/>
        <cfvo type="num" val="1"/>
        <color rgb="FF92D050"/>
        <color rgb="FFFFA709"/>
        <color rgb="FFFF0000"/>
      </colorScale>
    </cfRule>
  </conditionalFormatting>
  <conditionalFormatting sqref="BD4">
    <cfRule type="colorScale" priority="1654">
      <colorScale>
        <cfvo type="num" val="0"/>
        <cfvo type="num" val="0.5"/>
        <cfvo type="num" val="1"/>
        <color rgb="FF92D050"/>
        <color rgb="FFFFA709"/>
        <color rgb="FFFF0000"/>
      </colorScale>
    </cfRule>
  </conditionalFormatting>
  <conditionalFormatting sqref="BF4">
    <cfRule type="colorScale" priority="1653">
      <colorScale>
        <cfvo type="num" val="0"/>
        <cfvo type="num" val="0.5"/>
        <cfvo type="num" val="1"/>
        <color rgb="FF92D050"/>
        <color rgb="FFFFA709"/>
        <color rgb="FFFF0000"/>
      </colorScale>
    </cfRule>
  </conditionalFormatting>
  <conditionalFormatting sqref="BE7 BB7 BG7">
    <cfRule type="colorScale" priority="1652">
      <colorScale>
        <cfvo type="num" val="0"/>
        <cfvo type="num" val="0.5"/>
        <cfvo type="num" val="1"/>
        <color rgb="FF92D050"/>
        <color rgb="FFFFA709"/>
        <color rgb="FFFF0000"/>
      </colorScale>
    </cfRule>
  </conditionalFormatting>
  <conditionalFormatting sqref="BC7">
    <cfRule type="colorScale" priority="1651">
      <colorScale>
        <cfvo type="num" val="0"/>
        <cfvo type="num" val="0.5"/>
        <cfvo type="num" val="1"/>
        <color rgb="FF92D050"/>
        <color rgb="FFFFA709"/>
        <color rgb="FFFF0000"/>
      </colorScale>
    </cfRule>
  </conditionalFormatting>
  <conditionalFormatting sqref="BD7">
    <cfRule type="colorScale" priority="1650">
      <colorScale>
        <cfvo type="num" val="0"/>
        <cfvo type="num" val="0.5"/>
        <cfvo type="num" val="1"/>
        <color rgb="FF92D050"/>
        <color rgb="FFFFA709"/>
        <color rgb="FFFF0000"/>
      </colorScale>
    </cfRule>
  </conditionalFormatting>
  <conditionalFormatting sqref="BF7">
    <cfRule type="colorScale" priority="1649">
      <colorScale>
        <cfvo type="num" val="0"/>
        <cfvo type="num" val="0.5"/>
        <cfvo type="num" val="1"/>
        <color rgb="FF92D050"/>
        <color rgb="FFFFA709"/>
        <color rgb="FFFF0000"/>
      </colorScale>
    </cfRule>
  </conditionalFormatting>
  <conditionalFormatting sqref="BB10 BE10 BG10">
    <cfRule type="colorScale" priority="1648">
      <colorScale>
        <cfvo type="num" val="0"/>
        <cfvo type="num" val="0.5"/>
        <cfvo type="num" val="1"/>
        <color rgb="FF92D050"/>
        <color rgb="FFFFA709"/>
        <color rgb="FFFF0000"/>
      </colorScale>
    </cfRule>
  </conditionalFormatting>
  <conditionalFormatting sqref="BC10">
    <cfRule type="colorScale" priority="1647">
      <colorScale>
        <cfvo type="num" val="0"/>
        <cfvo type="num" val="0.5"/>
        <cfvo type="num" val="1"/>
        <color rgb="FF92D050"/>
        <color rgb="FFFFA709"/>
        <color rgb="FFFF0000"/>
      </colorScale>
    </cfRule>
  </conditionalFormatting>
  <conditionalFormatting sqref="BD10">
    <cfRule type="colorScale" priority="1646">
      <colorScale>
        <cfvo type="num" val="0"/>
        <cfvo type="num" val="0.5"/>
        <cfvo type="num" val="1"/>
        <color rgb="FF92D050"/>
        <color rgb="FFFFA709"/>
        <color rgb="FFFF0000"/>
      </colorScale>
    </cfRule>
  </conditionalFormatting>
  <conditionalFormatting sqref="BF10">
    <cfRule type="colorScale" priority="1645">
      <colorScale>
        <cfvo type="num" val="0"/>
        <cfvo type="num" val="0.5"/>
        <cfvo type="num" val="1"/>
        <color rgb="FF92D050"/>
        <color rgb="FFFFA709"/>
        <color rgb="FFFF0000"/>
      </colorScale>
    </cfRule>
  </conditionalFormatting>
  <conditionalFormatting sqref="BE16 BB16 BG16">
    <cfRule type="colorScale" priority="1644">
      <colorScale>
        <cfvo type="num" val="0"/>
        <cfvo type="num" val="0.5"/>
        <cfvo type="num" val="1"/>
        <color rgb="FF92D050"/>
        <color rgb="FFFFA709"/>
        <color rgb="FFFF0000"/>
      </colorScale>
    </cfRule>
  </conditionalFormatting>
  <conditionalFormatting sqref="BC16">
    <cfRule type="colorScale" priority="1643">
      <colorScale>
        <cfvo type="num" val="0"/>
        <cfvo type="num" val="0.5"/>
        <cfvo type="num" val="1"/>
        <color rgb="FF92D050"/>
        <color rgb="FFFFA709"/>
        <color rgb="FFFF0000"/>
      </colorScale>
    </cfRule>
  </conditionalFormatting>
  <conditionalFormatting sqref="BD16">
    <cfRule type="colorScale" priority="1642">
      <colorScale>
        <cfvo type="num" val="0"/>
        <cfvo type="num" val="0.5"/>
        <cfvo type="num" val="1"/>
        <color rgb="FF92D050"/>
        <color rgb="FFFFA709"/>
        <color rgb="FFFF0000"/>
      </colorScale>
    </cfRule>
  </conditionalFormatting>
  <conditionalFormatting sqref="BF16">
    <cfRule type="colorScale" priority="1641">
      <colorScale>
        <cfvo type="num" val="0"/>
        <cfvo type="num" val="0.5"/>
        <cfvo type="num" val="1"/>
        <color rgb="FF92D050"/>
        <color rgb="FFFFA709"/>
        <color rgb="FFFF0000"/>
      </colorScale>
    </cfRule>
  </conditionalFormatting>
  <conditionalFormatting sqref="BE19 BB19 BG19">
    <cfRule type="colorScale" priority="1640">
      <colorScale>
        <cfvo type="num" val="0"/>
        <cfvo type="num" val="0.5"/>
        <cfvo type="num" val="1"/>
        <color rgb="FF92D050"/>
        <color rgb="FFFFA709"/>
        <color rgb="FFFF0000"/>
      </colorScale>
    </cfRule>
  </conditionalFormatting>
  <conditionalFormatting sqref="BC19">
    <cfRule type="colorScale" priority="1639">
      <colorScale>
        <cfvo type="num" val="0"/>
        <cfvo type="num" val="0.5"/>
        <cfvo type="num" val="1"/>
        <color rgb="FF92D050"/>
        <color rgb="FFFFA709"/>
        <color rgb="FFFF0000"/>
      </colorScale>
    </cfRule>
  </conditionalFormatting>
  <conditionalFormatting sqref="BD19">
    <cfRule type="colorScale" priority="1638">
      <colorScale>
        <cfvo type="num" val="0"/>
        <cfvo type="num" val="0.5"/>
        <cfvo type="num" val="1"/>
        <color rgb="FF92D050"/>
        <color rgb="FFFFA709"/>
        <color rgb="FFFF0000"/>
      </colorScale>
    </cfRule>
  </conditionalFormatting>
  <conditionalFormatting sqref="BF19">
    <cfRule type="colorScale" priority="1637">
      <colorScale>
        <cfvo type="num" val="0"/>
        <cfvo type="num" val="0.5"/>
        <cfvo type="num" val="1"/>
        <color rgb="FF92D050"/>
        <color rgb="FFFFA709"/>
        <color rgb="FFFF0000"/>
      </colorScale>
    </cfRule>
  </conditionalFormatting>
  <conditionalFormatting sqref="BB22">
    <cfRule type="colorScale" priority="1636">
      <colorScale>
        <cfvo type="num" val="0"/>
        <cfvo type="num" val="0.5"/>
        <cfvo type="num" val="1"/>
        <color rgb="FF92D050"/>
        <color rgb="FFFFA709"/>
        <color rgb="FFFF0000"/>
      </colorScale>
    </cfRule>
  </conditionalFormatting>
  <conditionalFormatting sqref="BC22">
    <cfRule type="colorScale" priority="1635">
      <colorScale>
        <cfvo type="num" val="0"/>
        <cfvo type="num" val="0.5"/>
        <cfvo type="num" val="1"/>
        <color rgb="FF92D050"/>
        <color rgb="FFFFA709"/>
        <color rgb="FFFF0000"/>
      </colorScale>
    </cfRule>
  </conditionalFormatting>
  <conditionalFormatting sqref="BD22">
    <cfRule type="colorScale" priority="1634">
      <colorScale>
        <cfvo type="num" val="0"/>
        <cfvo type="num" val="0.5"/>
        <cfvo type="num" val="1"/>
        <color rgb="FF92D050"/>
        <color rgb="FFFFA709"/>
        <color rgb="FFFF0000"/>
      </colorScale>
    </cfRule>
  </conditionalFormatting>
  <conditionalFormatting sqref="BE22">
    <cfRule type="colorScale" priority="1633">
      <colorScale>
        <cfvo type="num" val="0"/>
        <cfvo type="num" val="0.5"/>
        <cfvo type="num" val="1"/>
        <color rgb="FF92D050"/>
        <color rgb="FFFFA709"/>
        <color rgb="FFFF0000"/>
      </colorScale>
    </cfRule>
  </conditionalFormatting>
  <conditionalFormatting sqref="BF22">
    <cfRule type="colorScale" priority="1632">
      <colorScale>
        <cfvo type="num" val="0"/>
        <cfvo type="num" val="0.5"/>
        <cfvo type="num" val="1"/>
        <color rgb="FF92D050"/>
        <color rgb="FFFFA709"/>
        <color rgb="FFFF0000"/>
      </colorScale>
    </cfRule>
  </conditionalFormatting>
  <conditionalFormatting sqref="BG22">
    <cfRule type="colorScale" priority="1631">
      <colorScale>
        <cfvo type="num" val="0"/>
        <cfvo type="num" val="0.5"/>
        <cfvo type="num" val="1"/>
        <color rgb="FF92D050"/>
        <color rgb="FFFFA709"/>
        <color rgb="FFFF0000"/>
      </colorScale>
    </cfRule>
  </conditionalFormatting>
  <conditionalFormatting sqref="BH1:BL1">
    <cfRule type="timePeriod" dxfId="47" priority="1630" timePeriod="today">
      <formula>FLOOR(BH1,1)=TODAY()</formula>
    </cfRule>
  </conditionalFormatting>
  <conditionalFormatting sqref="BH4 BK4 BM4">
    <cfRule type="colorScale" priority="1629">
      <colorScale>
        <cfvo type="num" val="0"/>
        <cfvo type="num" val="0.5"/>
        <cfvo type="num" val="1"/>
        <color rgb="FF92D050"/>
        <color rgb="FFFFA709"/>
        <color rgb="FFFF0000"/>
      </colorScale>
    </cfRule>
  </conditionalFormatting>
  <conditionalFormatting sqref="BI4">
    <cfRule type="colorScale" priority="1628">
      <colorScale>
        <cfvo type="num" val="0"/>
        <cfvo type="num" val="0.5"/>
        <cfvo type="num" val="1"/>
        <color rgb="FF92D050"/>
        <color rgb="FFFFA709"/>
        <color rgb="FFFF0000"/>
      </colorScale>
    </cfRule>
  </conditionalFormatting>
  <conditionalFormatting sqref="BJ4">
    <cfRule type="colorScale" priority="1627">
      <colorScale>
        <cfvo type="num" val="0"/>
        <cfvo type="num" val="0.5"/>
        <cfvo type="num" val="1"/>
        <color rgb="FF92D050"/>
        <color rgb="FFFFA709"/>
        <color rgb="FFFF0000"/>
      </colorScale>
    </cfRule>
  </conditionalFormatting>
  <conditionalFormatting sqref="BL4">
    <cfRule type="colorScale" priority="1626">
      <colorScale>
        <cfvo type="num" val="0"/>
        <cfvo type="num" val="0.5"/>
        <cfvo type="num" val="1"/>
        <color rgb="FF92D050"/>
        <color rgb="FFFFA709"/>
        <color rgb="FFFF0000"/>
      </colorScale>
    </cfRule>
  </conditionalFormatting>
  <conditionalFormatting sqref="BH7 BK7 BM7">
    <cfRule type="colorScale" priority="1625">
      <colorScale>
        <cfvo type="num" val="0"/>
        <cfvo type="num" val="0.5"/>
        <cfvo type="num" val="1"/>
        <color rgb="FF92D050"/>
        <color rgb="FFFFA709"/>
        <color rgb="FFFF0000"/>
      </colorScale>
    </cfRule>
  </conditionalFormatting>
  <conditionalFormatting sqref="BI7">
    <cfRule type="colorScale" priority="1624">
      <colorScale>
        <cfvo type="num" val="0"/>
        <cfvo type="num" val="0.5"/>
        <cfvo type="num" val="1"/>
        <color rgb="FF92D050"/>
        <color rgb="FFFFA709"/>
        <color rgb="FFFF0000"/>
      </colorScale>
    </cfRule>
  </conditionalFormatting>
  <conditionalFormatting sqref="BJ7">
    <cfRule type="colorScale" priority="1623">
      <colorScale>
        <cfvo type="num" val="0"/>
        <cfvo type="num" val="0.5"/>
        <cfvo type="num" val="1"/>
        <color rgb="FF92D050"/>
        <color rgb="FFFFA709"/>
        <color rgb="FFFF0000"/>
      </colorScale>
    </cfRule>
  </conditionalFormatting>
  <conditionalFormatting sqref="BL7">
    <cfRule type="colorScale" priority="1622">
      <colorScale>
        <cfvo type="num" val="0"/>
        <cfvo type="num" val="0.5"/>
        <cfvo type="num" val="1"/>
        <color rgb="FF92D050"/>
        <color rgb="FFFFA709"/>
        <color rgb="FFFF0000"/>
      </colorScale>
    </cfRule>
  </conditionalFormatting>
  <conditionalFormatting sqref="BH10 BK10 BM10">
    <cfRule type="colorScale" priority="1621">
      <colorScale>
        <cfvo type="num" val="0"/>
        <cfvo type="num" val="0.5"/>
        <cfvo type="num" val="1"/>
        <color rgb="FF92D050"/>
        <color rgb="FFFFA709"/>
        <color rgb="FFFF0000"/>
      </colorScale>
    </cfRule>
  </conditionalFormatting>
  <conditionalFormatting sqref="BI10">
    <cfRule type="colorScale" priority="1620">
      <colorScale>
        <cfvo type="num" val="0"/>
        <cfvo type="num" val="0.5"/>
        <cfvo type="num" val="1"/>
        <color rgb="FF92D050"/>
        <color rgb="FFFFA709"/>
        <color rgb="FFFF0000"/>
      </colorScale>
    </cfRule>
  </conditionalFormatting>
  <conditionalFormatting sqref="BJ10">
    <cfRule type="colorScale" priority="1619">
      <colorScale>
        <cfvo type="num" val="0"/>
        <cfvo type="num" val="0.5"/>
        <cfvo type="num" val="1"/>
        <color rgb="FF92D050"/>
        <color rgb="FFFFA709"/>
        <color rgb="FFFF0000"/>
      </colorScale>
    </cfRule>
  </conditionalFormatting>
  <conditionalFormatting sqref="BL10">
    <cfRule type="colorScale" priority="1618">
      <colorScale>
        <cfvo type="num" val="0"/>
        <cfvo type="num" val="0.5"/>
        <cfvo type="num" val="1"/>
        <color rgb="FF92D050"/>
        <color rgb="FFFFA709"/>
        <color rgb="FFFF0000"/>
      </colorScale>
    </cfRule>
  </conditionalFormatting>
  <conditionalFormatting sqref="BK16 BH16 BM16">
    <cfRule type="colorScale" priority="1617">
      <colorScale>
        <cfvo type="num" val="0"/>
        <cfvo type="num" val="0.5"/>
        <cfvo type="num" val="1"/>
        <color rgb="FF92D050"/>
        <color rgb="FFFFA709"/>
        <color rgb="FFFF0000"/>
      </colorScale>
    </cfRule>
  </conditionalFormatting>
  <conditionalFormatting sqref="BI16">
    <cfRule type="colorScale" priority="1616">
      <colorScale>
        <cfvo type="num" val="0"/>
        <cfvo type="num" val="0.5"/>
        <cfvo type="num" val="1"/>
        <color rgb="FF92D050"/>
        <color rgb="FFFFA709"/>
        <color rgb="FFFF0000"/>
      </colorScale>
    </cfRule>
  </conditionalFormatting>
  <conditionalFormatting sqref="BJ16">
    <cfRule type="colorScale" priority="1615">
      <colorScale>
        <cfvo type="num" val="0"/>
        <cfvo type="num" val="0.5"/>
        <cfvo type="num" val="1"/>
        <color rgb="FF92D050"/>
        <color rgb="FFFFA709"/>
        <color rgb="FFFF0000"/>
      </colorScale>
    </cfRule>
  </conditionalFormatting>
  <conditionalFormatting sqref="BL16">
    <cfRule type="colorScale" priority="1614">
      <colorScale>
        <cfvo type="num" val="0"/>
        <cfvo type="num" val="0.5"/>
        <cfvo type="num" val="1"/>
        <color rgb="FF92D050"/>
        <color rgb="FFFFA709"/>
        <color rgb="FFFF0000"/>
      </colorScale>
    </cfRule>
  </conditionalFormatting>
  <conditionalFormatting sqref="BK19 BH19 BM19">
    <cfRule type="colorScale" priority="1613">
      <colorScale>
        <cfvo type="num" val="0"/>
        <cfvo type="num" val="0.5"/>
        <cfvo type="num" val="1"/>
        <color rgb="FF92D050"/>
        <color rgb="FFFFA709"/>
        <color rgb="FFFF0000"/>
      </colorScale>
    </cfRule>
  </conditionalFormatting>
  <conditionalFormatting sqref="BI19">
    <cfRule type="colorScale" priority="1612">
      <colorScale>
        <cfvo type="num" val="0"/>
        <cfvo type="num" val="0.5"/>
        <cfvo type="num" val="1"/>
        <color rgb="FF92D050"/>
        <color rgb="FFFFA709"/>
        <color rgb="FFFF0000"/>
      </colorScale>
    </cfRule>
  </conditionalFormatting>
  <conditionalFormatting sqref="BJ19">
    <cfRule type="colorScale" priority="1611">
      <colorScale>
        <cfvo type="num" val="0"/>
        <cfvo type="num" val="0.5"/>
        <cfvo type="num" val="1"/>
        <color rgb="FF92D050"/>
        <color rgb="FFFFA709"/>
        <color rgb="FFFF0000"/>
      </colorScale>
    </cfRule>
  </conditionalFormatting>
  <conditionalFormatting sqref="BL19">
    <cfRule type="colorScale" priority="1610">
      <colorScale>
        <cfvo type="num" val="0"/>
        <cfvo type="num" val="0.5"/>
        <cfvo type="num" val="1"/>
        <color rgb="FF92D050"/>
        <color rgb="FFFFA709"/>
        <color rgb="FFFF0000"/>
      </colorScale>
    </cfRule>
  </conditionalFormatting>
  <conditionalFormatting sqref="BH22">
    <cfRule type="colorScale" priority="1609">
      <colorScale>
        <cfvo type="num" val="0"/>
        <cfvo type="num" val="0.5"/>
        <cfvo type="num" val="1"/>
        <color rgb="FF92D050"/>
        <color rgb="FFFFA709"/>
        <color rgb="FFFF0000"/>
      </colorScale>
    </cfRule>
  </conditionalFormatting>
  <conditionalFormatting sqref="BI22">
    <cfRule type="colorScale" priority="1608">
      <colorScale>
        <cfvo type="num" val="0"/>
        <cfvo type="num" val="0.5"/>
        <cfvo type="num" val="1"/>
        <color rgb="FF92D050"/>
        <color rgb="FFFFA709"/>
        <color rgb="FFFF0000"/>
      </colorScale>
    </cfRule>
  </conditionalFormatting>
  <conditionalFormatting sqref="BJ22">
    <cfRule type="colorScale" priority="1607">
      <colorScale>
        <cfvo type="num" val="0"/>
        <cfvo type="num" val="0.5"/>
        <cfvo type="num" val="1"/>
        <color rgb="FF92D050"/>
        <color rgb="FFFFA709"/>
        <color rgb="FFFF0000"/>
      </colorScale>
    </cfRule>
  </conditionalFormatting>
  <conditionalFormatting sqref="BK22">
    <cfRule type="colorScale" priority="1606">
      <colorScale>
        <cfvo type="num" val="0"/>
        <cfvo type="num" val="0.5"/>
        <cfvo type="num" val="1"/>
        <color rgb="FF92D050"/>
        <color rgb="FFFFA709"/>
        <color rgb="FFFF0000"/>
      </colorScale>
    </cfRule>
  </conditionalFormatting>
  <conditionalFormatting sqref="BL22">
    <cfRule type="colorScale" priority="1605">
      <colorScale>
        <cfvo type="num" val="0"/>
        <cfvo type="num" val="0.5"/>
        <cfvo type="num" val="1"/>
        <color rgb="FF92D050"/>
        <color rgb="FFFFA709"/>
        <color rgb="FFFF0000"/>
      </colorScale>
    </cfRule>
  </conditionalFormatting>
  <conditionalFormatting sqref="BM22">
    <cfRule type="colorScale" priority="1604">
      <colorScale>
        <cfvo type="num" val="0"/>
        <cfvo type="num" val="0.5"/>
        <cfvo type="num" val="1"/>
        <color rgb="FF92D050"/>
        <color rgb="FFFFA709"/>
        <color rgb="FFFF0000"/>
      </colorScale>
    </cfRule>
  </conditionalFormatting>
  <conditionalFormatting sqref="BN4 BQ4 BS4">
    <cfRule type="colorScale" priority="1602">
      <colorScale>
        <cfvo type="num" val="0"/>
        <cfvo type="num" val="0.5"/>
        <cfvo type="num" val="1"/>
        <color rgb="FF92D050"/>
        <color rgb="FFFFA709"/>
        <color rgb="FFFF0000"/>
      </colorScale>
    </cfRule>
  </conditionalFormatting>
  <conditionalFormatting sqref="BO4">
    <cfRule type="colorScale" priority="1601">
      <colorScale>
        <cfvo type="num" val="0"/>
        <cfvo type="num" val="0.5"/>
        <cfvo type="num" val="1"/>
        <color rgb="FF92D050"/>
        <color rgb="FFFFA709"/>
        <color rgb="FFFF0000"/>
      </colorScale>
    </cfRule>
  </conditionalFormatting>
  <conditionalFormatting sqref="BP4">
    <cfRule type="colorScale" priority="1600">
      <colorScale>
        <cfvo type="num" val="0"/>
        <cfvo type="num" val="0.5"/>
        <cfvo type="num" val="1"/>
        <color rgb="FF92D050"/>
        <color rgb="FFFFA709"/>
        <color rgb="FFFF0000"/>
      </colorScale>
    </cfRule>
  </conditionalFormatting>
  <conditionalFormatting sqref="BR4">
    <cfRule type="colorScale" priority="1599">
      <colorScale>
        <cfvo type="num" val="0"/>
        <cfvo type="num" val="0.5"/>
        <cfvo type="num" val="1"/>
        <color rgb="FF92D050"/>
        <color rgb="FFFFA709"/>
        <color rgb="FFFF0000"/>
      </colorScale>
    </cfRule>
  </conditionalFormatting>
  <conditionalFormatting sqref="BN7 BQ7 BS7">
    <cfRule type="colorScale" priority="1598">
      <colorScale>
        <cfvo type="num" val="0"/>
        <cfvo type="num" val="0.5"/>
        <cfvo type="num" val="1"/>
        <color rgb="FF92D050"/>
        <color rgb="FFFFA709"/>
        <color rgb="FFFF0000"/>
      </colorScale>
    </cfRule>
  </conditionalFormatting>
  <conditionalFormatting sqref="BO7">
    <cfRule type="colorScale" priority="1597">
      <colorScale>
        <cfvo type="num" val="0"/>
        <cfvo type="num" val="0.5"/>
        <cfvo type="num" val="1"/>
        <color rgb="FF92D050"/>
        <color rgb="FFFFA709"/>
        <color rgb="FFFF0000"/>
      </colorScale>
    </cfRule>
  </conditionalFormatting>
  <conditionalFormatting sqref="BP7">
    <cfRule type="colorScale" priority="1596">
      <colorScale>
        <cfvo type="num" val="0"/>
        <cfvo type="num" val="0.5"/>
        <cfvo type="num" val="1"/>
        <color rgb="FF92D050"/>
        <color rgb="FFFFA709"/>
        <color rgb="FFFF0000"/>
      </colorScale>
    </cfRule>
  </conditionalFormatting>
  <conditionalFormatting sqref="BR7">
    <cfRule type="colorScale" priority="1595">
      <colorScale>
        <cfvo type="num" val="0"/>
        <cfvo type="num" val="0.5"/>
        <cfvo type="num" val="1"/>
        <color rgb="FF92D050"/>
        <color rgb="FFFFA709"/>
        <color rgb="FFFF0000"/>
      </colorScale>
    </cfRule>
  </conditionalFormatting>
  <conditionalFormatting sqref="BQ10 BN10 BS10">
    <cfRule type="colorScale" priority="1594">
      <colorScale>
        <cfvo type="num" val="0"/>
        <cfvo type="num" val="0.5"/>
        <cfvo type="num" val="1"/>
        <color rgb="FF92D050"/>
        <color rgb="FFFFA709"/>
        <color rgb="FFFF0000"/>
      </colorScale>
    </cfRule>
  </conditionalFormatting>
  <conditionalFormatting sqref="BO10">
    <cfRule type="colorScale" priority="1593">
      <colorScale>
        <cfvo type="num" val="0"/>
        <cfvo type="num" val="0.5"/>
        <cfvo type="num" val="1"/>
        <color rgb="FF92D050"/>
        <color rgb="FFFFA709"/>
        <color rgb="FFFF0000"/>
      </colorScale>
    </cfRule>
  </conditionalFormatting>
  <conditionalFormatting sqref="BP10">
    <cfRule type="colorScale" priority="1592">
      <colorScale>
        <cfvo type="num" val="0"/>
        <cfvo type="num" val="0.5"/>
        <cfvo type="num" val="1"/>
        <color rgb="FF92D050"/>
        <color rgb="FFFFA709"/>
        <color rgb="FFFF0000"/>
      </colorScale>
    </cfRule>
  </conditionalFormatting>
  <conditionalFormatting sqref="BR10">
    <cfRule type="colorScale" priority="1591">
      <colorScale>
        <cfvo type="num" val="0"/>
        <cfvo type="num" val="0.5"/>
        <cfvo type="num" val="1"/>
        <color rgb="FF92D050"/>
        <color rgb="FFFFA709"/>
        <color rgb="FFFF0000"/>
      </colorScale>
    </cfRule>
  </conditionalFormatting>
  <conditionalFormatting sqref="BN16 BQ16 BS16">
    <cfRule type="colorScale" priority="1590">
      <colorScale>
        <cfvo type="num" val="0"/>
        <cfvo type="num" val="0.5"/>
        <cfvo type="num" val="1"/>
        <color rgb="FF92D050"/>
        <color rgb="FFFFA709"/>
        <color rgb="FFFF0000"/>
      </colorScale>
    </cfRule>
  </conditionalFormatting>
  <conditionalFormatting sqref="BO16">
    <cfRule type="colorScale" priority="1589">
      <colorScale>
        <cfvo type="num" val="0"/>
        <cfvo type="num" val="0.5"/>
        <cfvo type="num" val="1"/>
        <color rgb="FF92D050"/>
        <color rgb="FFFFA709"/>
        <color rgb="FFFF0000"/>
      </colorScale>
    </cfRule>
  </conditionalFormatting>
  <conditionalFormatting sqref="BP16">
    <cfRule type="colorScale" priority="1588">
      <colorScale>
        <cfvo type="num" val="0"/>
        <cfvo type="num" val="0.5"/>
        <cfvo type="num" val="1"/>
        <color rgb="FF92D050"/>
        <color rgb="FFFFA709"/>
        <color rgb="FFFF0000"/>
      </colorScale>
    </cfRule>
  </conditionalFormatting>
  <conditionalFormatting sqref="BR16">
    <cfRule type="colorScale" priority="1587">
      <colorScale>
        <cfvo type="num" val="0"/>
        <cfvo type="num" val="0.5"/>
        <cfvo type="num" val="1"/>
        <color rgb="FF92D050"/>
        <color rgb="FFFFA709"/>
        <color rgb="FFFF0000"/>
      </colorScale>
    </cfRule>
  </conditionalFormatting>
  <conditionalFormatting sqref="BN19 BQ19 BS19">
    <cfRule type="colorScale" priority="1586">
      <colorScale>
        <cfvo type="num" val="0"/>
        <cfvo type="num" val="0.5"/>
        <cfvo type="num" val="1"/>
        <color rgb="FF92D050"/>
        <color rgb="FFFFA709"/>
        <color rgb="FFFF0000"/>
      </colorScale>
    </cfRule>
  </conditionalFormatting>
  <conditionalFormatting sqref="BO19">
    <cfRule type="colorScale" priority="1585">
      <colorScale>
        <cfvo type="num" val="0"/>
        <cfvo type="num" val="0.5"/>
        <cfvo type="num" val="1"/>
        <color rgb="FF92D050"/>
        <color rgb="FFFFA709"/>
        <color rgb="FFFF0000"/>
      </colorScale>
    </cfRule>
  </conditionalFormatting>
  <conditionalFormatting sqref="BP19">
    <cfRule type="colorScale" priority="1584">
      <colorScale>
        <cfvo type="num" val="0"/>
        <cfvo type="num" val="0.5"/>
        <cfvo type="num" val="1"/>
        <color rgb="FF92D050"/>
        <color rgb="FFFFA709"/>
        <color rgb="FFFF0000"/>
      </colorScale>
    </cfRule>
  </conditionalFormatting>
  <conditionalFormatting sqref="BR19">
    <cfRule type="colorScale" priority="1583">
      <colorScale>
        <cfvo type="num" val="0"/>
        <cfvo type="num" val="0.5"/>
        <cfvo type="num" val="1"/>
        <color rgb="FF92D050"/>
        <color rgb="FFFFA709"/>
        <color rgb="FFFF0000"/>
      </colorScale>
    </cfRule>
  </conditionalFormatting>
  <conditionalFormatting sqref="BN22">
    <cfRule type="colorScale" priority="1582">
      <colorScale>
        <cfvo type="num" val="0"/>
        <cfvo type="num" val="0.5"/>
        <cfvo type="num" val="1"/>
        <color rgb="FF92D050"/>
        <color rgb="FFFFA709"/>
        <color rgb="FFFF0000"/>
      </colorScale>
    </cfRule>
  </conditionalFormatting>
  <conditionalFormatting sqref="BO22">
    <cfRule type="colorScale" priority="1581">
      <colorScale>
        <cfvo type="num" val="0"/>
        <cfvo type="num" val="0.5"/>
        <cfvo type="num" val="1"/>
        <color rgb="FF92D050"/>
        <color rgb="FFFFA709"/>
        <color rgb="FFFF0000"/>
      </colorScale>
    </cfRule>
  </conditionalFormatting>
  <conditionalFormatting sqref="BP22">
    <cfRule type="colorScale" priority="1580">
      <colorScale>
        <cfvo type="num" val="0"/>
        <cfvo type="num" val="0.5"/>
        <cfvo type="num" val="1"/>
        <color rgb="FF92D050"/>
        <color rgb="FFFFA709"/>
        <color rgb="FFFF0000"/>
      </colorScale>
    </cfRule>
  </conditionalFormatting>
  <conditionalFormatting sqref="BQ22">
    <cfRule type="colorScale" priority="1579">
      <colorScale>
        <cfvo type="num" val="0"/>
        <cfvo type="num" val="0.5"/>
        <cfvo type="num" val="1"/>
        <color rgb="FF92D050"/>
        <color rgb="FFFFA709"/>
        <color rgb="FFFF0000"/>
      </colorScale>
    </cfRule>
  </conditionalFormatting>
  <conditionalFormatting sqref="BR22">
    <cfRule type="colorScale" priority="1578">
      <colorScale>
        <cfvo type="num" val="0"/>
        <cfvo type="num" val="0.5"/>
        <cfvo type="num" val="1"/>
        <color rgb="FF92D050"/>
        <color rgb="FFFFA709"/>
        <color rgb="FFFF0000"/>
      </colorScale>
    </cfRule>
  </conditionalFormatting>
  <conditionalFormatting sqref="BS22">
    <cfRule type="colorScale" priority="1577">
      <colorScale>
        <cfvo type="num" val="0"/>
        <cfvo type="num" val="0.5"/>
        <cfvo type="num" val="1"/>
        <color rgb="FF92D050"/>
        <color rgb="FFFFA709"/>
        <color rgb="FFFF0000"/>
      </colorScale>
    </cfRule>
  </conditionalFormatting>
  <conditionalFormatting sqref="BN1:BR1">
    <cfRule type="timePeriod" dxfId="46" priority="1576" timePeriod="today">
      <formula>FLOOR(BN1,1)=TODAY()</formula>
    </cfRule>
  </conditionalFormatting>
  <conditionalFormatting sqref="BT4 BW4 BY4">
    <cfRule type="colorScale" priority="1575">
      <colorScale>
        <cfvo type="num" val="0"/>
        <cfvo type="num" val="0.5"/>
        <cfvo type="num" val="1"/>
        <color rgb="FF92D050"/>
        <color rgb="FFFFA709"/>
        <color rgb="FFFF0000"/>
      </colorScale>
    </cfRule>
  </conditionalFormatting>
  <conditionalFormatting sqref="BU4">
    <cfRule type="colorScale" priority="1574">
      <colorScale>
        <cfvo type="num" val="0"/>
        <cfvo type="num" val="0.5"/>
        <cfvo type="num" val="1"/>
        <color rgb="FF92D050"/>
        <color rgb="FFFFA709"/>
        <color rgb="FFFF0000"/>
      </colorScale>
    </cfRule>
  </conditionalFormatting>
  <conditionalFormatting sqref="BV4">
    <cfRule type="colorScale" priority="1573">
      <colorScale>
        <cfvo type="num" val="0"/>
        <cfvo type="num" val="0.5"/>
        <cfvo type="num" val="1"/>
        <color rgb="FF92D050"/>
        <color rgb="FFFFA709"/>
        <color rgb="FFFF0000"/>
      </colorScale>
    </cfRule>
  </conditionalFormatting>
  <conditionalFormatting sqref="BX4">
    <cfRule type="colorScale" priority="1572">
      <colorScale>
        <cfvo type="num" val="0"/>
        <cfvo type="num" val="0.5"/>
        <cfvo type="num" val="1"/>
        <color rgb="FF92D050"/>
        <color rgb="FFFFA709"/>
        <color rgb="FFFF0000"/>
      </colorScale>
    </cfRule>
  </conditionalFormatting>
  <conditionalFormatting sqref="BT7 BW7 BY7">
    <cfRule type="colorScale" priority="1571">
      <colorScale>
        <cfvo type="num" val="0"/>
        <cfvo type="num" val="0.5"/>
        <cfvo type="num" val="1"/>
        <color rgb="FF92D050"/>
        <color rgb="FFFFA709"/>
        <color rgb="FFFF0000"/>
      </colorScale>
    </cfRule>
  </conditionalFormatting>
  <conditionalFormatting sqref="BU7">
    <cfRule type="colorScale" priority="1570">
      <colorScale>
        <cfvo type="num" val="0"/>
        <cfvo type="num" val="0.5"/>
        <cfvo type="num" val="1"/>
        <color rgb="FF92D050"/>
        <color rgb="FFFFA709"/>
        <color rgb="FFFF0000"/>
      </colorScale>
    </cfRule>
  </conditionalFormatting>
  <conditionalFormatting sqref="BV7">
    <cfRule type="colorScale" priority="1569">
      <colorScale>
        <cfvo type="num" val="0"/>
        <cfvo type="num" val="0.5"/>
        <cfvo type="num" val="1"/>
        <color rgb="FF92D050"/>
        <color rgb="FFFFA709"/>
        <color rgb="FFFF0000"/>
      </colorScale>
    </cfRule>
  </conditionalFormatting>
  <conditionalFormatting sqref="BX7">
    <cfRule type="colorScale" priority="1568">
      <colorScale>
        <cfvo type="num" val="0"/>
        <cfvo type="num" val="0.5"/>
        <cfvo type="num" val="1"/>
        <color rgb="FF92D050"/>
        <color rgb="FFFFA709"/>
        <color rgb="FFFF0000"/>
      </colorScale>
    </cfRule>
  </conditionalFormatting>
  <conditionalFormatting sqref="BT10 BW10 BY10">
    <cfRule type="colorScale" priority="1567">
      <colorScale>
        <cfvo type="num" val="0"/>
        <cfvo type="num" val="0.5"/>
        <cfvo type="num" val="1"/>
        <color rgb="FF92D050"/>
        <color rgb="FFFFA709"/>
        <color rgb="FFFF0000"/>
      </colorScale>
    </cfRule>
  </conditionalFormatting>
  <conditionalFormatting sqref="BU10">
    <cfRule type="colorScale" priority="1566">
      <colorScale>
        <cfvo type="num" val="0"/>
        <cfvo type="num" val="0.5"/>
        <cfvo type="num" val="1"/>
        <color rgb="FF92D050"/>
        <color rgb="FFFFA709"/>
        <color rgb="FFFF0000"/>
      </colorScale>
    </cfRule>
  </conditionalFormatting>
  <conditionalFormatting sqref="BV10">
    <cfRule type="colorScale" priority="1565">
      <colorScale>
        <cfvo type="num" val="0"/>
        <cfvo type="num" val="0.5"/>
        <cfvo type="num" val="1"/>
        <color rgb="FF92D050"/>
        <color rgb="FFFFA709"/>
        <color rgb="FFFF0000"/>
      </colorScale>
    </cfRule>
  </conditionalFormatting>
  <conditionalFormatting sqref="BX10">
    <cfRule type="colorScale" priority="1564">
      <colorScale>
        <cfvo type="num" val="0"/>
        <cfvo type="num" val="0.5"/>
        <cfvo type="num" val="1"/>
        <color rgb="FF92D050"/>
        <color rgb="FFFFA709"/>
        <color rgb="FFFF0000"/>
      </colorScale>
    </cfRule>
  </conditionalFormatting>
  <conditionalFormatting sqref="BW16 BT16 BY16">
    <cfRule type="colorScale" priority="1563">
      <colorScale>
        <cfvo type="num" val="0"/>
        <cfvo type="num" val="0.5"/>
        <cfvo type="num" val="1"/>
        <color rgb="FF92D050"/>
        <color rgb="FFFFA709"/>
        <color rgb="FFFF0000"/>
      </colorScale>
    </cfRule>
  </conditionalFormatting>
  <conditionalFormatting sqref="BU16">
    <cfRule type="colorScale" priority="1562">
      <colorScale>
        <cfvo type="num" val="0"/>
        <cfvo type="num" val="0.5"/>
        <cfvo type="num" val="1"/>
        <color rgb="FF92D050"/>
        <color rgb="FFFFA709"/>
        <color rgb="FFFF0000"/>
      </colorScale>
    </cfRule>
  </conditionalFormatting>
  <conditionalFormatting sqref="BV16">
    <cfRule type="colorScale" priority="1561">
      <colorScale>
        <cfvo type="num" val="0"/>
        <cfvo type="num" val="0.5"/>
        <cfvo type="num" val="1"/>
        <color rgb="FF92D050"/>
        <color rgb="FFFFA709"/>
        <color rgb="FFFF0000"/>
      </colorScale>
    </cfRule>
  </conditionalFormatting>
  <conditionalFormatting sqref="BX16">
    <cfRule type="colorScale" priority="1560">
      <colorScale>
        <cfvo type="num" val="0"/>
        <cfvo type="num" val="0.5"/>
        <cfvo type="num" val="1"/>
        <color rgb="FF92D050"/>
        <color rgb="FFFFA709"/>
        <color rgb="FFFF0000"/>
      </colorScale>
    </cfRule>
  </conditionalFormatting>
  <conditionalFormatting sqref="BW19 BT19 BY19">
    <cfRule type="colorScale" priority="1559">
      <colorScale>
        <cfvo type="num" val="0"/>
        <cfvo type="num" val="0.5"/>
        <cfvo type="num" val="1"/>
        <color rgb="FF92D050"/>
        <color rgb="FFFFA709"/>
        <color rgb="FFFF0000"/>
      </colorScale>
    </cfRule>
  </conditionalFormatting>
  <conditionalFormatting sqref="BU19">
    <cfRule type="colorScale" priority="1558">
      <colorScale>
        <cfvo type="num" val="0"/>
        <cfvo type="num" val="0.5"/>
        <cfvo type="num" val="1"/>
        <color rgb="FF92D050"/>
        <color rgb="FFFFA709"/>
        <color rgb="FFFF0000"/>
      </colorScale>
    </cfRule>
  </conditionalFormatting>
  <conditionalFormatting sqref="BV19">
    <cfRule type="colorScale" priority="1557">
      <colorScale>
        <cfvo type="num" val="0"/>
        <cfvo type="num" val="0.5"/>
        <cfvo type="num" val="1"/>
        <color rgb="FF92D050"/>
        <color rgb="FFFFA709"/>
        <color rgb="FFFF0000"/>
      </colorScale>
    </cfRule>
  </conditionalFormatting>
  <conditionalFormatting sqref="BX19">
    <cfRule type="colorScale" priority="1556">
      <colorScale>
        <cfvo type="num" val="0"/>
        <cfvo type="num" val="0.5"/>
        <cfvo type="num" val="1"/>
        <color rgb="FF92D050"/>
        <color rgb="FFFFA709"/>
        <color rgb="FFFF0000"/>
      </colorScale>
    </cfRule>
  </conditionalFormatting>
  <conditionalFormatting sqref="BT22">
    <cfRule type="colorScale" priority="1555">
      <colorScale>
        <cfvo type="num" val="0"/>
        <cfvo type="num" val="0.5"/>
        <cfvo type="num" val="1"/>
        <color rgb="FF92D050"/>
        <color rgb="FFFFA709"/>
        <color rgb="FFFF0000"/>
      </colorScale>
    </cfRule>
  </conditionalFormatting>
  <conditionalFormatting sqref="BU22">
    <cfRule type="colorScale" priority="1554">
      <colorScale>
        <cfvo type="num" val="0"/>
        <cfvo type="num" val="0.5"/>
        <cfvo type="num" val="1"/>
        <color rgb="FF92D050"/>
        <color rgb="FFFFA709"/>
        <color rgb="FFFF0000"/>
      </colorScale>
    </cfRule>
  </conditionalFormatting>
  <conditionalFormatting sqref="BV22">
    <cfRule type="colorScale" priority="1553">
      <colorScale>
        <cfvo type="num" val="0"/>
        <cfvo type="num" val="0.5"/>
        <cfvo type="num" val="1"/>
        <color rgb="FF92D050"/>
        <color rgb="FFFFA709"/>
        <color rgb="FFFF0000"/>
      </colorScale>
    </cfRule>
  </conditionalFormatting>
  <conditionalFormatting sqref="BW22">
    <cfRule type="colorScale" priority="1552">
      <colorScale>
        <cfvo type="num" val="0"/>
        <cfvo type="num" val="0.5"/>
        <cfvo type="num" val="1"/>
        <color rgb="FF92D050"/>
        <color rgb="FFFFA709"/>
        <color rgb="FFFF0000"/>
      </colorScale>
    </cfRule>
  </conditionalFormatting>
  <conditionalFormatting sqref="BX22">
    <cfRule type="colorScale" priority="1551">
      <colorScale>
        <cfvo type="num" val="0"/>
        <cfvo type="num" val="0.5"/>
        <cfvo type="num" val="1"/>
        <color rgb="FF92D050"/>
        <color rgb="FFFFA709"/>
        <color rgb="FFFF0000"/>
      </colorScale>
    </cfRule>
  </conditionalFormatting>
  <conditionalFormatting sqref="BY22">
    <cfRule type="colorScale" priority="1550">
      <colorScale>
        <cfvo type="num" val="0"/>
        <cfvo type="num" val="0.5"/>
        <cfvo type="num" val="1"/>
        <color rgb="FF92D050"/>
        <color rgb="FFFFA709"/>
        <color rgb="FFFF0000"/>
      </colorScale>
    </cfRule>
  </conditionalFormatting>
  <conditionalFormatting sqref="BT1:BX1">
    <cfRule type="timePeriod" dxfId="45" priority="1549" timePeriod="today">
      <formula>FLOOR(BT1,1)=TODAY()</formula>
    </cfRule>
  </conditionalFormatting>
  <conditionalFormatting sqref="BZ4 CC4 CE4">
    <cfRule type="colorScale" priority="1548">
      <colorScale>
        <cfvo type="num" val="0"/>
        <cfvo type="num" val="0.5"/>
        <cfvo type="num" val="1"/>
        <color rgb="FF92D050"/>
        <color rgb="FFFFA709"/>
        <color rgb="FFFF0000"/>
      </colorScale>
    </cfRule>
  </conditionalFormatting>
  <conditionalFormatting sqref="CA4">
    <cfRule type="colorScale" priority="1547">
      <colorScale>
        <cfvo type="num" val="0"/>
        <cfvo type="num" val="0.5"/>
        <cfvo type="num" val="1"/>
        <color rgb="FF92D050"/>
        <color rgb="FFFFA709"/>
        <color rgb="FFFF0000"/>
      </colorScale>
    </cfRule>
  </conditionalFormatting>
  <conditionalFormatting sqref="CB4">
    <cfRule type="colorScale" priority="1546">
      <colorScale>
        <cfvo type="num" val="0"/>
        <cfvo type="num" val="0.5"/>
        <cfvo type="num" val="1"/>
        <color rgb="FF92D050"/>
        <color rgb="FFFFA709"/>
        <color rgb="FFFF0000"/>
      </colorScale>
    </cfRule>
  </conditionalFormatting>
  <conditionalFormatting sqref="CD4">
    <cfRule type="colorScale" priority="1545">
      <colorScale>
        <cfvo type="num" val="0"/>
        <cfvo type="num" val="0.5"/>
        <cfvo type="num" val="1"/>
        <color rgb="FF92D050"/>
        <color rgb="FFFFA709"/>
        <color rgb="FFFF0000"/>
      </colorScale>
    </cfRule>
  </conditionalFormatting>
  <conditionalFormatting sqref="BZ7 CC7 CE7">
    <cfRule type="colorScale" priority="1544">
      <colorScale>
        <cfvo type="num" val="0"/>
        <cfvo type="num" val="0.5"/>
        <cfvo type="num" val="1"/>
        <color rgb="FF92D050"/>
        <color rgb="FFFFA709"/>
        <color rgb="FFFF0000"/>
      </colorScale>
    </cfRule>
  </conditionalFormatting>
  <conditionalFormatting sqref="CA7">
    <cfRule type="colorScale" priority="1543">
      <colorScale>
        <cfvo type="num" val="0"/>
        <cfvo type="num" val="0.5"/>
        <cfvo type="num" val="1"/>
        <color rgb="FF92D050"/>
        <color rgb="FFFFA709"/>
        <color rgb="FFFF0000"/>
      </colorScale>
    </cfRule>
  </conditionalFormatting>
  <conditionalFormatting sqref="CB7">
    <cfRule type="colorScale" priority="1542">
      <colorScale>
        <cfvo type="num" val="0"/>
        <cfvo type="num" val="0.5"/>
        <cfvo type="num" val="1"/>
        <color rgb="FF92D050"/>
        <color rgb="FFFFA709"/>
        <color rgb="FFFF0000"/>
      </colorScale>
    </cfRule>
  </conditionalFormatting>
  <conditionalFormatting sqref="CD7">
    <cfRule type="colorScale" priority="1541">
      <colorScale>
        <cfvo type="num" val="0"/>
        <cfvo type="num" val="0.5"/>
        <cfvo type="num" val="1"/>
        <color rgb="FF92D050"/>
        <color rgb="FFFFA709"/>
        <color rgb="FFFF0000"/>
      </colorScale>
    </cfRule>
  </conditionalFormatting>
  <conditionalFormatting sqref="BZ10 CC10 CE10">
    <cfRule type="colorScale" priority="1540">
      <colorScale>
        <cfvo type="num" val="0"/>
        <cfvo type="num" val="0.5"/>
        <cfvo type="num" val="1"/>
        <color rgb="FF92D050"/>
        <color rgb="FFFFA709"/>
        <color rgb="FFFF0000"/>
      </colorScale>
    </cfRule>
  </conditionalFormatting>
  <conditionalFormatting sqref="CA10">
    <cfRule type="colorScale" priority="1539">
      <colorScale>
        <cfvo type="num" val="0"/>
        <cfvo type="num" val="0.5"/>
        <cfvo type="num" val="1"/>
        <color rgb="FF92D050"/>
        <color rgb="FFFFA709"/>
        <color rgb="FFFF0000"/>
      </colorScale>
    </cfRule>
  </conditionalFormatting>
  <conditionalFormatting sqref="CB10">
    <cfRule type="colorScale" priority="1538">
      <colorScale>
        <cfvo type="num" val="0"/>
        <cfvo type="num" val="0.5"/>
        <cfvo type="num" val="1"/>
        <color rgb="FF92D050"/>
        <color rgb="FFFFA709"/>
        <color rgb="FFFF0000"/>
      </colorScale>
    </cfRule>
  </conditionalFormatting>
  <conditionalFormatting sqref="CD10">
    <cfRule type="colorScale" priority="1537">
      <colorScale>
        <cfvo type="num" val="0"/>
        <cfvo type="num" val="0.5"/>
        <cfvo type="num" val="1"/>
        <color rgb="FF92D050"/>
        <color rgb="FFFFA709"/>
        <color rgb="FFFF0000"/>
      </colorScale>
    </cfRule>
  </conditionalFormatting>
  <conditionalFormatting sqref="BZ16 CC16 CE16">
    <cfRule type="colorScale" priority="1536">
      <colorScale>
        <cfvo type="num" val="0"/>
        <cfvo type="num" val="0.5"/>
        <cfvo type="num" val="1"/>
        <color rgb="FF92D050"/>
        <color rgb="FFFFA709"/>
        <color rgb="FFFF0000"/>
      </colorScale>
    </cfRule>
  </conditionalFormatting>
  <conditionalFormatting sqref="CA16">
    <cfRule type="colorScale" priority="1535">
      <colorScale>
        <cfvo type="num" val="0"/>
        <cfvo type="num" val="0.5"/>
        <cfvo type="num" val="1"/>
        <color rgb="FF92D050"/>
        <color rgb="FFFFA709"/>
        <color rgb="FFFF0000"/>
      </colorScale>
    </cfRule>
  </conditionalFormatting>
  <conditionalFormatting sqref="CB16">
    <cfRule type="colorScale" priority="1534">
      <colorScale>
        <cfvo type="num" val="0"/>
        <cfvo type="num" val="0.5"/>
        <cfvo type="num" val="1"/>
        <color rgb="FF92D050"/>
        <color rgb="FFFFA709"/>
        <color rgb="FFFF0000"/>
      </colorScale>
    </cfRule>
  </conditionalFormatting>
  <conditionalFormatting sqref="CD16">
    <cfRule type="colorScale" priority="1533">
      <colorScale>
        <cfvo type="num" val="0"/>
        <cfvo type="num" val="0.5"/>
        <cfvo type="num" val="1"/>
        <color rgb="FF92D050"/>
        <color rgb="FFFFA709"/>
        <color rgb="FFFF0000"/>
      </colorScale>
    </cfRule>
  </conditionalFormatting>
  <conditionalFormatting sqref="BZ19 CC19 CE19">
    <cfRule type="colorScale" priority="1532">
      <colorScale>
        <cfvo type="num" val="0"/>
        <cfvo type="num" val="0.5"/>
        <cfvo type="num" val="1"/>
        <color rgb="FF92D050"/>
        <color rgb="FFFFA709"/>
        <color rgb="FFFF0000"/>
      </colorScale>
    </cfRule>
  </conditionalFormatting>
  <conditionalFormatting sqref="CA19">
    <cfRule type="colorScale" priority="1531">
      <colorScale>
        <cfvo type="num" val="0"/>
        <cfvo type="num" val="0.5"/>
        <cfvo type="num" val="1"/>
        <color rgb="FF92D050"/>
        <color rgb="FFFFA709"/>
        <color rgb="FFFF0000"/>
      </colorScale>
    </cfRule>
  </conditionalFormatting>
  <conditionalFormatting sqref="CB19">
    <cfRule type="colorScale" priority="1530">
      <colorScale>
        <cfvo type="num" val="0"/>
        <cfvo type="num" val="0.5"/>
        <cfvo type="num" val="1"/>
        <color rgb="FF92D050"/>
        <color rgb="FFFFA709"/>
        <color rgb="FFFF0000"/>
      </colorScale>
    </cfRule>
  </conditionalFormatting>
  <conditionalFormatting sqref="CD19">
    <cfRule type="colorScale" priority="1529">
      <colorScale>
        <cfvo type="num" val="0"/>
        <cfvo type="num" val="0.5"/>
        <cfvo type="num" val="1"/>
        <color rgb="FF92D050"/>
        <color rgb="FFFFA709"/>
        <color rgb="FFFF0000"/>
      </colorScale>
    </cfRule>
  </conditionalFormatting>
  <conditionalFormatting sqref="BZ22">
    <cfRule type="colorScale" priority="1528">
      <colorScale>
        <cfvo type="num" val="0"/>
        <cfvo type="num" val="0.5"/>
        <cfvo type="num" val="1"/>
        <color rgb="FF92D050"/>
        <color rgb="FFFFA709"/>
        <color rgb="FFFF0000"/>
      </colorScale>
    </cfRule>
  </conditionalFormatting>
  <conditionalFormatting sqref="CA22">
    <cfRule type="colorScale" priority="1527">
      <colorScale>
        <cfvo type="num" val="0"/>
        <cfvo type="num" val="0.5"/>
        <cfvo type="num" val="1"/>
        <color rgb="FF92D050"/>
        <color rgb="FFFFA709"/>
        <color rgb="FFFF0000"/>
      </colorScale>
    </cfRule>
  </conditionalFormatting>
  <conditionalFormatting sqref="CB22">
    <cfRule type="colorScale" priority="1526">
      <colorScale>
        <cfvo type="num" val="0"/>
        <cfvo type="num" val="0.5"/>
        <cfvo type="num" val="1"/>
        <color rgb="FF92D050"/>
        <color rgb="FFFFA709"/>
        <color rgb="FFFF0000"/>
      </colorScale>
    </cfRule>
  </conditionalFormatting>
  <conditionalFormatting sqref="CC22">
    <cfRule type="colorScale" priority="1525">
      <colorScale>
        <cfvo type="num" val="0"/>
        <cfvo type="num" val="0.5"/>
        <cfvo type="num" val="1"/>
        <color rgb="FF92D050"/>
        <color rgb="FFFFA709"/>
        <color rgb="FFFF0000"/>
      </colorScale>
    </cfRule>
  </conditionalFormatting>
  <conditionalFormatting sqref="CD22">
    <cfRule type="colorScale" priority="1524">
      <colorScale>
        <cfvo type="num" val="0"/>
        <cfvo type="num" val="0.5"/>
        <cfvo type="num" val="1"/>
        <color rgb="FF92D050"/>
        <color rgb="FFFFA709"/>
        <color rgb="FFFF0000"/>
      </colorScale>
    </cfRule>
  </conditionalFormatting>
  <conditionalFormatting sqref="CE22">
    <cfRule type="colorScale" priority="1523">
      <colorScale>
        <cfvo type="num" val="0"/>
        <cfvo type="num" val="0.5"/>
        <cfvo type="num" val="1"/>
        <color rgb="FF92D050"/>
        <color rgb="FFFFA709"/>
        <color rgb="FFFF0000"/>
      </colorScale>
    </cfRule>
  </conditionalFormatting>
  <conditionalFormatting sqref="BZ1:CD1">
    <cfRule type="timePeriod" dxfId="44" priority="1522" timePeriod="today">
      <formula>FLOOR(BZ1,1)=TODAY()</formula>
    </cfRule>
  </conditionalFormatting>
  <conditionalFormatting sqref="CF4 CI4 CK4">
    <cfRule type="colorScale" priority="1521">
      <colorScale>
        <cfvo type="num" val="0"/>
        <cfvo type="num" val="0.5"/>
        <cfvo type="num" val="1"/>
        <color rgb="FF92D050"/>
        <color rgb="FFFFA709"/>
        <color rgb="FFFF0000"/>
      </colorScale>
    </cfRule>
  </conditionalFormatting>
  <conditionalFormatting sqref="CG4">
    <cfRule type="colorScale" priority="1520">
      <colorScale>
        <cfvo type="num" val="0"/>
        <cfvo type="num" val="0.5"/>
        <cfvo type="num" val="1"/>
        <color rgb="FF92D050"/>
        <color rgb="FFFFA709"/>
        <color rgb="FFFF0000"/>
      </colorScale>
    </cfRule>
  </conditionalFormatting>
  <conditionalFormatting sqref="CH4">
    <cfRule type="colorScale" priority="1519">
      <colorScale>
        <cfvo type="num" val="0"/>
        <cfvo type="num" val="0.5"/>
        <cfvo type="num" val="1"/>
        <color rgb="FF92D050"/>
        <color rgb="FFFFA709"/>
        <color rgb="FFFF0000"/>
      </colorScale>
    </cfRule>
  </conditionalFormatting>
  <conditionalFormatting sqref="CJ4">
    <cfRule type="colorScale" priority="1518">
      <colorScale>
        <cfvo type="num" val="0"/>
        <cfvo type="num" val="0.5"/>
        <cfvo type="num" val="1"/>
        <color rgb="FF92D050"/>
        <color rgb="FFFFA709"/>
        <color rgb="FFFF0000"/>
      </colorScale>
    </cfRule>
  </conditionalFormatting>
  <conditionalFormatting sqref="CF7 CI7 CK7">
    <cfRule type="colorScale" priority="1517">
      <colorScale>
        <cfvo type="num" val="0"/>
        <cfvo type="num" val="0.5"/>
        <cfvo type="num" val="1"/>
        <color rgb="FF92D050"/>
        <color rgb="FFFFA709"/>
        <color rgb="FFFF0000"/>
      </colorScale>
    </cfRule>
  </conditionalFormatting>
  <conditionalFormatting sqref="CG7">
    <cfRule type="colorScale" priority="1516">
      <colorScale>
        <cfvo type="num" val="0"/>
        <cfvo type="num" val="0.5"/>
        <cfvo type="num" val="1"/>
        <color rgb="FF92D050"/>
        <color rgb="FFFFA709"/>
        <color rgb="FFFF0000"/>
      </colorScale>
    </cfRule>
  </conditionalFormatting>
  <conditionalFormatting sqref="CH7">
    <cfRule type="colorScale" priority="1515">
      <colorScale>
        <cfvo type="num" val="0"/>
        <cfvo type="num" val="0.5"/>
        <cfvo type="num" val="1"/>
        <color rgb="FF92D050"/>
        <color rgb="FFFFA709"/>
        <color rgb="FFFF0000"/>
      </colorScale>
    </cfRule>
  </conditionalFormatting>
  <conditionalFormatting sqref="CJ7">
    <cfRule type="colorScale" priority="1514">
      <colorScale>
        <cfvo type="num" val="0"/>
        <cfvo type="num" val="0.5"/>
        <cfvo type="num" val="1"/>
        <color rgb="FF92D050"/>
        <color rgb="FFFFA709"/>
        <color rgb="FFFF0000"/>
      </colorScale>
    </cfRule>
  </conditionalFormatting>
  <conditionalFormatting sqref="CF10 CI10 CK10">
    <cfRule type="colorScale" priority="1513">
      <colorScale>
        <cfvo type="num" val="0"/>
        <cfvo type="num" val="0.5"/>
        <cfvo type="num" val="1"/>
        <color rgb="FF92D050"/>
        <color rgb="FFFFA709"/>
        <color rgb="FFFF0000"/>
      </colorScale>
    </cfRule>
  </conditionalFormatting>
  <conditionalFormatting sqref="CG10">
    <cfRule type="colorScale" priority="1512">
      <colorScale>
        <cfvo type="num" val="0"/>
        <cfvo type="num" val="0.5"/>
        <cfvo type="num" val="1"/>
        <color rgb="FF92D050"/>
        <color rgb="FFFFA709"/>
        <color rgb="FFFF0000"/>
      </colorScale>
    </cfRule>
  </conditionalFormatting>
  <conditionalFormatting sqref="CH10">
    <cfRule type="colorScale" priority="1511">
      <colorScale>
        <cfvo type="num" val="0"/>
        <cfvo type="num" val="0.5"/>
        <cfvo type="num" val="1"/>
        <color rgb="FF92D050"/>
        <color rgb="FFFFA709"/>
        <color rgb="FFFF0000"/>
      </colorScale>
    </cfRule>
  </conditionalFormatting>
  <conditionalFormatting sqref="CJ10">
    <cfRule type="colorScale" priority="1510">
      <colorScale>
        <cfvo type="num" val="0"/>
        <cfvo type="num" val="0.5"/>
        <cfvo type="num" val="1"/>
        <color rgb="FF92D050"/>
        <color rgb="FFFFA709"/>
        <color rgb="FFFF0000"/>
      </colorScale>
    </cfRule>
  </conditionalFormatting>
  <conditionalFormatting sqref="CF16 CI16 CK16">
    <cfRule type="colorScale" priority="1509">
      <colorScale>
        <cfvo type="num" val="0"/>
        <cfvo type="num" val="0.5"/>
        <cfvo type="num" val="1"/>
        <color rgb="FF92D050"/>
        <color rgb="FFFFA709"/>
        <color rgb="FFFF0000"/>
      </colorScale>
    </cfRule>
  </conditionalFormatting>
  <conditionalFormatting sqref="CG16">
    <cfRule type="colorScale" priority="1508">
      <colorScale>
        <cfvo type="num" val="0"/>
        <cfvo type="num" val="0.5"/>
        <cfvo type="num" val="1"/>
        <color rgb="FF92D050"/>
        <color rgb="FFFFA709"/>
        <color rgb="FFFF0000"/>
      </colorScale>
    </cfRule>
  </conditionalFormatting>
  <conditionalFormatting sqref="CH16">
    <cfRule type="colorScale" priority="1507">
      <colorScale>
        <cfvo type="num" val="0"/>
        <cfvo type="num" val="0.5"/>
        <cfvo type="num" val="1"/>
        <color rgb="FF92D050"/>
        <color rgb="FFFFA709"/>
        <color rgb="FFFF0000"/>
      </colorScale>
    </cfRule>
  </conditionalFormatting>
  <conditionalFormatting sqref="CJ16">
    <cfRule type="colorScale" priority="1506">
      <colorScale>
        <cfvo type="num" val="0"/>
        <cfvo type="num" val="0.5"/>
        <cfvo type="num" val="1"/>
        <color rgb="FF92D050"/>
        <color rgb="FFFFA709"/>
        <color rgb="FFFF0000"/>
      </colorScale>
    </cfRule>
  </conditionalFormatting>
  <conditionalFormatting sqref="CF19 CI19 CK19">
    <cfRule type="colorScale" priority="1505">
      <colorScale>
        <cfvo type="num" val="0"/>
        <cfvo type="num" val="0.5"/>
        <cfvo type="num" val="1"/>
        <color rgb="FF92D050"/>
        <color rgb="FFFFA709"/>
        <color rgb="FFFF0000"/>
      </colorScale>
    </cfRule>
  </conditionalFormatting>
  <conditionalFormatting sqref="CG19">
    <cfRule type="colorScale" priority="1504">
      <colorScale>
        <cfvo type="num" val="0"/>
        <cfvo type="num" val="0.5"/>
        <cfvo type="num" val="1"/>
        <color rgb="FF92D050"/>
        <color rgb="FFFFA709"/>
        <color rgb="FFFF0000"/>
      </colorScale>
    </cfRule>
  </conditionalFormatting>
  <conditionalFormatting sqref="CH19">
    <cfRule type="colorScale" priority="1503">
      <colorScale>
        <cfvo type="num" val="0"/>
        <cfvo type="num" val="0.5"/>
        <cfvo type="num" val="1"/>
        <color rgb="FF92D050"/>
        <color rgb="FFFFA709"/>
        <color rgb="FFFF0000"/>
      </colorScale>
    </cfRule>
  </conditionalFormatting>
  <conditionalFormatting sqref="CJ19">
    <cfRule type="colorScale" priority="1502">
      <colorScale>
        <cfvo type="num" val="0"/>
        <cfvo type="num" val="0.5"/>
        <cfvo type="num" val="1"/>
        <color rgb="FF92D050"/>
        <color rgb="FFFFA709"/>
        <color rgb="FFFF0000"/>
      </colorScale>
    </cfRule>
  </conditionalFormatting>
  <conditionalFormatting sqref="CF22">
    <cfRule type="colorScale" priority="1501">
      <colorScale>
        <cfvo type="num" val="0"/>
        <cfvo type="num" val="0.5"/>
        <cfvo type="num" val="1"/>
        <color rgb="FF92D050"/>
        <color rgb="FFFFA709"/>
        <color rgb="FFFF0000"/>
      </colorScale>
    </cfRule>
  </conditionalFormatting>
  <conditionalFormatting sqref="CG22">
    <cfRule type="colorScale" priority="1500">
      <colorScale>
        <cfvo type="num" val="0"/>
        <cfvo type="num" val="0.5"/>
        <cfvo type="num" val="1"/>
        <color rgb="FF92D050"/>
        <color rgb="FFFFA709"/>
        <color rgb="FFFF0000"/>
      </colorScale>
    </cfRule>
  </conditionalFormatting>
  <conditionalFormatting sqref="CH22">
    <cfRule type="colorScale" priority="1499">
      <colorScale>
        <cfvo type="num" val="0"/>
        <cfvo type="num" val="0.5"/>
        <cfvo type="num" val="1"/>
        <color rgb="FF92D050"/>
        <color rgb="FFFFA709"/>
        <color rgb="FFFF0000"/>
      </colorScale>
    </cfRule>
  </conditionalFormatting>
  <conditionalFormatting sqref="CI22">
    <cfRule type="colorScale" priority="1498">
      <colorScale>
        <cfvo type="num" val="0"/>
        <cfvo type="num" val="0.5"/>
        <cfvo type="num" val="1"/>
        <color rgb="FF92D050"/>
        <color rgb="FFFFA709"/>
        <color rgb="FFFF0000"/>
      </colorScale>
    </cfRule>
  </conditionalFormatting>
  <conditionalFormatting sqref="CJ22">
    <cfRule type="colorScale" priority="1497">
      <colorScale>
        <cfvo type="num" val="0"/>
        <cfvo type="num" val="0.5"/>
        <cfvo type="num" val="1"/>
        <color rgb="FF92D050"/>
        <color rgb="FFFFA709"/>
        <color rgb="FFFF0000"/>
      </colorScale>
    </cfRule>
  </conditionalFormatting>
  <conditionalFormatting sqref="CK22">
    <cfRule type="colorScale" priority="1496">
      <colorScale>
        <cfvo type="num" val="0"/>
        <cfvo type="num" val="0.5"/>
        <cfvo type="num" val="1"/>
        <color rgb="FF92D050"/>
        <color rgb="FFFFA709"/>
        <color rgb="FFFF0000"/>
      </colorScale>
    </cfRule>
  </conditionalFormatting>
  <conditionalFormatting sqref="CF1:CJ1">
    <cfRule type="timePeriod" dxfId="43" priority="1495" timePeriod="today">
      <formula>FLOOR(CF1,1)=TODAY()</formula>
    </cfRule>
  </conditionalFormatting>
  <conditionalFormatting sqref="CO4 CL4 CQ4">
    <cfRule type="colorScale" priority="1494">
      <colorScale>
        <cfvo type="num" val="0"/>
        <cfvo type="num" val="0.5"/>
        <cfvo type="num" val="1"/>
        <color rgb="FF92D050"/>
        <color rgb="FFFFA709"/>
        <color rgb="FFFF0000"/>
      </colorScale>
    </cfRule>
  </conditionalFormatting>
  <conditionalFormatting sqref="CM4">
    <cfRule type="colorScale" priority="1493">
      <colorScale>
        <cfvo type="num" val="0"/>
        <cfvo type="num" val="0.5"/>
        <cfvo type="num" val="1"/>
        <color rgb="FF92D050"/>
        <color rgb="FFFFA709"/>
        <color rgb="FFFF0000"/>
      </colorScale>
    </cfRule>
  </conditionalFormatting>
  <conditionalFormatting sqref="CN4">
    <cfRule type="colorScale" priority="1492">
      <colorScale>
        <cfvo type="num" val="0"/>
        <cfvo type="num" val="0.5"/>
        <cfvo type="num" val="1"/>
        <color rgb="FF92D050"/>
        <color rgb="FFFFA709"/>
        <color rgb="FFFF0000"/>
      </colorScale>
    </cfRule>
  </conditionalFormatting>
  <conditionalFormatting sqref="CP4">
    <cfRule type="colorScale" priority="1491">
      <colorScale>
        <cfvo type="num" val="0"/>
        <cfvo type="num" val="0.5"/>
        <cfvo type="num" val="1"/>
        <color rgb="FF92D050"/>
        <color rgb="FFFFA709"/>
        <color rgb="FFFF0000"/>
      </colorScale>
    </cfRule>
  </conditionalFormatting>
  <conditionalFormatting sqref="CL7 CO7 CQ7">
    <cfRule type="colorScale" priority="1490">
      <colorScale>
        <cfvo type="num" val="0"/>
        <cfvo type="num" val="0.5"/>
        <cfvo type="num" val="1"/>
        <color rgb="FF92D050"/>
        <color rgb="FFFFA709"/>
        <color rgb="FFFF0000"/>
      </colorScale>
    </cfRule>
  </conditionalFormatting>
  <conditionalFormatting sqref="CM7">
    <cfRule type="colorScale" priority="1489">
      <colorScale>
        <cfvo type="num" val="0"/>
        <cfvo type="num" val="0.5"/>
        <cfvo type="num" val="1"/>
        <color rgb="FF92D050"/>
        <color rgb="FFFFA709"/>
        <color rgb="FFFF0000"/>
      </colorScale>
    </cfRule>
  </conditionalFormatting>
  <conditionalFormatting sqref="CN7">
    <cfRule type="colorScale" priority="1488">
      <colorScale>
        <cfvo type="num" val="0"/>
        <cfvo type="num" val="0.5"/>
        <cfvo type="num" val="1"/>
        <color rgb="FF92D050"/>
        <color rgb="FFFFA709"/>
        <color rgb="FFFF0000"/>
      </colorScale>
    </cfRule>
  </conditionalFormatting>
  <conditionalFormatting sqref="CP7">
    <cfRule type="colorScale" priority="1487">
      <colorScale>
        <cfvo type="num" val="0"/>
        <cfvo type="num" val="0.5"/>
        <cfvo type="num" val="1"/>
        <color rgb="FF92D050"/>
        <color rgb="FFFFA709"/>
        <color rgb="FFFF0000"/>
      </colorScale>
    </cfRule>
  </conditionalFormatting>
  <conditionalFormatting sqref="CL10 CO10 CQ10">
    <cfRule type="colorScale" priority="1486">
      <colorScale>
        <cfvo type="num" val="0"/>
        <cfvo type="num" val="0.5"/>
        <cfvo type="num" val="1"/>
        <color rgb="FF92D050"/>
        <color rgb="FFFFA709"/>
        <color rgb="FFFF0000"/>
      </colorScale>
    </cfRule>
  </conditionalFormatting>
  <conditionalFormatting sqref="CM10">
    <cfRule type="colorScale" priority="1485">
      <colorScale>
        <cfvo type="num" val="0"/>
        <cfvo type="num" val="0.5"/>
        <cfvo type="num" val="1"/>
        <color rgb="FF92D050"/>
        <color rgb="FFFFA709"/>
        <color rgb="FFFF0000"/>
      </colorScale>
    </cfRule>
  </conditionalFormatting>
  <conditionalFormatting sqref="CN10">
    <cfRule type="colorScale" priority="1484">
      <colorScale>
        <cfvo type="num" val="0"/>
        <cfvo type="num" val="0.5"/>
        <cfvo type="num" val="1"/>
        <color rgb="FF92D050"/>
        <color rgb="FFFFA709"/>
        <color rgb="FFFF0000"/>
      </colorScale>
    </cfRule>
  </conditionalFormatting>
  <conditionalFormatting sqref="CP10">
    <cfRule type="colorScale" priority="1483">
      <colorScale>
        <cfvo type="num" val="0"/>
        <cfvo type="num" val="0.5"/>
        <cfvo type="num" val="1"/>
        <color rgb="FF92D050"/>
        <color rgb="FFFFA709"/>
        <color rgb="FFFF0000"/>
      </colorScale>
    </cfRule>
  </conditionalFormatting>
  <conditionalFormatting sqref="CL16 CO16 CQ16">
    <cfRule type="colorScale" priority="1482">
      <colorScale>
        <cfvo type="num" val="0"/>
        <cfvo type="num" val="0.5"/>
        <cfvo type="num" val="1"/>
        <color rgb="FF92D050"/>
        <color rgb="FFFFA709"/>
        <color rgb="FFFF0000"/>
      </colorScale>
    </cfRule>
  </conditionalFormatting>
  <conditionalFormatting sqref="CM16">
    <cfRule type="colorScale" priority="1481">
      <colorScale>
        <cfvo type="num" val="0"/>
        <cfvo type="num" val="0.5"/>
        <cfvo type="num" val="1"/>
        <color rgb="FF92D050"/>
        <color rgb="FFFFA709"/>
        <color rgb="FFFF0000"/>
      </colorScale>
    </cfRule>
  </conditionalFormatting>
  <conditionalFormatting sqref="CN16">
    <cfRule type="colorScale" priority="1480">
      <colorScale>
        <cfvo type="num" val="0"/>
        <cfvo type="num" val="0.5"/>
        <cfvo type="num" val="1"/>
        <color rgb="FF92D050"/>
        <color rgb="FFFFA709"/>
        <color rgb="FFFF0000"/>
      </colorScale>
    </cfRule>
  </conditionalFormatting>
  <conditionalFormatting sqref="CP16">
    <cfRule type="colorScale" priority="1479">
      <colorScale>
        <cfvo type="num" val="0"/>
        <cfvo type="num" val="0.5"/>
        <cfvo type="num" val="1"/>
        <color rgb="FF92D050"/>
        <color rgb="FFFFA709"/>
        <color rgb="FFFF0000"/>
      </colorScale>
    </cfRule>
  </conditionalFormatting>
  <conditionalFormatting sqref="CL19 CO19 CQ19">
    <cfRule type="colorScale" priority="1478">
      <colorScale>
        <cfvo type="num" val="0"/>
        <cfvo type="num" val="0.5"/>
        <cfvo type="num" val="1"/>
        <color rgb="FF92D050"/>
        <color rgb="FFFFA709"/>
        <color rgb="FFFF0000"/>
      </colorScale>
    </cfRule>
  </conditionalFormatting>
  <conditionalFormatting sqref="CM19">
    <cfRule type="colorScale" priority="1477">
      <colorScale>
        <cfvo type="num" val="0"/>
        <cfvo type="num" val="0.5"/>
        <cfvo type="num" val="1"/>
        <color rgb="FF92D050"/>
        <color rgb="FFFFA709"/>
        <color rgb="FFFF0000"/>
      </colorScale>
    </cfRule>
  </conditionalFormatting>
  <conditionalFormatting sqref="CN19">
    <cfRule type="colorScale" priority="1476">
      <colorScale>
        <cfvo type="num" val="0"/>
        <cfvo type="num" val="0.5"/>
        <cfvo type="num" val="1"/>
        <color rgb="FF92D050"/>
        <color rgb="FFFFA709"/>
        <color rgb="FFFF0000"/>
      </colorScale>
    </cfRule>
  </conditionalFormatting>
  <conditionalFormatting sqref="CP19">
    <cfRule type="colorScale" priority="1475">
      <colorScale>
        <cfvo type="num" val="0"/>
        <cfvo type="num" val="0.5"/>
        <cfvo type="num" val="1"/>
        <color rgb="FF92D050"/>
        <color rgb="FFFFA709"/>
        <color rgb="FFFF0000"/>
      </colorScale>
    </cfRule>
  </conditionalFormatting>
  <conditionalFormatting sqref="CL22">
    <cfRule type="colorScale" priority="1474">
      <colorScale>
        <cfvo type="num" val="0"/>
        <cfvo type="num" val="0.5"/>
        <cfvo type="num" val="1"/>
        <color rgb="FF92D050"/>
        <color rgb="FFFFA709"/>
        <color rgb="FFFF0000"/>
      </colorScale>
    </cfRule>
  </conditionalFormatting>
  <conditionalFormatting sqref="CM22">
    <cfRule type="colorScale" priority="1473">
      <colorScale>
        <cfvo type="num" val="0"/>
        <cfvo type="num" val="0.5"/>
        <cfvo type="num" val="1"/>
        <color rgb="FF92D050"/>
        <color rgb="FFFFA709"/>
        <color rgb="FFFF0000"/>
      </colorScale>
    </cfRule>
  </conditionalFormatting>
  <conditionalFormatting sqref="CN22">
    <cfRule type="colorScale" priority="1472">
      <colorScale>
        <cfvo type="num" val="0"/>
        <cfvo type="num" val="0.5"/>
        <cfvo type="num" val="1"/>
        <color rgb="FF92D050"/>
        <color rgb="FFFFA709"/>
        <color rgb="FFFF0000"/>
      </colorScale>
    </cfRule>
  </conditionalFormatting>
  <conditionalFormatting sqref="CO22">
    <cfRule type="colorScale" priority="1471">
      <colorScale>
        <cfvo type="num" val="0"/>
        <cfvo type="num" val="0.5"/>
        <cfvo type="num" val="1"/>
        <color rgb="FF92D050"/>
        <color rgb="FFFFA709"/>
        <color rgb="FFFF0000"/>
      </colorScale>
    </cfRule>
  </conditionalFormatting>
  <conditionalFormatting sqref="CP22">
    <cfRule type="colorScale" priority="1470">
      <colorScale>
        <cfvo type="num" val="0"/>
        <cfvo type="num" val="0.5"/>
        <cfvo type="num" val="1"/>
        <color rgb="FF92D050"/>
        <color rgb="FFFFA709"/>
        <color rgb="FFFF0000"/>
      </colorScale>
    </cfRule>
  </conditionalFormatting>
  <conditionalFormatting sqref="CQ22">
    <cfRule type="colorScale" priority="1469">
      <colorScale>
        <cfvo type="num" val="0"/>
        <cfvo type="num" val="0.5"/>
        <cfvo type="num" val="1"/>
        <color rgb="FF92D050"/>
        <color rgb="FFFFA709"/>
        <color rgb="FFFF0000"/>
      </colorScale>
    </cfRule>
  </conditionalFormatting>
  <conditionalFormatting sqref="CL1:CP1">
    <cfRule type="timePeriod" dxfId="42" priority="1468" timePeriod="today">
      <formula>FLOOR(CL1,1)=TODAY()</formula>
    </cfRule>
  </conditionalFormatting>
  <conditionalFormatting sqref="CR4 CU4 CW4">
    <cfRule type="colorScale" priority="1467">
      <colorScale>
        <cfvo type="num" val="0"/>
        <cfvo type="num" val="0.5"/>
        <cfvo type="num" val="1"/>
        <color rgb="FF92D050"/>
        <color rgb="FFFFA709"/>
        <color rgb="FFFF0000"/>
      </colorScale>
    </cfRule>
  </conditionalFormatting>
  <conditionalFormatting sqref="CS4">
    <cfRule type="colorScale" priority="1466">
      <colorScale>
        <cfvo type="num" val="0"/>
        <cfvo type="num" val="0.5"/>
        <cfvo type="num" val="1"/>
        <color rgb="FF92D050"/>
        <color rgb="FFFFA709"/>
        <color rgb="FFFF0000"/>
      </colorScale>
    </cfRule>
  </conditionalFormatting>
  <conditionalFormatting sqref="CT4">
    <cfRule type="colorScale" priority="1465">
      <colorScale>
        <cfvo type="num" val="0"/>
        <cfvo type="num" val="0.5"/>
        <cfvo type="num" val="1"/>
        <color rgb="FF92D050"/>
        <color rgb="FFFFA709"/>
        <color rgb="FFFF0000"/>
      </colorScale>
    </cfRule>
  </conditionalFormatting>
  <conditionalFormatting sqref="CV4">
    <cfRule type="colorScale" priority="1464">
      <colorScale>
        <cfvo type="num" val="0"/>
        <cfvo type="num" val="0.5"/>
        <cfvo type="num" val="1"/>
        <color rgb="FF92D050"/>
        <color rgb="FFFFA709"/>
        <color rgb="FFFF0000"/>
      </colorScale>
    </cfRule>
  </conditionalFormatting>
  <conditionalFormatting sqref="CR7 CU7 CW7">
    <cfRule type="colorScale" priority="1463">
      <colorScale>
        <cfvo type="num" val="0"/>
        <cfvo type="num" val="0.5"/>
        <cfvo type="num" val="1"/>
        <color rgb="FF92D050"/>
        <color rgb="FFFFA709"/>
        <color rgb="FFFF0000"/>
      </colorScale>
    </cfRule>
  </conditionalFormatting>
  <conditionalFormatting sqref="CS7">
    <cfRule type="colorScale" priority="1462">
      <colorScale>
        <cfvo type="num" val="0"/>
        <cfvo type="num" val="0.5"/>
        <cfvo type="num" val="1"/>
        <color rgb="FF92D050"/>
        <color rgb="FFFFA709"/>
        <color rgb="FFFF0000"/>
      </colorScale>
    </cfRule>
  </conditionalFormatting>
  <conditionalFormatting sqref="CT7">
    <cfRule type="colorScale" priority="1461">
      <colorScale>
        <cfvo type="num" val="0"/>
        <cfvo type="num" val="0.5"/>
        <cfvo type="num" val="1"/>
        <color rgb="FF92D050"/>
        <color rgb="FFFFA709"/>
        <color rgb="FFFF0000"/>
      </colorScale>
    </cfRule>
  </conditionalFormatting>
  <conditionalFormatting sqref="CV7">
    <cfRule type="colorScale" priority="1460">
      <colorScale>
        <cfvo type="num" val="0"/>
        <cfvo type="num" val="0.5"/>
        <cfvo type="num" val="1"/>
        <color rgb="FF92D050"/>
        <color rgb="FFFFA709"/>
        <color rgb="FFFF0000"/>
      </colorScale>
    </cfRule>
  </conditionalFormatting>
  <conditionalFormatting sqref="CR10 CU10 CW10">
    <cfRule type="colorScale" priority="1459">
      <colorScale>
        <cfvo type="num" val="0"/>
        <cfvo type="num" val="0.5"/>
        <cfvo type="num" val="1"/>
        <color rgb="FF92D050"/>
        <color rgb="FFFFA709"/>
        <color rgb="FFFF0000"/>
      </colorScale>
    </cfRule>
  </conditionalFormatting>
  <conditionalFormatting sqref="CS10">
    <cfRule type="colorScale" priority="1458">
      <colorScale>
        <cfvo type="num" val="0"/>
        <cfvo type="num" val="0.5"/>
        <cfvo type="num" val="1"/>
        <color rgb="FF92D050"/>
        <color rgb="FFFFA709"/>
        <color rgb="FFFF0000"/>
      </colorScale>
    </cfRule>
  </conditionalFormatting>
  <conditionalFormatting sqref="CT10">
    <cfRule type="colorScale" priority="1457">
      <colorScale>
        <cfvo type="num" val="0"/>
        <cfvo type="num" val="0.5"/>
        <cfvo type="num" val="1"/>
        <color rgb="FF92D050"/>
        <color rgb="FFFFA709"/>
        <color rgb="FFFF0000"/>
      </colorScale>
    </cfRule>
  </conditionalFormatting>
  <conditionalFormatting sqref="CV10">
    <cfRule type="colorScale" priority="1456">
      <colorScale>
        <cfvo type="num" val="0"/>
        <cfvo type="num" val="0.5"/>
        <cfvo type="num" val="1"/>
        <color rgb="FF92D050"/>
        <color rgb="FFFFA709"/>
        <color rgb="FFFF0000"/>
      </colorScale>
    </cfRule>
  </conditionalFormatting>
  <conditionalFormatting sqref="CU16 CR16 CW16">
    <cfRule type="colorScale" priority="1455">
      <colorScale>
        <cfvo type="num" val="0"/>
        <cfvo type="num" val="0.5"/>
        <cfvo type="num" val="1"/>
        <color rgb="FF92D050"/>
        <color rgb="FFFFA709"/>
        <color rgb="FFFF0000"/>
      </colorScale>
    </cfRule>
  </conditionalFormatting>
  <conditionalFormatting sqref="CS16">
    <cfRule type="colorScale" priority="1454">
      <colorScale>
        <cfvo type="num" val="0"/>
        <cfvo type="num" val="0.5"/>
        <cfvo type="num" val="1"/>
        <color rgb="FF92D050"/>
        <color rgb="FFFFA709"/>
        <color rgb="FFFF0000"/>
      </colorScale>
    </cfRule>
  </conditionalFormatting>
  <conditionalFormatting sqref="CT16">
    <cfRule type="colorScale" priority="1453">
      <colorScale>
        <cfvo type="num" val="0"/>
        <cfvo type="num" val="0.5"/>
        <cfvo type="num" val="1"/>
        <color rgb="FF92D050"/>
        <color rgb="FFFFA709"/>
        <color rgb="FFFF0000"/>
      </colorScale>
    </cfRule>
  </conditionalFormatting>
  <conditionalFormatting sqref="CV16">
    <cfRule type="colorScale" priority="1452">
      <colorScale>
        <cfvo type="num" val="0"/>
        <cfvo type="num" val="0.5"/>
        <cfvo type="num" val="1"/>
        <color rgb="FF92D050"/>
        <color rgb="FFFFA709"/>
        <color rgb="FFFF0000"/>
      </colorScale>
    </cfRule>
  </conditionalFormatting>
  <conditionalFormatting sqref="CU19 CR19 CW19">
    <cfRule type="colorScale" priority="1451">
      <colorScale>
        <cfvo type="num" val="0"/>
        <cfvo type="num" val="0.5"/>
        <cfvo type="num" val="1"/>
        <color rgb="FF92D050"/>
        <color rgb="FFFFA709"/>
        <color rgb="FFFF0000"/>
      </colorScale>
    </cfRule>
  </conditionalFormatting>
  <conditionalFormatting sqref="CS19">
    <cfRule type="colorScale" priority="1450">
      <colorScale>
        <cfvo type="num" val="0"/>
        <cfvo type="num" val="0.5"/>
        <cfvo type="num" val="1"/>
        <color rgb="FF92D050"/>
        <color rgb="FFFFA709"/>
        <color rgb="FFFF0000"/>
      </colorScale>
    </cfRule>
  </conditionalFormatting>
  <conditionalFormatting sqref="CT19">
    <cfRule type="colorScale" priority="1449">
      <colorScale>
        <cfvo type="num" val="0"/>
        <cfvo type="num" val="0.5"/>
        <cfvo type="num" val="1"/>
        <color rgb="FF92D050"/>
        <color rgb="FFFFA709"/>
        <color rgb="FFFF0000"/>
      </colorScale>
    </cfRule>
  </conditionalFormatting>
  <conditionalFormatting sqref="CV19">
    <cfRule type="colorScale" priority="1448">
      <colorScale>
        <cfvo type="num" val="0"/>
        <cfvo type="num" val="0.5"/>
        <cfvo type="num" val="1"/>
        <color rgb="FF92D050"/>
        <color rgb="FFFFA709"/>
        <color rgb="FFFF0000"/>
      </colorScale>
    </cfRule>
  </conditionalFormatting>
  <conditionalFormatting sqref="CR22">
    <cfRule type="colorScale" priority="1447">
      <colorScale>
        <cfvo type="num" val="0"/>
        <cfvo type="num" val="0.5"/>
        <cfvo type="num" val="1"/>
        <color rgb="FF92D050"/>
        <color rgb="FFFFA709"/>
        <color rgb="FFFF0000"/>
      </colorScale>
    </cfRule>
  </conditionalFormatting>
  <conditionalFormatting sqref="CS22">
    <cfRule type="colorScale" priority="1446">
      <colorScale>
        <cfvo type="num" val="0"/>
        <cfvo type="num" val="0.5"/>
        <cfvo type="num" val="1"/>
        <color rgb="FF92D050"/>
        <color rgb="FFFFA709"/>
        <color rgb="FFFF0000"/>
      </colorScale>
    </cfRule>
  </conditionalFormatting>
  <conditionalFormatting sqref="CT22">
    <cfRule type="colorScale" priority="1445">
      <colorScale>
        <cfvo type="num" val="0"/>
        <cfvo type="num" val="0.5"/>
        <cfvo type="num" val="1"/>
        <color rgb="FF92D050"/>
        <color rgb="FFFFA709"/>
        <color rgb="FFFF0000"/>
      </colorScale>
    </cfRule>
  </conditionalFormatting>
  <conditionalFormatting sqref="CU22">
    <cfRule type="colorScale" priority="1444">
      <colorScale>
        <cfvo type="num" val="0"/>
        <cfvo type="num" val="0.5"/>
        <cfvo type="num" val="1"/>
        <color rgb="FF92D050"/>
        <color rgb="FFFFA709"/>
        <color rgb="FFFF0000"/>
      </colorScale>
    </cfRule>
  </conditionalFormatting>
  <conditionalFormatting sqref="CV22">
    <cfRule type="colorScale" priority="1443">
      <colorScale>
        <cfvo type="num" val="0"/>
        <cfvo type="num" val="0.5"/>
        <cfvo type="num" val="1"/>
        <color rgb="FF92D050"/>
        <color rgb="FFFFA709"/>
        <color rgb="FFFF0000"/>
      </colorScale>
    </cfRule>
  </conditionalFormatting>
  <conditionalFormatting sqref="CW22">
    <cfRule type="colorScale" priority="1442">
      <colorScale>
        <cfvo type="num" val="0"/>
        <cfvo type="num" val="0.5"/>
        <cfvo type="num" val="1"/>
        <color rgb="FF92D050"/>
        <color rgb="FFFFA709"/>
        <color rgb="FFFF0000"/>
      </colorScale>
    </cfRule>
  </conditionalFormatting>
  <conditionalFormatting sqref="CR1:CV1">
    <cfRule type="timePeriod" dxfId="41" priority="1441" timePeriod="today">
      <formula>FLOOR(CR1,1)=TODAY()</formula>
    </cfRule>
  </conditionalFormatting>
  <conditionalFormatting sqref="CX4 DA4 DC4">
    <cfRule type="colorScale" priority="1440">
      <colorScale>
        <cfvo type="num" val="0"/>
        <cfvo type="num" val="0.5"/>
        <cfvo type="num" val="1"/>
        <color rgb="FF92D050"/>
        <color rgb="FFFFA709"/>
        <color rgb="FFFF0000"/>
      </colorScale>
    </cfRule>
  </conditionalFormatting>
  <conditionalFormatting sqref="CY4">
    <cfRule type="colorScale" priority="1439">
      <colorScale>
        <cfvo type="num" val="0"/>
        <cfvo type="num" val="0.5"/>
        <cfvo type="num" val="1"/>
        <color rgb="FF92D050"/>
        <color rgb="FFFFA709"/>
        <color rgb="FFFF0000"/>
      </colorScale>
    </cfRule>
  </conditionalFormatting>
  <conditionalFormatting sqref="CZ4">
    <cfRule type="colorScale" priority="1438">
      <colorScale>
        <cfvo type="num" val="0"/>
        <cfvo type="num" val="0.5"/>
        <cfvo type="num" val="1"/>
        <color rgb="FF92D050"/>
        <color rgb="FFFFA709"/>
        <color rgb="FFFF0000"/>
      </colorScale>
    </cfRule>
  </conditionalFormatting>
  <conditionalFormatting sqref="DB4">
    <cfRule type="colorScale" priority="1437">
      <colorScale>
        <cfvo type="num" val="0"/>
        <cfvo type="num" val="0.5"/>
        <cfvo type="num" val="1"/>
        <color rgb="FF92D050"/>
        <color rgb="FFFFA709"/>
        <color rgb="FFFF0000"/>
      </colorScale>
    </cfRule>
  </conditionalFormatting>
  <conditionalFormatting sqref="CX7 DA7 DC7">
    <cfRule type="colorScale" priority="1436">
      <colorScale>
        <cfvo type="num" val="0"/>
        <cfvo type="num" val="0.5"/>
        <cfvo type="num" val="1"/>
        <color rgb="FF92D050"/>
        <color rgb="FFFFA709"/>
        <color rgb="FFFF0000"/>
      </colorScale>
    </cfRule>
  </conditionalFormatting>
  <conditionalFormatting sqref="CY7">
    <cfRule type="colorScale" priority="1435">
      <colorScale>
        <cfvo type="num" val="0"/>
        <cfvo type="num" val="0.5"/>
        <cfvo type="num" val="1"/>
        <color rgb="FF92D050"/>
        <color rgb="FFFFA709"/>
        <color rgb="FFFF0000"/>
      </colorScale>
    </cfRule>
  </conditionalFormatting>
  <conditionalFormatting sqref="CZ7">
    <cfRule type="colorScale" priority="1434">
      <colorScale>
        <cfvo type="num" val="0"/>
        <cfvo type="num" val="0.5"/>
        <cfvo type="num" val="1"/>
        <color rgb="FF92D050"/>
        <color rgb="FFFFA709"/>
        <color rgb="FFFF0000"/>
      </colorScale>
    </cfRule>
  </conditionalFormatting>
  <conditionalFormatting sqref="DB7">
    <cfRule type="colorScale" priority="1433">
      <colorScale>
        <cfvo type="num" val="0"/>
        <cfvo type="num" val="0.5"/>
        <cfvo type="num" val="1"/>
        <color rgb="FF92D050"/>
        <color rgb="FFFFA709"/>
        <color rgb="FFFF0000"/>
      </colorScale>
    </cfRule>
  </conditionalFormatting>
  <conditionalFormatting sqref="CX10 DA10 DC10">
    <cfRule type="colorScale" priority="1432">
      <colorScale>
        <cfvo type="num" val="0"/>
        <cfvo type="num" val="0.5"/>
        <cfvo type="num" val="1"/>
        <color rgb="FF92D050"/>
        <color rgb="FFFFA709"/>
        <color rgb="FFFF0000"/>
      </colorScale>
    </cfRule>
  </conditionalFormatting>
  <conditionalFormatting sqref="CY10">
    <cfRule type="colorScale" priority="1431">
      <colorScale>
        <cfvo type="num" val="0"/>
        <cfvo type="num" val="0.5"/>
        <cfvo type="num" val="1"/>
        <color rgb="FF92D050"/>
        <color rgb="FFFFA709"/>
        <color rgb="FFFF0000"/>
      </colorScale>
    </cfRule>
  </conditionalFormatting>
  <conditionalFormatting sqref="CZ10">
    <cfRule type="colorScale" priority="1430">
      <colorScale>
        <cfvo type="num" val="0"/>
        <cfvo type="num" val="0.5"/>
        <cfvo type="num" val="1"/>
        <color rgb="FF92D050"/>
        <color rgb="FFFFA709"/>
        <color rgb="FFFF0000"/>
      </colorScale>
    </cfRule>
  </conditionalFormatting>
  <conditionalFormatting sqref="DB10">
    <cfRule type="colorScale" priority="1429">
      <colorScale>
        <cfvo type="num" val="0"/>
        <cfvo type="num" val="0.5"/>
        <cfvo type="num" val="1"/>
        <color rgb="FF92D050"/>
        <color rgb="FFFFA709"/>
        <color rgb="FFFF0000"/>
      </colorScale>
    </cfRule>
  </conditionalFormatting>
  <conditionalFormatting sqref="DA16 CX16 DC16">
    <cfRule type="colorScale" priority="1428">
      <colorScale>
        <cfvo type="num" val="0"/>
        <cfvo type="num" val="0.5"/>
        <cfvo type="num" val="1"/>
        <color rgb="FF92D050"/>
        <color rgb="FFFFA709"/>
        <color rgb="FFFF0000"/>
      </colorScale>
    </cfRule>
  </conditionalFormatting>
  <conditionalFormatting sqref="CY16">
    <cfRule type="colorScale" priority="1427">
      <colorScale>
        <cfvo type="num" val="0"/>
        <cfvo type="num" val="0.5"/>
        <cfvo type="num" val="1"/>
        <color rgb="FF92D050"/>
        <color rgb="FFFFA709"/>
        <color rgb="FFFF0000"/>
      </colorScale>
    </cfRule>
  </conditionalFormatting>
  <conditionalFormatting sqref="CZ16">
    <cfRule type="colorScale" priority="1426">
      <colorScale>
        <cfvo type="num" val="0"/>
        <cfvo type="num" val="0.5"/>
        <cfvo type="num" val="1"/>
        <color rgb="FF92D050"/>
        <color rgb="FFFFA709"/>
        <color rgb="FFFF0000"/>
      </colorScale>
    </cfRule>
  </conditionalFormatting>
  <conditionalFormatting sqref="DB16">
    <cfRule type="colorScale" priority="1425">
      <colorScale>
        <cfvo type="num" val="0"/>
        <cfvo type="num" val="0.5"/>
        <cfvo type="num" val="1"/>
        <color rgb="FF92D050"/>
        <color rgb="FFFFA709"/>
        <color rgb="FFFF0000"/>
      </colorScale>
    </cfRule>
  </conditionalFormatting>
  <conditionalFormatting sqref="DA19 CX19 DC19">
    <cfRule type="colorScale" priority="1424">
      <colorScale>
        <cfvo type="num" val="0"/>
        <cfvo type="num" val="0.5"/>
        <cfvo type="num" val="1"/>
        <color rgb="FF92D050"/>
        <color rgb="FFFFA709"/>
        <color rgb="FFFF0000"/>
      </colorScale>
    </cfRule>
  </conditionalFormatting>
  <conditionalFormatting sqref="CY19">
    <cfRule type="colorScale" priority="1423">
      <colorScale>
        <cfvo type="num" val="0"/>
        <cfvo type="num" val="0.5"/>
        <cfvo type="num" val="1"/>
        <color rgb="FF92D050"/>
        <color rgb="FFFFA709"/>
        <color rgb="FFFF0000"/>
      </colorScale>
    </cfRule>
  </conditionalFormatting>
  <conditionalFormatting sqref="CZ19">
    <cfRule type="colorScale" priority="1422">
      <colorScale>
        <cfvo type="num" val="0"/>
        <cfvo type="num" val="0.5"/>
        <cfvo type="num" val="1"/>
        <color rgb="FF92D050"/>
        <color rgb="FFFFA709"/>
        <color rgb="FFFF0000"/>
      </colorScale>
    </cfRule>
  </conditionalFormatting>
  <conditionalFormatting sqref="DB19">
    <cfRule type="colorScale" priority="1421">
      <colorScale>
        <cfvo type="num" val="0"/>
        <cfvo type="num" val="0.5"/>
        <cfvo type="num" val="1"/>
        <color rgb="FF92D050"/>
        <color rgb="FFFFA709"/>
        <color rgb="FFFF0000"/>
      </colorScale>
    </cfRule>
  </conditionalFormatting>
  <conditionalFormatting sqref="CX22">
    <cfRule type="colorScale" priority="1420">
      <colorScale>
        <cfvo type="num" val="0"/>
        <cfvo type="num" val="0.5"/>
        <cfvo type="num" val="1"/>
        <color rgb="FF92D050"/>
        <color rgb="FFFFA709"/>
        <color rgb="FFFF0000"/>
      </colorScale>
    </cfRule>
  </conditionalFormatting>
  <conditionalFormatting sqref="CY22">
    <cfRule type="colorScale" priority="1419">
      <colorScale>
        <cfvo type="num" val="0"/>
        <cfvo type="num" val="0.5"/>
        <cfvo type="num" val="1"/>
        <color rgb="FF92D050"/>
        <color rgb="FFFFA709"/>
        <color rgb="FFFF0000"/>
      </colorScale>
    </cfRule>
  </conditionalFormatting>
  <conditionalFormatting sqref="CZ22">
    <cfRule type="colorScale" priority="1418">
      <colorScale>
        <cfvo type="num" val="0"/>
        <cfvo type="num" val="0.5"/>
        <cfvo type="num" val="1"/>
        <color rgb="FF92D050"/>
        <color rgb="FFFFA709"/>
        <color rgb="FFFF0000"/>
      </colorScale>
    </cfRule>
  </conditionalFormatting>
  <conditionalFormatting sqref="DA22">
    <cfRule type="colorScale" priority="1417">
      <colorScale>
        <cfvo type="num" val="0"/>
        <cfvo type="num" val="0.5"/>
        <cfvo type="num" val="1"/>
        <color rgb="FF92D050"/>
        <color rgb="FFFFA709"/>
        <color rgb="FFFF0000"/>
      </colorScale>
    </cfRule>
  </conditionalFormatting>
  <conditionalFormatting sqref="DB22">
    <cfRule type="colorScale" priority="1416">
      <colorScale>
        <cfvo type="num" val="0"/>
        <cfvo type="num" val="0.5"/>
        <cfvo type="num" val="1"/>
        <color rgb="FF92D050"/>
        <color rgb="FFFFA709"/>
        <color rgb="FFFF0000"/>
      </colorScale>
    </cfRule>
  </conditionalFormatting>
  <conditionalFormatting sqref="DC22">
    <cfRule type="colorScale" priority="1415">
      <colorScale>
        <cfvo type="num" val="0"/>
        <cfvo type="num" val="0.5"/>
        <cfvo type="num" val="1"/>
        <color rgb="FF92D050"/>
        <color rgb="FFFFA709"/>
        <color rgb="FFFF0000"/>
      </colorScale>
    </cfRule>
  </conditionalFormatting>
  <conditionalFormatting sqref="CX1:DB1">
    <cfRule type="timePeriod" dxfId="40" priority="1414" timePeriod="today">
      <formula>FLOOR(CX1,1)=TODAY()</formula>
    </cfRule>
  </conditionalFormatting>
  <conditionalFormatting sqref="C26:Q26 S26 V26:W26">
    <cfRule type="colorScale" priority="1412">
      <colorScale>
        <cfvo type="num" val="0"/>
        <cfvo type="num" val="0.5"/>
        <cfvo type="num" val="1"/>
        <color rgb="FF92D050"/>
        <color rgb="FFFFA709"/>
        <color rgb="FFFF0000"/>
      </colorScale>
    </cfRule>
  </conditionalFormatting>
  <conditionalFormatting sqref="B26">
    <cfRule type="colorScale" priority="1413">
      <colorScale>
        <cfvo type="num" val="0"/>
        <cfvo type="num" val="0.5"/>
        <cfvo type="num" val="1"/>
        <color rgb="FF92D050"/>
        <color rgb="FFFFA709"/>
        <color rgb="FFFF0000"/>
      </colorScale>
    </cfRule>
  </conditionalFormatting>
  <conditionalFormatting sqref="R26">
    <cfRule type="colorScale" priority="1411">
      <colorScale>
        <cfvo type="num" val="0"/>
        <cfvo type="num" val="0.5"/>
        <cfvo type="num" val="1"/>
        <color rgb="FF92D050"/>
        <color rgb="FFFFA709"/>
        <color rgb="FFFF0000"/>
      </colorScale>
    </cfRule>
  </conditionalFormatting>
  <conditionalFormatting sqref="T26">
    <cfRule type="colorScale" priority="1410">
      <colorScale>
        <cfvo type="num" val="0"/>
        <cfvo type="num" val="0.5"/>
        <cfvo type="num" val="1"/>
        <color rgb="FF92D050"/>
        <color rgb="FFFFA709"/>
        <color rgb="FFFF0000"/>
      </colorScale>
    </cfRule>
  </conditionalFormatting>
  <conditionalFormatting sqref="U26">
    <cfRule type="colorScale" priority="1409">
      <colorScale>
        <cfvo type="num" val="0"/>
        <cfvo type="num" val="0.5"/>
        <cfvo type="num" val="1"/>
        <color rgb="FF92D050"/>
        <color rgb="FFFFA709"/>
        <color rgb="FFFF0000"/>
      </colorScale>
    </cfRule>
  </conditionalFormatting>
  <conditionalFormatting sqref="X26 AA26 AC26">
    <cfRule type="colorScale" priority="1408">
      <colorScale>
        <cfvo type="num" val="0"/>
        <cfvo type="num" val="0.5"/>
        <cfvo type="num" val="1"/>
        <color rgb="FF92D050"/>
        <color rgb="FFFFA709"/>
        <color rgb="FFFF0000"/>
      </colorScale>
    </cfRule>
  </conditionalFormatting>
  <conditionalFormatting sqref="Y26">
    <cfRule type="colorScale" priority="1407">
      <colorScale>
        <cfvo type="num" val="0"/>
        <cfvo type="num" val="0.5"/>
        <cfvo type="num" val="1"/>
        <color rgb="FF92D050"/>
        <color rgb="FFFFA709"/>
        <color rgb="FFFF0000"/>
      </colorScale>
    </cfRule>
  </conditionalFormatting>
  <conditionalFormatting sqref="Z26">
    <cfRule type="colorScale" priority="1406">
      <colorScale>
        <cfvo type="num" val="0"/>
        <cfvo type="num" val="0.5"/>
        <cfvo type="num" val="1"/>
        <color rgb="FF92D050"/>
        <color rgb="FFFFA709"/>
        <color rgb="FFFF0000"/>
      </colorScale>
    </cfRule>
  </conditionalFormatting>
  <conditionalFormatting sqref="AB26">
    <cfRule type="colorScale" priority="1405">
      <colorScale>
        <cfvo type="num" val="0"/>
        <cfvo type="num" val="0.5"/>
        <cfvo type="num" val="1"/>
        <color rgb="FF92D050"/>
        <color rgb="FFFFA709"/>
        <color rgb="FFFF0000"/>
      </colorScale>
    </cfRule>
  </conditionalFormatting>
  <conditionalFormatting sqref="AD26 AG26 AI26">
    <cfRule type="colorScale" priority="1404">
      <colorScale>
        <cfvo type="num" val="0"/>
        <cfvo type="num" val="0.5"/>
        <cfvo type="num" val="1"/>
        <color rgb="FF92D050"/>
        <color rgb="FFFFA709"/>
        <color rgb="FFFF0000"/>
      </colorScale>
    </cfRule>
  </conditionalFormatting>
  <conditionalFormatting sqref="AE26">
    <cfRule type="colorScale" priority="1403">
      <colorScale>
        <cfvo type="num" val="0"/>
        <cfvo type="num" val="0.5"/>
        <cfvo type="num" val="1"/>
        <color rgb="FF92D050"/>
        <color rgb="FFFFA709"/>
        <color rgb="FFFF0000"/>
      </colorScale>
    </cfRule>
  </conditionalFormatting>
  <conditionalFormatting sqref="AF26">
    <cfRule type="colorScale" priority="1402">
      <colorScale>
        <cfvo type="num" val="0"/>
        <cfvo type="num" val="0.5"/>
        <cfvo type="num" val="1"/>
        <color rgb="FF92D050"/>
        <color rgb="FFFFA709"/>
        <color rgb="FFFF0000"/>
      </colorScale>
    </cfRule>
  </conditionalFormatting>
  <conditionalFormatting sqref="AH26">
    <cfRule type="colorScale" priority="1401">
      <colorScale>
        <cfvo type="num" val="0"/>
        <cfvo type="num" val="0.5"/>
        <cfvo type="num" val="1"/>
        <color rgb="FF92D050"/>
        <color rgb="FFFFA709"/>
        <color rgb="FFFF0000"/>
      </colorScale>
    </cfRule>
  </conditionalFormatting>
  <conditionalFormatting sqref="AJ26 AM26 AO26">
    <cfRule type="colorScale" priority="1400">
      <colorScale>
        <cfvo type="num" val="0"/>
        <cfvo type="num" val="0.5"/>
        <cfvo type="num" val="1"/>
        <color rgb="FF92D050"/>
        <color rgb="FFFFA709"/>
        <color rgb="FFFF0000"/>
      </colorScale>
    </cfRule>
  </conditionalFormatting>
  <conditionalFormatting sqref="AK26">
    <cfRule type="colorScale" priority="1399">
      <colorScale>
        <cfvo type="num" val="0"/>
        <cfvo type="num" val="0.5"/>
        <cfvo type="num" val="1"/>
        <color rgb="FF92D050"/>
        <color rgb="FFFFA709"/>
        <color rgb="FFFF0000"/>
      </colorScale>
    </cfRule>
  </conditionalFormatting>
  <conditionalFormatting sqref="AL26">
    <cfRule type="colorScale" priority="1398">
      <colorScale>
        <cfvo type="num" val="0"/>
        <cfvo type="num" val="0.5"/>
        <cfvo type="num" val="1"/>
        <color rgb="FF92D050"/>
        <color rgb="FFFFA709"/>
        <color rgb="FFFF0000"/>
      </colorScale>
    </cfRule>
  </conditionalFormatting>
  <conditionalFormatting sqref="AN26">
    <cfRule type="colorScale" priority="1397">
      <colorScale>
        <cfvo type="num" val="0"/>
        <cfvo type="num" val="0.5"/>
        <cfvo type="num" val="1"/>
        <color rgb="FF92D050"/>
        <color rgb="FFFFA709"/>
        <color rgb="FFFF0000"/>
      </colorScale>
    </cfRule>
  </conditionalFormatting>
  <conditionalFormatting sqref="AP26 AS26 AU26">
    <cfRule type="colorScale" priority="1396">
      <colorScale>
        <cfvo type="num" val="0"/>
        <cfvo type="num" val="0.5"/>
        <cfvo type="num" val="1"/>
        <color rgb="FF92D050"/>
        <color rgb="FFFFA709"/>
        <color rgb="FFFF0000"/>
      </colorScale>
    </cfRule>
  </conditionalFormatting>
  <conditionalFormatting sqref="AQ26">
    <cfRule type="colorScale" priority="1395">
      <colorScale>
        <cfvo type="num" val="0"/>
        <cfvo type="num" val="0.5"/>
        <cfvo type="num" val="1"/>
        <color rgb="FF92D050"/>
        <color rgb="FFFFA709"/>
        <color rgb="FFFF0000"/>
      </colorScale>
    </cfRule>
  </conditionalFormatting>
  <conditionalFormatting sqref="AR26">
    <cfRule type="colorScale" priority="1394">
      <colorScale>
        <cfvo type="num" val="0"/>
        <cfvo type="num" val="0.5"/>
        <cfvo type="num" val="1"/>
        <color rgb="FF92D050"/>
        <color rgb="FFFFA709"/>
        <color rgb="FFFF0000"/>
      </colorScale>
    </cfRule>
  </conditionalFormatting>
  <conditionalFormatting sqref="AT26">
    <cfRule type="colorScale" priority="1393">
      <colorScale>
        <cfvo type="num" val="0"/>
        <cfvo type="num" val="0.5"/>
        <cfvo type="num" val="1"/>
        <color rgb="FF92D050"/>
        <color rgb="FFFFA709"/>
        <color rgb="FFFF0000"/>
      </colorScale>
    </cfRule>
  </conditionalFormatting>
  <conditionalFormatting sqref="AV26 AY26 BA26">
    <cfRule type="colorScale" priority="1392">
      <colorScale>
        <cfvo type="num" val="0"/>
        <cfvo type="num" val="0.5"/>
        <cfvo type="num" val="1"/>
        <color rgb="FF92D050"/>
        <color rgb="FFFFA709"/>
        <color rgb="FFFF0000"/>
      </colorScale>
    </cfRule>
  </conditionalFormatting>
  <conditionalFormatting sqref="AW26">
    <cfRule type="colorScale" priority="1391">
      <colorScale>
        <cfvo type="num" val="0"/>
        <cfvo type="num" val="0.5"/>
        <cfvo type="num" val="1"/>
        <color rgb="FF92D050"/>
        <color rgb="FFFFA709"/>
        <color rgb="FFFF0000"/>
      </colorScale>
    </cfRule>
  </conditionalFormatting>
  <conditionalFormatting sqref="AX26">
    <cfRule type="colorScale" priority="1390">
      <colorScale>
        <cfvo type="num" val="0"/>
        <cfvo type="num" val="0.5"/>
        <cfvo type="num" val="1"/>
        <color rgb="FF92D050"/>
        <color rgb="FFFFA709"/>
        <color rgb="FFFF0000"/>
      </colorScale>
    </cfRule>
  </conditionalFormatting>
  <conditionalFormatting sqref="AZ26">
    <cfRule type="colorScale" priority="1389">
      <colorScale>
        <cfvo type="num" val="0"/>
        <cfvo type="num" val="0.5"/>
        <cfvo type="num" val="1"/>
        <color rgb="FF92D050"/>
        <color rgb="FFFFA709"/>
        <color rgb="FFFF0000"/>
      </colorScale>
    </cfRule>
  </conditionalFormatting>
  <conditionalFormatting sqref="BB26 BE26 BG26">
    <cfRule type="colorScale" priority="1388">
      <colorScale>
        <cfvo type="num" val="0"/>
        <cfvo type="num" val="0.5"/>
        <cfvo type="num" val="1"/>
        <color rgb="FF92D050"/>
        <color rgb="FFFFA709"/>
        <color rgb="FFFF0000"/>
      </colorScale>
    </cfRule>
  </conditionalFormatting>
  <conditionalFormatting sqref="BC26">
    <cfRule type="colorScale" priority="1387">
      <colorScale>
        <cfvo type="num" val="0"/>
        <cfvo type="num" val="0.5"/>
        <cfvo type="num" val="1"/>
        <color rgb="FF92D050"/>
        <color rgb="FFFFA709"/>
        <color rgb="FFFF0000"/>
      </colorScale>
    </cfRule>
  </conditionalFormatting>
  <conditionalFormatting sqref="BD26">
    <cfRule type="colorScale" priority="1386">
      <colorScale>
        <cfvo type="num" val="0"/>
        <cfvo type="num" val="0.5"/>
        <cfvo type="num" val="1"/>
        <color rgb="FF92D050"/>
        <color rgb="FFFFA709"/>
        <color rgb="FFFF0000"/>
      </colorScale>
    </cfRule>
  </conditionalFormatting>
  <conditionalFormatting sqref="BF26">
    <cfRule type="colorScale" priority="1385">
      <colorScale>
        <cfvo type="num" val="0"/>
        <cfvo type="num" val="0.5"/>
        <cfvo type="num" val="1"/>
        <color rgb="FF92D050"/>
        <color rgb="FFFFA709"/>
        <color rgb="FFFF0000"/>
      </colorScale>
    </cfRule>
  </conditionalFormatting>
  <conditionalFormatting sqref="BH26 BK26 BM26">
    <cfRule type="colorScale" priority="1384">
      <colorScale>
        <cfvo type="num" val="0"/>
        <cfvo type="num" val="0.5"/>
        <cfvo type="num" val="1"/>
        <color rgb="FF92D050"/>
        <color rgb="FFFFA709"/>
        <color rgb="FFFF0000"/>
      </colorScale>
    </cfRule>
  </conditionalFormatting>
  <conditionalFormatting sqref="BI26">
    <cfRule type="colorScale" priority="1383">
      <colorScale>
        <cfvo type="num" val="0"/>
        <cfvo type="num" val="0.5"/>
        <cfvo type="num" val="1"/>
        <color rgb="FF92D050"/>
        <color rgb="FFFFA709"/>
        <color rgb="FFFF0000"/>
      </colorScale>
    </cfRule>
  </conditionalFormatting>
  <conditionalFormatting sqref="BJ26">
    <cfRule type="colorScale" priority="1382">
      <colorScale>
        <cfvo type="num" val="0"/>
        <cfvo type="num" val="0.5"/>
        <cfvo type="num" val="1"/>
        <color rgb="FF92D050"/>
        <color rgb="FFFFA709"/>
        <color rgb="FFFF0000"/>
      </colorScale>
    </cfRule>
  </conditionalFormatting>
  <conditionalFormatting sqref="BL26">
    <cfRule type="colorScale" priority="1381">
      <colorScale>
        <cfvo type="num" val="0"/>
        <cfvo type="num" val="0.5"/>
        <cfvo type="num" val="1"/>
        <color rgb="FF92D050"/>
        <color rgb="FFFFA709"/>
        <color rgb="FFFF0000"/>
      </colorScale>
    </cfRule>
  </conditionalFormatting>
  <conditionalFormatting sqref="BN26 BQ26 BS26">
    <cfRule type="colorScale" priority="1380">
      <colorScale>
        <cfvo type="num" val="0"/>
        <cfvo type="num" val="0.5"/>
        <cfvo type="num" val="1"/>
        <color rgb="FF92D050"/>
        <color rgb="FFFFA709"/>
        <color rgb="FFFF0000"/>
      </colorScale>
    </cfRule>
  </conditionalFormatting>
  <conditionalFormatting sqref="BO26">
    <cfRule type="colorScale" priority="1379">
      <colorScale>
        <cfvo type="num" val="0"/>
        <cfvo type="num" val="0.5"/>
        <cfvo type="num" val="1"/>
        <color rgb="FF92D050"/>
        <color rgb="FFFFA709"/>
        <color rgb="FFFF0000"/>
      </colorScale>
    </cfRule>
  </conditionalFormatting>
  <conditionalFormatting sqref="BP26">
    <cfRule type="colorScale" priority="1378">
      <colorScale>
        <cfvo type="num" val="0"/>
        <cfvo type="num" val="0.5"/>
        <cfvo type="num" val="1"/>
        <color rgb="FF92D050"/>
        <color rgb="FFFFA709"/>
        <color rgb="FFFF0000"/>
      </colorScale>
    </cfRule>
  </conditionalFormatting>
  <conditionalFormatting sqref="BR26">
    <cfRule type="colorScale" priority="1377">
      <colorScale>
        <cfvo type="num" val="0"/>
        <cfvo type="num" val="0.5"/>
        <cfvo type="num" val="1"/>
        <color rgb="FF92D050"/>
        <color rgb="FFFFA709"/>
        <color rgb="FFFF0000"/>
      </colorScale>
    </cfRule>
  </conditionalFormatting>
  <conditionalFormatting sqref="BT26 BW26 BY26">
    <cfRule type="colorScale" priority="1376">
      <colorScale>
        <cfvo type="num" val="0"/>
        <cfvo type="num" val="0.5"/>
        <cfvo type="num" val="1"/>
        <color rgb="FF92D050"/>
        <color rgb="FFFFA709"/>
        <color rgb="FFFF0000"/>
      </colorScale>
    </cfRule>
  </conditionalFormatting>
  <conditionalFormatting sqref="BU26">
    <cfRule type="colorScale" priority="1375">
      <colorScale>
        <cfvo type="num" val="0"/>
        <cfvo type="num" val="0.5"/>
        <cfvo type="num" val="1"/>
        <color rgb="FF92D050"/>
        <color rgb="FFFFA709"/>
        <color rgb="FFFF0000"/>
      </colorScale>
    </cfRule>
  </conditionalFormatting>
  <conditionalFormatting sqref="BV26">
    <cfRule type="colorScale" priority="1374">
      <colorScale>
        <cfvo type="num" val="0"/>
        <cfvo type="num" val="0.5"/>
        <cfvo type="num" val="1"/>
        <color rgb="FF92D050"/>
        <color rgb="FFFFA709"/>
        <color rgb="FFFF0000"/>
      </colorScale>
    </cfRule>
  </conditionalFormatting>
  <conditionalFormatting sqref="BX26">
    <cfRule type="colorScale" priority="1373">
      <colorScale>
        <cfvo type="num" val="0"/>
        <cfvo type="num" val="0.5"/>
        <cfvo type="num" val="1"/>
        <color rgb="FF92D050"/>
        <color rgb="FFFFA709"/>
        <color rgb="FFFF0000"/>
      </colorScale>
    </cfRule>
  </conditionalFormatting>
  <conditionalFormatting sqref="BZ26 CC26 CE26">
    <cfRule type="colorScale" priority="1372">
      <colorScale>
        <cfvo type="num" val="0"/>
        <cfvo type="num" val="0.5"/>
        <cfvo type="num" val="1"/>
        <color rgb="FF92D050"/>
        <color rgb="FFFFA709"/>
        <color rgb="FFFF0000"/>
      </colorScale>
    </cfRule>
  </conditionalFormatting>
  <conditionalFormatting sqref="CA26">
    <cfRule type="colorScale" priority="1371">
      <colorScale>
        <cfvo type="num" val="0"/>
        <cfvo type="num" val="0.5"/>
        <cfvo type="num" val="1"/>
        <color rgb="FF92D050"/>
        <color rgb="FFFFA709"/>
        <color rgb="FFFF0000"/>
      </colorScale>
    </cfRule>
  </conditionalFormatting>
  <conditionalFormatting sqref="CB26">
    <cfRule type="colorScale" priority="1370">
      <colorScale>
        <cfvo type="num" val="0"/>
        <cfvo type="num" val="0.5"/>
        <cfvo type="num" val="1"/>
        <color rgb="FF92D050"/>
        <color rgb="FFFFA709"/>
        <color rgb="FFFF0000"/>
      </colorScale>
    </cfRule>
  </conditionalFormatting>
  <conditionalFormatting sqref="CD26">
    <cfRule type="colorScale" priority="1369">
      <colorScale>
        <cfvo type="num" val="0"/>
        <cfvo type="num" val="0.5"/>
        <cfvo type="num" val="1"/>
        <color rgb="FF92D050"/>
        <color rgb="FFFFA709"/>
        <color rgb="FFFF0000"/>
      </colorScale>
    </cfRule>
  </conditionalFormatting>
  <conditionalFormatting sqref="CF26 CI26 CK26">
    <cfRule type="colorScale" priority="1368">
      <colorScale>
        <cfvo type="num" val="0"/>
        <cfvo type="num" val="0.5"/>
        <cfvo type="num" val="1"/>
        <color rgb="FF92D050"/>
        <color rgb="FFFFA709"/>
        <color rgb="FFFF0000"/>
      </colorScale>
    </cfRule>
  </conditionalFormatting>
  <conditionalFormatting sqref="CG26">
    <cfRule type="colorScale" priority="1367">
      <colorScale>
        <cfvo type="num" val="0"/>
        <cfvo type="num" val="0.5"/>
        <cfvo type="num" val="1"/>
        <color rgb="FF92D050"/>
        <color rgb="FFFFA709"/>
        <color rgb="FFFF0000"/>
      </colorScale>
    </cfRule>
  </conditionalFormatting>
  <conditionalFormatting sqref="CH26">
    <cfRule type="colorScale" priority="1366">
      <colorScale>
        <cfvo type="num" val="0"/>
        <cfvo type="num" val="0.5"/>
        <cfvo type="num" val="1"/>
        <color rgb="FF92D050"/>
        <color rgb="FFFFA709"/>
        <color rgb="FFFF0000"/>
      </colorScale>
    </cfRule>
  </conditionalFormatting>
  <conditionalFormatting sqref="CJ26">
    <cfRule type="colorScale" priority="1365">
      <colorScale>
        <cfvo type="num" val="0"/>
        <cfvo type="num" val="0.5"/>
        <cfvo type="num" val="1"/>
        <color rgb="FF92D050"/>
        <color rgb="FFFFA709"/>
        <color rgb="FFFF0000"/>
      </colorScale>
    </cfRule>
  </conditionalFormatting>
  <conditionalFormatting sqref="CL26 CO26 CQ26">
    <cfRule type="colorScale" priority="1364">
      <colorScale>
        <cfvo type="num" val="0"/>
        <cfvo type="num" val="0.5"/>
        <cfvo type="num" val="1"/>
        <color rgb="FF92D050"/>
        <color rgb="FFFFA709"/>
        <color rgb="FFFF0000"/>
      </colorScale>
    </cfRule>
  </conditionalFormatting>
  <conditionalFormatting sqref="CM26">
    <cfRule type="colorScale" priority="1363">
      <colorScale>
        <cfvo type="num" val="0"/>
        <cfvo type="num" val="0.5"/>
        <cfvo type="num" val="1"/>
        <color rgb="FF92D050"/>
        <color rgb="FFFFA709"/>
        <color rgb="FFFF0000"/>
      </colorScale>
    </cfRule>
  </conditionalFormatting>
  <conditionalFormatting sqref="CN26">
    <cfRule type="colorScale" priority="1362">
      <colorScale>
        <cfvo type="num" val="0"/>
        <cfvo type="num" val="0.5"/>
        <cfvo type="num" val="1"/>
        <color rgb="FF92D050"/>
        <color rgb="FFFFA709"/>
        <color rgb="FFFF0000"/>
      </colorScale>
    </cfRule>
  </conditionalFormatting>
  <conditionalFormatting sqref="CP26">
    <cfRule type="colorScale" priority="1361">
      <colorScale>
        <cfvo type="num" val="0"/>
        <cfvo type="num" val="0.5"/>
        <cfvo type="num" val="1"/>
        <color rgb="FF92D050"/>
        <color rgb="FFFFA709"/>
        <color rgb="FFFF0000"/>
      </colorScale>
    </cfRule>
  </conditionalFormatting>
  <conditionalFormatting sqref="CR26 CU26 CW26">
    <cfRule type="colorScale" priority="1360">
      <colorScale>
        <cfvo type="num" val="0"/>
        <cfvo type="num" val="0.5"/>
        <cfvo type="num" val="1"/>
        <color rgb="FF92D050"/>
        <color rgb="FFFFA709"/>
        <color rgb="FFFF0000"/>
      </colorScale>
    </cfRule>
  </conditionalFormatting>
  <conditionalFormatting sqref="CS26">
    <cfRule type="colorScale" priority="1359">
      <colorScale>
        <cfvo type="num" val="0"/>
        <cfvo type="num" val="0.5"/>
        <cfvo type="num" val="1"/>
        <color rgb="FF92D050"/>
        <color rgb="FFFFA709"/>
        <color rgb="FFFF0000"/>
      </colorScale>
    </cfRule>
  </conditionalFormatting>
  <conditionalFormatting sqref="CT26">
    <cfRule type="colorScale" priority="1358">
      <colorScale>
        <cfvo type="num" val="0"/>
        <cfvo type="num" val="0.5"/>
        <cfvo type="num" val="1"/>
        <color rgb="FF92D050"/>
        <color rgb="FFFFA709"/>
        <color rgb="FFFF0000"/>
      </colorScale>
    </cfRule>
  </conditionalFormatting>
  <conditionalFormatting sqref="CV26">
    <cfRule type="colorScale" priority="1357">
      <colorScale>
        <cfvo type="num" val="0"/>
        <cfvo type="num" val="0.5"/>
        <cfvo type="num" val="1"/>
        <color rgb="FF92D050"/>
        <color rgb="FFFFA709"/>
        <color rgb="FFFF0000"/>
      </colorScale>
    </cfRule>
  </conditionalFormatting>
  <conditionalFormatting sqref="CX26 DA26 DC26">
    <cfRule type="colorScale" priority="1356">
      <colorScale>
        <cfvo type="num" val="0"/>
        <cfvo type="num" val="0.5"/>
        <cfvo type="num" val="1"/>
        <color rgb="FF92D050"/>
        <color rgb="FFFFA709"/>
        <color rgb="FFFF0000"/>
      </colorScale>
    </cfRule>
  </conditionalFormatting>
  <conditionalFormatting sqref="CY26">
    <cfRule type="colorScale" priority="1355">
      <colorScale>
        <cfvo type="num" val="0"/>
        <cfvo type="num" val="0.5"/>
        <cfvo type="num" val="1"/>
        <color rgb="FF92D050"/>
        <color rgb="FFFFA709"/>
        <color rgb="FFFF0000"/>
      </colorScale>
    </cfRule>
  </conditionalFormatting>
  <conditionalFormatting sqref="CZ26">
    <cfRule type="colorScale" priority="1354">
      <colorScale>
        <cfvo type="num" val="0"/>
        <cfvo type="num" val="0.5"/>
        <cfvo type="num" val="1"/>
        <color rgb="FF92D050"/>
        <color rgb="FFFFA709"/>
        <color rgb="FFFF0000"/>
      </colorScale>
    </cfRule>
  </conditionalFormatting>
  <conditionalFormatting sqref="DB26">
    <cfRule type="colorScale" priority="1353">
      <colorScale>
        <cfvo type="num" val="0"/>
        <cfvo type="num" val="0.5"/>
        <cfvo type="num" val="1"/>
        <color rgb="FF92D050"/>
        <color rgb="FFFFA709"/>
        <color rgb="FFFF0000"/>
      </colorScale>
    </cfRule>
  </conditionalFormatting>
  <conditionalFormatting sqref="C29:Q29 S29 V29:W29">
    <cfRule type="colorScale" priority="1290">
      <colorScale>
        <cfvo type="num" val="0"/>
        <cfvo type="num" val="0.5"/>
        <cfvo type="num" val="1"/>
        <color rgb="FF92D050"/>
        <color rgb="FFFFA709"/>
        <color rgb="FFFF0000"/>
      </colorScale>
    </cfRule>
  </conditionalFormatting>
  <conditionalFormatting sqref="B29">
    <cfRule type="colorScale" priority="1291">
      <colorScale>
        <cfvo type="num" val="0"/>
        <cfvo type="num" val="0.5"/>
        <cfvo type="num" val="1"/>
        <color rgb="FF92D050"/>
        <color rgb="FFFFA709"/>
        <color rgb="FFFF0000"/>
      </colorScale>
    </cfRule>
  </conditionalFormatting>
  <conditionalFormatting sqref="R29">
    <cfRule type="colorScale" priority="1289">
      <colorScale>
        <cfvo type="num" val="0"/>
        <cfvo type="num" val="0.5"/>
        <cfvo type="num" val="1"/>
        <color rgb="FF92D050"/>
        <color rgb="FFFFA709"/>
        <color rgb="FFFF0000"/>
      </colorScale>
    </cfRule>
  </conditionalFormatting>
  <conditionalFormatting sqref="T29">
    <cfRule type="colorScale" priority="1288">
      <colorScale>
        <cfvo type="num" val="0"/>
        <cfvo type="num" val="0.5"/>
        <cfvo type="num" val="1"/>
        <color rgb="FF92D050"/>
        <color rgb="FFFFA709"/>
        <color rgb="FFFF0000"/>
      </colorScale>
    </cfRule>
  </conditionalFormatting>
  <conditionalFormatting sqref="U29">
    <cfRule type="colorScale" priority="1287">
      <colorScale>
        <cfvo type="num" val="0"/>
        <cfvo type="num" val="0.5"/>
        <cfvo type="num" val="1"/>
        <color rgb="FF92D050"/>
        <color rgb="FFFFA709"/>
        <color rgb="FFFF0000"/>
      </colorScale>
    </cfRule>
  </conditionalFormatting>
  <conditionalFormatting sqref="X29 AA29 AC29">
    <cfRule type="colorScale" priority="1286">
      <colorScale>
        <cfvo type="num" val="0"/>
        <cfvo type="num" val="0.5"/>
        <cfvo type="num" val="1"/>
        <color rgb="FF92D050"/>
        <color rgb="FFFFA709"/>
        <color rgb="FFFF0000"/>
      </colorScale>
    </cfRule>
  </conditionalFormatting>
  <conditionalFormatting sqref="Y29">
    <cfRule type="colorScale" priority="1285">
      <colorScale>
        <cfvo type="num" val="0"/>
        <cfvo type="num" val="0.5"/>
        <cfvo type="num" val="1"/>
        <color rgb="FF92D050"/>
        <color rgb="FFFFA709"/>
        <color rgb="FFFF0000"/>
      </colorScale>
    </cfRule>
  </conditionalFormatting>
  <conditionalFormatting sqref="Z29">
    <cfRule type="colorScale" priority="1284">
      <colorScale>
        <cfvo type="num" val="0"/>
        <cfvo type="num" val="0.5"/>
        <cfvo type="num" val="1"/>
        <color rgb="FF92D050"/>
        <color rgb="FFFFA709"/>
        <color rgb="FFFF0000"/>
      </colorScale>
    </cfRule>
  </conditionalFormatting>
  <conditionalFormatting sqref="AB29">
    <cfRule type="colorScale" priority="1283">
      <colorScale>
        <cfvo type="num" val="0"/>
        <cfvo type="num" val="0.5"/>
        <cfvo type="num" val="1"/>
        <color rgb="FF92D050"/>
        <color rgb="FFFFA709"/>
        <color rgb="FFFF0000"/>
      </colorScale>
    </cfRule>
  </conditionalFormatting>
  <conditionalFormatting sqref="AD29 AG29 AI29">
    <cfRule type="colorScale" priority="1282">
      <colorScale>
        <cfvo type="num" val="0"/>
        <cfvo type="num" val="0.5"/>
        <cfvo type="num" val="1"/>
        <color rgb="FF92D050"/>
        <color rgb="FFFFA709"/>
        <color rgb="FFFF0000"/>
      </colorScale>
    </cfRule>
  </conditionalFormatting>
  <conditionalFormatting sqref="AE29">
    <cfRule type="colorScale" priority="1281">
      <colorScale>
        <cfvo type="num" val="0"/>
        <cfvo type="num" val="0.5"/>
        <cfvo type="num" val="1"/>
        <color rgb="FF92D050"/>
        <color rgb="FFFFA709"/>
        <color rgb="FFFF0000"/>
      </colorScale>
    </cfRule>
  </conditionalFormatting>
  <conditionalFormatting sqref="AF29">
    <cfRule type="colorScale" priority="1280">
      <colorScale>
        <cfvo type="num" val="0"/>
        <cfvo type="num" val="0.5"/>
        <cfvo type="num" val="1"/>
        <color rgb="FF92D050"/>
        <color rgb="FFFFA709"/>
        <color rgb="FFFF0000"/>
      </colorScale>
    </cfRule>
  </conditionalFormatting>
  <conditionalFormatting sqref="AH29">
    <cfRule type="colorScale" priority="1279">
      <colorScale>
        <cfvo type="num" val="0"/>
        <cfvo type="num" val="0.5"/>
        <cfvo type="num" val="1"/>
        <color rgb="FF92D050"/>
        <color rgb="FFFFA709"/>
        <color rgb="FFFF0000"/>
      </colorScale>
    </cfRule>
  </conditionalFormatting>
  <conditionalFormatting sqref="AJ29 AM29 AO29">
    <cfRule type="colorScale" priority="1278">
      <colorScale>
        <cfvo type="num" val="0"/>
        <cfvo type="num" val="0.5"/>
        <cfvo type="num" val="1"/>
        <color rgb="FF92D050"/>
        <color rgb="FFFFA709"/>
        <color rgb="FFFF0000"/>
      </colorScale>
    </cfRule>
  </conditionalFormatting>
  <conditionalFormatting sqref="AK29">
    <cfRule type="colorScale" priority="1277">
      <colorScale>
        <cfvo type="num" val="0"/>
        <cfvo type="num" val="0.5"/>
        <cfvo type="num" val="1"/>
        <color rgb="FF92D050"/>
        <color rgb="FFFFA709"/>
        <color rgb="FFFF0000"/>
      </colorScale>
    </cfRule>
  </conditionalFormatting>
  <conditionalFormatting sqref="AL29">
    <cfRule type="colorScale" priority="1276">
      <colorScale>
        <cfvo type="num" val="0"/>
        <cfvo type="num" val="0.5"/>
        <cfvo type="num" val="1"/>
        <color rgb="FF92D050"/>
        <color rgb="FFFFA709"/>
        <color rgb="FFFF0000"/>
      </colorScale>
    </cfRule>
  </conditionalFormatting>
  <conditionalFormatting sqref="AN29">
    <cfRule type="colorScale" priority="1275">
      <colorScale>
        <cfvo type="num" val="0"/>
        <cfvo type="num" val="0.5"/>
        <cfvo type="num" val="1"/>
        <color rgb="FF92D050"/>
        <color rgb="FFFFA709"/>
        <color rgb="FFFF0000"/>
      </colorScale>
    </cfRule>
  </conditionalFormatting>
  <conditionalFormatting sqref="AP29 AS29 AU29">
    <cfRule type="colorScale" priority="1274">
      <colorScale>
        <cfvo type="num" val="0"/>
        <cfvo type="num" val="0.5"/>
        <cfvo type="num" val="1"/>
        <color rgb="FF92D050"/>
        <color rgb="FFFFA709"/>
        <color rgb="FFFF0000"/>
      </colorScale>
    </cfRule>
  </conditionalFormatting>
  <conditionalFormatting sqref="AQ29">
    <cfRule type="colorScale" priority="1273">
      <colorScale>
        <cfvo type="num" val="0"/>
        <cfvo type="num" val="0.5"/>
        <cfvo type="num" val="1"/>
        <color rgb="FF92D050"/>
        <color rgb="FFFFA709"/>
        <color rgb="FFFF0000"/>
      </colorScale>
    </cfRule>
  </conditionalFormatting>
  <conditionalFormatting sqref="AR29">
    <cfRule type="colorScale" priority="1272">
      <colorScale>
        <cfvo type="num" val="0"/>
        <cfvo type="num" val="0.5"/>
        <cfvo type="num" val="1"/>
        <color rgb="FF92D050"/>
        <color rgb="FFFFA709"/>
        <color rgb="FFFF0000"/>
      </colorScale>
    </cfRule>
  </conditionalFormatting>
  <conditionalFormatting sqref="AT29">
    <cfRule type="colorScale" priority="1271">
      <colorScale>
        <cfvo type="num" val="0"/>
        <cfvo type="num" val="0.5"/>
        <cfvo type="num" val="1"/>
        <color rgb="FF92D050"/>
        <color rgb="FFFFA709"/>
        <color rgb="FFFF0000"/>
      </colorScale>
    </cfRule>
  </conditionalFormatting>
  <conditionalFormatting sqref="AV29 AY29 BA29">
    <cfRule type="colorScale" priority="1270">
      <colorScale>
        <cfvo type="num" val="0"/>
        <cfvo type="num" val="0.5"/>
        <cfvo type="num" val="1"/>
        <color rgb="FF92D050"/>
        <color rgb="FFFFA709"/>
        <color rgb="FFFF0000"/>
      </colorScale>
    </cfRule>
  </conditionalFormatting>
  <conditionalFormatting sqref="AW29">
    <cfRule type="colorScale" priority="1269">
      <colorScale>
        <cfvo type="num" val="0"/>
        <cfvo type="num" val="0.5"/>
        <cfvo type="num" val="1"/>
        <color rgb="FF92D050"/>
        <color rgb="FFFFA709"/>
        <color rgb="FFFF0000"/>
      </colorScale>
    </cfRule>
  </conditionalFormatting>
  <conditionalFormatting sqref="AX29">
    <cfRule type="colorScale" priority="1268">
      <colorScale>
        <cfvo type="num" val="0"/>
        <cfvo type="num" val="0.5"/>
        <cfvo type="num" val="1"/>
        <color rgb="FF92D050"/>
        <color rgb="FFFFA709"/>
        <color rgb="FFFF0000"/>
      </colorScale>
    </cfRule>
  </conditionalFormatting>
  <conditionalFormatting sqref="AZ29">
    <cfRule type="colorScale" priority="1267">
      <colorScale>
        <cfvo type="num" val="0"/>
        <cfvo type="num" val="0.5"/>
        <cfvo type="num" val="1"/>
        <color rgb="FF92D050"/>
        <color rgb="FFFFA709"/>
        <color rgb="FFFF0000"/>
      </colorScale>
    </cfRule>
  </conditionalFormatting>
  <conditionalFormatting sqref="BB29 BE29 BG29">
    <cfRule type="colorScale" priority="1266">
      <colorScale>
        <cfvo type="num" val="0"/>
        <cfvo type="num" val="0.5"/>
        <cfvo type="num" val="1"/>
        <color rgb="FF92D050"/>
        <color rgb="FFFFA709"/>
        <color rgb="FFFF0000"/>
      </colorScale>
    </cfRule>
  </conditionalFormatting>
  <conditionalFormatting sqref="BC29">
    <cfRule type="colorScale" priority="1265">
      <colorScale>
        <cfvo type="num" val="0"/>
        <cfvo type="num" val="0.5"/>
        <cfvo type="num" val="1"/>
        <color rgb="FF92D050"/>
        <color rgb="FFFFA709"/>
        <color rgb="FFFF0000"/>
      </colorScale>
    </cfRule>
  </conditionalFormatting>
  <conditionalFormatting sqref="BD29">
    <cfRule type="colorScale" priority="1264">
      <colorScale>
        <cfvo type="num" val="0"/>
        <cfvo type="num" val="0.5"/>
        <cfvo type="num" val="1"/>
        <color rgb="FF92D050"/>
        <color rgb="FFFFA709"/>
        <color rgb="FFFF0000"/>
      </colorScale>
    </cfRule>
  </conditionalFormatting>
  <conditionalFormatting sqref="BF29">
    <cfRule type="colorScale" priority="1263">
      <colorScale>
        <cfvo type="num" val="0"/>
        <cfvo type="num" val="0.5"/>
        <cfvo type="num" val="1"/>
        <color rgb="FF92D050"/>
        <color rgb="FFFFA709"/>
        <color rgb="FFFF0000"/>
      </colorScale>
    </cfRule>
  </conditionalFormatting>
  <conditionalFormatting sqref="BH29 BK29 BM29">
    <cfRule type="colorScale" priority="1262">
      <colorScale>
        <cfvo type="num" val="0"/>
        <cfvo type="num" val="0.5"/>
        <cfvo type="num" val="1"/>
        <color rgb="FF92D050"/>
        <color rgb="FFFFA709"/>
        <color rgb="FFFF0000"/>
      </colorScale>
    </cfRule>
  </conditionalFormatting>
  <conditionalFormatting sqref="BI29">
    <cfRule type="colorScale" priority="1261">
      <colorScale>
        <cfvo type="num" val="0"/>
        <cfvo type="num" val="0.5"/>
        <cfvo type="num" val="1"/>
        <color rgb="FF92D050"/>
        <color rgb="FFFFA709"/>
        <color rgb="FFFF0000"/>
      </colorScale>
    </cfRule>
  </conditionalFormatting>
  <conditionalFormatting sqref="BJ29">
    <cfRule type="colorScale" priority="1260">
      <colorScale>
        <cfvo type="num" val="0"/>
        <cfvo type="num" val="0.5"/>
        <cfvo type="num" val="1"/>
        <color rgb="FF92D050"/>
        <color rgb="FFFFA709"/>
        <color rgb="FFFF0000"/>
      </colorScale>
    </cfRule>
  </conditionalFormatting>
  <conditionalFormatting sqref="BL29">
    <cfRule type="colorScale" priority="1259">
      <colorScale>
        <cfvo type="num" val="0"/>
        <cfvo type="num" val="0.5"/>
        <cfvo type="num" val="1"/>
        <color rgb="FF92D050"/>
        <color rgb="FFFFA709"/>
        <color rgb="FFFF0000"/>
      </colorScale>
    </cfRule>
  </conditionalFormatting>
  <conditionalFormatting sqref="BN29 BQ29 BS29">
    <cfRule type="colorScale" priority="1258">
      <colorScale>
        <cfvo type="num" val="0"/>
        <cfvo type="num" val="0.5"/>
        <cfvo type="num" val="1"/>
        <color rgb="FF92D050"/>
        <color rgb="FFFFA709"/>
        <color rgb="FFFF0000"/>
      </colorScale>
    </cfRule>
  </conditionalFormatting>
  <conditionalFormatting sqref="BO29">
    <cfRule type="colorScale" priority="1257">
      <colorScale>
        <cfvo type="num" val="0"/>
        <cfvo type="num" val="0.5"/>
        <cfvo type="num" val="1"/>
        <color rgb="FF92D050"/>
        <color rgb="FFFFA709"/>
        <color rgb="FFFF0000"/>
      </colorScale>
    </cfRule>
  </conditionalFormatting>
  <conditionalFormatting sqref="BP29">
    <cfRule type="colorScale" priority="1256">
      <colorScale>
        <cfvo type="num" val="0"/>
        <cfvo type="num" val="0.5"/>
        <cfvo type="num" val="1"/>
        <color rgb="FF92D050"/>
        <color rgb="FFFFA709"/>
        <color rgb="FFFF0000"/>
      </colorScale>
    </cfRule>
  </conditionalFormatting>
  <conditionalFormatting sqref="BR29">
    <cfRule type="colorScale" priority="1255">
      <colorScale>
        <cfvo type="num" val="0"/>
        <cfvo type="num" val="0.5"/>
        <cfvo type="num" val="1"/>
        <color rgb="FF92D050"/>
        <color rgb="FFFFA709"/>
        <color rgb="FFFF0000"/>
      </colorScale>
    </cfRule>
  </conditionalFormatting>
  <conditionalFormatting sqref="BT29 BW29 BY29">
    <cfRule type="colorScale" priority="1254">
      <colorScale>
        <cfvo type="num" val="0"/>
        <cfvo type="num" val="0.5"/>
        <cfvo type="num" val="1"/>
        <color rgb="FF92D050"/>
        <color rgb="FFFFA709"/>
        <color rgb="FFFF0000"/>
      </colorScale>
    </cfRule>
  </conditionalFormatting>
  <conditionalFormatting sqref="BU29">
    <cfRule type="colorScale" priority="1253">
      <colorScale>
        <cfvo type="num" val="0"/>
        <cfvo type="num" val="0.5"/>
        <cfvo type="num" val="1"/>
        <color rgb="FF92D050"/>
        <color rgb="FFFFA709"/>
        <color rgb="FFFF0000"/>
      </colorScale>
    </cfRule>
  </conditionalFormatting>
  <conditionalFormatting sqref="BV29">
    <cfRule type="colorScale" priority="1252">
      <colorScale>
        <cfvo type="num" val="0"/>
        <cfvo type="num" val="0.5"/>
        <cfvo type="num" val="1"/>
        <color rgb="FF92D050"/>
        <color rgb="FFFFA709"/>
        <color rgb="FFFF0000"/>
      </colorScale>
    </cfRule>
  </conditionalFormatting>
  <conditionalFormatting sqref="BX29">
    <cfRule type="colorScale" priority="1251">
      <colorScale>
        <cfvo type="num" val="0"/>
        <cfvo type="num" val="0.5"/>
        <cfvo type="num" val="1"/>
        <color rgb="FF92D050"/>
        <color rgb="FFFFA709"/>
        <color rgb="FFFF0000"/>
      </colorScale>
    </cfRule>
  </conditionalFormatting>
  <conditionalFormatting sqref="BZ29 CC29 CE29">
    <cfRule type="colorScale" priority="1250">
      <colorScale>
        <cfvo type="num" val="0"/>
        <cfvo type="num" val="0.5"/>
        <cfvo type="num" val="1"/>
        <color rgb="FF92D050"/>
        <color rgb="FFFFA709"/>
        <color rgb="FFFF0000"/>
      </colorScale>
    </cfRule>
  </conditionalFormatting>
  <conditionalFormatting sqref="CA29">
    <cfRule type="colorScale" priority="1249">
      <colorScale>
        <cfvo type="num" val="0"/>
        <cfvo type="num" val="0.5"/>
        <cfvo type="num" val="1"/>
        <color rgb="FF92D050"/>
        <color rgb="FFFFA709"/>
        <color rgb="FFFF0000"/>
      </colorScale>
    </cfRule>
  </conditionalFormatting>
  <conditionalFormatting sqref="CB29">
    <cfRule type="colorScale" priority="1248">
      <colorScale>
        <cfvo type="num" val="0"/>
        <cfvo type="num" val="0.5"/>
        <cfvo type="num" val="1"/>
        <color rgb="FF92D050"/>
        <color rgb="FFFFA709"/>
        <color rgb="FFFF0000"/>
      </colorScale>
    </cfRule>
  </conditionalFormatting>
  <conditionalFormatting sqref="CD29">
    <cfRule type="colorScale" priority="1247">
      <colorScale>
        <cfvo type="num" val="0"/>
        <cfvo type="num" val="0.5"/>
        <cfvo type="num" val="1"/>
        <color rgb="FF92D050"/>
        <color rgb="FFFFA709"/>
        <color rgb="FFFF0000"/>
      </colorScale>
    </cfRule>
  </conditionalFormatting>
  <conditionalFormatting sqref="CF29 CI29 CK29">
    <cfRule type="colorScale" priority="1246">
      <colorScale>
        <cfvo type="num" val="0"/>
        <cfvo type="num" val="0.5"/>
        <cfvo type="num" val="1"/>
        <color rgb="FF92D050"/>
        <color rgb="FFFFA709"/>
        <color rgb="FFFF0000"/>
      </colorScale>
    </cfRule>
  </conditionalFormatting>
  <conditionalFormatting sqref="CG29">
    <cfRule type="colorScale" priority="1245">
      <colorScale>
        <cfvo type="num" val="0"/>
        <cfvo type="num" val="0.5"/>
        <cfvo type="num" val="1"/>
        <color rgb="FF92D050"/>
        <color rgb="FFFFA709"/>
        <color rgb="FFFF0000"/>
      </colorScale>
    </cfRule>
  </conditionalFormatting>
  <conditionalFormatting sqref="CH29">
    <cfRule type="colorScale" priority="1244">
      <colorScale>
        <cfvo type="num" val="0"/>
        <cfvo type="num" val="0.5"/>
        <cfvo type="num" val="1"/>
        <color rgb="FF92D050"/>
        <color rgb="FFFFA709"/>
        <color rgb="FFFF0000"/>
      </colorScale>
    </cfRule>
  </conditionalFormatting>
  <conditionalFormatting sqref="CJ29">
    <cfRule type="colorScale" priority="1243">
      <colorScale>
        <cfvo type="num" val="0"/>
        <cfvo type="num" val="0.5"/>
        <cfvo type="num" val="1"/>
        <color rgb="FF92D050"/>
        <color rgb="FFFFA709"/>
        <color rgb="FFFF0000"/>
      </colorScale>
    </cfRule>
  </conditionalFormatting>
  <conditionalFormatting sqref="CL29 CO29 CQ29">
    <cfRule type="colorScale" priority="1242">
      <colorScale>
        <cfvo type="num" val="0"/>
        <cfvo type="num" val="0.5"/>
        <cfvo type="num" val="1"/>
        <color rgb="FF92D050"/>
        <color rgb="FFFFA709"/>
        <color rgb="FFFF0000"/>
      </colorScale>
    </cfRule>
  </conditionalFormatting>
  <conditionalFormatting sqref="CM29">
    <cfRule type="colorScale" priority="1241">
      <colorScale>
        <cfvo type="num" val="0"/>
        <cfvo type="num" val="0.5"/>
        <cfvo type="num" val="1"/>
        <color rgb="FF92D050"/>
        <color rgb="FFFFA709"/>
        <color rgb="FFFF0000"/>
      </colorScale>
    </cfRule>
  </conditionalFormatting>
  <conditionalFormatting sqref="CN29">
    <cfRule type="colorScale" priority="1240">
      <colorScale>
        <cfvo type="num" val="0"/>
        <cfvo type="num" val="0.5"/>
        <cfvo type="num" val="1"/>
        <color rgb="FF92D050"/>
        <color rgb="FFFFA709"/>
        <color rgb="FFFF0000"/>
      </colorScale>
    </cfRule>
  </conditionalFormatting>
  <conditionalFormatting sqref="CP29">
    <cfRule type="colorScale" priority="1239">
      <colorScale>
        <cfvo type="num" val="0"/>
        <cfvo type="num" val="0.5"/>
        <cfvo type="num" val="1"/>
        <color rgb="FF92D050"/>
        <color rgb="FFFFA709"/>
        <color rgb="FFFF0000"/>
      </colorScale>
    </cfRule>
  </conditionalFormatting>
  <conditionalFormatting sqref="CR29 CU29 CW29">
    <cfRule type="colorScale" priority="1238">
      <colorScale>
        <cfvo type="num" val="0"/>
        <cfvo type="num" val="0.5"/>
        <cfvo type="num" val="1"/>
        <color rgb="FF92D050"/>
        <color rgb="FFFFA709"/>
        <color rgb="FFFF0000"/>
      </colorScale>
    </cfRule>
  </conditionalFormatting>
  <conditionalFormatting sqref="CS29">
    <cfRule type="colorScale" priority="1237">
      <colorScale>
        <cfvo type="num" val="0"/>
        <cfvo type="num" val="0.5"/>
        <cfvo type="num" val="1"/>
        <color rgb="FF92D050"/>
        <color rgb="FFFFA709"/>
        <color rgb="FFFF0000"/>
      </colorScale>
    </cfRule>
  </conditionalFormatting>
  <conditionalFormatting sqref="CT29">
    <cfRule type="colorScale" priority="1236">
      <colorScale>
        <cfvo type="num" val="0"/>
        <cfvo type="num" val="0.5"/>
        <cfvo type="num" val="1"/>
        <color rgb="FF92D050"/>
        <color rgb="FFFFA709"/>
        <color rgb="FFFF0000"/>
      </colorScale>
    </cfRule>
  </conditionalFormatting>
  <conditionalFormatting sqref="CV29">
    <cfRule type="colorScale" priority="1235">
      <colorScale>
        <cfvo type="num" val="0"/>
        <cfvo type="num" val="0.5"/>
        <cfvo type="num" val="1"/>
        <color rgb="FF92D050"/>
        <color rgb="FFFFA709"/>
        <color rgb="FFFF0000"/>
      </colorScale>
    </cfRule>
  </conditionalFormatting>
  <conditionalFormatting sqref="CX29 DA29 DC29">
    <cfRule type="colorScale" priority="1234">
      <colorScale>
        <cfvo type="num" val="0"/>
        <cfvo type="num" val="0.5"/>
        <cfvo type="num" val="1"/>
        <color rgb="FF92D050"/>
        <color rgb="FFFFA709"/>
        <color rgb="FFFF0000"/>
      </colorScale>
    </cfRule>
  </conditionalFormatting>
  <conditionalFormatting sqref="CY29">
    <cfRule type="colorScale" priority="1233">
      <colorScale>
        <cfvo type="num" val="0"/>
        <cfvo type="num" val="0.5"/>
        <cfvo type="num" val="1"/>
        <color rgb="FF92D050"/>
        <color rgb="FFFFA709"/>
        <color rgb="FFFF0000"/>
      </colorScale>
    </cfRule>
  </conditionalFormatting>
  <conditionalFormatting sqref="CZ29">
    <cfRule type="colorScale" priority="1232">
      <colorScale>
        <cfvo type="num" val="0"/>
        <cfvo type="num" val="0.5"/>
        <cfvo type="num" val="1"/>
        <color rgb="FF92D050"/>
        <color rgb="FFFFA709"/>
        <color rgb="FFFF0000"/>
      </colorScale>
    </cfRule>
  </conditionalFormatting>
  <conditionalFormatting sqref="DB29">
    <cfRule type="colorScale" priority="1231">
      <colorScale>
        <cfvo type="num" val="0"/>
        <cfvo type="num" val="0.5"/>
        <cfvo type="num" val="1"/>
        <color rgb="FF92D050"/>
        <color rgb="FFFFA709"/>
        <color rgb="FFFF0000"/>
      </colorScale>
    </cfRule>
  </conditionalFormatting>
  <conditionalFormatting sqref="C32:Q32 S32 V32:W32">
    <cfRule type="colorScale" priority="1229">
      <colorScale>
        <cfvo type="num" val="0"/>
        <cfvo type="num" val="0.5"/>
        <cfvo type="num" val="1"/>
        <color rgb="FF92D050"/>
        <color rgb="FFFFA709"/>
        <color rgb="FFFF0000"/>
      </colorScale>
    </cfRule>
  </conditionalFormatting>
  <conditionalFormatting sqref="B32">
    <cfRule type="colorScale" priority="1230">
      <colorScale>
        <cfvo type="num" val="0"/>
        <cfvo type="num" val="0.5"/>
        <cfvo type="num" val="1"/>
        <color rgb="FF92D050"/>
        <color rgb="FFFFA709"/>
        <color rgb="FFFF0000"/>
      </colorScale>
    </cfRule>
  </conditionalFormatting>
  <conditionalFormatting sqref="R32">
    <cfRule type="colorScale" priority="1228">
      <colorScale>
        <cfvo type="num" val="0"/>
        <cfvo type="num" val="0.5"/>
        <cfvo type="num" val="1"/>
        <color rgb="FF92D050"/>
        <color rgb="FFFFA709"/>
        <color rgb="FFFF0000"/>
      </colorScale>
    </cfRule>
  </conditionalFormatting>
  <conditionalFormatting sqref="T32">
    <cfRule type="colorScale" priority="1227">
      <colorScale>
        <cfvo type="num" val="0"/>
        <cfvo type="num" val="0.5"/>
        <cfvo type="num" val="1"/>
        <color rgb="FF92D050"/>
        <color rgb="FFFFA709"/>
        <color rgb="FFFF0000"/>
      </colorScale>
    </cfRule>
  </conditionalFormatting>
  <conditionalFormatting sqref="U32">
    <cfRule type="colorScale" priority="1226">
      <colorScale>
        <cfvo type="num" val="0"/>
        <cfvo type="num" val="0.5"/>
        <cfvo type="num" val="1"/>
        <color rgb="FF92D050"/>
        <color rgb="FFFFA709"/>
        <color rgb="FFFF0000"/>
      </colorScale>
    </cfRule>
  </conditionalFormatting>
  <conditionalFormatting sqref="X32 AA32 AC32">
    <cfRule type="colorScale" priority="1225">
      <colorScale>
        <cfvo type="num" val="0"/>
        <cfvo type="num" val="0.5"/>
        <cfvo type="num" val="1"/>
        <color rgb="FF92D050"/>
        <color rgb="FFFFA709"/>
        <color rgb="FFFF0000"/>
      </colorScale>
    </cfRule>
  </conditionalFormatting>
  <conditionalFormatting sqref="Y32">
    <cfRule type="colorScale" priority="1224">
      <colorScale>
        <cfvo type="num" val="0"/>
        <cfvo type="num" val="0.5"/>
        <cfvo type="num" val="1"/>
        <color rgb="FF92D050"/>
        <color rgb="FFFFA709"/>
        <color rgb="FFFF0000"/>
      </colorScale>
    </cfRule>
  </conditionalFormatting>
  <conditionalFormatting sqref="Z32">
    <cfRule type="colorScale" priority="1223">
      <colorScale>
        <cfvo type="num" val="0"/>
        <cfvo type="num" val="0.5"/>
        <cfvo type="num" val="1"/>
        <color rgb="FF92D050"/>
        <color rgb="FFFFA709"/>
        <color rgb="FFFF0000"/>
      </colorScale>
    </cfRule>
  </conditionalFormatting>
  <conditionalFormatting sqref="AB32">
    <cfRule type="colorScale" priority="1222">
      <colorScale>
        <cfvo type="num" val="0"/>
        <cfvo type="num" val="0.5"/>
        <cfvo type="num" val="1"/>
        <color rgb="FF92D050"/>
        <color rgb="FFFFA709"/>
        <color rgb="FFFF0000"/>
      </colorScale>
    </cfRule>
  </conditionalFormatting>
  <conditionalFormatting sqref="AD32 AG32 AI32">
    <cfRule type="colorScale" priority="1221">
      <colorScale>
        <cfvo type="num" val="0"/>
        <cfvo type="num" val="0.5"/>
        <cfvo type="num" val="1"/>
        <color rgb="FF92D050"/>
        <color rgb="FFFFA709"/>
        <color rgb="FFFF0000"/>
      </colorScale>
    </cfRule>
  </conditionalFormatting>
  <conditionalFormatting sqref="AE32">
    <cfRule type="colorScale" priority="1220">
      <colorScale>
        <cfvo type="num" val="0"/>
        <cfvo type="num" val="0.5"/>
        <cfvo type="num" val="1"/>
        <color rgb="FF92D050"/>
        <color rgb="FFFFA709"/>
        <color rgb="FFFF0000"/>
      </colorScale>
    </cfRule>
  </conditionalFormatting>
  <conditionalFormatting sqref="AF32">
    <cfRule type="colorScale" priority="1219">
      <colorScale>
        <cfvo type="num" val="0"/>
        <cfvo type="num" val="0.5"/>
        <cfvo type="num" val="1"/>
        <color rgb="FF92D050"/>
        <color rgb="FFFFA709"/>
        <color rgb="FFFF0000"/>
      </colorScale>
    </cfRule>
  </conditionalFormatting>
  <conditionalFormatting sqref="AH32">
    <cfRule type="colorScale" priority="1218">
      <colorScale>
        <cfvo type="num" val="0"/>
        <cfvo type="num" val="0.5"/>
        <cfvo type="num" val="1"/>
        <color rgb="FF92D050"/>
        <color rgb="FFFFA709"/>
        <color rgb="FFFF0000"/>
      </colorScale>
    </cfRule>
  </conditionalFormatting>
  <conditionalFormatting sqref="AJ32 AM32 AO32">
    <cfRule type="colorScale" priority="1217">
      <colorScale>
        <cfvo type="num" val="0"/>
        <cfvo type="num" val="0.5"/>
        <cfvo type="num" val="1"/>
        <color rgb="FF92D050"/>
        <color rgb="FFFFA709"/>
        <color rgb="FFFF0000"/>
      </colorScale>
    </cfRule>
  </conditionalFormatting>
  <conditionalFormatting sqref="AK32">
    <cfRule type="colorScale" priority="1216">
      <colorScale>
        <cfvo type="num" val="0"/>
        <cfvo type="num" val="0.5"/>
        <cfvo type="num" val="1"/>
        <color rgb="FF92D050"/>
        <color rgb="FFFFA709"/>
        <color rgb="FFFF0000"/>
      </colorScale>
    </cfRule>
  </conditionalFormatting>
  <conditionalFormatting sqref="AL32">
    <cfRule type="colorScale" priority="1215">
      <colorScale>
        <cfvo type="num" val="0"/>
        <cfvo type="num" val="0.5"/>
        <cfvo type="num" val="1"/>
        <color rgb="FF92D050"/>
        <color rgb="FFFFA709"/>
        <color rgb="FFFF0000"/>
      </colorScale>
    </cfRule>
  </conditionalFormatting>
  <conditionalFormatting sqref="AN32">
    <cfRule type="colorScale" priority="1214">
      <colorScale>
        <cfvo type="num" val="0"/>
        <cfvo type="num" val="0.5"/>
        <cfvo type="num" val="1"/>
        <color rgb="FF92D050"/>
        <color rgb="FFFFA709"/>
        <color rgb="FFFF0000"/>
      </colorScale>
    </cfRule>
  </conditionalFormatting>
  <conditionalFormatting sqref="AP32 AS32 AU32">
    <cfRule type="colorScale" priority="1213">
      <colorScale>
        <cfvo type="num" val="0"/>
        <cfvo type="num" val="0.5"/>
        <cfvo type="num" val="1"/>
        <color rgb="FF92D050"/>
        <color rgb="FFFFA709"/>
        <color rgb="FFFF0000"/>
      </colorScale>
    </cfRule>
  </conditionalFormatting>
  <conditionalFormatting sqref="AQ32">
    <cfRule type="colorScale" priority="1212">
      <colorScale>
        <cfvo type="num" val="0"/>
        <cfvo type="num" val="0.5"/>
        <cfvo type="num" val="1"/>
        <color rgb="FF92D050"/>
        <color rgb="FFFFA709"/>
        <color rgb="FFFF0000"/>
      </colorScale>
    </cfRule>
  </conditionalFormatting>
  <conditionalFormatting sqref="AR32">
    <cfRule type="colorScale" priority="1211">
      <colorScale>
        <cfvo type="num" val="0"/>
        <cfvo type="num" val="0.5"/>
        <cfvo type="num" val="1"/>
        <color rgb="FF92D050"/>
        <color rgb="FFFFA709"/>
        <color rgb="FFFF0000"/>
      </colorScale>
    </cfRule>
  </conditionalFormatting>
  <conditionalFormatting sqref="AT32">
    <cfRule type="colorScale" priority="1210">
      <colorScale>
        <cfvo type="num" val="0"/>
        <cfvo type="num" val="0.5"/>
        <cfvo type="num" val="1"/>
        <color rgb="FF92D050"/>
        <color rgb="FFFFA709"/>
        <color rgb="FFFF0000"/>
      </colorScale>
    </cfRule>
  </conditionalFormatting>
  <conditionalFormatting sqref="AV32 AY32 BA32">
    <cfRule type="colorScale" priority="1209">
      <colorScale>
        <cfvo type="num" val="0"/>
        <cfvo type="num" val="0.5"/>
        <cfvo type="num" val="1"/>
        <color rgb="FF92D050"/>
        <color rgb="FFFFA709"/>
        <color rgb="FFFF0000"/>
      </colorScale>
    </cfRule>
  </conditionalFormatting>
  <conditionalFormatting sqref="AW32">
    <cfRule type="colorScale" priority="1208">
      <colorScale>
        <cfvo type="num" val="0"/>
        <cfvo type="num" val="0.5"/>
        <cfvo type="num" val="1"/>
        <color rgb="FF92D050"/>
        <color rgb="FFFFA709"/>
        <color rgb="FFFF0000"/>
      </colorScale>
    </cfRule>
  </conditionalFormatting>
  <conditionalFormatting sqref="AX32">
    <cfRule type="colorScale" priority="1207">
      <colorScale>
        <cfvo type="num" val="0"/>
        <cfvo type="num" val="0.5"/>
        <cfvo type="num" val="1"/>
        <color rgb="FF92D050"/>
        <color rgb="FFFFA709"/>
        <color rgb="FFFF0000"/>
      </colorScale>
    </cfRule>
  </conditionalFormatting>
  <conditionalFormatting sqref="AZ32">
    <cfRule type="colorScale" priority="1206">
      <colorScale>
        <cfvo type="num" val="0"/>
        <cfvo type="num" val="0.5"/>
        <cfvo type="num" val="1"/>
        <color rgb="FF92D050"/>
        <color rgb="FFFFA709"/>
        <color rgb="FFFF0000"/>
      </colorScale>
    </cfRule>
  </conditionalFormatting>
  <conditionalFormatting sqref="BB32 BE32 BG32">
    <cfRule type="colorScale" priority="1205">
      <colorScale>
        <cfvo type="num" val="0"/>
        <cfvo type="num" val="0.5"/>
        <cfvo type="num" val="1"/>
        <color rgb="FF92D050"/>
        <color rgb="FFFFA709"/>
        <color rgb="FFFF0000"/>
      </colorScale>
    </cfRule>
  </conditionalFormatting>
  <conditionalFormatting sqref="BC32">
    <cfRule type="colorScale" priority="1204">
      <colorScale>
        <cfvo type="num" val="0"/>
        <cfvo type="num" val="0.5"/>
        <cfvo type="num" val="1"/>
        <color rgb="FF92D050"/>
        <color rgb="FFFFA709"/>
        <color rgb="FFFF0000"/>
      </colorScale>
    </cfRule>
  </conditionalFormatting>
  <conditionalFormatting sqref="BD32">
    <cfRule type="colorScale" priority="1203">
      <colorScale>
        <cfvo type="num" val="0"/>
        <cfvo type="num" val="0.5"/>
        <cfvo type="num" val="1"/>
        <color rgb="FF92D050"/>
        <color rgb="FFFFA709"/>
        <color rgb="FFFF0000"/>
      </colorScale>
    </cfRule>
  </conditionalFormatting>
  <conditionalFormatting sqref="BF32">
    <cfRule type="colorScale" priority="1202">
      <colorScale>
        <cfvo type="num" val="0"/>
        <cfvo type="num" val="0.5"/>
        <cfvo type="num" val="1"/>
        <color rgb="FF92D050"/>
        <color rgb="FFFFA709"/>
        <color rgb="FFFF0000"/>
      </colorScale>
    </cfRule>
  </conditionalFormatting>
  <conditionalFormatting sqref="BH32 BK32 BM32">
    <cfRule type="colorScale" priority="1201">
      <colorScale>
        <cfvo type="num" val="0"/>
        <cfvo type="num" val="0.5"/>
        <cfvo type="num" val="1"/>
        <color rgb="FF92D050"/>
        <color rgb="FFFFA709"/>
        <color rgb="FFFF0000"/>
      </colorScale>
    </cfRule>
  </conditionalFormatting>
  <conditionalFormatting sqref="BI32">
    <cfRule type="colorScale" priority="1200">
      <colorScale>
        <cfvo type="num" val="0"/>
        <cfvo type="num" val="0.5"/>
        <cfvo type="num" val="1"/>
        <color rgb="FF92D050"/>
        <color rgb="FFFFA709"/>
        <color rgb="FFFF0000"/>
      </colorScale>
    </cfRule>
  </conditionalFormatting>
  <conditionalFormatting sqref="BJ32">
    <cfRule type="colorScale" priority="1199">
      <colorScale>
        <cfvo type="num" val="0"/>
        <cfvo type="num" val="0.5"/>
        <cfvo type="num" val="1"/>
        <color rgb="FF92D050"/>
        <color rgb="FFFFA709"/>
        <color rgb="FFFF0000"/>
      </colorScale>
    </cfRule>
  </conditionalFormatting>
  <conditionalFormatting sqref="BL32">
    <cfRule type="colorScale" priority="1198">
      <colorScale>
        <cfvo type="num" val="0"/>
        <cfvo type="num" val="0.5"/>
        <cfvo type="num" val="1"/>
        <color rgb="FF92D050"/>
        <color rgb="FFFFA709"/>
        <color rgb="FFFF0000"/>
      </colorScale>
    </cfRule>
  </conditionalFormatting>
  <conditionalFormatting sqref="BN32 BQ32 BS32">
    <cfRule type="colorScale" priority="1197">
      <colorScale>
        <cfvo type="num" val="0"/>
        <cfvo type="num" val="0.5"/>
        <cfvo type="num" val="1"/>
        <color rgb="FF92D050"/>
        <color rgb="FFFFA709"/>
        <color rgb="FFFF0000"/>
      </colorScale>
    </cfRule>
  </conditionalFormatting>
  <conditionalFormatting sqref="BO32">
    <cfRule type="colorScale" priority="1196">
      <colorScale>
        <cfvo type="num" val="0"/>
        <cfvo type="num" val="0.5"/>
        <cfvo type="num" val="1"/>
        <color rgb="FF92D050"/>
        <color rgb="FFFFA709"/>
        <color rgb="FFFF0000"/>
      </colorScale>
    </cfRule>
  </conditionalFormatting>
  <conditionalFormatting sqref="BP32">
    <cfRule type="colorScale" priority="1195">
      <colorScale>
        <cfvo type="num" val="0"/>
        <cfvo type="num" val="0.5"/>
        <cfvo type="num" val="1"/>
        <color rgb="FF92D050"/>
        <color rgb="FFFFA709"/>
        <color rgb="FFFF0000"/>
      </colorScale>
    </cfRule>
  </conditionalFormatting>
  <conditionalFormatting sqref="BR32">
    <cfRule type="colorScale" priority="1194">
      <colorScale>
        <cfvo type="num" val="0"/>
        <cfvo type="num" val="0.5"/>
        <cfvo type="num" val="1"/>
        <color rgb="FF92D050"/>
        <color rgb="FFFFA709"/>
        <color rgb="FFFF0000"/>
      </colorScale>
    </cfRule>
  </conditionalFormatting>
  <conditionalFormatting sqref="BT32 BW32 BY32">
    <cfRule type="colorScale" priority="1193">
      <colorScale>
        <cfvo type="num" val="0"/>
        <cfvo type="num" val="0.5"/>
        <cfvo type="num" val="1"/>
        <color rgb="FF92D050"/>
        <color rgb="FFFFA709"/>
        <color rgb="FFFF0000"/>
      </colorScale>
    </cfRule>
  </conditionalFormatting>
  <conditionalFormatting sqref="BU32">
    <cfRule type="colorScale" priority="1192">
      <colorScale>
        <cfvo type="num" val="0"/>
        <cfvo type="num" val="0.5"/>
        <cfvo type="num" val="1"/>
        <color rgb="FF92D050"/>
        <color rgb="FFFFA709"/>
        <color rgb="FFFF0000"/>
      </colorScale>
    </cfRule>
  </conditionalFormatting>
  <conditionalFormatting sqref="BV32">
    <cfRule type="colorScale" priority="1191">
      <colorScale>
        <cfvo type="num" val="0"/>
        <cfvo type="num" val="0.5"/>
        <cfvo type="num" val="1"/>
        <color rgb="FF92D050"/>
        <color rgb="FFFFA709"/>
        <color rgb="FFFF0000"/>
      </colorScale>
    </cfRule>
  </conditionalFormatting>
  <conditionalFormatting sqref="BX32">
    <cfRule type="colorScale" priority="1190">
      <colorScale>
        <cfvo type="num" val="0"/>
        <cfvo type="num" val="0.5"/>
        <cfvo type="num" val="1"/>
        <color rgb="FF92D050"/>
        <color rgb="FFFFA709"/>
        <color rgb="FFFF0000"/>
      </colorScale>
    </cfRule>
  </conditionalFormatting>
  <conditionalFormatting sqref="BZ32 CC32 CE32">
    <cfRule type="colorScale" priority="1189">
      <colorScale>
        <cfvo type="num" val="0"/>
        <cfvo type="num" val="0.5"/>
        <cfvo type="num" val="1"/>
        <color rgb="FF92D050"/>
        <color rgb="FFFFA709"/>
        <color rgb="FFFF0000"/>
      </colorScale>
    </cfRule>
  </conditionalFormatting>
  <conditionalFormatting sqref="CA32">
    <cfRule type="colorScale" priority="1188">
      <colorScale>
        <cfvo type="num" val="0"/>
        <cfvo type="num" val="0.5"/>
        <cfvo type="num" val="1"/>
        <color rgb="FF92D050"/>
        <color rgb="FFFFA709"/>
        <color rgb="FFFF0000"/>
      </colorScale>
    </cfRule>
  </conditionalFormatting>
  <conditionalFormatting sqref="CB32">
    <cfRule type="colorScale" priority="1187">
      <colorScale>
        <cfvo type="num" val="0"/>
        <cfvo type="num" val="0.5"/>
        <cfvo type="num" val="1"/>
        <color rgb="FF92D050"/>
        <color rgb="FFFFA709"/>
        <color rgb="FFFF0000"/>
      </colorScale>
    </cfRule>
  </conditionalFormatting>
  <conditionalFormatting sqref="CD32">
    <cfRule type="colorScale" priority="1186">
      <colorScale>
        <cfvo type="num" val="0"/>
        <cfvo type="num" val="0.5"/>
        <cfvo type="num" val="1"/>
        <color rgb="FF92D050"/>
        <color rgb="FFFFA709"/>
        <color rgb="FFFF0000"/>
      </colorScale>
    </cfRule>
  </conditionalFormatting>
  <conditionalFormatting sqref="CF32 CI32 CK32">
    <cfRule type="colorScale" priority="1185">
      <colorScale>
        <cfvo type="num" val="0"/>
        <cfvo type="num" val="0.5"/>
        <cfvo type="num" val="1"/>
        <color rgb="FF92D050"/>
        <color rgb="FFFFA709"/>
        <color rgb="FFFF0000"/>
      </colorScale>
    </cfRule>
  </conditionalFormatting>
  <conditionalFormatting sqref="CG32">
    <cfRule type="colorScale" priority="1184">
      <colorScale>
        <cfvo type="num" val="0"/>
        <cfvo type="num" val="0.5"/>
        <cfvo type="num" val="1"/>
        <color rgb="FF92D050"/>
        <color rgb="FFFFA709"/>
        <color rgb="FFFF0000"/>
      </colorScale>
    </cfRule>
  </conditionalFormatting>
  <conditionalFormatting sqref="CH32">
    <cfRule type="colorScale" priority="1183">
      <colorScale>
        <cfvo type="num" val="0"/>
        <cfvo type="num" val="0.5"/>
        <cfvo type="num" val="1"/>
        <color rgb="FF92D050"/>
        <color rgb="FFFFA709"/>
        <color rgb="FFFF0000"/>
      </colorScale>
    </cfRule>
  </conditionalFormatting>
  <conditionalFormatting sqref="CJ32">
    <cfRule type="colorScale" priority="1182">
      <colorScale>
        <cfvo type="num" val="0"/>
        <cfvo type="num" val="0.5"/>
        <cfvo type="num" val="1"/>
        <color rgb="FF92D050"/>
        <color rgb="FFFFA709"/>
        <color rgb="FFFF0000"/>
      </colorScale>
    </cfRule>
  </conditionalFormatting>
  <conditionalFormatting sqref="CL32 CO32 CQ32">
    <cfRule type="colorScale" priority="1181">
      <colorScale>
        <cfvo type="num" val="0"/>
        <cfvo type="num" val="0.5"/>
        <cfvo type="num" val="1"/>
        <color rgb="FF92D050"/>
        <color rgb="FFFFA709"/>
        <color rgb="FFFF0000"/>
      </colorScale>
    </cfRule>
  </conditionalFormatting>
  <conditionalFormatting sqref="CM32">
    <cfRule type="colorScale" priority="1180">
      <colorScale>
        <cfvo type="num" val="0"/>
        <cfvo type="num" val="0.5"/>
        <cfvo type="num" val="1"/>
        <color rgb="FF92D050"/>
        <color rgb="FFFFA709"/>
        <color rgb="FFFF0000"/>
      </colorScale>
    </cfRule>
  </conditionalFormatting>
  <conditionalFormatting sqref="CN32">
    <cfRule type="colorScale" priority="1179">
      <colorScale>
        <cfvo type="num" val="0"/>
        <cfvo type="num" val="0.5"/>
        <cfvo type="num" val="1"/>
        <color rgb="FF92D050"/>
        <color rgb="FFFFA709"/>
        <color rgb="FFFF0000"/>
      </colorScale>
    </cfRule>
  </conditionalFormatting>
  <conditionalFormatting sqref="CP32">
    <cfRule type="colorScale" priority="1178">
      <colorScale>
        <cfvo type="num" val="0"/>
        <cfvo type="num" val="0.5"/>
        <cfvo type="num" val="1"/>
        <color rgb="FF92D050"/>
        <color rgb="FFFFA709"/>
        <color rgb="FFFF0000"/>
      </colorScale>
    </cfRule>
  </conditionalFormatting>
  <conditionalFormatting sqref="CR32 CU32 CW32">
    <cfRule type="colorScale" priority="1177">
      <colorScale>
        <cfvo type="num" val="0"/>
        <cfvo type="num" val="0.5"/>
        <cfvo type="num" val="1"/>
        <color rgb="FF92D050"/>
        <color rgb="FFFFA709"/>
        <color rgb="FFFF0000"/>
      </colorScale>
    </cfRule>
  </conditionalFormatting>
  <conditionalFormatting sqref="CS32">
    <cfRule type="colorScale" priority="1176">
      <colorScale>
        <cfvo type="num" val="0"/>
        <cfvo type="num" val="0.5"/>
        <cfvo type="num" val="1"/>
        <color rgb="FF92D050"/>
        <color rgb="FFFFA709"/>
        <color rgb="FFFF0000"/>
      </colorScale>
    </cfRule>
  </conditionalFormatting>
  <conditionalFormatting sqref="CT32">
    <cfRule type="colorScale" priority="1175">
      <colorScale>
        <cfvo type="num" val="0"/>
        <cfvo type="num" val="0.5"/>
        <cfvo type="num" val="1"/>
        <color rgb="FF92D050"/>
        <color rgb="FFFFA709"/>
        <color rgb="FFFF0000"/>
      </colorScale>
    </cfRule>
  </conditionalFormatting>
  <conditionalFormatting sqref="CV32">
    <cfRule type="colorScale" priority="1174">
      <colorScale>
        <cfvo type="num" val="0"/>
        <cfvo type="num" val="0.5"/>
        <cfvo type="num" val="1"/>
        <color rgb="FF92D050"/>
        <color rgb="FFFFA709"/>
        <color rgb="FFFF0000"/>
      </colorScale>
    </cfRule>
  </conditionalFormatting>
  <conditionalFormatting sqref="DA32 CX32 DC32">
    <cfRule type="colorScale" priority="1173">
      <colorScale>
        <cfvo type="num" val="0"/>
        <cfvo type="num" val="0.5"/>
        <cfvo type="num" val="1"/>
        <color rgb="FF92D050"/>
        <color rgb="FFFFA709"/>
        <color rgb="FFFF0000"/>
      </colorScale>
    </cfRule>
  </conditionalFormatting>
  <conditionalFormatting sqref="CY32">
    <cfRule type="colorScale" priority="1172">
      <colorScale>
        <cfvo type="num" val="0"/>
        <cfvo type="num" val="0.5"/>
        <cfvo type="num" val="1"/>
        <color rgb="FF92D050"/>
        <color rgb="FFFFA709"/>
        <color rgb="FFFF0000"/>
      </colorScale>
    </cfRule>
  </conditionalFormatting>
  <conditionalFormatting sqref="CZ32">
    <cfRule type="colorScale" priority="1171">
      <colorScale>
        <cfvo type="num" val="0"/>
        <cfvo type="num" val="0.5"/>
        <cfvo type="num" val="1"/>
        <color rgb="FF92D050"/>
        <color rgb="FFFFA709"/>
        <color rgb="FFFF0000"/>
      </colorScale>
    </cfRule>
  </conditionalFormatting>
  <conditionalFormatting sqref="DB32">
    <cfRule type="colorScale" priority="1170">
      <colorScale>
        <cfvo type="num" val="0"/>
        <cfvo type="num" val="0.5"/>
        <cfvo type="num" val="1"/>
        <color rgb="FF92D050"/>
        <color rgb="FFFFA709"/>
        <color rgb="FFFF0000"/>
      </colorScale>
    </cfRule>
  </conditionalFormatting>
  <conditionalFormatting sqref="DD4 DG4 DI4">
    <cfRule type="colorScale" priority="1169">
      <colorScale>
        <cfvo type="num" val="0"/>
        <cfvo type="num" val="0.5"/>
        <cfvo type="num" val="1"/>
        <color rgb="FF92D050"/>
        <color rgb="FFFFA709"/>
        <color rgb="FFFF0000"/>
      </colorScale>
    </cfRule>
  </conditionalFormatting>
  <conditionalFormatting sqref="DE4">
    <cfRule type="colorScale" priority="1168">
      <colorScale>
        <cfvo type="num" val="0"/>
        <cfvo type="num" val="0.5"/>
        <cfvo type="num" val="1"/>
        <color rgb="FF92D050"/>
        <color rgb="FFFFA709"/>
        <color rgb="FFFF0000"/>
      </colorScale>
    </cfRule>
  </conditionalFormatting>
  <conditionalFormatting sqref="DF4">
    <cfRule type="colorScale" priority="1167">
      <colorScale>
        <cfvo type="num" val="0"/>
        <cfvo type="num" val="0.5"/>
        <cfvo type="num" val="1"/>
        <color rgb="FF92D050"/>
        <color rgb="FFFFA709"/>
        <color rgb="FFFF0000"/>
      </colorScale>
    </cfRule>
  </conditionalFormatting>
  <conditionalFormatting sqref="DH4">
    <cfRule type="colorScale" priority="1166">
      <colorScale>
        <cfvo type="num" val="0"/>
        <cfvo type="num" val="0.5"/>
        <cfvo type="num" val="1"/>
        <color rgb="FF92D050"/>
        <color rgb="FFFFA709"/>
        <color rgb="FFFF0000"/>
      </colorScale>
    </cfRule>
  </conditionalFormatting>
  <conditionalFormatting sqref="DD7 DG7 DI7">
    <cfRule type="colorScale" priority="1165">
      <colorScale>
        <cfvo type="num" val="0"/>
        <cfvo type="num" val="0.5"/>
        <cfvo type="num" val="1"/>
        <color rgb="FF92D050"/>
        <color rgb="FFFFA709"/>
        <color rgb="FFFF0000"/>
      </colorScale>
    </cfRule>
  </conditionalFormatting>
  <conditionalFormatting sqref="DE7">
    <cfRule type="colorScale" priority="1164">
      <colorScale>
        <cfvo type="num" val="0"/>
        <cfvo type="num" val="0.5"/>
        <cfvo type="num" val="1"/>
        <color rgb="FF92D050"/>
        <color rgb="FFFFA709"/>
        <color rgb="FFFF0000"/>
      </colorScale>
    </cfRule>
  </conditionalFormatting>
  <conditionalFormatting sqref="DF7">
    <cfRule type="colorScale" priority="1163">
      <colorScale>
        <cfvo type="num" val="0"/>
        <cfvo type="num" val="0.5"/>
        <cfvo type="num" val="1"/>
        <color rgb="FF92D050"/>
        <color rgb="FFFFA709"/>
        <color rgb="FFFF0000"/>
      </colorScale>
    </cfRule>
  </conditionalFormatting>
  <conditionalFormatting sqref="DH7">
    <cfRule type="colorScale" priority="1162">
      <colorScale>
        <cfvo type="num" val="0"/>
        <cfvo type="num" val="0.5"/>
        <cfvo type="num" val="1"/>
        <color rgb="FF92D050"/>
        <color rgb="FFFFA709"/>
        <color rgb="FFFF0000"/>
      </colorScale>
    </cfRule>
  </conditionalFormatting>
  <conditionalFormatting sqref="DD10 DG10 DI10">
    <cfRule type="colorScale" priority="1161">
      <colorScale>
        <cfvo type="num" val="0"/>
        <cfvo type="num" val="0.5"/>
        <cfvo type="num" val="1"/>
        <color rgb="FF92D050"/>
        <color rgb="FFFFA709"/>
        <color rgb="FFFF0000"/>
      </colorScale>
    </cfRule>
  </conditionalFormatting>
  <conditionalFormatting sqref="DE10">
    <cfRule type="colorScale" priority="1160">
      <colorScale>
        <cfvo type="num" val="0"/>
        <cfvo type="num" val="0.5"/>
        <cfvo type="num" val="1"/>
        <color rgb="FF92D050"/>
        <color rgb="FFFFA709"/>
        <color rgb="FFFF0000"/>
      </colorScale>
    </cfRule>
  </conditionalFormatting>
  <conditionalFormatting sqref="DF10">
    <cfRule type="colorScale" priority="1159">
      <colorScale>
        <cfvo type="num" val="0"/>
        <cfvo type="num" val="0.5"/>
        <cfvo type="num" val="1"/>
        <color rgb="FF92D050"/>
        <color rgb="FFFFA709"/>
        <color rgb="FFFF0000"/>
      </colorScale>
    </cfRule>
  </conditionalFormatting>
  <conditionalFormatting sqref="DH10">
    <cfRule type="colorScale" priority="1158">
      <colorScale>
        <cfvo type="num" val="0"/>
        <cfvo type="num" val="0.5"/>
        <cfvo type="num" val="1"/>
        <color rgb="FF92D050"/>
        <color rgb="FFFFA709"/>
        <color rgb="FFFF0000"/>
      </colorScale>
    </cfRule>
  </conditionalFormatting>
  <conditionalFormatting sqref="DD16 DG16 DI16">
    <cfRule type="colorScale" priority="1157">
      <colorScale>
        <cfvo type="num" val="0"/>
        <cfvo type="num" val="0.5"/>
        <cfvo type="num" val="1"/>
        <color rgb="FF92D050"/>
        <color rgb="FFFFA709"/>
        <color rgb="FFFF0000"/>
      </colorScale>
    </cfRule>
  </conditionalFormatting>
  <conditionalFormatting sqref="DE16">
    <cfRule type="colorScale" priority="1156">
      <colorScale>
        <cfvo type="num" val="0"/>
        <cfvo type="num" val="0.5"/>
        <cfvo type="num" val="1"/>
        <color rgb="FF92D050"/>
        <color rgb="FFFFA709"/>
        <color rgb="FFFF0000"/>
      </colorScale>
    </cfRule>
  </conditionalFormatting>
  <conditionalFormatting sqref="DF16">
    <cfRule type="colorScale" priority="1155">
      <colorScale>
        <cfvo type="num" val="0"/>
        <cfvo type="num" val="0.5"/>
        <cfvo type="num" val="1"/>
        <color rgb="FF92D050"/>
        <color rgb="FFFFA709"/>
        <color rgb="FFFF0000"/>
      </colorScale>
    </cfRule>
  </conditionalFormatting>
  <conditionalFormatting sqref="DH16">
    <cfRule type="colorScale" priority="1154">
      <colorScale>
        <cfvo type="num" val="0"/>
        <cfvo type="num" val="0.5"/>
        <cfvo type="num" val="1"/>
        <color rgb="FF92D050"/>
        <color rgb="FFFFA709"/>
        <color rgb="FFFF0000"/>
      </colorScale>
    </cfRule>
  </conditionalFormatting>
  <conditionalFormatting sqref="DD19 DG19 DI19">
    <cfRule type="colorScale" priority="1153">
      <colorScale>
        <cfvo type="num" val="0"/>
        <cfvo type="num" val="0.5"/>
        <cfvo type="num" val="1"/>
        <color rgb="FF92D050"/>
        <color rgb="FFFFA709"/>
        <color rgb="FFFF0000"/>
      </colorScale>
    </cfRule>
  </conditionalFormatting>
  <conditionalFormatting sqref="DE19">
    <cfRule type="colorScale" priority="1152">
      <colorScale>
        <cfvo type="num" val="0"/>
        <cfvo type="num" val="0.5"/>
        <cfvo type="num" val="1"/>
        <color rgb="FF92D050"/>
        <color rgb="FFFFA709"/>
        <color rgb="FFFF0000"/>
      </colorScale>
    </cfRule>
  </conditionalFormatting>
  <conditionalFormatting sqref="DF19">
    <cfRule type="colorScale" priority="1151">
      <colorScale>
        <cfvo type="num" val="0"/>
        <cfvo type="num" val="0.5"/>
        <cfvo type="num" val="1"/>
        <color rgb="FF92D050"/>
        <color rgb="FFFFA709"/>
        <color rgb="FFFF0000"/>
      </colorScale>
    </cfRule>
  </conditionalFormatting>
  <conditionalFormatting sqref="DH19">
    <cfRule type="colorScale" priority="1150">
      <colorScale>
        <cfvo type="num" val="0"/>
        <cfvo type="num" val="0.5"/>
        <cfvo type="num" val="1"/>
        <color rgb="FF92D050"/>
        <color rgb="FFFFA709"/>
        <color rgb="FFFF0000"/>
      </colorScale>
    </cfRule>
  </conditionalFormatting>
  <conditionalFormatting sqref="DD22">
    <cfRule type="colorScale" priority="1149">
      <colorScale>
        <cfvo type="num" val="0"/>
        <cfvo type="num" val="0.5"/>
        <cfvo type="num" val="1"/>
        <color rgb="FF92D050"/>
        <color rgb="FFFFA709"/>
        <color rgb="FFFF0000"/>
      </colorScale>
    </cfRule>
  </conditionalFormatting>
  <conditionalFormatting sqref="DE22">
    <cfRule type="colorScale" priority="1148">
      <colorScale>
        <cfvo type="num" val="0"/>
        <cfvo type="num" val="0.5"/>
        <cfvo type="num" val="1"/>
        <color rgb="FF92D050"/>
        <color rgb="FFFFA709"/>
        <color rgb="FFFF0000"/>
      </colorScale>
    </cfRule>
  </conditionalFormatting>
  <conditionalFormatting sqref="DF22">
    <cfRule type="colorScale" priority="1147">
      <colorScale>
        <cfvo type="num" val="0"/>
        <cfvo type="num" val="0.5"/>
        <cfvo type="num" val="1"/>
        <color rgb="FF92D050"/>
        <color rgb="FFFFA709"/>
        <color rgb="FFFF0000"/>
      </colorScale>
    </cfRule>
  </conditionalFormatting>
  <conditionalFormatting sqref="DG22">
    <cfRule type="colorScale" priority="1146">
      <colorScale>
        <cfvo type="num" val="0"/>
        <cfvo type="num" val="0.5"/>
        <cfvo type="num" val="1"/>
        <color rgb="FF92D050"/>
        <color rgb="FFFFA709"/>
        <color rgb="FFFF0000"/>
      </colorScale>
    </cfRule>
  </conditionalFormatting>
  <conditionalFormatting sqref="DH22">
    <cfRule type="colorScale" priority="1145">
      <colorScale>
        <cfvo type="num" val="0"/>
        <cfvo type="num" val="0.5"/>
        <cfvo type="num" val="1"/>
        <color rgb="FF92D050"/>
        <color rgb="FFFFA709"/>
        <color rgb="FFFF0000"/>
      </colorScale>
    </cfRule>
  </conditionalFormatting>
  <conditionalFormatting sqref="DI22">
    <cfRule type="colorScale" priority="1144">
      <colorScale>
        <cfvo type="num" val="0"/>
        <cfvo type="num" val="0.5"/>
        <cfvo type="num" val="1"/>
        <color rgb="FF92D050"/>
        <color rgb="FFFFA709"/>
        <color rgb="FFFF0000"/>
      </colorScale>
    </cfRule>
  </conditionalFormatting>
  <conditionalFormatting sqref="DD1:DH1">
    <cfRule type="timePeriod" dxfId="39" priority="1143" timePeriod="today">
      <formula>FLOOR(DD1,1)=TODAY()</formula>
    </cfRule>
  </conditionalFormatting>
  <conditionalFormatting sqref="DD26 DG26 DI26">
    <cfRule type="colorScale" priority="1142">
      <colorScale>
        <cfvo type="num" val="0"/>
        <cfvo type="num" val="0.5"/>
        <cfvo type="num" val="1"/>
        <color rgb="FF92D050"/>
        <color rgb="FFFFA709"/>
        <color rgb="FFFF0000"/>
      </colorScale>
    </cfRule>
  </conditionalFormatting>
  <conditionalFormatting sqref="DE26">
    <cfRule type="colorScale" priority="1141">
      <colorScale>
        <cfvo type="num" val="0"/>
        <cfvo type="num" val="0.5"/>
        <cfvo type="num" val="1"/>
        <color rgb="FF92D050"/>
        <color rgb="FFFFA709"/>
        <color rgb="FFFF0000"/>
      </colorScale>
    </cfRule>
  </conditionalFormatting>
  <conditionalFormatting sqref="DF26">
    <cfRule type="colorScale" priority="1140">
      <colorScale>
        <cfvo type="num" val="0"/>
        <cfvo type="num" val="0.5"/>
        <cfvo type="num" val="1"/>
        <color rgb="FF92D050"/>
        <color rgb="FFFFA709"/>
        <color rgb="FFFF0000"/>
      </colorScale>
    </cfRule>
  </conditionalFormatting>
  <conditionalFormatting sqref="DH26">
    <cfRule type="colorScale" priority="1139">
      <colorScale>
        <cfvo type="num" val="0"/>
        <cfvo type="num" val="0.5"/>
        <cfvo type="num" val="1"/>
        <color rgb="FF92D050"/>
        <color rgb="FFFFA709"/>
        <color rgb="FFFF0000"/>
      </colorScale>
    </cfRule>
  </conditionalFormatting>
  <conditionalFormatting sqref="DD29 DG29 DI29">
    <cfRule type="colorScale" priority="1134">
      <colorScale>
        <cfvo type="num" val="0"/>
        <cfvo type="num" val="0.5"/>
        <cfvo type="num" val="1"/>
        <color rgb="FF92D050"/>
        <color rgb="FFFFA709"/>
        <color rgb="FFFF0000"/>
      </colorScale>
    </cfRule>
  </conditionalFormatting>
  <conditionalFormatting sqref="DE29">
    <cfRule type="colorScale" priority="1133">
      <colorScale>
        <cfvo type="num" val="0"/>
        <cfvo type="num" val="0.5"/>
        <cfvo type="num" val="1"/>
        <color rgb="FF92D050"/>
        <color rgb="FFFFA709"/>
        <color rgb="FFFF0000"/>
      </colorScale>
    </cfRule>
  </conditionalFormatting>
  <conditionalFormatting sqref="DF29">
    <cfRule type="colorScale" priority="1132">
      <colorScale>
        <cfvo type="num" val="0"/>
        <cfvo type="num" val="0.5"/>
        <cfvo type="num" val="1"/>
        <color rgb="FF92D050"/>
        <color rgb="FFFFA709"/>
        <color rgb="FFFF0000"/>
      </colorScale>
    </cfRule>
  </conditionalFormatting>
  <conditionalFormatting sqref="DH29">
    <cfRule type="colorScale" priority="1131">
      <colorScale>
        <cfvo type="num" val="0"/>
        <cfvo type="num" val="0.5"/>
        <cfvo type="num" val="1"/>
        <color rgb="FF92D050"/>
        <color rgb="FFFFA709"/>
        <color rgb="FFFF0000"/>
      </colorScale>
    </cfRule>
  </conditionalFormatting>
  <conditionalFormatting sqref="DD32 DG32 DI32">
    <cfRule type="colorScale" priority="1130">
      <colorScale>
        <cfvo type="num" val="0"/>
        <cfvo type="num" val="0.5"/>
        <cfvo type="num" val="1"/>
        <color rgb="FF92D050"/>
        <color rgb="FFFFA709"/>
        <color rgb="FFFF0000"/>
      </colorScale>
    </cfRule>
  </conditionalFormatting>
  <conditionalFormatting sqref="DE32">
    <cfRule type="colorScale" priority="1129">
      <colorScale>
        <cfvo type="num" val="0"/>
        <cfvo type="num" val="0.5"/>
        <cfvo type="num" val="1"/>
        <color rgb="FF92D050"/>
        <color rgb="FFFFA709"/>
        <color rgb="FFFF0000"/>
      </colorScale>
    </cfRule>
  </conditionalFormatting>
  <conditionalFormatting sqref="DF32">
    <cfRule type="colorScale" priority="1128">
      <colorScale>
        <cfvo type="num" val="0"/>
        <cfvo type="num" val="0.5"/>
        <cfvo type="num" val="1"/>
        <color rgb="FF92D050"/>
        <color rgb="FFFFA709"/>
        <color rgb="FFFF0000"/>
      </colorScale>
    </cfRule>
  </conditionalFormatting>
  <conditionalFormatting sqref="DH32">
    <cfRule type="colorScale" priority="1127">
      <colorScale>
        <cfvo type="num" val="0"/>
        <cfvo type="num" val="0.5"/>
        <cfvo type="num" val="1"/>
        <color rgb="FF92D050"/>
        <color rgb="FFFFA709"/>
        <color rgb="FFFF0000"/>
      </colorScale>
    </cfRule>
  </conditionalFormatting>
  <conditionalFormatting sqref="DJ4 DM4 DO4">
    <cfRule type="colorScale" priority="1126">
      <colorScale>
        <cfvo type="num" val="0"/>
        <cfvo type="num" val="0.5"/>
        <cfvo type="num" val="1"/>
        <color rgb="FF92D050"/>
        <color rgb="FFFFA709"/>
        <color rgb="FFFF0000"/>
      </colorScale>
    </cfRule>
  </conditionalFormatting>
  <conditionalFormatting sqref="DK4">
    <cfRule type="colorScale" priority="1125">
      <colorScale>
        <cfvo type="num" val="0"/>
        <cfvo type="num" val="0.5"/>
        <cfvo type="num" val="1"/>
        <color rgb="FF92D050"/>
        <color rgb="FFFFA709"/>
        <color rgb="FFFF0000"/>
      </colorScale>
    </cfRule>
  </conditionalFormatting>
  <conditionalFormatting sqref="DL4">
    <cfRule type="colorScale" priority="1124">
      <colorScale>
        <cfvo type="num" val="0"/>
        <cfvo type="num" val="0.5"/>
        <cfvo type="num" val="1"/>
        <color rgb="FF92D050"/>
        <color rgb="FFFFA709"/>
        <color rgb="FFFF0000"/>
      </colorScale>
    </cfRule>
  </conditionalFormatting>
  <conditionalFormatting sqref="DN4">
    <cfRule type="colorScale" priority="1123">
      <colorScale>
        <cfvo type="num" val="0"/>
        <cfvo type="num" val="0.5"/>
        <cfvo type="num" val="1"/>
        <color rgb="FF92D050"/>
        <color rgb="FFFFA709"/>
        <color rgb="FFFF0000"/>
      </colorScale>
    </cfRule>
  </conditionalFormatting>
  <conditionalFormatting sqref="DJ7 DM7 DO7">
    <cfRule type="colorScale" priority="1122">
      <colorScale>
        <cfvo type="num" val="0"/>
        <cfvo type="num" val="0.5"/>
        <cfvo type="num" val="1"/>
        <color rgb="FF92D050"/>
        <color rgb="FFFFA709"/>
        <color rgb="FFFF0000"/>
      </colorScale>
    </cfRule>
  </conditionalFormatting>
  <conditionalFormatting sqref="DK7">
    <cfRule type="colorScale" priority="1121">
      <colorScale>
        <cfvo type="num" val="0"/>
        <cfvo type="num" val="0.5"/>
        <cfvo type="num" val="1"/>
        <color rgb="FF92D050"/>
        <color rgb="FFFFA709"/>
        <color rgb="FFFF0000"/>
      </colorScale>
    </cfRule>
  </conditionalFormatting>
  <conditionalFormatting sqref="DL7">
    <cfRule type="colorScale" priority="1120">
      <colorScale>
        <cfvo type="num" val="0"/>
        <cfvo type="num" val="0.5"/>
        <cfvo type="num" val="1"/>
        <color rgb="FF92D050"/>
        <color rgb="FFFFA709"/>
        <color rgb="FFFF0000"/>
      </colorScale>
    </cfRule>
  </conditionalFormatting>
  <conditionalFormatting sqref="DN7">
    <cfRule type="colorScale" priority="1119">
      <colorScale>
        <cfvo type="num" val="0"/>
        <cfvo type="num" val="0.5"/>
        <cfvo type="num" val="1"/>
        <color rgb="FF92D050"/>
        <color rgb="FFFFA709"/>
        <color rgb="FFFF0000"/>
      </colorScale>
    </cfRule>
  </conditionalFormatting>
  <conditionalFormatting sqref="DJ10 DM10 DO10">
    <cfRule type="colorScale" priority="1118">
      <colorScale>
        <cfvo type="num" val="0"/>
        <cfvo type="num" val="0.5"/>
        <cfvo type="num" val="1"/>
        <color rgb="FF92D050"/>
        <color rgb="FFFFA709"/>
        <color rgb="FFFF0000"/>
      </colorScale>
    </cfRule>
  </conditionalFormatting>
  <conditionalFormatting sqref="DK10">
    <cfRule type="colorScale" priority="1117">
      <colorScale>
        <cfvo type="num" val="0"/>
        <cfvo type="num" val="0.5"/>
        <cfvo type="num" val="1"/>
        <color rgb="FF92D050"/>
        <color rgb="FFFFA709"/>
        <color rgb="FFFF0000"/>
      </colorScale>
    </cfRule>
  </conditionalFormatting>
  <conditionalFormatting sqref="DL10">
    <cfRule type="colorScale" priority="1116">
      <colorScale>
        <cfvo type="num" val="0"/>
        <cfvo type="num" val="0.5"/>
        <cfvo type="num" val="1"/>
        <color rgb="FF92D050"/>
        <color rgb="FFFFA709"/>
        <color rgb="FFFF0000"/>
      </colorScale>
    </cfRule>
  </conditionalFormatting>
  <conditionalFormatting sqref="DN10">
    <cfRule type="colorScale" priority="1115">
      <colorScale>
        <cfvo type="num" val="0"/>
        <cfvo type="num" val="0.5"/>
        <cfvo type="num" val="1"/>
        <color rgb="FF92D050"/>
        <color rgb="FFFFA709"/>
        <color rgb="FFFF0000"/>
      </colorScale>
    </cfRule>
  </conditionalFormatting>
  <conditionalFormatting sqref="DM16 DJ16 DO16">
    <cfRule type="colorScale" priority="1114">
      <colorScale>
        <cfvo type="num" val="0"/>
        <cfvo type="num" val="0.5"/>
        <cfvo type="num" val="1"/>
        <color rgb="FF92D050"/>
        <color rgb="FFFFA709"/>
        <color rgb="FFFF0000"/>
      </colorScale>
    </cfRule>
  </conditionalFormatting>
  <conditionalFormatting sqref="DK16">
    <cfRule type="colorScale" priority="1113">
      <colorScale>
        <cfvo type="num" val="0"/>
        <cfvo type="num" val="0.5"/>
        <cfvo type="num" val="1"/>
        <color rgb="FF92D050"/>
        <color rgb="FFFFA709"/>
        <color rgb="FFFF0000"/>
      </colorScale>
    </cfRule>
  </conditionalFormatting>
  <conditionalFormatting sqref="DL16">
    <cfRule type="colorScale" priority="1112">
      <colorScale>
        <cfvo type="num" val="0"/>
        <cfvo type="num" val="0.5"/>
        <cfvo type="num" val="1"/>
        <color rgb="FF92D050"/>
        <color rgb="FFFFA709"/>
        <color rgb="FFFF0000"/>
      </colorScale>
    </cfRule>
  </conditionalFormatting>
  <conditionalFormatting sqref="DN16">
    <cfRule type="colorScale" priority="1111">
      <colorScale>
        <cfvo type="num" val="0"/>
        <cfvo type="num" val="0.5"/>
        <cfvo type="num" val="1"/>
        <color rgb="FF92D050"/>
        <color rgb="FFFFA709"/>
        <color rgb="FFFF0000"/>
      </colorScale>
    </cfRule>
  </conditionalFormatting>
  <conditionalFormatting sqref="DM19 DJ19 DO19">
    <cfRule type="colorScale" priority="1110">
      <colorScale>
        <cfvo type="num" val="0"/>
        <cfvo type="num" val="0.5"/>
        <cfvo type="num" val="1"/>
        <color rgb="FF92D050"/>
        <color rgb="FFFFA709"/>
        <color rgb="FFFF0000"/>
      </colorScale>
    </cfRule>
  </conditionalFormatting>
  <conditionalFormatting sqref="DK19">
    <cfRule type="colorScale" priority="1109">
      <colorScale>
        <cfvo type="num" val="0"/>
        <cfvo type="num" val="0.5"/>
        <cfvo type="num" val="1"/>
        <color rgb="FF92D050"/>
        <color rgb="FFFFA709"/>
        <color rgb="FFFF0000"/>
      </colorScale>
    </cfRule>
  </conditionalFormatting>
  <conditionalFormatting sqref="DL19">
    <cfRule type="colorScale" priority="1108">
      <colorScale>
        <cfvo type="num" val="0"/>
        <cfvo type="num" val="0.5"/>
        <cfvo type="num" val="1"/>
        <color rgb="FF92D050"/>
        <color rgb="FFFFA709"/>
        <color rgb="FFFF0000"/>
      </colorScale>
    </cfRule>
  </conditionalFormatting>
  <conditionalFormatting sqref="DN19">
    <cfRule type="colorScale" priority="1107">
      <colorScale>
        <cfvo type="num" val="0"/>
        <cfvo type="num" val="0.5"/>
        <cfvo type="num" val="1"/>
        <color rgb="FF92D050"/>
        <color rgb="FFFFA709"/>
        <color rgb="FFFF0000"/>
      </colorScale>
    </cfRule>
  </conditionalFormatting>
  <conditionalFormatting sqref="DJ22">
    <cfRule type="colorScale" priority="1106">
      <colorScale>
        <cfvo type="num" val="0"/>
        <cfvo type="num" val="0.5"/>
        <cfvo type="num" val="1"/>
        <color rgb="FF92D050"/>
        <color rgb="FFFFA709"/>
        <color rgb="FFFF0000"/>
      </colorScale>
    </cfRule>
  </conditionalFormatting>
  <conditionalFormatting sqref="DK22">
    <cfRule type="colorScale" priority="1105">
      <colorScale>
        <cfvo type="num" val="0"/>
        <cfvo type="num" val="0.5"/>
        <cfvo type="num" val="1"/>
        <color rgb="FF92D050"/>
        <color rgb="FFFFA709"/>
        <color rgb="FFFF0000"/>
      </colorScale>
    </cfRule>
  </conditionalFormatting>
  <conditionalFormatting sqref="DL22">
    <cfRule type="colorScale" priority="1104">
      <colorScale>
        <cfvo type="num" val="0"/>
        <cfvo type="num" val="0.5"/>
        <cfvo type="num" val="1"/>
        <color rgb="FF92D050"/>
        <color rgb="FFFFA709"/>
        <color rgb="FFFF0000"/>
      </colorScale>
    </cfRule>
  </conditionalFormatting>
  <conditionalFormatting sqref="DM22">
    <cfRule type="colorScale" priority="1103">
      <colorScale>
        <cfvo type="num" val="0"/>
        <cfvo type="num" val="0.5"/>
        <cfvo type="num" val="1"/>
        <color rgb="FF92D050"/>
        <color rgb="FFFFA709"/>
        <color rgb="FFFF0000"/>
      </colorScale>
    </cfRule>
  </conditionalFormatting>
  <conditionalFormatting sqref="DN22">
    <cfRule type="colorScale" priority="1102">
      <colorScale>
        <cfvo type="num" val="0"/>
        <cfvo type="num" val="0.5"/>
        <cfvo type="num" val="1"/>
        <color rgb="FF92D050"/>
        <color rgb="FFFFA709"/>
        <color rgb="FFFF0000"/>
      </colorScale>
    </cfRule>
  </conditionalFormatting>
  <conditionalFormatting sqref="DO22">
    <cfRule type="colorScale" priority="1101">
      <colorScale>
        <cfvo type="num" val="0"/>
        <cfvo type="num" val="0.5"/>
        <cfvo type="num" val="1"/>
        <color rgb="FF92D050"/>
        <color rgb="FFFFA709"/>
        <color rgb="FFFF0000"/>
      </colorScale>
    </cfRule>
  </conditionalFormatting>
  <conditionalFormatting sqref="DJ1:DN1">
    <cfRule type="timePeriod" dxfId="38" priority="1100" timePeriod="today">
      <formula>FLOOR(DJ1,1)=TODAY()</formula>
    </cfRule>
  </conditionalFormatting>
  <conditionalFormatting sqref="DJ26 DM26 DO26">
    <cfRule type="colorScale" priority="1099">
      <colorScale>
        <cfvo type="num" val="0"/>
        <cfvo type="num" val="0.5"/>
        <cfvo type="num" val="1"/>
        <color rgb="FF92D050"/>
        <color rgb="FFFFA709"/>
        <color rgb="FFFF0000"/>
      </colorScale>
    </cfRule>
  </conditionalFormatting>
  <conditionalFormatting sqref="DK26">
    <cfRule type="colorScale" priority="1098">
      <colorScale>
        <cfvo type="num" val="0"/>
        <cfvo type="num" val="0.5"/>
        <cfvo type="num" val="1"/>
        <color rgb="FF92D050"/>
        <color rgb="FFFFA709"/>
        <color rgb="FFFF0000"/>
      </colorScale>
    </cfRule>
  </conditionalFormatting>
  <conditionalFormatting sqref="DL26">
    <cfRule type="colorScale" priority="1097">
      <colorScale>
        <cfvo type="num" val="0"/>
        <cfvo type="num" val="0.5"/>
        <cfvo type="num" val="1"/>
        <color rgb="FF92D050"/>
        <color rgb="FFFFA709"/>
        <color rgb="FFFF0000"/>
      </colorScale>
    </cfRule>
  </conditionalFormatting>
  <conditionalFormatting sqref="DN26">
    <cfRule type="colorScale" priority="1096">
      <colorScale>
        <cfvo type="num" val="0"/>
        <cfvo type="num" val="0.5"/>
        <cfvo type="num" val="1"/>
        <color rgb="FF92D050"/>
        <color rgb="FFFFA709"/>
        <color rgb="FFFF0000"/>
      </colorScale>
    </cfRule>
  </conditionalFormatting>
  <conditionalFormatting sqref="DJ29 DM29 DO29">
    <cfRule type="colorScale" priority="1091">
      <colorScale>
        <cfvo type="num" val="0"/>
        <cfvo type="num" val="0.5"/>
        <cfvo type="num" val="1"/>
        <color rgb="FF92D050"/>
        <color rgb="FFFFA709"/>
        <color rgb="FFFF0000"/>
      </colorScale>
    </cfRule>
  </conditionalFormatting>
  <conditionalFormatting sqref="DK29">
    <cfRule type="colorScale" priority="1090">
      <colorScale>
        <cfvo type="num" val="0"/>
        <cfvo type="num" val="0.5"/>
        <cfvo type="num" val="1"/>
        <color rgb="FF92D050"/>
        <color rgb="FFFFA709"/>
        <color rgb="FFFF0000"/>
      </colorScale>
    </cfRule>
  </conditionalFormatting>
  <conditionalFormatting sqref="DL29">
    <cfRule type="colorScale" priority="1089">
      <colorScale>
        <cfvo type="num" val="0"/>
        <cfvo type="num" val="0.5"/>
        <cfvo type="num" val="1"/>
        <color rgb="FF92D050"/>
        <color rgb="FFFFA709"/>
        <color rgb="FFFF0000"/>
      </colorScale>
    </cfRule>
  </conditionalFormatting>
  <conditionalFormatting sqref="DN29">
    <cfRule type="colorScale" priority="1088">
      <colorScale>
        <cfvo type="num" val="0"/>
        <cfvo type="num" val="0.5"/>
        <cfvo type="num" val="1"/>
        <color rgb="FF92D050"/>
        <color rgb="FFFFA709"/>
        <color rgb="FFFF0000"/>
      </colorScale>
    </cfRule>
  </conditionalFormatting>
  <conditionalFormatting sqref="DJ32 DM32 DO32">
    <cfRule type="colorScale" priority="1087">
      <colorScale>
        <cfvo type="num" val="0"/>
        <cfvo type="num" val="0.5"/>
        <cfvo type="num" val="1"/>
        <color rgb="FF92D050"/>
        <color rgb="FFFFA709"/>
        <color rgb="FFFF0000"/>
      </colorScale>
    </cfRule>
  </conditionalFormatting>
  <conditionalFormatting sqref="DK32">
    <cfRule type="colorScale" priority="1086">
      <colorScale>
        <cfvo type="num" val="0"/>
        <cfvo type="num" val="0.5"/>
        <cfvo type="num" val="1"/>
        <color rgb="FF92D050"/>
        <color rgb="FFFFA709"/>
        <color rgb="FFFF0000"/>
      </colorScale>
    </cfRule>
  </conditionalFormatting>
  <conditionalFormatting sqref="DL32">
    <cfRule type="colorScale" priority="1085">
      <colorScale>
        <cfvo type="num" val="0"/>
        <cfvo type="num" val="0.5"/>
        <cfvo type="num" val="1"/>
        <color rgb="FF92D050"/>
        <color rgb="FFFFA709"/>
        <color rgb="FFFF0000"/>
      </colorScale>
    </cfRule>
  </conditionalFormatting>
  <conditionalFormatting sqref="DN32">
    <cfRule type="colorScale" priority="1084">
      <colorScale>
        <cfvo type="num" val="0"/>
        <cfvo type="num" val="0.5"/>
        <cfvo type="num" val="1"/>
        <color rgb="FF92D050"/>
        <color rgb="FFFFA709"/>
        <color rgb="FFFF0000"/>
      </colorScale>
    </cfRule>
  </conditionalFormatting>
  <conditionalFormatting sqref="DS4 DP4 DU4">
    <cfRule type="colorScale" priority="1083">
      <colorScale>
        <cfvo type="num" val="0"/>
        <cfvo type="num" val="0.5"/>
        <cfvo type="num" val="1"/>
        <color rgb="FF92D050"/>
        <color rgb="FFFFA709"/>
        <color rgb="FFFF0000"/>
      </colorScale>
    </cfRule>
  </conditionalFormatting>
  <conditionalFormatting sqref="DQ4">
    <cfRule type="colorScale" priority="1082">
      <colorScale>
        <cfvo type="num" val="0"/>
        <cfvo type="num" val="0.5"/>
        <cfvo type="num" val="1"/>
        <color rgb="FF92D050"/>
        <color rgb="FFFFA709"/>
        <color rgb="FFFF0000"/>
      </colorScale>
    </cfRule>
  </conditionalFormatting>
  <conditionalFormatting sqref="DR4">
    <cfRule type="colorScale" priority="1081">
      <colorScale>
        <cfvo type="num" val="0"/>
        <cfvo type="num" val="0.5"/>
        <cfvo type="num" val="1"/>
        <color rgb="FF92D050"/>
        <color rgb="FFFFA709"/>
        <color rgb="FFFF0000"/>
      </colorScale>
    </cfRule>
  </conditionalFormatting>
  <conditionalFormatting sqref="DT4">
    <cfRule type="colorScale" priority="1080">
      <colorScale>
        <cfvo type="num" val="0"/>
        <cfvo type="num" val="0.5"/>
        <cfvo type="num" val="1"/>
        <color rgb="FF92D050"/>
        <color rgb="FFFFA709"/>
        <color rgb="FFFF0000"/>
      </colorScale>
    </cfRule>
  </conditionalFormatting>
  <conditionalFormatting sqref="DP7 DS7 DU7">
    <cfRule type="colorScale" priority="1079">
      <colorScale>
        <cfvo type="num" val="0"/>
        <cfvo type="num" val="0.5"/>
        <cfvo type="num" val="1"/>
        <color rgb="FF92D050"/>
        <color rgb="FFFFA709"/>
        <color rgb="FFFF0000"/>
      </colorScale>
    </cfRule>
  </conditionalFormatting>
  <conditionalFormatting sqref="DQ7">
    <cfRule type="colorScale" priority="1078">
      <colorScale>
        <cfvo type="num" val="0"/>
        <cfvo type="num" val="0.5"/>
        <cfvo type="num" val="1"/>
        <color rgb="FF92D050"/>
        <color rgb="FFFFA709"/>
        <color rgb="FFFF0000"/>
      </colorScale>
    </cfRule>
  </conditionalFormatting>
  <conditionalFormatting sqref="DR7">
    <cfRule type="colorScale" priority="1077">
      <colorScale>
        <cfvo type="num" val="0"/>
        <cfvo type="num" val="0.5"/>
        <cfvo type="num" val="1"/>
        <color rgb="FF92D050"/>
        <color rgb="FFFFA709"/>
        <color rgb="FFFF0000"/>
      </colorScale>
    </cfRule>
  </conditionalFormatting>
  <conditionalFormatting sqref="DT7">
    <cfRule type="colorScale" priority="1076">
      <colorScale>
        <cfvo type="num" val="0"/>
        <cfvo type="num" val="0.5"/>
        <cfvo type="num" val="1"/>
        <color rgb="FF92D050"/>
        <color rgb="FFFFA709"/>
        <color rgb="FFFF0000"/>
      </colorScale>
    </cfRule>
  </conditionalFormatting>
  <conditionalFormatting sqref="DP10 DS10 DU10">
    <cfRule type="colorScale" priority="1075">
      <colorScale>
        <cfvo type="num" val="0"/>
        <cfvo type="num" val="0.5"/>
        <cfvo type="num" val="1"/>
        <color rgb="FF92D050"/>
        <color rgb="FFFFA709"/>
        <color rgb="FFFF0000"/>
      </colorScale>
    </cfRule>
  </conditionalFormatting>
  <conditionalFormatting sqref="DQ10">
    <cfRule type="colorScale" priority="1074">
      <colorScale>
        <cfvo type="num" val="0"/>
        <cfvo type="num" val="0.5"/>
        <cfvo type="num" val="1"/>
        <color rgb="FF92D050"/>
        <color rgb="FFFFA709"/>
        <color rgb="FFFF0000"/>
      </colorScale>
    </cfRule>
  </conditionalFormatting>
  <conditionalFormatting sqref="DR10">
    <cfRule type="colorScale" priority="1073">
      <colorScale>
        <cfvo type="num" val="0"/>
        <cfvo type="num" val="0.5"/>
        <cfvo type="num" val="1"/>
        <color rgb="FF92D050"/>
        <color rgb="FFFFA709"/>
        <color rgb="FFFF0000"/>
      </colorScale>
    </cfRule>
  </conditionalFormatting>
  <conditionalFormatting sqref="DT10">
    <cfRule type="colorScale" priority="1072">
      <colorScale>
        <cfvo type="num" val="0"/>
        <cfvo type="num" val="0.5"/>
        <cfvo type="num" val="1"/>
        <color rgb="FF92D050"/>
        <color rgb="FFFFA709"/>
        <color rgb="FFFF0000"/>
      </colorScale>
    </cfRule>
  </conditionalFormatting>
  <conditionalFormatting sqref="DP16 DS16 DU16">
    <cfRule type="colorScale" priority="1071">
      <colorScale>
        <cfvo type="num" val="0"/>
        <cfvo type="num" val="0.5"/>
        <cfvo type="num" val="1"/>
        <color rgb="FF92D050"/>
        <color rgb="FFFFA709"/>
        <color rgb="FFFF0000"/>
      </colorScale>
    </cfRule>
  </conditionalFormatting>
  <conditionalFormatting sqref="DQ16">
    <cfRule type="colorScale" priority="1070">
      <colorScale>
        <cfvo type="num" val="0"/>
        <cfvo type="num" val="0.5"/>
        <cfvo type="num" val="1"/>
        <color rgb="FF92D050"/>
        <color rgb="FFFFA709"/>
        <color rgb="FFFF0000"/>
      </colorScale>
    </cfRule>
  </conditionalFormatting>
  <conditionalFormatting sqref="DR16">
    <cfRule type="colorScale" priority="1069">
      <colorScale>
        <cfvo type="num" val="0"/>
        <cfvo type="num" val="0.5"/>
        <cfvo type="num" val="1"/>
        <color rgb="FF92D050"/>
        <color rgb="FFFFA709"/>
        <color rgb="FFFF0000"/>
      </colorScale>
    </cfRule>
  </conditionalFormatting>
  <conditionalFormatting sqref="DT16">
    <cfRule type="colorScale" priority="1068">
      <colorScale>
        <cfvo type="num" val="0"/>
        <cfvo type="num" val="0.5"/>
        <cfvo type="num" val="1"/>
        <color rgb="FF92D050"/>
        <color rgb="FFFFA709"/>
        <color rgb="FFFF0000"/>
      </colorScale>
    </cfRule>
  </conditionalFormatting>
  <conditionalFormatting sqref="DP19 DS19 DU19">
    <cfRule type="colorScale" priority="1067">
      <colorScale>
        <cfvo type="num" val="0"/>
        <cfvo type="num" val="0.5"/>
        <cfvo type="num" val="1"/>
        <color rgb="FF92D050"/>
        <color rgb="FFFFA709"/>
        <color rgb="FFFF0000"/>
      </colorScale>
    </cfRule>
  </conditionalFormatting>
  <conditionalFormatting sqref="DQ19">
    <cfRule type="colorScale" priority="1066">
      <colorScale>
        <cfvo type="num" val="0"/>
        <cfvo type="num" val="0.5"/>
        <cfvo type="num" val="1"/>
        <color rgb="FF92D050"/>
        <color rgb="FFFFA709"/>
        <color rgb="FFFF0000"/>
      </colorScale>
    </cfRule>
  </conditionalFormatting>
  <conditionalFormatting sqref="DR19">
    <cfRule type="colorScale" priority="1065">
      <colorScale>
        <cfvo type="num" val="0"/>
        <cfvo type="num" val="0.5"/>
        <cfvo type="num" val="1"/>
        <color rgb="FF92D050"/>
        <color rgb="FFFFA709"/>
        <color rgb="FFFF0000"/>
      </colorScale>
    </cfRule>
  </conditionalFormatting>
  <conditionalFormatting sqref="DT19">
    <cfRule type="colorScale" priority="1064">
      <colorScale>
        <cfvo type="num" val="0"/>
        <cfvo type="num" val="0.5"/>
        <cfvo type="num" val="1"/>
        <color rgb="FF92D050"/>
        <color rgb="FFFFA709"/>
        <color rgb="FFFF0000"/>
      </colorScale>
    </cfRule>
  </conditionalFormatting>
  <conditionalFormatting sqref="DP22">
    <cfRule type="colorScale" priority="1063">
      <colorScale>
        <cfvo type="num" val="0"/>
        <cfvo type="num" val="0.5"/>
        <cfvo type="num" val="1"/>
        <color rgb="FF92D050"/>
        <color rgb="FFFFA709"/>
        <color rgb="FFFF0000"/>
      </colorScale>
    </cfRule>
  </conditionalFormatting>
  <conditionalFormatting sqref="DQ22">
    <cfRule type="colorScale" priority="1062">
      <colorScale>
        <cfvo type="num" val="0"/>
        <cfvo type="num" val="0.5"/>
        <cfvo type="num" val="1"/>
        <color rgb="FF92D050"/>
        <color rgb="FFFFA709"/>
        <color rgb="FFFF0000"/>
      </colorScale>
    </cfRule>
  </conditionalFormatting>
  <conditionalFormatting sqref="DR22">
    <cfRule type="colorScale" priority="1061">
      <colorScale>
        <cfvo type="num" val="0"/>
        <cfvo type="num" val="0.5"/>
        <cfvo type="num" val="1"/>
        <color rgb="FF92D050"/>
        <color rgb="FFFFA709"/>
        <color rgb="FFFF0000"/>
      </colorScale>
    </cfRule>
  </conditionalFormatting>
  <conditionalFormatting sqref="DS22">
    <cfRule type="colorScale" priority="1060">
      <colorScale>
        <cfvo type="num" val="0"/>
        <cfvo type="num" val="0.5"/>
        <cfvo type="num" val="1"/>
        <color rgb="FF92D050"/>
        <color rgb="FFFFA709"/>
        <color rgb="FFFF0000"/>
      </colorScale>
    </cfRule>
  </conditionalFormatting>
  <conditionalFormatting sqref="DT22">
    <cfRule type="colorScale" priority="1059">
      <colorScale>
        <cfvo type="num" val="0"/>
        <cfvo type="num" val="0.5"/>
        <cfvo type="num" val="1"/>
        <color rgb="FF92D050"/>
        <color rgb="FFFFA709"/>
        <color rgb="FFFF0000"/>
      </colorScale>
    </cfRule>
  </conditionalFormatting>
  <conditionalFormatting sqref="DU22">
    <cfRule type="colorScale" priority="1058">
      <colorScale>
        <cfvo type="num" val="0"/>
        <cfvo type="num" val="0.5"/>
        <cfvo type="num" val="1"/>
        <color rgb="FF92D050"/>
        <color rgb="FFFFA709"/>
        <color rgb="FFFF0000"/>
      </colorScale>
    </cfRule>
  </conditionalFormatting>
  <conditionalFormatting sqref="DP1:DT1">
    <cfRule type="timePeriod" dxfId="37" priority="1057" timePeriod="today">
      <formula>FLOOR(DP1,1)=TODAY()</formula>
    </cfRule>
  </conditionalFormatting>
  <conditionalFormatting sqref="DP26 DS26 DU26">
    <cfRule type="colorScale" priority="1056">
      <colorScale>
        <cfvo type="num" val="0"/>
        <cfvo type="num" val="0.5"/>
        <cfvo type="num" val="1"/>
        <color rgb="FF92D050"/>
        <color rgb="FFFFA709"/>
        <color rgb="FFFF0000"/>
      </colorScale>
    </cfRule>
  </conditionalFormatting>
  <conditionalFormatting sqref="DQ26">
    <cfRule type="colorScale" priority="1055">
      <colorScale>
        <cfvo type="num" val="0"/>
        <cfvo type="num" val="0.5"/>
        <cfvo type="num" val="1"/>
        <color rgb="FF92D050"/>
        <color rgb="FFFFA709"/>
        <color rgb="FFFF0000"/>
      </colorScale>
    </cfRule>
  </conditionalFormatting>
  <conditionalFormatting sqref="DR26">
    <cfRule type="colorScale" priority="1054">
      <colorScale>
        <cfvo type="num" val="0"/>
        <cfvo type="num" val="0.5"/>
        <cfvo type="num" val="1"/>
        <color rgb="FF92D050"/>
        <color rgb="FFFFA709"/>
        <color rgb="FFFF0000"/>
      </colorScale>
    </cfRule>
  </conditionalFormatting>
  <conditionalFormatting sqref="DT26">
    <cfRule type="colorScale" priority="1053">
      <colorScale>
        <cfvo type="num" val="0"/>
        <cfvo type="num" val="0.5"/>
        <cfvo type="num" val="1"/>
        <color rgb="FF92D050"/>
        <color rgb="FFFFA709"/>
        <color rgb="FFFF0000"/>
      </colorScale>
    </cfRule>
  </conditionalFormatting>
  <conditionalFormatting sqref="DP29 DS29 DU29">
    <cfRule type="colorScale" priority="1048">
      <colorScale>
        <cfvo type="num" val="0"/>
        <cfvo type="num" val="0.5"/>
        <cfvo type="num" val="1"/>
        <color rgb="FF92D050"/>
        <color rgb="FFFFA709"/>
        <color rgb="FFFF0000"/>
      </colorScale>
    </cfRule>
  </conditionalFormatting>
  <conditionalFormatting sqref="DQ29">
    <cfRule type="colorScale" priority="1047">
      <colorScale>
        <cfvo type="num" val="0"/>
        <cfvo type="num" val="0.5"/>
        <cfvo type="num" val="1"/>
        <color rgb="FF92D050"/>
        <color rgb="FFFFA709"/>
        <color rgb="FFFF0000"/>
      </colorScale>
    </cfRule>
  </conditionalFormatting>
  <conditionalFormatting sqref="DR29">
    <cfRule type="colorScale" priority="1046">
      <colorScale>
        <cfvo type="num" val="0"/>
        <cfvo type="num" val="0.5"/>
        <cfvo type="num" val="1"/>
        <color rgb="FF92D050"/>
        <color rgb="FFFFA709"/>
        <color rgb="FFFF0000"/>
      </colorScale>
    </cfRule>
  </conditionalFormatting>
  <conditionalFormatting sqref="DT29">
    <cfRule type="colorScale" priority="1045">
      <colorScale>
        <cfvo type="num" val="0"/>
        <cfvo type="num" val="0.5"/>
        <cfvo type="num" val="1"/>
        <color rgb="FF92D050"/>
        <color rgb="FFFFA709"/>
        <color rgb="FFFF0000"/>
      </colorScale>
    </cfRule>
  </conditionalFormatting>
  <conditionalFormatting sqref="DP32 DS32 DU32">
    <cfRule type="colorScale" priority="1044">
      <colorScale>
        <cfvo type="num" val="0"/>
        <cfvo type="num" val="0.5"/>
        <cfvo type="num" val="1"/>
        <color rgb="FF92D050"/>
        <color rgb="FFFFA709"/>
        <color rgb="FFFF0000"/>
      </colorScale>
    </cfRule>
  </conditionalFormatting>
  <conditionalFormatting sqref="DQ32">
    <cfRule type="colorScale" priority="1043">
      <colorScale>
        <cfvo type="num" val="0"/>
        <cfvo type="num" val="0.5"/>
        <cfvo type="num" val="1"/>
        <color rgb="FF92D050"/>
        <color rgb="FFFFA709"/>
        <color rgb="FFFF0000"/>
      </colorScale>
    </cfRule>
  </conditionalFormatting>
  <conditionalFormatting sqref="DR32">
    <cfRule type="colorScale" priority="1042">
      <colorScale>
        <cfvo type="num" val="0"/>
        <cfvo type="num" val="0.5"/>
        <cfvo type="num" val="1"/>
        <color rgb="FF92D050"/>
        <color rgb="FFFFA709"/>
        <color rgb="FFFF0000"/>
      </colorScale>
    </cfRule>
  </conditionalFormatting>
  <conditionalFormatting sqref="DT32">
    <cfRule type="colorScale" priority="1041">
      <colorScale>
        <cfvo type="num" val="0"/>
        <cfvo type="num" val="0.5"/>
        <cfvo type="num" val="1"/>
        <color rgb="FF92D050"/>
        <color rgb="FFFFA709"/>
        <color rgb="FFFF0000"/>
      </colorScale>
    </cfRule>
  </conditionalFormatting>
  <conditionalFormatting sqref="DV4 DY4 EA4">
    <cfRule type="colorScale" priority="1040">
      <colorScale>
        <cfvo type="num" val="0"/>
        <cfvo type="num" val="0.5"/>
        <cfvo type="num" val="1"/>
        <color rgb="FF92D050"/>
        <color rgb="FFFFA709"/>
        <color rgb="FFFF0000"/>
      </colorScale>
    </cfRule>
  </conditionalFormatting>
  <conditionalFormatting sqref="DW4">
    <cfRule type="colorScale" priority="1039">
      <colorScale>
        <cfvo type="num" val="0"/>
        <cfvo type="num" val="0.5"/>
        <cfvo type="num" val="1"/>
        <color rgb="FF92D050"/>
        <color rgb="FFFFA709"/>
        <color rgb="FFFF0000"/>
      </colorScale>
    </cfRule>
  </conditionalFormatting>
  <conditionalFormatting sqref="DX4">
    <cfRule type="colorScale" priority="1038">
      <colorScale>
        <cfvo type="num" val="0"/>
        <cfvo type="num" val="0.5"/>
        <cfvo type="num" val="1"/>
        <color rgb="FF92D050"/>
        <color rgb="FFFFA709"/>
        <color rgb="FFFF0000"/>
      </colorScale>
    </cfRule>
  </conditionalFormatting>
  <conditionalFormatting sqref="DZ4">
    <cfRule type="colorScale" priority="1037">
      <colorScale>
        <cfvo type="num" val="0"/>
        <cfvo type="num" val="0.5"/>
        <cfvo type="num" val="1"/>
        <color rgb="FF92D050"/>
        <color rgb="FFFFA709"/>
        <color rgb="FFFF0000"/>
      </colorScale>
    </cfRule>
  </conditionalFormatting>
  <conditionalFormatting sqref="DV7 DY7 EA7">
    <cfRule type="colorScale" priority="1036">
      <colorScale>
        <cfvo type="num" val="0"/>
        <cfvo type="num" val="0.5"/>
        <cfvo type="num" val="1"/>
        <color rgb="FF92D050"/>
        <color rgb="FFFFA709"/>
        <color rgb="FFFF0000"/>
      </colorScale>
    </cfRule>
  </conditionalFormatting>
  <conditionalFormatting sqref="DW7">
    <cfRule type="colorScale" priority="1035">
      <colorScale>
        <cfvo type="num" val="0"/>
        <cfvo type="num" val="0.5"/>
        <cfvo type="num" val="1"/>
        <color rgb="FF92D050"/>
        <color rgb="FFFFA709"/>
        <color rgb="FFFF0000"/>
      </colorScale>
    </cfRule>
  </conditionalFormatting>
  <conditionalFormatting sqref="DX7">
    <cfRule type="colorScale" priority="1034">
      <colorScale>
        <cfvo type="num" val="0"/>
        <cfvo type="num" val="0.5"/>
        <cfvo type="num" val="1"/>
        <color rgb="FF92D050"/>
        <color rgb="FFFFA709"/>
        <color rgb="FFFF0000"/>
      </colorScale>
    </cfRule>
  </conditionalFormatting>
  <conditionalFormatting sqref="DZ7">
    <cfRule type="colorScale" priority="1033">
      <colorScale>
        <cfvo type="num" val="0"/>
        <cfvo type="num" val="0.5"/>
        <cfvo type="num" val="1"/>
        <color rgb="FF92D050"/>
        <color rgb="FFFFA709"/>
        <color rgb="FFFF0000"/>
      </colorScale>
    </cfRule>
  </conditionalFormatting>
  <conditionalFormatting sqref="DV10 DY10 EA10">
    <cfRule type="colorScale" priority="1032">
      <colorScale>
        <cfvo type="num" val="0"/>
        <cfvo type="num" val="0.5"/>
        <cfvo type="num" val="1"/>
        <color rgb="FF92D050"/>
        <color rgb="FFFFA709"/>
        <color rgb="FFFF0000"/>
      </colorScale>
    </cfRule>
  </conditionalFormatting>
  <conditionalFormatting sqref="DW10">
    <cfRule type="colorScale" priority="1031">
      <colorScale>
        <cfvo type="num" val="0"/>
        <cfvo type="num" val="0.5"/>
        <cfvo type="num" val="1"/>
        <color rgb="FF92D050"/>
        <color rgb="FFFFA709"/>
        <color rgb="FFFF0000"/>
      </colorScale>
    </cfRule>
  </conditionalFormatting>
  <conditionalFormatting sqref="DX10">
    <cfRule type="colorScale" priority="1030">
      <colorScale>
        <cfvo type="num" val="0"/>
        <cfvo type="num" val="0.5"/>
        <cfvo type="num" val="1"/>
        <color rgb="FF92D050"/>
        <color rgb="FFFFA709"/>
        <color rgb="FFFF0000"/>
      </colorScale>
    </cfRule>
  </conditionalFormatting>
  <conditionalFormatting sqref="DZ10">
    <cfRule type="colorScale" priority="1029">
      <colorScale>
        <cfvo type="num" val="0"/>
        <cfvo type="num" val="0.5"/>
        <cfvo type="num" val="1"/>
        <color rgb="FF92D050"/>
        <color rgb="FFFFA709"/>
        <color rgb="FFFF0000"/>
      </colorScale>
    </cfRule>
  </conditionalFormatting>
  <conditionalFormatting sqref="DY16 DV16 EA16">
    <cfRule type="colorScale" priority="1028">
      <colorScale>
        <cfvo type="num" val="0"/>
        <cfvo type="num" val="0.5"/>
        <cfvo type="num" val="1"/>
        <color rgb="FF92D050"/>
        <color rgb="FFFFA709"/>
        <color rgb="FFFF0000"/>
      </colorScale>
    </cfRule>
  </conditionalFormatting>
  <conditionalFormatting sqref="DW16">
    <cfRule type="colorScale" priority="1027">
      <colorScale>
        <cfvo type="num" val="0"/>
        <cfvo type="num" val="0.5"/>
        <cfvo type="num" val="1"/>
        <color rgb="FF92D050"/>
        <color rgb="FFFFA709"/>
        <color rgb="FFFF0000"/>
      </colorScale>
    </cfRule>
  </conditionalFormatting>
  <conditionalFormatting sqref="DX16">
    <cfRule type="colorScale" priority="1026">
      <colorScale>
        <cfvo type="num" val="0"/>
        <cfvo type="num" val="0.5"/>
        <cfvo type="num" val="1"/>
        <color rgb="FF92D050"/>
        <color rgb="FFFFA709"/>
        <color rgb="FFFF0000"/>
      </colorScale>
    </cfRule>
  </conditionalFormatting>
  <conditionalFormatting sqref="DZ16">
    <cfRule type="colorScale" priority="1025">
      <colorScale>
        <cfvo type="num" val="0"/>
        <cfvo type="num" val="0.5"/>
        <cfvo type="num" val="1"/>
        <color rgb="FF92D050"/>
        <color rgb="FFFFA709"/>
        <color rgb="FFFF0000"/>
      </colorScale>
    </cfRule>
  </conditionalFormatting>
  <conditionalFormatting sqref="DV19 DY19 EA19">
    <cfRule type="colorScale" priority="1024">
      <colorScale>
        <cfvo type="num" val="0"/>
        <cfvo type="num" val="0.5"/>
        <cfvo type="num" val="1"/>
        <color rgb="FF92D050"/>
        <color rgb="FFFFA709"/>
        <color rgb="FFFF0000"/>
      </colorScale>
    </cfRule>
  </conditionalFormatting>
  <conditionalFormatting sqref="DW19">
    <cfRule type="colorScale" priority="1023">
      <colorScale>
        <cfvo type="num" val="0"/>
        <cfvo type="num" val="0.5"/>
        <cfvo type="num" val="1"/>
        <color rgb="FF92D050"/>
        <color rgb="FFFFA709"/>
        <color rgb="FFFF0000"/>
      </colorScale>
    </cfRule>
  </conditionalFormatting>
  <conditionalFormatting sqref="DX19">
    <cfRule type="colorScale" priority="1022">
      <colorScale>
        <cfvo type="num" val="0"/>
        <cfvo type="num" val="0.5"/>
        <cfvo type="num" val="1"/>
        <color rgb="FF92D050"/>
        <color rgb="FFFFA709"/>
        <color rgb="FFFF0000"/>
      </colorScale>
    </cfRule>
  </conditionalFormatting>
  <conditionalFormatting sqref="DZ19">
    <cfRule type="colorScale" priority="1021">
      <colorScale>
        <cfvo type="num" val="0"/>
        <cfvo type="num" val="0.5"/>
        <cfvo type="num" val="1"/>
        <color rgb="FF92D050"/>
        <color rgb="FFFFA709"/>
        <color rgb="FFFF0000"/>
      </colorScale>
    </cfRule>
  </conditionalFormatting>
  <conditionalFormatting sqref="DV22">
    <cfRule type="colorScale" priority="1020">
      <colorScale>
        <cfvo type="num" val="0"/>
        <cfvo type="num" val="0.5"/>
        <cfvo type="num" val="1"/>
        <color rgb="FF92D050"/>
        <color rgb="FFFFA709"/>
        <color rgb="FFFF0000"/>
      </colorScale>
    </cfRule>
  </conditionalFormatting>
  <conditionalFormatting sqref="DW22">
    <cfRule type="colorScale" priority="1019">
      <colorScale>
        <cfvo type="num" val="0"/>
        <cfvo type="num" val="0.5"/>
        <cfvo type="num" val="1"/>
        <color rgb="FF92D050"/>
        <color rgb="FFFFA709"/>
        <color rgb="FFFF0000"/>
      </colorScale>
    </cfRule>
  </conditionalFormatting>
  <conditionalFormatting sqref="DX22">
    <cfRule type="colorScale" priority="1018">
      <colorScale>
        <cfvo type="num" val="0"/>
        <cfvo type="num" val="0.5"/>
        <cfvo type="num" val="1"/>
        <color rgb="FF92D050"/>
        <color rgb="FFFFA709"/>
        <color rgb="FFFF0000"/>
      </colorScale>
    </cfRule>
  </conditionalFormatting>
  <conditionalFormatting sqref="DY22">
    <cfRule type="colorScale" priority="1017">
      <colorScale>
        <cfvo type="num" val="0"/>
        <cfvo type="num" val="0.5"/>
        <cfvo type="num" val="1"/>
        <color rgb="FF92D050"/>
        <color rgb="FFFFA709"/>
        <color rgb="FFFF0000"/>
      </colorScale>
    </cfRule>
  </conditionalFormatting>
  <conditionalFormatting sqref="DZ22">
    <cfRule type="colorScale" priority="1016">
      <colorScale>
        <cfvo type="num" val="0"/>
        <cfvo type="num" val="0.5"/>
        <cfvo type="num" val="1"/>
        <color rgb="FF92D050"/>
        <color rgb="FFFFA709"/>
        <color rgb="FFFF0000"/>
      </colorScale>
    </cfRule>
  </conditionalFormatting>
  <conditionalFormatting sqref="EA22">
    <cfRule type="colorScale" priority="1015">
      <colorScale>
        <cfvo type="num" val="0"/>
        <cfvo type="num" val="0.5"/>
        <cfvo type="num" val="1"/>
        <color rgb="FF92D050"/>
        <color rgb="FFFFA709"/>
        <color rgb="FFFF0000"/>
      </colorScale>
    </cfRule>
  </conditionalFormatting>
  <conditionalFormatting sqref="DV1:DZ1">
    <cfRule type="timePeriod" dxfId="36" priority="1014" timePeriod="today">
      <formula>FLOOR(DV1,1)=TODAY()</formula>
    </cfRule>
  </conditionalFormatting>
  <conditionalFormatting sqref="DV26 DY26 EA26">
    <cfRule type="colorScale" priority="1013">
      <colorScale>
        <cfvo type="num" val="0"/>
        <cfvo type="num" val="0.5"/>
        <cfvo type="num" val="1"/>
        <color rgb="FF92D050"/>
        <color rgb="FFFFA709"/>
        <color rgb="FFFF0000"/>
      </colorScale>
    </cfRule>
  </conditionalFormatting>
  <conditionalFormatting sqref="DW26">
    <cfRule type="colorScale" priority="1012">
      <colorScale>
        <cfvo type="num" val="0"/>
        <cfvo type="num" val="0.5"/>
        <cfvo type="num" val="1"/>
        <color rgb="FF92D050"/>
        <color rgb="FFFFA709"/>
        <color rgb="FFFF0000"/>
      </colorScale>
    </cfRule>
  </conditionalFormatting>
  <conditionalFormatting sqref="DX26">
    <cfRule type="colorScale" priority="1011">
      <colorScale>
        <cfvo type="num" val="0"/>
        <cfvo type="num" val="0.5"/>
        <cfvo type="num" val="1"/>
        <color rgb="FF92D050"/>
        <color rgb="FFFFA709"/>
        <color rgb="FFFF0000"/>
      </colorScale>
    </cfRule>
  </conditionalFormatting>
  <conditionalFormatting sqref="DZ26">
    <cfRule type="colorScale" priority="1010">
      <colorScale>
        <cfvo type="num" val="0"/>
        <cfvo type="num" val="0.5"/>
        <cfvo type="num" val="1"/>
        <color rgb="FF92D050"/>
        <color rgb="FFFFA709"/>
        <color rgb="FFFF0000"/>
      </colorScale>
    </cfRule>
  </conditionalFormatting>
  <conditionalFormatting sqref="DV29 DY29 EA29">
    <cfRule type="colorScale" priority="1005">
      <colorScale>
        <cfvo type="num" val="0"/>
        <cfvo type="num" val="0.5"/>
        <cfvo type="num" val="1"/>
        <color rgb="FF92D050"/>
        <color rgb="FFFFA709"/>
        <color rgb="FFFF0000"/>
      </colorScale>
    </cfRule>
  </conditionalFormatting>
  <conditionalFormatting sqref="DW29">
    <cfRule type="colorScale" priority="1004">
      <colorScale>
        <cfvo type="num" val="0"/>
        <cfvo type="num" val="0.5"/>
        <cfvo type="num" val="1"/>
        <color rgb="FF92D050"/>
        <color rgb="FFFFA709"/>
        <color rgb="FFFF0000"/>
      </colorScale>
    </cfRule>
  </conditionalFormatting>
  <conditionalFormatting sqref="DX29">
    <cfRule type="colorScale" priority="1003">
      <colorScale>
        <cfvo type="num" val="0"/>
        <cfvo type="num" val="0.5"/>
        <cfvo type="num" val="1"/>
        <color rgb="FF92D050"/>
        <color rgb="FFFFA709"/>
        <color rgb="FFFF0000"/>
      </colorScale>
    </cfRule>
  </conditionalFormatting>
  <conditionalFormatting sqref="DZ29">
    <cfRule type="colorScale" priority="1002">
      <colorScale>
        <cfvo type="num" val="0"/>
        <cfvo type="num" val="0.5"/>
        <cfvo type="num" val="1"/>
        <color rgb="FF92D050"/>
        <color rgb="FFFFA709"/>
        <color rgb="FFFF0000"/>
      </colorScale>
    </cfRule>
  </conditionalFormatting>
  <conditionalFormatting sqref="DV32 DY32 EA32">
    <cfRule type="colorScale" priority="1001">
      <colorScale>
        <cfvo type="num" val="0"/>
        <cfvo type="num" val="0.5"/>
        <cfvo type="num" val="1"/>
        <color rgb="FF92D050"/>
        <color rgb="FFFFA709"/>
        <color rgb="FFFF0000"/>
      </colorScale>
    </cfRule>
  </conditionalFormatting>
  <conditionalFormatting sqref="DW32">
    <cfRule type="colorScale" priority="1000">
      <colorScale>
        <cfvo type="num" val="0"/>
        <cfvo type="num" val="0.5"/>
        <cfvo type="num" val="1"/>
        <color rgb="FF92D050"/>
        <color rgb="FFFFA709"/>
        <color rgb="FFFF0000"/>
      </colorScale>
    </cfRule>
  </conditionalFormatting>
  <conditionalFormatting sqref="DX32">
    <cfRule type="colorScale" priority="999">
      <colorScale>
        <cfvo type="num" val="0"/>
        <cfvo type="num" val="0.5"/>
        <cfvo type="num" val="1"/>
        <color rgb="FF92D050"/>
        <color rgb="FFFFA709"/>
        <color rgb="FFFF0000"/>
      </colorScale>
    </cfRule>
  </conditionalFormatting>
  <conditionalFormatting sqref="DZ32">
    <cfRule type="colorScale" priority="998">
      <colorScale>
        <cfvo type="num" val="0"/>
        <cfvo type="num" val="0.5"/>
        <cfvo type="num" val="1"/>
        <color rgb="FF92D050"/>
        <color rgb="FFFFA709"/>
        <color rgb="FFFF0000"/>
      </colorScale>
    </cfRule>
  </conditionalFormatting>
  <conditionalFormatting sqref="C35:Q35 S35 V35:W35">
    <cfRule type="colorScale" priority="996">
      <colorScale>
        <cfvo type="num" val="0"/>
        <cfvo type="num" val="0.5"/>
        <cfvo type="num" val="1"/>
        <color rgb="FF92D050"/>
        <color rgb="FFFFA709"/>
        <color rgb="FFFF0000"/>
      </colorScale>
    </cfRule>
  </conditionalFormatting>
  <conditionalFormatting sqref="B35">
    <cfRule type="colorScale" priority="997">
      <colorScale>
        <cfvo type="num" val="0"/>
        <cfvo type="num" val="0.5"/>
        <cfvo type="num" val="1"/>
        <color rgb="FF92D050"/>
        <color rgb="FFFFA709"/>
        <color rgb="FFFF0000"/>
      </colorScale>
    </cfRule>
  </conditionalFormatting>
  <conditionalFormatting sqref="R35">
    <cfRule type="colorScale" priority="995">
      <colorScale>
        <cfvo type="num" val="0"/>
        <cfvo type="num" val="0.5"/>
        <cfvo type="num" val="1"/>
        <color rgb="FF92D050"/>
        <color rgb="FFFFA709"/>
        <color rgb="FFFF0000"/>
      </colorScale>
    </cfRule>
  </conditionalFormatting>
  <conditionalFormatting sqref="T35">
    <cfRule type="colorScale" priority="994">
      <colorScale>
        <cfvo type="num" val="0"/>
        <cfvo type="num" val="0.5"/>
        <cfvo type="num" val="1"/>
        <color rgb="FF92D050"/>
        <color rgb="FFFFA709"/>
        <color rgb="FFFF0000"/>
      </colorScale>
    </cfRule>
  </conditionalFormatting>
  <conditionalFormatting sqref="U35">
    <cfRule type="colorScale" priority="993">
      <colorScale>
        <cfvo type="num" val="0"/>
        <cfvo type="num" val="0.5"/>
        <cfvo type="num" val="1"/>
        <color rgb="FF92D050"/>
        <color rgb="FFFFA709"/>
        <color rgb="FFFF0000"/>
      </colorScale>
    </cfRule>
  </conditionalFormatting>
  <conditionalFormatting sqref="X35 AA35 AC35">
    <cfRule type="colorScale" priority="992">
      <colorScale>
        <cfvo type="num" val="0"/>
        <cfvo type="num" val="0.5"/>
        <cfvo type="num" val="1"/>
        <color rgb="FF92D050"/>
        <color rgb="FFFFA709"/>
        <color rgb="FFFF0000"/>
      </colorScale>
    </cfRule>
  </conditionalFormatting>
  <conditionalFormatting sqref="Y35">
    <cfRule type="colorScale" priority="991">
      <colorScale>
        <cfvo type="num" val="0"/>
        <cfvo type="num" val="0.5"/>
        <cfvo type="num" val="1"/>
        <color rgb="FF92D050"/>
        <color rgb="FFFFA709"/>
        <color rgb="FFFF0000"/>
      </colorScale>
    </cfRule>
  </conditionalFormatting>
  <conditionalFormatting sqref="Z35">
    <cfRule type="colorScale" priority="990">
      <colorScale>
        <cfvo type="num" val="0"/>
        <cfvo type="num" val="0.5"/>
        <cfvo type="num" val="1"/>
        <color rgb="FF92D050"/>
        <color rgb="FFFFA709"/>
        <color rgb="FFFF0000"/>
      </colorScale>
    </cfRule>
  </conditionalFormatting>
  <conditionalFormatting sqref="AB35">
    <cfRule type="colorScale" priority="989">
      <colorScale>
        <cfvo type="num" val="0"/>
        <cfvo type="num" val="0.5"/>
        <cfvo type="num" val="1"/>
        <color rgb="FF92D050"/>
        <color rgb="FFFFA709"/>
        <color rgb="FFFF0000"/>
      </colorScale>
    </cfRule>
  </conditionalFormatting>
  <conditionalFormatting sqref="AD35 AG35 AI35">
    <cfRule type="colorScale" priority="988">
      <colorScale>
        <cfvo type="num" val="0"/>
        <cfvo type="num" val="0.5"/>
        <cfvo type="num" val="1"/>
        <color rgb="FF92D050"/>
        <color rgb="FFFFA709"/>
        <color rgb="FFFF0000"/>
      </colorScale>
    </cfRule>
  </conditionalFormatting>
  <conditionalFormatting sqref="AE35">
    <cfRule type="colorScale" priority="987">
      <colorScale>
        <cfvo type="num" val="0"/>
        <cfvo type="num" val="0.5"/>
        <cfvo type="num" val="1"/>
        <color rgb="FF92D050"/>
        <color rgb="FFFFA709"/>
        <color rgb="FFFF0000"/>
      </colorScale>
    </cfRule>
  </conditionalFormatting>
  <conditionalFormatting sqref="AF35">
    <cfRule type="colorScale" priority="986">
      <colorScale>
        <cfvo type="num" val="0"/>
        <cfvo type="num" val="0.5"/>
        <cfvo type="num" val="1"/>
        <color rgb="FF92D050"/>
        <color rgb="FFFFA709"/>
        <color rgb="FFFF0000"/>
      </colorScale>
    </cfRule>
  </conditionalFormatting>
  <conditionalFormatting sqref="AH35">
    <cfRule type="colorScale" priority="985">
      <colorScale>
        <cfvo type="num" val="0"/>
        <cfvo type="num" val="0.5"/>
        <cfvo type="num" val="1"/>
        <color rgb="FF92D050"/>
        <color rgb="FFFFA709"/>
        <color rgb="FFFF0000"/>
      </colorScale>
    </cfRule>
  </conditionalFormatting>
  <conditionalFormatting sqref="AJ35 AM35 AO35">
    <cfRule type="colorScale" priority="984">
      <colorScale>
        <cfvo type="num" val="0"/>
        <cfvo type="num" val="0.5"/>
        <cfvo type="num" val="1"/>
        <color rgb="FF92D050"/>
        <color rgb="FFFFA709"/>
        <color rgb="FFFF0000"/>
      </colorScale>
    </cfRule>
  </conditionalFormatting>
  <conditionalFormatting sqref="AK35">
    <cfRule type="colorScale" priority="983">
      <colorScale>
        <cfvo type="num" val="0"/>
        <cfvo type="num" val="0.5"/>
        <cfvo type="num" val="1"/>
        <color rgb="FF92D050"/>
        <color rgb="FFFFA709"/>
        <color rgb="FFFF0000"/>
      </colorScale>
    </cfRule>
  </conditionalFormatting>
  <conditionalFormatting sqref="AL35">
    <cfRule type="colorScale" priority="982">
      <colorScale>
        <cfvo type="num" val="0"/>
        <cfvo type="num" val="0.5"/>
        <cfvo type="num" val="1"/>
        <color rgb="FF92D050"/>
        <color rgb="FFFFA709"/>
        <color rgb="FFFF0000"/>
      </colorScale>
    </cfRule>
  </conditionalFormatting>
  <conditionalFormatting sqref="AN35">
    <cfRule type="colorScale" priority="981">
      <colorScale>
        <cfvo type="num" val="0"/>
        <cfvo type="num" val="0.5"/>
        <cfvo type="num" val="1"/>
        <color rgb="FF92D050"/>
        <color rgb="FFFFA709"/>
        <color rgb="FFFF0000"/>
      </colorScale>
    </cfRule>
  </conditionalFormatting>
  <conditionalFormatting sqref="AP35 AS35 AU35">
    <cfRule type="colorScale" priority="980">
      <colorScale>
        <cfvo type="num" val="0"/>
        <cfvo type="num" val="0.5"/>
        <cfvo type="num" val="1"/>
        <color rgb="FF92D050"/>
        <color rgb="FFFFA709"/>
        <color rgb="FFFF0000"/>
      </colorScale>
    </cfRule>
  </conditionalFormatting>
  <conditionalFormatting sqref="AQ35">
    <cfRule type="colorScale" priority="979">
      <colorScale>
        <cfvo type="num" val="0"/>
        <cfvo type="num" val="0.5"/>
        <cfvo type="num" val="1"/>
        <color rgb="FF92D050"/>
        <color rgb="FFFFA709"/>
        <color rgb="FFFF0000"/>
      </colorScale>
    </cfRule>
  </conditionalFormatting>
  <conditionalFormatting sqref="AR35">
    <cfRule type="colorScale" priority="978">
      <colorScale>
        <cfvo type="num" val="0"/>
        <cfvo type="num" val="0.5"/>
        <cfvo type="num" val="1"/>
        <color rgb="FF92D050"/>
        <color rgb="FFFFA709"/>
        <color rgb="FFFF0000"/>
      </colorScale>
    </cfRule>
  </conditionalFormatting>
  <conditionalFormatting sqref="AT35">
    <cfRule type="colorScale" priority="977">
      <colorScale>
        <cfvo type="num" val="0"/>
        <cfvo type="num" val="0.5"/>
        <cfvo type="num" val="1"/>
        <color rgb="FF92D050"/>
        <color rgb="FFFFA709"/>
        <color rgb="FFFF0000"/>
      </colorScale>
    </cfRule>
  </conditionalFormatting>
  <conditionalFormatting sqref="AY35 AV35 BA35">
    <cfRule type="colorScale" priority="976">
      <colorScale>
        <cfvo type="num" val="0"/>
        <cfvo type="num" val="0.5"/>
        <cfvo type="num" val="1"/>
        <color rgb="FF92D050"/>
        <color rgb="FFFFA709"/>
        <color rgb="FFFF0000"/>
      </colorScale>
    </cfRule>
  </conditionalFormatting>
  <conditionalFormatting sqref="AW35">
    <cfRule type="colorScale" priority="975">
      <colorScale>
        <cfvo type="num" val="0"/>
        <cfvo type="num" val="0.5"/>
        <cfvo type="num" val="1"/>
        <color rgb="FF92D050"/>
        <color rgb="FFFFA709"/>
        <color rgb="FFFF0000"/>
      </colorScale>
    </cfRule>
  </conditionalFormatting>
  <conditionalFormatting sqref="AX35">
    <cfRule type="colorScale" priority="974">
      <colorScale>
        <cfvo type="num" val="0"/>
        <cfvo type="num" val="0.5"/>
        <cfvo type="num" val="1"/>
        <color rgb="FF92D050"/>
        <color rgb="FFFFA709"/>
        <color rgb="FFFF0000"/>
      </colorScale>
    </cfRule>
  </conditionalFormatting>
  <conditionalFormatting sqref="AZ35">
    <cfRule type="colorScale" priority="973">
      <colorScale>
        <cfvo type="num" val="0"/>
        <cfvo type="num" val="0.5"/>
        <cfvo type="num" val="1"/>
        <color rgb="FF92D050"/>
        <color rgb="FFFFA709"/>
        <color rgb="FFFF0000"/>
      </colorScale>
    </cfRule>
  </conditionalFormatting>
  <conditionalFormatting sqref="BB35 BE35 BG35">
    <cfRule type="colorScale" priority="972">
      <colorScale>
        <cfvo type="num" val="0"/>
        <cfvo type="num" val="0.5"/>
        <cfvo type="num" val="1"/>
        <color rgb="FF92D050"/>
        <color rgb="FFFFA709"/>
        <color rgb="FFFF0000"/>
      </colorScale>
    </cfRule>
  </conditionalFormatting>
  <conditionalFormatting sqref="BC35">
    <cfRule type="colorScale" priority="971">
      <colorScale>
        <cfvo type="num" val="0"/>
        <cfvo type="num" val="0.5"/>
        <cfvo type="num" val="1"/>
        <color rgb="FF92D050"/>
        <color rgb="FFFFA709"/>
        <color rgb="FFFF0000"/>
      </colorScale>
    </cfRule>
  </conditionalFormatting>
  <conditionalFormatting sqref="BD35">
    <cfRule type="colorScale" priority="970">
      <colorScale>
        <cfvo type="num" val="0"/>
        <cfvo type="num" val="0.5"/>
        <cfvo type="num" val="1"/>
        <color rgb="FF92D050"/>
        <color rgb="FFFFA709"/>
        <color rgb="FFFF0000"/>
      </colorScale>
    </cfRule>
  </conditionalFormatting>
  <conditionalFormatting sqref="BF35">
    <cfRule type="colorScale" priority="969">
      <colorScale>
        <cfvo type="num" val="0"/>
        <cfvo type="num" val="0.5"/>
        <cfvo type="num" val="1"/>
        <color rgb="FF92D050"/>
        <color rgb="FFFFA709"/>
        <color rgb="FFFF0000"/>
      </colorScale>
    </cfRule>
  </conditionalFormatting>
  <conditionalFormatting sqref="BK35 BH35 BM35">
    <cfRule type="colorScale" priority="968">
      <colorScale>
        <cfvo type="num" val="0"/>
        <cfvo type="num" val="0.5"/>
        <cfvo type="num" val="1"/>
        <color rgb="FF92D050"/>
        <color rgb="FFFFA709"/>
        <color rgb="FFFF0000"/>
      </colorScale>
    </cfRule>
  </conditionalFormatting>
  <conditionalFormatting sqref="BI35">
    <cfRule type="colorScale" priority="967">
      <colorScale>
        <cfvo type="num" val="0"/>
        <cfvo type="num" val="0.5"/>
        <cfvo type="num" val="1"/>
        <color rgb="FF92D050"/>
        <color rgb="FFFFA709"/>
        <color rgb="FFFF0000"/>
      </colorScale>
    </cfRule>
  </conditionalFormatting>
  <conditionalFormatting sqref="BJ35">
    <cfRule type="colorScale" priority="966">
      <colorScale>
        <cfvo type="num" val="0"/>
        <cfvo type="num" val="0.5"/>
        <cfvo type="num" val="1"/>
        <color rgb="FF92D050"/>
        <color rgb="FFFFA709"/>
        <color rgb="FFFF0000"/>
      </colorScale>
    </cfRule>
  </conditionalFormatting>
  <conditionalFormatting sqref="BL35">
    <cfRule type="colorScale" priority="965">
      <colorScale>
        <cfvo type="num" val="0"/>
        <cfvo type="num" val="0.5"/>
        <cfvo type="num" val="1"/>
        <color rgb="FF92D050"/>
        <color rgb="FFFFA709"/>
        <color rgb="FFFF0000"/>
      </colorScale>
    </cfRule>
  </conditionalFormatting>
  <conditionalFormatting sqref="BN35 BQ35 BS35">
    <cfRule type="colorScale" priority="964">
      <colorScale>
        <cfvo type="num" val="0"/>
        <cfvo type="num" val="0.5"/>
        <cfvo type="num" val="1"/>
        <color rgb="FF92D050"/>
        <color rgb="FFFFA709"/>
        <color rgb="FFFF0000"/>
      </colorScale>
    </cfRule>
  </conditionalFormatting>
  <conditionalFormatting sqref="BO35">
    <cfRule type="colorScale" priority="963">
      <colorScale>
        <cfvo type="num" val="0"/>
        <cfvo type="num" val="0.5"/>
        <cfvo type="num" val="1"/>
        <color rgb="FF92D050"/>
        <color rgb="FFFFA709"/>
        <color rgb="FFFF0000"/>
      </colorScale>
    </cfRule>
  </conditionalFormatting>
  <conditionalFormatting sqref="BP35">
    <cfRule type="colorScale" priority="962">
      <colorScale>
        <cfvo type="num" val="0"/>
        <cfvo type="num" val="0.5"/>
        <cfvo type="num" val="1"/>
        <color rgb="FF92D050"/>
        <color rgb="FFFFA709"/>
        <color rgb="FFFF0000"/>
      </colorScale>
    </cfRule>
  </conditionalFormatting>
  <conditionalFormatting sqref="BR35">
    <cfRule type="colorScale" priority="961">
      <colorScale>
        <cfvo type="num" val="0"/>
        <cfvo type="num" val="0.5"/>
        <cfvo type="num" val="1"/>
        <color rgb="FF92D050"/>
        <color rgb="FFFFA709"/>
        <color rgb="FFFF0000"/>
      </colorScale>
    </cfRule>
  </conditionalFormatting>
  <conditionalFormatting sqref="BT35 BW35 BY35">
    <cfRule type="colorScale" priority="960">
      <colorScale>
        <cfvo type="num" val="0"/>
        <cfvo type="num" val="0.5"/>
        <cfvo type="num" val="1"/>
        <color rgb="FF92D050"/>
        <color rgb="FFFFA709"/>
        <color rgb="FFFF0000"/>
      </colorScale>
    </cfRule>
  </conditionalFormatting>
  <conditionalFormatting sqref="BU35">
    <cfRule type="colorScale" priority="959">
      <colorScale>
        <cfvo type="num" val="0"/>
        <cfvo type="num" val="0.5"/>
        <cfvo type="num" val="1"/>
        <color rgb="FF92D050"/>
        <color rgb="FFFFA709"/>
        <color rgb="FFFF0000"/>
      </colorScale>
    </cfRule>
  </conditionalFormatting>
  <conditionalFormatting sqref="BV35">
    <cfRule type="colorScale" priority="958">
      <colorScale>
        <cfvo type="num" val="0"/>
        <cfvo type="num" val="0.5"/>
        <cfvo type="num" val="1"/>
        <color rgb="FF92D050"/>
        <color rgb="FFFFA709"/>
        <color rgb="FFFF0000"/>
      </colorScale>
    </cfRule>
  </conditionalFormatting>
  <conditionalFormatting sqref="BX35">
    <cfRule type="colorScale" priority="957">
      <colorScale>
        <cfvo type="num" val="0"/>
        <cfvo type="num" val="0.5"/>
        <cfvo type="num" val="1"/>
        <color rgb="FF92D050"/>
        <color rgb="FFFFA709"/>
        <color rgb="FFFF0000"/>
      </colorScale>
    </cfRule>
  </conditionalFormatting>
  <conditionalFormatting sqref="CC35 BZ35 CE35">
    <cfRule type="colorScale" priority="956">
      <colorScale>
        <cfvo type="num" val="0"/>
        <cfvo type="num" val="0.5"/>
        <cfvo type="num" val="1"/>
        <color rgb="FF92D050"/>
        <color rgb="FFFFA709"/>
        <color rgb="FFFF0000"/>
      </colorScale>
    </cfRule>
  </conditionalFormatting>
  <conditionalFormatting sqref="CA35">
    <cfRule type="colorScale" priority="955">
      <colorScale>
        <cfvo type="num" val="0"/>
        <cfvo type="num" val="0.5"/>
        <cfvo type="num" val="1"/>
        <color rgb="FF92D050"/>
        <color rgb="FFFFA709"/>
        <color rgb="FFFF0000"/>
      </colorScale>
    </cfRule>
  </conditionalFormatting>
  <conditionalFormatting sqref="CB35">
    <cfRule type="colorScale" priority="954">
      <colorScale>
        <cfvo type="num" val="0"/>
        <cfvo type="num" val="0.5"/>
        <cfvo type="num" val="1"/>
        <color rgb="FF92D050"/>
        <color rgb="FFFFA709"/>
        <color rgb="FFFF0000"/>
      </colorScale>
    </cfRule>
  </conditionalFormatting>
  <conditionalFormatting sqref="CD35">
    <cfRule type="colorScale" priority="953">
      <colorScale>
        <cfvo type="num" val="0"/>
        <cfvo type="num" val="0.5"/>
        <cfvo type="num" val="1"/>
        <color rgb="FF92D050"/>
        <color rgb="FFFFA709"/>
        <color rgb="FFFF0000"/>
      </colorScale>
    </cfRule>
  </conditionalFormatting>
  <conditionalFormatting sqref="CF35 CI35 CK35">
    <cfRule type="colorScale" priority="952">
      <colorScale>
        <cfvo type="num" val="0"/>
        <cfvo type="num" val="0.5"/>
        <cfvo type="num" val="1"/>
        <color rgb="FF92D050"/>
        <color rgb="FFFFA709"/>
        <color rgb="FFFF0000"/>
      </colorScale>
    </cfRule>
  </conditionalFormatting>
  <conditionalFormatting sqref="CG35">
    <cfRule type="colorScale" priority="951">
      <colorScale>
        <cfvo type="num" val="0"/>
        <cfvo type="num" val="0.5"/>
        <cfvo type="num" val="1"/>
        <color rgb="FF92D050"/>
        <color rgb="FFFFA709"/>
        <color rgb="FFFF0000"/>
      </colorScale>
    </cfRule>
  </conditionalFormatting>
  <conditionalFormatting sqref="CH35">
    <cfRule type="colorScale" priority="950">
      <colorScale>
        <cfvo type="num" val="0"/>
        <cfvo type="num" val="0.5"/>
        <cfvo type="num" val="1"/>
        <color rgb="FF92D050"/>
        <color rgb="FFFFA709"/>
        <color rgb="FFFF0000"/>
      </colorScale>
    </cfRule>
  </conditionalFormatting>
  <conditionalFormatting sqref="CJ35">
    <cfRule type="colorScale" priority="949">
      <colorScale>
        <cfvo type="num" val="0"/>
        <cfvo type="num" val="0.5"/>
        <cfvo type="num" val="1"/>
        <color rgb="FF92D050"/>
        <color rgb="FFFFA709"/>
        <color rgb="FFFF0000"/>
      </colorScale>
    </cfRule>
  </conditionalFormatting>
  <conditionalFormatting sqref="CO35 CL35 CQ35">
    <cfRule type="colorScale" priority="948">
      <colorScale>
        <cfvo type="num" val="0"/>
        <cfvo type="num" val="0.5"/>
        <cfvo type="num" val="1"/>
        <color rgb="FF92D050"/>
        <color rgb="FFFFA709"/>
        <color rgb="FFFF0000"/>
      </colorScale>
    </cfRule>
  </conditionalFormatting>
  <conditionalFormatting sqref="CM35">
    <cfRule type="colorScale" priority="947">
      <colorScale>
        <cfvo type="num" val="0"/>
        <cfvo type="num" val="0.5"/>
        <cfvo type="num" val="1"/>
        <color rgb="FF92D050"/>
        <color rgb="FFFFA709"/>
        <color rgb="FFFF0000"/>
      </colorScale>
    </cfRule>
  </conditionalFormatting>
  <conditionalFormatting sqref="CN35">
    <cfRule type="colorScale" priority="946">
      <colorScale>
        <cfvo type="num" val="0"/>
        <cfvo type="num" val="0.5"/>
        <cfvo type="num" val="1"/>
        <color rgb="FF92D050"/>
        <color rgb="FFFFA709"/>
        <color rgb="FFFF0000"/>
      </colorScale>
    </cfRule>
  </conditionalFormatting>
  <conditionalFormatting sqref="CP35">
    <cfRule type="colorScale" priority="945">
      <colorScale>
        <cfvo type="num" val="0"/>
        <cfvo type="num" val="0.5"/>
        <cfvo type="num" val="1"/>
        <color rgb="FF92D050"/>
        <color rgb="FFFFA709"/>
        <color rgb="FFFF0000"/>
      </colorScale>
    </cfRule>
  </conditionalFormatting>
  <conditionalFormatting sqref="CR35 CU35 CW35">
    <cfRule type="colorScale" priority="944">
      <colorScale>
        <cfvo type="num" val="0"/>
        <cfvo type="num" val="0.5"/>
        <cfvo type="num" val="1"/>
        <color rgb="FF92D050"/>
        <color rgb="FFFFA709"/>
        <color rgb="FFFF0000"/>
      </colorScale>
    </cfRule>
  </conditionalFormatting>
  <conditionalFormatting sqref="CS35">
    <cfRule type="colorScale" priority="943">
      <colorScale>
        <cfvo type="num" val="0"/>
        <cfvo type="num" val="0.5"/>
        <cfvo type="num" val="1"/>
        <color rgb="FF92D050"/>
        <color rgb="FFFFA709"/>
        <color rgb="FFFF0000"/>
      </colorScale>
    </cfRule>
  </conditionalFormatting>
  <conditionalFormatting sqref="CT35">
    <cfRule type="colorScale" priority="942">
      <colorScale>
        <cfvo type="num" val="0"/>
        <cfvo type="num" val="0.5"/>
        <cfvo type="num" val="1"/>
        <color rgb="FF92D050"/>
        <color rgb="FFFFA709"/>
        <color rgb="FFFF0000"/>
      </colorScale>
    </cfRule>
  </conditionalFormatting>
  <conditionalFormatting sqref="CV35">
    <cfRule type="colorScale" priority="941">
      <colorScale>
        <cfvo type="num" val="0"/>
        <cfvo type="num" val="0.5"/>
        <cfvo type="num" val="1"/>
        <color rgb="FF92D050"/>
        <color rgb="FFFFA709"/>
        <color rgb="FFFF0000"/>
      </colorScale>
    </cfRule>
  </conditionalFormatting>
  <conditionalFormatting sqref="CX35 DA35 DC35">
    <cfRule type="colorScale" priority="940">
      <colorScale>
        <cfvo type="num" val="0"/>
        <cfvo type="num" val="0.5"/>
        <cfvo type="num" val="1"/>
        <color rgb="FF92D050"/>
        <color rgb="FFFFA709"/>
        <color rgb="FFFF0000"/>
      </colorScale>
    </cfRule>
  </conditionalFormatting>
  <conditionalFormatting sqref="CY35">
    <cfRule type="colorScale" priority="939">
      <colorScale>
        <cfvo type="num" val="0"/>
        <cfvo type="num" val="0.5"/>
        <cfvo type="num" val="1"/>
        <color rgb="FF92D050"/>
        <color rgb="FFFFA709"/>
        <color rgb="FFFF0000"/>
      </colorScale>
    </cfRule>
  </conditionalFormatting>
  <conditionalFormatting sqref="CZ35">
    <cfRule type="colorScale" priority="938">
      <colorScale>
        <cfvo type="num" val="0"/>
        <cfvo type="num" val="0.5"/>
        <cfvo type="num" val="1"/>
        <color rgb="FF92D050"/>
        <color rgb="FFFFA709"/>
        <color rgb="FFFF0000"/>
      </colorScale>
    </cfRule>
  </conditionalFormatting>
  <conditionalFormatting sqref="DB35">
    <cfRule type="colorScale" priority="937">
      <colorScale>
        <cfvo type="num" val="0"/>
        <cfvo type="num" val="0.5"/>
        <cfvo type="num" val="1"/>
        <color rgb="FF92D050"/>
        <color rgb="FFFFA709"/>
        <color rgb="FFFF0000"/>
      </colorScale>
    </cfRule>
  </conditionalFormatting>
  <conditionalFormatting sqref="DD35 DG35 DI35">
    <cfRule type="colorScale" priority="936">
      <colorScale>
        <cfvo type="num" val="0"/>
        <cfvo type="num" val="0.5"/>
        <cfvo type="num" val="1"/>
        <color rgb="FF92D050"/>
        <color rgb="FFFFA709"/>
        <color rgb="FFFF0000"/>
      </colorScale>
    </cfRule>
  </conditionalFormatting>
  <conditionalFormatting sqref="DE35">
    <cfRule type="colorScale" priority="935">
      <colorScale>
        <cfvo type="num" val="0"/>
        <cfvo type="num" val="0.5"/>
        <cfvo type="num" val="1"/>
        <color rgb="FF92D050"/>
        <color rgb="FFFFA709"/>
        <color rgb="FFFF0000"/>
      </colorScale>
    </cfRule>
  </conditionalFormatting>
  <conditionalFormatting sqref="DF35">
    <cfRule type="colorScale" priority="934">
      <colorScale>
        <cfvo type="num" val="0"/>
        <cfvo type="num" val="0.5"/>
        <cfvo type="num" val="1"/>
        <color rgb="FF92D050"/>
        <color rgb="FFFFA709"/>
        <color rgb="FFFF0000"/>
      </colorScale>
    </cfRule>
  </conditionalFormatting>
  <conditionalFormatting sqref="DH35">
    <cfRule type="colorScale" priority="933">
      <colorScale>
        <cfvo type="num" val="0"/>
        <cfvo type="num" val="0.5"/>
        <cfvo type="num" val="1"/>
        <color rgb="FF92D050"/>
        <color rgb="FFFFA709"/>
        <color rgb="FFFF0000"/>
      </colorScale>
    </cfRule>
  </conditionalFormatting>
  <conditionalFormatting sqref="DJ35 DM35 DO35">
    <cfRule type="colorScale" priority="932">
      <colorScale>
        <cfvo type="num" val="0"/>
        <cfvo type="num" val="0.5"/>
        <cfvo type="num" val="1"/>
        <color rgb="FF92D050"/>
        <color rgb="FFFFA709"/>
        <color rgb="FFFF0000"/>
      </colorScale>
    </cfRule>
  </conditionalFormatting>
  <conditionalFormatting sqref="DK35">
    <cfRule type="colorScale" priority="931">
      <colorScale>
        <cfvo type="num" val="0"/>
        <cfvo type="num" val="0.5"/>
        <cfvo type="num" val="1"/>
        <color rgb="FF92D050"/>
        <color rgb="FFFFA709"/>
        <color rgb="FFFF0000"/>
      </colorScale>
    </cfRule>
  </conditionalFormatting>
  <conditionalFormatting sqref="DL35">
    <cfRule type="colorScale" priority="930">
      <colorScale>
        <cfvo type="num" val="0"/>
        <cfvo type="num" val="0.5"/>
        <cfvo type="num" val="1"/>
        <color rgb="FF92D050"/>
        <color rgb="FFFFA709"/>
        <color rgb="FFFF0000"/>
      </colorScale>
    </cfRule>
  </conditionalFormatting>
  <conditionalFormatting sqref="DN35">
    <cfRule type="colorScale" priority="929">
      <colorScale>
        <cfvo type="num" val="0"/>
        <cfvo type="num" val="0.5"/>
        <cfvo type="num" val="1"/>
        <color rgb="FF92D050"/>
        <color rgb="FFFFA709"/>
        <color rgb="FFFF0000"/>
      </colorScale>
    </cfRule>
  </conditionalFormatting>
  <conditionalFormatting sqref="DP35 DS35 DU35">
    <cfRule type="colorScale" priority="928">
      <colorScale>
        <cfvo type="num" val="0"/>
        <cfvo type="num" val="0.5"/>
        <cfvo type="num" val="1"/>
        <color rgb="FF92D050"/>
        <color rgb="FFFFA709"/>
        <color rgb="FFFF0000"/>
      </colorScale>
    </cfRule>
  </conditionalFormatting>
  <conditionalFormatting sqref="DQ35">
    <cfRule type="colorScale" priority="927">
      <colorScale>
        <cfvo type="num" val="0"/>
        <cfvo type="num" val="0.5"/>
        <cfvo type="num" val="1"/>
        <color rgb="FF92D050"/>
        <color rgb="FFFFA709"/>
        <color rgb="FFFF0000"/>
      </colorScale>
    </cfRule>
  </conditionalFormatting>
  <conditionalFormatting sqref="DR35">
    <cfRule type="colorScale" priority="926">
      <colorScale>
        <cfvo type="num" val="0"/>
        <cfvo type="num" val="0.5"/>
        <cfvo type="num" val="1"/>
        <color rgb="FF92D050"/>
        <color rgb="FFFFA709"/>
        <color rgb="FFFF0000"/>
      </colorScale>
    </cfRule>
  </conditionalFormatting>
  <conditionalFormatting sqref="DT35">
    <cfRule type="colorScale" priority="925">
      <colorScale>
        <cfvo type="num" val="0"/>
        <cfvo type="num" val="0.5"/>
        <cfvo type="num" val="1"/>
        <color rgb="FF92D050"/>
        <color rgb="FFFFA709"/>
        <color rgb="FFFF0000"/>
      </colorScale>
    </cfRule>
  </conditionalFormatting>
  <conditionalFormatting sqref="DV35 DY35 EA35">
    <cfRule type="colorScale" priority="924">
      <colorScale>
        <cfvo type="num" val="0"/>
        <cfvo type="num" val="0.5"/>
        <cfvo type="num" val="1"/>
        <color rgb="FF92D050"/>
        <color rgb="FFFFA709"/>
        <color rgb="FFFF0000"/>
      </colorScale>
    </cfRule>
  </conditionalFormatting>
  <conditionalFormatting sqref="DW35">
    <cfRule type="colorScale" priority="923">
      <colorScale>
        <cfvo type="num" val="0"/>
        <cfvo type="num" val="0.5"/>
        <cfvo type="num" val="1"/>
        <color rgb="FF92D050"/>
        <color rgb="FFFFA709"/>
        <color rgb="FFFF0000"/>
      </colorScale>
    </cfRule>
  </conditionalFormatting>
  <conditionalFormatting sqref="DX35">
    <cfRule type="colorScale" priority="922">
      <colorScale>
        <cfvo type="num" val="0"/>
        <cfvo type="num" val="0.5"/>
        <cfvo type="num" val="1"/>
        <color rgb="FF92D050"/>
        <color rgb="FFFFA709"/>
        <color rgb="FFFF0000"/>
      </colorScale>
    </cfRule>
  </conditionalFormatting>
  <conditionalFormatting sqref="DZ35">
    <cfRule type="colorScale" priority="921">
      <colorScale>
        <cfvo type="num" val="0"/>
        <cfvo type="num" val="0.5"/>
        <cfvo type="num" val="1"/>
        <color rgb="FF92D050"/>
        <color rgb="FFFFA709"/>
        <color rgb="FFFF0000"/>
      </colorScale>
    </cfRule>
  </conditionalFormatting>
  <conditionalFormatting sqref="EB4 EE4 EG4">
    <cfRule type="colorScale" priority="920">
      <colorScale>
        <cfvo type="num" val="0"/>
        <cfvo type="num" val="0.5"/>
        <cfvo type="num" val="1"/>
        <color rgb="FF92D050"/>
        <color rgb="FFFFA709"/>
        <color rgb="FFFF0000"/>
      </colorScale>
    </cfRule>
  </conditionalFormatting>
  <conditionalFormatting sqref="EC4">
    <cfRule type="colorScale" priority="919">
      <colorScale>
        <cfvo type="num" val="0"/>
        <cfvo type="num" val="0.5"/>
        <cfvo type="num" val="1"/>
        <color rgb="FF92D050"/>
        <color rgb="FFFFA709"/>
        <color rgb="FFFF0000"/>
      </colorScale>
    </cfRule>
  </conditionalFormatting>
  <conditionalFormatting sqref="ED4">
    <cfRule type="colorScale" priority="918">
      <colorScale>
        <cfvo type="num" val="0"/>
        <cfvo type="num" val="0.5"/>
        <cfvo type="num" val="1"/>
        <color rgb="FF92D050"/>
        <color rgb="FFFFA709"/>
        <color rgb="FFFF0000"/>
      </colorScale>
    </cfRule>
  </conditionalFormatting>
  <conditionalFormatting sqref="EF4">
    <cfRule type="colorScale" priority="917">
      <colorScale>
        <cfvo type="num" val="0"/>
        <cfvo type="num" val="0.5"/>
        <cfvo type="num" val="1"/>
        <color rgb="FF92D050"/>
        <color rgb="FFFFA709"/>
        <color rgb="FFFF0000"/>
      </colorScale>
    </cfRule>
  </conditionalFormatting>
  <conditionalFormatting sqref="EB7 EE7 EG7">
    <cfRule type="colorScale" priority="916">
      <colorScale>
        <cfvo type="num" val="0"/>
        <cfvo type="num" val="0.5"/>
        <cfvo type="num" val="1"/>
        <color rgb="FF92D050"/>
        <color rgb="FFFFA709"/>
        <color rgb="FFFF0000"/>
      </colorScale>
    </cfRule>
  </conditionalFormatting>
  <conditionalFormatting sqref="EC7">
    <cfRule type="colorScale" priority="915">
      <colorScale>
        <cfvo type="num" val="0"/>
        <cfvo type="num" val="0.5"/>
        <cfvo type="num" val="1"/>
        <color rgb="FF92D050"/>
        <color rgb="FFFFA709"/>
        <color rgb="FFFF0000"/>
      </colorScale>
    </cfRule>
  </conditionalFormatting>
  <conditionalFormatting sqref="ED7">
    <cfRule type="colorScale" priority="914">
      <colorScale>
        <cfvo type="num" val="0"/>
        <cfvo type="num" val="0.5"/>
        <cfvo type="num" val="1"/>
        <color rgb="FF92D050"/>
        <color rgb="FFFFA709"/>
        <color rgb="FFFF0000"/>
      </colorScale>
    </cfRule>
  </conditionalFormatting>
  <conditionalFormatting sqref="EF7">
    <cfRule type="colorScale" priority="913">
      <colorScale>
        <cfvo type="num" val="0"/>
        <cfvo type="num" val="0.5"/>
        <cfvo type="num" val="1"/>
        <color rgb="FF92D050"/>
        <color rgb="FFFFA709"/>
        <color rgb="FFFF0000"/>
      </colorScale>
    </cfRule>
  </conditionalFormatting>
  <conditionalFormatting sqref="EB10 EE10 EG10">
    <cfRule type="colorScale" priority="912">
      <colorScale>
        <cfvo type="num" val="0"/>
        <cfvo type="num" val="0.5"/>
        <cfvo type="num" val="1"/>
        <color rgb="FF92D050"/>
        <color rgb="FFFFA709"/>
        <color rgb="FFFF0000"/>
      </colorScale>
    </cfRule>
  </conditionalFormatting>
  <conditionalFormatting sqref="EC10">
    <cfRule type="colorScale" priority="911">
      <colorScale>
        <cfvo type="num" val="0"/>
        <cfvo type="num" val="0.5"/>
        <cfvo type="num" val="1"/>
        <color rgb="FF92D050"/>
        <color rgb="FFFFA709"/>
        <color rgb="FFFF0000"/>
      </colorScale>
    </cfRule>
  </conditionalFormatting>
  <conditionalFormatting sqref="ED10">
    <cfRule type="colorScale" priority="910">
      <colorScale>
        <cfvo type="num" val="0"/>
        <cfvo type="num" val="0.5"/>
        <cfvo type="num" val="1"/>
        <color rgb="FF92D050"/>
        <color rgb="FFFFA709"/>
        <color rgb="FFFF0000"/>
      </colorScale>
    </cfRule>
  </conditionalFormatting>
  <conditionalFormatting sqref="EF10">
    <cfRule type="colorScale" priority="909">
      <colorScale>
        <cfvo type="num" val="0"/>
        <cfvo type="num" val="0.5"/>
        <cfvo type="num" val="1"/>
        <color rgb="FF92D050"/>
        <color rgb="FFFFA709"/>
        <color rgb="FFFF0000"/>
      </colorScale>
    </cfRule>
  </conditionalFormatting>
  <conditionalFormatting sqref="EB16 EE16 EG16">
    <cfRule type="colorScale" priority="908">
      <colorScale>
        <cfvo type="num" val="0"/>
        <cfvo type="num" val="0.5"/>
        <cfvo type="num" val="1"/>
        <color rgb="FF92D050"/>
        <color rgb="FFFFA709"/>
        <color rgb="FFFF0000"/>
      </colorScale>
    </cfRule>
  </conditionalFormatting>
  <conditionalFormatting sqref="EC16">
    <cfRule type="colorScale" priority="907">
      <colorScale>
        <cfvo type="num" val="0"/>
        <cfvo type="num" val="0.5"/>
        <cfvo type="num" val="1"/>
        <color rgb="FF92D050"/>
        <color rgb="FFFFA709"/>
        <color rgb="FFFF0000"/>
      </colorScale>
    </cfRule>
  </conditionalFormatting>
  <conditionalFormatting sqref="ED16">
    <cfRule type="colorScale" priority="906">
      <colorScale>
        <cfvo type="num" val="0"/>
        <cfvo type="num" val="0.5"/>
        <cfvo type="num" val="1"/>
        <color rgb="FF92D050"/>
        <color rgb="FFFFA709"/>
        <color rgb="FFFF0000"/>
      </colorScale>
    </cfRule>
  </conditionalFormatting>
  <conditionalFormatting sqref="EF16">
    <cfRule type="colorScale" priority="905">
      <colorScale>
        <cfvo type="num" val="0"/>
        <cfvo type="num" val="0.5"/>
        <cfvo type="num" val="1"/>
        <color rgb="FF92D050"/>
        <color rgb="FFFFA709"/>
        <color rgb="FFFF0000"/>
      </colorScale>
    </cfRule>
  </conditionalFormatting>
  <conditionalFormatting sqref="EE19 EB19 EG19">
    <cfRule type="colorScale" priority="904">
      <colorScale>
        <cfvo type="num" val="0"/>
        <cfvo type="num" val="0.5"/>
        <cfvo type="num" val="1"/>
        <color rgb="FF92D050"/>
        <color rgb="FFFFA709"/>
        <color rgb="FFFF0000"/>
      </colorScale>
    </cfRule>
  </conditionalFormatting>
  <conditionalFormatting sqref="EC19">
    <cfRule type="colorScale" priority="903">
      <colorScale>
        <cfvo type="num" val="0"/>
        <cfvo type="num" val="0.5"/>
        <cfvo type="num" val="1"/>
        <color rgb="FF92D050"/>
        <color rgb="FFFFA709"/>
        <color rgb="FFFF0000"/>
      </colorScale>
    </cfRule>
  </conditionalFormatting>
  <conditionalFormatting sqref="ED19">
    <cfRule type="colorScale" priority="902">
      <colorScale>
        <cfvo type="num" val="0"/>
        <cfvo type="num" val="0.5"/>
        <cfvo type="num" val="1"/>
        <color rgb="FF92D050"/>
        <color rgb="FFFFA709"/>
        <color rgb="FFFF0000"/>
      </colorScale>
    </cfRule>
  </conditionalFormatting>
  <conditionalFormatting sqref="EF19">
    <cfRule type="colorScale" priority="901">
      <colorScale>
        <cfvo type="num" val="0"/>
        <cfvo type="num" val="0.5"/>
        <cfvo type="num" val="1"/>
        <color rgb="FF92D050"/>
        <color rgb="FFFFA709"/>
        <color rgb="FFFF0000"/>
      </colorScale>
    </cfRule>
  </conditionalFormatting>
  <conditionalFormatting sqref="EB22">
    <cfRule type="colorScale" priority="900">
      <colorScale>
        <cfvo type="num" val="0"/>
        <cfvo type="num" val="0.5"/>
        <cfvo type="num" val="1"/>
        <color rgb="FF92D050"/>
        <color rgb="FFFFA709"/>
        <color rgb="FFFF0000"/>
      </colorScale>
    </cfRule>
  </conditionalFormatting>
  <conditionalFormatting sqref="EC22">
    <cfRule type="colorScale" priority="899">
      <colorScale>
        <cfvo type="num" val="0"/>
        <cfvo type="num" val="0.5"/>
        <cfvo type="num" val="1"/>
        <color rgb="FF92D050"/>
        <color rgb="FFFFA709"/>
        <color rgb="FFFF0000"/>
      </colorScale>
    </cfRule>
  </conditionalFormatting>
  <conditionalFormatting sqref="ED22">
    <cfRule type="colorScale" priority="898">
      <colorScale>
        <cfvo type="num" val="0"/>
        <cfvo type="num" val="0.5"/>
        <cfvo type="num" val="1"/>
        <color rgb="FF92D050"/>
        <color rgb="FFFFA709"/>
        <color rgb="FFFF0000"/>
      </colorScale>
    </cfRule>
  </conditionalFormatting>
  <conditionalFormatting sqref="EE22">
    <cfRule type="colorScale" priority="897">
      <colorScale>
        <cfvo type="num" val="0"/>
        <cfvo type="num" val="0.5"/>
        <cfvo type="num" val="1"/>
        <color rgb="FF92D050"/>
        <color rgb="FFFFA709"/>
        <color rgb="FFFF0000"/>
      </colorScale>
    </cfRule>
  </conditionalFormatting>
  <conditionalFormatting sqref="EF22">
    <cfRule type="colorScale" priority="896">
      <colorScale>
        <cfvo type="num" val="0"/>
        <cfvo type="num" val="0.5"/>
        <cfvo type="num" val="1"/>
        <color rgb="FF92D050"/>
        <color rgb="FFFFA709"/>
        <color rgb="FFFF0000"/>
      </colorScale>
    </cfRule>
  </conditionalFormatting>
  <conditionalFormatting sqref="EG22">
    <cfRule type="colorScale" priority="895">
      <colorScale>
        <cfvo type="num" val="0"/>
        <cfvo type="num" val="0.5"/>
        <cfvo type="num" val="1"/>
        <color rgb="FF92D050"/>
        <color rgb="FFFFA709"/>
        <color rgb="FFFF0000"/>
      </colorScale>
    </cfRule>
  </conditionalFormatting>
  <conditionalFormatting sqref="EB1:EF1">
    <cfRule type="timePeriod" dxfId="35" priority="894" timePeriod="today">
      <formula>FLOOR(EB1,1)=TODAY()</formula>
    </cfRule>
  </conditionalFormatting>
  <conditionalFormatting sqref="EB26 EE26 EG26">
    <cfRule type="colorScale" priority="893">
      <colorScale>
        <cfvo type="num" val="0"/>
        <cfvo type="num" val="0.5"/>
        <cfvo type="num" val="1"/>
        <color rgb="FF92D050"/>
        <color rgb="FFFFA709"/>
        <color rgb="FFFF0000"/>
      </colorScale>
    </cfRule>
  </conditionalFormatting>
  <conditionalFormatting sqref="EC26">
    <cfRule type="colorScale" priority="892">
      <colorScale>
        <cfvo type="num" val="0"/>
        <cfvo type="num" val="0.5"/>
        <cfvo type="num" val="1"/>
        <color rgb="FF92D050"/>
        <color rgb="FFFFA709"/>
        <color rgb="FFFF0000"/>
      </colorScale>
    </cfRule>
  </conditionalFormatting>
  <conditionalFormatting sqref="ED26">
    <cfRule type="colorScale" priority="891">
      <colorScale>
        <cfvo type="num" val="0"/>
        <cfvo type="num" val="0.5"/>
        <cfvo type="num" val="1"/>
        <color rgb="FF92D050"/>
        <color rgb="FFFFA709"/>
        <color rgb="FFFF0000"/>
      </colorScale>
    </cfRule>
  </conditionalFormatting>
  <conditionalFormatting sqref="EF26">
    <cfRule type="colorScale" priority="890">
      <colorScale>
        <cfvo type="num" val="0"/>
        <cfvo type="num" val="0.5"/>
        <cfvo type="num" val="1"/>
        <color rgb="FF92D050"/>
        <color rgb="FFFFA709"/>
        <color rgb="FFFF0000"/>
      </colorScale>
    </cfRule>
  </conditionalFormatting>
  <conditionalFormatting sqref="EB29 EE29 EG29">
    <cfRule type="colorScale" priority="885">
      <colorScale>
        <cfvo type="num" val="0"/>
        <cfvo type="num" val="0.5"/>
        <cfvo type="num" val="1"/>
        <color rgb="FF92D050"/>
        <color rgb="FFFFA709"/>
        <color rgb="FFFF0000"/>
      </colorScale>
    </cfRule>
  </conditionalFormatting>
  <conditionalFormatting sqref="EC29">
    <cfRule type="colorScale" priority="884">
      <colorScale>
        <cfvo type="num" val="0"/>
        <cfvo type="num" val="0.5"/>
        <cfvo type="num" val="1"/>
        <color rgb="FF92D050"/>
        <color rgb="FFFFA709"/>
        <color rgb="FFFF0000"/>
      </colorScale>
    </cfRule>
  </conditionalFormatting>
  <conditionalFormatting sqref="ED29">
    <cfRule type="colorScale" priority="883">
      <colorScale>
        <cfvo type="num" val="0"/>
        <cfvo type="num" val="0.5"/>
        <cfvo type="num" val="1"/>
        <color rgb="FF92D050"/>
        <color rgb="FFFFA709"/>
        <color rgb="FFFF0000"/>
      </colorScale>
    </cfRule>
  </conditionalFormatting>
  <conditionalFormatting sqref="EF29">
    <cfRule type="colorScale" priority="882">
      <colorScale>
        <cfvo type="num" val="0"/>
        <cfvo type="num" val="0.5"/>
        <cfvo type="num" val="1"/>
        <color rgb="FF92D050"/>
        <color rgb="FFFFA709"/>
        <color rgb="FFFF0000"/>
      </colorScale>
    </cfRule>
  </conditionalFormatting>
  <conditionalFormatting sqref="EB32 EE32 EG32">
    <cfRule type="colorScale" priority="881">
      <colorScale>
        <cfvo type="num" val="0"/>
        <cfvo type="num" val="0.5"/>
        <cfvo type="num" val="1"/>
        <color rgb="FF92D050"/>
        <color rgb="FFFFA709"/>
        <color rgb="FFFF0000"/>
      </colorScale>
    </cfRule>
  </conditionalFormatting>
  <conditionalFormatting sqref="EC32">
    <cfRule type="colorScale" priority="880">
      <colorScale>
        <cfvo type="num" val="0"/>
        <cfvo type="num" val="0.5"/>
        <cfvo type="num" val="1"/>
        <color rgb="FF92D050"/>
        <color rgb="FFFFA709"/>
        <color rgb="FFFF0000"/>
      </colorScale>
    </cfRule>
  </conditionalFormatting>
  <conditionalFormatting sqref="ED32">
    <cfRule type="colorScale" priority="879">
      <colorScale>
        <cfvo type="num" val="0"/>
        <cfvo type="num" val="0.5"/>
        <cfvo type="num" val="1"/>
        <color rgb="FF92D050"/>
        <color rgb="FFFFA709"/>
        <color rgb="FFFF0000"/>
      </colorScale>
    </cfRule>
  </conditionalFormatting>
  <conditionalFormatting sqref="EF32">
    <cfRule type="colorScale" priority="878">
      <colorScale>
        <cfvo type="num" val="0"/>
        <cfvo type="num" val="0.5"/>
        <cfvo type="num" val="1"/>
        <color rgb="FF92D050"/>
        <color rgb="FFFFA709"/>
        <color rgb="FFFF0000"/>
      </colorScale>
    </cfRule>
  </conditionalFormatting>
  <conditionalFormatting sqref="EB35 EE35 EG35">
    <cfRule type="colorScale" priority="877">
      <colorScale>
        <cfvo type="num" val="0"/>
        <cfvo type="num" val="0.5"/>
        <cfvo type="num" val="1"/>
        <color rgb="FF92D050"/>
        <color rgb="FFFFA709"/>
        <color rgb="FFFF0000"/>
      </colorScale>
    </cfRule>
  </conditionalFormatting>
  <conditionalFormatting sqref="EC35">
    <cfRule type="colorScale" priority="876">
      <colorScale>
        <cfvo type="num" val="0"/>
        <cfvo type="num" val="0.5"/>
        <cfvo type="num" val="1"/>
        <color rgb="FF92D050"/>
        <color rgb="FFFFA709"/>
        <color rgb="FFFF0000"/>
      </colorScale>
    </cfRule>
  </conditionalFormatting>
  <conditionalFormatting sqref="ED35">
    <cfRule type="colorScale" priority="875">
      <colorScale>
        <cfvo type="num" val="0"/>
        <cfvo type="num" val="0.5"/>
        <cfvo type="num" val="1"/>
        <color rgb="FF92D050"/>
        <color rgb="FFFFA709"/>
        <color rgb="FFFF0000"/>
      </colorScale>
    </cfRule>
  </conditionalFormatting>
  <conditionalFormatting sqref="EF35">
    <cfRule type="colorScale" priority="874">
      <colorScale>
        <cfvo type="num" val="0"/>
        <cfvo type="num" val="0.5"/>
        <cfvo type="num" val="1"/>
        <color rgb="FF92D050"/>
        <color rgb="FFFFA709"/>
        <color rgb="FFFF0000"/>
      </colorScale>
    </cfRule>
  </conditionalFormatting>
  <conditionalFormatting sqref="EH4 EK4 EM4">
    <cfRule type="colorScale" priority="873">
      <colorScale>
        <cfvo type="num" val="0"/>
        <cfvo type="num" val="0.5"/>
        <cfvo type="num" val="1"/>
        <color rgb="FF92D050"/>
        <color rgb="FFFFA709"/>
        <color rgb="FFFF0000"/>
      </colorScale>
    </cfRule>
  </conditionalFormatting>
  <conditionalFormatting sqref="EI4">
    <cfRule type="colorScale" priority="872">
      <colorScale>
        <cfvo type="num" val="0"/>
        <cfvo type="num" val="0.5"/>
        <cfvo type="num" val="1"/>
        <color rgb="FF92D050"/>
        <color rgb="FFFFA709"/>
        <color rgb="FFFF0000"/>
      </colorScale>
    </cfRule>
  </conditionalFormatting>
  <conditionalFormatting sqref="EJ4">
    <cfRule type="colorScale" priority="871">
      <colorScale>
        <cfvo type="num" val="0"/>
        <cfvo type="num" val="0.5"/>
        <cfvo type="num" val="1"/>
        <color rgb="FF92D050"/>
        <color rgb="FFFFA709"/>
        <color rgb="FFFF0000"/>
      </colorScale>
    </cfRule>
  </conditionalFormatting>
  <conditionalFormatting sqref="EL4">
    <cfRule type="colorScale" priority="870">
      <colorScale>
        <cfvo type="num" val="0"/>
        <cfvo type="num" val="0.5"/>
        <cfvo type="num" val="1"/>
        <color rgb="FF92D050"/>
        <color rgb="FFFFA709"/>
        <color rgb="FFFF0000"/>
      </colorScale>
    </cfRule>
  </conditionalFormatting>
  <conditionalFormatting sqref="EH7 EK7 EM7">
    <cfRule type="colorScale" priority="869">
      <colorScale>
        <cfvo type="num" val="0"/>
        <cfvo type="num" val="0.5"/>
        <cfvo type="num" val="1"/>
        <color rgb="FF92D050"/>
        <color rgb="FFFFA709"/>
        <color rgb="FFFF0000"/>
      </colorScale>
    </cfRule>
  </conditionalFormatting>
  <conditionalFormatting sqref="EI7">
    <cfRule type="colorScale" priority="868">
      <colorScale>
        <cfvo type="num" val="0"/>
        <cfvo type="num" val="0.5"/>
        <cfvo type="num" val="1"/>
        <color rgb="FF92D050"/>
        <color rgb="FFFFA709"/>
        <color rgb="FFFF0000"/>
      </colorScale>
    </cfRule>
  </conditionalFormatting>
  <conditionalFormatting sqref="EJ7">
    <cfRule type="colorScale" priority="867">
      <colorScale>
        <cfvo type="num" val="0"/>
        <cfvo type="num" val="0.5"/>
        <cfvo type="num" val="1"/>
        <color rgb="FF92D050"/>
        <color rgb="FFFFA709"/>
        <color rgb="FFFF0000"/>
      </colorScale>
    </cfRule>
  </conditionalFormatting>
  <conditionalFormatting sqref="EL7">
    <cfRule type="colorScale" priority="866">
      <colorScale>
        <cfvo type="num" val="0"/>
        <cfvo type="num" val="0.5"/>
        <cfvo type="num" val="1"/>
        <color rgb="FF92D050"/>
        <color rgb="FFFFA709"/>
        <color rgb="FFFF0000"/>
      </colorScale>
    </cfRule>
  </conditionalFormatting>
  <conditionalFormatting sqref="EH10 EK10 EM10">
    <cfRule type="colorScale" priority="865">
      <colorScale>
        <cfvo type="num" val="0"/>
        <cfvo type="num" val="0.5"/>
        <cfvo type="num" val="1"/>
        <color rgb="FF92D050"/>
        <color rgb="FFFFA709"/>
        <color rgb="FFFF0000"/>
      </colorScale>
    </cfRule>
  </conditionalFormatting>
  <conditionalFormatting sqref="EI10">
    <cfRule type="colorScale" priority="864">
      <colorScale>
        <cfvo type="num" val="0"/>
        <cfvo type="num" val="0.5"/>
        <cfvo type="num" val="1"/>
        <color rgb="FF92D050"/>
        <color rgb="FFFFA709"/>
        <color rgb="FFFF0000"/>
      </colorScale>
    </cfRule>
  </conditionalFormatting>
  <conditionalFormatting sqref="EJ10">
    <cfRule type="colorScale" priority="863">
      <colorScale>
        <cfvo type="num" val="0"/>
        <cfvo type="num" val="0.5"/>
        <cfvo type="num" val="1"/>
        <color rgb="FF92D050"/>
        <color rgb="FFFFA709"/>
        <color rgb="FFFF0000"/>
      </colorScale>
    </cfRule>
  </conditionalFormatting>
  <conditionalFormatting sqref="EL10">
    <cfRule type="colorScale" priority="862">
      <colorScale>
        <cfvo type="num" val="0"/>
        <cfvo type="num" val="0.5"/>
        <cfvo type="num" val="1"/>
        <color rgb="FF92D050"/>
        <color rgb="FFFFA709"/>
        <color rgb="FFFF0000"/>
      </colorScale>
    </cfRule>
  </conditionalFormatting>
  <conditionalFormatting sqref="EH16 EK16 EM16">
    <cfRule type="colorScale" priority="861">
      <colorScale>
        <cfvo type="num" val="0"/>
        <cfvo type="num" val="0.5"/>
        <cfvo type="num" val="1"/>
        <color rgb="FF92D050"/>
        <color rgb="FFFFA709"/>
        <color rgb="FFFF0000"/>
      </colorScale>
    </cfRule>
  </conditionalFormatting>
  <conditionalFormatting sqref="EI16">
    <cfRule type="colorScale" priority="860">
      <colorScale>
        <cfvo type="num" val="0"/>
        <cfvo type="num" val="0.5"/>
        <cfvo type="num" val="1"/>
        <color rgb="FF92D050"/>
        <color rgb="FFFFA709"/>
        <color rgb="FFFF0000"/>
      </colorScale>
    </cfRule>
  </conditionalFormatting>
  <conditionalFormatting sqref="EJ16">
    <cfRule type="colorScale" priority="859">
      <colorScale>
        <cfvo type="num" val="0"/>
        <cfvo type="num" val="0.5"/>
        <cfvo type="num" val="1"/>
        <color rgb="FF92D050"/>
        <color rgb="FFFFA709"/>
        <color rgb="FFFF0000"/>
      </colorScale>
    </cfRule>
  </conditionalFormatting>
  <conditionalFormatting sqref="EL16">
    <cfRule type="colorScale" priority="858">
      <colorScale>
        <cfvo type="num" val="0"/>
        <cfvo type="num" val="0.5"/>
        <cfvo type="num" val="1"/>
        <color rgb="FF92D050"/>
        <color rgb="FFFFA709"/>
        <color rgb="FFFF0000"/>
      </colorScale>
    </cfRule>
  </conditionalFormatting>
  <conditionalFormatting sqref="EH19 EK19 EM19">
    <cfRule type="colorScale" priority="857">
      <colorScale>
        <cfvo type="num" val="0"/>
        <cfvo type="num" val="0.5"/>
        <cfvo type="num" val="1"/>
        <color rgb="FF92D050"/>
        <color rgb="FFFFA709"/>
        <color rgb="FFFF0000"/>
      </colorScale>
    </cfRule>
  </conditionalFormatting>
  <conditionalFormatting sqref="EI19">
    <cfRule type="colorScale" priority="856">
      <colorScale>
        <cfvo type="num" val="0"/>
        <cfvo type="num" val="0.5"/>
        <cfvo type="num" val="1"/>
        <color rgb="FF92D050"/>
        <color rgb="FFFFA709"/>
        <color rgb="FFFF0000"/>
      </colorScale>
    </cfRule>
  </conditionalFormatting>
  <conditionalFormatting sqref="EJ19">
    <cfRule type="colorScale" priority="855">
      <colorScale>
        <cfvo type="num" val="0"/>
        <cfvo type="num" val="0.5"/>
        <cfvo type="num" val="1"/>
        <color rgb="FF92D050"/>
        <color rgb="FFFFA709"/>
        <color rgb="FFFF0000"/>
      </colorScale>
    </cfRule>
  </conditionalFormatting>
  <conditionalFormatting sqref="EL19">
    <cfRule type="colorScale" priority="854">
      <colorScale>
        <cfvo type="num" val="0"/>
        <cfvo type="num" val="0.5"/>
        <cfvo type="num" val="1"/>
        <color rgb="FF92D050"/>
        <color rgb="FFFFA709"/>
        <color rgb="FFFF0000"/>
      </colorScale>
    </cfRule>
  </conditionalFormatting>
  <conditionalFormatting sqref="EH22">
    <cfRule type="colorScale" priority="853">
      <colorScale>
        <cfvo type="num" val="0"/>
        <cfvo type="num" val="0.5"/>
        <cfvo type="num" val="1"/>
        <color rgb="FF92D050"/>
        <color rgb="FFFFA709"/>
        <color rgb="FFFF0000"/>
      </colorScale>
    </cfRule>
  </conditionalFormatting>
  <conditionalFormatting sqref="EI22">
    <cfRule type="colorScale" priority="852">
      <colorScale>
        <cfvo type="num" val="0"/>
        <cfvo type="num" val="0.5"/>
        <cfvo type="num" val="1"/>
        <color rgb="FF92D050"/>
        <color rgb="FFFFA709"/>
        <color rgb="FFFF0000"/>
      </colorScale>
    </cfRule>
  </conditionalFormatting>
  <conditionalFormatting sqref="EJ22">
    <cfRule type="colorScale" priority="851">
      <colorScale>
        <cfvo type="num" val="0"/>
        <cfvo type="num" val="0.5"/>
        <cfvo type="num" val="1"/>
        <color rgb="FF92D050"/>
        <color rgb="FFFFA709"/>
        <color rgb="FFFF0000"/>
      </colorScale>
    </cfRule>
  </conditionalFormatting>
  <conditionalFormatting sqref="EK22">
    <cfRule type="colorScale" priority="850">
      <colorScale>
        <cfvo type="num" val="0"/>
        <cfvo type="num" val="0.5"/>
        <cfvo type="num" val="1"/>
        <color rgb="FF92D050"/>
        <color rgb="FFFFA709"/>
        <color rgb="FFFF0000"/>
      </colorScale>
    </cfRule>
  </conditionalFormatting>
  <conditionalFormatting sqref="EL22">
    <cfRule type="colorScale" priority="849">
      <colorScale>
        <cfvo type="num" val="0"/>
        <cfvo type="num" val="0.5"/>
        <cfvo type="num" val="1"/>
        <color rgb="FF92D050"/>
        <color rgb="FFFFA709"/>
        <color rgb="FFFF0000"/>
      </colorScale>
    </cfRule>
  </conditionalFormatting>
  <conditionalFormatting sqref="EM22">
    <cfRule type="colorScale" priority="848">
      <colorScale>
        <cfvo type="num" val="0"/>
        <cfvo type="num" val="0.5"/>
        <cfvo type="num" val="1"/>
        <color rgb="FF92D050"/>
        <color rgb="FFFFA709"/>
        <color rgb="FFFF0000"/>
      </colorScale>
    </cfRule>
  </conditionalFormatting>
  <conditionalFormatting sqref="EH1:EL1">
    <cfRule type="timePeriod" dxfId="34" priority="847" timePeriod="today">
      <formula>FLOOR(EH1,1)=TODAY()</formula>
    </cfRule>
  </conditionalFormatting>
  <conditionalFormatting sqref="EH26 EK26 EM26">
    <cfRule type="colorScale" priority="846">
      <colorScale>
        <cfvo type="num" val="0"/>
        <cfvo type="num" val="0.5"/>
        <cfvo type="num" val="1"/>
        <color rgb="FF92D050"/>
        <color rgb="FFFFA709"/>
        <color rgb="FFFF0000"/>
      </colorScale>
    </cfRule>
  </conditionalFormatting>
  <conditionalFormatting sqref="EI26">
    <cfRule type="colorScale" priority="845">
      <colorScale>
        <cfvo type="num" val="0"/>
        <cfvo type="num" val="0.5"/>
        <cfvo type="num" val="1"/>
        <color rgb="FF92D050"/>
        <color rgb="FFFFA709"/>
        <color rgb="FFFF0000"/>
      </colorScale>
    </cfRule>
  </conditionalFormatting>
  <conditionalFormatting sqref="EJ26">
    <cfRule type="colorScale" priority="844">
      <colorScale>
        <cfvo type="num" val="0"/>
        <cfvo type="num" val="0.5"/>
        <cfvo type="num" val="1"/>
        <color rgb="FF92D050"/>
        <color rgb="FFFFA709"/>
        <color rgb="FFFF0000"/>
      </colorScale>
    </cfRule>
  </conditionalFormatting>
  <conditionalFormatting sqref="EL26">
    <cfRule type="colorScale" priority="843">
      <colorScale>
        <cfvo type="num" val="0"/>
        <cfvo type="num" val="0.5"/>
        <cfvo type="num" val="1"/>
        <color rgb="FF92D050"/>
        <color rgb="FFFFA709"/>
        <color rgb="FFFF0000"/>
      </colorScale>
    </cfRule>
  </conditionalFormatting>
  <conditionalFormatting sqref="EH29 EK29 EM29">
    <cfRule type="colorScale" priority="838">
      <colorScale>
        <cfvo type="num" val="0"/>
        <cfvo type="num" val="0.5"/>
        <cfvo type="num" val="1"/>
        <color rgb="FF92D050"/>
        <color rgb="FFFFA709"/>
        <color rgb="FFFF0000"/>
      </colorScale>
    </cfRule>
  </conditionalFormatting>
  <conditionalFormatting sqref="EI29">
    <cfRule type="colorScale" priority="837">
      <colorScale>
        <cfvo type="num" val="0"/>
        <cfvo type="num" val="0.5"/>
        <cfvo type="num" val="1"/>
        <color rgb="FF92D050"/>
        <color rgb="FFFFA709"/>
        <color rgb="FFFF0000"/>
      </colorScale>
    </cfRule>
  </conditionalFormatting>
  <conditionalFormatting sqref="EJ29">
    <cfRule type="colorScale" priority="836">
      <colorScale>
        <cfvo type="num" val="0"/>
        <cfvo type="num" val="0.5"/>
        <cfvo type="num" val="1"/>
        <color rgb="FF92D050"/>
        <color rgb="FFFFA709"/>
        <color rgb="FFFF0000"/>
      </colorScale>
    </cfRule>
  </conditionalFormatting>
  <conditionalFormatting sqref="EL29">
    <cfRule type="colorScale" priority="835">
      <colorScale>
        <cfvo type="num" val="0"/>
        <cfvo type="num" val="0.5"/>
        <cfvo type="num" val="1"/>
        <color rgb="FF92D050"/>
        <color rgb="FFFFA709"/>
        <color rgb="FFFF0000"/>
      </colorScale>
    </cfRule>
  </conditionalFormatting>
  <conditionalFormatting sqref="EH32 EK32 EM32">
    <cfRule type="colorScale" priority="834">
      <colorScale>
        <cfvo type="num" val="0"/>
        <cfvo type="num" val="0.5"/>
        <cfvo type="num" val="1"/>
        <color rgb="FF92D050"/>
        <color rgb="FFFFA709"/>
        <color rgb="FFFF0000"/>
      </colorScale>
    </cfRule>
  </conditionalFormatting>
  <conditionalFormatting sqref="EI32">
    <cfRule type="colorScale" priority="833">
      <colorScale>
        <cfvo type="num" val="0"/>
        <cfvo type="num" val="0.5"/>
        <cfvo type="num" val="1"/>
        <color rgb="FF92D050"/>
        <color rgb="FFFFA709"/>
        <color rgb="FFFF0000"/>
      </colorScale>
    </cfRule>
  </conditionalFormatting>
  <conditionalFormatting sqref="EJ32">
    <cfRule type="colorScale" priority="832">
      <colorScale>
        <cfvo type="num" val="0"/>
        <cfvo type="num" val="0.5"/>
        <cfvo type="num" val="1"/>
        <color rgb="FF92D050"/>
        <color rgb="FFFFA709"/>
        <color rgb="FFFF0000"/>
      </colorScale>
    </cfRule>
  </conditionalFormatting>
  <conditionalFormatting sqref="EL32">
    <cfRule type="colorScale" priority="831">
      <colorScale>
        <cfvo type="num" val="0"/>
        <cfvo type="num" val="0.5"/>
        <cfvo type="num" val="1"/>
        <color rgb="FF92D050"/>
        <color rgb="FFFFA709"/>
        <color rgb="FFFF0000"/>
      </colorScale>
    </cfRule>
  </conditionalFormatting>
  <conditionalFormatting sqref="EH35 EK35 EM35">
    <cfRule type="colorScale" priority="830">
      <colorScale>
        <cfvo type="num" val="0"/>
        <cfvo type="num" val="0.5"/>
        <cfvo type="num" val="1"/>
        <color rgb="FF92D050"/>
        <color rgb="FFFFA709"/>
        <color rgb="FFFF0000"/>
      </colorScale>
    </cfRule>
  </conditionalFormatting>
  <conditionalFormatting sqref="EI35">
    <cfRule type="colorScale" priority="829">
      <colorScale>
        <cfvo type="num" val="0"/>
        <cfvo type="num" val="0.5"/>
        <cfvo type="num" val="1"/>
        <color rgb="FF92D050"/>
        <color rgb="FFFFA709"/>
        <color rgb="FFFF0000"/>
      </colorScale>
    </cfRule>
  </conditionalFormatting>
  <conditionalFormatting sqref="EJ35">
    <cfRule type="colorScale" priority="828">
      <colorScale>
        <cfvo type="num" val="0"/>
        <cfvo type="num" val="0.5"/>
        <cfvo type="num" val="1"/>
        <color rgb="FF92D050"/>
        <color rgb="FFFFA709"/>
        <color rgb="FFFF0000"/>
      </colorScale>
    </cfRule>
  </conditionalFormatting>
  <conditionalFormatting sqref="EL35">
    <cfRule type="colorScale" priority="827">
      <colorScale>
        <cfvo type="num" val="0"/>
        <cfvo type="num" val="0.5"/>
        <cfvo type="num" val="1"/>
        <color rgb="FF92D050"/>
        <color rgb="FFFFA709"/>
        <color rgb="FFFF0000"/>
      </colorScale>
    </cfRule>
  </conditionalFormatting>
  <conditionalFormatting sqref="EN4 EQ4 ES4">
    <cfRule type="colorScale" priority="826">
      <colorScale>
        <cfvo type="num" val="0"/>
        <cfvo type="num" val="0.5"/>
        <cfvo type="num" val="1"/>
        <color rgb="FF92D050"/>
        <color rgb="FFFFA709"/>
        <color rgb="FFFF0000"/>
      </colorScale>
    </cfRule>
  </conditionalFormatting>
  <conditionalFormatting sqref="EO4">
    <cfRule type="colorScale" priority="825">
      <colorScale>
        <cfvo type="num" val="0"/>
        <cfvo type="num" val="0.5"/>
        <cfvo type="num" val="1"/>
        <color rgb="FF92D050"/>
        <color rgb="FFFFA709"/>
        <color rgb="FFFF0000"/>
      </colorScale>
    </cfRule>
  </conditionalFormatting>
  <conditionalFormatting sqref="EP4">
    <cfRule type="colorScale" priority="824">
      <colorScale>
        <cfvo type="num" val="0"/>
        <cfvo type="num" val="0.5"/>
        <cfvo type="num" val="1"/>
        <color rgb="FF92D050"/>
        <color rgb="FFFFA709"/>
        <color rgb="FFFF0000"/>
      </colorScale>
    </cfRule>
  </conditionalFormatting>
  <conditionalFormatting sqref="ER4">
    <cfRule type="colorScale" priority="823">
      <colorScale>
        <cfvo type="num" val="0"/>
        <cfvo type="num" val="0.5"/>
        <cfvo type="num" val="1"/>
        <color rgb="FF92D050"/>
        <color rgb="FFFFA709"/>
        <color rgb="FFFF0000"/>
      </colorScale>
    </cfRule>
  </conditionalFormatting>
  <conditionalFormatting sqref="EN7 EQ7 ES7">
    <cfRule type="colorScale" priority="822">
      <colorScale>
        <cfvo type="num" val="0"/>
        <cfvo type="num" val="0.5"/>
        <cfvo type="num" val="1"/>
        <color rgb="FF92D050"/>
        <color rgb="FFFFA709"/>
        <color rgb="FFFF0000"/>
      </colorScale>
    </cfRule>
  </conditionalFormatting>
  <conditionalFormatting sqref="EO7">
    <cfRule type="colorScale" priority="821">
      <colorScale>
        <cfvo type="num" val="0"/>
        <cfvo type="num" val="0.5"/>
        <cfvo type="num" val="1"/>
        <color rgb="FF92D050"/>
        <color rgb="FFFFA709"/>
        <color rgb="FFFF0000"/>
      </colorScale>
    </cfRule>
  </conditionalFormatting>
  <conditionalFormatting sqref="EP7">
    <cfRule type="colorScale" priority="820">
      <colorScale>
        <cfvo type="num" val="0"/>
        <cfvo type="num" val="0.5"/>
        <cfvo type="num" val="1"/>
        <color rgb="FF92D050"/>
        <color rgb="FFFFA709"/>
        <color rgb="FFFF0000"/>
      </colorScale>
    </cfRule>
  </conditionalFormatting>
  <conditionalFormatting sqref="ER7">
    <cfRule type="colorScale" priority="819">
      <colorScale>
        <cfvo type="num" val="0"/>
        <cfvo type="num" val="0.5"/>
        <cfvo type="num" val="1"/>
        <color rgb="FF92D050"/>
        <color rgb="FFFFA709"/>
        <color rgb="FFFF0000"/>
      </colorScale>
    </cfRule>
  </conditionalFormatting>
  <conditionalFormatting sqref="EN10 EQ10 ES10">
    <cfRule type="colorScale" priority="818">
      <colorScale>
        <cfvo type="num" val="0"/>
        <cfvo type="num" val="0.5"/>
        <cfvo type="num" val="1"/>
        <color rgb="FF92D050"/>
        <color rgb="FFFFA709"/>
        <color rgb="FFFF0000"/>
      </colorScale>
    </cfRule>
  </conditionalFormatting>
  <conditionalFormatting sqref="EO10">
    <cfRule type="colorScale" priority="817">
      <colorScale>
        <cfvo type="num" val="0"/>
        <cfvo type="num" val="0.5"/>
        <cfvo type="num" val="1"/>
        <color rgb="FF92D050"/>
        <color rgb="FFFFA709"/>
        <color rgb="FFFF0000"/>
      </colorScale>
    </cfRule>
  </conditionalFormatting>
  <conditionalFormatting sqref="EP10">
    <cfRule type="colorScale" priority="816">
      <colorScale>
        <cfvo type="num" val="0"/>
        <cfvo type="num" val="0.5"/>
        <cfvo type="num" val="1"/>
        <color rgb="FF92D050"/>
        <color rgb="FFFFA709"/>
        <color rgb="FFFF0000"/>
      </colorScale>
    </cfRule>
  </conditionalFormatting>
  <conditionalFormatting sqref="ER10">
    <cfRule type="colorScale" priority="815">
      <colorScale>
        <cfvo type="num" val="0"/>
        <cfvo type="num" val="0.5"/>
        <cfvo type="num" val="1"/>
        <color rgb="FF92D050"/>
        <color rgb="FFFFA709"/>
        <color rgb="FFFF0000"/>
      </colorScale>
    </cfRule>
  </conditionalFormatting>
  <conditionalFormatting sqref="EN16 EQ16 ES16">
    <cfRule type="colorScale" priority="814">
      <colorScale>
        <cfvo type="num" val="0"/>
        <cfvo type="num" val="0.5"/>
        <cfvo type="num" val="1"/>
        <color rgb="FF92D050"/>
        <color rgb="FFFFA709"/>
        <color rgb="FFFF0000"/>
      </colorScale>
    </cfRule>
  </conditionalFormatting>
  <conditionalFormatting sqref="EO16">
    <cfRule type="colorScale" priority="813">
      <colorScale>
        <cfvo type="num" val="0"/>
        <cfvo type="num" val="0.5"/>
        <cfvo type="num" val="1"/>
        <color rgb="FF92D050"/>
        <color rgb="FFFFA709"/>
        <color rgb="FFFF0000"/>
      </colorScale>
    </cfRule>
  </conditionalFormatting>
  <conditionalFormatting sqref="EP16">
    <cfRule type="colorScale" priority="812">
      <colorScale>
        <cfvo type="num" val="0"/>
        <cfvo type="num" val="0.5"/>
        <cfvo type="num" val="1"/>
        <color rgb="FF92D050"/>
        <color rgb="FFFFA709"/>
        <color rgb="FFFF0000"/>
      </colorScale>
    </cfRule>
  </conditionalFormatting>
  <conditionalFormatting sqref="ER16">
    <cfRule type="colorScale" priority="811">
      <colorScale>
        <cfvo type="num" val="0"/>
        <cfvo type="num" val="0.5"/>
        <cfvo type="num" val="1"/>
        <color rgb="FF92D050"/>
        <color rgb="FFFFA709"/>
        <color rgb="FFFF0000"/>
      </colorScale>
    </cfRule>
  </conditionalFormatting>
  <conditionalFormatting sqref="EN19 EQ19 ES19">
    <cfRule type="colorScale" priority="810">
      <colorScale>
        <cfvo type="num" val="0"/>
        <cfvo type="num" val="0.5"/>
        <cfvo type="num" val="1"/>
        <color rgb="FF92D050"/>
        <color rgb="FFFFA709"/>
        <color rgb="FFFF0000"/>
      </colorScale>
    </cfRule>
  </conditionalFormatting>
  <conditionalFormatting sqref="EO19">
    <cfRule type="colorScale" priority="809">
      <colorScale>
        <cfvo type="num" val="0"/>
        <cfvo type="num" val="0.5"/>
        <cfvo type="num" val="1"/>
        <color rgb="FF92D050"/>
        <color rgb="FFFFA709"/>
        <color rgb="FFFF0000"/>
      </colorScale>
    </cfRule>
  </conditionalFormatting>
  <conditionalFormatting sqref="EP19">
    <cfRule type="colorScale" priority="808">
      <colorScale>
        <cfvo type="num" val="0"/>
        <cfvo type="num" val="0.5"/>
        <cfvo type="num" val="1"/>
        <color rgb="FF92D050"/>
        <color rgb="FFFFA709"/>
        <color rgb="FFFF0000"/>
      </colorScale>
    </cfRule>
  </conditionalFormatting>
  <conditionalFormatting sqref="ER19">
    <cfRule type="colorScale" priority="807">
      <colorScale>
        <cfvo type="num" val="0"/>
        <cfvo type="num" val="0.5"/>
        <cfvo type="num" val="1"/>
        <color rgb="FF92D050"/>
        <color rgb="FFFFA709"/>
        <color rgb="FFFF0000"/>
      </colorScale>
    </cfRule>
  </conditionalFormatting>
  <conditionalFormatting sqref="EN22">
    <cfRule type="colorScale" priority="806">
      <colorScale>
        <cfvo type="num" val="0"/>
        <cfvo type="num" val="0.5"/>
        <cfvo type="num" val="1"/>
        <color rgb="FF92D050"/>
        <color rgb="FFFFA709"/>
        <color rgb="FFFF0000"/>
      </colorScale>
    </cfRule>
  </conditionalFormatting>
  <conditionalFormatting sqref="EO22">
    <cfRule type="colorScale" priority="805">
      <colorScale>
        <cfvo type="num" val="0"/>
        <cfvo type="num" val="0.5"/>
        <cfvo type="num" val="1"/>
        <color rgb="FF92D050"/>
        <color rgb="FFFFA709"/>
        <color rgb="FFFF0000"/>
      </colorScale>
    </cfRule>
  </conditionalFormatting>
  <conditionalFormatting sqref="EP22">
    <cfRule type="colorScale" priority="804">
      <colorScale>
        <cfvo type="num" val="0"/>
        <cfvo type="num" val="0.5"/>
        <cfvo type="num" val="1"/>
        <color rgb="FF92D050"/>
        <color rgb="FFFFA709"/>
        <color rgb="FFFF0000"/>
      </colorScale>
    </cfRule>
  </conditionalFormatting>
  <conditionalFormatting sqref="EQ22">
    <cfRule type="colorScale" priority="803">
      <colorScale>
        <cfvo type="num" val="0"/>
        <cfvo type="num" val="0.5"/>
        <cfvo type="num" val="1"/>
        <color rgb="FF92D050"/>
        <color rgb="FFFFA709"/>
        <color rgb="FFFF0000"/>
      </colorScale>
    </cfRule>
  </conditionalFormatting>
  <conditionalFormatting sqref="ER22">
    <cfRule type="colorScale" priority="802">
      <colorScale>
        <cfvo type="num" val="0"/>
        <cfvo type="num" val="0.5"/>
        <cfvo type="num" val="1"/>
        <color rgb="FF92D050"/>
        <color rgb="FFFFA709"/>
        <color rgb="FFFF0000"/>
      </colorScale>
    </cfRule>
  </conditionalFormatting>
  <conditionalFormatting sqref="ES22">
    <cfRule type="colorScale" priority="801">
      <colorScale>
        <cfvo type="num" val="0"/>
        <cfvo type="num" val="0.5"/>
        <cfvo type="num" val="1"/>
        <color rgb="FF92D050"/>
        <color rgb="FFFFA709"/>
        <color rgb="FFFF0000"/>
      </colorScale>
    </cfRule>
  </conditionalFormatting>
  <conditionalFormatting sqref="EN1:ER1">
    <cfRule type="timePeriod" dxfId="33" priority="800" timePeriod="today">
      <formula>FLOOR(EN1,1)=TODAY()</formula>
    </cfRule>
  </conditionalFormatting>
  <conditionalFormatting sqref="EN26 EQ26 ES26">
    <cfRule type="colorScale" priority="799">
      <colorScale>
        <cfvo type="num" val="0"/>
        <cfvo type="num" val="0.5"/>
        <cfvo type="num" val="1"/>
        <color rgb="FF92D050"/>
        <color rgb="FFFFA709"/>
        <color rgb="FFFF0000"/>
      </colorScale>
    </cfRule>
  </conditionalFormatting>
  <conditionalFormatting sqref="EO26">
    <cfRule type="colorScale" priority="798">
      <colorScale>
        <cfvo type="num" val="0"/>
        <cfvo type="num" val="0.5"/>
        <cfvo type="num" val="1"/>
        <color rgb="FF92D050"/>
        <color rgb="FFFFA709"/>
        <color rgb="FFFF0000"/>
      </colorScale>
    </cfRule>
  </conditionalFormatting>
  <conditionalFormatting sqref="EP26">
    <cfRule type="colorScale" priority="797">
      <colorScale>
        <cfvo type="num" val="0"/>
        <cfvo type="num" val="0.5"/>
        <cfvo type="num" val="1"/>
        <color rgb="FF92D050"/>
        <color rgb="FFFFA709"/>
        <color rgb="FFFF0000"/>
      </colorScale>
    </cfRule>
  </conditionalFormatting>
  <conditionalFormatting sqref="ER26">
    <cfRule type="colorScale" priority="796">
      <colorScale>
        <cfvo type="num" val="0"/>
        <cfvo type="num" val="0.5"/>
        <cfvo type="num" val="1"/>
        <color rgb="FF92D050"/>
        <color rgb="FFFFA709"/>
        <color rgb="FFFF0000"/>
      </colorScale>
    </cfRule>
  </conditionalFormatting>
  <conditionalFormatting sqref="EN29 EQ29 ES29">
    <cfRule type="colorScale" priority="791">
      <colorScale>
        <cfvo type="num" val="0"/>
        <cfvo type="num" val="0.5"/>
        <cfvo type="num" val="1"/>
        <color rgb="FF92D050"/>
        <color rgb="FFFFA709"/>
        <color rgb="FFFF0000"/>
      </colorScale>
    </cfRule>
  </conditionalFormatting>
  <conditionalFormatting sqref="EO29">
    <cfRule type="colorScale" priority="790">
      <colorScale>
        <cfvo type="num" val="0"/>
        <cfvo type="num" val="0.5"/>
        <cfvo type="num" val="1"/>
        <color rgb="FF92D050"/>
        <color rgb="FFFFA709"/>
        <color rgb="FFFF0000"/>
      </colorScale>
    </cfRule>
  </conditionalFormatting>
  <conditionalFormatting sqref="EP29">
    <cfRule type="colorScale" priority="789">
      <colorScale>
        <cfvo type="num" val="0"/>
        <cfvo type="num" val="0.5"/>
        <cfvo type="num" val="1"/>
        <color rgb="FF92D050"/>
        <color rgb="FFFFA709"/>
        <color rgb="FFFF0000"/>
      </colorScale>
    </cfRule>
  </conditionalFormatting>
  <conditionalFormatting sqref="ER29">
    <cfRule type="colorScale" priority="788">
      <colorScale>
        <cfvo type="num" val="0"/>
        <cfvo type="num" val="0.5"/>
        <cfvo type="num" val="1"/>
        <color rgb="FF92D050"/>
        <color rgb="FFFFA709"/>
        <color rgb="FFFF0000"/>
      </colorScale>
    </cfRule>
  </conditionalFormatting>
  <conditionalFormatting sqref="EN32 EQ32 ES32">
    <cfRule type="colorScale" priority="787">
      <colorScale>
        <cfvo type="num" val="0"/>
        <cfvo type="num" val="0.5"/>
        <cfvo type="num" val="1"/>
        <color rgb="FF92D050"/>
        <color rgb="FFFFA709"/>
        <color rgb="FFFF0000"/>
      </colorScale>
    </cfRule>
  </conditionalFormatting>
  <conditionalFormatting sqref="EO32">
    <cfRule type="colorScale" priority="786">
      <colorScale>
        <cfvo type="num" val="0"/>
        <cfvo type="num" val="0.5"/>
        <cfvo type="num" val="1"/>
        <color rgb="FF92D050"/>
        <color rgb="FFFFA709"/>
        <color rgb="FFFF0000"/>
      </colorScale>
    </cfRule>
  </conditionalFormatting>
  <conditionalFormatting sqref="EP32">
    <cfRule type="colorScale" priority="785">
      <colorScale>
        <cfvo type="num" val="0"/>
        <cfvo type="num" val="0.5"/>
        <cfvo type="num" val="1"/>
        <color rgb="FF92D050"/>
        <color rgb="FFFFA709"/>
        <color rgb="FFFF0000"/>
      </colorScale>
    </cfRule>
  </conditionalFormatting>
  <conditionalFormatting sqref="ER32">
    <cfRule type="colorScale" priority="784">
      <colorScale>
        <cfvo type="num" val="0"/>
        <cfvo type="num" val="0.5"/>
        <cfvo type="num" val="1"/>
        <color rgb="FF92D050"/>
        <color rgb="FFFFA709"/>
        <color rgb="FFFF0000"/>
      </colorScale>
    </cfRule>
  </conditionalFormatting>
  <conditionalFormatting sqref="EN35 EQ35 ES35">
    <cfRule type="colorScale" priority="783">
      <colorScale>
        <cfvo type="num" val="0"/>
        <cfvo type="num" val="0.5"/>
        <cfvo type="num" val="1"/>
        <color rgb="FF92D050"/>
        <color rgb="FFFFA709"/>
        <color rgb="FFFF0000"/>
      </colorScale>
    </cfRule>
  </conditionalFormatting>
  <conditionalFormatting sqref="EO35">
    <cfRule type="colorScale" priority="782">
      <colorScale>
        <cfvo type="num" val="0"/>
        <cfvo type="num" val="0.5"/>
        <cfvo type="num" val="1"/>
        <color rgb="FF92D050"/>
        <color rgb="FFFFA709"/>
        <color rgb="FFFF0000"/>
      </colorScale>
    </cfRule>
  </conditionalFormatting>
  <conditionalFormatting sqref="EP35">
    <cfRule type="colorScale" priority="781">
      <colorScale>
        <cfvo type="num" val="0"/>
        <cfvo type="num" val="0.5"/>
        <cfvo type="num" val="1"/>
        <color rgb="FF92D050"/>
        <color rgb="FFFFA709"/>
        <color rgb="FFFF0000"/>
      </colorScale>
    </cfRule>
  </conditionalFormatting>
  <conditionalFormatting sqref="ER35">
    <cfRule type="colorScale" priority="780">
      <colorScale>
        <cfvo type="num" val="0"/>
        <cfvo type="num" val="0.5"/>
        <cfvo type="num" val="1"/>
        <color rgb="FF92D050"/>
        <color rgb="FFFFA709"/>
        <color rgb="FFFF0000"/>
      </colorScale>
    </cfRule>
  </conditionalFormatting>
  <conditionalFormatting sqref="ET4 EW4 EY4">
    <cfRule type="colorScale" priority="779">
      <colorScale>
        <cfvo type="num" val="0"/>
        <cfvo type="num" val="0.5"/>
        <cfvo type="num" val="1"/>
        <color rgb="FF92D050"/>
        <color rgb="FFFFA709"/>
        <color rgb="FFFF0000"/>
      </colorScale>
    </cfRule>
  </conditionalFormatting>
  <conditionalFormatting sqref="EU4">
    <cfRule type="colorScale" priority="778">
      <colorScale>
        <cfvo type="num" val="0"/>
        <cfvo type="num" val="0.5"/>
        <cfvo type="num" val="1"/>
        <color rgb="FF92D050"/>
        <color rgb="FFFFA709"/>
        <color rgb="FFFF0000"/>
      </colorScale>
    </cfRule>
  </conditionalFormatting>
  <conditionalFormatting sqref="EV4">
    <cfRule type="colorScale" priority="777">
      <colorScale>
        <cfvo type="num" val="0"/>
        <cfvo type="num" val="0.5"/>
        <cfvo type="num" val="1"/>
        <color rgb="FF92D050"/>
        <color rgb="FFFFA709"/>
        <color rgb="FFFF0000"/>
      </colorScale>
    </cfRule>
  </conditionalFormatting>
  <conditionalFormatting sqref="EX4">
    <cfRule type="colorScale" priority="776">
      <colorScale>
        <cfvo type="num" val="0"/>
        <cfvo type="num" val="0.5"/>
        <cfvo type="num" val="1"/>
        <color rgb="FF92D050"/>
        <color rgb="FFFFA709"/>
        <color rgb="FFFF0000"/>
      </colorScale>
    </cfRule>
  </conditionalFormatting>
  <conditionalFormatting sqref="ET7 EW7 EY7">
    <cfRule type="colorScale" priority="775">
      <colorScale>
        <cfvo type="num" val="0"/>
        <cfvo type="num" val="0.5"/>
        <cfvo type="num" val="1"/>
        <color rgb="FF92D050"/>
        <color rgb="FFFFA709"/>
        <color rgb="FFFF0000"/>
      </colorScale>
    </cfRule>
  </conditionalFormatting>
  <conditionalFormatting sqref="EU7">
    <cfRule type="colorScale" priority="774">
      <colorScale>
        <cfvo type="num" val="0"/>
        <cfvo type="num" val="0.5"/>
        <cfvo type="num" val="1"/>
        <color rgb="FF92D050"/>
        <color rgb="FFFFA709"/>
        <color rgb="FFFF0000"/>
      </colorScale>
    </cfRule>
  </conditionalFormatting>
  <conditionalFormatting sqref="EV7">
    <cfRule type="colorScale" priority="773">
      <colorScale>
        <cfvo type="num" val="0"/>
        <cfvo type="num" val="0.5"/>
        <cfvo type="num" val="1"/>
        <color rgb="FF92D050"/>
        <color rgb="FFFFA709"/>
        <color rgb="FFFF0000"/>
      </colorScale>
    </cfRule>
  </conditionalFormatting>
  <conditionalFormatting sqref="EX7">
    <cfRule type="colorScale" priority="772">
      <colorScale>
        <cfvo type="num" val="0"/>
        <cfvo type="num" val="0.5"/>
        <cfvo type="num" val="1"/>
        <color rgb="FF92D050"/>
        <color rgb="FFFFA709"/>
        <color rgb="FFFF0000"/>
      </colorScale>
    </cfRule>
  </conditionalFormatting>
  <conditionalFormatting sqref="ET10 EW10 EY10">
    <cfRule type="colorScale" priority="771">
      <colorScale>
        <cfvo type="num" val="0"/>
        <cfvo type="num" val="0.5"/>
        <cfvo type="num" val="1"/>
        <color rgb="FF92D050"/>
        <color rgb="FFFFA709"/>
        <color rgb="FFFF0000"/>
      </colorScale>
    </cfRule>
  </conditionalFormatting>
  <conditionalFormatting sqref="EU10">
    <cfRule type="colorScale" priority="770">
      <colorScale>
        <cfvo type="num" val="0"/>
        <cfvo type="num" val="0.5"/>
        <cfvo type="num" val="1"/>
        <color rgb="FF92D050"/>
        <color rgb="FFFFA709"/>
        <color rgb="FFFF0000"/>
      </colorScale>
    </cfRule>
  </conditionalFormatting>
  <conditionalFormatting sqref="EV10">
    <cfRule type="colorScale" priority="769">
      <colorScale>
        <cfvo type="num" val="0"/>
        <cfvo type="num" val="0.5"/>
        <cfvo type="num" val="1"/>
        <color rgb="FF92D050"/>
        <color rgb="FFFFA709"/>
        <color rgb="FFFF0000"/>
      </colorScale>
    </cfRule>
  </conditionalFormatting>
  <conditionalFormatting sqref="EX10">
    <cfRule type="colorScale" priority="768">
      <colorScale>
        <cfvo type="num" val="0"/>
        <cfvo type="num" val="0.5"/>
        <cfvo type="num" val="1"/>
        <color rgb="FF92D050"/>
        <color rgb="FFFFA709"/>
        <color rgb="FFFF0000"/>
      </colorScale>
    </cfRule>
  </conditionalFormatting>
  <conditionalFormatting sqref="ET16 EW16 EY16">
    <cfRule type="colorScale" priority="767">
      <colorScale>
        <cfvo type="num" val="0"/>
        <cfvo type="num" val="0.5"/>
        <cfvo type="num" val="1"/>
        <color rgb="FF92D050"/>
        <color rgb="FFFFA709"/>
        <color rgb="FFFF0000"/>
      </colorScale>
    </cfRule>
  </conditionalFormatting>
  <conditionalFormatting sqref="EU16">
    <cfRule type="colorScale" priority="766">
      <colorScale>
        <cfvo type="num" val="0"/>
        <cfvo type="num" val="0.5"/>
        <cfvo type="num" val="1"/>
        <color rgb="FF92D050"/>
        <color rgb="FFFFA709"/>
        <color rgb="FFFF0000"/>
      </colorScale>
    </cfRule>
  </conditionalFormatting>
  <conditionalFormatting sqref="EV16">
    <cfRule type="colorScale" priority="765">
      <colorScale>
        <cfvo type="num" val="0"/>
        <cfvo type="num" val="0.5"/>
        <cfvo type="num" val="1"/>
        <color rgb="FF92D050"/>
        <color rgb="FFFFA709"/>
        <color rgb="FFFF0000"/>
      </colorScale>
    </cfRule>
  </conditionalFormatting>
  <conditionalFormatting sqref="EX16">
    <cfRule type="colorScale" priority="764">
      <colorScale>
        <cfvo type="num" val="0"/>
        <cfvo type="num" val="0.5"/>
        <cfvo type="num" val="1"/>
        <color rgb="FF92D050"/>
        <color rgb="FFFFA709"/>
        <color rgb="FFFF0000"/>
      </colorScale>
    </cfRule>
  </conditionalFormatting>
  <conditionalFormatting sqref="ET19 EW19 EY19">
    <cfRule type="colorScale" priority="763">
      <colorScale>
        <cfvo type="num" val="0"/>
        <cfvo type="num" val="0.5"/>
        <cfvo type="num" val="1"/>
        <color rgb="FF92D050"/>
        <color rgb="FFFFA709"/>
        <color rgb="FFFF0000"/>
      </colorScale>
    </cfRule>
  </conditionalFormatting>
  <conditionalFormatting sqref="EU19">
    <cfRule type="colorScale" priority="762">
      <colorScale>
        <cfvo type="num" val="0"/>
        <cfvo type="num" val="0.5"/>
        <cfvo type="num" val="1"/>
        <color rgb="FF92D050"/>
        <color rgb="FFFFA709"/>
        <color rgb="FFFF0000"/>
      </colorScale>
    </cfRule>
  </conditionalFormatting>
  <conditionalFormatting sqref="EV19">
    <cfRule type="colorScale" priority="761">
      <colorScale>
        <cfvo type="num" val="0"/>
        <cfvo type="num" val="0.5"/>
        <cfvo type="num" val="1"/>
        <color rgb="FF92D050"/>
        <color rgb="FFFFA709"/>
        <color rgb="FFFF0000"/>
      </colorScale>
    </cfRule>
  </conditionalFormatting>
  <conditionalFormatting sqref="EX19">
    <cfRule type="colorScale" priority="760">
      <colorScale>
        <cfvo type="num" val="0"/>
        <cfvo type="num" val="0.5"/>
        <cfvo type="num" val="1"/>
        <color rgb="FF92D050"/>
        <color rgb="FFFFA709"/>
        <color rgb="FFFF0000"/>
      </colorScale>
    </cfRule>
  </conditionalFormatting>
  <conditionalFormatting sqref="ET22">
    <cfRule type="colorScale" priority="759">
      <colorScale>
        <cfvo type="num" val="0"/>
        <cfvo type="num" val="0.5"/>
        <cfvo type="num" val="1"/>
        <color rgb="FF92D050"/>
        <color rgb="FFFFA709"/>
        <color rgb="FFFF0000"/>
      </colorScale>
    </cfRule>
  </conditionalFormatting>
  <conditionalFormatting sqref="EU22">
    <cfRule type="colorScale" priority="758">
      <colorScale>
        <cfvo type="num" val="0"/>
        <cfvo type="num" val="0.5"/>
        <cfvo type="num" val="1"/>
        <color rgb="FF92D050"/>
        <color rgb="FFFFA709"/>
        <color rgb="FFFF0000"/>
      </colorScale>
    </cfRule>
  </conditionalFormatting>
  <conditionalFormatting sqref="EV22">
    <cfRule type="colorScale" priority="757">
      <colorScale>
        <cfvo type="num" val="0"/>
        <cfvo type="num" val="0.5"/>
        <cfvo type="num" val="1"/>
        <color rgb="FF92D050"/>
        <color rgb="FFFFA709"/>
        <color rgb="FFFF0000"/>
      </colorScale>
    </cfRule>
  </conditionalFormatting>
  <conditionalFormatting sqref="EW22">
    <cfRule type="colorScale" priority="756">
      <colorScale>
        <cfvo type="num" val="0"/>
        <cfvo type="num" val="0.5"/>
        <cfvo type="num" val="1"/>
        <color rgb="FF92D050"/>
        <color rgb="FFFFA709"/>
        <color rgb="FFFF0000"/>
      </colorScale>
    </cfRule>
  </conditionalFormatting>
  <conditionalFormatting sqref="EX22">
    <cfRule type="colorScale" priority="755">
      <colorScale>
        <cfvo type="num" val="0"/>
        <cfvo type="num" val="0.5"/>
        <cfvo type="num" val="1"/>
        <color rgb="FF92D050"/>
        <color rgb="FFFFA709"/>
        <color rgb="FFFF0000"/>
      </colorScale>
    </cfRule>
  </conditionalFormatting>
  <conditionalFormatting sqref="EY22">
    <cfRule type="colorScale" priority="754">
      <colorScale>
        <cfvo type="num" val="0"/>
        <cfvo type="num" val="0.5"/>
        <cfvo type="num" val="1"/>
        <color rgb="FF92D050"/>
        <color rgb="FFFFA709"/>
        <color rgb="FFFF0000"/>
      </colorScale>
    </cfRule>
  </conditionalFormatting>
  <conditionalFormatting sqref="ET1:EX1">
    <cfRule type="timePeriod" dxfId="32" priority="753" timePeriod="today">
      <formula>FLOOR(ET1,1)=TODAY()</formula>
    </cfRule>
  </conditionalFormatting>
  <conditionalFormatting sqref="ET26 EW26 EY26">
    <cfRule type="colorScale" priority="752">
      <colorScale>
        <cfvo type="num" val="0"/>
        <cfvo type="num" val="0.5"/>
        <cfvo type="num" val="1"/>
        <color rgb="FF92D050"/>
        <color rgb="FFFFA709"/>
        <color rgb="FFFF0000"/>
      </colorScale>
    </cfRule>
  </conditionalFormatting>
  <conditionalFormatting sqref="EU26">
    <cfRule type="colorScale" priority="751">
      <colorScale>
        <cfvo type="num" val="0"/>
        <cfvo type="num" val="0.5"/>
        <cfvo type="num" val="1"/>
        <color rgb="FF92D050"/>
        <color rgb="FFFFA709"/>
        <color rgb="FFFF0000"/>
      </colorScale>
    </cfRule>
  </conditionalFormatting>
  <conditionalFormatting sqref="EV26">
    <cfRule type="colorScale" priority="750">
      <colorScale>
        <cfvo type="num" val="0"/>
        <cfvo type="num" val="0.5"/>
        <cfvo type="num" val="1"/>
        <color rgb="FF92D050"/>
        <color rgb="FFFFA709"/>
        <color rgb="FFFF0000"/>
      </colorScale>
    </cfRule>
  </conditionalFormatting>
  <conditionalFormatting sqref="EX26">
    <cfRule type="colorScale" priority="749">
      <colorScale>
        <cfvo type="num" val="0"/>
        <cfvo type="num" val="0.5"/>
        <cfvo type="num" val="1"/>
        <color rgb="FF92D050"/>
        <color rgb="FFFFA709"/>
        <color rgb="FFFF0000"/>
      </colorScale>
    </cfRule>
  </conditionalFormatting>
  <conditionalFormatting sqref="ET29 EW29 EY29">
    <cfRule type="colorScale" priority="744">
      <colorScale>
        <cfvo type="num" val="0"/>
        <cfvo type="num" val="0.5"/>
        <cfvo type="num" val="1"/>
        <color rgb="FF92D050"/>
        <color rgb="FFFFA709"/>
        <color rgb="FFFF0000"/>
      </colorScale>
    </cfRule>
  </conditionalFormatting>
  <conditionalFormatting sqref="EU29">
    <cfRule type="colorScale" priority="743">
      <colorScale>
        <cfvo type="num" val="0"/>
        <cfvo type="num" val="0.5"/>
        <cfvo type="num" val="1"/>
        <color rgb="FF92D050"/>
        <color rgb="FFFFA709"/>
        <color rgb="FFFF0000"/>
      </colorScale>
    </cfRule>
  </conditionalFormatting>
  <conditionalFormatting sqref="EV29">
    <cfRule type="colorScale" priority="742">
      <colorScale>
        <cfvo type="num" val="0"/>
        <cfvo type="num" val="0.5"/>
        <cfvo type="num" val="1"/>
        <color rgb="FF92D050"/>
        <color rgb="FFFFA709"/>
        <color rgb="FFFF0000"/>
      </colorScale>
    </cfRule>
  </conditionalFormatting>
  <conditionalFormatting sqref="EX29">
    <cfRule type="colorScale" priority="741">
      <colorScale>
        <cfvo type="num" val="0"/>
        <cfvo type="num" val="0.5"/>
        <cfvo type="num" val="1"/>
        <color rgb="FF92D050"/>
        <color rgb="FFFFA709"/>
        <color rgb="FFFF0000"/>
      </colorScale>
    </cfRule>
  </conditionalFormatting>
  <conditionalFormatting sqref="ET32 EW32 EY32">
    <cfRule type="colorScale" priority="740">
      <colorScale>
        <cfvo type="num" val="0"/>
        <cfvo type="num" val="0.5"/>
        <cfvo type="num" val="1"/>
        <color rgb="FF92D050"/>
        <color rgb="FFFFA709"/>
        <color rgb="FFFF0000"/>
      </colorScale>
    </cfRule>
  </conditionalFormatting>
  <conditionalFormatting sqref="EU32">
    <cfRule type="colorScale" priority="739">
      <colorScale>
        <cfvo type="num" val="0"/>
        <cfvo type="num" val="0.5"/>
        <cfvo type="num" val="1"/>
        <color rgb="FF92D050"/>
        <color rgb="FFFFA709"/>
        <color rgb="FFFF0000"/>
      </colorScale>
    </cfRule>
  </conditionalFormatting>
  <conditionalFormatting sqref="EV32">
    <cfRule type="colorScale" priority="738">
      <colorScale>
        <cfvo type="num" val="0"/>
        <cfvo type="num" val="0.5"/>
        <cfvo type="num" val="1"/>
        <color rgb="FF92D050"/>
        <color rgb="FFFFA709"/>
        <color rgb="FFFF0000"/>
      </colorScale>
    </cfRule>
  </conditionalFormatting>
  <conditionalFormatting sqref="EX32">
    <cfRule type="colorScale" priority="737">
      <colorScale>
        <cfvo type="num" val="0"/>
        <cfvo type="num" val="0.5"/>
        <cfvo type="num" val="1"/>
        <color rgb="FF92D050"/>
        <color rgb="FFFFA709"/>
        <color rgb="FFFF0000"/>
      </colorScale>
    </cfRule>
  </conditionalFormatting>
  <conditionalFormatting sqref="ET35 EW35 EY35">
    <cfRule type="colorScale" priority="736">
      <colorScale>
        <cfvo type="num" val="0"/>
        <cfvo type="num" val="0.5"/>
        <cfvo type="num" val="1"/>
        <color rgb="FF92D050"/>
        <color rgb="FFFFA709"/>
        <color rgb="FFFF0000"/>
      </colorScale>
    </cfRule>
  </conditionalFormatting>
  <conditionalFormatting sqref="EU35">
    <cfRule type="colorScale" priority="735">
      <colorScale>
        <cfvo type="num" val="0"/>
        <cfvo type="num" val="0.5"/>
        <cfvo type="num" val="1"/>
        <color rgb="FF92D050"/>
        <color rgb="FFFFA709"/>
        <color rgb="FFFF0000"/>
      </colorScale>
    </cfRule>
  </conditionalFormatting>
  <conditionalFormatting sqref="EV35">
    <cfRule type="colorScale" priority="734">
      <colorScale>
        <cfvo type="num" val="0"/>
        <cfvo type="num" val="0.5"/>
        <cfvo type="num" val="1"/>
        <color rgb="FF92D050"/>
        <color rgb="FFFFA709"/>
        <color rgb="FFFF0000"/>
      </colorScale>
    </cfRule>
  </conditionalFormatting>
  <conditionalFormatting sqref="EX35">
    <cfRule type="colorScale" priority="733">
      <colorScale>
        <cfvo type="num" val="0"/>
        <cfvo type="num" val="0.5"/>
        <cfvo type="num" val="1"/>
        <color rgb="FF92D050"/>
        <color rgb="FFFFA709"/>
        <color rgb="FFFF0000"/>
      </colorScale>
    </cfRule>
  </conditionalFormatting>
  <conditionalFormatting sqref="C38:Q38 S38 V38:W38">
    <cfRule type="colorScale" priority="731">
      <colorScale>
        <cfvo type="num" val="0"/>
        <cfvo type="num" val="0.5"/>
        <cfvo type="num" val="1"/>
        <color rgb="FF92D050"/>
        <color rgb="FFFFA709"/>
        <color rgb="FFFF0000"/>
      </colorScale>
    </cfRule>
  </conditionalFormatting>
  <conditionalFormatting sqref="B38">
    <cfRule type="colorScale" priority="732">
      <colorScale>
        <cfvo type="num" val="0"/>
        <cfvo type="num" val="0.5"/>
        <cfvo type="num" val="1"/>
        <color rgb="FF92D050"/>
        <color rgb="FFFFA709"/>
        <color rgb="FFFF0000"/>
      </colorScale>
    </cfRule>
  </conditionalFormatting>
  <conditionalFormatting sqref="R38">
    <cfRule type="colorScale" priority="730">
      <colorScale>
        <cfvo type="num" val="0"/>
        <cfvo type="num" val="0.5"/>
        <cfvo type="num" val="1"/>
        <color rgb="FF92D050"/>
        <color rgb="FFFFA709"/>
        <color rgb="FFFF0000"/>
      </colorScale>
    </cfRule>
  </conditionalFormatting>
  <conditionalFormatting sqref="T38">
    <cfRule type="colorScale" priority="729">
      <colorScale>
        <cfvo type="num" val="0"/>
        <cfvo type="num" val="0.5"/>
        <cfvo type="num" val="1"/>
        <color rgb="FF92D050"/>
        <color rgb="FFFFA709"/>
        <color rgb="FFFF0000"/>
      </colorScale>
    </cfRule>
  </conditionalFormatting>
  <conditionalFormatting sqref="U38">
    <cfRule type="colorScale" priority="728">
      <colorScale>
        <cfvo type="num" val="0"/>
        <cfvo type="num" val="0.5"/>
        <cfvo type="num" val="1"/>
        <color rgb="FF92D050"/>
        <color rgb="FFFFA709"/>
        <color rgb="FFFF0000"/>
      </colorScale>
    </cfRule>
  </conditionalFormatting>
  <conditionalFormatting sqref="X38 AA38 AC38">
    <cfRule type="colorScale" priority="727">
      <colorScale>
        <cfvo type="num" val="0"/>
        <cfvo type="num" val="0.5"/>
        <cfvo type="num" val="1"/>
        <color rgb="FF92D050"/>
        <color rgb="FFFFA709"/>
        <color rgb="FFFF0000"/>
      </colorScale>
    </cfRule>
  </conditionalFormatting>
  <conditionalFormatting sqref="Y38">
    <cfRule type="colorScale" priority="726">
      <colorScale>
        <cfvo type="num" val="0"/>
        <cfvo type="num" val="0.5"/>
        <cfvo type="num" val="1"/>
        <color rgb="FF92D050"/>
        <color rgb="FFFFA709"/>
        <color rgb="FFFF0000"/>
      </colorScale>
    </cfRule>
  </conditionalFormatting>
  <conditionalFormatting sqref="Z38">
    <cfRule type="colorScale" priority="725">
      <colorScale>
        <cfvo type="num" val="0"/>
        <cfvo type="num" val="0.5"/>
        <cfvo type="num" val="1"/>
        <color rgb="FF92D050"/>
        <color rgb="FFFFA709"/>
        <color rgb="FFFF0000"/>
      </colorScale>
    </cfRule>
  </conditionalFormatting>
  <conditionalFormatting sqref="AB38">
    <cfRule type="colorScale" priority="724">
      <colorScale>
        <cfvo type="num" val="0"/>
        <cfvo type="num" val="0.5"/>
        <cfvo type="num" val="1"/>
        <color rgb="FF92D050"/>
        <color rgb="FFFFA709"/>
        <color rgb="FFFF0000"/>
      </colorScale>
    </cfRule>
  </conditionalFormatting>
  <conditionalFormatting sqref="AD38 AG38 AI38">
    <cfRule type="colorScale" priority="723">
      <colorScale>
        <cfvo type="num" val="0"/>
        <cfvo type="num" val="0.5"/>
        <cfvo type="num" val="1"/>
        <color rgb="FF92D050"/>
        <color rgb="FFFFA709"/>
        <color rgb="FFFF0000"/>
      </colorScale>
    </cfRule>
  </conditionalFormatting>
  <conditionalFormatting sqref="AE38">
    <cfRule type="colorScale" priority="722">
      <colorScale>
        <cfvo type="num" val="0"/>
        <cfvo type="num" val="0.5"/>
        <cfvo type="num" val="1"/>
        <color rgb="FF92D050"/>
        <color rgb="FFFFA709"/>
        <color rgb="FFFF0000"/>
      </colorScale>
    </cfRule>
  </conditionalFormatting>
  <conditionalFormatting sqref="AF38">
    <cfRule type="colorScale" priority="721">
      <colorScale>
        <cfvo type="num" val="0"/>
        <cfvo type="num" val="0.5"/>
        <cfvo type="num" val="1"/>
        <color rgb="FF92D050"/>
        <color rgb="FFFFA709"/>
        <color rgb="FFFF0000"/>
      </colorScale>
    </cfRule>
  </conditionalFormatting>
  <conditionalFormatting sqref="AH38">
    <cfRule type="colorScale" priority="720">
      <colorScale>
        <cfvo type="num" val="0"/>
        <cfvo type="num" val="0.5"/>
        <cfvo type="num" val="1"/>
        <color rgb="FF92D050"/>
        <color rgb="FFFFA709"/>
        <color rgb="FFFF0000"/>
      </colorScale>
    </cfRule>
  </conditionalFormatting>
  <conditionalFormatting sqref="AM38 AJ38 AO38">
    <cfRule type="colorScale" priority="719">
      <colorScale>
        <cfvo type="num" val="0"/>
        <cfvo type="num" val="0.5"/>
        <cfvo type="num" val="1"/>
        <color rgb="FF92D050"/>
        <color rgb="FFFFA709"/>
        <color rgb="FFFF0000"/>
      </colorScale>
    </cfRule>
  </conditionalFormatting>
  <conditionalFormatting sqref="AK38">
    <cfRule type="colorScale" priority="718">
      <colorScale>
        <cfvo type="num" val="0"/>
        <cfvo type="num" val="0.5"/>
        <cfvo type="num" val="1"/>
        <color rgb="FF92D050"/>
        <color rgb="FFFFA709"/>
        <color rgb="FFFF0000"/>
      </colorScale>
    </cfRule>
  </conditionalFormatting>
  <conditionalFormatting sqref="AL38">
    <cfRule type="colorScale" priority="717">
      <colorScale>
        <cfvo type="num" val="0"/>
        <cfvo type="num" val="0.5"/>
        <cfvo type="num" val="1"/>
        <color rgb="FF92D050"/>
        <color rgb="FFFFA709"/>
        <color rgb="FFFF0000"/>
      </colorScale>
    </cfRule>
  </conditionalFormatting>
  <conditionalFormatting sqref="AN38">
    <cfRule type="colorScale" priority="716">
      <colorScale>
        <cfvo type="num" val="0"/>
        <cfvo type="num" val="0.5"/>
        <cfvo type="num" val="1"/>
        <color rgb="FF92D050"/>
        <color rgb="FFFFA709"/>
        <color rgb="FFFF0000"/>
      </colorScale>
    </cfRule>
  </conditionalFormatting>
  <conditionalFormatting sqref="AP38 AS38 AU38">
    <cfRule type="colorScale" priority="715">
      <colorScale>
        <cfvo type="num" val="0"/>
        <cfvo type="num" val="0.5"/>
        <cfvo type="num" val="1"/>
        <color rgb="FF92D050"/>
        <color rgb="FFFFA709"/>
        <color rgb="FFFF0000"/>
      </colorScale>
    </cfRule>
  </conditionalFormatting>
  <conditionalFormatting sqref="AQ38">
    <cfRule type="colorScale" priority="714">
      <colorScale>
        <cfvo type="num" val="0"/>
        <cfvo type="num" val="0.5"/>
        <cfvo type="num" val="1"/>
        <color rgb="FF92D050"/>
        <color rgb="FFFFA709"/>
        <color rgb="FFFF0000"/>
      </colorScale>
    </cfRule>
  </conditionalFormatting>
  <conditionalFormatting sqref="AR38">
    <cfRule type="colorScale" priority="713">
      <colorScale>
        <cfvo type="num" val="0"/>
        <cfvo type="num" val="0.5"/>
        <cfvo type="num" val="1"/>
        <color rgb="FF92D050"/>
        <color rgb="FFFFA709"/>
        <color rgb="FFFF0000"/>
      </colorScale>
    </cfRule>
  </conditionalFormatting>
  <conditionalFormatting sqref="AT38">
    <cfRule type="colorScale" priority="712">
      <colorScale>
        <cfvo type="num" val="0"/>
        <cfvo type="num" val="0.5"/>
        <cfvo type="num" val="1"/>
        <color rgb="FF92D050"/>
        <color rgb="FFFFA709"/>
        <color rgb="FFFF0000"/>
      </colorScale>
    </cfRule>
  </conditionalFormatting>
  <conditionalFormatting sqref="AV38 AY38 BA38">
    <cfRule type="colorScale" priority="711">
      <colorScale>
        <cfvo type="num" val="0"/>
        <cfvo type="num" val="0.5"/>
        <cfvo type="num" val="1"/>
        <color rgb="FF92D050"/>
        <color rgb="FFFFA709"/>
        <color rgb="FFFF0000"/>
      </colorScale>
    </cfRule>
  </conditionalFormatting>
  <conditionalFormatting sqref="AW38">
    <cfRule type="colorScale" priority="710">
      <colorScale>
        <cfvo type="num" val="0"/>
        <cfvo type="num" val="0.5"/>
        <cfvo type="num" val="1"/>
        <color rgb="FF92D050"/>
        <color rgb="FFFFA709"/>
        <color rgb="FFFF0000"/>
      </colorScale>
    </cfRule>
  </conditionalFormatting>
  <conditionalFormatting sqref="AX38">
    <cfRule type="colorScale" priority="709">
      <colorScale>
        <cfvo type="num" val="0"/>
        <cfvo type="num" val="0.5"/>
        <cfvo type="num" val="1"/>
        <color rgb="FF92D050"/>
        <color rgb="FFFFA709"/>
        <color rgb="FFFF0000"/>
      </colorScale>
    </cfRule>
  </conditionalFormatting>
  <conditionalFormatting sqref="AZ38">
    <cfRule type="colorScale" priority="708">
      <colorScale>
        <cfvo type="num" val="0"/>
        <cfvo type="num" val="0.5"/>
        <cfvo type="num" val="1"/>
        <color rgb="FF92D050"/>
        <color rgb="FFFFA709"/>
        <color rgb="FFFF0000"/>
      </colorScale>
    </cfRule>
  </conditionalFormatting>
  <conditionalFormatting sqref="BB38 BE38 BG38">
    <cfRule type="colorScale" priority="707">
      <colorScale>
        <cfvo type="num" val="0"/>
        <cfvo type="num" val="0.5"/>
        <cfvo type="num" val="1"/>
        <color rgb="FF92D050"/>
        <color rgb="FFFFA709"/>
        <color rgb="FFFF0000"/>
      </colorScale>
    </cfRule>
  </conditionalFormatting>
  <conditionalFormatting sqref="BC38">
    <cfRule type="colorScale" priority="706">
      <colorScale>
        <cfvo type="num" val="0"/>
        <cfvo type="num" val="0.5"/>
        <cfvo type="num" val="1"/>
        <color rgb="FF92D050"/>
        <color rgb="FFFFA709"/>
        <color rgb="FFFF0000"/>
      </colorScale>
    </cfRule>
  </conditionalFormatting>
  <conditionalFormatting sqref="BD38">
    <cfRule type="colorScale" priority="705">
      <colorScale>
        <cfvo type="num" val="0"/>
        <cfvo type="num" val="0.5"/>
        <cfvo type="num" val="1"/>
        <color rgb="FF92D050"/>
        <color rgb="FFFFA709"/>
        <color rgb="FFFF0000"/>
      </colorScale>
    </cfRule>
  </conditionalFormatting>
  <conditionalFormatting sqref="BF38">
    <cfRule type="colorScale" priority="704">
      <colorScale>
        <cfvo type="num" val="0"/>
        <cfvo type="num" val="0.5"/>
        <cfvo type="num" val="1"/>
        <color rgb="FF92D050"/>
        <color rgb="FFFFA709"/>
        <color rgb="FFFF0000"/>
      </colorScale>
    </cfRule>
  </conditionalFormatting>
  <conditionalFormatting sqref="BH38 BK38 BM38">
    <cfRule type="colorScale" priority="703">
      <colorScale>
        <cfvo type="num" val="0"/>
        <cfvo type="num" val="0.5"/>
        <cfvo type="num" val="1"/>
        <color rgb="FF92D050"/>
        <color rgb="FFFFA709"/>
        <color rgb="FFFF0000"/>
      </colorScale>
    </cfRule>
  </conditionalFormatting>
  <conditionalFormatting sqref="BI38">
    <cfRule type="colorScale" priority="702">
      <colorScale>
        <cfvo type="num" val="0"/>
        <cfvo type="num" val="0.5"/>
        <cfvo type="num" val="1"/>
        <color rgb="FF92D050"/>
        <color rgb="FFFFA709"/>
        <color rgb="FFFF0000"/>
      </colorScale>
    </cfRule>
  </conditionalFormatting>
  <conditionalFormatting sqref="BJ38">
    <cfRule type="colorScale" priority="701">
      <colorScale>
        <cfvo type="num" val="0"/>
        <cfvo type="num" val="0.5"/>
        <cfvo type="num" val="1"/>
        <color rgb="FF92D050"/>
        <color rgb="FFFFA709"/>
        <color rgb="FFFF0000"/>
      </colorScale>
    </cfRule>
  </conditionalFormatting>
  <conditionalFormatting sqref="BL38">
    <cfRule type="colorScale" priority="700">
      <colorScale>
        <cfvo type="num" val="0"/>
        <cfvo type="num" val="0.5"/>
        <cfvo type="num" val="1"/>
        <color rgb="FF92D050"/>
        <color rgb="FFFFA709"/>
        <color rgb="FFFF0000"/>
      </colorScale>
    </cfRule>
  </conditionalFormatting>
  <conditionalFormatting sqref="BN38 BQ38 BS38">
    <cfRule type="colorScale" priority="699">
      <colorScale>
        <cfvo type="num" val="0"/>
        <cfvo type="num" val="0.5"/>
        <cfvo type="num" val="1"/>
        <color rgb="FF92D050"/>
        <color rgb="FFFFA709"/>
        <color rgb="FFFF0000"/>
      </colorScale>
    </cfRule>
  </conditionalFormatting>
  <conditionalFormatting sqref="BO38">
    <cfRule type="colorScale" priority="698">
      <colorScale>
        <cfvo type="num" val="0"/>
        <cfvo type="num" val="0.5"/>
        <cfvo type="num" val="1"/>
        <color rgb="FF92D050"/>
        <color rgb="FFFFA709"/>
        <color rgb="FFFF0000"/>
      </colorScale>
    </cfRule>
  </conditionalFormatting>
  <conditionalFormatting sqref="BP38">
    <cfRule type="colorScale" priority="697">
      <colorScale>
        <cfvo type="num" val="0"/>
        <cfvo type="num" val="0.5"/>
        <cfvo type="num" val="1"/>
        <color rgb="FF92D050"/>
        <color rgb="FFFFA709"/>
        <color rgb="FFFF0000"/>
      </colorScale>
    </cfRule>
  </conditionalFormatting>
  <conditionalFormatting sqref="BR38">
    <cfRule type="colorScale" priority="696">
      <colorScale>
        <cfvo type="num" val="0"/>
        <cfvo type="num" val="0.5"/>
        <cfvo type="num" val="1"/>
        <color rgb="FF92D050"/>
        <color rgb="FFFFA709"/>
        <color rgb="FFFF0000"/>
      </colorScale>
    </cfRule>
  </conditionalFormatting>
  <conditionalFormatting sqref="BT38 BW38 BY38">
    <cfRule type="colorScale" priority="695">
      <colorScale>
        <cfvo type="num" val="0"/>
        <cfvo type="num" val="0.5"/>
        <cfvo type="num" val="1"/>
        <color rgb="FF92D050"/>
        <color rgb="FFFFA709"/>
        <color rgb="FFFF0000"/>
      </colorScale>
    </cfRule>
  </conditionalFormatting>
  <conditionalFormatting sqref="BU38">
    <cfRule type="colorScale" priority="694">
      <colorScale>
        <cfvo type="num" val="0"/>
        <cfvo type="num" val="0.5"/>
        <cfvo type="num" val="1"/>
        <color rgb="FF92D050"/>
        <color rgb="FFFFA709"/>
        <color rgb="FFFF0000"/>
      </colorScale>
    </cfRule>
  </conditionalFormatting>
  <conditionalFormatting sqref="BV38">
    <cfRule type="colorScale" priority="693">
      <colorScale>
        <cfvo type="num" val="0"/>
        <cfvo type="num" val="0.5"/>
        <cfvo type="num" val="1"/>
        <color rgb="FF92D050"/>
        <color rgb="FFFFA709"/>
        <color rgb="FFFF0000"/>
      </colorScale>
    </cfRule>
  </conditionalFormatting>
  <conditionalFormatting sqref="BX38">
    <cfRule type="colorScale" priority="692">
      <colorScale>
        <cfvo type="num" val="0"/>
        <cfvo type="num" val="0.5"/>
        <cfvo type="num" val="1"/>
        <color rgb="FF92D050"/>
        <color rgb="FFFFA709"/>
        <color rgb="FFFF0000"/>
      </colorScale>
    </cfRule>
  </conditionalFormatting>
  <conditionalFormatting sqref="BZ38 CC38 CE38">
    <cfRule type="colorScale" priority="691">
      <colorScale>
        <cfvo type="num" val="0"/>
        <cfvo type="num" val="0.5"/>
        <cfvo type="num" val="1"/>
        <color rgb="FF92D050"/>
        <color rgb="FFFFA709"/>
        <color rgb="FFFF0000"/>
      </colorScale>
    </cfRule>
  </conditionalFormatting>
  <conditionalFormatting sqref="CA38">
    <cfRule type="colorScale" priority="690">
      <colorScale>
        <cfvo type="num" val="0"/>
        <cfvo type="num" val="0.5"/>
        <cfvo type="num" val="1"/>
        <color rgb="FF92D050"/>
        <color rgb="FFFFA709"/>
        <color rgb="FFFF0000"/>
      </colorScale>
    </cfRule>
  </conditionalFormatting>
  <conditionalFormatting sqref="CB38">
    <cfRule type="colorScale" priority="689">
      <colorScale>
        <cfvo type="num" val="0"/>
        <cfvo type="num" val="0.5"/>
        <cfvo type="num" val="1"/>
        <color rgb="FF92D050"/>
        <color rgb="FFFFA709"/>
        <color rgb="FFFF0000"/>
      </colorScale>
    </cfRule>
  </conditionalFormatting>
  <conditionalFormatting sqref="CD38">
    <cfRule type="colorScale" priority="688">
      <colorScale>
        <cfvo type="num" val="0"/>
        <cfvo type="num" val="0.5"/>
        <cfvo type="num" val="1"/>
        <color rgb="FF92D050"/>
        <color rgb="FFFFA709"/>
        <color rgb="FFFF0000"/>
      </colorScale>
    </cfRule>
  </conditionalFormatting>
  <conditionalFormatting sqref="CF38 CI38 CK38">
    <cfRule type="colorScale" priority="687">
      <colorScale>
        <cfvo type="num" val="0"/>
        <cfvo type="num" val="0.5"/>
        <cfvo type="num" val="1"/>
        <color rgb="FF92D050"/>
        <color rgb="FFFFA709"/>
        <color rgb="FFFF0000"/>
      </colorScale>
    </cfRule>
  </conditionalFormatting>
  <conditionalFormatting sqref="CG38">
    <cfRule type="colorScale" priority="686">
      <colorScale>
        <cfvo type="num" val="0"/>
        <cfvo type="num" val="0.5"/>
        <cfvo type="num" val="1"/>
        <color rgb="FF92D050"/>
        <color rgb="FFFFA709"/>
        <color rgb="FFFF0000"/>
      </colorScale>
    </cfRule>
  </conditionalFormatting>
  <conditionalFormatting sqref="CH38">
    <cfRule type="colorScale" priority="685">
      <colorScale>
        <cfvo type="num" val="0"/>
        <cfvo type="num" val="0.5"/>
        <cfvo type="num" val="1"/>
        <color rgb="FF92D050"/>
        <color rgb="FFFFA709"/>
        <color rgb="FFFF0000"/>
      </colorScale>
    </cfRule>
  </conditionalFormatting>
  <conditionalFormatting sqref="CJ38">
    <cfRule type="colorScale" priority="684">
      <colorScale>
        <cfvo type="num" val="0"/>
        <cfvo type="num" val="0.5"/>
        <cfvo type="num" val="1"/>
        <color rgb="FF92D050"/>
        <color rgb="FFFFA709"/>
        <color rgb="FFFF0000"/>
      </colorScale>
    </cfRule>
  </conditionalFormatting>
  <conditionalFormatting sqref="CL38 CO38 CQ38">
    <cfRule type="colorScale" priority="683">
      <colorScale>
        <cfvo type="num" val="0"/>
        <cfvo type="num" val="0.5"/>
        <cfvo type="num" val="1"/>
        <color rgb="FF92D050"/>
        <color rgb="FFFFA709"/>
        <color rgb="FFFF0000"/>
      </colorScale>
    </cfRule>
  </conditionalFormatting>
  <conditionalFormatting sqref="CM38">
    <cfRule type="colorScale" priority="682">
      <colorScale>
        <cfvo type="num" val="0"/>
        <cfvo type="num" val="0.5"/>
        <cfvo type="num" val="1"/>
        <color rgb="FF92D050"/>
        <color rgb="FFFFA709"/>
        <color rgb="FFFF0000"/>
      </colorScale>
    </cfRule>
  </conditionalFormatting>
  <conditionalFormatting sqref="CN38">
    <cfRule type="colorScale" priority="681">
      <colorScale>
        <cfvo type="num" val="0"/>
        <cfvo type="num" val="0.5"/>
        <cfvo type="num" val="1"/>
        <color rgb="FF92D050"/>
        <color rgb="FFFFA709"/>
        <color rgb="FFFF0000"/>
      </colorScale>
    </cfRule>
  </conditionalFormatting>
  <conditionalFormatting sqref="CP38">
    <cfRule type="colorScale" priority="680">
      <colorScale>
        <cfvo type="num" val="0"/>
        <cfvo type="num" val="0.5"/>
        <cfvo type="num" val="1"/>
        <color rgb="FF92D050"/>
        <color rgb="FFFFA709"/>
        <color rgb="FFFF0000"/>
      </colorScale>
    </cfRule>
  </conditionalFormatting>
  <conditionalFormatting sqref="CU38 CR38 CW38">
    <cfRule type="colorScale" priority="679">
      <colorScale>
        <cfvo type="num" val="0"/>
        <cfvo type="num" val="0.5"/>
        <cfvo type="num" val="1"/>
        <color rgb="FF92D050"/>
        <color rgb="FFFFA709"/>
        <color rgb="FFFF0000"/>
      </colorScale>
    </cfRule>
  </conditionalFormatting>
  <conditionalFormatting sqref="CS38">
    <cfRule type="colorScale" priority="678">
      <colorScale>
        <cfvo type="num" val="0"/>
        <cfvo type="num" val="0.5"/>
        <cfvo type="num" val="1"/>
        <color rgb="FF92D050"/>
        <color rgb="FFFFA709"/>
        <color rgb="FFFF0000"/>
      </colorScale>
    </cfRule>
  </conditionalFormatting>
  <conditionalFormatting sqref="CT38">
    <cfRule type="colorScale" priority="677">
      <colorScale>
        <cfvo type="num" val="0"/>
        <cfvo type="num" val="0.5"/>
        <cfvo type="num" val="1"/>
        <color rgb="FF92D050"/>
        <color rgb="FFFFA709"/>
        <color rgb="FFFF0000"/>
      </colorScale>
    </cfRule>
  </conditionalFormatting>
  <conditionalFormatting sqref="CV38">
    <cfRule type="colorScale" priority="676">
      <colorScale>
        <cfvo type="num" val="0"/>
        <cfvo type="num" val="0.5"/>
        <cfvo type="num" val="1"/>
        <color rgb="FF92D050"/>
        <color rgb="FFFFA709"/>
        <color rgb="FFFF0000"/>
      </colorScale>
    </cfRule>
  </conditionalFormatting>
  <conditionalFormatting sqref="CX38 DA38 DC38">
    <cfRule type="colorScale" priority="675">
      <colorScale>
        <cfvo type="num" val="0"/>
        <cfvo type="num" val="0.5"/>
        <cfvo type="num" val="1"/>
        <color rgb="FF92D050"/>
        <color rgb="FFFFA709"/>
        <color rgb="FFFF0000"/>
      </colorScale>
    </cfRule>
  </conditionalFormatting>
  <conditionalFormatting sqref="CY38">
    <cfRule type="colorScale" priority="674">
      <colorScale>
        <cfvo type="num" val="0"/>
        <cfvo type="num" val="0.5"/>
        <cfvo type="num" val="1"/>
        <color rgb="FF92D050"/>
        <color rgb="FFFFA709"/>
        <color rgb="FFFF0000"/>
      </colorScale>
    </cfRule>
  </conditionalFormatting>
  <conditionalFormatting sqref="CZ38">
    <cfRule type="colorScale" priority="673">
      <colorScale>
        <cfvo type="num" val="0"/>
        <cfvo type="num" val="0.5"/>
        <cfvo type="num" val="1"/>
        <color rgb="FF92D050"/>
        <color rgb="FFFFA709"/>
        <color rgb="FFFF0000"/>
      </colorScale>
    </cfRule>
  </conditionalFormatting>
  <conditionalFormatting sqref="DB38">
    <cfRule type="colorScale" priority="672">
      <colorScale>
        <cfvo type="num" val="0"/>
        <cfvo type="num" val="0.5"/>
        <cfvo type="num" val="1"/>
        <color rgb="FF92D050"/>
        <color rgb="FFFFA709"/>
        <color rgb="FFFF0000"/>
      </colorScale>
    </cfRule>
  </conditionalFormatting>
  <conditionalFormatting sqref="DD38 DG38 DI38">
    <cfRule type="colorScale" priority="671">
      <colorScale>
        <cfvo type="num" val="0"/>
        <cfvo type="num" val="0.5"/>
        <cfvo type="num" val="1"/>
        <color rgb="FF92D050"/>
        <color rgb="FFFFA709"/>
        <color rgb="FFFF0000"/>
      </colorScale>
    </cfRule>
  </conditionalFormatting>
  <conditionalFormatting sqref="DE38">
    <cfRule type="colorScale" priority="670">
      <colorScale>
        <cfvo type="num" val="0"/>
        <cfvo type="num" val="0.5"/>
        <cfvo type="num" val="1"/>
        <color rgb="FF92D050"/>
        <color rgb="FFFFA709"/>
        <color rgb="FFFF0000"/>
      </colorScale>
    </cfRule>
  </conditionalFormatting>
  <conditionalFormatting sqref="DF38">
    <cfRule type="colorScale" priority="669">
      <colorScale>
        <cfvo type="num" val="0"/>
        <cfvo type="num" val="0.5"/>
        <cfvo type="num" val="1"/>
        <color rgb="FF92D050"/>
        <color rgb="FFFFA709"/>
        <color rgb="FFFF0000"/>
      </colorScale>
    </cfRule>
  </conditionalFormatting>
  <conditionalFormatting sqref="DH38">
    <cfRule type="colorScale" priority="668">
      <colorScale>
        <cfvo type="num" val="0"/>
        <cfvo type="num" val="0.5"/>
        <cfvo type="num" val="1"/>
        <color rgb="FF92D050"/>
        <color rgb="FFFFA709"/>
        <color rgb="FFFF0000"/>
      </colorScale>
    </cfRule>
  </conditionalFormatting>
  <conditionalFormatting sqref="DJ38 DM38 DO38">
    <cfRule type="colorScale" priority="667">
      <colorScale>
        <cfvo type="num" val="0"/>
        <cfvo type="num" val="0.5"/>
        <cfvo type="num" val="1"/>
        <color rgb="FF92D050"/>
        <color rgb="FFFFA709"/>
        <color rgb="FFFF0000"/>
      </colorScale>
    </cfRule>
  </conditionalFormatting>
  <conditionalFormatting sqref="DK38">
    <cfRule type="colorScale" priority="666">
      <colorScale>
        <cfvo type="num" val="0"/>
        <cfvo type="num" val="0.5"/>
        <cfvo type="num" val="1"/>
        <color rgb="FF92D050"/>
        <color rgb="FFFFA709"/>
        <color rgb="FFFF0000"/>
      </colorScale>
    </cfRule>
  </conditionalFormatting>
  <conditionalFormatting sqref="DL38">
    <cfRule type="colorScale" priority="665">
      <colorScale>
        <cfvo type="num" val="0"/>
        <cfvo type="num" val="0.5"/>
        <cfvo type="num" val="1"/>
        <color rgb="FF92D050"/>
        <color rgb="FFFFA709"/>
        <color rgb="FFFF0000"/>
      </colorScale>
    </cfRule>
  </conditionalFormatting>
  <conditionalFormatting sqref="DN38">
    <cfRule type="colorScale" priority="664">
      <colorScale>
        <cfvo type="num" val="0"/>
        <cfvo type="num" val="0.5"/>
        <cfvo type="num" val="1"/>
        <color rgb="FF92D050"/>
        <color rgb="FFFFA709"/>
        <color rgb="FFFF0000"/>
      </colorScale>
    </cfRule>
  </conditionalFormatting>
  <conditionalFormatting sqref="DP38 DS38 DU38">
    <cfRule type="colorScale" priority="663">
      <colorScale>
        <cfvo type="num" val="0"/>
        <cfvo type="num" val="0.5"/>
        <cfvo type="num" val="1"/>
        <color rgb="FF92D050"/>
        <color rgb="FFFFA709"/>
        <color rgb="FFFF0000"/>
      </colorScale>
    </cfRule>
  </conditionalFormatting>
  <conditionalFormatting sqref="DQ38">
    <cfRule type="colorScale" priority="662">
      <colorScale>
        <cfvo type="num" val="0"/>
        <cfvo type="num" val="0.5"/>
        <cfvo type="num" val="1"/>
        <color rgb="FF92D050"/>
        <color rgb="FFFFA709"/>
        <color rgb="FFFF0000"/>
      </colorScale>
    </cfRule>
  </conditionalFormatting>
  <conditionalFormatting sqref="DR38">
    <cfRule type="colorScale" priority="661">
      <colorScale>
        <cfvo type="num" val="0"/>
        <cfvo type="num" val="0.5"/>
        <cfvo type="num" val="1"/>
        <color rgb="FF92D050"/>
        <color rgb="FFFFA709"/>
        <color rgb="FFFF0000"/>
      </colorScale>
    </cfRule>
  </conditionalFormatting>
  <conditionalFormatting sqref="DT38">
    <cfRule type="colorScale" priority="660">
      <colorScale>
        <cfvo type="num" val="0"/>
        <cfvo type="num" val="0.5"/>
        <cfvo type="num" val="1"/>
        <color rgb="FF92D050"/>
        <color rgb="FFFFA709"/>
        <color rgb="FFFF0000"/>
      </colorScale>
    </cfRule>
  </conditionalFormatting>
  <conditionalFormatting sqref="DV38 DY38 EA38">
    <cfRule type="colorScale" priority="659">
      <colorScale>
        <cfvo type="num" val="0"/>
        <cfvo type="num" val="0.5"/>
        <cfvo type="num" val="1"/>
        <color rgb="FF92D050"/>
        <color rgb="FFFFA709"/>
        <color rgb="FFFF0000"/>
      </colorScale>
    </cfRule>
  </conditionalFormatting>
  <conditionalFormatting sqref="DW38">
    <cfRule type="colorScale" priority="658">
      <colorScale>
        <cfvo type="num" val="0"/>
        <cfvo type="num" val="0.5"/>
        <cfvo type="num" val="1"/>
        <color rgb="FF92D050"/>
        <color rgb="FFFFA709"/>
        <color rgb="FFFF0000"/>
      </colorScale>
    </cfRule>
  </conditionalFormatting>
  <conditionalFormatting sqref="DX38">
    <cfRule type="colorScale" priority="657">
      <colorScale>
        <cfvo type="num" val="0"/>
        <cfvo type="num" val="0.5"/>
        <cfvo type="num" val="1"/>
        <color rgb="FF92D050"/>
        <color rgb="FFFFA709"/>
        <color rgb="FFFF0000"/>
      </colorScale>
    </cfRule>
  </conditionalFormatting>
  <conditionalFormatting sqref="DZ38">
    <cfRule type="colorScale" priority="656">
      <colorScale>
        <cfvo type="num" val="0"/>
        <cfvo type="num" val="0.5"/>
        <cfvo type="num" val="1"/>
        <color rgb="FF92D050"/>
        <color rgb="FFFFA709"/>
        <color rgb="FFFF0000"/>
      </colorScale>
    </cfRule>
  </conditionalFormatting>
  <conditionalFormatting sqref="EB38 EE38 EG38">
    <cfRule type="colorScale" priority="655">
      <colorScale>
        <cfvo type="num" val="0"/>
        <cfvo type="num" val="0.5"/>
        <cfvo type="num" val="1"/>
        <color rgb="FF92D050"/>
        <color rgb="FFFFA709"/>
        <color rgb="FFFF0000"/>
      </colorScale>
    </cfRule>
  </conditionalFormatting>
  <conditionalFormatting sqref="EC38">
    <cfRule type="colorScale" priority="654">
      <colorScale>
        <cfvo type="num" val="0"/>
        <cfvo type="num" val="0.5"/>
        <cfvo type="num" val="1"/>
        <color rgb="FF92D050"/>
        <color rgb="FFFFA709"/>
        <color rgb="FFFF0000"/>
      </colorScale>
    </cfRule>
  </conditionalFormatting>
  <conditionalFormatting sqref="ED38">
    <cfRule type="colorScale" priority="653">
      <colorScale>
        <cfvo type="num" val="0"/>
        <cfvo type="num" val="0.5"/>
        <cfvo type="num" val="1"/>
        <color rgb="FF92D050"/>
        <color rgb="FFFFA709"/>
        <color rgb="FFFF0000"/>
      </colorScale>
    </cfRule>
  </conditionalFormatting>
  <conditionalFormatting sqref="EF38">
    <cfRule type="colorScale" priority="652">
      <colorScale>
        <cfvo type="num" val="0"/>
        <cfvo type="num" val="0.5"/>
        <cfvo type="num" val="1"/>
        <color rgb="FF92D050"/>
        <color rgb="FFFFA709"/>
        <color rgb="FFFF0000"/>
      </colorScale>
    </cfRule>
  </conditionalFormatting>
  <conditionalFormatting sqref="EH38 EK38 EM38">
    <cfRule type="colorScale" priority="651">
      <colorScale>
        <cfvo type="num" val="0"/>
        <cfvo type="num" val="0.5"/>
        <cfvo type="num" val="1"/>
        <color rgb="FF92D050"/>
        <color rgb="FFFFA709"/>
        <color rgb="FFFF0000"/>
      </colorScale>
    </cfRule>
  </conditionalFormatting>
  <conditionalFormatting sqref="EI38">
    <cfRule type="colorScale" priority="650">
      <colorScale>
        <cfvo type="num" val="0"/>
        <cfvo type="num" val="0.5"/>
        <cfvo type="num" val="1"/>
        <color rgb="FF92D050"/>
        <color rgb="FFFFA709"/>
        <color rgb="FFFF0000"/>
      </colorScale>
    </cfRule>
  </conditionalFormatting>
  <conditionalFormatting sqref="EJ38">
    <cfRule type="colorScale" priority="649">
      <colorScale>
        <cfvo type="num" val="0"/>
        <cfvo type="num" val="0.5"/>
        <cfvo type="num" val="1"/>
        <color rgb="FF92D050"/>
        <color rgb="FFFFA709"/>
        <color rgb="FFFF0000"/>
      </colorScale>
    </cfRule>
  </conditionalFormatting>
  <conditionalFormatting sqref="EL38">
    <cfRule type="colorScale" priority="648">
      <colorScale>
        <cfvo type="num" val="0"/>
        <cfvo type="num" val="0.5"/>
        <cfvo type="num" val="1"/>
        <color rgb="FF92D050"/>
        <color rgb="FFFFA709"/>
        <color rgb="FFFF0000"/>
      </colorScale>
    </cfRule>
  </conditionalFormatting>
  <conditionalFormatting sqref="EN38 EQ38 ES38">
    <cfRule type="colorScale" priority="647">
      <colorScale>
        <cfvo type="num" val="0"/>
        <cfvo type="num" val="0.5"/>
        <cfvo type="num" val="1"/>
        <color rgb="FF92D050"/>
        <color rgb="FFFFA709"/>
        <color rgb="FFFF0000"/>
      </colorScale>
    </cfRule>
  </conditionalFormatting>
  <conditionalFormatting sqref="EO38">
    <cfRule type="colorScale" priority="646">
      <colorScale>
        <cfvo type="num" val="0"/>
        <cfvo type="num" val="0.5"/>
        <cfvo type="num" val="1"/>
        <color rgb="FF92D050"/>
        <color rgb="FFFFA709"/>
        <color rgb="FFFF0000"/>
      </colorScale>
    </cfRule>
  </conditionalFormatting>
  <conditionalFormatting sqref="EP38">
    <cfRule type="colorScale" priority="645">
      <colorScale>
        <cfvo type="num" val="0"/>
        <cfvo type="num" val="0.5"/>
        <cfvo type="num" val="1"/>
        <color rgb="FF92D050"/>
        <color rgb="FFFFA709"/>
        <color rgb="FFFF0000"/>
      </colorScale>
    </cfRule>
  </conditionalFormatting>
  <conditionalFormatting sqref="ER38">
    <cfRule type="colorScale" priority="644">
      <colorScale>
        <cfvo type="num" val="0"/>
        <cfvo type="num" val="0.5"/>
        <cfvo type="num" val="1"/>
        <color rgb="FF92D050"/>
        <color rgb="FFFFA709"/>
        <color rgb="FFFF0000"/>
      </colorScale>
    </cfRule>
  </conditionalFormatting>
  <conditionalFormatting sqref="ET38 EW38 EY38">
    <cfRule type="colorScale" priority="643">
      <colorScale>
        <cfvo type="num" val="0"/>
        <cfvo type="num" val="0.5"/>
        <cfvo type="num" val="1"/>
        <color rgb="FF92D050"/>
        <color rgb="FFFFA709"/>
        <color rgb="FFFF0000"/>
      </colorScale>
    </cfRule>
  </conditionalFormatting>
  <conditionalFormatting sqref="EU38">
    <cfRule type="colorScale" priority="642">
      <colorScale>
        <cfvo type="num" val="0"/>
        <cfvo type="num" val="0.5"/>
        <cfvo type="num" val="1"/>
        <color rgb="FF92D050"/>
        <color rgb="FFFFA709"/>
        <color rgb="FFFF0000"/>
      </colorScale>
    </cfRule>
  </conditionalFormatting>
  <conditionalFormatting sqref="EV38">
    <cfRule type="colorScale" priority="641">
      <colorScale>
        <cfvo type="num" val="0"/>
        <cfvo type="num" val="0.5"/>
        <cfvo type="num" val="1"/>
        <color rgb="FF92D050"/>
        <color rgb="FFFFA709"/>
        <color rgb="FFFF0000"/>
      </colorScale>
    </cfRule>
  </conditionalFormatting>
  <conditionalFormatting sqref="EX38">
    <cfRule type="colorScale" priority="640">
      <colorScale>
        <cfvo type="num" val="0"/>
        <cfvo type="num" val="0.5"/>
        <cfvo type="num" val="1"/>
        <color rgb="FF92D050"/>
        <color rgb="FFFFA709"/>
        <color rgb="FFFF0000"/>
      </colorScale>
    </cfRule>
  </conditionalFormatting>
  <conditionalFormatting sqref="EZ4 FC4 FE4">
    <cfRule type="colorScale" priority="639">
      <colorScale>
        <cfvo type="num" val="0"/>
        <cfvo type="num" val="0.5"/>
        <cfvo type="num" val="1"/>
        <color rgb="FF92D050"/>
        <color rgb="FFFFA709"/>
        <color rgb="FFFF0000"/>
      </colorScale>
    </cfRule>
  </conditionalFormatting>
  <conditionalFormatting sqref="FA4">
    <cfRule type="colorScale" priority="638">
      <colorScale>
        <cfvo type="num" val="0"/>
        <cfvo type="num" val="0.5"/>
        <cfvo type="num" val="1"/>
        <color rgb="FF92D050"/>
        <color rgb="FFFFA709"/>
        <color rgb="FFFF0000"/>
      </colorScale>
    </cfRule>
  </conditionalFormatting>
  <conditionalFormatting sqref="FB4">
    <cfRule type="colorScale" priority="637">
      <colorScale>
        <cfvo type="num" val="0"/>
        <cfvo type="num" val="0.5"/>
        <cfvo type="num" val="1"/>
        <color rgb="FF92D050"/>
        <color rgb="FFFFA709"/>
        <color rgb="FFFF0000"/>
      </colorScale>
    </cfRule>
  </conditionalFormatting>
  <conditionalFormatting sqref="FD4">
    <cfRule type="colorScale" priority="636">
      <colorScale>
        <cfvo type="num" val="0"/>
        <cfvo type="num" val="0.5"/>
        <cfvo type="num" val="1"/>
        <color rgb="FF92D050"/>
        <color rgb="FFFFA709"/>
        <color rgb="FFFF0000"/>
      </colorScale>
    </cfRule>
  </conditionalFormatting>
  <conditionalFormatting sqref="EZ7 FC7 FE7">
    <cfRule type="colorScale" priority="635">
      <colorScale>
        <cfvo type="num" val="0"/>
        <cfvo type="num" val="0.5"/>
        <cfvo type="num" val="1"/>
        <color rgb="FF92D050"/>
        <color rgb="FFFFA709"/>
        <color rgb="FFFF0000"/>
      </colorScale>
    </cfRule>
  </conditionalFormatting>
  <conditionalFormatting sqref="FA7">
    <cfRule type="colorScale" priority="634">
      <colorScale>
        <cfvo type="num" val="0"/>
        <cfvo type="num" val="0.5"/>
        <cfvo type="num" val="1"/>
        <color rgb="FF92D050"/>
        <color rgb="FFFFA709"/>
        <color rgb="FFFF0000"/>
      </colorScale>
    </cfRule>
  </conditionalFormatting>
  <conditionalFormatting sqref="FB7">
    <cfRule type="colorScale" priority="633">
      <colorScale>
        <cfvo type="num" val="0"/>
        <cfvo type="num" val="0.5"/>
        <cfvo type="num" val="1"/>
        <color rgb="FF92D050"/>
        <color rgb="FFFFA709"/>
        <color rgb="FFFF0000"/>
      </colorScale>
    </cfRule>
  </conditionalFormatting>
  <conditionalFormatting sqref="FD7">
    <cfRule type="colorScale" priority="632">
      <colorScale>
        <cfvo type="num" val="0"/>
        <cfvo type="num" val="0.5"/>
        <cfvo type="num" val="1"/>
        <color rgb="FF92D050"/>
        <color rgb="FFFFA709"/>
        <color rgb="FFFF0000"/>
      </colorScale>
    </cfRule>
  </conditionalFormatting>
  <conditionalFormatting sqref="EZ10 FC10 FE10">
    <cfRule type="colorScale" priority="631">
      <colorScale>
        <cfvo type="num" val="0"/>
        <cfvo type="num" val="0.5"/>
        <cfvo type="num" val="1"/>
        <color rgb="FF92D050"/>
        <color rgb="FFFFA709"/>
        <color rgb="FFFF0000"/>
      </colorScale>
    </cfRule>
  </conditionalFormatting>
  <conditionalFormatting sqref="FA10">
    <cfRule type="colorScale" priority="630">
      <colorScale>
        <cfvo type="num" val="0"/>
        <cfvo type="num" val="0.5"/>
        <cfvo type="num" val="1"/>
        <color rgb="FF92D050"/>
        <color rgb="FFFFA709"/>
        <color rgb="FFFF0000"/>
      </colorScale>
    </cfRule>
  </conditionalFormatting>
  <conditionalFormatting sqref="FB10">
    <cfRule type="colorScale" priority="629">
      <colorScale>
        <cfvo type="num" val="0"/>
        <cfvo type="num" val="0.5"/>
        <cfvo type="num" val="1"/>
        <color rgb="FF92D050"/>
        <color rgb="FFFFA709"/>
        <color rgb="FFFF0000"/>
      </colorScale>
    </cfRule>
  </conditionalFormatting>
  <conditionalFormatting sqref="FD10">
    <cfRule type="colorScale" priority="628">
      <colorScale>
        <cfvo type="num" val="0"/>
        <cfvo type="num" val="0.5"/>
        <cfvo type="num" val="1"/>
        <color rgb="FF92D050"/>
        <color rgb="FFFFA709"/>
        <color rgb="FFFF0000"/>
      </colorScale>
    </cfRule>
  </conditionalFormatting>
  <conditionalFormatting sqref="FC16 EZ16 FE16">
    <cfRule type="colorScale" priority="627">
      <colorScale>
        <cfvo type="num" val="0"/>
        <cfvo type="num" val="0.5"/>
        <cfvo type="num" val="1"/>
        <color rgb="FF92D050"/>
        <color rgb="FFFFA709"/>
        <color rgb="FFFF0000"/>
      </colorScale>
    </cfRule>
  </conditionalFormatting>
  <conditionalFormatting sqref="FA16">
    <cfRule type="colorScale" priority="626">
      <colorScale>
        <cfvo type="num" val="0"/>
        <cfvo type="num" val="0.5"/>
        <cfvo type="num" val="1"/>
        <color rgb="FF92D050"/>
        <color rgb="FFFFA709"/>
        <color rgb="FFFF0000"/>
      </colorScale>
    </cfRule>
  </conditionalFormatting>
  <conditionalFormatting sqref="FB16">
    <cfRule type="colorScale" priority="625">
      <colorScale>
        <cfvo type="num" val="0"/>
        <cfvo type="num" val="0.5"/>
        <cfvo type="num" val="1"/>
        <color rgb="FF92D050"/>
        <color rgb="FFFFA709"/>
        <color rgb="FFFF0000"/>
      </colorScale>
    </cfRule>
  </conditionalFormatting>
  <conditionalFormatting sqref="FD16">
    <cfRule type="colorScale" priority="624">
      <colorScale>
        <cfvo type="num" val="0"/>
        <cfvo type="num" val="0.5"/>
        <cfvo type="num" val="1"/>
        <color rgb="FF92D050"/>
        <color rgb="FFFFA709"/>
        <color rgb="FFFF0000"/>
      </colorScale>
    </cfRule>
  </conditionalFormatting>
  <conditionalFormatting sqref="FC19 EZ19 FE19">
    <cfRule type="colorScale" priority="623">
      <colorScale>
        <cfvo type="num" val="0"/>
        <cfvo type="num" val="0.5"/>
        <cfvo type="num" val="1"/>
        <color rgb="FF92D050"/>
        <color rgb="FFFFA709"/>
        <color rgb="FFFF0000"/>
      </colorScale>
    </cfRule>
  </conditionalFormatting>
  <conditionalFormatting sqref="FA19">
    <cfRule type="colorScale" priority="622">
      <colorScale>
        <cfvo type="num" val="0"/>
        <cfvo type="num" val="0.5"/>
        <cfvo type="num" val="1"/>
        <color rgb="FF92D050"/>
        <color rgb="FFFFA709"/>
        <color rgb="FFFF0000"/>
      </colorScale>
    </cfRule>
  </conditionalFormatting>
  <conditionalFormatting sqref="FB19">
    <cfRule type="colorScale" priority="621">
      <colorScale>
        <cfvo type="num" val="0"/>
        <cfvo type="num" val="0.5"/>
        <cfvo type="num" val="1"/>
        <color rgb="FF92D050"/>
        <color rgb="FFFFA709"/>
        <color rgb="FFFF0000"/>
      </colorScale>
    </cfRule>
  </conditionalFormatting>
  <conditionalFormatting sqref="FD19">
    <cfRule type="colorScale" priority="620">
      <colorScale>
        <cfvo type="num" val="0"/>
        <cfvo type="num" val="0.5"/>
        <cfvo type="num" val="1"/>
        <color rgb="FF92D050"/>
        <color rgb="FFFFA709"/>
        <color rgb="FFFF0000"/>
      </colorScale>
    </cfRule>
  </conditionalFormatting>
  <conditionalFormatting sqref="EZ22">
    <cfRule type="colorScale" priority="619">
      <colorScale>
        <cfvo type="num" val="0"/>
        <cfvo type="num" val="0.5"/>
        <cfvo type="num" val="1"/>
        <color rgb="FF92D050"/>
        <color rgb="FFFFA709"/>
        <color rgb="FFFF0000"/>
      </colorScale>
    </cfRule>
  </conditionalFormatting>
  <conditionalFormatting sqref="FA22">
    <cfRule type="colorScale" priority="618">
      <colorScale>
        <cfvo type="num" val="0"/>
        <cfvo type="num" val="0.5"/>
        <cfvo type="num" val="1"/>
        <color rgb="FF92D050"/>
        <color rgb="FFFFA709"/>
        <color rgb="FFFF0000"/>
      </colorScale>
    </cfRule>
  </conditionalFormatting>
  <conditionalFormatting sqref="FB22">
    <cfRule type="colorScale" priority="617">
      <colorScale>
        <cfvo type="num" val="0"/>
        <cfvo type="num" val="0.5"/>
        <cfvo type="num" val="1"/>
        <color rgb="FF92D050"/>
        <color rgb="FFFFA709"/>
        <color rgb="FFFF0000"/>
      </colorScale>
    </cfRule>
  </conditionalFormatting>
  <conditionalFormatting sqref="FC22">
    <cfRule type="colorScale" priority="616">
      <colorScale>
        <cfvo type="num" val="0"/>
        <cfvo type="num" val="0.5"/>
        <cfvo type="num" val="1"/>
        <color rgb="FF92D050"/>
        <color rgb="FFFFA709"/>
        <color rgb="FFFF0000"/>
      </colorScale>
    </cfRule>
  </conditionalFormatting>
  <conditionalFormatting sqref="FD22">
    <cfRule type="colorScale" priority="615">
      <colorScale>
        <cfvo type="num" val="0"/>
        <cfvo type="num" val="0.5"/>
        <cfvo type="num" val="1"/>
        <color rgb="FF92D050"/>
        <color rgb="FFFFA709"/>
        <color rgb="FFFF0000"/>
      </colorScale>
    </cfRule>
  </conditionalFormatting>
  <conditionalFormatting sqref="FE22">
    <cfRule type="colorScale" priority="614">
      <colorScale>
        <cfvo type="num" val="0"/>
        <cfvo type="num" val="0.5"/>
        <cfvo type="num" val="1"/>
        <color rgb="FF92D050"/>
        <color rgb="FFFFA709"/>
        <color rgb="FFFF0000"/>
      </colorScale>
    </cfRule>
  </conditionalFormatting>
  <conditionalFormatting sqref="EZ1:FD1">
    <cfRule type="timePeriod" dxfId="31" priority="613" timePeriod="today">
      <formula>FLOOR(EZ1,1)=TODAY()</formula>
    </cfRule>
  </conditionalFormatting>
  <conditionalFormatting sqref="FC26 EZ26 FE26">
    <cfRule type="colorScale" priority="612">
      <colorScale>
        <cfvo type="num" val="0"/>
        <cfvo type="num" val="0.5"/>
        <cfvo type="num" val="1"/>
        <color rgb="FF92D050"/>
        <color rgb="FFFFA709"/>
        <color rgb="FFFF0000"/>
      </colorScale>
    </cfRule>
  </conditionalFormatting>
  <conditionalFormatting sqref="FA26">
    <cfRule type="colorScale" priority="611">
      <colorScale>
        <cfvo type="num" val="0"/>
        <cfvo type="num" val="0.5"/>
        <cfvo type="num" val="1"/>
        <color rgb="FF92D050"/>
        <color rgb="FFFFA709"/>
        <color rgb="FFFF0000"/>
      </colorScale>
    </cfRule>
  </conditionalFormatting>
  <conditionalFormatting sqref="FB26">
    <cfRule type="colorScale" priority="610">
      <colorScale>
        <cfvo type="num" val="0"/>
        <cfvo type="num" val="0.5"/>
        <cfvo type="num" val="1"/>
        <color rgb="FF92D050"/>
        <color rgb="FFFFA709"/>
        <color rgb="FFFF0000"/>
      </colorScale>
    </cfRule>
  </conditionalFormatting>
  <conditionalFormatting sqref="FD26">
    <cfRule type="colorScale" priority="609">
      <colorScale>
        <cfvo type="num" val="0"/>
        <cfvo type="num" val="0.5"/>
        <cfvo type="num" val="1"/>
        <color rgb="FF92D050"/>
        <color rgb="FFFFA709"/>
        <color rgb="FFFF0000"/>
      </colorScale>
    </cfRule>
  </conditionalFormatting>
  <conditionalFormatting sqref="FC29 EZ29 FE29">
    <cfRule type="colorScale" priority="604">
      <colorScale>
        <cfvo type="num" val="0"/>
        <cfvo type="num" val="0.5"/>
        <cfvo type="num" val="1"/>
        <color rgb="FF92D050"/>
        <color rgb="FFFFA709"/>
        <color rgb="FFFF0000"/>
      </colorScale>
    </cfRule>
  </conditionalFormatting>
  <conditionalFormatting sqref="FA29">
    <cfRule type="colorScale" priority="603">
      <colorScale>
        <cfvo type="num" val="0"/>
        <cfvo type="num" val="0.5"/>
        <cfvo type="num" val="1"/>
        <color rgb="FF92D050"/>
        <color rgb="FFFFA709"/>
        <color rgb="FFFF0000"/>
      </colorScale>
    </cfRule>
  </conditionalFormatting>
  <conditionalFormatting sqref="FB29">
    <cfRule type="colorScale" priority="602">
      <colorScale>
        <cfvo type="num" val="0"/>
        <cfvo type="num" val="0.5"/>
        <cfvo type="num" val="1"/>
        <color rgb="FF92D050"/>
        <color rgb="FFFFA709"/>
        <color rgb="FFFF0000"/>
      </colorScale>
    </cfRule>
  </conditionalFormatting>
  <conditionalFormatting sqref="FD29">
    <cfRule type="colorScale" priority="601">
      <colorScale>
        <cfvo type="num" val="0"/>
        <cfvo type="num" val="0.5"/>
        <cfvo type="num" val="1"/>
        <color rgb="FF92D050"/>
        <color rgb="FFFFA709"/>
        <color rgb="FFFF0000"/>
      </colorScale>
    </cfRule>
  </conditionalFormatting>
  <conditionalFormatting sqref="FC32 EZ32 FE32">
    <cfRule type="colorScale" priority="600">
      <colorScale>
        <cfvo type="num" val="0"/>
        <cfvo type="num" val="0.5"/>
        <cfvo type="num" val="1"/>
        <color rgb="FF92D050"/>
        <color rgb="FFFFA709"/>
        <color rgb="FFFF0000"/>
      </colorScale>
    </cfRule>
  </conditionalFormatting>
  <conditionalFormatting sqref="FA32">
    <cfRule type="colorScale" priority="599">
      <colorScale>
        <cfvo type="num" val="0"/>
        <cfvo type="num" val="0.5"/>
        <cfvo type="num" val="1"/>
        <color rgb="FF92D050"/>
        <color rgb="FFFFA709"/>
        <color rgb="FFFF0000"/>
      </colorScale>
    </cfRule>
  </conditionalFormatting>
  <conditionalFormatting sqref="FB32">
    <cfRule type="colorScale" priority="598">
      <colorScale>
        <cfvo type="num" val="0"/>
        <cfvo type="num" val="0.5"/>
        <cfvo type="num" val="1"/>
        <color rgb="FF92D050"/>
        <color rgb="FFFFA709"/>
        <color rgb="FFFF0000"/>
      </colorScale>
    </cfRule>
  </conditionalFormatting>
  <conditionalFormatting sqref="FD32">
    <cfRule type="colorScale" priority="597">
      <colorScale>
        <cfvo type="num" val="0"/>
        <cfvo type="num" val="0.5"/>
        <cfvo type="num" val="1"/>
        <color rgb="FF92D050"/>
        <color rgb="FFFFA709"/>
        <color rgb="FFFF0000"/>
      </colorScale>
    </cfRule>
  </conditionalFormatting>
  <conditionalFormatting sqref="FC35 EZ35 FE35">
    <cfRule type="colorScale" priority="596">
      <colorScale>
        <cfvo type="num" val="0"/>
        <cfvo type="num" val="0.5"/>
        <cfvo type="num" val="1"/>
        <color rgb="FF92D050"/>
        <color rgb="FFFFA709"/>
        <color rgb="FFFF0000"/>
      </colorScale>
    </cfRule>
  </conditionalFormatting>
  <conditionalFormatting sqref="FA35">
    <cfRule type="colorScale" priority="595">
      <colorScale>
        <cfvo type="num" val="0"/>
        <cfvo type="num" val="0.5"/>
        <cfvo type="num" val="1"/>
        <color rgb="FF92D050"/>
        <color rgb="FFFFA709"/>
        <color rgb="FFFF0000"/>
      </colorScale>
    </cfRule>
  </conditionalFormatting>
  <conditionalFormatting sqref="FB35">
    <cfRule type="colorScale" priority="594">
      <colorScale>
        <cfvo type="num" val="0"/>
        <cfvo type="num" val="0.5"/>
        <cfvo type="num" val="1"/>
        <color rgb="FF92D050"/>
        <color rgb="FFFFA709"/>
        <color rgb="FFFF0000"/>
      </colorScale>
    </cfRule>
  </conditionalFormatting>
  <conditionalFormatting sqref="FD35">
    <cfRule type="colorScale" priority="593">
      <colorScale>
        <cfvo type="num" val="0"/>
        <cfvo type="num" val="0.5"/>
        <cfvo type="num" val="1"/>
        <color rgb="FF92D050"/>
        <color rgb="FFFFA709"/>
        <color rgb="FFFF0000"/>
      </colorScale>
    </cfRule>
  </conditionalFormatting>
  <conditionalFormatting sqref="EZ38 FC38 FE38">
    <cfRule type="colorScale" priority="592">
      <colorScale>
        <cfvo type="num" val="0"/>
        <cfvo type="num" val="0.5"/>
        <cfvo type="num" val="1"/>
        <color rgb="FF92D050"/>
        <color rgb="FFFFA709"/>
        <color rgb="FFFF0000"/>
      </colorScale>
    </cfRule>
  </conditionalFormatting>
  <conditionalFormatting sqref="FA38">
    <cfRule type="colorScale" priority="591">
      <colorScale>
        <cfvo type="num" val="0"/>
        <cfvo type="num" val="0.5"/>
        <cfvo type="num" val="1"/>
        <color rgb="FF92D050"/>
        <color rgb="FFFFA709"/>
        <color rgb="FFFF0000"/>
      </colorScale>
    </cfRule>
  </conditionalFormatting>
  <conditionalFormatting sqref="FB38">
    <cfRule type="colorScale" priority="590">
      <colorScale>
        <cfvo type="num" val="0"/>
        <cfvo type="num" val="0.5"/>
        <cfvo type="num" val="1"/>
        <color rgb="FF92D050"/>
        <color rgb="FFFFA709"/>
        <color rgb="FFFF0000"/>
      </colorScale>
    </cfRule>
  </conditionalFormatting>
  <conditionalFormatting sqref="FD38">
    <cfRule type="colorScale" priority="589">
      <colorScale>
        <cfvo type="num" val="0"/>
        <cfvo type="num" val="0.5"/>
        <cfvo type="num" val="1"/>
        <color rgb="FF92D050"/>
        <color rgb="FFFFA709"/>
        <color rgb="FFFF0000"/>
      </colorScale>
    </cfRule>
  </conditionalFormatting>
  <conditionalFormatting sqref="FF4 FI4 FK4">
    <cfRule type="colorScale" priority="588">
      <colorScale>
        <cfvo type="num" val="0"/>
        <cfvo type="num" val="0.5"/>
        <cfvo type="num" val="1"/>
        <color rgb="FF92D050"/>
        <color rgb="FFFFA709"/>
        <color rgb="FFFF0000"/>
      </colorScale>
    </cfRule>
  </conditionalFormatting>
  <conditionalFormatting sqref="FG4">
    <cfRule type="colorScale" priority="587">
      <colorScale>
        <cfvo type="num" val="0"/>
        <cfvo type="num" val="0.5"/>
        <cfvo type="num" val="1"/>
        <color rgb="FF92D050"/>
        <color rgb="FFFFA709"/>
        <color rgb="FFFF0000"/>
      </colorScale>
    </cfRule>
  </conditionalFormatting>
  <conditionalFormatting sqref="FH4">
    <cfRule type="colorScale" priority="586">
      <colorScale>
        <cfvo type="num" val="0"/>
        <cfvo type="num" val="0.5"/>
        <cfvo type="num" val="1"/>
        <color rgb="FF92D050"/>
        <color rgb="FFFFA709"/>
        <color rgb="FFFF0000"/>
      </colorScale>
    </cfRule>
  </conditionalFormatting>
  <conditionalFormatting sqref="FJ4">
    <cfRule type="colorScale" priority="585">
      <colorScale>
        <cfvo type="num" val="0"/>
        <cfvo type="num" val="0.5"/>
        <cfvo type="num" val="1"/>
        <color rgb="FF92D050"/>
        <color rgb="FFFFA709"/>
        <color rgb="FFFF0000"/>
      </colorScale>
    </cfRule>
  </conditionalFormatting>
  <conditionalFormatting sqref="FF7 FI7 FK7">
    <cfRule type="colorScale" priority="584">
      <colorScale>
        <cfvo type="num" val="0"/>
        <cfvo type="num" val="0.5"/>
        <cfvo type="num" val="1"/>
        <color rgb="FF92D050"/>
        <color rgb="FFFFA709"/>
        <color rgb="FFFF0000"/>
      </colorScale>
    </cfRule>
  </conditionalFormatting>
  <conditionalFormatting sqref="FG7">
    <cfRule type="colorScale" priority="583">
      <colorScale>
        <cfvo type="num" val="0"/>
        <cfvo type="num" val="0.5"/>
        <cfvo type="num" val="1"/>
        <color rgb="FF92D050"/>
        <color rgb="FFFFA709"/>
        <color rgb="FFFF0000"/>
      </colorScale>
    </cfRule>
  </conditionalFormatting>
  <conditionalFormatting sqref="FH7">
    <cfRule type="colorScale" priority="582">
      <colorScale>
        <cfvo type="num" val="0"/>
        <cfvo type="num" val="0.5"/>
        <cfvo type="num" val="1"/>
        <color rgb="FF92D050"/>
        <color rgb="FFFFA709"/>
        <color rgb="FFFF0000"/>
      </colorScale>
    </cfRule>
  </conditionalFormatting>
  <conditionalFormatting sqref="FJ7">
    <cfRule type="colorScale" priority="581">
      <colorScale>
        <cfvo type="num" val="0"/>
        <cfvo type="num" val="0.5"/>
        <cfvo type="num" val="1"/>
        <color rgb="FF92D050"/>
        <color rgb="FFFFA709"/>
        <color rgb="FFFF0000"/>
      </colorScale>
    </cfRule>
  </conditionalFormatting>
  <conditionalFormatting sqref="FF10 FI10 FK10">
    <cfRule type="colorScale" priority="580">
      <colorScale>
        <cfvo type="num" val="0"/>
        <cfvo type="num" val="0.5"/>
        <cfvo type="num" val="1"/>
        <color rgb="FF92D050"/>
        <color rgb="FFFFA709"/>
        <color rgb="FFFF0000"/>
      </colorScale>
    </cfRule>
  </conditionalFormatting>
  <conditionalFormatting sqref="FG10">
    <cfRule type="colorScale" priority="579">
      <colorScale>
        <cfvo type="num" val="0"/>
        <cfvo type="num" val="0.5"/>
        <cfvo type="num" val="1"/>
        <color rgb="FF92D050"/>
        <color rgb="FFFFA709"/>
        <color rgb="FFFF0000"/>
      </colorScale>
    </cfRule>
  </conditionalFormatting>
  <conditionalFormatting sqref="FH10">
    <cfRule type="colorScale" priority="578">
      <colorScale>
        <cfvo type="num" val="0"/>
        <cfvo type="num" val="0.5"/>
        <cfvo type="num" val="1"/>
        <color rgb="FF92D050"/>
        <color rgb="FFFFA709"/>
        <color rgb="FFFF0000"/>
      </colorScale>
    </cfRule>
  </conditionalFormatting>
  <conditionalFormatting sqref="FJ10">
    <cfRule type="colorScale" priority="577">
      <colorScale>
        <cfvo type="num" val="0"/>
        <cfvo type="num" val="0.5"/>
        <cfvo type="num" val="1"/>
        <color rgb="FF92D050"/>
        <color rgb="FFFFA709"/>
        <color rgb="FFFF0000"/>
      </colorScale>
    </cfRule>
  </conditionalFormatting>
  <conditionalFormatting sqref="FI16 FF16 FK16">
    <cfRule type="colorScale" priority="576">
      <colorScale>
        <cfvo type="num" val="0"/>
        <cfvo type="num" val="0.5"/>
        <cfvo type="num" val="1"/>
        <color rgb="FF92D050"/>
        <color rgb="FFFFA709"/>
        <color rgb="FFFF0000"/>
      </colorScale>
    </cfRule>
  </conditionalFormatting>
  <conditionalFormatting sqref="FG16">
    <cfRule type="colorScale" priority="575">
      <colorScale>
        <cfvo type="num" val="0"/>
        <cfvo type="num" val="0.5"/>
        <cfvo type="num" val="1"/>
        <color rgb="FF92D050"/>
        <color rgb="FFFFA709"/>
        <color rgb="FFFF0000"/>
      </colorScale>
    </cfRule>
  </conditionalFormatting>
  <conditionalFormatting sqref="FH16">
    <cfRule type="colorScale" priority="574">
      <colorScale>
        <cfvo type="num" val="0"/>
        <cfvo type="num" val="0.5"/>
        <cfvo type="num" val="1"/>
        <color rgb="FF92D050"/>
        <color rgb="FFFFA709"/>
        <color rgb="FFFF0000"/>
      </colorScale>
    </cfRule>
  </conditionalFormatting>
  <conditionalFormatting sqref="FJ16">
    <cfRule type="colorScale" priority="573">
      <colorScale>
        <cfvo type="num" val="0"/>
        <cfvo type="num" val="0.5"/>
        <cfvo type="num" val="1"/>
        <color rgb="FF92D050"/>
        <color rgb="FFFFA709"/>
        <color rgb="FFFF0000"/>
      </colorScale>
    </cfRule>
  </conditionalFormatting>
  <conditionalFormatting sqref="FI19 FF19 FK19">
    <cfRule type="colorScale" priority="572">
      <colorScale>
        <cfvo type="num" val="0"/>
        <cfvo type="num" val="0.5"/>
        <cfvo type="num" val="1"/>
        <color rgb="FF92D050"/>
        <color rgb="FFFFA709"/>
        <color rgb="FFFF0000"/>
      </colorScale>
    </cfRule>
  </conditionalFormatting>
  <conditionalFormatting sqref="FG19">
    <cfRule type="colorScale" priority="571">
      <colorScale>
        <cfvo type="num" val="0"/>
        <cfvo type="num" val="0.5"/>
        <cfvo type="num" val="1"/>
        <color rgb="FF92D050"/>
        <color rgb="FFFFA709"/>
        <color rgb="FFFF0000"/>
      </colorScale>
    </cfRule>
  </conditionalFormatting>
  <conditionalFormatting sqref="FH19">
    <cfRule type="colorScale" priority="570">
      <colorScale>
        <cfvo type="num" val="0"/>
        <cfvo type="num" val="0.5"/>
        <cfvo type="num" val="1"/>
        <color rgb="FF92D050"/>
        <color rgb="FFFFA709"/>
        <color rgb="FFFF0000"/>
      </colorScale>
    </cfRule>
  </conditionalFormatting>
  <conditionalFormatting sqref="FJ19">
    <cfRule type="colorScale" priority="569">
      <colorScale>
        <cfvo type="num" val="0"/>
        <cfvo type="num" val="0.5"/>
        <cfvo type="num" val="1"/>
        <color rgb="FF92D050"/>
        <color rgb="FFFFA709"/>
        <color rgb="FFFF0000"/>
      </colorScale>
    </cfRule>
  </conditionalFormatting>
  <conditionalFormatting sqref="FF22">
    <cfRule type="colorScale" priority="568">
      <colorScale>
        <cfvo type="num" val="0"/>
        <cfvo type="num" val="0.5"/>
        <cfvo type="num" val="1"/>
        <color rgb="FF92D050"/>
        <color rgb="FFFFA709"/>
        <color rgb="FFFF0000"/>
      </colorScale>
    </cfRule>
  </conditionalFormatting>
  <conditionalFormatting sqref="FG22">
    <cfRule type="colorScale" priority="567">
      <colorScale>
        <cfvo type="num" val="0"/>
        <cfvo type="num" val="0.5"/>
        <cfvo type="num" val="1"/>
        <color rgb="FF92D050"/>
        <color rgb="FFFFA709"/>
        <color rgb="FFFF0000"/>
      </colorScale>
    </cfRule>
  </conditionalFormatting>
  <conditionalFormatting sqref="FH22">
    <cfRule type="colorScale" priority="566">
      <colorScale>
        <cfvo type="num" val="0"/>
        <cfvo type="num" val="0.5"/>
        <cfvo type="num" val="1"/>
        <color rgb="FF92D050"/>
        <color rgb="FFFFA709"/>
        <color rgb="FFFF0000"/>
      </colorScale>
    </cfRule>
  </conditionalFormatting>
  <conditionalFormatting sqref="FI22">
    <cfRule type="colorScale" priority="565">
      <colorScale>
        <cfvo type="num" val="0"/>
        <cfvo type="num" val="0.5"/>
        <cfvo type="num" val="1"/>
        <color rgb="FF92D050"/>
        <color rgb="FFFFA709"/>
        <color rgb="FFFF0000"/>
      </colorScale>
    </cfRule>
  </conditionalFormatting>
  <conditionalFormatting sqref="FJ22">
    <cfRule type="colorScale" priority="564">
      <colorScale>
        <cfvo type="num" val="0"/>
        <cfvo type="num" val="0.5"/>
        <cfvo type="num" val="1"/>
        <color rgb="FF92D050"/>
        <color rgb="FFFFA709"/>
        <color rgb="FFFF0000"/>
      </colorScale>
    </cfRule>
  </conditionalFormatting>
  <conditionalFormatting sqref="FK22">
    <cfRule type="colorScale" priority="563">
      <colorScale>
        <cfvo type="num" val="0"/>
        <cfvo type="num" val="0.5"/>
        <cfvo type="num" val="1"/>
        <color rgb="FF92D050"/>
        <color rgb="FFFFA709"/>
        <color rgb="FFFF0000"/>
      </colorScale>
    </cfRule>
  </conditionalFormatting>
  <conditionalFormatting sqref="FF1:FJ1">
    <cfRule type="timePeriod" dxfId="30" priority="562" timePeriod="today">
      <formula>FLOOR(FF1,1)=TODAY()</formula>
    </cfRule>
  </conditionalFormatting>
  <conditionalFormatting sqref="FF26 FI26 FK26">
    <cfRule type="colorScale" priority="561">
      <colorScale>
        <cfvo type="num" val="0"/>
        <cfvo type="num" val="0.5"/>
        <cfvo type="num" val="1"/>
        <color rgb="FF92D050"/>
        <color rgb="FFFFA709"/>
        <color rgb="FFFF0000"/>
      </colorScale>
    </cfRule>
  </conditionalFormatting>
  <conditionalFormatting sqref="FG26">
    <cfRule type="colorScale" priority="560">
      <colorScale>
        <cfvo type="num" val="0"/>
        <cfvo type="num" val="0.5"/>
        <cfvo type="num" val="1"/>
        <color rgb="FF92D050"/>
        <color rgb="FFFFA709"/>
        <color rgb="FFFF0000"/>
      </colorScale>
    </cfRule>
  </conditionalFormatting>
  <conditionalFormatting sqref="FH26">
    <cfRule type="colorScale" priority="559">
      <colorScale>
        <cfvo type="num" val="0"/>
        <cfvo type="num" val="0.5"/>
        <cfvo type="num" val="1"/>
        <color rgb="FF92D050"/>
        <color rgb="FFFFA709"/>
        <color rgb="FFFF0000"/>
      </colorScale>
    </cfRule>
  </conditionalFormatting>
  <conditionalFormatting sqref="FJ26">
    <cfRule type="colorScale" priority="558">
      <colorScale>
        <cfvo type="num" val="0"/>
        <cfvo type="num" val="0.5"/>
        <cfvo type="num" val="1"/>
        <color rgb="FF92D050"/>
        <color rgb="FFFFA709"/>
        <color rgb="FFFF0000"/>
      </colorScale>
    </cfRule>
  </conditionalFormatting>
  <conditionalFormatting sqref="FF29 FI29 FK29">
    <cfRule type="colorScale" priority="553">
      <colorScale>
        <cfvo type="num" val="0"/>
        <cfvo type="num" val="0.5"/>
        <cfvo type="num" val="1"/>
        <color rgb="FF92D050"/>
        <color rgb="FFFFA709"/>
        <color rgb="FFFF0000"/>
      </colorScale>
    </cfRule>
  </conditionalFormatting>
  <conditionalFormatting sqref="FG29">
    <cfRule type="colorScale" priority="552">
      <colorScale>
        <cfvo type="num" val="0"/>
        <cfvo type="num" val="0.5"/>
        <cfvo type="num" val="1"/>
        <color rgb="FF92D050"/>
        <color rgb="FFFFA709"/>
        <color rgb="FFFF0000"/>
      </colorScale>
    </cfRule>
  </conditionalFormatting>
  <conditionalFormatting sqref="FH29">
    <cfRule type="colorScale" priority="551">
      <colorScale>
        <cfvo type="num" val="0"/>
        <cfvo type="num" val="0.5"/>
        <cfvo type="num" val="1"/>
        <color rgb="FF92D050"/>
        <color rgb="FFFFA709"/>
        <color rgb="FFFF0000"/>
      </colorScale>
    </cfRule>
  </conditionalFormatting>
  <conditionalFormatting sqref="FJ29">
    <cfRule type="colorScale" priority="550">
      <colorScale>
        <cfvo type="num" val="0"/>
        <cfvo type="num" val="0.5"/>
        <cfvo type="num" val="1"/>
        <color rgb="FF92D050"/>
        <color rgb="FFFFA709"/>
        <color rgb="FFFF0000"/>
      </colorScale>
    </cfRule>
  </conditionalFormatting>
  <conditionalFormatting sqref="FF32 FI32 FK32">
    <cfRule type="colorScale" priority="549">
      <colorScale>
        <cfvo type="num" val="0"/>
        <cfvo type="num" val="0.5"/>
        <cfvo type="num" val="1"/>
        <color rgb="FF92D050"/>
        <color rgb="FFFFA709"/>
        <color rgb="FFFF0000"/>
      </colorScale>
    </cfRule>
  </conditionalFormatting>
  <conditionalFormatting sqref="FG32">
    <cfRule type="colorScale" priority="548">
      <colorScale>
        <cfvo type="num" val="0"/>
        <cfvo type="num" val="0.5"/>
        <cfvo type="num" val="1"/>
        <color rgb="FF92D050"/>
        <color rgb="FFFFA709"/>
        <color rgb="FFFF0000"/>
      </colorScale>
    </cfRule>
  </conditionalFormatting>
  <conditionalFormatting sqref="FH32">
    <cfRule type="colorScale" priority="547">
      <colorScale>
        <cfvo type="num" val="0"/>
        <cfvo type="num" val="0.5"/>
        <cfvo type="num" val="1"/>
        <color rgb="FF92D050"/>
        <color rgb="FFFFA709"/>
        <color rgb="FFFF0000"/>
      </colorScale>
    </cfRule>
  </conditionalFormatting>
  <conditionalFormatting sqref="FJ32">
    <cfRule type="colorScale" priority="546">
      <colorScale>
        <cfvo type="num" val="0"/>
        <cfvo type="num" val="0.5"/>
        <cfvo type="num" val="1"/>
        <color rgb="FF92D050"/>
        <color rgb="FFFFA709"/>
        <color rgb="FFFF0000"/>
      </colorScale>
    </cfRule>
  </conditionalFormatting>
  <conditionalFormatting sqref="FF35 FI35 FK35">
    <cfRule type="colorScale" priority="545">
      <colorScale>
        <cfvo type="num" val="0"/>
        <cfvo type="num" val="0.5"/>
        <cfvo type="num" val="1"/>
        <color rgb="FF92D050"/>
        <color rgb="FFFFA709"/>
        <color rgb="FFFF0000"/>
      </colorScale>
    </cfRule>
  </conditionalFormatting>
  <conditionalFormatting sqref="FG35">
    <cfRule type="colorScale" priority="544">
      <colorScale>
        <cfvo type="num" val="0"/>
        <cfvo type="num" val="0.5"/>
        <cfvo type="num" val="1"/>
        <color rgb="FF92D050"/>
        <color rgb="FFFFA709"/>
        <color rgb="FFFF0000"/>
      </colorScale>
    </cfRule>
  </conditionalFormatting>
  <conditionalFormatting sqref="FH35">
    <cfRule type="colorScale" priority="543">
      <colorScale>
        <cfvo type="num" val="0"/>
        <cfvo type="num" val="0.5"/>
        <cfvo type="num" val="1"/>
        <color rgb="FF92D050"/>
        <color rgb="FFFFA709"/>
        <color rgb="FFFF0000"/>
      </colorScale>
    </cfRule>
  </conditionalFormatting>
  <conditionalFormatting sqref="FJ35">
    <cfRule type="colorScale" priority="542">
      <colorScale>
        <cfvo type="num" val="0"/>
        <cfvo type="num" val="0.5"/>
        <cfvo type="num" val="1"/>
        <color rgb="FF92D050"/>
        <color rgb="FFFFA709"/>
        <color rgb="FFFF0000"/>
      </colorScale>
    </cfRule>
  </conditionalFormatting>
  <conditionalFormatting sqref="FF38 FI38 FK38">
    <cfRule type="colorScale" priority="541">
      <colorScale>
        <cfvo type="num" val="0"/>
        <cfvo type="num" val="0.5"/>
        <cfvo type="num" val="1"/>
        <color rgb="FF92D050"/>
        <color rgb="FFFFA709"/>
        <color rgb="FFFF0000"/>
      </colorScale>
    </cfRule>
  </conditionalFormatting>
  <conditionalFormatting sqref="FG38">
    <cfRule type="colorScale" priority="540">
      <colorScale>
        <cfvo type="num" val="0"/>
        <cfvo type="num" val="0.5"/>
        <cfvo type="num" val="1"/>
        <color rgb="FF92D050"/>
        <color rgb="FFFFA709"/>
        <color rgb="FFFF0000"/>
      </colorScale>
    </cfRule>
  </conditionalFormatting>
  <conditionalFormatting sqref="FH38">
    <cfRule type="colorScale" priority="539">
      <colorScale>
        <cfvo type="num" val="0"/>
        <cfvo type="num" val="0.5"/>
        <cfvo type="num" val="1"/>
        <color rgb="FF92D050"/>
        <color rgb="FFFFA709"/>
        <color rgb="FFFF0000"/>
      </colorScale>
    </cfRule>
  </conditionalFormatting>
  <conditionalFormatting sqref="FJ38">
    <cfRule type="colorScale" priority="538">
      <colorScale>
        <cfvo type="num" val="0"/>
        <cfvo type="num" val="0.5"/>
        <cfvo type="num" val="1"/>
        <color rgb="FF92D050"/>
        <color rgb="FFFFA709"/>
        <color rgb="FFFF0000"/>
      </colorScale>
    </cfRule>
  </conditionalFormatting>
  <conditionalFormatting sqref="FL4 FO4 FQ4">
    <cfRule type="colorScale" priority="537">
      <colorScale>
        <cfvo type="num" val="0"/>
        <cfvo type="num" val="0.5"/>
        <cfvo type="num" val="1"/>
        <color rgb="FF92D050"/>
        <color rgb="FFFFA709"/>
        <color rgb="FFFF0000"/>
      </colorScale>
    </cfRule>
  </conditionalFormatting>
  <conditionalFormatting sqref="FM4">
    <cfRule type="colorScale" priority="536">
      <colorScale>
        <cfvo type="num" val="0"/>
        <cfvo type="num" val="0.5"/>
        <cfvo type="num" val="1"/>
        <color rgb="FF92D050"/>
        <color rgb="FFFFA709"/>
        <color rgb="FFFF0000"/>
      </colorScale>
    </cfRule>
  </conditionalFormatting>
  <conditionalFormatting sqref="FN4">
    <cfRule type="colorScale" priority="535">
      <colorScale>
        <cfvo type="num" val="0"/>
        <cfvo type="num" val="0.5"/>
        <cfvo type="num" val="1"/>
        <color rgb="FF92D050"/>
        <color rgb="FFFFA709"/>
        <color rgb="FFFF0000"/>
      </colorScale>
    </cfRule>
  </conditionalFormatting>
  <conditionalFormatting sqref="FP4">
    <cfRule type="colorScale" priority="534">
      <colorScale>
        <cfvo type="num" val="0"/>
        <cfvo type="num" val="0.5"/>
        <cfvo type="num" val="1"/>
        <color rgb="FF92D050"/>
        <color rgb="FFFFA709"/>
        <color rgb="FFFF0000"/>
      </colorScale>
    </cfRule>
  </conditionalFormatting>
  <conditionalFormatting sqref="FL7 FO7 FQ7">
    <cfRule type="colorScale" priority="533">
      <colorScale>
        <cfvo type="num" val="0"/>
        <cfvo type="num" val="0.5"/>
        <cfvo type="num" val="1"/>
        <color rgb="FF92D050"/>
        <color rgb="FFFFA709"/>
        <color rgb="FFFF0000"/>
      </colorScale>
    </cfRule>
  </conditionalFormatting>
  <conditionalFormatting sqref="FM7">
    <cfRule type="colorScale" priority="532">
      <colorScale>
        <cfvo type="num" val="0"/>
        <cfvo type="num" val="0.5"/>
        <cfvo type="num" val="1"/>
        <color rgb="FF92D050"/>
        <color rgb="FFFFA709"/>
        <color rgb="FFFF0000"/>
      </colorScale>
    </cfRule>
  </conditionalFormatting>
  <conditionalFormatting sqref="FN7">
    <cfRule type="colorScale" priority="531">
      <colorScale>
        <cfvo type="num" val="0"/>
        <cfvo type="num" val="0.5"/>
        <cfvo type="num" val="1"/>
        <color rgb="FF92D050"/>
        <color rgb="FFFFA709"/>
        <color rgb="FFFF0000"/>
      </colorScale>
    </cfRule>
  </conditionalFormatting>
  <conditionalFormatting sqref="FP7">
    <cfRule type="colorScale" priority="530">
      <colorScale>
        <cfvo type="num" val="0"/>
        <cfvo type="num" val="0.5"/>
        <cfvo type="num" val="1"/>
        <color rgb="FF92D050"/>
        <color rgb="FFFFA709"/>
        <color rgb="FFFF0000"/>
      </colorScale>
    </cfRule>
  </conditionalFormatting>
  <conditionalFormatting sqref="FL10 FO10 FQ10">
    <cfRule type="colorScale" priority="529">
      <colorScale>
        <cfvo type="num" val="0"/>
        <cfvo type="num" val="0.5"/>
        <cfvo type="num" val="1"/>
        <color rgb="FF92D050"/>
        <color rgb="FFFFA709"/>
        <color rgb="FFFF0000"/>
      </colorScale>
    </cfRule>
  </conditionalFormatting>
  <conditionalFormatting sqref="FM10">
    <cfRule type="colorScale" priority="528">
      <colorScale>
        <cfvo type="num" val="0"/>
        <cfvo type="num" val="0.5"/>
        <cfvo type="num" val="1"/>
        <color rgb="FF92D050"/>
        <color rgb="FFFFA709"/>
        <color rgb="FFFF0000"/>
      </colorScale>
    </cfRule>
  </conditionalFormatting>
  <conditionalFormatting sqref="FN10">
    <cfRule type="colorScale" priority="527">
      <colorScale>
        <cfvo type="num" val="0"/>
        <cfvo type="num" val="0.5"/>
        <cfvo type="num" val="1"/>
        <color rgb="FF92D050"/>
        <color rgb="FFFFA709"/>
        <color rgb="FFFF0000"/>
      </colorScale>
    </cfRule>
  </conditionalFormatting>
  <conditionalFormatting sqref="FP10">
    <cfRule type="colorScale" priority="526">
      <colorScale>
        <cfvo type="num" val="0"/>
        <cfvo type="num" val="0.5"/>
        <cfvo type="num" val="1"/>
        <color rgb="FF92D050"/>
        <color rgb="FFFFA709"/>
        <color rgb="FFFF0000"/>
      </colorScale>
    </cfRule>
  </conditionalFormatting>
  <conditionalFormatting sqref="FL16 FO16 FQ16">
    <cfRule type="colorScale" priority="525">
      <colorScale>
        <cfvo type="num" val="0"/>
        <cfvo type="num" val="0.5"/>
        <cfvo type="num" val="1"/>
        <color rgb="FF92D050"/>
        <color rgb="FFFFA709"/>
        <color rgb="FFFF0000"/>
      </colorScale>
    </cfRule>
  </conditionalFormatting>
  <conditionalFormatting sqref="FM16">
    <cfRule type="colorScale" priority="524">
      <colorScale>
        <cfvo type="num" val="0"/>
        <cfvo type="num" val="0.5"/>
        <cfvo type="num" val="1"/>
        <color rgb="FF92D050"/>
        <color rgb="FFFFA709"/>
        <color rgb="FFFF0000"/>
      </colorScale>
    </cfRule>
  </conditionalFormatting>
  <conditionalFormatting sqref="FN16">
    <cfRule type="colorScale" priority="523">
      <colorScale>
        <cfvo type="num" val="0"/>
        <cfvo type="num" val="0.5"/>
        <cfvo type="num" val="1"/>
        <color rgb="FF92D050"/>
        <color rgb="FFFFA709"/>
        <color rgb="FFFF0000"/>
      </colorScale>
    </cfRule>
  </conditionalFormatting>
  <conditionalFormatting sqref="FP16">
    <cfRule type="colorScale" priority="522">
      <colorScale>
        <cfvo type="num" val="0"/>
        <cfvo type="num" val="0.5"/>
        <cfvo type="num" val="1"/>
        <color rgb="FF92D050"/>
        <color rgb="FFFFA709"/>
        <color rgb="FFFF0000"/>
      </colorScale>
    </cfRule>
  </conditionalFormatting>
  <conditionalFormatting sqref="FO19 FL19 FQ19">
    <cfRule type="colorScale" priority="521">
      <colorScale>
        <cfvo type="num" val="0"/>
        <cfvo type="num" val="0.5"/>
        <cfvo type="num" val="1"/>
        <color rgb="FF92D050"/>
        <color rgb="FFFFA709"/>
        <color rgb="FFFF0000"/>
      </colorScale>
    </cfRule>
  </conditionalFormatting>
  <conditionalFormatting sqref="FM19">
    <cfRule type="colorScale" priority="520">
      <colorScale>
        <cfvo type="num" val="0"/>
        <cfvo type="num" val="0.5"/>
        <cfvo type="num" val="1"/>
        <color rgb="FF92D050"/>
        <color rgb="FFFFA709"/>
        <color rgb="FFFF0000"/>
      </colorScale>
    </cfRule>
  </conditionalFormatting>
  <conditionalFormatting sqref="FN19">
    <cfRule type="colorScale" priority="519">
      <colorScale>
        <cfvo type="num" val="0"/>
        <cfvo type="num" val="0.5"/>
        <cfvo type="num" val="1"/>
        <color rgb="FF92D050"/>
        <color rgb="FFFFA709"/>
        <color rgb="FFFF0000"/>
      </colorScale>
    </cfRule>
  </conditionalFormatting>
  <conditionalFormatting sqref="FP19">
    <cfRule type="colorScale" priority="518">
      <colorScale>
        <cfvo type="num" val="0"/>
        <cfvo type="num" val="0.5"/>
        <cfvo type="num" val="1"/>
        <color rgb="FF92D050"/>
        <color rgb="FFFFA709"/>
        <color rgb="FFFF0000"/>
      </colorScale>
    </cfRule>
  </conditionalFormatting>
  <conditionalFormatting sqref="FL22">
    <cfRule type="colorScale" priority="517">
      <colorScale>
        <cfvo type="num" val="0"/>
        <cfvo type="num" val="0.5"/>
        <cfvo type="num" val="1"/>
        <color rgb="FF92D050"/>
        <color rgb="FFFFA709"/>
        <color rgb="FFFF0000"/>
      </colorScale>
    </cfRule>
  </conditionalFormatting>
  <conditionalFormatting sqref="FM22">
    <cfRule type="colorScale" priority="516">
      <colorScale>
        <cfvo type="num" val="0"/>
        <cfvo type="num" val="0.5"/>
        <cfvo type="num" val="1"/>
        <color rgb="FF92D050"/>
        <color rgb="FFFFA709"/>
        <color rgb="FFFF0000"/>
      </colorScale>
    </cfRule>
  </conditionalFormatting>
  <conditionalFormatting sqref="FN22">
    <cfRule type="colorScale" priority="515">
      <colorScale>
        <cfvo type="num" val="0"/>
        <cfvo type="num" val="0.5"/>
        <cfvo type="num" val="1"/>
        <color rgb="FF92D050"/>
        <color rgb="FFFFA709"/>
        <color rgb="FFFF0000"/>
      </colorScale>
    </cfRule>
  </conditionalFormatting>
  <conditionalFormatting sqref="FO22">
    <cfRule type="colorScale" priority="514">
      <colorScale>
        <cfvo type="num" val="0"/>
        <cfvo type="num" val="0.5"/>
        <cfvo type="num" val="1"/>
        <color rgb="FF92D050"/>
        <color rgb="FFFFA709"/>
        <color rgb="FFFF0000"/>
      </colorScale>
    </cfRule>
  </conditionalFormatting>
  <conditionalFormatting sqref="FP22">
    <cfRule type="colorScale" priority="513">
      <colorScale>
        <cfvo type="num" val="0"/>
        <cfvo type="num" val="0.5"/>
        <cfvo type="num" val="1"/>
        <color rgb="FF92D050"/>
        <color rgb="FFFFA709"/>
        <color rgb="FFFF0000"/>
      </colorScale>
    </cfRule>
  </conditionalFormatting>
  <conditionalFormatting sqref="FQ22">
    <cfRule type="colorScale" priority="512">
      <colorScale>
        <cfvo type="num" val="0"/>
        <cfvo type="num" val="0.5"/>
        <cfvo type="num" val="1"/>
        <color rgb="FF92D050"/>
        <color rgb="FFFFA709"/>
        <color rgb="FFFF0000"/>
      </colorScale>
    </cfRule>
  </conditionalFormatting>
  <conditionalFormatting sqref="FL1:FP1">
    <cfRule type="timePeriod" dxfId="29" priority="511" timePeriod="today">
      <formula>FLOOR(FL1,1)=TODAY()</formula>
    </cfRule>
  </conditionalFormatting>
  <conditionalFormatting sqref="FL26 FO26 FQ26">
    <cfRule type="colorScale" priority="510">
      <colorScale>
        <cfvo type="num" val="0"/>
        <cfvo type="num" val="0.5"/>
        <cfvo type="num" val="1"/>
        <color rgb="FF92D050"/>
        <color rgb="FFFFA709"/>
        <color rgb="FFFF0000"/>
      </colorScale>
    </cfRule>
  </conditionalFormatting>
  <conditionalFormatting sqref="FM26">
    <cfRule type="colorScale" priority="509">
      <colorScale>
        <cfvo type="num" val="0"/>
        <cfvo type="num" val="0.5"/>
        <cfvo type="num" val="1"/>
        <color rgb="FF92D050"/>
        <color rgb="FFFFA709"/>
        <color rgb="FFFF0000"/>
      </colorScale>
    </cfRule>
  </conditionalFormatting>
  <conditionalFormatting sqref="FN26">
    <cfRule type="colorScale" priority="508">
      <colorScale>
        <cfvo type="num" val="0"/>
        <cfvo type="num" val="0.5"/>
        <cfvo type="num" val="1"/>
        <color rgb="FF92D050"/>
        <color rgb="FFFFA709"/>
        <color rgb="FFFF0000"/>
      </colorScale>
    </cfRule>
  </conditionalFormatting>
  <conditionalFormatting sqref="FP26">
    <cfRule type="colorScale" priority="507">
      <colorScale>
        <cfvo type="num" val="0"/>
        <cfvo type="num" val="0.5"/>
        <cfvo type="num" val="1"/>
        <color rgb="FF92D050"/>
        <color rgb="FFFFA709"/>
        <color rgb="FFFF0000"/>
      </colorScale>
    </cfRule>
  </conditionalFormatting>
  <conditionalFormatting sqref="FL29 FO29 FQ29">
    <cfRule type="colorScale" priority="502">
      <colorScale>
        <cfvo type="num" val="0"/>
        <cfvo type="num" val="0.5"/>
        <cfvo type="num" val="1"/>
        <color rgb="FF92D050"/>
        <color rgb="FFFFA709"/>
        <color rgb="FFFF0000"/>
      </colorScale>
    </cfRule>
  </conditionalFormatting>
  <conditionalFormatting sqref="FM29">
    <cfRule type="colorScale" priority="501">
      <colorScale>
        <cfvo type="num" val="0"/>
        <cfvo type="num" val="0.5"/>
        <cfvo type="num" val="1"/>
        <color rgb="FF92D050"/>
        <color rgb="FFFFA709"/>
        <color rgb="FFFF0000"/>
      </colorScale>
    </cfRule>
  </conditionalFormatting>
  <conditionalFormatting sqref="FN29">
    <cfRule type="colorScale" priority="500">
      <colorScale>
        <cfvo type="num" val="0"/>
        <cfvo type="num" val="0.5"/>
        <cfvo type="num" val="1"/>
        <color rgb="FF92D050"/>
        <color rgb="FFFFA709"/>
        <color rgb="FFFF0000"/>
      </colorScale>
    </cfRule>
  </conditionalFormatting>
  <conditionalFormatting sqref="FP29">
    <cfRule type="colorScale" priority="499">
      <colorScale>
        <cfvo type="num" val="0"/>
        <cfvo type="num" val="0.5"/>
        <cfvo type="num" val="1"/>
        <color rgb="FF92D050"/>
        <color rgb="FFFFA709"/>
        <color rgb="FFFF0000"/>
      </colorScale>
    </cfRule>
  </conditionalFormatting>
  <conditionalFormatting sqref="FL32 FO32 FQ32">
    <cfRule type="colorScale" priority="498">
      <colorScale>
        <cfvo type="num" val="0"/>
        <cfvo type="num" val="0.5"/>
        <cfvo type="num" val="1"/>
        <color rgb="FF92D050"/>
        <color rgb="FFFFA709"/>
        <color rgb="FFFF0000"/>
      </colorScale>
    </cfRule>
  </conditionalFormatting>
  <conditionalFormatting sqref="FM32">
    <cfRule type="colorScale" priority="497">
      <colorScale>
        <cfvo type="num" val="0"/>
        <cfvo type="num" val="0.5"/>
        <cfvo type="num" val="1"/>
        <color rgb="FF92D050"/>
        <color rgb="FFFFA709"/>
        <color rgb="FFFF0000"/>
      </colorScale>
    </cfRule>
  </conditionalFormatting>
  <conditionalFormatting sqref="FN32">
    <cfRule type="colorScale" priority="496">
      <colorScale>
        <cfvo type="num" val="0"/>
        <cfvo type="num" val="0.5"/>
        <cfvo type="num" val="1"/>
        <color rgb="FF92D050"/>
        <color rgb="FFFFA709"/>
        <color rgb="FFFF0000"/>
      </colorScale>
    </cfRule>
  </conditionalFormatting>
  <conditionalFormatting sqref="FP32">
    <cfRule type="colorScale" priority="495">
      <colorScale>
        <cfvo type="num" val="0"/>
        <cfvo type="num" val="0.5"/>
        <cfvo type="num" val="1"/>
        <color rgb="FF92D050"/>
        <color rgb="FFFFA709"/>
        <color rgb="FFFF0000"/>
      </colorScale>
    </cfRule>
  </conditionalFormatting>
  <conditionalFormatting sqref="FL35 FO35 FQ35">
    <cfRule type="colorScale" priority="494">
      <colorScale>
        <cfvo type="num" val="0"/>
        <cfvo type="num" val="0.5"/>
        <cfvo type="num" val="1"/>
        <color rgb="FF92D050"/>
        <color rgb="FFFFA709"/>
        <color rgb="FFFF0000"/>
      </colorScale>
    </cfRule>
  </conditionalFormatting>
  <conditionalFormatting sqref="FM35">
    <cfRule type="colorScale" priority="493">
      <colorScale>
        <cfvo type="num" val="0"/>
        <cfvo type="num" val="0.5"/>
        <cfvo type="num" val="1"/>
        <color rgb="FF92D050"/>
        <color rgb="FFFFA709"/>
        <color rgb="FFFF0000"/>
      </colorScale>
    </cfRule>
  </conditionalFormatting>
  <conditionalFormatting sqref="FN35">
    <cfRule type="colorScale" priority="492">
      <colorScale>
        <cfvo type="num" val="0"/>
        <cfvo type="num" val="0.5"/>
        <cfvo type="num" val="1"/>
        <color rgb="FF92D050"/>
        <color rgb="FFFFA709"/>
        <color rgb="FFFF0000"/>
      </colorScale>
    </cfRule>
  </conditionalFormatting>
  <conditionalFormatting sqref="FP35">
    <cfRule type="colorScale" priority="491">
      <colorScale>
        <cfvo type="num" val="0"/>
        <cfvo type="num" val="0.5"/>
        <cfvo type="num" val="1"/>
        <color rgb="FF92D050"/>
        <color rgb="FFFFA709"/>
        <color rgb="FFFF0000"/>
      </colorScale>
    </cfRule>
  </conditionalFormatting>
  <conditionalFormatting sqref="FL38 FO38 FQ38">
    <cfRule type="colorScale" priority="490">
      <colorScale>
        <cfvo type="num" val="0"/>
        <cfvo type="num" val="0.5"/>
        <cfvo type="num" val="1"/>
        <color rgb="FF92D050"/>
        <color rgb="FFFFA709"/>
        <color rgb="FFFF0000"/>
      </colorScale>
    </cfRule>
  </conditionalFormatting>
  <conditionalFormatting sqref="FM38">
    <cfRule type="colorScale" priority="489">
      <colorScale>
        <cfvo type="num" val="0"/>
        <cfvo type="num" val="0.5"/>
        <cfvo type="num" val="1"/>
        <color rgb="FF92D050"/>
        <color rgb="FFFFA709"/>
        <color rgb="FFFF0000"/>
      </colorScale>
    </cfRule>
  </conditionalFormatting>
  <conditionalFormatting sqref="FN38">
    <cfRule type="colorScale" priority="488">
      <colorScale>
        <cfvo type="num" val="0"/>
        <cfvo type="num" val="0.5"/>
        <cfvo type="num" val="1"/>
        <color rgb="FF92D050"/>
        <color rgb="FFFFA709"/>
        <color rgb="FFFF0000"/>
      </colorScale>
    </cfRule>
  </conditionalFormatting>
  <conditionalFormatting sqref="FP38">
    <cfRule type="colorScale" priority="487">
      <colorScale>
        <cfvo type="num" val="0"/>
        <cfvo type="num" val="0.5"/>
        <cfvo type="num" val="1"/>
        <color rgb="FF92D050"/>
        <color rgb="FFFFA709"/>
        <color rgb="FFFF0000"/>
      </colorScale>
    </cfRule>
  </conditionalFormatting>
  <conditionalFormatting sqref="FR4 FU4 FW4">
    <cfRule type="colorScale" priority="486">
      <colorScale>
        <cfvo type="num" val="0"/>
        <cfvo type="num" val="0.5"/>
        <cfvo type="num" val="1"/>
        <color rgb="FF92D050"/>
        <color rgb="FFFFA709"/>
        <color rgb="FFFF0000"/>
      </colorScale>
    </cfRule>
  </conditionalFormatting>
  <conditionalFormatting sqref="FS4">
    <cfRule type="colorScale" priority="485">
      <colorScale>
        <cfvo type="num" val="0"/>
        <cfvo type="num" val="0.5"/>
        <cfvo type="num" val="1"/>
        <color rgb="FF92D050"/>
        <color rgb="FFFFA709"/>
        <color rgb="FFFF0000"/>
      </colorScale>
    </cfRule>
  </conditionalFormatting>
  <conditionalFormatting sqref="FT4">
    <cfRule type="colorScale" priority="484">
      <colorScale>
        <cfvo type="num" val="0"/>
        <cfvo type="num" val="0.5"/>
        <cfvo type="num" val="1"/>
        <color rgb="FF92D050"/>
        <color rgb="FFFFA709"/>
        <color rgb="FFFF0000"/>
      </colorScale>
    </cfRule>
  </conditionalFormatting>
  <conditionalFormatting sqref="FV4">
    <cfRule type="colorScale" priority="483">
      <colorScale>
        <cfvo type="num" val="0"/>
        <cfvo type="num" val="0.5"/>
        <cfvo type="num" val="1"/>
        <color rgb="FF92D050"/>
        <color rgb="FFFFA709"/>
        <color rgb="FFFF0000"/>
      </colorScale>
    </cfRule>
  </conditionalFormatting>
  <conditionalFormatting sqref="FR7 FU7 FW7">
    <cfRule type="colorScale" priority="482">
      <colorScale>
        <cfvo type="num" val="0"/>
        <cfvo type="num" val="0.5"/>
        <cfvo type="num" val="1"/>
        <color rgb="FF92D050"/>
        <color rgb="FFFFA709"/>
        <color rgb="FFFF0000"/>
      </colorScale>
    </cfRule>
  </conditionalFormatting>
  <conditionalFormatting sqref="FS7">
    <cfRule type="colorScale" priority="481">
      <colorScale>
        <cfvo type="num" val="0"/>
        <cfvo type="num" val="0.5"/>
        <cfvo type="num" val="1"/>
        <color rgb="FF92D050"/>
        <color rgb="FFFFA709"/>
        <color rgb="FFFF0000"/>
      </colorScale>
    </cfRule>
  </conditionalFormatting>
  <conditionalFormatting sqref="FT7">
    <cfRule type="colorScale" priority="480">
      <colorScale>
        <cfvo type="num" val="0"/>
        <cfvo type="num" val="0.5"/>
        <cfvo type="num" val="1"/>
        <color rgb="FF92D050"/>
        <color rgb="FFFFA709"/>
        <color rgb="FFFF0000"/>
      </colorScale>
    </cfRule>
  </conditionalFormatting>
  <conditionalFormatting sqref="FV7">
    <cfRule type="colorScale" priority="479">
      <colorScale>
        <cfvo type="num" val="0"/>
        <cfvo type="num" val="0.5"/>
        <cfvo type="num" val="1"/>
        <color rgb="FF92D050"/>
        <color rgb="FFFFA709"/>
        <color rgb="FFFF0000"/>
      </colorScale>
    </cfRule>
  </conditionalFormatting>
  <conditionalFormatting sqref="FR10 FU10 FW10">
    <cfRule type="colorScale" priority="478">
      <colorScale>
        <cfvo type="num" val="0"/>
        <cfvo type="num" val="0.5"/>
        <cfvo type="num" val="1"/>
        <color rgb="FF92D050"/>
        <color rgb="FFFFA709"/>
        <color rgb="FFFF0000"/>
      </colorScale>
    </cfRule>
  </conditionalFormatting>
  <conditionalFormatting sqref="FS10">
    <cfRule type="colorScale" priority="477">
      <colorScale>
        <cfvo type="num" val="0"/>
        <cfvo type="num" val="0.5"/>
        <cfvo type="num" val="1"/>
        <color rgb="FF92D050"/>
        <color rgb="FFFFA709"/>
        <color rgb="FFFF0000"/>
      </colorScale>
    </cfRule>
  </conditionalFormatting>
  <conditionalFormatting sqref="FT10">
    <cfRule type="colorScale" priority="476">
      <colorScale>
        <cfvo type="num" val="0"/>
        <cfvo type="num" val="0.5"/>
        <cfvo type="num" val="1"/>
        <color rgb="FF92D050"/>
        <color rgb="FFFFA709"/>
        <color rgb="FFFF0000"/>
      </colorScale>
    </cfRule>
  </conditionalFormatting>
  <conditionalFormatting sqref="FV10">
    <cfRule type="colorScale" priority="475">
      <colorScale>
        <cfvo type="num" val="0"/>
        <cfvo type="num" val="0.5"/>
        <cfvo type="num" val="1"/>
        <color rgb="FF92D050"/>
        <color rgb="FFFFA709"/>
        <color rgb="FFFF0000"/>
      </colorScale>
    </cfRule>
  </conditionalFormatting>
  <conditionalFormatting sqref="FR16 FU16 FW16">
    <cfRule type="colorScale" priority="474">
      <colorScale>
        <cfvo type="num" val="0"/>
        <cfvo type="num" val="0.5"/>
        <cfvo type="num" val="1"/>
        <color rgb="FF92D050"/>
        <color rgb="FFFFA709"/>
        <color rgb="FFFF0000"/>
      </colorScale>
    </cfRule>
  </conditionalFormatting>
  <conditionalFormatting sqref="FS16">
    <cfRule type="colorScale" priority="473">
      <colorScale>
        <cfvo type="num" val="0"/>
        <cfvo type="num" val="0.5"/>
        <cfvo type="num" val="1"/>
        <color rgb="FF92D050"/>
        <color rgb="FFFFA709"/>
        <color rgb="FFFF0000"/>
      </colorScale>
    </cfRule>
  </conditionalFormatting>
  <conditionalFormatting sqref="FT16">
    <cfRule type="colorScale" priority="472">
      <colorScale>
        <cfvo type="num" val="0"/>
        <cfvo type="num" val="0.5"/>
        <cfvo type="num" val="1"/>
        <color rgb="FF92D050"/>
        <color rgb="FFFFA709"/>
        <color rgb="FFFF0000"/>
      </colorScale>
    </cfRule>
  </conditionalFormatting>
  <conditionalFormatting sqref="FV16">
    <cfRule type="colorScale" priority="471">
      <colorScale>
        <cfvo type="num" val="0"/>
        <cfvo type="num" val="0.5"/>
        <cfvo type="num" val="1"/>
        <color rgb="FF92D050"/>
        <color rgb="FFFFA709"/>
        <color rgb="FFFF0000"/>
      </colorScale>
    </cfRule>
  </conditionalFormatting>
  <conditionalFormatting sqref="FR19 FU19 FW19">
    <cfRule type="colorScale" priority="470">
      <colorScale>
        <cfvo type="num" val="0"/>
        <cfvo type="num" val="0.5"/>
        <cfvo type="num" val="1"/>
        <color rgb="FF92D050"/>
        <color rgb="FFFFA709"/>
        <color rgb="FFFF0000"/>
      </colorScale>
    </cfRule>
  </conditionalFormatting>
  <conditionalFormatting sqref="FS19">
    <cfRule type="colorScale" priority="469">
      <colorScale>
        <cfvo type="num" val="0"/>
        <cfvo type="num" val="0.5"/>
        <cfvo type="num" val="1"/>
        <color rgb="FF92D050"/>
        <color rgb="FFFFA709"/>
        <color rgb="FFFF0000"/>
      </colorScale>
    </cfRule>
  </conditionalFormatting>
  <conditionalFormatting sqref="FT19">
    <cfRule type="colorScale" priority="468">
      <colorScale>
        <cfvo type="num" val="0"/>
        <cfvo type="num" val="0.5"/>
        <cfvo type="num" val="1"/>
        <color rgb="FF92D050"/>
        <color rgb="FFFFA709"/>
        <color rgb="FFFF0000"/>
      </colorScale>
    </cfRule>
  </conditionalFormatting>
  <conditionalFormatting sqref="FV19">
    <cfRule type="colorScale" priority="467">
      <colorScale>
        <cfvo type="num" val="0"/>
        <cfvo type="num" val="0.5"/>
        <cfvo type="num" val="1"/>
        <color rgb="FF92D050"/>
        <color rgb="FFFFA709"/>
        <color rgb="FFFF0000"/>
      </colorScale>
    </cfRule>
  </conditionalFormatting>
  <conditionalFormatting sqref="FR22">
    <cfRule type="colorScale" priority="466">
      <colorScale>
        <cfvo type="num" val="0"/>
        <cfvo type="num" val="0.5"/>
        <cfvo type="num" val="1"/>
        <color rgb="FF92D050"/>
        <color rgb="FFFFA709"/>
        <color rgb="FFFF0000"/>
      </colorScale>
    </cfRule>
  </conditionalFormatting>
  <conditionalFormatting sqref="FS22">
    <cfRule type="colorScale" priority="465">
      <colorScale>
        <cfvo type="num" val="0"/>
        <cfvo type="num" val="0.5"/>
        <cfvo type="num" val="1"/>
        <color rgb="FF92D050"/>
        <color rgb="FFFFA709"/>
        <color rgb="FFFF0000"/>
      </colorScale>
    </cfRule>
  </conditionalFormatting>
  <conditionalFormatting sqref="FT22">
    <cfRule type="colorScale" priority="464">
      <colorScale>
        <cfvo type="num" val="0"/>
        <cfvo type="num" val="0.5"/>
        <cfvo type="num" val="1"/>
        <color rgb="FF92D050"/>
        <color rgb="FFFFA709"/>
        <color rgb="FFFF0000"/>
      </colorScale>
    </cfRule>
  </conditionalFormatting>
  <conditionalFormatting sqref="FU22">
    <cfRule type="colorScale" priority="463">
      <colorScale>
        <cfvo type="num" val="0"/>
        <cfvo type="num" val="0.5"/>
        <cfvo type="num" val="1"/>
        <color rgb="FF92D050"/>
        <color rgb="FFFFA709"/>
        <color rgb="FFFF0000"/>
      </colorScale>
    </cfRule>
  </conditionalFormatting>
  <conditionalFormatting sqref="FV22">
    <cfRule type="colorScale" priority="462">
      <colorScale>
        <cfvo type="num" val="0"/>
        <cfvo type="num" val="0.5"/>
        <cfvo type="num" val="1"/>
        <color rgb="FF92D050"/>
        <color rgb="FFFFA709"/>
        <color rgb="FFFF0000"/>
      </colorScale>
    </cfRule>
  </conditionalFormatting>
  <conditionalFormatting sqref="FW22">
    <cfRule type="colorScale" priority="461">
      <colorScale>
        <cfvo type="num" val="0"/>
        <cfvo type="num" val="0.5"/>
        <cfvo type="num" val="1"/>
        <color rgb="FF92D050"/>
        <color rgb="FFFFA709"/>
        <color rgb="FFFF0000"/>
      </colorScale>
    </cfRule>
  </conditionalFormatting>
  <conditionalFormatting sqref="FR1:FV1">
    <cfRule type="timePeriod" dxfId="28" priority="460" timePeriod="today">
      <formula>FLOOR(FR1,1)=TODAY()</formula>
    </cfRule>
  </conditionalFormatting>
  <conditionalFormatting sqref="FR26 FU26 FW26">
    <cfRule type="colorScale" priority="459">
      <colorScale>
        <cfvo type="num" val="0"/>
        <cfvo type="num" val="0.5"/>
        <cfvo type="num" val="1"/>
        <color rgb="FF92D050"/>
        <color rgb="FFFFA709"/>
        <color rgb="FFFF0000"/>
      </colorScale>
    </cfRule>
  </conditionalFormatting>
  <conditionalFormatting sqref="FS26">
    <cfRule type="colorScale" priority="458">
      <colorScale>
        <cfvo type="num" val="0"/>
        <cfvo type="num" val="0.5"/>
        <cfvo type="num" val="1"/>
        <color rgb="FF92D050"/>
        <color rgb="FFFFA709"/>
        <color rgb="FFFF0000"/>
      </colorScale>
    </cfRule>
  </conditionalFormatting>
  <conditionalFormatting sqref="FT26">
    <cfRule type="colorScale" priority="457">
      <colorScale>
        <cfvo type="num" val="0"/>
        <cfvo type="num" val="0.5"/>
        <cfvo type="num" val="1"/>
        <color rgb="FF92D050"/>
        <color rgb="FFFFA709"/>
        <color rgb="FFFF0000"/>
      </colorScale>
    </cfRule>
  </conditionalFormatting>
  <conditionalFormatting sqref="FV26">
    <cfRule type="colorScale" priority="456">
      <colorScale>
        <cfvo type="num" val="0"/>
        <cfvo type="num" val="0.5"/>
        <cfvo type="num" val="1"/>
        <color rgb="FF92D050"/>
        <color rgb="FFFFA709"/>
        <color rgb="FFFF0000"/>
      </colorScale>
    </cfRule>
  </conditionalFormatting>
  <conditionalFormatting sqref="FR29 FU29 FW29">
    <cfRule type="colorScale" priority="451">
      <colorScale>
        <cfvo type="num" val="0"/>
        <cfvo type="num" val="0.5"/>
        <cfvo type="num" val="1"/>
        <color rgb="FF92D050"/>
        <color rgb="FFFFA709"/>
        <color rgb="FFFF0000"/>
      </colorScale>
    </cfRule>
  </conditionalFormatting>
  <conditionalFormatting sqref="FS29">
    <cfRule type="colorScale" priority="450">
      <colorScale>
        <cfvo type="num" val="0"/>
        <cfvo type="num" val="0.5"/>
        <cfvo type="num" val="1"/>
        <color rgb="FF92D050"/>
        <color rgb="FFFFA709"/>
        <color rgb="FFFF0000"/>
      </colorScale>
    </cfRule>
  </conditionalFormatting>
  <conditionalFormatting sqref="FT29">
    <cfRule type="colorScale" priority="449">
      <colorScale>
        <cfvo type="num" val="0"/>
        <cfvo type="num" val="0.5"/>
        <cfvo type="num" val="1"/>
        <color rgb="FF92D050"/>
        <color rgb="FFFFA709"/>
        <color rgb="FFFF0000"/>
      </colorScale>
    </cfRule>
  </conditionalFormatting>
  <conditionalFormatting sqref="FV29">
    <cfRule type="colorScale" priority="448">
      <colorScale>
        <cfvo type="num" val="0"/>
        <cfvo type="num" val="0.5"/>
        <cfvo type="num" val="1"/>
        <color rgb="FF92D050"/>
        <color rgb="FFFFA709"/>
        <color rgb="FFFF0000"/>
      </colorScale>
    </cfRule>
  </conditionalFormatting>
  <conditionalFormatting sqref="FR32 FU32 FW32">
    <cfRule type="colorScale" priority="447">
      <colorScale>
        <cfvo type="num" val="0"/>
        <cfvo type="num" val="0.5"/>
        <cfvo type="num" val="1"/>
        <color rgb="FF92D050"/>
        <color rgb="FFFFA709"/>
        <color rgb="FFFF0000"/>
      </colorScale>
    </cfRule>
  </conditionalFormatting>
  <conditionalFormatting sqref="FS32">
    <cfRule type="colorScale" priority="446">
      <colorScale>
        <cfvo type="num" val="0"/>
        <cfvo type="num" val="0.5"/>
        <cfvo type="num" val="1"/>
        <color rgb="FF92D050"/>
        <color rgb="FFFFA709"/>
        <color rgb="FFFF0000"/>
      </colorScale>
    </cfRule>
  </conditionalFormatting>
  <conditionalFormatting sqref="FT32">
    <cfRule type="colorScale" priority="445">
      <colorScale>
        <cfvo type="num" val="0"/>
        <cfvo type="num" val="0.5"/>
        <cfvo type="num" val="1"/>
        <color rgb="FF92D050"/>
        <color rgb="FFFFA709"/>
        <color rgb="FFFF0000"/>
      </colorScale>
    </cfRule>
  </conditionalFormatting>
  <conditionalFormatting sqref="FV32">
    <cfRule type="colorScale" priority="444">
      <colorScale>
        <cfvo type="num" val="0"/>
        <cfvo type="num" val="0.5"/>
        <cfvo type="num" val="1"/>
        <color rgb="FF92D050"/>
        <color rgb="FFFFA709"/>
        <color rgb="FFFF0000"/>
      </colorScale>
    </cfRule>
  </conditionalFormatting>
  <conditionalFormatting sqref="FR35 FU35 FW35">
    <cfRule type="colorScale" priority="443">
      <colorScale>
        <cfvo type="num" val="0"/>
        <cfvo type="num" val="0.5"/>
        <cfvo type="num" val="1"/>
        <color rgb="FF92D050"/>
        <color rgb="FFFFA709"/>
        <color rgb="FFFF0000"/>
      </colorScale>
    </cfRule>
  </conditionalFormatting>
  <conditionalFormatting sqref="FS35">
    <cfRule type="colorScale" priority="442">
      <colorScale>
        <cfvo type="num" val="0"/>
        <cfvo type="num" val="0.5"/>
        <cfvo type="num" val="1"/>
        <color rgb="FF92D050"/>
        <color rgb="FFFFA709"/>
        <color rgb="FFFF0000"/>
      </colorScale>
    </cfRule>
  </conditionalFormatting>
  <conditionalFormatting sqref="FT35">
    <cfRule type="colorScale" priority="441">
      <colorScale>
        <cfvo type="num" val="0"/>
        <cfvo type="num" val="0.5"/>
        <cfvo type="num" val="1"/>
        <color rgb="FF92D050"/>
        <color rgb="FFFFA709"/>
        <color rgb="FFFF0000"/>
      </colorScale>
    </cfRule>
  </conditionalFormatting>
  <conditionalFormatting sqref="FV35">
    <cfRule type="colorScale" priority="440">
      <colorScale>
        <cfvo type="num" val="0"/>
        <cfvo type="num" val="0.5"/>
        <cfvo type="num" val="1"/>
        <color rgb="FF92D050"/>
        <color rgb="FFFFA709"/>
        <color rgb="FFFF0000"/>
      </colorScale>
    </cfRule>
  </conditionalFormatting>
  <conditionalFormatting sqref="FR38 FU38 FW38">
    <cfRule type="colorScale" priority="439">
      <colorScale>
        <cfvo type="num" val="0"/>
        <cfvo type="num" val="0.5"/>
        <cfvo type="num" val="1"/>
        <color rgb="FF92D050"/>
        <color rgb="FFFFA709"/>
        <color rgb="FFFF0000"/>
      </colorScale>
    </cfRule>
  </conditionalFormatting>
  <conditionalFormatting sqref="FS38">
    <cfRule type="colorScale" priority="438">
      <colorScale>
        <cfvo type="num" val="0"/>
        <cfvo type="num" val="0.5"/>
        <cfvo type="num" val="1"/>
        <color rgb="FF92D050"/>
        <color rgb="FFFFA709"/>
        <color rgb="FFFF0000"/>
      </colorScale>
    </cfRule>
  </conditionalFormatting>
  <conditionalFormatting sqref="FT38">
    <cfRule type="colorScale" priority="437">
      <colorScale>
        <cfvo type="num" val="0"/>
        <cfvo type="num" val="0.5"/>
        <cfvo type="num" val="1"/>
        <color rgb="FF92D050"/>
        <color rgb="FFFFA709"/>
        <color rgb="FFFF0000"/>
      </colorScale>
    </cfRule>
  </conditionalFormatting>
  <conditionalFormatting sqref="FV38">
    <cfRule type="colorScale" priority="436">
      <colorScale>
        <cfvo type="num" val="0"/>
        <cfvo type="num" val="0.5"/>
        <cfvo type="num" val="1"/>
        <color rgb="FF92D050"/>
        <color rgb="FFFFA709"/>
        <color rgb="FFFF0000"/>
      </colorScale>
    </cfRule>
  </conditionalFormatting>
  <conditionalFormatting sqref="FX4 GA4 GC4">
    <cfRule type="colorScale" priority="435">
      <colorScale>
        <cfvo type="num" val="0"/>
        <cfvo type="num" val="0.5"/>
        <cfvo type="num" val="1"/>
        <color rgb="FF92D050"/>
        <color rgb="FFFFA709"/>
        <color rgb="FFFF0000"/>
      </colorScale>
    </cfRule>
  </conditionalFormatting>
  <conditionalFormatting sqref="FY4">
    <cfRule type="colorScale" priority="434">
      <colorScale>
        <cfvo type="num" val="0"/>
        <cfvo type="num" val="0.5"/>
        <cfvo type="num" val="1"/>
        <color rgb="FF92D050"/>
        <color rgb="FFFFA709"/>
        <color rgb="FFFF0000"/>
      </colorScale>
    </cfRule>
  </conditionalFormatting>
  <conditionalFormatting sqref="FZ4">
    <cfRule type="colorScale" priority="433">
      <colorScale>
        <cfvo type="num" val="0"/>
        <cfvo type="num" val="0.5"/>
        <cfvo type="num" val="1"/>
        <color rgb="FF92D050"/>
        <color rgb="FFFFA709"/>
        <color rgb="FFFF0000"/>
      </colorScale>
    </cfRule>
  </conditionalFormatting>
  <conditionalFormatting sqref="GB4">
    <cfRule type="colorScale" priority="432">
      <colorScale>
        <cfvo type="num" val="0"/>
        <cfvo type="num" val="0.5"/>
        <cfvo type="num" val="1"/>
        <color rgb="FF92D050"/>
        <color rgb="FFFFA709"/>
        <color rgb="FFFF0000"/>
      </colorScale>
    </cfRule>
  </conditionalFormatting>
  <conditionalFormatting sqref="FX7 GA7 GC7">
    <cfRule type="colorScale" priority="431">
      <colorScale>
        <cfvo type="num" val="0"/>
        <cfvo type="num" val="0.5"/>
        <cfvo type="num" val="1"/>
        <color rgb="FF92D050"/>
        <color rgb="FFFFA709"/>
        <color rgb="FFFF0000"/>
      </colorScale>
    </cfRule>
  </conditionalFormatting>
  <conditionalFormatting sqref="FY7">
    <cfRule type="colorScale" priority="430">
      <colorScale>
        <cfvo type="num" val="0"/>
        <cfvo type="num" val="0.5"/>
        <cfvo type="num" val="1"/>
        <color rgb="FF92D050"/>
        <color rgb="FFFFA709"/>
        <color rgb="FFFF0000"/>
      </colorScale>
    </cfRule>
  </conditionalFormatting>
  <conditionalFormatting sqref="FZ7">
    <cfRule type="colorScale" priority="429">
      <colorScale>
        <cfvo type="num" val="0"/>
        <cfvo type="num" val="0.5"/>
        <cfvo type="num" val="1"/>
        <color rgb="FF92D050"/>
        <color rgb="FFFFA709"/>
        <color rgb="FFFF0000"/>
      </colorScale>
    </cfRule>
  </conditionalFormatting>
  <conditionalFormatting sqref="GB7">
    <cfRule type="colorScale" priority="428">
      <colorScale>
        <cfvo type="num" val="0"/>
        <cfvo type="num" val="0.5"/>
        <cfvo type="num" val="1"/>
        <color rgb="FF92D050"/>
        <color rgb="FFFFA709"/>
        <color rgb="FFFF0000"/>
      </colorScale>
    </cfRule>
  </conditionalFormatting>
  <conditionalFormatting sqref="GA10 FX10 GC10">
    <cfRule type="colorScale" priority="427">
      <colorScale>
        <cfvo type="num" val="0"/>
        <cfvo type="num" val="0.5"/>
        <cfvo type="num" val="1"/>
        <color rgb="FF92D050"/>
        <color rgb="FFFFA709"/>
        <color rgb="FFFF0000"/>
      </colorScale>
    </cfRule>
  </conditionalFormatting>
  <conditionalFormatting sqref="FY10">
    <cfRule type="colorScale" priority="426">
      <colorScale>
        <cfvo type="num" val="0"/>
        <cfvo type="num" val="0.5"/>
        <cfvo type="num" val="1"/>
        <color rgb="FF92D050"/>
        <color rgb="FFFFA709"/>
        <color rgb="FFFF0000"/>
      </colorScale>
    </cfRule>
  </conditionalFormatting>
  <conditionalFormatting sqref="FZ10">
    <cfRule type="colorScale" priority="425">
      <colorScale>
        <cfvo type="num" val="0"/>
        <cfvo type="num" val="0.5"/>
        <cfvo type="num" val="1"/>
        <color rgb="FF92D050"/>
        <color rgb="FFFFA709"/>
        <color rgb="FFFF0000"/>
      </colorScale>
    </cfRule>
  </conditionalFormatting>
  <conditionalFormatting sqref="GB10">
    <cfRule type="colorScale" priority="424">
      <colorScale>
        <cfvo type="num" val="0"/>
        <cfvo type="num" val="0.5"/>
        <cfvo type="num" val="1"/>
        <color rgb="FF92D050"/>
        <color rgb="FFFFA709"/>
        <color rgb="FFFF0000"/>
      </colorScale>
    </cfRule>
  </conditionalFormatting>
  <conditionalFormatting sqref="GA16 FX16 GC16">
    <cfRule type="colorScale" priority="423">
      <colorScale>
        <cfvo type="num" val="0"/>
        <cfvo type="num" val="0.5"/>
        <cfvo type="num" val="1"/>
        <color rgb="FF92D050"/>
        <color rgb="FFFFA709"/>
        <color rgb="FFFF0000"/>
      </colorScale>
    </cfRule>
  </conditionalFormatting>
  <conditionalFormatting sqref="FY16">
    <cfRule type="colorScale" priority="422">
      <colorScale>
        <cfvo type="num" val="0"/>
        <cfvo type="num" val="0.5"/>
        <cfvo type="num" val="1"/>
        <color rgb="FF92D050"/>
        <color rgb="FFFFA709"/>
        <color rgb="FFFF0000"/>
      </colorScale>
    </cfRule>
  </conditionalFormatting>
  <conditionalFormatting sqref="FZ16">
    <cfRule type="colorScale" priority="421">
      <colorScale>
        <cfvo type="num" val="0"/>
        <cfvo type="num" val="0.5"/>
        <cfvo type="num" val="1"/>
        <color rgb="FF92D050"/>
        <color rgb="FFFFA709"/>
        <color rgb="FFFF0000"/>
      </colorScale>
    </cfRule>
  </conditionalFormatting>
  <conditionalFormatting sqref="GB16">
    <cfRule type="colorScale" priority="420">
      <colorScale>
        <cfvo type="num" val="0"/>
        <cfvo type="num" val="0.5"/>
        <cfvo type="num" val="1"/>
        <color rgb="FF92D050"/>
        <color rgb="FFFFA709"/>
        <color rgb="FFFF0000"/>
      </colorScale>
    </cfRule>
  </conditionalFormatting>
  <conditionalFormatting sqref="GA19 FX19 GC19">
    <cfRule type="colorScale" priority="419">
      <colorScale>
        <cfvo type="num" val="0"/>
        <cfvo type="num" val="0.5"/>
        <cfvo type="num" val="1"/>
        <color rgb="FF92D050"/>
        <color rgb="FFFFA709"/>
        <color rgb="FFFF0000"/>
      </colorScale>
    </cfRule>
  </conditionalFormatting>
  <conditionalFormatting sqref="FY19">
    <cfRule type="colorScale" priority="418">
      <colorScale>
        <cfvo type="num" val="0"/>
        <cfvo type="num" val="0.5"/>
        <cfvo type="num" val="1"/>
        <color rgb="FF92D050"/>
        <color rgb="FFFFA709"/>
        <color rgb="FFFF0000"/>
      </colorScale>
    </cfRule>
  </conditionalFormatting>
  <conditionalFormatting sqref="FZ19">
    <cfRule type="colorScale" priority="417">
      <colorScale>
        <cfvo type="num" val="0"/>
        <cfvo type="num" val="0.5"/>
        <cfvo type="num" val="1"/>
        <color rgb="FF92D050"/>
        <color rgb="FFFFA709"/>
        <color rgb="FFFF0000"/>
      </colorScale>
    </cfRule>
  </conditionalFormatting>
  <conditionalFormatting sqref="GB19">
    <cfRule type="colorScale" priority="416">
      <colorScale>
        <cfvo type="num" val="0"/>
        <cfvo type="num" val="0.5"/>
        <cfvo type="num" val="1"/>
        <color rgb="FF92D050"/>
        <color rgb="FFFFA709"/>
        <color rgb="FFFF0000"/>
      </colorScale>
    </cfRule>
  </conditionalFormatting>
  <conditionalFormatting sqref="FX22">
    <cfRule type="colorScale" priority="415">
      <colorScale>
        <cfvo type="num" val="0"/>
        <cfvo type="num" val="0.5"/>
        <cfvo type="num" val="1"/>
        <color rgb="FF92D050"/>
        <color rgb="FFFFA709"/>
        <color rgb="FFFF0000"/>
      </colorScale>
    </cfRule>
  </conditionalFormatting>
  <conditionalFormatting sqref="FY22">
    <cfRule type="colorScale" priority="414">
      <colorScale>
        <cfvo type="num" val="0"/>
        <cfvo type="num" val="0.5"/>
        <cfvo type="num" val="1"/>
        <color rgb="FF92D050"/>
        <color rgb="FFFFA709"/>
        <color rgb="FFFF0000"/>
      </colorScale>
    </cfRule>
  </conditionalFormatting>
  <conditionalFormatting sqref="FZ22">
    <cfRule type="colorScale" priority="413">
      <colorScale>
        <cfvo type="num" val="0"/>
        <cfvo type="num" val="0.5"/>
        <cfvo type="num" val="1"/>
        <color rgb="FF92D050"/>
        <color rgb="FFFFA709"/>
        <color rgb="FFFF0000"/>
      </colorScale>
    </cfRule>
  </conditionalFormatting>
  <conditionalFormatting sqref="GA22">
    <cfRule type="colorScale" priority="412">
      <colorScale>
        <cfvo type="num" val="0"/>
        <cfvo type="num" val="0.5"/>
        <cfvo type="num" val="1"/>
        <color rgb="FF92D050"/>
        <color rgb="FFFFA709"/>
        <color rgb="FFFF0000"/>
      </colorScale>
    </cfRule>
  </conditionalFormatting>
  <conditionalFormatting sqref="GB22">
    <cfRule type="colorScale" priority="411">
      <colorScale>
        <cfvo type="num" val="0"/>
        <cfvo type="num" val="0.5"/>
        <cfvo type="num" val="1"/>
        <color rgb="FF92D050"/>
        <color rgb="FFFFA709"/>
        <color rgb="FFFF0000"/>
      </colorScale>
    </cfRule>
  </conditionalFormatting>
  <conditionalFormatting sqref="GC22">
    <cfRule type="colorScale" priority="410">
      <colorScale>
        <cfvo type="num" val="0"/>
        <cfvo type="num" val="0.5"/>
        <cfvo type="num" val="1"/>
        <color rgb="FF92D050"/>
        <color rgb="FFFFA709"/>
        <color rgb="FFFF0000"/>
      </colorScale>
    </cfRule>
  </conditionalFormatting>
  <conditionalFormatting sqref="FX1:GB1">
    <cfRule type="timePeriod" dxfId="27" priority="409" timePeriod="today">
      <formula>FLOOR(FX1,1)=TODAY()</formula>
    </cfRule>
  </conditionalFormatting>
  <conditionalFormatting sqref="FX26 GA26 GC26">
    <cfRule type="colorScale" priority="408">
      <colorScale>
        <cfvo type="num" val="0"/>
        <cfvo type="num" val="0.5"/>
        <cfvo type="num" val="1"/>
        <color rgb="FF92D050"/>
        <color rgb="FFFFA709"/>
        <color rgb="FFFF0000"/>
      </colorScale>
    </cfRule>
  </conditionalFormatting>
  <conditionalFormatting sqref="FY26">
    <cfRule type="colorScale" priority="407">
      <colorScale>
        <cfvo type="num" val="0"/>
        <cfvo type="num" val="0.5"/>
        <cfvo type="num" val="1"/>
        <color rgb="FF92D050"/>
        <color rgb="FFFFA709"/>
        <color rgb="FFFF0000"/>
      </colorScale>
    </cfRule>
  </conditionalFormatting>
  <conditionalFormatting sqref="FZ26">
    <cfRule type="colorScale" priority="406">
      <colorScale>
        <cfvo type="num" val="0"/>
        <cfvo type="num" val="0.5"/>
        <cfvo type="num" val="1"/>
        <color rgb="FF92D050"/>
        <color rgb="FFFFA709"/>
        <color rgb="FFFF0000"/>
      </colorScale>
    </cfRule>
  </conditionalFormatting>
  <conditionalFormatting sqref="GB26">
    <cfRule type="colorScale" priority="405">
      <colorScale>
        <cfvo type="num" val="0"/>
        <cfvo type="num" val="0.5"/>
        <cfvo type="num" val="1"/>
        <color rgb="FF92D050"/>
        <color rgb="FFFFA709"/>
        <color rgb="FFFF0000"/>
      </colorScale>
    </cfRule>
  </conditionalFormatting>
  <conditionalFormatting sqref="FX29 GA29 GC29">
    <cfRule type="colorScale" priority="400">
      <colorScale>
        <cfvo type="num" val="0"/>
        <cfvo type="num" val="0.5"/>
        <cfvo type="num" val="1"/>
        <color rgb="FF92D050"/>
        <color rgb="FFFFA709"/>
        <color rgb="FFFF0000"/>
      </colorScale>
    </cfRule>
  </conditionalFormatting>
  <conditionalFormatting sqref="FY29">
    <cfRule type="colorScale" priority="399">
      <colorScale>
        <cfvo type="num" val="0"/>
        <cfvo type="num" val="0.5"/>
        <cfvo type="num" val="1"/>
        <color rgb="FF92D050"/>
        <color rgb="FFFFA709"/>
        <color rgb="FFFF0000"/>
      </colorScale>
    </cfRule>
  </conditionalFormatting>
  <conditionalFormatting sqref="FZ29">
    <cfRule type="colorScale" priority="398">
      <colorScale>
        <cfvo type="num" val="0"/>
        <cfvo type="num" val="0.5"/>
        <cfvo type="num" val="1"/>
        <color rgb="FF92D050"/>
        <color rgb="FFFFA709"/>
        <color rgb="FFFF0000"/>
      </colorScale>
    </cfRule>
  </conditionalFormatting>
  <conditionalFormatting sqref="GB29">
    <cfRule type="colorScale" priority="397">
      <colorScale>
        <cfvo type="num" val="0"/>
        <cfvo type="num" val="0.5"/>
        <cfvo type="num" val="1"/>
        <color rgb="FF92D050"/>
        <color rgb="FFFFA709"/>
        <color rgb="FFFF0000"/>
      </colorScale>
    </cfRule>
  </conditionalFormatting>
  <conditionalFormatting sqref="FX32 GA32 GC32">
    <cfRule type="colorScale" priority="396">
      <colorScale>
        <cfvo type="num" val="0"/>
        <cfvo type="num" val="0.5"/>
        <cfvo type="num" val="1"/>
        <color rgb="FF92D050"/>
        <color rgb="FFFFA709"/>
        <color rgb="FFFF0000"/>
      </colorScale>
    </cfRule>
  </conditionalFormatting>
  <conditionalFormatting sqref="FY32">
    <cfRule type="colorScale" priority="395">
      <colorScale>
        <cfvo type="num" val="0"/>
        <cfvo type="num" val="0.5"/>
        <cfvo type="num" val="1"/>
        <color rgb="FF92D050"/>
        <color rgb="FFFFA709"/>
        <color rgb="FFFF0000"/>
      </colorScale>
    </cfRule>
  </conditionalFormatting>
  <conditionalFormatting sqref="FZ32">
    <cfRule type="colorScale" priority="394">
      <colorScale>
        <cfvo type="num" val="0"/>
        <cfvo type="num" val="0.5"/>
        <cfvo type="num" val="1"/>
        <color rgb="FF92D050"/>
        <color rgb="FFFFA709"/>
        <color rgb="FFFF0000"/>
      </colorScale>
    </cfRule>
  </conditionalFormatting>
  <conditionalFormatting sqref="GB32">
    <cfRule type="colorScale" priority="393">
      <colorScale>
        <cfvo type="num" val="0"/>
        <cfvo type="num" val="0.5"/>
        <cfvo type="num" val="1"/>
        <color rgb="FF92D050"/>
        <color rgb="FFFFA709"/>
        <color rgb="FFFF0000"/>
      </colorScale>
    </cfRule>
  </conditionalFormatting>
  <conditionalFormatting sqref="FX35 GA35 GC35">
    <cfRule type="colorScale" priority="392">
      <colorScale>
        <cfvo type="num" val="0"/>
        <cfvo type="num" val="0.5"/>
        <cfvo type="num" val="1"/>
        <color rgb="FF92D050"/>
        <color rgb="FFFFA709"/>
        <color rgb="FFFF0000"/>
      </colorScale>
    </cfRule>
  </conditionalFormatting>
  <conditionalFormatting sqref="FY35">
    <cfRule type="colorScale" priority="391">
      <colorScale>
        <cfvo type="num" val="0"/>
        <cfvo type="num" val="0.5"/>
        <cfvo type="num" val="1"/>
        <color rgb="FF92D050"/>
        <color rgb="FFFFA709"/>
        <color rgb="FFFF0000"/>
      </colorScale>
    </cfRule>
  </conditionalFormatting>
  <conditionalFormatting sqref="FZ35">
    <cfRule type="colorScale" priority="390">
      <colorScale>
        <cfvo type="num" val="0"/>
        <cfvo type="num" val="0.5"/>
        <cfvo type="num" val="1"/>
        <color rgb="FF92D050"/>
        <color rgb="FFFFA709"/>
        <color rgb="FFFF0000"/>
      </colorScale>
    </cfRule>
  </conditionalFormatting>
  <conditionalFormatting sqref="GB35">
    <cfRule type="colorScale" priority="389">
      <colorScale>
        <cfvo type="num" val="0"/>
        <cfvo type="num" val="0.5"/>
        <cfvo type="num" val="1"/>
        <color rgb="FF92D050"/>
        <color rgb="FFFFA709"/>
        <color rgb="FFFF0000"/>
      </colorScale>
    </cfRule>
  </conditionalFormatting>
  <conditionalFormatting sqref="FX38 GA38 GC38">
    <cfRule type="colorScale" priority="388">
      <colorScale>
        <cfvo type="num" val="0"/>
        <cfvo type="num" val="0.5"/>
        <cfvo type="num" val="1"/>
        <color rgb="FF92D050"/>
        <color rgb="FFFFA709"/>
        <color rgb="FFFF0000"/>
      </colorScale>
    </cfRule>
  </conditionalFormatting>
  <conditionalFormatting sqref="FY38">
    <cfRule type="colorScale" priority="387">
      <colorScale>
        <cfvo type="num" val="0"/>
        <cfvo type="num" val="0.5"/>
        <cfvo type="num" val="1"/>
        <color rgb="FF92D050"/>
        <color rgb="FFFFA709"/>
        <color rgb="FFFF0000"/>
      </colorScale>
    </cfRule>
  </conditionalFormatting>
  <conditionalFormatting sqref="FZ38">
    <cfRule type="colorScale" priority="386">
      <colorScale>
        <cfvo type="num" val="0"/>
        <cfvo type="num" val="0.5"/>
        <cfvo type="num" val="1"/>
        <color rgb="FF92D050"/>
        <color rgb="FFFFA709"/>
        <color rgb="FFFF0000"/>
      </colorScale>
    </cfRule>
  </conditionalFormatting>
  <conditionalFormatting sqref="GB38">
    <cfRule type="colorScale" priority="385">
      <colorScale>
        <cfvo type="num" val="0"/>
        <cfvo type="num" val="0.5"/>
        <cfvo type="num" val="1"/>
        <color rgb="FF92D050"/>
        <color rgb="FFFFA709"/>
        <color rgb="FFFF0000"/>
      </colorScale>
    </cfRule>
  </conditionalFormatting>
  <conditionalFormatting sqref="GD4 GG4 GI4">
    <cfRule type="colorScale" priority="384">
      <colorScale>
        <cfvo type="num" val="0"/>
        <cfvo type="num" val="0.5"/>
        <cfvo type="num" val="1"/>
        <color rgb="FF92D050"/>
        <color rgb="FFFFA709"/>
        <color rgb="FFFF0000"/>
      </colorScale>
    </cfRule>
  </conditionalFormatting>
  <conditionalFormatting sqref="GE4">
    <cfRule type="colorScale" priority="383">
      <colorScale>
        <cfvo type="num" val="0"/>
        <cfvo type="num" val="0.5"/>
        <cfvo type="num" val="1"/>
        <color rgb="FF92D050"/>
        <color rgb="FFFFA709"/>
        <color rgb="FFFF0000"/>
      </colorScale>
    </cfRule>
  </conditionalFormatting>
  <conditionalFormatting sqref="GF4">
    <cfRule type="colorScale" priority="382">
      <colorScale>
        <cfvo type="num" val="0"/>
        <cfvo type="num" val="0.5"/>
        <cfvo type="num" val="1"/>
        <color rgb="FF92D050"/>
        <color rgb="FFFFA709"/>
        <color rgb="FFFF0000"/>
      </colorScale>
    </cfRule>
  </conditionalFormatting>
  <conditionalFormatting sqref="GH4">
    <cfRule type="colorScale" priority="381">
      <colorScale>
        <cfvo type="num" val="0"/>
        <cfvo type="num" val="0.5"/>
        <cfvo type="num" val="1"/>
        <color rgb="FF92D050"/>
        <color rgb="FFFFA709"/>
        <color rgb="FFFF0000"/>
      </colorScale>
    </cfRule>
  </conditionalFormatting>
  <conditionalFormatting sqref="GD7 GG7 GI7">
    <cfRule type="colorScale" priority="380">
      <colorScale>
        <cfvo type="num" val="0"/>
        <cfvo type="num" val="0.5"/>
        <cfvo type="num" val="1"/>
        <color rgb="FF92D050"/>
        <color rgb="FFFFA709"/>
        <color rgb="FFFF0000"/>
      </colorScale>
    </cfRule>
  </conditionalFormatting>
  <conditionalFormatting sqref="GE7">
    <cfRule type="colorScale" priority="379">
      <colorScale>
        <cfvo type="num" val="0"/>
        <cfvo type="num" val="0.5"/>
        <cfvo type="num" val="1"/>
        <color rgb="FF92D050"/>
        <color rgb="FFFFA709"/>
        <color rgb="FFFF0000"/>
      </colorScale>
    </cfRule>
  </conditionalFormatting>
  <conditionalFormatting sqref="GF7">
    <cfRule type="colorScale" priority="378">
      <colorScale>
        <cfvo type="num" val="0"/>
        <cfvo type="num" val="0.5"/>
        <cfvo type="num" val="1"/>
        <color rgb="FF92D050"/>
        <color rgb="FFFFA709"/>
        <color rgb="FFFF0000"/>
      </colorScale>
    </cfRule>
  </conditionalFormatting>
  <conditionalFormatting sqref="GH7">
    <cfRule type="colorScale" priority="377">
      <colorScale>
        <cfvo type="num" val="0"/>
        <cfvo type="num" val="0.5"/>
        <cfvo type="num" val="1"/>
        <color rgb="FF92D050"/>
        <color rgb="FFFFA709"/>
        <color rgb="FFFF0000"/>
      </colorScale>
    </cfRule>
  </conditionalFormatting>
  <conditionalFormatting sqref="GD10 GG10 GI10">
    <cfRule type="colorScale" priority="376">
      <colorScale>
        <cfvo type="num" val="0"/>
        <cfvo type="num" val="0.5"/>
        <cfvo type="num" val="1"/>
        <color rgb="FF92D050"/>
        <color rgb="FFFFA709"/>
        <color rgb="FFFF0000"/>
      </colorScale>
    </cfRule>
  </conditionalFormatting>
  <conditionalFormatting sqref="GE10">
    <cfRule type="colorScale" priority="375">
      <colorScale>
        <cfvo type="num" val="0"/>
        <cfvo type="num" val="0.5"/>
        <cfvo type="num" val="1"/>
        <color rgb="FF92D050"/>
        <color rgb="FFFFA709"/>
        <color rgb="FFFF0000"/>
      </colorScale>
    </cfRule>
  </conditionalFormatting>
  <conditionalFormatting sqref="GF10">
    <cfRule type="colorScale" priority="374">
      <colorScale>
        <cfvo type="num" val="0"/>
        <cfvo type="num" val="0.5"/>
        <cfvo type="num" val="1"/>
        <color rgb="FF92D050"/>
        <color rgb="FFFFA709"/>
        <color rgb="FFFF0000"/>
      </colorScale>
    </cfRule>
  </conditionalFormatting>
  <conditionalFormatting sqref="GH10">
    <cfRule type="colorScale" priority="373">
      <colorScale>
        <cfvo type="num" val="0"/>
        <cfvo type="num" val="0.5"/>
        <cfvo type="num" val="1"/>
        <color rgb="FF92D050"/>
        <color rgb="FFFFA709"/>
        <color rgb="FFFF0000"/>
      </colorScale>
    </cfRule>
  </conditionalFormatting>
  <conditionalFormatting sqref="GD16 GG16 GI16">
    <cfRule type="colorScale" priority="372">
      <colorScale>
        <cfvo type="num" val="0"/>
        <cfvo type="num" val="0.5"/>
        <cfvo type="num" val="1"/>
        <color rgb="FF92D050"/>
        <color rgb="FFFFA709"/>
        <color rgb="FFFF0000"/>
      </colorScale>
    </cfRule>
  </conditionalFormatting>
  <conditionalFormatting sqref="GE16">
    <cfRule type="colorScale" priority="371">
      <colorScale>
        <cfvo type="num" val="0"/>
        <cfvo type="num" val="0.5"/>
        <cfvo type="num" val="1"/>
        <color rgb="FF92D050"/>
        <color rgb="FFFFA709"/>
        <color rgb="FFFF0000"/>
      </colorScale>
    </cfRule>
  </conditionalFormatting>
  <conditionalFormatting sqref="GF16">
    <cfRule type="colorScale" priority="370">
      <colorScale>
        <cfvo type="num" val="0"/>
        <cfvo type="num" val="0.5"/>
        <cfvo type="num" val="1"/>
        <color rgb="FF92D050"/>
        <color rgb="FFFFA709"/>
        <color rgb="FFFF0000"/>
      </colorScale>
    </cfRule>
  </conditionalFormatting>
  <conditionalFormatting sqref="GH16">
    <cfRule type="colorScale" priority="369">
      <colorScale>
        <cfvo type="num" val="0"/>
        <cfvo type="num" val="0.5"/>
        <cfvo type="num" val="1"/>
        <color rgb="FF92D050"/>
        <color rgb="FFFFA709"/>
        <color rgb="FFFF0000"/>
      </colorScale>
    </cfRule>
  </conditionalFormatting>
  <conditionalFormatting sqref="GD19 GG19 GI19">
    <cfRule type="colorScale" priority="368">
      <colorScale>
        <cfvo type="num" val="0"/>
        <cfvo type="num" val="0.5"/>
        <cfvo type="num" val="1"/>
        <color rgb="FF92D050"/>
        <color rgb="FFFFA709"/>
        <color rgb="FFFF0000"/>
      </colorScale>
    </cfRule>
  </conditionalFormatting>
  <conditionalFormatting sqref="GE19">
    <cfRule type="colorScale" priority="367">
      <colorScale>
        <cfvo type="num" val="0"/>
        <cfvo type="num" val="0.5"/>
        <cfvo type="num" val="1"/>
        <color rgb="FF92D050"/>
        <color rgb="FFFFA709"/>
        <color rgb="FFFF0000"/>
      </colorScale>
    </cfRule>
  </conditionalFormatting>
  <conditionalFormatting sqref="GF19">
    <cfRule type="colorScale" priority="366">
      <colorScale>
        <cfvo type="num" val="0"/>
        <cfvo type="num" val="0.5"/>
        <cfvo type="num" val="1"/>
        <color rgb="FF92D050"/>
        <color rgb="FFFFA709"/>
        <color rgb="FFFF0000"/>
      </colorScale>
    </cfRule>
  </conditionalFormatting>
  <conditionalFormatting sqref="GH19">
    <cfRule type="colorScale" priority="365">
      <colorScale>
        <cfvo type="num" val="0"/>
        <cfvo type="num" val="0.5"/>
        <cfvo type="num" val="1"/>
        <color rgb="FF92D050"/>
        <color rgb="FFFFA709"/>
        <color rgb="FFFF0000"/>
      </colorScale>
    </cfRule>
  </conditionalFormatting>
  <conditionalFormatting sqref="GD22">
    <cfRule type="colorScale" priority="364">
      <colorScale>
        <cfvo type="num" val="0"/>
        <cfvo type="num" val="0.5"/>
        <cfvo type="num" val="1"/>
        <color rgb="FF92D050"/>
        <color rgb="FFFFA709"/>
        <color rgb="FFFF0000"/>
      </colorScale>
    </cfRule>
  </conditionalFormatting>
  <conditionalFormatting sqref="GE22">
    <cfRule type="colorScale" priority="363">
      <colorScale>
        <cfvo type="num" val="0"/>
        <cfvo type="num" val="0.5"/>
        <cfvo type="num" val="1"/>
        <color rgb="FF92D050"/>
        <color rgb="FFFFA709"/>
        <color rgb="FFFF0000"/>
      </colorScale>
    </cfRule>
  </conditionalFormatting>
  <conditionalFormatting sqref="GF22">
    <cfRule type="colorScale" priority="362">
      <colorScale>
        <cfvo type="num" val="0"/>
        <cfvo type="num" val="0.5"/>
        <cfvo type="num" val="1"/>
        <color rgb="FF92D050"/>
        <color rgb="FFFFA709"/>
        <color rgb="FFFF0000"/>
      </colorScale>
    </cfRule>
  </conditionalFormatting>
  <conditionalFormatting sqref="GG22">
    <cfRule type="colorScale" priority="361">
      <colorScale>
        <cfvo type="num" val="0"/>
        <cfvo type="num" val="0.5"/>
        <cfvo type="num" val="1"/>
        <color rgb="FF92D050"/>
        <color rgb="FFFFA709"/>
        <color rgb="FFFF0000"/>
      </colorScale>
    </cfRule>
  </conditionalFormatting>
  <conditionalFormatting sqref="GH22">
    <cfRule type="colorScale" priority="360">
      <colorScale>
        <cfvo type="num" val="0"/>
        <cfvo type="num" val="0.5"/>
        <cfvo type="num" val="1"/>
        <color rgb="FF92D050"/>
        <color rgb="FFFFA709"/>
        <color rgb="FFFF0000"/>
      </colorScale>
    </cfRule>
  </conditionalFormatting>
  <conditionalFormatting sqref="GI22">
    <cfRule type="colorScale" priority="359">
      <colorScale>
        <cfvo type="num" val="0"/>
        <cfvo type="num" val="0.5"/>
        <cfvo type="num" val="1"/>
        <color rgb="FF92D050"/>
        <color rgb="FFFFA709"/>
        <color rgb="FFFF0000"/>
      </colorScale>
    </cfRule>
  </conditionalFormatting>
  <conditionalFormatting sqref="GD1:GH1">
    <cfRule type="timePeriod" dxfId="26" priority="358" timePeriod="today">
      <formula>FLOOR(GD1,1)=TODAY()</formula>
    </cfRule>
  </conditionalFormatting>
  <conditionalFormatting sqref="GD26 GG26 GI26">
    <cfRule type="colorScale" priority="357">
      <colorScale>
        <cfvo type="num" val="0"/>
        <cfvo type="num" val="0.5"/>
        <cfvo type="num" val="1"/>
        <color rgb="FF92D050"/>
        <color rgb="FFFFA709"/>
        <color rgb="FFFF0000"/>
      </colorScale>
    </cfRule>
  </conditionalFormatting>
  <conditionalFormatting sqref="GE26">
    <cfRule type="colorScale" priority="356">
      <colorScale>
        <cfvo type="num" val="0"/>
        <cfvo type="num" val="0.5"/>
        <cfvo type="num" val="1"/>
        <color rgb="FF92D050"/>
        <color rgb="FFFFA709"/>
        <color rgb="FFFF0000"/>
      </colorScale>
    </cfRule>
  </conditionalFormatting>
  <conditionalFormatting sqref="GF26">
    <cfRule type="colorScale" priority="355">
      <colorScale>
        <cfvo type="num" val="0"/>
        <cfvo type="num" val="0.5"/>
        <cfvo type="num" val="1"/>
        <color rgb="FF92D050"/>
        <color rgb="FFFFA709"/>
        <color rgb="FFFF0000"/>
      </colorScale>
    </cfRule>
  </conditionalFormatting>
  <conditionalFormatting sqref="GH26">
    <cfRule type="colorScale" priority="354">
      <colorScale>
        <cfvo type="num" val="0"/>
        <cfvo type="num" val="0.5"/>
        <cfvo type="num" val="1"/>
        <color rgb="FF92D050"/>
        <color rgb="FFFFA709"/>
        <color rgb="FFFF0000"/>
      </colorScale>
    </cfRule>
  </conditionalFormatting>
  <conditionalFormatting sqref="GD29 GG29 GI29">
    <cfRule type="colorScale" priority="349">
      <colorScale>
        <cfvo type="num" val="0"/>
        <cfvo type="num" val="0.5"/>
        <cfvo type="num" val="1"/>
        <color rgb="FF92D050"/>
        <color rgb="FFFFA709"/>
        <color rgb="FFFF0000"/>
      </colorScale>
    </cfRule>
  </conditionalFormatting>
  <conditionalFormatting sqref="GE29">
    <cfRule type="colorScale" priority="348">
      <colorScale>
        <cfvo type="num" val="0"/>
        <cfvo type="num" val="0.5"/>
        <cfvo type="num" val="1"/>
        <color rgb="FF92D050"/>
        <color rgb="FFFFA709"/>
        <color rgb="FFFF0000"/>
      </colorScale>
    </cfRule>
  </conditionalFormatting>
  <conditionalFormatting sqref="GF29">
    <cfRule type="colorScale" priority="347">
      <colorScale>
        <cfvo type="num" val="0"/>
        <cfvo type="num" val="0.5"/>
        <cfvo type="num" val="1"/>
        <color rgb="FF92D050"/>
        <color rgb="FFFFA709"/>
        <color rgb="FFFF0000"/>
      </colorScale>
    </cfRule>
  </conditionalFormatting>
  <conditionalFormatting sqref="GH29">
    <cfRule type="colorScale" priority="346">
      <colorScale>
        <cfvo type="num" val="0"/>
        <cfvo type="num" val="0.5"/>
        <cfvo type="num" val="1"/>
        <color rgb="FF92D050"/>
        <color rgb="FFFFA709"/>
        <color rgb="FFFF0000"/>
      </colorScale>
    </cfRule>
  </conditionalFormatting>
  <conditionalFormatting sqref="GD32 GG32 GI32">
    <cfRule type="colorScale" priority="345">
      <colorScale>
        <cfvo type="num" val="0"/>
        <cfvo type="num" val="0.5"/>
        <cfvo type="num" val="1"/>
        <color rgb="FF92D050"/>
        <color rgb="FFFFA709"/>
        <color rgb="FFFF0000"/>
      </colorScale>
    </cfRule>
  </conditionalFormatting>
  <conditionalFormatting sqref="GE32">
    <cfRule type="colorScale" priority="344">
      <colorScale>
        <cfvo type="num" val="0"/>
        <cfvo type="num" val="0.5"/>
        <cfvo type="num" val="1"/>
        <color rgb="FF92D050"/>
        <color rgb="FFFFA709"/>
        <color rgb="FFFF0000"/>
      </colorScale>
    </cfRule>
  </conditionalFormatting>
  <conditionalFormatting sqref="GF32">
    <cfRule type="colorScale" priority="343">
      <colorScale>
        <cfvo type="num" val="0"/>
        <cfvo type="num" val="0.5"/>
        <cfvo type="num" val="1"/>
        <color rgb="FF92D050"/>
        <color rgb="FFFFA709"/>
        <color rgb="FFFF0000"/>
      </colorScale>
    </cfRule>
  </conditionalFormatting>
  <conditionalFormatting sqref="GH32">
    <cfRule type="colorScale" priority="342">
      <colorScale>
        <cfvo type="num" val="0"/>
        <cfvo type="num" val="0.5"/>
        <cfvo type="num" val="1"/>
        <color rgb="FF92D050"/>
        <color rgb="FFFFA709"/>
        <color rgb="FFFF0000"/>
      </colorScale>
    </cfRule>
  </conditionalFormatting>
  <conditionalFormatting sqref="GD35 GG35 GI35">
    <cfRule type="colorScale" priority="341">
      <colorScale>
        <cfvo type="num" val="0"/>
        <cfvo type="num" val="0.5"/>
        <cfvo type="num" val="1"/>
        <color rgb="FF92D050"/>
        <color rgb="FFFFA709"/>
        <color rgb="FFFF0000"/>
      </colorScale>
    </cfRule>
  </conditionalFormatting>
  <conditionalFormatting sqref="GE35">
    <cfRule type="colorScale" priority="340">
      <colorScale>
        <cfvo type="num" val="0"/>
        <cfvo type="num" val="0.5"/>
        <cfvo type="num" val="1"/>
        <color rgb="FF92D050"/>
        <color rgb="FFFFA709"/>
        <color rgb="FFFF0000"/>
      </colorScale>
    </cfRule>
  </conditionalFormatting>
  <conditionalFormatting sqref="GF35">
    <cfRule type="colorScale" priority="339">
      <colorScale>
        <cfvo type="num" val="0"/>
        <cfvo type="num" val="0.5"/>
        <cfvo type="num" val="1"/>
        <color rgb="FF92D050"/>
        <color rgb="FFFFA709"/>
        <color rgb="FFFF0000"/>
      </colorScale>
    </cfRule>
  </conditionalFormatting>
  <conditionalFormatting sqref="GH35">
    <cfRule type="colorScale" priority="338">
      <colorScale>
        <cfvo type="num" val="0"/>
        <cfvo type="num" val="0.5"/>
        <cfvo type="num" val="1"/>
        <color rgb="FF92D050"/>
        <color rgb="FFFFA709"/>
        <color rgb="FFFF0000"/>
      </colorScale>
    </cfRule>
  </conditionalFormatting>
  <conditionalFormatting sqref="GD38 GG38 GI38">
    <cfRule type="colorScale" priority="337">
      <colorScale>
        <cfvo type="num" val="0"/>
        <cfvo type="num" val="0.5"/>
        <cfvo type="num" val="1"/>
        <color rgb="FF92D050"/>
        <color rgb="FFFFA709"/>
        <color rgb="FFFF0000"/>
      </colorScale>
    </cfRule>
  </conditionalFormatting>
  <conditionalFormatting sqref="GE38">
    <cfRule type="colorScale" priority="336">
      <colorScale>
        <cfvo type="num" val="0"/>
        <cfvo type="num" val="0.5"/>
        <cfvo type="num" val="1"/>
        <color rgb="FF92D050"/>
        <color rgb="FFFFA709"/>
        <color rgb="FFFF0000"/>
      </colorScale>
    </cfRule>
  </conditionalFormatting>
  <conditionalFormatting sqref="GF38">
    <cfRule type="colorScale" priority="335">
      <colorScale>
        <cfvo type="num" val="0"/>
        <cfvo type="num" val="0.5"/>
        <cfvo type="num" val="1"/>
        <color rgb="FF92D050"/>
        <color rgb="FFFFA709"/>
        <color rgb="FFFF0000"/>
      </colorScale>
    </cfRule>
  </conditionalFormatting>
  <conditionalFormatting sqref="GH38">
    <cfRule type="colorScale" priority="334">
      <colorScale>
        <cfvo type="num" val="0"/>
        <cfvo type="num" val="0.5"/>
        <cfvo type="num" val="1"/>
        <color rgb="FF92D050"/>
        <color rgb="FFFFA709"/>
        <color rgb="FFFF0000"/>
      </colorScale>
    </cfRule>
  </conditionalFormatting>
  <conditionalFormatting sqref="GM4 GJ4 GO4">
    <cfRule type="colorScale" priority="333">
      <colorScale>
        <cfvo type="num" val="0"/>
        <cfvo type="num" val="0.5"/>
        <cfvo type="num" val="1"/>
        <color rgb="FF92D050"/>
        <color rgb="FFFFA709"/>
        <color rgb="FFFF0000"/>
      </colorScale>
    </cfRule>
  </conditionalFormatting>
  <conditionalFormatting sqref="GK4">
    <cfRule type="colorScale" priority="332">
      <colorScale>
        <cfvo type="num" val="0"/>
        <cfvo type="num" val="0.5"/>
        <cfvo type="num" val="1"/>
        <color rgb="FF92D050"/>
        <color rgb="FFFFA709"/>
        <color rgb="FFFF0000"/>
      </colorScale>
    </cfRule>
  </conditionalFormatting>
  <conditionalFormatting sqref="GL4">
    <cfRule type="colorScale" priority="331">
      <colorScale>
        <cfvo type="num" val="0"/>
        <cfvo type="num" val="0.5"/>
        <cfvo type="num" val="1"/>
        <color rgb="FF92D050"/>
        <color rgb="FFFFA709"/>
        <color rgb="FFFF0000"/>
      </colorScale>
    </cfRule>
  </conditionalFormatting>
  <conditionalFormatting sqref="GN4">
    <cfRule type="colorScale" priority="330">
      <colorScale>
        <cfvo type="num" val="0"/>
        <cfvo type="num" val="0.5"/>
        <cfvo type="num" val="1"/>
        <color rgb="FF92D050"/>
        <color rgb="FFFFA709"/>
        <color rgb="FFFF0000"/>
      </colorScale>
    </cfRule>
  </conditionalFormatting>
  <conditionalFormatting sqref="GM7 GJ7 GO7">
    <cfRule type="colorScale" priority="329">
      <colorScale>
        <cfvo type="num" val="0"/>
        <cfvo type="num" val="0.5"/>
        <cfvo type="num" val="1"/>
        <color rgb="FF92D050"/>
        <color rgb="FFFFA709"/>
        <color rgb="FFFF0000"/>
      </colorScale>
    </cfRule>
  </conditionalFormatting>
  <conditionalFormatting sqref="GK7">
    <cfRule type="colorScale" priority="328">
      <colorScale>
        <cfvo type="num" val="0"/>
        <cfvo type="num" val="0.5"/>
        <cfvo type="num" val="1"/>
        <color rgb="FF92D050"/>
        <color rgb="FFFFA709"/>
        <color rgb="FFFF0000"/>
      </colorScale>
    </cfRule>
  </conditionalFormatting>
  <conditionalFormatting sqref="GL7">
    <cfRule type="colorScale" priority="327">
      <colorScale>
        <cfvo type="num" val="0"/>
        <cfvo type="num" val="0.5"/>
        <cfvo type="num" val="1"/>
        <color rgb="FF92D050"/>
        <color rgb="FFFFA709"/>
        <color rgb="FFFF0000"/>
      </colorScale>
    </cfRule>
  </conditionalFormatting>
  <conditionalFormatting sqref="GN7">
    <cfRule type="colorScale" priority="326">
      <colorScale>
        <cfvo type="num" val="0"/>
        <cfvo type="num" val="0.5"/>
        <cfvo type="num" val="1"/>
        <color rgb="FF92D050"/>
        <color rgb="FFFFA709"/>
        <color rgb="FFFF0000"/>
      </colorScale>
    </cfRule>
  </conditionalFormatting>
  <conditionalFormatting sqref="GJ10 GM10 GO10">
    <cfRule type="colorScale" priority="325">
      <colorScale>
        <cfvo type="num" val="0"/>
        <cfvo type="num" val="0.5"/>
        <cfvo type="num" val="1"/>
        <color rgb="FF92D050"/>
        <color rgb="FFFFA709"/>
        <color rgb="FFFF0000"/>
      </colorScale>
    </cfRule>
  </conditionalFormatting>
  <conditionalFormatting sqref="GK10">
    <cfRule type="colorScale" priority="324">
      <colorScale>
        <cfvo type="num" val="0"/>
        <cfvo type="num" val="0.5"/>
        <cfvo type="num" val="1"/>
        <color rgb="FF92D050"/>
        <color rgb="FFFFA709"/>
        <color rgb="FFFF0000"/>
      </colorScale>
    </cfRule>
  </conditionalFormatting>
  <conditionalFormatting sqref="GL10">
    <cfRule type="colorScale" priority="323">
      <colorScale>
        <cfvo type="num" val="0"/>
        <cfvo type="num" val="0.5"/>
        <cfvo type="num" val="1"/>
        <color rgb="FF92D050"/>
        <color rgb="FFFFA709"/>
        <color rgb="FFFF0000"/>
      </colorScale>
    </cfRule>
  </conditionalFormatting>
  <conditionalFormatting sqref="GN10">
    <cfRule type="colorScale" priority="322">
      <colorScale>
        <cfvo type="num" val="0"/>
        <cfvo type="num" val="0.5"/>
        <cfvo type="num" val="1"/>
        <color rgb="FF92D050"/>
        <color rgb="FFFFA709"/>
        <color rgb="FFFF0000"/>
      </colorScale>
    </cfRule>
  </conditionalFormatting>
  <conditionalFormatting sqref="GJ16 GM16 GO16">
    <cfRule type="colorScale" priority="321">
      <colorScale>
        <cfvo type="num" val="0"/>
        <cfvo type="num" val="0.5"/>
        <cfvo type="num" val="1"/>
        <color rgb="FF92D050"/>
        <color rgb="FFFFA709"/>
        <color rgb="FFFF0000"/>
      </colorScale>
    </cfRule>
  </conditionalFormatting>
  <conditionalFormatting sqref="GK16">
    <cfRule type="colorScale" priority="320">
      <colorScale>
        <cfvo type="num" val="0"/>
        <cfvo type="num" val="0.5"/>
        <cfvo type="num" val="1"/>
        <color rgb="FF92D050"/>
        <color rgb="FFFFA709"/>
        <color rgb="FFFF0000"/>
      </colorScale>
    </cfRule>
  </conditionalFormatting>
  <conditionalFormatting sqref="GL16">
    <cfRule type="colorScale" priority="319">
      <colorScale>
        <cfvo type="num" val="0"/>
        <cfvo type="num" val="0.5"/>
        <cfvo type="num" val="1"/>
        <color rgb="FF92D050"/>
        <color rgb="FFFFA709"/>
        <color rgb="FFFF0000"/>
      </colorScale>
    </cfRule>
  </conditionalFormatting>
  <conditionalFormatting sqref="GN16">
    <cfRule type="colorScale" priority="318">
      <colorScale>
        <cfvo type="num" val="0"/>
        <cfvo type="num" val="0.5"/>
        <cfvo type="num" val="1"/>
        <color rgb="FF92D050"/>
        <color rgb="FFFFA709"/>
        <color rgb="FFFF0000"/>
      </colorScale>
    </cfRule>
  </conditionalFormatting>
  <conditionalFormatting sqref="GJ19 GM19 GO19">
    <cfRule type="colorScale" priority="317">
      <colorScale>
        <cfvo type="num" val="0"/>
        <cfvo type="num" val="0.5"/>
        <cfvo type="num" val="1"/>
        <color rgb="FF92D050"/>
        <color rgb="FFFFA709"/>
        <color rgb="FFFF0000"/>
      </colorScale>
    </cfRule>
  </conditionalFormatting>
  <conditionalFormatting sqref="GK19">
    <cfRule type="colorScale" priority="316">
      <colorScale>
        <cfvo type="num" val="0"/>
        <cfvo type="num" val="0.5"/>
        <cfvo type="num" val="1"/>
        <color rgb="FF92D050"/>
        <color rgb="FFFFA709"/>
        <color rgb="FFFF0000"/>
      </colorScale>
    </cfRule>
  </conditionalFormatting>
  <conditionalFormatting sqref="GL19">
    <cfRule type="colorScale" priority="315">
      <colorScale>
        <cfvo type="num" val="0"/>
        <cfvo type="num" val="0.5"/>
        <cfvo type="num" val="1"/>
        <color rgb="FF92D050"/>
        <color rgb="FFFFA709"/>
        <color rgb="FFFF0000"/>
      </colorScale>
    </cfRule>
  </conditionalFormatting>
  <conditionalFormatting sqref="GN19">
    <cfRule type="colorScale" priority="314">
      <colorScale>
        <cfvo type="num" val="0"/>
        <cfvo type="num" val="0.5"/>
        <cfvo type="num" val="1"/>
        <color rgb="FF92D050"/>
        <color rgb="FFFFA709"/>
        <color rgb="FFFF0000"/>
      </colorScale>
    </cfRule>
  </conditionalFormatting>
  <conditionalFormatting sqref="GJ22">
    <cfRule type="colorScale" priority="313">
      <colorScale>
        <cfvo type="num" val="0"/>
        <cfvo type="num" val="0.5"/>
        <cfvo type="num" val="1"/>
        <color rgb="FF92D050"/>
        <color rgb="FFFFA709"/>
        <color rgb="FFFF0000"/>
      </colorScale>
    </cfRule>
  </conditionalFormatting>
  <conditionalFormatting sqref="GK22">
    <cfRule type="colorScale" priority="312">
      <colorScale>
        <cfvo type="num" val="0"/>
        <cfvo type="num" val="0.5"/>
        <cfvo type="num" val="1"/>
        <color rgb="FF92D050"/>
        <color rgb="FFFFA709"/>
        <color rgb="FFFF0000"/>
      </colorScale>
    </cfRule>
  </conditionalFormatting>
  <conditionalFormatting sqref="GL22">
    <cfRule type="colorScale" priority="311">
      <colorScale>
        <cfvo type="num" val="0"/>
        <cfvo type="num" val="0.5"/>
        <cfvo type="num" val="1"/>
        <color rgb="FF92D050"/>
        <color rgb="FFFFA709"/>
        <color rgb="FFFF0000"/>
      </colorScale>
    </cfRule>
  </conditionalFormatting>
  <conditionalFormatting sqref="GM22">
    <cfRule type="colorScale" priority="310">
      <colorScale>
        <cfvo type="num" val="0"/>
        <cfvo type="num" val="0.5"/>
        <cfvo type="num" val="1"/>
        <color rgb="FF92D050"/>
        <color rgb="FFFFA709"/>
        <color rgb="FFFF0000"/>
      </colorScale>
    </cfRule>
  </conditionalFormatting>
  <conditionalFormatting sqref="GN22">
    <cfRule type="colorScale" priority="309">
      <colorScale>
        <cfvo type="num" val="0"/>
        <cfvo type="num" val="0.5"/>
        <cfvo type="num" val="1"/>
        <color rgb="FF92D050"/>
        <color rgb="FFFFA709"/>
        <color rgb="FFFF0000"/>
      </colorScale>
    </cfRule>
  </conditionalFormatting>
  <conditionalFormatting sqref="GO22">
    <cfRule type="colorScale" priority="308">
      <colorScale>
        <cfvo type="num" val="0"/>
        <cfvo type="num" val="0.5"/>
        <cfvo type="num" val="1"/>
        <color rgb="FF92D050"/>
        <color rgb="FFFFA709"/>
        <color rgb="FFFF0000"/>
      </colorScale>
    </cfRule>
  </conditionalFormatting>
  <conditionalFormatting sqref="GJ1:GN1">
    <cfRule type="timePeriod" dxfId="25" priority="307" timePeriod="today">
      <formula>FLOOR(GJ1,1)=TODAY()</formula>
    </cfRule>
  </conditionalFormatting>
  <conditionalFormatting sqref="GM26 GJ26 GO26">
    <cfRule type="colorScale" priority="306">
      <colorScale>
        <cfvo type="num" val="0"/>
        <cfvo type="num" val="0.5"/>
        <cfvo type="num" val="1"/>
        <color rgb="FF92D050"/>
        <color rgb="FFFFA709"/>
        <color rgb="FFFF0000"/>
      </colorScale>
    </cfRule>
  </conditionalFormatting>
  <conditionalFormatting sqref="GK26">
    <cfRule type="colorScale" priority="305">
      <colorScale>
        <cfvo type="num" val="0"/>
        <cfvo type="num" val="0.5"/>
        <cfvo type="num" val="1"/>
        <color rgb="FF92D050"/>
        <color rgb="FFFFA709"/>
        <color rgb="FFFF0000"/>
      </colorScale>
    </cfRule>
  </conditionalFormatting>
  <conditionalFormatting sqref="GL26">
    <cfRule type="colorScale" priority="304">
      <colorScale>
        <cfvo type="num" val="0"/>
        <cfvo type="num" val="0.5"/>
        <cfvo type="num" val="1"/>
        <color rgb="FF92D050"/>
        <color rgb="FFFFA709"/>
        <color rgb="FFFF0000"/>
      </colorScale>
    </cfRule>
  </conditionalFormatting>
  <conditionalFormatting sqref="GN26">
    <cfRule type="colorScale" priority="303">
      <colorScale>
        <cfvo type="num" val="0"/>
        <cfvo type="num" val="0.5"/>
        <cfvo type="num" val="1"/>
        <color rgb="FF92D050"/>
        <color rgb="FFFFA709"/>
        <color rgb="FFFF0000"/>
      </colorScale>
    </cfRule>
  </conditionalFormatting>
  <conditionalFormatting sqref="GM29 GJ29 GO29">
    <cfRule type="colorScale" priority="298">
      <colorScale>
        <cfvo type="num" val="0"/>
        <cfvo type="num" val="0.5"/>
        <cfvo type="num" val="1"/>
        <color rgb="FF92D050"/>
        <color rgb="FFFFA709"/>
        <color rgb="FFFF0000"/>
      </colorScale>
    </cfRule>
  </conditionalFormatting>
  <conditionalFormatting sqref="GK29">
    <cfRule type="colorScale" priority="297">
      <colorScale>
        <cfvo type="num" val="0"/>
        <cfvo type="num" val="0.5"/>
        <cfvo type="num" val="1"/>
        <color rgb="FF92D050"/>
        <color rgb="FFFFA709"/>
        <color rgb="FFFF0000"/>
      </colorScale>
    </cfRule>
  </conditionalFormatting>
  <conditionalFormatting sqref="GL29">
    <cfRule type="colorScale" priority="296">
      <colorScale>
        <cfvo type="num" val="0"/>
        <cfvo type="num" val="0.5"/>
        <cfvo type="num" val="1"/>
        <color rgb="FF92D050"/>
        <color rgb="FFFFA709"/>
        <color rgb="FFFF0000"/>
      </colorScale>
    </cfRule>
  </conditionalFormatting>
  <conditionalFormatting sqref="GN29">
    <cfRule type="colorScale" priority="295">
      <colorScale>
        <cfvo type="num" val="0"/>
        <cfvo type="num" val="0.5"/>
        <cfvo type="num" val="1"/>
        <color rgb="FF92D050"/>
        <color rgb="FFFFA709"/>
        <color rgb="FFFF0000"/>
      </colorScale>
    </cfRule>
  </conditionalFormatting>
  <conditionalFormatting sqref="GM32 GJ32 GO32">
    <cfRule type="colorScale" priority="294">
      <colorScale>
        <cfvo type="num" val="0"/>
        <cfvo type="num" val="0.5"/>
        <cfvo type="num" val="1"/>
        <color rgb="FF92D050"/>
        <color rgb="FFFFA709"/>
        <color rgb="FFFF0000"/>
      </colorScale>
    </cfRule>
  </conditionalFormatting>
  <conditionalFormatting sqref="GK32">
    <cfRule type="colorScale" priority="293">
      <colorScale>
        <cfvo type="num" val="0"/>
        <cfvo type="num" val="0.5"/>
        <cfvo type="num" val="1"/>
        <color rgb="FF92D050"/>
        <color rgb="FFFFA709"/>
        <color rgb="FFFF0000"/>
      </colorScale>
    </cfRule>
  </conditionalFormatting>
  <conditionalFormatting sqref="GL32">
    <cfRule type="colorScale" priority="292">
      <colorScale>
        <cfvo type="num" val="0"/>
        <cfvo type="num" val="0.5"/>
        <cfvo type="num" val="1"/>
        <color rgb="FF92D050"/>
        <color rgb="FFFFA709"/>
        <color rgb="FFFF0000"/>
      </colorScale>
    </cfRule>
  </conditionalFormatting>
  <conditionalFormatting sqref="GN32">
    <cfRule type="colorScale" priority="291">
      <colorScale>
        <cfvo type="num" val="0"/>
        <cfvo type="num" val="0.5"/>
        <cfvo type="num" val="1"/>
        <color rgb="FF92D050"/>
        <color rgb="FFFFA709"/>
        <color rgb="FFFF0000"/>
      </colorScale>
    </cfRule>
  </conditionalFormatting>
  <conditionalFormatting sqref="GM35 GJ35 GO35">
    <cfRule type="colorScale" priority="290">
      <colorScale>
        <cfvo type="num" val="0"/>
        <cfvo type="num" val="0.5"/>
        <cfvo type="num" val="1"/>
        <color rgb="FF92D050"/>
        <color rgb="FFFFA709"/>
        <color rgb="FFFF0000"/>
      </colorScale>
    </cfRule>
  </conditionalFormatting>
  <conditionalFormatting sqref="GK35">
    <cfRule type="colorScale" priority="289">
      <colorScale>
        <cfvo type="num" val="0"/>
        <cfvo type="num" val="0.5"/>
        <cfvo type="num" val="1"/>
        <color rgb="FF92D050"/>
        <color rgb="FFFFA709"/>
        <color rgb="FFFF0000"/>
      </colorScale>
    </cfRule>
  </conditionalFormatting>
  <conditionalFormatting sqref="GL35">
    <cfRule type="colorScale" priority="288">
      <colorScale>
        <cfvo type="num" val="0"/>
        <cfvo type="num" val="0.5"/>
        <cfvo type="num" val="1"/>
        <color rgb="FF92D050"/>
        <color rgb="FFFFA709"/>
        <color rgb="FFFF0000"/>
      </colorScale>
    </cfRule>
  </conditionalFormatting>
  <conditionalFormatting sqref="GN35">
    <cfRule type="colorScale" priority="287">
      <colorScale>
        <cfvo type="num" val="0"/>
        <cfvo type="num" val="0.5"/>
        <cfvo type="num" val="1"/>
        <color rgb="FF92D050"/>
        <color rgb="FFFFA709"/>
        <color rgb="FFFF0000"/>
      </colorScale>
    </cfRule>
  </conditionalFormatting>
  <conditionalFormatting sqref="GM38 GJ38 GO38">
    <cfRule type="colorScale" priority="286">
      <colorScale>
        <cfvo type="num" val="0"/>
        <cfvo type="num" val="0.5"/>
        <cfvo type="num" val="1"/>
        <color rgb="FF92D050"/>
        <color rgb="FFFFA709"/>
        <color rgb="FFFF0000"/>
      </colorScale>
    </cfRule>
  </conditionalFormatting>
  <conditionalFormatting sqref="GK38">
    <cfRule type="colorScale" priority="285">
      <colorScale>
        <cfvo type="num" val="0"/>
        <cfvo type="num" val="0.5"/>
        <cfvo type="num" val="1"/>
        <color rgb="FF92D050"/>
        <color rgb="FFFFA709"/>
        <color rgb="FFFF0000"/>
      </colorScale>
    </cfRule>
  </conditionalFormatting>
  <conditionalFormatting sqref="GL38">
    <cfRule type="colorScale" priority="284">
      <colorScale>
        <cfvo type="num" val="0"/>
        <cfvo type="num" val="0.5"/>
        <cfvo type="num" val="1"/>
        <color rgb="FF92D050"/>
        <color rgb="FFFFA709"/>
        <color rgb="FFFF0000"/>
      </colorScale>
    </cfRule>
  </conditionalFormatting>
  <conditionalFormatting sqref="GN38">
    <cfRule type="colorScale" priority="283">
      <colorScale>
        <cfvo type="num" val="0"/>
        <cfvo type="num" val="0.5"/>
        <cfvo type="num" val="1"/>
        <color rgb="FF92D050"/>
        <color rgb="FFFFA709"/>
        <color rgb="FFFF0000"/>
      </colorScale>
    </cfRule>
  </conditionalFormatting>
  <conditionalFormatting sqref="GP4 GS4 GU4">
    <cfRule type="colorScale" priority="282">
      <colorScale>
        <cfvo type="num" val="0"/>
        <cfvo type="num" val="0.5"/>
        <cfvo type="num" val="1"/>
        <color rgb="FF92D050"/>
        <color rgb="FFFFA709"/>
        <color rgb="FFFF0000"/>
      </colorScale>
    </cfRule>
  </conditionalFormatting>
  <conditionalFormatting sqref="GQ4">
    <cfRule type="colorScale" priority="281">
      <colorScale>
        <cfvo type="num" val="0"/>
        <cfvo type="num" val="0.5"/>
        <cfvo type="num" val="1"/>
        <color rgb="FF92D050"/>
        <color rgb="FFFFA709"/>
        <color rgb="FFFF0000"/>
      </colorScale>
    </cfRule>
  </conditionalFormatting>
  <conditionalFormatting sqref="GR4">
    <cfRule type="colorScale" priority="280">
      <colorScale>
        <cfvo type="num" val="0"/>
        <cfvo type="num" val="0.5"/>
        <cfvo type="num" val="1"/>
        <color rgb="FF92D050"/>
        <color rgb="FFFFA709"/>
        <color rgb="FFFF0000"/>
      </colorScale>
    </cfRule>
  </conditionalFormatting>
  <conditionalFormatting sqref="GT4">
    <cfRule type="colorScale" priority="279">
      <colorScale>
        <cfvo type="num" val="0"/>
        <cfvo type="num" val="0.5"/>
        <cfvo type="num" val="1"/>
        <color rgb="FF92D050"/>
        <color rgb="FFFFA709"/>
        <color rgb="FFFF0000"/>
      </colorScale>
    </cfRule>
  </conditionalFormatting>
  <conditionalFormatting sqref="GP7 GS7 GU7">
    <cfRule type="colorScale" priority="278">
      <colorScale>
        <cfvo type="num" val="0"/>
        <cfvo type="num" val="0.5"/>
        <cfvo type="num" val="1"/>
        <color rgb="FF92D050"/>
        <color rgb="FFFFA709"/>
        <color rgb="FFFF0000"/>
      </colorScale>
    </cfRule>
  </conditionalFormatting>
  <conditionalFormatting sqref="GQ7">
    <cfRule type="colorScale" priority="277">
      <colorScale>
        <cfvo type="num" val="0"/>
        <cfvo type="num" val="0.5"/>
        <cfvo type="num" val="1"/>
        <color rgb="FF92D050"/>
        <color rgb="FFFFA709"/>
        <color rgb="FFFF0000"/>
      </colorScale>
    </cfRule>
  </conditionalFormatting>
  <conditionalFormatting sqref="GR7">
    <cfRule type="colorScale" priority="276">
      <colorScale>
        <cfvo type="num" val="0"/>
        <cfvo type="num" val="0.5"/>
        <cfvo type="num" val="1"/>
        <color rgb="FF92D050"/>
        <color rgb="FFFFA709"/>
        <color rgb="FFFF0000"/>
      </colorScale>
    </cfRule>
  </conditionalFormatting>
  <conditionalFormatting sqref="GT7">
    <cfRule type="colorScale" priority="275">
      <colorScale>
        <cfvo type="num" val="0"/>
        <cfvo type="num" val="0.5"/>
        <cfvo type="num" val="1"/>
        <color rgb="FF92D050"/>
        <color rgb="FFFFA709"/>
        <color rgb="FFFF0000"/>
      </colorScale>
    </cfRule>
  </conditionalFormatting>
  <conditionalFormatting sqref="GP10 GS10 GU10">
    <cfRule type="colorScale" priority="274">
      <colorScale>
        <cfvo type="num" val="0"/>
        <cfvo type="num" val="0.5"/>
        <cfvo type="num" val="1"/>
        <color rgb="FF92D050"/>
        <color rgb="FFFFA709"/>
        <color rgb="FFFF0000"/>
      </colorScale>
    </cfRule>
  </conditionalFormatting>
  <conditionalFormatting sqref="GQ10">
    <cfRule type="colorScale" priority="273">
      <colorScale>
        <cfvo type="num" val="0"/>
        <cfvo type="num" val="0.5"/>
        <cfvo type="num" val="1"/>
        <color rgb="FF92D050"/>
        <color rgb="FFFFA709"/>
        <color rgb="FFFF0000"/>
      </colorScale>
    </cfRule>
  </conditionalFormatting>
  <conditionalFormatting sqref="GR10">
    <cfRule type="colorScale" priority="272">
      <colorScale>
        <cfvo type="num" val="0"/>
        <cfvo type="num" val="0.5"/>
        <cfvo type="num" val="1"/>
        <color rgb="FF92D050"/>
        <color rgb="FFFFA709"/>
        <color rgb="FFFF0000"/>
      </colorScale>
    </cfRule>
  </conditionalFormatting>
  <conditionalFormatting sqref="GT10">
    <cfRule type="colorScale" priority="271">
      <colorScale>
        <cfvo type="num" val="0"/>
        <cfvo type="num" val="0.5"/>
        <cfvo type="num" val="1"/>
        <color rgb="FF92D050"/>
        <color rgb="FFFFA709"/>
        <color rgb="FFFF0000"/>
      </colorScale>
    </cfRule>
  </conditionalFormatting>
  <conditionalFormatting sqref="GS16 GP16 GU16">
    <cfRule type="colorScale" priority="270">
      <colorScale>
        <cfvo type="num" val="0"/>
        <cfvo type="num" val="0.5"/>
        <cfvo type="num" val="1"/>
        <color rgb="FF92D050"/>
        <color rgb="FFFFA709"/>
        <color rgb="FFFF0000"/>
      </colorScale>
    </cfRule>
  </conditionalFormatting>
  <conditionalFormatting sqref="GQ16">
    <cfRule type="colorScale" priority="269">
      <colorScale>
        <cfvo type="num" val="0"/>
        <cfvo type="num" val="0.5"/>
        <cfvo type="num" val="1"/>
        <color rgb="FF92D050"/>
        <color rgb="FFFFA709"/>
        <color rgb="FFFF0000"/>
      </colorScale>
    </cfRule>
  </conditionalFormatting>
  <conditionalFormatting sqref="GR16">
    <cfRule type="colorScale" priority="268">
      <colorScale>
        <cfvo type="num" val="0"/>
        <cfvo type="num" val="0.5"/>
        <cfvo type="num" val="1"/>
        <color rgb="FF92D050"/>
        <color rgb="FFFFA709"/>
        <color rgb="FFFF0000"/>
      </colorScale>
    </cfRule>
  </conditionalFormatting>
  <conditionalFormatting sqref="GT16">
    <cfRule type="colorScale" priority="267">
      <colorScale>
        <cfvo type="num" val="0"/>
        <cfvo type="num" val="0.5"/>
        <cfvo type="num" val="1"/>
        <color rgb="FF92D050"/>
        <color rgb="FFFFA709"/>
        <color rgb="FFFF0000"/>
      </colorScale>
    </cfRule>
  </conditionalFormatting>
  <conditionalFormatting sqref="GS19 GP19 GU19">
    <cfRule type="colorScale" priority="266">
      <colorScale>
        <cfvo type="num" val="0"/>
        <cfvo type="num" val="0.5"/>
        <cfvo type="num" val="1"/>
        <color rgb="FF92D050"/>
        <color rgb="FFFFA709"/>
        <color rgb="FFFF0000"/>
      </colorScale>
    </cfRule>
  </conditionalFormatting>
  <conditionalFormatting sqref="GQ19">
    <cfRule type="colorScale" priority="265">
      <colorScale>
        <cfvo type="num" val="0"/>
        <cfvo type="num" val="0.5"/>
        <cfvo type="num" val="1"/>
        <color rgb="FF92D050"/>
        <color rgb="FFFFA709"/>
        <color rgb="FFFF0000"/>
      </colorScale>
    </cfRule>
  </conditionalFormatting>
  <conditionalFormatting sqref="GR19">
    <cfRule type="colorScale" priority="264">
      <colorScale>
        <cfvo type="num" val="0"/>
        <cfvo type="num" val="0.5"/>
        <cfvo type="num" val="1"/>
        <color rgb="FF92D050"/>
        <color rgb="FFFFA709"/>
        <color rgb="FFFF0000"/>
      </colorScale>
    </cfRule>
  </conditionalFormatting>
  <conditionalFormatting sqref="GT19">
    <cfRule type="colorScale" priority="263">
      <colorScale>
        <cfvo type="num" val="0"/>
        <cfvo type="num" val="0.5"/>
        <cfvo type="num" val="1"/>
        <color rgb="FF92D050"/>
        <color rgb="FFFFA709"/>
        <color rgb="FFFF0000"/>
      </colorScale>
    </cfRule>
  </conditionalFormatting>
  <conditionalFormatting sqref="GP22">
    <cfRule type="colorScale" priority="262">
      <colorScale>
        <cfvo type="num" val="0"/>
        <cfvo type="num" val="0.5"/>
        <cfvo type="num" val="1"/>
        <color rgb="FF92D050"/>
        <color rgb="FFFFA709"/>
        <color rgb="FFFF0000"/>
      </colorScale>
    </cfRule>
  </conditionalFormatting>
  <conditionalFormatting sqref="GQ22">
    <cfRule type="colorScale" priority="261">
      <colorScale>
        <cfvo type="num" val="0"/>
        <cfvo type="num" val="0.5"/>
        <cfvo type="num" val="1"/>
        <color rgb="FF92D050"/>
        <color rgb="FFFFA709"/>
        <color rgb="FFFF0000"/>
      </colorScale>
    </cfRule>
  </conditionalFormatting>
  <conditionalFormatting sqref="GR22">
    <cfRule type="colorScale" priority="260">
      <colorScale>
        <cfvo type="num" val="0"/>
        <cfvo type="num" val="0.5"/>
        <cfvo type="num" val="1"/>
        <color rgb="FF92D050"/>
        <color rgb="FFFFA709"/>
        <color rgb="FFFF0000"/>
      </colorScale>
    </cfRule>
  </conditionalFormatting>
  <conditionalFormatting sqref="GS22">
    <cfRule type="colorScale" priority="259">
      <colorScale>
        <cfvo type="num" val="0"/>
        <cfvo type="num" val="0.5"/>
        <cfvo type="num" val="1"/>
        <color rgb="FF92D050"/>
        <color rgb="FFFFA709"/>
        <color rgb="FFFF0000"/>
      </colorScale>
    </cfRule>
  </conditionalFormatting>
  <conditionalFormatting sqref="GT22">
    <cfRule type="colorScale" priority="258">
      <colorScale>
        <cfvo type="num" val="0"/>
        <cfvo type="num" val="0.5"/>
        <cfvo type="num" val="1"/>
        <color rgb="FF92D050"/>
        <color rgb="FFFFA709"/>
        <color rgb="FFFF0000"/>
      </colorScale>
    </cfRule>
  </conditionalFormatting>
  <conditionalFormatting sqref="GU22">
    <cfRule type="colorScale" priority="257">
      <colorScale>
        <cfvo type="num" val="0"/>
        <cfvo type="num" val="0.5"/>
        <cfvo type="num" val="1"/>
        <color rgb="FF92D050"/>
        <color rgb="FFFFA709"/>
        <color rgb="FFFF0000"/>
      </colorScale>
    </cfRule>
  </conditionalFormatting>
  <conditionalFormatting sqref="GP1:GT1">
    <cfRule type="timePeriod" dxfId="24" priority="256" timePeriod="today">
      <formula>FLOOR(GP1,1)=TODAY()</formula>
    </cfRule>
  </conditionalFormatting>
  <conditionalFormatting sqref="GP26 GS26 GU26">
    <cfRule type="colorScale" priority="255">
      <colorScale>
        <cfvo type="num" val="0"/>
        <cfvo type="num" val="0.5"/>
        <cfvo type="num" val="1"/>
        <color rgb="FF92D050"/>
        <color rgb="FFFFA709"/>
        <color rgb="FFFF0000"/>
      </colorScale>
    </cfRule>
  </conditionalFormatting>
  <conditionalFormatting sqref="GQ26">
    <cfRule type="colorScale" priority="254">
      <colorScale>
        <cfvo type="num" val="0"/>
        <cfvo type="num" val="0.5"/>
        <cfvo type="num" val="1"/>
        <color rgb="FF92D050"/>
        <color rgb="FFFFA709"/>
        <color rgb="FFFF0000"/>
      </colorScale>
    </cfRule>
  </conditionalFormatting>
  <conditionalFormatting sqref="GR26">
    <cfRule type="colorScale" priority="253">
      <colorScale>
        <cfvo type="num" val="0"/>
        <cfvo type="num" val="0.5"/>
        <cfvo type="num" val="1"/>
        <color rgb="FF92D050"/>
        <color rgb="FFFFA709"/>
        <color rgb="FFFF0000"/>
      </colorScale>
    </cfRule>
  </conditionalFormatting>
  <conditionalFormatting sqref="GT26">
    <cfRule type="colorScale" priority="252">
      <colorScale>
        <cfvo type="num" val="0"/>
        <cfvo type="num" val="0.5"/>
        <cfvo type="num" val="1"/>
        <color rgb="FF92D050"/>
        <color rgb="FFFFA709"/>
        <color rgb="FFFF0000"/>
      </colorScale>
    </cfRule>
  </conditionalFormatting>
  <conditionalFormatting sqref="GP29 GS29 GU29">
    <cfRule type="colorScale" priority="247">
      <colorScale>
        <cfvo type="num" val="0"/>
        <cfvo type="num" val="0.5"/>
        <cfvo type="num" val="1"/>
        <color rgb="FF92D050"/>
        <color rgb="FFFFA709"/>
        <color rgb="FFFF0000"/>
      </colorScale>
    </cfRule>
  </conditionalFormatting>
  <conditionalFormatting sqref="GQ29">
    <cfRule type="colorScale" priority="246">
      <colorScale>
        <cfvo type="num" val="0"/>
        <cfvo type="num" val="0.5"/>
        <cfvo type="num" val="1"/>
        <color rgb="FF92D050"/>
        <color rgb="FFFFA709"/>
        <color rgb="FFFF0000"/>
      </colorScale>
    </cfRule>
  </conditionalFormatting>
  <conditionalFormatting sqref="GR29">
    <cfRule type="colorScale" priority="245">
      <colorScale>
        <cfvo type="num" val="0"/>
        <cfvo type="num" val="0.5"/>
        <cfvo type="num" val="1"/>
        <color rgb="FF92D050"/>
        <color rgb="FFFFA709"/>
        <color rgb="FFFF0000"/>
      </colorScale>
    </cfRule>
  </conditionalFormatting>
  <conditionalFormatting sqref="GT29">
    <cfRule type="colorScale" priority="244">
      <colorScale>
        <cfvo type="num" val="0"/>
        <cfvo type="num" val="0.5"/>
        <cfvo type="num" val="1"/>
        <color rgb="FF92D050"/>
        <color rgb="FFFFA709"/>
        <color rgb="FFFF0000"/>
      </colorScale>
    </cfRule>
  </conditionalFormatting>
  <conditionalFormatting sqref="GP32 GS32 GU32">
    <cfRule type="colorScale" priority="243">
      <colorScale>
        <cfvo type="num" val="0"/>
        <cfvo type="num" val="0.5"/>
        <cfvo type="num" val="1"/>
        <color rgb="FF92D050"/>
        <color rgb="FFFFA709"/>
        <color rgb="FFFF0000"/>
      </colorScale>
    </cfRule>
  </conditionalFormatting>
  <conditionalFormatting sqref="GQ32">
    <cfRule type="colorScale" priority="242">
      <colorScale>
        <cfvo type="num" val="0"/>
        <cfvo type="num" val="0.5"/>
        <cfvo type="num" val="1"/>
        <color rgb="FF92D050"/>
        <color rgb="FFFFA709"/>
        <color rgb="FFFF0000"/>
      </colorScale>
    </cfRule>
  </conditionalFormatting>
  <conditionalFormatting sqref="GR32">
    <cfRule type="colorScale" priority="241">
      <colorScale>
        <cfvo type="num" val="0"/>
        <cfvo type="num" val="0.5"/>
        <cfvo type="num" val="1"/>
        <color rgb="FF92D050"/>
        <color rgb="FFFFA709"/>
        <color rgb="FFFF0000"/>
      </colorScale>
    </cfRule>
  </conditionalFormatting>
  <conditionalFormatting sqref="GT32">
    <cfRule type="colorScale" priority="240">
      <colorScale>
        <cfvo type="num" val="0"/>
        <cfvo type="num" val="0.5"/>
        <cfvo type="num" val="1"/>
        <color rgb="FF92D050"/>
        <color rgb="FFFFA709"/>
        <color rgb="FFFF0000"/>
      </colorScale>
    </cfRule>
  </conditionalFormatting>
  <conditionalFormatting sqref="GP35 GS35 GU35">
    <cfRule type="colorScale" priority="239">
      <colorScale>
        <cfvo type="num" val="0"/>
        <cfvo type="num" val="0.5"/>
        <cfvo type="num" val="1"/>
        <color rgb="FF92D050"/>
        <color rgb="FFFFA709"/>
        <color rgb="FFFF0000"/>
      </colorScale>
    </cfRule>
  </conditionalFormatting>
  <conditionalFormatting sqref="GQ35">
    <cfRule type="colorScale" priority="238">
      <colorScale>
        <cfvo type="num" val="0"/>
        <cfvo type="num" val="0.5"/>
        <cfvo type="num" val="1"/>
        <color rgb="FF92D050"/>
        <color rgb="FFFFA709"/>
        <color rgb="FFFF0000"/>
      </colorScale>
    </cfRule>
  </conditionalFormatting>
  <conditionalFormatting sqref="GR35">
    <cfRule type="colorScale" priority="237">
      <colorScale>
        <cfvo type="num" val="0"/>
        <cfvo type="num" val="0.5"/>
        <cfvo type="num" val="1"/>
        <color rgb="FF92D050"/>
        <color rgb="FFFFA709"/>
        <color rgb="FFFF0000"/>
      </colorScale>
    </cfRule>
  </conditionalFormatting>
  <conditionalFormatting sqref="GT35">
    <cfRule type="colorScale" priority="236">
      <colorScale>
        <cfvo type="num" val="0"/>
        <cfvo type="num" val="0.5"/>
        <cfvo type="num" val="1"/>
        <color rgb="FF92D050"/>
        <color rgb="FFFFA709"/>
        <color rgb="FFFF0000"/>
      </colorScale>
    </cfRule>
  </conditionalFormatting>
  <conditionalFormatting sqref="GP38 GS38 GU38">
    <cfRule type="colorScale" priority="235">
      <colorScale>
        <cfvo type="num" val="0"/>
        <cfvo type="num" val="0.5"/>
        <cfvo type="num" val="1"/>
        <color rgb="FF92D050"/>
        <color rgb="FFFFA709"/>
        <color rgb="FFFF0000"/>
      </colorScale>
    </cfRule>
  </conditionalFormatting>
  <conditionalFormatting sqref="GQ38">
    <cfRule type="colorScale" priority="234">
      <colorScale>
        <cfvo type="num" val="0"/>
        <cfvo type="num" val="0.5"/>
        <cfvo type="num" val="1"/>
        <color rgb="FF92D050"/>
        <color rgb="FFFFA709"/>
        <color rgb="FFFF0000"/>
      </colorScale>
    </cfRule>
  </conditionalFormatting>
  <conditionalFormatting sqref="GR38">
    <cfRule type="colorScale" priority="233">
      <colorScale>
        <cfvo type="num" val="0"/>
        <cfvo type="num" val="0.5"/>
        <cfvo type="num" val="1"/>
        <color rgb="FF92D050"/>
        <color rgb="FFFFA709"/>
        <color rgb="FFFF0000"/>
      </colorScale>
    </cfRule>
  </conditionalFormatting>
  <conditionalFormatting sqref="GT38">
    <cfRule type="colorScale" priority="232">
      <colorScale>
        <cfvo type="num" val="0"/>
        <cfvo type="num" val="0.5"/>
        <cfvo type="num" val="1"/>
        <color rgb="FF92D050"/>
        <color rgb="FFFFA709"/>
        <color rgb="FFFF0000"/>
      </colorScale>
    </cfRule>
  </conditionalFormatting>
  <conditionalFormatting sqref="GY4 GV4 HA4">
    <cfRule type="colorScale" priority="180">
      <colorScale>
        <cfvo type="num" val="0"/>
        <cfvo type="num" val="0.5"/>
        <cfvo type="num" val="1"/>
        <color rgb="FF92D050"/>
        <color rgb="FFFFA709"/>
        <color rgb="FFFF0000"/>
      </colorScale>
    </cfRule>
  </conditionalFormatting>
  <conditionalFormatting sqref="GW4">
    <cfRule type="colorScale" priority="179">
      <colorScale>
        <cfvo type="num" val="0"/>
        <cfvo type="num" val="0.5"/>
        <cfvo type="num" val="1"/>
        <color rgb="FF92D050"/>
        <color rgb="FFFFA709"/>
        <color rgb="FFFF0000"/>
      </colorScale>
    </cfRule>
  </conditionalFormatting>
  <conditionalFormatting sqref="GX4">
    <cfRule type="colorScale" priority="178">
      <colorScale>
        <cfvo type="num" val="0"/>
        <cfvo type="num" val="0.5"/>
        <cfvo type="num" val="1"/>
        <color rgb="FF92D050"/>
        <color rgb="FFFFA709"/>
        <color rgb="FFFF0000"/>
      </colorScale>
    </cfRule>
  </conditionalFormatting>
  <conditionalFormatting sqref="GZ4">
    <cfRule type="colorScale" priority="177">
      <colorScale>
        <cfvo type="num" val="0"/>
        <cfvo type="num" val="0.5"/>
        <cfvo type="num" val="1"/>
        <color rgb="FF92D050"/>
        <color rgb="FFFFA709"/>
        <color rgb="FFFF0000"/>
      </colorScale>
    </cfRule>
  </conditionalFormatting>
  <conditionalFormatting sqref="GY7 GV7 HA7">
    <cfRule type="colorScale" priority="176">
      <colorScale>
        <cfvo type="num" val="0"/>
        <cfvo type="num" val="0.5"/>
        <cfvo type="num" val="1"/>
        <color rgb="FF92D050"/>
        <color rgb="FFFFA709"/>
        <color rgb="FFFF0000"/>
      </colorScale>
    </cfRule>
  </conditionalFormatting>
  <conditionalFormatting sqref="GW7">
    <cfRule type="colorScale" priority="175">
      <colorScale>
        <cfvo type="num" val="0"/>
        <cfvo type="num" val="0.5"/>
        <cfvo type="num" val="1"/>
        <color rgb="FF92D050"/>
        <color rgb="FFFFA709"/>
        <color rgb="FFFF0000"/>
      </colorScale>
    </cfRule>
  </conditionalFormatting>
  <conditionalFormatting sqref="GX7">
    <cfRule type="colorScale" priority="174">
      <colorScale>
        <cfvo type="num" val="0"/>
        <cfvo type="num" val="0.5"/>
        <cfvo type="num" val="1"/>
        <color rgb="FF92D050"/>
        <color rgb="FFFFA709"/>
        <color rgb="FFFF0000"/>
      </colorScale>
    </cfRule>
  </conditionalFormatting>
  <conditionalFormatting sqref="GZ7">
    <cfRule type="colorScale" priority="173">
      <colorScale>
        <cfvo type="num" val="0"/>
        <cfvo type="num" val="0.5"/>
        <cfvo type="num" val="1"/>
        <color rgb="FF92D050"/>
        <color rgb="FFFFA709"/>
        <color rgb="FFFF0000"/>
      </colorScale>
    </cfRule>
  </conditionalFormatting>
  <conditionalFormatting sqref="GY10 GV10 HA10">
    <cfRule type="colorScale" priority="172">
      <colorScale>
        <cfvo type="num" val="0"/>
        <cfvo type="num" val="0.5"/>
        <cfvo type="num" val="1"/>
        <color rgb="FF92D050"/>
        <color rgb="FFFFA709"/>
        <color rgb="FFFF0000"/>
      </colorScale>
    </cfRule>
  </conditionalFormatting>
  <conditionalFormatting sqref="GW10">
    <cfRule type="colorScale" priority="171">
      <colorScale>
        <cfvo type="num" val="0"/>
        <cfvo type="num" val="0.5"/>
        <cfvo type="num" val="1"/>
        <color rgb="FF92D050"/>
        <color rgb="FFFFA709"/>
        <color rgb="FFFF0000"/>
      </colorScale>
    </cfRule>
  </conditionalFormatting>
  <conditionalFormatting sqref="GX10">
    <cfRule type="colorScale" priority="170">
      <colorScale>
        <cfvo type="num" val="0"/>
        <cfvo type="num" val="0.5"/>
        <cfvo type="num" val="1"/>
        <color rgb="FF92D050"/>
        <color rgb="FFFFA709"/>
        <color rgb="FFFF0000"/>
      </colorScale>
    </cfRule>
  </conditionalFormatting>
  <conditionalFormatting sqref="GZ10">
    <cfRule type="colorScale" priority="169">
      <colorScale>
        <cfvo type="num" val="0"/>
        <cfvo type="num" val="0.5"/>
        <cfvo type="num" val="1"/>
        <color rgb="FF92D050"/>
        <color rgb="FFFFA709"/>
        <color rgb="FFFF0000"/>
      </colorScale>
    </cfRule>
  </conditionalFormatting>
  <conditionalFormatting sqref="GV16 GY16 HA16">
    <cfRule type="colorScale" priority="168">
      <colorScale>
        <cfvo type="num" val="0"/>
        <cfvo type="num" val="0.5"/>
        <cfvo type="num" val="1"/>
        <color rgb="FF92D050"/>
        <color rgb="FFFFA709"/>
        <color rgb="FFFF0000"/>
      </colorScale>
    </cfRule>
  </conditionalFormatting>
  <conditionalFormatting sqref="GW16">
    <cfRule type="colorScale" priority="167">
      <colorScale>
        <cfvo type="num" val="0"/>
        <cfvo type="num" val="0.5"/>
        <cfvo type="num" val="1"/>
        <color rgb="FF92D050"/>
        <color rgb="FFFFA709"/>
        <color rgb="FFFF0000"/>
      </colorScale>
    </cfRule>
  </conditionalFormatting>
  <conditionalFormatting sqref="GX16">
    <cfRule type="colorScale" priority="166">
      <colorScale>
        <cfvo type="num" val="0"/>
        <cfvo type="num" val="0.5"/>
        <cfvo type="num" val="1"/>
        <color rgb="FF92D050"/>
        <color rgb="FFFFA709"/>
        <color rgb="FFFF0000"/>
      </colorScale>
    </cfRule>
  </conditionalFormatting>
  <conditionalFormatting sqref="GZ16">
    <cfRule type="colorScale" priority="165">
      <colorScale>
        <cfvo type="num" val="0"/>
        <cfvo type="num" val="0.5"/>
        <cfvo type="num" val="1"/>
        <color rgb="FF92D050"/>
        <color rgb="FFFFA709"/>
        <color rgb="FFFF0000"/>
      </colorScale>
    </cfRule>
  </conditionalFormatting>
  <conditionalFormatting sqref="GV19 GY19 HA19">
    <cfRule type="colorScale" priority="164">
      <colorScale>
        <cfvo type="num" val="0"/>
        <cfvo type="num" val="0.5"/>
        <cfvo type="num" val="1"/>
        <color rgb="FF92D050"/>
        <color rgb="FFFFA709"/>
        <color rgb="FFFF0000"/>
      </colorScale>
    </cfRule>
  </conditionalFormatting>
  <conditionalFormatting sqref="GW19">
    <cfRule type="colorScale" priority="163">
      <colorScale>
        <cfvo type="num" val="0"/>
        <cfvo type="num" val="0.5"/>
        <cfvo type="num" val="1"/>
        <color rgb="FF92D050"/>
        <color rgb="FFFFA709"/>
        <color rgb="FFFF0000"/>
      </colorScale>
    </cfRule>
  </conditionalFormatting>
  <conditionalFormatting sqref="GX19">
    <cfRule type="colorScale" priority="162">
      <colorScale>
        <cfvo type="num" val="0"/>
        <cfvo type="num" val="0.5"/>
        <cfvo type="num" val="1"/>
        <color rgb="FF92D050"/>
        <color rgb="FFFFA709"/>
        <color rgb="FFFF0000"/>
      </colorScale>
    </cfRule>
  </conditionalFormatting>
  <conditionalFormatting sqref="GZ19">
    <cfRule type="colorScale" priority="161">
      <colorScale>
        <cfvo type="num" val="0"/>
        <cfvo type="num" val="0.5"/>
        <cfvo type="num" val="1"/>
        <color rgb="FF92D050"/>
        <color rgb="FFFFA709"/>
        <color rgb="FFFF0000"/>
      </colorScale>
    </cfRule>
  </conditionalFormatting>
  <conditionalFormatting sqref="GV22">
    <cfRule type="colorScale" priority="160">
      <colorScale>
        <cfvo type="num" val="0"/>
        <cfvo type="num" val="0.5"/>
        <cfvo type="num" val="1"/>
        <color rgb="FF92D050"/>
        <color rgb="FFFFA709"/>
        <color rgb="FFFF0000"/>
      </colorScale>
    </cfRule>
  </conditionalFormatting>
  <conditionalFormatting sqref="GW22">
    <cfRule type="colorScale" priority="159">
      <colorScale>
        <cfvo type="num" val="0"/>
        <cfvo type="num" val="0.5"/>
        <cfvo type="num" val="1"/>
        <color rgb="FF92D050"/>
        <color rgb="FFFFA709"/>
        <color rgb="FFFF0000"/>
      </colorScale>
    </cfRule>
  </conditionalFormatting>
  <conditionalFormatting sqref="GX22">
    <cfRule type="colorScale" priority="158">
      <colorScale>
        <cfvo type="num" val="0"/>
        <cfvo type="num" val="0.5"/>
        <cfvo type="num" val="1"/>
        <color rgb="FF92D050"/>
        <color rgb="FFFFA709"/>
        <color rgb="FFFF0000"/>
      </colorScale>
    </cfRule>
  </conditionalFormatting>
  <conditionalFormatting sqref="GY22">
    <cfRule type="colorScale" priority="157">
      <colorScale>
        <cfvo type="num" val="0"/>
        <cfvo type="num" val="0.5"/>
        <cfvo type="num" val="1"/>
        <color rgb="FF92D050"/>
        <color rgb="FFFFA709"/>
        <color rgb="FFFF0000"/>
      </colorScale>
    </cfRule>
  </conditionalFormatting>
  <conditionalFormatting sqref="GZ22">
    <cfRule type="colorScale" priority="156">
      <colorScale>
        <cfvo type="num" val="0"/>
        <cfvo type="num" val="0.5"/>
        <cfvo type="num" val="1"/>
        <color rgb="FF92D050"/>
        <color rgb="FFFFA709"/>
        <color rgb="FFFF0000"/>
      </colorScale>
    </cfRule>
  </conditionalFormatting>
  <conditionalFormatting sqref="HA22">
    <cfRule type="colorScale" priority="155">
      <colorScale>
        <cfvo type="num" val="0"/>
        <cfvo type="num" val="0.5"/>
        <cfvo type="num" val="1"/>
        <color rgb="FF92D050"/>
        <color rgb="FFFFA709"/>
        <color rgb="FFFF0000"/>
      </colorScale>
    </cfRule>
  </conditionalFormatting>
  <conditionalFormatting sqref="GV1:GZ1">
    <cfRule type="timePeriod" dxfId="23" priority="154" timePeriod="today">
      <formula>FLOOR(GV1,1)=TODAY()</formula>
    </cfRule>
  </conditionalFormatting>
  <conditionalFormatting sqref="GV26 GY26 HA26">
    <cfRule type="colorScale" priority="153">
      <colorScale>
        <cfvo type="num" val="0"/>
        <cfvo type="num" val="0.5"/>
        <cfvo type="num" val="1"/>
        <color rgb="FF92D050"/>
        <color rgb="FFFFA709"/>
        <color rgb="FFFF0000"/>
      </colorScale>
    </cfRule>
  </conditionalFormatting>
  <conditionalFormatting sqref="GW26">
    <cfRule type="colorScale" priority="152">
      <colorScale>
        <cfvo type="num" val="0"/>
        <cfvo type="num" val="0.5"/>
        <cfvo type="num" val="1"/>
        <color rgb="FF92D050"/>
        <color rgb="FFFFA709"/>
        <color rgb="FFFF0000"/>
      </colorScale>
    </cfRule>
  </conditionalFormatting>
  <conditionalFormatting sqref="GX26">
    <cfRule type="colorScale" priority="151">
      <colorScale>
        <cfvo type="num" val="0"/>
        <cfvo type="num" val="0.5"/>
        <cfvo type="num" val="1"/>
        <color rgb="FF92D050"/>
        <color rgb="FFFFA709"/>
        <color rgb="FFFF0000"/>
      </colorScale>
    </cfRule>
  </conditionalFormatting>
  <conditionalFormatting sqref="GZ26">
    <cfRule type="colorScale" priority="150">
      <colorScale>
        <cfvo type="num" val="0"/>
        <cfvo type="num" val="0.5"/>
        <cfvo type="num" val="1"/>
        <color rgb="FF92D050"/>
        <color rgb="FFFFA709"/>
        <color rgb="FFFF0000"/>
      </colorScale>
    </cfRule>
  </conditionalFormatting>
  <conditionalFormatting sqref="GV29 GY29 HA29">
    <cfRule type="colorScale" priority="145">
      <colorScale>
        <cfvo type="num" val="0"/>
        <cfvo type="num" val="0.5"/>
        <cfvo type="num" val="1"/>
        <color rgb="FF92D050"/>
        <color rgb="FFFFA709"/>
        <color rgb="FFFF0000"/>
      </colorScale>
    </cfRule>
  </conditionalFormatting>
  <conditionalFormatting sqref="GW29">
    <cfRule type="colorScale" priority="144">
      <colorScale>
        <cfvo type="num" val="0"/>
        <cfvo type="num" val="0.5"/>
        <cfvo type="num" val="1"/>
        <color rgb="FF92D050"/>
        <color rgb="FFFFA709"/>
        <color rgb="FFFF0000"/>
      </colorScale>
    </cfRule>
  </conditionalFormatting>
  <conditionalFormatting sqref="GX29">
    <cfRule type="colorScale" priority="143">
      <colorScale>
        <cfvo type="num" val="0"/>
        <cfvo type="num" val="0.5"/>
        <cfvo type="num" val="1"/>
        <color rgb="FF92D050"/>
        <color rgb="FFFFA709"/>
        <color rgb="FFFF0000"/>
      </colorScale>
    </cfRule>
  </conditionalFormatting>
  <conditionalFormatting sqref="GZ29">
    <cfRule type="colorScale" priority="142">
      <colorScale>
        <cfvo type="num" val="0"/>
        <cfvo type="num" val="0.5"/>
        <cfvo type="num" val="1"/>
        <color rgb="FF92D050"/>
        <color rgb="FFFFA709"/>
        <color rgb="FFFF0000"/>
      </colorScale>
    </cfRule>
  </conditionalFormatting>
  <conditionalFormatting sqref="GV32 GY32 HA32">
    <cfRule type="colorScale" priority="141">
      <colorScale>
        <cfvo type="num" val="0"/>
        <cfvo type="num" val="0.5"/>
        <cfvo type="num" val="1"/>
        <color rgb="FF92D050"/>
        <color rgb="FFFFA709"/>
        <color rgb="FFFF0000"/>
      </colorScale>
    </cfRule>
  </conditionalFormatting>
  <conditionalFormatting sqref="GW32">
    <cfRule type="colorScale" priority="140">
      <colorScale>
        <cfvo type="num" val="0"/>
        <cfvo type="num" val="0.5"/>
        <cfvo type="num" val="1"/>
        <color rgb="FF92D050"/>
        <color rgb="FFFFA709"/>
        <color rgb="FFFF0000"/>
      </colorScale>
    </cfRule>
  </conditionalFormatting>
  <conditionalFormatting sqref="GX32">
    <cfRule type="colorScale" priority="139">
      <colorScale>
        <cfvo type="num" val="0"/>
        <cfvo type="num" val="0.5"/>
        <cfvo type="num" val="1"/>
        <color rgb="FF92D050"/>
        <color rgb="FFFFA709"/>
        <color rgb="FFFF0000"/>
      </colorScale>
    </cfRule>
  </conditionalFormatting>
  <conditionalFormatting sqref="GZ32">
    <cfRule type="colorScale" priority="138">
      <colorScale>
        <cfvo type="num" val="0"/>
        <cfvo type="num" val="0.5"/>
        <cfvo type="num" val="1"/>
        <color rgb="FF92D050"/>
        <color rgb="FFFFA709"/>
        <color rgb="FFFF0000"/>
      </colorScale>
    </cfRule>
  </conditionalFormatting>
  <conditionalFormatting sqref="GV35 GY35 HA35">
    <cfRule type="colorScale" priority="137">
      <colorScale>
        <cfvo type="num" val="0"/>
        <cfvo type="num" val="0.5"/>
        <cfvo type="num" val="1"/>
        <color rgb="FF92D050"/>
        <color rgb="FFFFA709"/>
        <color rgb="FFFF0000"/>
      </colorScale>
    </cfRule>
  </conditionalFormatting>
  <conditionalFormatting sqref="GW35">
    <cfRule type="colorScale" priority="136">
      <colorScale>
        <cfvo type="num" val="0"/>
        <cfvo type="num" val="0.5"/>
        <cfvo type="num" val="1"/>
        <color rgb="FF92D050"/>
        <color rgb="FFFFA709"/>
        <color rgb="FFFF0000"/>
      </colorScale>
    </cfRule>
  </conditionalFormatting>
  <conditionalFormatting sqref="GX35">
    <cfRule type="colorScale" priority="135">
      <colorScale>
        <cfvo type="num" val="0"/>
        <cfvo type="num" val="0.5"/>
        <cfvo type="num" val="1"/>
        <color rgb="FF92D050"/>
        <color rgb="FFFFA709"/>
        <color rgb="FFFF0000"/>
      </colorScale>
    </cfRule>
  </conditionalFormatting>
  <conditionalFormatting sqref="GZ35">
    <cfRule type="colorScale" priority="134">
      <colorScale>
        <cfvo type="num" val="0"/>
        <cfvo type="num" val="0.5"/>
        <cfvo type="num" val="1"/>
        <color rgb="FF92D050"/>
        <color rgb="FFFFA709"/>
        <color rgb="FFFF0000"/>
      </colorScale>
    </cfRule>
  </conditionalFormatting>
  <conditionalFormatting sqref="GV38 GY38 HA38">
    <cfRule type="colorScale" priority="133">
      <colorScale>
        <cfvo type="num" val="0"/>
        <cfvo type="num" val="0.5"/>
        <cfvo type="num" val="1"/>
        <color rgb="FF92D050"/>
        <color rgb="FFFFA709"/>
        <color rgb="FFFF0000"/>
      </colorScale>
    </cfRule>
  </conditionalFormatting>
  <conditionalFormatting sqref="GW38">
    <cfRule type="colorScale" priority="132">
      <colorScale>
        <cfvo type="num" val="0"/>
        <cfvo type="num" val="0.5"/>
        <cfvo type="num" val="1"/>
        <color rgb="FF92D050"/>
        <color rgb="FFFFA709"/>
        <color rgb="FFFF0000"/>
      </colorScale>
    </cfRule>
  </conditionalFormatting>
  <conditionalFormatting sqref="GX38">
    <cfRule type="colorScale" priority="131">
      <colorScale>
        <cfvo type="num" val="0"/>
        <cfvo type="num" val="0.5"/>
        <cfvo type="num" val="1"/>
        <color rgb="FF92D050"/>
        <color rgb="FFFFA709"/>
        <color rgb="FFFF0000"/>
      </colorScale>
    </cfRule>
  </conditionalFormatting>
  <conditionalFormatting sqref="GZ38">
    <cfRule type="colorScale" priority="130">
      <colorScale>
        <cfvo type="num" val="0"/>
        <cfvo type="num" val="0.5"/>
        <cfvo type="num" val="1"/>
        <color rgb="FF92D050"/>
        <color rgb="FFFFA709"/>
        <color rgb="FFFF0000"/>
      </colorScale>
    </cfRule>
  </conditionalFormatting>
  <conditionalFormatting sqref="C13:Q13 S13 V13:W13">
    <cfRule type="colorScale" priority="128">
      <colorScale>
        <cfvo type="num" val="0"/>
        <cfvo type="num" val="0.5"/>
        <cfvo type="num" val="1"/>
        <color rgb="FF92D050"/>
        <color rgb="FFFFA709"/>
        <color rgb="FFFF0000"/>
      </colorScale>
    </cfRule>
  </conditionalFormatting>
  <conditionalFormatting sqref="B13">
    <cfRule type="colorScale" priority="129">
      <colorScale>
        <cfvo type="num" val="0"/>
        <cfvo type="num" val="0.5"/>
        <cfvo type="num" val="1"/>
        <color rgb="FF92D050"/>
        <color rgb="FFFFA709"/>
        <color rgb="FFFF0000"/>
      </colorScale>
    </cfRule>
  </conditionalFormatting>
  <conditionalFormatting sqref="R13">
    <cfRule type="colorScale" priority="127">
      <colorScale>
        <cfvo type="num" val="0"/>
        <cfvo type="num" val="0.5"/>
        <cfvo type="num" val="1"/>
        <color rgb="FF92D050"/>
        <color rgb="FFFFA709"/>
        <color rgb="FFFF0000"/>
      </colorScale>
    </cfRule>
  </conditionalFormatting>
  <conditionalFormatting sqref="T13">
    <cfRule type="colorScale" priority="126">
      <colorScale>
        <cfvo type="num" val="0"/>
        <cfvo type="num" val="0.5"/>
        <cfvo type="num" val="1"/>
        <color rgb="FF92D050"/>
        <color rgb="FFFFA709"/>
        <color rgb="FFFF0000"/>
      </colorScale>
    </cfRule>
  </conditionalFormatting>
  <conditionalFormatting sqref="U13">
    <cfRule type="colorScale" priority="125">
      <colorScale>
        <cfvo type="num" val="0"/>
        <cfvo type="num" val="0.5"/>
        <cfvo type="num" val="1"/>
        <color rgb="FF92D050"/>
        <color rgb="FFFFA709"/>
        <color rgb="FFFF0000"/>
      </colorScale>
    </cfRule>
  </conditionalFormatting>
  <conditionalFormatting sqref="X13 AA13 AC13">
    <cfRule type="colorScale" priority="124">
      <colorScale>
        <cfvo type="num" val="0"/>
        <cfvo type="num" val="0.5"/>
        <cfvo type="num" val="1"/>
        <color rgb="FF92D050"/>
        <color rgb="FFFFA709"/>
        <color rgb="FFFF0000"/>
      </colorScale>
    </cfRule>
  </conditionalFormatting>
  <conditionalFormatting sqref="Y13">
    <cfRule type="colorScale" priority="123">
      <colorScale>
        <cfvo type="num" val="0"/>
        <cfvo type="num" val="0.5"/>
        <cfvo type="num" val="1"/>
        <color rgb="FF92D050"/>
        <color rgb="FFFFA709"/>
        <color rgb="FFFF0000"/>
      </colorScale>
    </cfRule>
  </conditionalFormatting>
  <conditionalFormatting sqref="Z13">
    <cfRule type="colorScale" priority="122">
      <colorScale>
        <cfvo type="num" val="0"/>
        <cfvo type="num" val="0.5"/>
        <cfvo type="num" val="1"/>
        <color rgb="FF92D050"/>
        <color rgb="FFFFA709"/>
        <color rgb="FFFF0000"/>
      </colorScale>
    </cfRule>
  </conditionalFormatting>
  <conditionalFormatting sqref="AB13">
    <cfRule type="colorScale" priority="121">
      <colorScale>
        <cfvo type="num" val="0"/>
        <cfvo type="num" val="0.5"/>
        <cfvo type="num" val="1"/>
        <color rgb="FF92D050"/>
        <color rgb="FFFFA709"/>
        <color rgb="FFFF0000"/>
      </colorScale>
    </cfRule>
  </conditionalFormatting>
  <conditionalFormatting sqref="AD13 AG13 AI13">
    <cfRule type="colorScale" priority="120">
      <colorScale>
        <cfvo type="num" val="0"/>
        <cfvo type="num" val="0.5"/>
        <cfvo type="num" val="1"/>
        <color rgb="FF92D050"/>
        <color rgb="FFFFA709"/>
        <color rgb="FFFF0000"/>
      </colorScale>
    </cfRule>
  </conditionalFormatting>
  <conditionalFormatting sqref="AE13">
    <cfRule type="colorScale" priority="119">
      <colorScale>
        <cfvo type="num" val="0"/>
        <cfvo type="num" val="0.5"/>
        <cfvo type="num" val="1"/>
        <color rgb="FF92D050"/>
        <color rgb="FFFFA709"/>
        <color rgb="FFFF0000"/>
      </colorScale>
    </cfRule>
  </conditionalFormatting>
  <conditionalFormatting sqref="AF13">
    <cfRule type="colorScale" priority="118">
      <colorScale>
        <cfvo type="num" val="0"/>
        <cfvo type="num" val="0.5"/>
        <cfvo type="num" val="1"/>
        <color rgb="FF92D050"/>
        <color rgb="FFFFA709"/>
        <color rgb="FFFF0000"/>
      </colorScale>
    </cfRule>
  </conditionalFormatting>
  <conditionalFormatting sqref="AH13">
    <cfRule type="colorScale" priority="117">
      <colorScale>
        <cfvo type="num" val="0"/>
        <cfvo type="num" val="0.5"/>
        <cfvo type="num" val="1"/>
        <color rgb="FF92D050"/>
        <color rgb="FFFFA709"/>
        <color rgb="FFFF0000"/>
      </colorScale>
    </cfRule>
  </conditionalFormatting>
  <conditionalFormatting sqref="AJ13 AM13 AO13">
    <cfRule type="colorScale" priority="116">
      <colorScale>
        <cfvo type="num" val="0"/>
        <cfvo type="num" val="0.5"/>
        <cfvo type="num" val="1"/>
        <color rgb="FF92D050"/>
        <color rgb="FFFFA709"/>
        <color rgb="FFFF0000"/>
      </colorScale>
    </cfRule>
  </conditionalFormatting>
  <conditionalFormatting sqref="AK13">
    <cfRule type="colorScale" priority="115">
      <colorScale>
        <cfvo type="num" val="0"/>
        <cfvo type="num" val="0.5"/>
        <cfvo type="num" val="1"/>
        <color rgb="FF92D050"/>
        <color rgb="FFFFA709"/>
        <color rgb="FFFF0000"/>
      </colorScale>
    </cfRule>
  </conditionalFormatting>
  <conditionalFormatting sqref="AL13">
    <cfRule type="colorScale" priority="114">
      <colorScale>
        <cfvo type="num" val="0"/>
        <cfvo type="num" val="0.5"/>
        <cfvo type="num" val="1"/>
        <color rgb="FF92D050"/>
        <color rgb="FFFFA709"/>
        <color rgb="FFFF0000"/>
      </colorScale>
    </cfRule>
  </conditionalFormatting>
  <conditionalFormatting sqref="AN13">
    <cfRule type="colorScale" priority="113">
      <colorScale>
        <cfvo type="num" val="0"/>
        <cfvo type="num" val="0.5"/>
        <cfvo type="num" val="1"/>
        <color rgb="FF92D050"/>
        <color rgb="FFFFA709"/>
        <color rgb="FFFF0000"/>
      </colorScale>
    </cfRule>
  </conditionalFormatting>
  <conditionalFormatting sqref="AP13 AS13 AU13">
    <cfRule type="colorScale" priority="112">
      <colorScale>
        <cfvo type="num" val="0"/>
        <cfvo type="num" val="0.5"/>
        <cfvo type="num" val="1"/>
        <color rgb="FF92D050"/>
        <color rgb="FFFFA709"/>
        <color rgb="FFFF0000"/>
      </colorScale>
    </cfRule>
  </conditionalFormatting>
  <conditionalFormatting sqref="AQ13">
    <cfRule type="colorScale" priority="111">
      <colorScale>
        <cfvo type="num" val="0"/>
        <cfvo type="num" val="0.5"/>
        <cfvo type="num" val="1"/>
        <color rgb="FF92D050"/>
        <color rgb="FFFFA709"/>
        <color rgb="FFFF0000"/>
      </colorScale>
    </cfRule>
  </conditionalFormatting>
  <conditionalFormatting sqref="AR13">
    <cfRule type="colorScale" priority="110">
      <colorScale>
        <cfvo type="num" val="0"/>
        <cfvo type="num" val="0.5"/>
        <cfvo type="num" val="1"/>
        <color rgb="FF92D050"/>
        <color rgb="FFFFA709"/>
        <color rgb="FFFF0000"/>
      </colorScale>
    </cfRule>
  </conditionalFormatting>
  <conditionalFormatting sqref="AT13">
    <cfRule type="colorScale" priority="109">
      <colorScale>
        <cfvo type="num" val="0"/>
        <cfvo type="num" val="0.5"/>
        <cfvo type="num" val="1"/>
        <color rgb="FF92D050"/>
        <color rgb="FFFFA709"/>
        <color rgb="FFFF0000"/>
      </colorScale>
    </cfRule>
  </conditionalFormatting>
  <conditionalFormatting sqref="AY13 AV13 BA13">
    <cfRule type="colorScale" priority="108">
      <colorScale>
        <cfvo type="num" val="0"/>
        <cfvo type="num" val="0.5"/>
        <cfvo type="num" val="1"/>
        <color rgb="FF92D050"/>
        <color rgb="FFFFA709"/>
        <color rgb="FFFF0000"/>
      </colorScale>
    </cfRule>
  </conditionalFormatting>
  <conditionalFormatting sqref="AW13">
    <cfRule type="colorScale" priority="107">
      <colorScale>
        <cfvo type="num" val="0"/>
        <cfvo type="num" val="0.5"/>
        <cfvo type="num" val="1"/>
        <color rgb="FF92D050"/>
        <color rgb="FFFFA709"/>
        <color rgb="FFFF0000"/>
      </colorScale>
    </cfRule>
  </conditionalFormatting>
  <conditionalFormatting sqref="AX13">
    <cfRule type="colorScale" priority="106">
      <colorScale>
        <cfvo type="num" val="0"/>
        <cfvo type="num" val="0.5"/>
        <cfvo type="num" val="1"/>
        <color rgb="FF92D050"/>
        <color rgb="FFFFA709"/>
        <color rgb="FFFF0000"/>
      </colorScale>
    </cfRule>
  </conditionalFormatting>
  <conditionalFormatting sqref="AZ13">
    <cfRule type="colorScale" priority="105">
      <colorScale>
        <cfvo type="num" val="0"/>
        <cfvo type="num" val="0.5"/>
        <cfvo type="num" val="1"/>
        <color rgb="FF92D050"/>
        <color rgb="FFFFA709"/>
        <color rgb="FFFF0000"/>
      </colorScale>
    </cfRule>
  </conditionalFormatting>
  <conditionalFormatting sqref="BB13 BE13 BG13">
    <cfRule type="colorScale" priority="104">
      <colorScale>
        <cfvo type="num" val="0"/>
        <cfvo type="num" val="0.5"/>
        <cfvo type="num" val="1"/>
        <color rgb="FF92D050"/>
        <color rgb="FFFFA709"/>
        <color rgb="FFFF0000"/>
      </colorScale>
    </cfRule>
  </conditionalFormatting>
  <conditionalFormatting sqref="BC13">
    <cfRule type="colorScale" priority="103">
      <colorScale>
        <cfvo type="num" val="0"/>
        <cfvo type="num" val="0.5"/>
        <cfvo type="num" val="1"/>
        <color rgb="FF92D050"/>
        <color rgb="FFFFA709"/>
        <color rgb="FFFF0000"/>
      </colorScale>
    </cfRule>
  </conditionalFormatting>
  <conditionalFormatting sqref="BD13">
    <cfRule type="colorScale" priority="102">
      <colorScale>
        <cfvo type="num" val="0"/>
        <cfvo type="num" val="0.5"/>
        <cfvo type="num" val="1"/>
        <color rgb="FF92D050"/>
        <color rgb="FFFFA709"/>
        <color rgb="FFFF0000"/>
      </colorScale>
    </cfRule>
  </conditionalFormatting>
  <conditionalFormatting sqref="BF13">
    <cfRule type="colorScale" priority="101">
      <colorScale>
        <cfvo type="num" val="0"/>
        <cfvo type="num" val="0.5"/>
        <cfvo type="num" val="1"/>
        <color rgb="FF92D050"/>
        <color rgb="FFFFA709"/>
        <color rgb="FFFF0000"/>
      </colorScale>
    </cfRule>
  </conditionalFormatting>
  <conditionalFormatting sqref="BH13 BK13 BM13">
    <cfRule type="colorScale" priority="100">
      <colorScale>
        <cfvo type="num" val="0"/>
        <cfvo type="num" val="0.5"/>
        <cfvo type="num" val="1"/>
        <color rgb="FF92D050"/>
        <color rgb="FFFFA709"/>
        <color rgb="FFFF0000"/>
      </colorScale>
    </cfRule>
  </conditionalFormatting>
  <conditionalFormatting sqref="BI13">
    <cfRule type="colorScale" priority="99">
      <colorScale>
        <cfvo type="num" val="0"/>
        <cfvo type="num" val="0.5"/>
        <cfvo type="num" val="1"/>
        <color rgb="FF92D050"/>
        <color rgb="FFFFA709"/>
        <color rgb="FFFF0000"/>
      </colorScale>
    </cfRule>
  </conditionalFormatting>
  <conditionalFormatting sqref="BJ13">
    <cfRule type="colorScale" priority="98">
      <colorScale>
        <cfvo type="num" val="0"/>
        <cfvo type="num" val="0.5"/>
        <cfvo type="num" val="1"/>
        <color rgb="FF92D050"/>
        <color rgb="FFFFA709"/>
        <color rgb="FFFF0000"/>
      </colorScale>
    </cfRule>
  </conditionalFormatting>
  <conditionalFormatting sqref="BL13">
    <cfRule type="colorScale" priority="97">
      <colorScale>
        <cfvo type="num" val="0"/>
        <cfvo type="num" val="0.5"/>
        <cfvo type="num" val="1"/>
        <color rgb="FF92D050"/>
        <color rgb="FFFFA709"/>
        <color rgb="FFFF0000"/>
      </colorScale>
    </cfRule>
  </conditionalFormatting>
  <conditionalFormatting sqref="BN13 BQ13 BS13">
    <cfRule type="colorScale" priority="96">
      <colorScale>
        <cfvo type="num" val="0"/>
        <cfvo type="num" val="0.5"/>
        <cfvo type="num" val="1"/>
        <color rgb="FF92D050"/>
        <color rgb="FFFFA709"/>
        <color rgb="FFFF0000"/>
      </colorScale>
    </cfRule>
  </conditionalFormatting>
  <conditionalFormatting sqref="BO13">
    <cfRule type="colorScale" priority="95">
      <colorScale>
        <cfvo type="num" val="0"/>
        <cfvo type="num" val="0.5"/>
        <cfvo type="num" val="1"/>
        <color rgb="FF92D050"/>
        <color rgb="FFFFA709"/>
        <color rgb="FFFF0000"/>
      </colorScale>
    </cfRule>
  </conditionalFormatting>
  <conditionalFormatting sqref="BP13">
    <cfRule type="colorScale" priority="94">
      <colorScale>
        <cfvo type="num" val="0"/>
        <cfvo type="num" val="0.5"/>
        <cfvo type="num" val="1"/>
        <color rgb="FF92D050"/>
        <color rgb="FFFFA709"/>
        <color rgb="FFFF0000"/>
      </colorScale>
    </cfRule>
  </conditionalFormatting>
  <conditionalFormatting sqref="BR13">
    <cfRule type="colorScale" priority="93">
      <colorScale>
        <cfvo type="num" val="0"/>
        <cfvo type="num" val="0.5"/>
        <cfvo type="num" val="1"/>
        <color rgb="FF92D050"/>
        <color rgb="FFFFA709"/>
        <color rgb="FFFF0000"/>
      </colorScale>
    </cfRule>
  </conditionalFormatting>
  <conditionalFormatting sqref="BW13 BT13 BY13">
    <cfRule type="colorScale" priority="92">
      <colorScale>
        <cfvo type="num" val="0"/>
        <cfvo type="num" val="0.5"/>
        <cfvo type="num" val="1"/>
        <color rgb="FF92D050"/>
        <color rgb="FFFFA709"/>
        <color rgb="FFFF0000"/>
      </colorScale>
    </cfRule>
  </conditionalFormatting>
  <conditionalFormatting sqref="BU13">
    <cfRule type="colorScale" priority="91">
      <colorScale>
        <cfvo type="num" val="0"/>
        <cfvo type="num" val="0.5"/>
        <cfvo type="num" val="1"/>
        <color rgb="FF92D050"/>
        <color rgb="FFFFA709"/>
        <color rgb="FFFF0000"/>
      </colorScale>
    </cfRule>
  </conditionalFormatting>
  <conditionalFormatting sqref="BV13">
    <cfRule type="colorScale" priority="90">
      <colorScale>
        <cfvo type="num" val="0"/>
        <cfvo type="num" val="0.5"/>
        <cfvo type="num" val="1"/>
        <color rgb="FF92D050"/>
        <color rgb="FFFFA709"/>
        <color rgb="FFFF0000"/>
      </colorScale>
    </cfRule>
  </conditionalFormatting>
  <conditionalFormatting sqref="BX13">
    <cfRule type="colorScale" priority="89">
      <colorScale>
        <cfvo type="num" val="0"/>
        <cfvo type="num" val="0.5"/>
        <cfvo type="num" val="1"/>
        <color rgb="FF92D050"/>
        <color rgb="FFFFA709"/>
        <color rgb="FFFF0000"/>
      </colorScale>
    </cfRule>
  </conditionalFormatting>
  <conditionalFormatting sqref="BZ13 CC13 CE13">
    <cfRule type="colorScale" priority="88">
      <colorScale>
        <cfvo type="num" val="0"/>
        <cfvo type="num" val="0.5"/>
        <cfvo type="num" val="1"/>
        <color rgb="FF92D050"/>
        <color rgb="FFFFA709"/>
        <color rgb="FFFF0000"/>
      </colorScale>
    </cfRule>
  </conditionalFormatting>
  <conditionalFormatting sqref="CA13">
    <cfRule type="colorScale" priority="87">
      <colorScale>
        <cfvo type="num" val="0"/>
        <cfvo type="num" val="0.5"/>
        <cfvo type="num" val="1"/>
        <color rgb="FF92D050"/>
        <color rgb="FFFFA709"/>
        <color rgb="FFFF0000"/>
      </colorScale>
    </cfRule>
  </conditionalFormatting>
  <conditionalFormatting sqref="CB13">
    <cfRule type="colorScale" priority="86">
      <colorScale>
        <cfvo type="num" val="0"/>
        <cfvo type="num" val="0.5"/>
        <cfvo type="num" val="1"/>
        <color rgb="FF92D050"/>
        <color rgb="FFFFA709"/>
        <color rgb="FFFF0000"/>
      </colorScale>
    </cfRule>
  </conditionalFormatting>
  <conditionalFormatting sqref="CD13">
    <cfRule type="colorScale" priority="85">
      <colorScale>
        <cfvo type="num" val="0"/>
        <cfvo type="num" val="0.5"/>
        <cfvo type="num" val="1"/>
        <color rgb="FF92D050"/>
        <color rgb="FFFFA709"/>
        <color rgb="FFFF0000"/>
      </colorScale>
    </cfRule>
  </conditionalFormatting>
  <conditionalFormatting sqref="CF13 CI13 CK13">
    <cfRule type="colorScale" priority="84">
      <colorScale>
        <cfvo type="num" val="0"/>
        <cfvo type="num" val="0.5"/>
        <cfvo type="num" val="1"/>
        <color rgb="FF92D050"/>
        <color rgb="FFFFA709"/>
        <color rgb="FFFF0000"/>
      </colorScale>
    </cfRule>
  </conditionalFormatting>
  <conditionalFormatting sqref="CG13">
    <cfRule type="colorScale" priority="83">
      <colorScale>
        <cfvo type="num" val="0"/>
        <cfvo type="num" val="0.5"/>
        <cfvo type="num" val="1"/>
        <color rgb="FF92D050"/>
        <color rgb="FFFFA709"/>
        <color rgb="FFFF0000"/>
      </colorScale>
    </cfRule>
  </conditionalFormatting>
  <conditionalFormatting sqref="CH13">
    <cfRule type="colorScale" priority="82">
      <colorScale>
        <cfvo type="num" val="0"/>
        <cfvo type="num" val="0.5"/>
        <cfvo type="num" val="1"/>
        <color rgb="FF92D050"/>
        <color rgb="FFFFA709"/>
        <color rgb="FFFF0000"/>
      </colorScale>
    </cfRule>
  </conditionalFormatting>
  <conditionalFormatting sqref="CJ13">
    <cfRule type="colorScale" priority="81">
      <colorScale>
        <cfvo type="num" val="0"/>
        <cfvo type="num" val="0.5"/>
        <cfvo type="num" val="1"/>
        <color rgb="FF92D050"/>
        <color rgb="FFFFA709"/>
        <color rgb="FFFF0000"/>
      </colorScale>
    </cfRule>
  </conditionalFormatting>
  <conditionalFormatting sqref="CL13 CO13 CQ13">
    <cfRule type="colorScale" priority="80">
      <colorScale>
        <cfvo type="num" val="0"/>
        <cfvo type="num" val="0.5"/>
        <cfvo type="num" val="1"/>
        <color rgb="FF92D050"/>
        <color rgb="FFFFA709"/>
        <color rgb="FFFF0000"/>
      </colorScale>
    </cfRule>
  </conditionalFormatting>
  <conditionalFormatting sqref="CM13">
    <cfRule type="colorScale" priority="79">
      <colorScale>
        <cfvo type="num" val="0"/>
        <cfvo type="num" val="0.5"/>
        <cfvo type="num" val="1"/>
        <color rgb="FF92D050"/>
        <color rgb="FFFFA709"/>
        <color rgb="FFFF0000"/>
      </colorScale>
    </cfRule>
  </conditionalFormatting>
  <conditionalFormatting sqref="CN13">
    <cfRule type="colorScale" priority="78">
      <colorScale>
        <cfvo type="num" val="0"/>
        <cfvo type="num" val="0.5"/>
        <cfvo type="num" val="1"/>
        <color rgb="FF92D050"/>
        <color rgb="FFFFA709"/>
        <color rgb="FFFF0000"/>
      </colorScale>
    </cfRule>
  </conditionalFormatting>
  <conditionalFormatting sqref="CP13">
    <cfRule type="colorScale" priority="77">
      <colorScale>
        <cfvo type="num" val="0"/>
        <cfvo type="num" val="0.5"/>
        <cfvo type="num" val="1"/>
        <color rgb="FF92D050"/>
        <color rgb="FFFFA709"/>
        <color rgb="FFFF0000"/>
      </colorScale>
    </cfRule>
  </conditionalFormatting>
  <conditionalFormatting sqref="CR13 CU13 CW13">
    <cfRule type="colorScale" priority="76">
      <colorScale>
        <cfvo type="num" val="0"/>
        <cfvo type="num" val="0.5"/>
        <cfvo type="num" val="1"/>
        <color rgb="FF92D050"/>
        <color rgb="FFFFA709"/>
        <color rgb="FFFF0000"/>
      </colorScale>
    </cfRule>
  </conditionalFormatting>
  <conditionalFormatting sqref="CS13">
    <cfRule type="colorScale" priority="75">
      <colorScale>
        <cfvo type="num" val="0"/>
        <cfvo type="num" val="0.5"/>
        <cfvo type="num" val="1"/>
        <color rgb="FF92D050"/>
        <color rgb="FFFFA709"/>
        <color rgb="FFFF0000"/>
      </colorScale>
    </cfRule>
  </conditionalFormatting>
  <conditionalFormatting sqref="CT13">
    <cfRule type="colorScale" priority="74">
      <colorScale>
        <cfvo type="num" val="0"/>
        <cfvo type="num" val="0.5"/>
        <cfvo type="num" val="1"/>
        <color rgb="FF92D050"/>
        <color rgb="FFFFA709"/>
        <color rgb="FFFF0000"/>
      </colorScale>
    </cfRule>
  </conditionalFormatting>
  <conditionalFormatting sqref="CV13">
    <cfRule type="colorScale" priority="73">
      <colorScale>
        <cfvo type="num" val="0"/>
        <cfvo type="num" val="0.5"/>
        <cfvo type="num" val="1"/>
        <color rgb="FF92D050"/>
        <color rgb="FFFFA709"/>
        <color rgb="FFFF0000"/>
      </colorScale>
    </cfRule>
  </conditionalFormatting>
  <conditionalFormatting sqref="DA13 CX13 DC13">
    <cfRule type="colorScale" priority="72">
      <colorScale>
        <cfvo type="num" val="0"/>
        <cfvo type="num" val="0.5"/>
        <cfvo type="num" val="1"/>
        <color rgb="FF92D050"/>
        <color rgb="FFFFA709"/>
        <color rgb="FFFF0000"/>
      </colorScale>
    </cfRule>
  </conditionalFormatting>
  <conditionalFormatting sqref="CY13">
    <cfRule type="colorScale" priority="71">
      <colorScale>
        <cfvo type="num" val="0"/>
        <cfvo type="num" val="0.5"/>
        <cfvo type="num" val="1"/>
        <color rgb="FF92D050"/>
        <color rgb="FFFFA709"/>
        <color rgb="FFFF0000"/>
      </colorScale>
    </cfRule>
  </conditionalFormatting>
  <conditionalFormatting sqref="CZ13">
    <cfRule type="colorScale" priority="70">
      <colorScale>
        <cfvo type="num" val="0"/>
        <cfvo type="num" val="0.5"/>
        <cfvo type="num" val="1"/>
        <color rgb="FF92D050"/>
        <color rgb="FFFFA709"/>
        <color rgb="FFFF0000"/>
      </colorScale>
    </cfRule>
  </conditionalFormatting>
  <conditionalFormatting sqref="DB13">
    <cfRule type="colorScale" priority="69">
      <colorScale>
        <cfvo type="num" val="0"/>
        <cfvo type="num" val="0.5"/>
        <cfvo type="num" val="1"/>
        <color rgb="FF92D050"/>
        <color rgb="FFFFA709"/>
        <color rgb="FFFF0000"/>
      </colorScale>
    </cfRule>
  </conditionalFormatting>
  <conditionalFormatting sqref="DD13 DG13 DI13">
    <cfRule type="colorScale" priority="68">
      <colorScale>
        <cfvo type="num" val="0"/>
        <cfvo type="num" val="0.5"/>
        <cfvo type="num" val="1"/>
        <color rgb="FF92D050"/>
        <color rgb="FFFFA709"/>
        <color rgb="FFFF0000"/>
      </colorScale>
    </cfRule>
  </conditionalFormatting>
  <conditionalFormatting sqref="DE13">
    <cfRule type="colorScale" priority="67">
      <colorScale>
        <cfvo type="num" val="0"/>
        <cfvo type="num" val="0.5"/>
        <cfvo type="num" val="1"/>
        <color rgb="FF92D050"/>
        <color rgb="FFFFA709"/>
        <color rgb="FFFF0000"/>
      </colorScale>
    </cfRule>
  </conditionalFormatting>
  <conditionalFormatting sqref="DF13">
    <cfRule type="colorScale" priority="66">
      <colorScale>
        <cfvo type="num" val="0"/>
        <cfvo type="num" val="0.5"/>
        <cfvo type="num" val="1"/>
        <color rgb="FF92D050"/>
        <color rgb="FFFFA709"/>
        <color rgb="FFFF0000"/>
      </colorScale>
    </cfRule>
  </conditionalFormatting>
  <conditionalFormatting sqref="DH13">
    <cfRule type="colorScale" priority="65">
      <colorScale>
        <cfvo type="num" val="0"/>
        <cfvo type="num" val="0.5"/>
        <cfvo type="num" val="1"/>
        <color rgb="FF92D050"/>
        <color rgb="FFFFA709"/>
        <color rgb="FFFF0000"/>
      </colorScale>
    </cfRule>
  </conditionalFormatting>
  <conditionalFormatting sqref="DM13 DJ13 DO13">
    <cfRule type="colorScale" priority="64">
      <colorScale>
        <cfvo type="num" val="0"/>
        <cfvo type="num" val="0.5"/>
        <cfvo type="num" val="1"/>
        <color rgb="FF92D050"/>
        <color rgb="FFFFA709"/>
        <color rgb="FFFF0000"/>
      </colorScale>
    </cfRule>
  </conditionalFormatting>
  <conditionalFormatting sqref="DK13">
    <cfRule type="colorScale" priority="63">
      <colorScale>
        <cfvo type="num" val="0"/>
        <cfvo type="num" val="0.5"/>
        <cfvo type="num" val="1"/>
        <color rgb="FF92D050"/>
        <color rgb="FFFFA709"/>
        <color rgb="FFFF0000"/>
      </colorScale>
    </cfRule>
  </conditionalFormatting>
  <conditionalFormatting sqref="DL13">
    <cfRule type="colorScale" priority="62">
      <colorScale>
        <cfvo type="num" val="0"/>
        <cfvo type="num" val="0.5"/>
        <cfvo type="num" val="1"/>
        <color rgb="FF92D050"/>
        <color rgb="FFFFA709"/>
        <color rgb="FFFF0000"/>
      </colorScale>
    </cfRule>
  </conditionalFormatting>
  <conditionalFormatting sqref="DN13">
    <cfRule type="colorScale" priority="61">
      <colorScale>
        <cfvo type="num" val="0"/>
        <cfvo type="num" val="0.5"/>
        <cfvo type="num" val="1"/>
        <color rgb="FF92D050"/>
        <color rgb="FFFFA709"/>
        <color rgb="FFFF0000"/>
      </colorScale>
    </cfRule>
  </conditionalFormatting>
  <conditionalFormatting sqref="DP13 DS13 DU13">
    <cfRule type="colorScale" priority="60">
      <colorScale>
        <cfvo type="num" val="0"/>
        <cfvo type="num" val="0.5"/>
        <cfvo type="num" val="1"/>
        <color rgb="FF92D050"/>
        <color rgb="FFFFA709"/>
        <color rgb="FFFF0000"/>
      </colorScale>
    </cfRule>
  </conditionalFormatting>
  <conditionalFormatting sqref="DQ13">
    <cfRule type="colorScale" priority="59">
      <colorScale>
        <cfvo type="num" val="0"/>
        <cfvo type="num" val="0.5"/>
        <cfvo type="num" val="1"/>
        <color rgb="FF92D050"/>
        <color rgb="FFFFA709"/>
        <color rgb="FFFF0000"/>
      </colorScale>
    </cfRule>
  </conditionalFormatting>
  <conditionalFormatting sqref="DR13">
    <cfRule type="colorScale" priority="58">
      <colorScale>
        <cfvo type="num" val="0"/>
        <cfvo type="num" val="0.5"/>
        <cfvo type="num" val="1"/>
        <color rgb="FF92D050"/>
        <color rgb="FFFFA709"/>
        <color rgb="FFFF0000"/>
      </colorScale>
    </cfRule>
  </conditionalFormatting>
  <conditionalFormatting sqref="DT13">
    <cfRule type="colorScale" priority="57">
      <colorScale>
        <cfvo type="num" val="0"/>
        <cfvo type="num" val="0.5"/>
        <cfvo type="num" val="1"/>
        <color rgb="FF92D050"/>
        <color rgb="FFFFA709"/>
        <color rgb="FFFF0000"/>
      </colorScale>
    </cfRule>
  </conditionalFormatting>
  <conditionalFormatting sqref="DV13 DY13 EA13">
    <cfRule type="colorScale" priority="56">
      <colorScale>
        <cfvo type="num" val="0"/>
        <cfvo type="num" val="0.5"/>
        <cfvo type="num" val="1"/>
        <color rgb="FF92D050"/>
        <color rgb="FFFFA709"/>
        <color rgb="FFFF0000"/>
      </colorScale>
    </cfRule>
  </conditionalFormatting>
  <conditionalFormatting sqref="DW13">
    <cfRule type="colorScale" priority="55">
      <colorScale>
        <cfvo type="num" val="0"/>
        <cfvo type="num" val="0.5"/>
        <cfvo type="num" val="1"/>
        <color rgb="FF92D050"/>
        <color rgb="FFFFA709"/>
        <color rgb="FFFF0000"/>
      </colorScale>
    </cfRule>
  </conditionalFormatting>
  <conditionalFormatting sqref="DX13">
    <cfRule type="colorScale" priority="54">
      <colorScale>
        <cfvo type="num" val="0"/>
        <cfvo type="num" val="0.5"/>
        <cfvo type="num" val="1"/>
        <color rgb="FF92D050"/>
        <color rgb="FFFFA709"/>
        <color rgb="FFFF0000"/>
      </colorScale>
    </cfRule>
  </conditionalFormatting>
  <conditionalFormatting sqref="DZ13">
    <cfRule type="colorScale" priority="53">
      <colorScale>
        <cfvo type="num" val="0"/>
        <cfvo type="num" val="0.5"/>
        <cfvo type="num" val="1"/>
        <color rgb="FF92D050"/>
        <color rgb="FFFFA709"/>
        <color rgb="FFFF0000"/>
      </colorScale>
    </cfRule>
  </conditionalFormatting>
  <conditionalFormatting sqref="EB13 EE13 EG13">
    <cfRule type="colorScale" priority="52">
      <colorScale>
        <cfvo type="num" val="0"/>
        <cfvo type="num" val="0.5"/>
        <cfvo type="num" val="1"/>
        <color rgb="FF92D050"/>
        <color rgb="FFFFA709"/>
        <color rgb="FFFF0000"/>
      </colorScale>
    </cfRule>
  </conditionalFormatting>
  <conditionalFormatting sqref="EC13">
    <cfRule type="colorScale" priority="51">
      <colorScale>
        <cfvo type="num" val="0"/>
        <cfvo type="num" val="0.5"/>
        <cfvo type="num" val="1"/>
        <color rgb="FF92D050"/>
        <color rgb="FFFFA709"/>
        <color rgb="FFFF0000"/>
      </colorScale>
    </cfRule>
  </conditionalFormatting>
  <conditionalFormatting sqref="ED13">
    <cfRule type="colorScale" priority="50">
      <colorScale>
        <cfvo type="num" val="0"/>
        <cfvo type="num" val="0.5"/>
        <cfvo type="num" val="1"/>
        <color rgb="FF92D050"/>
        <color rgb="FFFFA709"/>
        <color rgb="FFFF0000"/>
      </colorScale>
    </cfRule>
  </conditionalFormatting>
  <conditionalFormatting sqref="EF13">
    <cfRule type="colorScale" priority="49">
      <colorScale>
        <cfvo type="num" val="0"/>
        <cfvo type="num" val="0.5"/>
        <cfvo type="num" val="1"/>
        <color rgb="FF92D050"/>
        <color rgb="FFFFA709"/>
        <color rgb="FFFF0000"/>
      </colorScale>
    </cfRule>
  </conditionalFormatting>
  <conditionalFormatting sqref="EH13 EK13 EM13">
    <cfRule type="colorScale" priority="48">
      <colorScale>
        <cfvo type="num" val="0"/>
        <cfvo type="num" val="0.5"/>
        <cfvo type="num" val="1"/>
        <color rgb="FF92D050"/>
        <color rgb="FFFFA709"/>
        <color rgb="FFFF0000"/>
      </colorScale>
    </cfRule>
  </conditionalFormatting>
  <conditionalFormatting sqref="EI13">
    <cfRule type="colorScale" priority="47">
      <colorScale>
        <cfvo type="num" val="0"/>
        <cfvo type="num" val="0.5"/>
        <cfvo type="num" val="1"/>
        <color rgb="FF92D050"/>
        <color rgb="FFFFA709"/>
        <color rgb="FFFF0000"/>
      </colorScale>
    </cfRule>
  </conditionalFormatting>
  <conditionalFormatting sqref="EJ13">
    <cfRule type="colorScale" priority="46">
      <colorScale>
        <cfvo type="num" val="0"/>
        <cfvo type="num" val="0.5"/>
        <cfvo type="num" val="1"/>
        <color rgb="FF92D050"/>
        <color rgb="FFFFA709"/>
        <color rgb="FFFF0000"/>
      </colorScale>
    </cfRule>
  </conditionalFormatting>
  <conditionalFormatting sqref="EL13">
    <cfRule type="colorScale" priority="45">
      <colorScale>
        <cfvo type="num" val="0"/>
        <cfvo type="num" val="0.5"/>
        <cfvo type="num" val="1"/>
        <color rgb="FF92D050"/>
        <color rgb="FFFFA709"/>
        <color rgb="FFFF0000"/>
      </colorScale>
    </cfRule>
  </conditionalFormatting>
  <conditionalFormatting sqref="EN13 EQ13 ES13">
    <cfRule type="colorScale" priority="44">
      <colorScale>
        <cfvo type="num" val="0"/>
        <cfvo type="num" val="0.5"/>
        <cfvo type="num" val="1"/>
        <color rgb="FF92D050"/>
        <color rgb="FFFFA709"/>
        <color rgb="FFFF0000"/>
      </colorScale>
    </cfRule>
  </conditionalFormatting>
  <conditionalFormatting sqref="EO13">
    <cfRule type="colorScale" priority="43">
      <colorScale>
        <cfvo type="num" val="0"/>
        <cfvo type="num" val="0.5"/>
        <cfvo type="num" val="1"/>
        <color rgb="FF92D050"/>
        <color rgb="FFFFA709"/>
        <color rgb="FFFF0000"/>
      </colorScale>
    </cfRule>
  </conditionalFormatting>
  <conditionalFormatting sqref="EP13">
    <cfRule type="colorScale" priority="42">
      <colorScale>
        <cfvo type="num" val="0"/>
        <cfvo type="num" val="0.5"/>
        <cfvo type="num" val="1"/>
        <color rgb="FF92D050"/>
        <color rgb="FFFFA709"/>
        <color rgb="FFFF0000"/>
      </colorScale>
    </cfRule>
  </conditionalFormatting>
  <conditionalFormatting sqref="ER13">
    <cfRule type="colorScale" priority="41">
      <colorScale>
        <cfvo type="num" val="0"/>
        <cfvo type="num" val="0.5"/>
        <cfvo type="num" val="1"/>
        <color rgb="FF92D050"/>
        <color rgb="FFFFA709"/>
        <color rgb="FFFF0000"/>
      </colorScale>
    </cfRule>
  </conditionalFormatting>
  <conditionalFormatting sqref="EW13 ET13 EY13">
    <cfRule type="colorScale" priority="40">
      <colorScale>
        <cfvo type="num" val="0"/>
        <cfvo type="num" val="0.5"/>
        <cfvo type="num" val="1"/>
        <color rgb="FF92D050"/>
        <color rgb="FFFFA709"/>
        <color rgb="FFFF0000"/>
      </colorScale>
    </cfRule>
  </conditionalFormatting>
  <conditionalFormatting sqref="EU13">
    <cfRule type="colorScale" priority="39">
      <colorScale>
        <cfvo type="num" val="0"/>
        <cfvo type="num" val="0.5"/>
        <cfvo type="num" val="1"/>
        <color rgb="FF92D050"/>
        <color rgb="FFFFA709"/>
        <color rgb="FFFF0000"/>
      </colorScale>
    </cfRule>
  </conditionalFormatting>
  <conditionalFormatting sqref="EV13">
    <cfRule type="colorScale" priority="38">
      <colorScale>
        <cfvo type="num" val="0"/>
        <cfvo type="num" val="0.5"/>
        <cfvo type="num" val="1"/>
        <color rgb="FF92D050"/>
        <color rgb="FFFFA709"/>
        <color rgb="FFFF0000"/>
      </colorScale>
    </cfRule>
  </conditionalFormatting>
  <conditionalFormatting sqref="EX13">
    <cfRule type="colorScale" priority="37">
      <colorScale>
        <cfvo type="num" val="0"/>
        <cfvo type="num" val="0.5"/>
        <cfvo type="num" val="1"/>
        <color rgb="FF92D050"/>
        <color rgb="FFFFA709"/>
        <color rgb="FFFF0000"/>
      </colorScale>
    </cfRule>
  </conditionalFormatting>
  <conditionalFormatting sqref="EZ13 FC13 FE13">
    <cfRule type="colorScale" priority="36">
      <colorScale>
        <cfvo type="num" val="0"/>
        <cfvo type="num" val="0.5"/>
        <cfvo type="num" val="1"/>
        <color rgb="FF92D050"/>
        <color rgb="FFFFA709"/>
        <color rgb="FFFF0000"/>
      </colorScale>
    </cfRule>
  </conditionalFormatting>
  <conditionalFormatting sqref="FA13">
    <cfRule type="colorScale" priority="35">
      <colorScale>
        <cfvo type="num" val="0"/>
        <cfvo type="num" val="0.5"/>
        <cfvo type="num" val="1"/>
        <color rgb="FF92D050"/>
        <color rgb="FFFFA709"/>
        <color rgb="FFFF0000"/>
      </colorScale>
    </cfRule>
  </conditionalFormatting>
  <conditionalFormatting sqref="FB13">
    <cfRule type="colorScale" priority="34">
      <colorScale>
        <cfvo type="num" val="0"/>
        <cfvo type="num" val="0.5"/>
        <cfvo type="num" val="1"/>
        <color rgb="FF92D050"/>
        <color rgb="FFFFA709"/>
        <color rgb="FFFF0000"/>
      </colorScale>
    </cfRule>
  </conditionalFormatting>
  <conditionalFormatting sqref="FD13">
    <cfRule type="colorScale" priority="33">
      <colorScale>
        <cfvo type="num" val="0"/>
        <cfvo type="num" val="0.5"/>
        <cfvo type="num" val="1"/>
        <color rgb="FF92D050"/>
        <color rgb="FFFFA709"/>
        <color rgb="FFFF0000"/>
      </colorScale>
    </cfRule>
  </conditionalFormatting>
  <conditionalFormatting sqref="FF13 FI13 FK13">
    <cfRule type="colorScale" priority="32">
      <colorScale>
        <cfvo type="num" val="0"/>
        <cfvo type="num" val="0.5"/>
        <cfvo type="num" val="1"/>
        <color rgb="FF92D050"/>
        <color rgb="FFFFA709"/>
        <color rgb="FFFF0000"/>
      </colorScale>
    </cfRule>
  </conditionalFormatting>
  <conditionalFormatting sqref="FG13">
    <cfRule type="colorScale" priority="31">
      <colorScale>
        <cfvo type="num" val="0"/>
        <cfvo type="num" val="0.5"/>
        <cfvo type="num" val="1"/>
        <color rgb="FF92D050"/>
        <color rgb="FFFFA709"/>
        <color rgb="FFFF0000"/>
      </colorScale>
    </cfRule>
  </conditionalFormatting>
  <conditionalFormatting sqref="FH13">
    <cfRule type="colorScale" priority="30">
      <colorScale>
        <cfvo type="num" val="0"/>
        <cfvo type="num" val="0.5"/>
        <cfvo type="num" val="1"/>
        <color rgb="FF92D050"/>
        <color rgb="FFFFA709"/>
        <color rgb="FFFF0000"/>
      </colorScale>
    </cfRule>
  </conditionalFormatting>
  <conditionalFormatting sqref="FJ13">
    <cfRule type="colorScale" priority="29">
      <colorScale>
        <cfvo type="num" val="0"/>
        <cfvo type="num" val="0.5"/>
        <cfvo type="num" val="1"/>
        <color rgb="FF92D050"/>
        <color rgb="FFFFA709"/>
        <color rgb="FFFF0000"/>
      </colorScale>
    </cfRule>
  </conditionalFormatting>
  <conditionalFormatting sqref="FL13 FO13 FQ13">
    <cfRule type="colorScale" priority="28">
      <colorScale>
        <cfvo type="num" val="0"/>
        <cfvo type="num" val="0.5"/>
        <cfvo type="num" val="1"/>
        <color rgb="FF92D050"/>
        <color rgb="FFFFA709"/>
        <color rgb="FFFF0000"/>
      </colorScale>
    </cfRule>
  </conditionalFormatting>
  <conditionalFormatting sqref="FM13">
    <cfRule type="colorScale" priority="27">
      <colorScale>
        <cfvo type="num" val="0"/>
        <cfvo type="num" val="0.5"/>
        <cfvo type="num" val="1"/>
        <color rgb="FF92D050"/>
        <color rgb="FFFFA709"/>
        <color rgb="FFFF0000"/>
      </colorScale>
    </cfRule>
  </conditionalFormatting>
  <conditionalFormatting sqref="FN13">
    <cfRule type="colorScale" priority="26">
      <colorScale>
        <cfvo type="num" val="0"/>
        <cfvo type="num" val="0.5"/>
        <cfvo type="num" val="1"/>
        <color rgb="FF92D050"/>
        <color rgb="FFFFA709"/>
        <color rgb="FFFF0000"/>
      </colorScale>
    </cfRule>
  </conditionalFormatting>
  <conditionalFormatting sqref="FP13">
    <cfRule type="colorScale" priority="25">
      <colorScale>
        <cfvo type="num" val="0"/>
        <cfvo type="num" val="0.5"/>
        <cfvo type="num" val="1"/>
        <color rgb="FF92D050"/>
        <color rgb="FFFFA709"/>
        <color rgb="FFFF0000"/>
      </colorScale>
    </cfRule>
  </conditionalFormatting>
  <conditionalFormatting sqref="FU13 FR13 FW13">
    <cfRule type="colorScale" priority="24">
      <colorScale>
        <cfvo type="num" val="0"/>
        <cfvo type="num" val="0.5"/>
        <cfvo type="num" val="1"/>
        <color rgb="FF92D050"/>
        <color rgb="FFFFA709"/>
        <color rgb="FFFF0000"/>
      </colorScale>
    </cfRule>
  </conditionalFormatting>
  <conditionalFormatting sqref="FS13">
    <cfRule type="colorScale" priority="23">
      <colorScale>
        <cfvo type="num" val="0"/>
        <cfvo type="num" val="0.5"/>
        <cfvo type="num" val="1"/>
        <color rgb="FF92D050"/>
        <color rgb="FFFFA709"/>
        <color rgb="FFFF0000"/>
      </colorScale>
    </cfRule>
  </conditionalFormatting>
  <conditionalFormatting sqref="FT13">
    <cfRule type="colorScale" priority="22">
      <colorScale>
        <cfvo type="num" val="0"/>
        <cfvo type="num" val="0.5"/>
        <cfvo type="num" val="1"/>
        <color rgb="FF92D050"/>
        <color rgb="FFFFA709"/>
        <color rgb="FFFF0000"/>
      </colorScale>
    </cfRule>
  </conditionalFormatting>
  <conditionalFormatting sqref="FV13">
    <cfRule type="colorScale" priority="21">
      <colorScale>
        <cfvo type="num" val="0"/>
        <cfvo type="num" val="0.5"/>
        <cfvo type="num" val="1"/>
        <color rgb="FF92D050"/>
        <color rgb="FFFFA709"/>
        <color rgb="FFFF0000"/>
      </colorScale>
    </cfRule>
  </conditionalFormatting>
  <conditionalFormatting sqref="FX13 GA13 GC13">
    <cfRule type="colorScale" priority="20">
      <colorScale>
        <cfvo type="num" val="0"/>
        <cfvo type="num" val="0.5"/>
        <cfvo type="num" val="1"/>
        <color rgb="FF92D050"/>
        <color rgb="FFFFA709"/>
        <color rgb="FFFF0000"/>
      </colorScale>
    </cfRule>
  </conditionalFormatting>
  <conditionalFormatting sqref="FY13">
    <cfRule type="colorScale" priority="19">
      <colorScale>
        <cfvo type="num" val="0"/>
        <cfvo type="num" val="0.5"/>
        <cfvo type="num" val="1"/>
        <color rgb="FF92D050"/>
        <color rgb="FFFFA709"/>
        <color rgb="FFFF0000"/>
      </colorScale>
    </cfRule>
  </conditionalFormatting>
  <conditionalFormatting sqref="FZ13">
    <cfRule type="colorScale" priority="18">
      <colorScale>
        <cfvo type="num" val="0"/>
        <cfvo type="num" val="0.5"/>
        <cfvo type="num" val="1"/>
        <color rgb="FF92D050"/>
        <color rgb="FFFFA709"/>
        <color rgb="FFFF0000"/>
      </colorScale>
    </cfRule>
  </conditionalFormatting>
  <conditionalFormatting sqref="GB13">
    <cfRule type="colorScale" priority="17">
      <colorScale>
        <cfvo type="num" val="0"/>
        <cfvo type="num" val="0.5"/>
        <cfvo type="num" val="1"/>
        <color rgb="FF92D050"/>
        <color rgb="FFFFA709"/>
        <color rgb="FFFF0000"/>
      </colorScale>
    </cfRule>
  </conditionalFormatting>
  <conditionalFormatting sqref="GD13 GG13 GI13">
    <cfRule type="colorScale" priority="16">
      <colorScale>
        <cfvo type="num" val="0"/>
        <cfvo type="num" val="0.5"/>
        <cfvo type="num" val="1"/>
        <color rgb="FF92D050"/>
        <color rgb="FFFFA709"/>
        <color rgb="FFFF0000"/>
      </colorScale>
    </cfRule>
  </conditionalFormatting>
  <conditionalFormatting sqref="GE13">
    <cfRule type="colorScale" priority="15">
      <colorScale>
        <cfvo type="num" val="0"/>
        <cfvo type="num" val="0.5"/>
        <cfvo type="num" val="1"/>
        <color rgb="FF92D050"/>
        <color rgb="FFFFA709"/>
        <color rgb="FFFF0000"/>
      </colorScale>
    </cfRule>
  </conditionalFormatting>
  <conditionalFormatting sqref="GF13">
    <cfRule type="colorScale" priority="14">
      <colorScale>
        <cfvo type="num" val="0"/>
        <cfvo type="num" val="0.5"/>
        <cfvo type="num" val="1"/>
        <color rgb="FF92D050"/>
        <color rgb="FFFFA709"/>
        <color rgb="FFFF0000"/>
      </colorScale>
    </cfRule>
  </conditionalFormatting>
  <conditionalFormatting sqref="GH13">
    <cfRule type="colorScale" priority="13">
      <colorScale>
        <cfvo type="num" val="0"/>
        <cfvo type="num" val="0.5"/>
        <cfvo type="num" val="1"/>
        <color rgb="FF92D050"/>
        <color rgb="FFFFA709"/>
        <color rgb="FFFF0000"/>
      </colorScale>
    </cfRule>
  </conditionalFormatting>
  <conditionalFormatting sqref="GM13 GJ13 GO13">
    <cfRule type="colorScale" priority="12">
      <colorScale>
        <cfvo type="num" val="0"/>
        <cfvo type="num" val="0.5"/>
        <cfvo type="num" val="1"/>
        <color rgb="FF92D050"/>
        <color rgb="FFFFA709"/>
        <color rgb="FFFF0000"/>
      </colorScale>
    </cfRule>
  </conditionalFormatting>
  <conditionalFormatting sqref="GK13">
    <cfRule type="colorScale" priority="11">
      <colorScale>
        <cfvo type="num" val="0"/>
        <cfvo type="num" val="0.5"/>
        <cfvo type="num" val="1"/>
        <color rgb="FF92D050"/>
        <color rgb="FFFFA709"/>
        <color rgb="FFFF0000"/>
      </colorScale>
    </cfRule>
  </conditionalFormatting>
  <conditionalFormatting sqref="GL13">
    <cfRule type="colorScale" priority="10">
      <colorScale>
        <cfvo type="num" val="0"/>
        <cfvo type="num" val="0.5"/>
        <cfvo type="num" val="1"/>
        <color rgb="FF92D050"/>
        <color rgb="FFFFA709"/>
        <color rgb="FFFF0000"/>
      </colorScale>
    </cfRule>
  </conditionalFormatting>
  <conditionalFormatting sqref="GN13">
    <cfRule type="colorScale" priority="9">
      <colorScale>
        <cfvo type="num" val="0"/>
        <cfvo type="num" val="0.5"/>
        <cfvo type="num" val="1"/>
        <color rgb="FF92D050"/>
        <color rgb="FFFFA709"/>
        <color rgb="FFFF0000"/>
      </colorScale>
    </cfRule>
  </conditionalFormatting>
  <conditionalFormatting sqref="GP13 GS13 GU13">
    <cfRule type="colorScale" priority="8">
      <colorScale>
        <cfvo type="num" val="0"/>
        <cfvo type="num" val="0.5"/>
        <cfvo type="num" val="1"/>
        <color rgb="FF92D050"/>
        <color rgb="FFFFA709"/>
        <color rgb="FFFF0000"/>
      </colorScale>
    </cfRule>
  </conditionalFormatting>
  <conditionalFormatting sqref="GQ13">
    <cfRule type="colorScale" priority="7">
      <colorScale>
        <cfvo type="num" val="0"/>
        <cfvo type="num" val="0.5"/>
        <cfvo type="num" val="1"/>
        <color rgb="FF92D050"/>
        <color rgb="FFFFA709"/>
        <color rgb="FFFF0000"/>
      </colorScale>
    </cfRule>
  </conditionalFormatting>
  <conditionalFormatting sqref="GR13">
    <cfRule type="colorScale" priority="6">
      <colorScale>
        <cfvo type="num" val="0"/>
        <cfvo type="num" val="0.5"/>
        <cfvo type="num" val="1"/>
        <color rgb="FF92D050"/>
        <color rgb="FFFFA709"/>
        <color rgb="FFFF0000"/>
      </colorScale>
    </cfRule>
  </conditionalFormatting>
  <conditionalFormatting sqref="GT13">
    <cfRule type="colorScale" priority="5">
      <colorScale>
        <cfvo type="num" val="0"/>
        <cfvo type="num" val="0.5"/>
        <cfvo type="num" val="1"/>
        <color rgb="FF92D050"/>
        <color rgb="FFFFA709"/>
        <color rgb="FFFF0000"/>
      </colorScale>
    </cfRule>
  </conditionalFormatting>
  <conditionalFormatting sqref="GV13 GY13 HA13">
    <cfRule type="colorScale" priority="4">
      <colorScale>
        <cfvo type="num" val="0"/>
        <cfvo type="num" val="0.5"/>
        <cfvo type="num" val="1"/>
        <color rgb="FF92D050"/>
        <color rgb="FFFFA709"/>
        <color rgb="FFFF0000"/>
      </colorScale>
    </cfRule>
  </conditionalFormatting>
  <conditionalFormatting sqref="GW13">
    <cfRule type="colorScale" priority="3">
      <colorScale>
        <cfvo type="num" val="0"/>
        <cfvo type="num" val="0.5"/>
        <cfvo type="num" val="1"/>
        <color rgb="FF92D050"/>
        <color rgb="FFFFA709"/>
        <color rgb="FFFF0000"/>
      </colorScale>
    </cfRule>
  </conditionalFormatting>
  <conditionalFormatting sqref="GX13">
    <cfRule type="colorScale" priority="2">
      <colorScale>
        <cfvo type="num" val="0"/>
        <cfvo type="num" val="0.5"/>
        <cfvo type="num" val="1"/>
        <color rgb="FF92D050"/>
        <color rgb="FFFFA709"/>
        <color rgb="FFFF0000"/>
      </colorScale>
    </cfRule>
  </conditionalFormatting>
  <conditionalFormatting sqref="GZ13">
    <cfRule type="colorScale" priority="1">
      <colorScale>
        <cfvo type="num" val="0"/>
        <cfvo type="num" val="0.5"/>
        <cfvo type="num" val="1"/>
        <color rgb="FF92D050"/>
        <color rgb="FFFFA709"/>
        <color rgb="FFFF0000"/>
      </colorScale>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4"/>
  <dimension ref="A1:DO33"/>
  <sheetViews>
    <sheetView workbookViewId="0">
      <selection activeCell="J17" sqref="J17"/>
    </sheetView>
  </sheetViews>
  <sheetFormatPr defaultRowHeight="14.4" x14ac:dyDescent="0.3"/>
  <cols>
    <col min="1" max="1" width="28.88671875" customWidth="1"/>
    <col min="2" max="2" width="10.5546875" customWidth="1"/>
    <col min="3" max="14" width="9.88671875" customWidth="1"/>
    <col min="15" max="18" width="10.109375" customWidth="1"/>
    <col min="19" max="22" width="10.6640625" customWidth="1"/>
    <col min="23" max="23" width="9.88671875" customWidth="1"/>
    <col min="24" max="28" width="10.6640625" customWidth="1"/>
    <col min="29" max="34" width="9.88671875" customWidth="1"/>
    <col min="35" max="35" width="9.44140625" customWidth="1"/>
    <col min="36" max="40" width="9.88671875" customWidth="1"/>
    <col min="42" max="46" width="9.88671875" customWidth="1"/>
    <col min="48" max="52" width="9.88671875" customWidth="1"/>
    <col min="54" max="58" width="9.88671875" customWidth="1"/>
    <col min="60" max="64" width="9.88671875" customWidth="1"/>
    <col min="66" max="70" width="9.88671875" customWidth="1"/>
    <col min="72" max="76" width="9.88671875" customWidth="1"/>
    <col min="78" max="82" width="9.88671875" customWidth="1"/>
    <col min="84" max="88" width="9.88671875" customWidth="1"/>
    <col min="90" max="94" width="9.88671875" customWidth="1"/>
    <col min="96" max="100" width="9.88671875" customWidth="1"/>
    <col min="102" max="106" width="9.88671875" customWidth="1"/>
    <col min="108" max="112" width="9.88671875" customWidth="1"/>
    <col min="114" max="118" width="9.88671875" customWidth="1"/>
  </cols>
  <sheetData>
    <row r="1" spans="1:119" ht="15.6" thickTop="1" thickBot="1" x14ac:dyDescent="0.35">
      <c r="A1" s="730"/>
      <c r="B1" s="731"/>
      <c r="C1" s="429">
        <v>43913</v>
      </c>
      <c r="D1" s="429">
        <v>43914</v>
      </c>
      <c r="E1" s="429">
        <v>43915</v>
      </c>
      <c r="F1" s="429">
        <v>43916</v>
      </c>
      <c r="G1" s="438">
        <v>43917</v>
      </c>
      <c r="H1" s="445" t="s">
        <v>5305</v>
      </c>
      <c r="I1" s="442">
        <v>43927</v>
      </c>
      <c r="J1" s="429">
        <v>43928</v>
      </c>
      <c r="K1" s="429">
        <v>43929</v>
      </c>
      <c r="L1" s="429">
        <v>43930</v>
      </c>
      <c r="M1" s="438">
        <v>43931</v>
      </c>
      <c r="N1" s="445" t="s">
        <v>10225</v>
      </c>
      <c r="O1" s="442">
        <v>43957</v>
      </c>
      <c r="P1" s="429">
        <v>43958</v>
      </c>
      <c r="Q1" s="429">
        <v>43959</v>
      </c>
      <c r="R1" s="445" t="s">
        <v>6704</v>
      </c>
      <c r="S1" s="429">
        <v>43963</v>
      </c>
      <c r="T1" s="438">
        <v>43964</v>
      </c>
      <c r="U1" s="438">
        <v>43965</v>
      </c>
      <c r="V1" s="438">
        <v>43966</v>
      </c>
      <c r="W1" s="445" t="s">
        <v>6808</v>
      </c>
      <c r="X1" s="429">
        <v>43969</v>
      </c>
      <c r="Y1" s="429">
        <v>43970</v>
      </c>
      <c r="Z1" s="429">
        <v>43971</v>
      </c>
      <c r="AA1" s="429">
        <v>43972</v>
      </c>
      <c r="AB1" s="429">
        <v>43973</v>
      </c>
      <c r="AC1" s="445" t="s">
        <v>6809</v>
      </c>
      <c r="AD1" s="429">
        <v>43976</v>
      </c>
      <c r="AE1" s="429">
        <v>43977</v>
      </c>
      <c r="AF1" s="429">
        <v>43978</v>
      </c>
      <c r="AG1" s="429">
        <v>43979</v>
      </c>
      <c r="AH1" s="429">
        <v>43980</v>
      </c>
      <c r="AI1" s="445" t="s">
        <v>6810</v>
      </c>
      <c r="AJ1" s="429">
        <v>43983</v>
      </c>
      <c r="AK1" s="429">
        <v>43984</v>
      </c>
      <c r="AL1" s="429">
        <v>43985</v>
      </c>
      <c r="AM1" s="429">
        <v>43986</v>
      </c>
      <c r="AN1" s="429">
        <v>43987</v>
      </c>
      <c r="AO1" s="445" t="s">
        <v>7895</v>
      </c>
      <c r="AP1" s="429">
        <v>43990</v>
      </c>
      <c r="AQ1" s="429">
        <v>43991</v>
      </c>
      <c r="AR1" s="429">
        <v>43992</v>
      </c>
      <c r="AS1" s="429">
        <v>43993</v>
      </c>
      <c r="AT1" s="429">
        <v>43994</v>
      </c>
      <c r="AU1" s="445" t="s">
        <v>9795</v>
      </c>
      <c r="AV1" s="429">
        <v>43997</v>
      </c>
      <c r="AW1" s="429">
        <v>43998</v>
      </c>
      <c r="AX1" s="429">
        <v>43999</v>
      </c>
      <c r="AY1" s="429">
        <v>44000</v>
      </c>
      <c r="AZ1" s="429">
        <v>44001</v>
      </c>
      <c r="BA1" s="445" t="s">
        <v>9796</v>
      </c>
      <c r="BB1" s="429">
        <v>44004</v>
      </c>
      <c r="BC1" s="429">
        <v>44005</v>
      </c>
      <c r="BD1" s="429">
        <v>44006</v>
      </c>
      <c r="BE1" s="429">
        <v>44007</v>
      </c>
      <c r="BF1" s="429">
        <v>44008</v>
      </c>
      <c r="BG1" s="445" t="s">
        <v>9797</v>
      </c>
      <c r="BH1" s="429">
        <v>44011</v>
      </c>
      <c r="BI1" s="429">
        <v>44012</v>
      </c>
      <c r="BJ1" s="429">
        <v>44013</v>
      </c>
      <c r="BK1" s="429">
        <v>44014</v>
      </c>
      <c r="BL1" s="429">
        <v>44015</v>
      </c>
      <c r="BM1" s="445" t="s">
        <v>9798</v>
      </c>
      <c r="BN1" s="429">
        <v>44018</v>
      </c>
      <c r="BO1" s="429">
        <v>44019</v>
      </c>
      <c r="BP1" s="429">
        <v>44020</v>
      </c>
      <c r="BQ1" s="429">
        <v>44021</v>
      </c>
      <c r="BR1" s="429">
        <v>44022</v>
      </c>
      <c r="BS1" s="445" t="s">
        <v>9799</v>
      </c>
      <c r="BT1" s="429">
        <v>44025</v>
      </c>
      <c r="BU1" s="429">
        <v>44026</v>
      </c>
      <c r="BV1" s="429">
        <v>44027</v>
      </c>
      <c r="BW1" s="429">
        <v>44028</v>
      </c>
      <c r="BX1" s="429">
        <v>44029</v>
      </c>
      <c r="BY1" s="445" t="s">
        <v>9800</v>
      </c>
      <c r="BZ1" s="429">
        <v>44032</v>
      </c>
      <c r="CA1" s="429">
        <v>44033</v>
      </c>
      <c r="CB1" s="429">
        <v>44034</v>
      </c>
      <c r="CC1" s="429">
        <v>44035</v>
      </c>
      <c r="CD1" s="429">
        <v>44036</v>
      </c>
      <c r="CE1" s="445" t="s">
        <v>9801</v>
      </c>
      <c r="CF1" s="429">
        <v>44039</v>
      </c>
      <c r="CG1" s="429">
        <v>44040</v>
      </c>
      <c r="CH1" s="429">
        <v>44041</v>
      </c>
      <c r="CI1" s="429">
        <v>44042</v>
      </c>
      <c r="CJ1" s="429">
        <v>44043</v>
      </c>
      <c r="CK1" s="445" t="s">
        <v>10219</v>
      </c>
      <c r="CL1" s="429">
        <v>44046</v>
      </c>
      <c r="CM1" s="429">
        <v>44047</v>
      </c>
      <c r="CN1" s="429">
        <v>44048</v>
      </c>
      <c r="CO1" s="429">
        <v>44049</v>
      </c>
      <c r="CP1" s="429">
        <v>44050</v>
      </c>
      <c r="CQ1" s="445" t="s">
        <v>10220</v>
      </c>
      <c r="CR1" s="429">
        <v>44053</v>
      </c>
      <c r="CS1" s="429">
        <v>44054</v>
      </c>
      <c r="CT1" s="429">
        <v>44055</v>
      </c>
      <c r="CU1" s="429">
        <v>44056</v>
      </c>
      <c r="CV1" s="429">
        <v>44057</v>
      </c>
      <c r="CW1" s="445" t="s">
        <v>10224</v>
      </c>
      <c r="CX1" s="429">
        <v>44060</v>
      </c>
      <c r="CY1" s="429">
        <v>44061</v>
      </c>
      <c r="CZ1" s="429">
        <v>44062</v>
      </c>
      <c r="DA1" s="429">
        <v>44063</v>
      </c>
      <c r="DB1" s="429">
        <v>44064</v>
      </c>
      <c r="DC1" s="445" t="s">
        <v>10223</v>
      </c>
      <c r="DD1" s="429">
        <v>44067</v>
      </c>
      <c r="DE1" s="429">
        <v>44068</v>
      </c>
      <c r="DF1" s="429">
        <v>44069</v>
      </c>
      <c r="DG1" s="429">
        <v>44070</v>
      </c>
      <c r="DH1" s="429">
        <v>44071</v>
      </c>
      <c r="DI1" s="445" t="s">
        <v>10221</v>
      </c>
      <c r="DJ1" s="429">
        <v>44074</v>
      </c>
      <c r="DK1" s="429">
        <v>44075</v>
      </c>
      <c r="DL1" s="429">
        <v>44076</v>
      </c>
      <c r="DM1" s="429">
        <v>44077</v>
      </c>
      <c r="DN1" s="429">
        <v>44078</v>
      </c>
      <c r="DO1" s="445" t="s">
        <v>10222</v>
      </c>
    </row>
    <row r="2" spans="1:119" ht="15" thickTop="1" x14ac:dyDescent="0.3">
      <c r="A2" s="1558" t="s">
        <v>2037</v>
      </c>
    </row>
    <row r="3" spans="1:119" x14ac:dyDescent="0.3">
      <c r="A3" s="1559"/>
    </row>
    <row r="4" spans="1:119" ht="15" thickBot="1" x14ac:dyDescent="0.35">
      <c r="A4" s="1560"/>
    </row>
    <row r="5" spans="1:119" ht="15" thickTop="1" x14ac:dyDescent="0.3">
      <c r="A5" s="1561" t="s">
        <v>2076</v>
      </c>
    </row>
    <row r="6" spans="1:119" x14ac:dyDescent="0.3">
      <c r="A6" s="1562"/>
    </row>
    <row r="7" spans="1:119" ht="15" thickBot="1" x14ac:dyDescent="0.35">
      <c r="A7" s="1563"/>
    </row>
    <row r="8" spans="1:119" ht="15" thickTop="1" x14ac:dyDescent="0.3">
      <c r="A8" s="1558" t="s">
        <v>2142</v>
      </c>
    </row>
    <row r="9" spans="1:119" x14ac:dyDescent="0.3">
      <c r="A9" s="1559"/>
    </row>
    <row r="10" spans="1:119" ht="15" thickBot="1" x14ac:dyDescent="0.35">
      <c r="A10" s="1560"/>
    </row>
    <row r="11" spans="1:119" ht="15" thickTop="1" x14ac:dyDescent="0.3">
      <c r="A11" s="1558" t="s">
        <v>2109</v>
      </c>
    </row>
    <row r="12" spans="1:119" x14ac:dyDescent="0.3">
      <c r="A12" s="1559"/>
    </row>
    <row r="13" spans="1:119" ht="15" thickBot="1" x14ac:dyDescent="0.35">
      <c r="A13" s="1560"/>
    </row>
    <row r="14" spans="1:119" ht="15" thickTop="1" x14ac:dyDescent="0.3">
      <c r="A14" s="1555" t="s">
        <v>2417</v>
      </c>
    </row>
    <row r="15" spans="1:119" x14ac:dyDescent="0.3">
      <c r="A15" s="1556"/>
    </row>
    <row r="16" spans="1:119" ht="15" thickBot="1" x14ac:dyDescent="0.35">
      <c r="A16" s="1557"/>
    </row>
    <row r="17" spans="1:1" ht="15" thickTop="1" x14ac:dyDescent="0.3">
      <c r="A17" s="1564" t="s">
        <v>45</v>
      </c>
    </row>
    <row r="18" spans="1:1" x14ac:dyDescent="0.3">
      <c r="A18" s="1565"/>
    </row>
    <row r="19" spans="1:1" ht="15" thickBot="1" x14ac:dyDescent="0.35">
      <c r="A19" s="1566"/>
    </row>
    <row r="20" spans="1:1" ht="15.6" thickTop="1" thickBot="1" x14ac:dyDescent="0.35"/>
    <row r="21" spans="1:1" ht="15" thickTop="1" x14ac:dyDescent="0.3">
      <c r="A21" s="1555" t="s">
        <v>9187</v>
      </c>
    </row>
    <row r="22" spans="1:1" x14ac:dyDescent="0.3">
      <c r="A22" s="1556"/>
    </row>
    <row r="23" spans="1:1" ht="15" thickBot="1" x14ac:dyDescent="0.35">
      <c r="A23" s="1557"/>
    </row>
    <row r="24" spans="1:1" ht="15" thickTop="1" x14ac:dyDescent="0.3">
      <c r="A24" s="1555" t="s">
        <v>5193</v>
      </c>
    </row>
    <row r="25" spans="1:1" x14ac:dyDescent="0.3">
      <c r="A25" s="1556"/>
    </row>
    <row r="26" spans="1:1" ht="15" thickBot="1" x14ac:dyDescent="0.35">
      <c r="A26" s="1557"/>
    </row>
    <row r="27" spans="1:1" ht="15" thickTop="1" x14ac:dyDescent="0.3">
      <c r="A27" s="1555" t="s">
        <v>8950</v>
      </c>
    </row>
    <row r="28" spans="1:1" x14ac:dyDescent="0.3">
      <c r="A28" s="1556"/>
    </row>
    <row r="29" spans="1:1" ht="15" thickBot="1" x14ac:dyDescent="0.35">
      <c r="A29" s="1557"/>
    </row>
    <row r="30" spans="1:1" ht="15" thickTop="1" x14ac:dyDescent="0.3">
      <c r="A30" s="1555" t="s">
        <v>9428</v>
      </c>
    </row>
    <row r="31" spans="1:1" x14ac:dyDescent="0.3">
      <c r="A31" s="1556"/>
    </row>
    <row r="32" spans="1:1" ht="15" thickBot="1" x14ac:dyDescent="0.35">
      <c r="A32" s="1557"/>
    </row>
    <row r="33" ht="15" thickTop="1" x14ac:dyDescent="0.3"/>
  </sheetData>
  <mergeCells count="10">
    <mergeCell ref="A21:A23"/>
    <mergeCell ref="A24:A26"/>
    <mergeCell ref="A27:A29"/>
    <mergeCell ref="A30:A32"/>
    <mergeCell ref="A2:A4"/>
    <mergeCell ref="A5:A7"/>
    <mergeCell ref="A8:A10"/>
    <mergeCell ref="A11:A13"/>
    <mergeCell ref="A14:A16"/>
    <mergeCell ref="A17:A19"/>
  </mergeCells>
  <conditionalFormatting sqref="A1:Q1 S1:V1 DP1:XFD1">
    <cfRule type="timePeriod" dxfId="22" priority="17" timePeriod="today">
      <formula>FLOOR(A1,1)=TODAY()</formula>
    </cfRule>
  </conditionalFormatting>
  <conditionalFormatting sqref="X1:AB1">
    <cfRule type="timePeriod" dxfId="21" priority="16" timePeriod="today">
      <formula>FLOOR(X1,1)=TODAY()</formula>
    </cfRule>
  </conditionalFormatting>
  <conditionalFormatting sqref="AD1:AH1">
    <cfRule type="timePeriod" dxfId="20" priority="15" timePeriod="today">
      <formula>FLOOR(AD1,1)=TODAY()</formula>
    </cfRule>
  </conditionalFormatting>
  <conditionalFormatting sqref="AJ1:AN1">
    <cfRule type="timePeriod" dxfId="19" priority="14" timePeriod="today">
      <formula>FLOOR(AJ1,1)=TODAY()</formula>
    </cfRule>
  </conditionalFormatting>
  <conditionalFormatting sqref="AP1:AT1">
    <cfRule type="timePeriod" dxfId="18" priority="13" timePeriod="today">
      <formula>FLOOR(AP1,1)=TODAY()</formula>
    </cfRule>
  </conditionalFormatting>
  <conditionalFormatting sqref="AV1:AZ1">
    <cfRule type="timePeriod" dxfId="17" priority="12" timePeriod="today">
      <formula>FLOOR(AV1,1)=TODAY()</formula>
    </cfRule>
  </conditionalFormatting>
  <conditionalFormatting sqref="BB1:BF1">
    <cfRule type="timePeriod" dxfId="16" priority="11" timePeriod="today">
      <formula>FLOOR(BB1,1)=TODAY()</formula>
    </cfRule>
  </conditionalFormatting>
  <conditionalFormatting sqref="BH1:BL1">
    <cfRule type="timePeriod" dxfId="15" priority="10" timePeriod="today">
      <formula>FLOOR(BH1,1)=TODAY()</formula>
    </cfRule>
  </conditionalFormatting>
  <conditionalFormatting sqref="BN1:BR1">
    <cfRule type="timePeriod" dxfId="14" priority="9" timePeriod="today">
      <formula>FLOOR(BN1,1)=TODAY()</formula>
    </cfRule>
  </conditionalFormatting>
  <conditionalFormatting sqref="BT1:BX1">
    <cfRule type="timePeriod" dxfId="13" priority="8" timePeriod="today">
      <formula>FLOOR(BT1,1)=TODAY()</formula>
    </cfRule>
  </conditionalFormatting>
  <conditionalFormatting sqref="BZ1:CD1">
    <cfRule type="timePeriod" dxfId="12" priority="7" timePeriod="today">
      <formula>FLOOR(BZ1,1)=TODAY()</formula>
    </cfRule>
  </conditionalFormatting>
  <conditionalFormatting sqref="CF1:CJ1">
    <cfRule type="timePeriod" dxfId="11" priority="6" timePeriod="today">
      <formula>FLOOR(CF1,1)=TODAY()</formula>
    </cfRule>
  </conditionalFormatting>
  <conditionalFormatting sqref="CL1:CP1">
    <cfRule type="timePeriod" dxfId="10" priority="5" timePeriod="today">
      <formula>FLOOR(CL1,1)=TODAY()</formula>
    </cfRule>
  </conditionalFormatting>
  <conditionalFormatting sqref="CR1:CV1">
    <cfRule type="timePeriod" dxfId="9" priority="4" timePeriod="today">
      <formula>FLOOR(CR1,1)=TODAY()</formula>
    </cfRule>
  </conditionalFormatting>
  <conditionalFormatting sqref="CX1:DB1">
    <cfRule type="timePeriod" dxfId="8" priority="3" timePeriod="today">
      <formula>FLOOR(CX1,1)=TODAY()</formula>
    </cfRule>
  </conditionalFormatting>
  <conditionalFormatting sqref="DD1:DH1">
    <cfRule type="timePeriod" dxfId="7" priority="2" timePeriod="today">
      <formula>FLOOR(DD1,1)=TODAY()</formula>
    </cfRule>
  </conditionalFormatting>
  <conditionalFormatting sqref="DJ1:DN1">
    <cfRule type="timePeriod" dxfId="6" priority="1" timePeriod="today">
      <formula>FLOOR(DJ1,1)=TODAY()</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BL129"/>
  <sheetViews>
    <sheetView workbookViewId="0">
      <pane ySplit="2" topLeftCell="A3" activePane="bottomLeft" state="frozen"/>
      <selection pane="bottomLeft" activeCell="T23" sqref="T23"/>
    </sheetView>
  </sheetViews>
  <sheetFormatPr defaultRowHeight="14.4" outlineLevelCol="1" x14ac:dyDescent="0.3"/>
  <cols>
    <col min="1" max="1" width="33" customWidth="1"/>
    <col min="2" max="2" width="12.88671875" style="264" hidden="1" customWidth="1" outlineLevel="1"/>
    <col min="3" max="3" width="13.44140625" style="768" hidden="1" customWidth="1" outlineLevel="1"/>
    <col min="4" max="4" width="12.88671875" style="264" hidden="1" customWidth="1" outlineLevel="1"/>
    <col min="5" max="8" width="9.33203125" hidden="1" customWidth="1" outlineLevel="1"/>
    <col min="9" max="9" width="39.5546875" customWidth="1" collapsed="1"/>
    <col min="10" max="10" width="12.88671875" hidden="1" customWidth="1" outlineLevel="1"/>
    <col min="11" max="13" width="12.88671875" style="264" hidden="1" customWidth="1" outlineLevel="1"/>
    <col min="14" max="14" width="13.44140625" style="768" hidden="1" customWidth="1" outlineLevel="1"/>
    <col min="15" max="15" width="12.88671875" style="264" hidden="1" customWidth="1" outlineLevel="1"/>
    <col min="16" max="19" width="9.33203125" hidden="1" customWidth="1" outlineLevel="1"/>
    <col min="20" max="20" width="39.5546875" customWidth="1" collapsed="1"/>
    <col min="21" max="23" width="12.5546875" hidden="1" customWidth="1" outlineLevel="1"/>
    <col min="24" max="24" width="4.5546875" hidden="1" customWidth="1" outlineLevel="1"/>
    <col min="25" max="27" width="10.109375" hidden="1" customWidth="1" outlineLevel="1"/>
    <col min="28" max="28" width="7.88671875" hidden="1" customWidth="1" outlineLevel="1"/>
    <col min="29" max="29" width="9.5546875" hidden="1" customWidth="1" outlineLevel="1"/>
    <col min="30" max="30" width="13.44140625" hidden="1" customWidth="1" outlineLevel="1"/>
    <col min="31" max="33" width="11.6640625" hidden="1" customWidth="1" outlineLevel="1"/>
    <col min="34" max="34" width="25.88671875" customWidth="1" collapsed="1"/>
    <col min="35" max="37" width="12.5546875" hidden="1" customWidth="1" outlineLevel="1"/>
    <col min="38" max="38" width="4.5546875" hidden="1" customWidth="1" outlineLevel="1"/>
    <col min="39" max="41" width="10.109375" hidden="1" customWidth="1" outlineLevel="1"/>
    <col min="42" max="42" width="7.88671875" hidden="1" customWidth="1" outlineLevel="1"/>
    <col min="43" max="43" width="9.5546875" hidden="1" customWidth="1" outlineLevel="1"/>
    <col min="44" max="44" width="13.44140625" hidden="1" customWidth="1" outlineLevel="1"/>
    <col min="45" max="47" width="11.6640625" hidden="1" customWidth="1" outlineLevel="1"/>
    <col min="48" max="48" width="25.88671875" customWidth="1" collapsed="1"/>
    <col min="49" max="51" width="12.5546875" hidden="1" customWidth="1" outlineLevel="1"/>
    <col min="52" max="52" width="4.5546875" hidden="1" customWidth="1" outlineLevel="1"/>
    <col min="53" max="55" width="10.109375" hidden="1" customWidth="1" outlineLevel="1"/>
    <col min="56" max="56" width="7.88671875" hidden="1" customWidth="1" outlineLevel="1"/>
    <col min="57" max="57" width="9.5546875" hidden="1" customWidth="1" outlineLevel="1"/>
    <col min="58" max="58" width="13.44140625" hidden="1" customWidth="1" outlineLevel="1"/>
    <col min="59" max="61" width="11.6640625" hidden="1" customWidth="1" outlineLevel="1"/>
    <col min="62" max="62" width="25.88671875" customWidth="1" collapsed="1"/>
    <col min="63" max="64" width="11.6640625" customWidth="1"/>
  </cols>
  <sheetData>
    <row r="1" spans="1:64" x14ac:dyDescent="0.3">
      <c r="A1" s="1567" t="s">
        <v>8716</v>
      </c>
      <c r="B1" s="1512" t="s">
        <v>8717</v>
      </c>
      <c r="C1" s="1512"/>
      <c r="D1" s="1512"/>
      <c r="E1" s="1512"/>
      <c r="F1" s="1512"/>
      <c r="G1" s="1512"/>
      <c r="H1" s="1512"/>
      <c r="I1" s="1512"/>
      <c r="J1" s="1509" t="s">
        <v>8718</v>
      </c>
      <c r="K1" s="1512"/>
      <c r="L1" s="1512"/>
      <c r="M1" s="1512"/>
      <c r="N1" s="1512"/>
      <c r="O1" s="1512"/>
      <c r="P1" s="1512"/>
      <c r="Q1" s="1512"/>
      <c r="R1" s="1512"/>
      <c r="S1" s="1512"/>
      <c r="T1" s="1512"/>
      <c r="U1" s="1466" t="s">
        <v>8720</v>
      </c>
      <c r="V1" s="1467"/>
      <c r="W1" s="1467"/>
      <c r="X1" s="1467"/>
      <c r="Y1" s="1467"/>
      <c r="Z1" s="1467"/>
      <c r="AA1" s="1467"/>
      <c r="AB1" s="1467"/>
      <c r="AC1" s="1467"/>
      <c r="AD1" s="1467"/>
      <c r="AE1" s="1467"/>
      <c r="AF1" s="1467"/>
      <c r="AG1" s="1467"/>
      <c r="AH1" s="1468"/>
      <c r="AI1" s="1466" t="s">
        <v>8720</v>
      </c>
      <c r="AJ1" s="1467"/>
      <c r="AK1" s="1467"/>
      <c r="AL1" s="1467"/>
      <c r="AM1" s="1467"/>
      <c r="AN1" s="1467"/>
      <c r="AO1" s="1467"/>
      <c r="AP1" s="1467"/>
      <c r="AQ1" s="1467"/>
      <c r="AR1" s="1467"/>
      <c r="AS1" s="1467"/>
      <c r="AT1" s="1467"/>
      <c r="AU1" s="1467"/>
      <c r="AV1" s="1468"/>
      <c r="AW1" s="1466" t="s">
        <v>8720</v>
      </c>
      <c r="AX1" s="1467"/>
      <c r="AY1" s="1467"/>
      <c r="AZ1" s="1467"/>
      <c r="BA1" s="1467"/>
      <c r="BB1" s="1467"/>
      <c r="BC1" s="1467"/>
      <c r="BD1" s="1467"/>
      <c r="BE1" s="1467"/>
      <c r="BF1" s="1467"/>
      <c r="BG1" s="1467"/>
      <c r="BH1" s="1467"/>
      <c r="BI1" s="1467"/>
      <c r="BJ1" s="1468"/>
      <c r="BK1" s="1493" t="s">
        <v>8907</v>
      </c>
      <c r="BL1" s="1495"/>
    </row>
    <row r="2" spans="1:64" ht="15" thickBot="1" x14ac:dyDescent="0.35">
      <c r="A2" s="1510"/>
      <c r="B2" s="792" t="s">
        <v>8392</v>
      </c>
      <c r="C2" s="792" t="s">
        <v>8374</v>
      </c>
      <c r="D2" s="792" t="s">
        <v>8393</v>
      </c>
      <c r="E2" s="792" t="s">
        <v>8546</v>
      </c>
      <c r="F2" s="792"/>
      <c r="G2" s="792" t="s">
        <v>8653</v>
      </c>
      <c r="H2" s="792" t="s">
        <v>8394</v>
      </c>
      <c r="I2" s="792" t="s">
        <v>8675</v>
      </c>
      <c r="J2" s="792" t="s">
        <v>8374</v>
      </c>
      <c r="K2" s="792" t="s">
        <v>8392</v>
      </c>
      <c r="L2" s="792"/>
      <c r="M2" s="792" t="s">
        <v>8547</v>
      </c>
      <c r="N2" s="792" t="s">
        <v>8374</v>
      </c>
      <c r="O2" s="792" t="s">
        <v>8393</v>
      </c>
      <c r="P2" s="792" t="s">
        <v>8546</v>
      </c>
      <c r="Q2" s="792"/>
      <c r="R2" s="792" t="s">
        <v>8653</v>
      </c>
      <c r="S2" s="792" t="s">
        <v>8394</v>
      </c>
      <c r="T2" s="792" t="s">
        <v>8675</v>
      </c>
      <c r="U2" s="792" t="s">
        <v>8373</v>
      </c>
      <c r="V2" s="823" t="s">
        <v>8392</v>
      </c>
      <c r="W2" s="823" t="s">
        <v>8375</v>
      </c>
      <c r="X2" s="823" t="s">
        <v>4</v>
      </c>
      <c r="Y2" s="823"/>
      <c r="Z2" s="823" t="s">
        <v>8392</v>
      </c>
      <c r="AA2" s="823"/>
      <c r="AB2" s="823" t="s">
        <v>8393</v>
      </c>
      <c r="AC2" s="823" t="s">
        <v>8394</v>
      </c>
      <c r="AD2" s="823" t="s">
        <v>8363</v>
      </c>
      <c r="AE2" s="823" t="s">
        <v>8415</v>
      </c>
      <c r="AF2" s="823"/>
      <c r="AG2" s="823"/>
      <c r="AH2" s="822" t="s">
        <v>8360</v>
      </c>
      <c r="AI2" s="792" t="s">
        <v>8373</v>
      </c>
      <c r="AJ2" s="823" t="s">
        <v>8392</v>
      </c>
      <c r="AK2" s="823" t="s">
        <v>8375</v>
      </c>
      <c r="AL2" s="823" t="s">
        <v>4</v>
      </c>
      <c r="AM2" s="823"/>
      <c r="AN2" s="823" t="s">
        <v>8392</v>
      </c>
      <c r="AO2" s="823"/>
      <c r="AP2" s="823" t="s">
        <v>8393</v>
      </c>
      <c r="AQ2" s="823" t="s">
        <v>8394</v>
      </c>
      <c r="AR2" s="823" t="s">
        <v>8363</v>
      </c>
      <c r="AS2" s="823" t="s">
        <v>8415</v>
      </c>
      <c r="AT2" s="823"/>
      <c r="AU2" s="823"/>
      <c r="AV2" s="822" t="s">
        <v>8360</v>
      </c>
      <c r="AW2" s="792" t="s">
        <v>8373</v>
      </c>
      <c r="AX2" s="823" t="s">
        <v>8392</v>
      </c>
      <c r="AY2" s="823" t="s">
        <v>8375</v>
      </c>
      <c r="AZ2" s="823" t="s">
        <v>4</v>
      </c>
      <c r="BA2" s="823"/>
      <c r="BB2" s="823" t="s">
        <v>8392</v>
      </c>
      <c r="BC2" s="823"/>
      <c r="BD2" s="823" t="s">
        <v>8393</v>
      </c>
      <c r="BE2" s="823" t="s">
        <v>8394</v>
      </c>
      <c r="BF2" s="823" t="s">
        <v>8363</v>
      </c>
      <c r="BG2" s="823" t="s">
        <v>8415</v>
      </c>
      <c r="BH2" s="823"/>
      <c r="BI2" s="823"/>
      <c r="BJ2" s="822" t="s">
        <v>8360</v>
      </c>
      <c r="BK2" s="1484"/>
      <c r="BL2" s="1567"/>
    </row>
    <row r="3" spans="1:64" ht="14.4" customHeight="1" thickTop="1" x14ac:dyDescent="0.3">
      <c r="A3" s="1568" t="str">
        <f>CHALLANGE_draft!I4</f>
        <v xml:space="preserve">требования Истомина Владимира Васильевича о взыскании с АО СК «БАСК» неустойки за несоблюдение срока выплаты страхового возмещения по Договору ОСАГО удовлетворить.
Взыскать с АО СК «БАСК» в пользу Истомина Владимира Васильевича неустойку за несоблюдение срока выплаты страхового возмещения по Договору ОСАГО в размере 100 000 (сто тысяч) рублей 00 копеек.
Решение вступает в силу по истечении десяти рабочих дней после даты его подписания.
Решение подлежит исполнению АО СК «БАСК» в течение 10 рабочих дней после дня вступления в силу.
В случае несогласия с решением Финансового уполномоченного в соответствии с частью 1 статьи 26 Закона № 123-ФЗ АО СК «БАСК» вправе в течение десяти рабочих дней после дня вступления в силу решения Финансового уполномоченного обратиться в суд в порядке, установленном законодательством Российской Федерации. В случае обращения финансовой организации в суд копия заявления подлежит направлению финансовому уполномоченному, рассматривавшему дело, и потребителю финансовых услуг, в отношении обращения которого принято решение Финансового уполномоченного, в течение одного дня со дня подачи указанного заявления.
В соответствии с частью 2 статьи 26 Закона № 123-ФЗ финансовая организация при обращении в суд вправе направить финансовому уполномоченному ходатайство о приостановлении исполнения его решения. При получении ходатайства финансовый уполномоченный выносит решение о приостановлении исполнения решения, которое оспаривается финансовой организацией, до вынесения решения судом.
В случае несогласия с вступившим в силу решением Финансового уполномоченного Заявитель в соответствии с частью 3 статьи 25 Закона № 123-ФЗ вправе в течение тридцати дней после дня вступления в силу указанного решения обратиться в суд и заявить требования к финансовой организации по предмету, содержащемуся в обращении, в порядке, установленном законодательством Российской Федерации. Копия обращения в суд подлежит направлению Финансовому уполномоченному.
Уполномоченный по правам потребителей финансовых услуг в сферах страхования, микрофинансирования, кредитной кооперации и деятельности кредитных организаций Podpisant
Е.Л. Писаревский
</v>
      </c>
      <c r="B3" s="334">
        <v>1</v>
      </c>
      <c r="C3" s="993" t="s">
        <v>8513</v>
      </c>
      <c r="D3" s="994" t="e">
        <f>SEARCH(C3,$A$3)</f>
        <v>#VALUE!</v>
      </c>
      <c r="E3" s="994">
        <f>MIN(IFERROR(D3,99999),IFERROR(D4,99999),IFERROR(D5,99999),IFERROR(D6,99999),IFERROR(D7,99999),IFERROR(D8,99999),IFERROR(D9,99999),IFERROR(D10,99999),IFERROR(D11,99999),IFERROR(D12,99999),IFERROR(D13,99999),IFERROR(D14,99999))</f>
        <v>99999</v>
      </c>
      <c r="F3" s="870" t="str">
        <f>CHAR(10)</f>
        <v xml:space="preserve">
</v>
      </c>
      <c r="G3" s="994">
        <f>SEARCH(F3,$A$3)</f>
        <v>164</v>
      </c>
      <c r="H3" s="854">
        <f>G3-B3</f>
        <v>163</v>
      </c>
      <c r="I3" s="1568" t="str">
        <f>MID($A$3,B3,H3)</f>
        <v>требования Истомина Владимира Васильевича о взыскании с АО СК «БАСК» неустойки за несоблюдение срока выплаты страхового возмещения по Договору ОСАГО удовлетворить.</v>
      </c>
      <c r="J3" s="993" t="s">
        <v>8719</v>
      </c>
      <c r="K3" s="854">
        <f>MIN(IFERROR(SEARCH(J$3,$A$3),99999),
IFERROR(SEARCH(J$4,$A$3),99999),
IFERROR(SEARCH(J$5,$A$3),99999),
IFERROR(SEARCH(J$6,$A$3),99999),
IFERROR(SEARCH(J$7,$A$3),99999),
IFERROR(SEARCH(J$8,$A$3),99999),
IFERROR(SEARCH(J$9,$A$3),99999),
IFERROR(SEARCH(J$10,$A$3),99999),
IFERROR(SEARCH(J$11,$A$3),99999),
IFERROR(SEARCH(J$12,$A$3),99999),
IFERROR(SEARCH(J$13,$A$3),99999),
IFERROR(SEARCH(J$14,$A$3),99999)
)</f>
        <v>165</v>
      </c>
      <c r="L3" s="870" t="str">
        <f>CHAR(10)</f>
        <v xml:space="preserve">
</v>
      </c>
      <c r="M3" s="334">
        <f>LEN(MID($A$3,1,K3))-LEN(IF(ISERROR(FIND(" ",MID($A$3,1,K3))),MID($A$3,1,K3),RIGHT(MID($A$3,1,K3),LEN(MID($A$3,1,K3))-FIND("~",SUBSTITUTE(MID($A$3,1,K3),$L$3,"~",LEN(MID($A$3,1,K3))-LEN(SUBSTITUTE(MID($A$3,1,K3),$L$3,"")))))))+1</f>
        <v>165</v>
      </c>
      <c r="N3" s="993" t="str">
        <f>CHAR(10)</f>
        <v xml:space="preserve">
</v>
      </c>
      <c r="O3" s="854">
        <f>MIN(IFERROR(SEARCH(N$3,$A$3,M3),99999),
IFERROR(SEARCH(N$4,$A$3,M3),99999),
IFERROR(SEARCH(N$5,$A$3,M3),99999),
IFERROR(SEARCH(N$6,$A$3,M3),99999),
IFERROR(SEARCH(N$7,$A$3,M3),99999),
IFERROR(SEARCH(N$8,$A$3,M3),99999),
IFERROR(SEARCH(N$9,$A$3,M3),99999),
IFERROR(SEARCH(N$10,$A$3,M3),99999),
IFERROR(SEARCH(N$11,$A$3,M3),99999),
IFERROR(SEARCH(N$12,$A$3,M3),99999),
IFERROR(SEARCH(N$13,$A$3,M3),99999),
IFERROR(SEARCH(N$14,$A$3,M3),99999)
)</f>
        <v>356</v>
      </c>
      <c r="P3" s="994"/>
      <c r="Q3" s="870" t="str">
        <f>CHAR(10)</f>
        <v xml:space="preserve">
</v>
      </c>
      <c r="R3" s="994">
        <f>SEARCH(Q3,$A$3,O3)</f>
        <v>356</v>
      </c>
      <c r="S3" s="854">
        <f>O3-M3</f>
        <v>191</v>
      </c>
      <c r="T3" s="1203" t="str">
        <f>MID($A$3,M3,S3)</f>
        <v>Взыскать с АО СК «БАСК» в пользу Истомина Владимира Васильевича неустойку за несоблюдение срока выплаты страхового возмещения по Договору ОСАГО в размере 100 000 (сто тысяч) рублей 00 копеек.</v>
      </c>
      <c r="U3" s="6" t="str">
        <f>CONCATENATE(CHALLANGE_draft!DQ6," ")</f>
        <v xml:space="preserve">Истомина Владимира Васильевича </v>
      </c>
      <c r="V3" s="994">
        <f>SEARCH(U3,W4)</f>
        <v>34</v>
      </c>
      <c r="W3" s="859" t="str">
        <f>IF(ISERROR(V3),
IF(ISERROR(V5),
IF(ISERROR(V6),
"ОШИБКА",
U6),
U5),
U3)</f>
        <v xml:space="preserve">Истомина Владимира Васильевича </v>
      </c>
      <c r="X3" s="1475">
        <v>1</v>
      </c>
      <c r="Y3" s="833" t="s">
        <v>8433</v>
      </c>
      <c r="Z3" s="406">
        <f>SEARCH(W3,W$4)+LEN(W3)</f>
        <v>65</v>
      </c>
      <c r="AA3" s="406" t="str">
        <f>IF(AB3=IFERROR(SEARCH(".",W$4,Z3),99999),".",
IF(AB3=IFERROR(SEARCH(",",W$4,Z3),99999),",",
IF(AB3=IFERROR(SEARCH(" за период",W$4,Z3),999999)," за период",
IF(AB3=IFERROR(SEARCH(" в размере",W$4,Z3),99999)," в размере",
))))</f>
        <v xml:space="preserve"> в размере</v>
      </c>
      <c r="AB3" s="406">
        <f>IFERROR(MIN(IFERROR(SEARCH(".",W$4,Z3),99999),IFERROR(SEARCH(",",W$4,Z3),99999),IFERROR(SEARCH(" за период",W$4,Z3),999999),IFERROR(SEARCH(" в размере",W$4,Z3),99999)),"ОШИБКА")</f>
        <v>144</v>
      </c>
      <c r="AC3" s="406">
        <f>AB3-Z3</f>
        <v>79</v>
      </c>
      <c r="AD3" s="873" t="str">
        <f>MID(W$4,Z3,AC3)</f>
        <v>неустойку за несоблюдение срока выплаты страхового возмещения по Договору ОСАГО</v>
      </c>
      <c r="AE3" s="825" t="str">
        <f>IFERROR(INDEX(CHALLANGE_draft!$DU:$DU,MATCH(MID(W$4,Z3,AC3),CHALLANGE_draft!$DT:$DT,0),1),"")</f>
        <v>Неустойка</v>
      </c>
      <c r="AF3" s="1019" t="str">
        <f>AE3</f>
        <v>Неустойка</v>
      </c>
      <c r="AG3" s="1020">
        <f>AE9</f>
        <v>100000</v>
      </c>
      <c r="AH3" s="842" t="str">
        <f>IF(AE3="","",CONCATENATE(X3,". ",AE3," ",IFERROR(CONCATENATE(AD7,",",AD8),""),IF(ISERROR(CONCATENATE(AD7,",",AD8)),"","₽")))</f>
        <v>1. Неустойка 100 000,00₽</v>
      </c>
      <c r="AI3" s="6" t="str">
        <f>CONCATENATE(CHALLANGE_draft!DQ6," ")</f>
        <v xml:space="preserve">Истомина Владимира Васильевича </v>
      </c>
      <c r="AJ3" s="1072" t="e">
        <f>SEARCH(AI3,AK4)</f>
        <v>#VALUE!</v>
      </c>
      <c r="AK3" s="859" t="str">
        <f>IF(ISERROR(AJ3),
IF(ISERROR(AJ5),
IF(ISERROR(AJ6),
"ОШИБКА",
AI6),
AI5),
AI3)</f>
        <v>ОШИБКА</v>
      </c>
      <c r="AL3" s="1475">
        <v>1</v>
      </c>
      <c r="AM3" s="833" t="s">
        <v>8433</v>
      </c>
      <c r="AN3" s="406" t="e">
        <f>SEARCH(AK3,AK$4)+LEN(AK3)</f>
        <v>#VALUE!</v>
      </c>
      <c r="AO3" s="406" t="str">
        <f>IF(AP3=IFERROR(SEARCH(".",AK$4,AN3),99999),".",
IF(AP3=IFERROR(SEARCH(",",AK$4,AN3),99999),",",
IF(AP3=IFERROR(SEARCH(" за период",AK$4,AN3),999999)," за период",
IF(AP3=IFERROR(SEARCH(" в размере",AK$4,AN3),99999)," в размере",
))))</f>
        <v>.</v>
      </c>
      <c r="AP3" s="406">
        <f>IFERROR(MIN(IFERROR(SEARCH(".",AK$4,AN3),99999),IFERROR(SEARCH(",",AK$4,AN3),99999),IFERROR(SEARCH(" за период",AK$4,AN3),999999),IFERROR(SEARCH(" в размере",AK$4,AN3),99999)),"ОШИБКА")</f>
        <v>99999</v>
      </c>
      <c r="AQ3" s="406" t="e">
        <f>AP3-AN3</f>
        <v>#VALUE!</v>
      </c>
      <c r="AR3" s="873" t="e">
        <f>MID(AK$4,AN3,AQ3)</f>
        <v>#VALUE!</v>
      </c>
      <c r="AS3" s="825" t="str">
        <f>IFERROR(INDEX(CHALLANGE_draft!$DU:$DU,MATCH(MID(AK$4,AN3,AQ3),CHALLANGE_draft!$DT:$DT,0),1),"")</f>
        <v/>
      </c>
      <c r="AT3" s="1019" t="str">
        <f>AS3</f>
        <v/>
      </c>
      <c r="AU3" s="1020" t="str">
        <f>AS9</f>
        <v/>
      </c>
      <c r="AV3" s="842" t="str">
        <f>IF(AS3="","",CONCATENATE(AL3,". ",AS3," ",IFERROR(CONCATENATE(AR7,",",AR8),""),IF(ISERROR(CONCATENATE(AR7,",",AR8)),"","₽")))</f>
        <v/>
      </c>
      <c r="AW3" s="6" t="str">
        <f>CONCATENATE(CHALLANGE_draft!DQ6," ")</f>
        <v xml:space="preserve">Истомина Владимира Васильевича </v>
      </c>
      <c r="AX3" s="1181" t="e">
        <f>SEARCH(AW3,AY4)</f>
        <v>#VALUE!</v>
      </c>
      <c r="AY3" s="859" t="str">
        <f>IF(ISERROR(AX3),
IF(ISERROR(AX5),
IF(ISERROR(AX6),
"ОШИБКА",
AW6),
AW5),
AW3)</f>
        <v>ОШИБКА</v>
      </c>
      <c r="AZ3" s="1475">
        <v>1</v>
      </c>
      <c r="BA3" s="833" t="s">
        <v>8433</v>
      </c>
      <c r="BB3" s="406" t="e">
        <f>SEARCH(AY3,AY$4)+LEN(AY3)</f>
        <v>#VALUE!</v>
      </c>
      <c r="BC3" s="406" t="str">
        <f>IF(BD3=IFERROR(SEARCH(".",AY$4,BB3),99999),".",
IF(BD3=IFERROR(SEARCH(",",AY$4,BB3),99999),",",
IF(BD3=IFERROR(SEARCH(" за период",AY$4,BB3),999999)," за период",
IF(BD3=IFERROR(SEARCH(" в размере",AY$4,BB3),99999)," в размере",
))))</f>
        <v>.</v>
      </c>
      <c r="BD3" s="406">
        <f>IFERROR(MIN(IFERROR(SEARCH(".",AY$4,BB3),99999),IFERROR(SEARCH(",",AY$4,BB3),99999),IFERROR(SEARCH(" за период",AY$4,BB3),999999),IFERROR(SEARCH(" в размере",AY$4,BB3),99999)),"ОШИБКА")</f>
        <v>99999</v>
      </c>
      <c r="BE3" s="406" t="e">
        <f>BD3-BB3</f>
        <v>#VALUE!</v>
      </c>
      <c r="BF3" s="873" t="e">
        <f>MID(AY$4,BB3,BE3)</f>
        <v>#VALUE!</v>
      </c>
      <c r="BG3" s="825" t="str">
        <f>IFERROR(INDEX(CHALLANGE_draft!$DU:$DU,MATCH(MID(AY$4,BB3,BE3),CHALLANGE_draft!$DT:$DT,0),1),"")</f>
        <v/>
      </c>
      <c r="BH3" s="1019" t="str">
        <f>BG3</f>
        <v/>
      </c>
      <c r="BI3" s="1020" t="str">
        <f>BG9</f>
        <v/>
      </c>
      <c r="BJ3" s="842" t="str">
        <f>IF(BG3="","",CONCATENATE(AZ3,". ",BG3," ",IFERROR(CONCATENATE(BF7,",",BF8),""),IF(ISERROR(CONCATENATE(BF7,",",BF8)),"","₽")))</f>
        <v/>
      </c>
      <c r="BK3" s="1019" t="str">
        <f>AF3</f>
        <v>Неустойка</v>
      </c>
      <c r="BL3" s="1020">
        <f>AG3</f>
        <v>100000</v>
      </c>
    </row>
    <row r="4" spans="1:64" x14ac:dyDescent="0.3">
      <c r="A4" s="1569"/>
      <c r="B4" s="920"/>
      <c r="C4" s="993" t="s">
        <v>8513</v>
      </c>
      <c r="D4" s="994" t="e">
        <f>SEARCH(C4,CHALLANGE_draft!$G$3)</f>
        <v>#VALUE!</v>
      </c>
      <c r="E4" s="994"/>
      <c r="F4" s="994"/>
      <c r="G4" s="994"/>
      <c r="H4" s="994"/>
      <c r="I4" s="1569"/>
      <c r="J4" s="993" t="s">
        <v>8513</v>
      </c>
      <c r="K4" s="854">
        <f>MIN(IFERROR(SEARCH(J$3,$A$3,R3),99999),
IFERROR(SEARCH(J$4,$A$3,R3),99999),
IFERROR(SEARCH(J$5,$A$3,R3),99999),
IFERROR(SEARCH(J$6,$A$3,R3),99999),
IFERROR(SEARCH(J$7,$A$3,R3),99999),
IFERROR(SEARCH(J$8,$A$3,R3),99999),
IFERROR(SEARCH(J$9,$A$3,R3),99999),
IFERROR(SEARCH(J$10,$A$3,R3),99999),
IFERROR(SEARCH(J$11,$A$3,R3),99999),
IFERROR(SEARCH(J$12,$A$3,R3),99999),
IFERROR(SEARCH(J$13,$A$3,R3),99999),
IFERROR(SEARCH(J$14,$A$3,R3),99999)
)</f>
        <v>99999</v>
      </c>
      <c r="L4" s="920"/>
      <c r="M4" s="334">
        <f t="shared" ref="M4:M7" si="0">LEN(MID($A$3,1,K4))-LEN(IF(ISERROR(FIND(" ",MID($A$3,1,K4))),MID($A$3,1,K4),RIGHT(MID($A$3,1,K4),LEN(MID($A$3,1,K4))-FIND("~",SUBSTITUTE(MID($A$3,1,K4),$L$3,"~",LEN(MID($A$3,1,K4))-LEN(SUBSTITUTE(MID($A$3,1,K4),$L$3,"")))))))+1</f>
        <v>2165</v>
      </c>
      <c r="N4" s="993" t="s">
        <v>8513</v>
      </c>
      <c r="O4" s="854">
        <f t="shared" ref="O4:O7" si="1">MIN(IFERROR(SEARCH(N$3,$A$3,M4),99999),
IFERROR(SEARCH(N$4,$A$3,M4),99999),
IFERROR(SEARCH(N$5,$A$3,M4),99999),
IFERROR(SEARCH(N$6,$A$3,M4),99999),
IFERROR(SEARCH(N$7,$A$3,M4),99999),
IFERROR(SEARCH(N$8,$A$3,M4),99999),
IFERROR(SEARCH(N$9,$A$3,M4),99999),
IFERROR(SEARCH(N$10,$A$3,M4),99999),
IFERROR(SEARCH(N$11,$A$3,M4),99999),
IFERROR(SEARCH(N$12,$A$3,M4),99999),
IFERROR(SEARCH(N$13,$A$3,M4),99999),
IFERROR(SEARCH(N$14,$A$3,M4),99999)
)</f>
        <v>99999</v>
      </c>
      <c r="P4" s="994"/>
      <c r="Q4" s="994"/>
      <c r="R4" s="1181" t="e">
        <f>SEARCH(Q4,$A$3,O4)</f>
        <v>#VALUE!</v>
      </c>
      <c r="S4" s="854">
        <f t="shared" ref="S4:S7" si="2">O4-M4</f>
        <v>97834</v>
      </c>
      <c r="T4" s="866" t="str">
        <f>MID($A$3,M4,S4)</f>
        <v/>
      </c>
      <c r="U4" t="s">
        <v>8437</v>
      </c>
      <c r="W4" t="str">
        <f>T3</f>
        <v>Взыскать с АО СК «БАСК» в пользу Истомина Владимира Васильевича неустойку за несоблюдение срока выплаты страхового возмещения по Договору ОСАГО в размере 100 000 (сто тысяч) рублей 00 копеек.</v>
      </c>
      <c r="X4" s="1476"/>
      <c r="Y4" s="834" t="s">
        <v>8435</v>
      </c>
      <c r="Z4" s="306" t="str">
        <f>IF(AA3=" за период",SEARCH(" за период",W$4,AB3)+LEN(" за период")+3,"НЕТ")</f>
        <v>НЕТ</v>
      </c>
      <c r="AA4" s="306" t="s">
        <v>8434</v>
      </c>
      <c r="AB4" s="306" t="e">
        <f>SEARCH(AA4,W$4,Z4)</f>
        <v>#VALUE!</v>
      </c>
      <c r="AC4" s="306" t="e">
        <f>AB4-Z4</f>
        <v>#VALUE!</v>
      </c>
      <c r="AD4" s="827" t="e">
        <f>DATEVALUE(MID(W$4,Z4,AC4))</f>
        <v>#VALUE!</v>
      </c>
      <c r="AE4" s="828" t="str">
        <f>IF(AA3=" за период",AD4,"")</f>
        <v/>
      </c>
      <c r="AF4" s="1021" t="str">
        <f>AE10</f>
        <v/>
      </c>
      <c r="AG4" s="1022" t="str">
        <f>AE16</f>
        <v/>
      </c>
      <c r="AH4" s="843" t="str">
        <f>IF(AE10="","",CONCATENATE(X10,". ",AE10," ",IFERROR(CONCATENATE(AD14,",",AD15),""),IF(ISERROR(CONCATENATE(AD14,",",AD15)),"","₽")))</f>
        <v/>
      </c>
      <c r="AI4" t="s">
        <v>8437</v>
      </c>
      <c r="AK4" t="str">
        <f>T4</f>
        <v/>
      </c>
      <c r="AL4" s="1476"/>
      <c r="AM4" s="834" t="s">
        <v>8435</v>
      </c>
      <c r="AN4" s="306" t="str">
        <f>IF(AO3=" за период",SEARCH(" за период",AK$4,AP3)+LEN(" за период")+3,"НЕТ")</f>
        <v>НЕТ</v>
      </c>
      <c r="AO4" s="306" t="s">
        <v>8434</v>
      </c>
      <c r="AP4" s="306" t="e">
        <f>SEARCH(AO4,AK$4,AN4)</f>
        <v>#VALUE!</v>
      </c>
      <c r="AQ4" s="306" t="e">
        <f>AP4-AN4</f>
        <v>#VALUE!</v>
      </c>
      <c r="AR4" s="827" t="e">
        <f>DATEVALUE(MID(AK$4,AN4,AQ4))</f>
        <v>#VALUE!</v>
      </c>
      <c r="AS4" s="828" t="str">
        <f>IF(AO3=" за период",AR4,"")</f>
        <v/>
      </c>
      <c r="AT4" s="1021" t="str">
        <f>AS10</f>
        <v/>
      </c>
      <c r="AU4" s="1022" t="str">
        <f>AS16</f>
        <v/>
      </c>
      <c r="AV4" s="843" t="str">
        <f>IF(AS10="","",CONCATENATE(AL10,". ",AS10," ",IFERROR(CONCATENATE(AR14,",",AR15),""),IF(ISERROR(CONCATENATE(AR14,",",AR15)),"","₽")))</f>
        <v/>
      </c>
      <c r="AW4" t="s">
        <v>8437</v>
      </c>
      <c r="AY4" t="str">
        <f>T5</f>
        <v/>
      </c>
      <c r="AZ4" s="1476"/>
      <c r="BA4" s="834" t="s">
        <v>8435</v>
      </c>
      <c r="BB4" s="306" t="str">
        <f>IF(BC3=" за период",SEARCH(" за период",AY$4,BD3)+LEN(" за период")+3,"НЕТ")</f>
        <v>НЕТ</v>
      </c>
      <c r="BC4" s="306" t="s">
        <v>8434</v>
      </c>
      <c r="BD4" s="306" t="e">
        <f>SEARCH(BC4,AY$4,BB4)</f>
        <v>#VALUE!</v>
      </c>
      <c r="BE4" s="306" t="e">
        <f>BD4-BB4</f>
        <v>#VALUE!</v>
      </c>
      <c r="BF4" s="827" t="e">
        <f>DATEVALUE(MID(AY$4,BB4,BE4))</f>
        <v>#VALUE!</v>
      </c>
      <c r="BG4" s="828" t="str">
        <f>IF(BC3=" за период",BF4,"")</f>
        <v/>
      </c>
      <c r="BH4" s="1021" t="str">
        <f>BG10</f>
        <v/>
      </c>
      <c r="BI4" s="1022" t="str">
        <f>BG16</f>
        <v/>
      </c>
      <c r="BJ4" s="843" t="str">
        <f>IF(BG10="","",CONCATENATE(AZ10,". ",BG10," ",IFERROR(CONCATENATE(BF14,",",BF15),""),IF(ISERROR(CONCATENATE(BF14,",",BF15)),"","₽")))</f>
        <v/>
      </c>
      <c r="BK4" s="1019" t="str">
        <f t="shared" ref="BK4:BK17" si="3">AF4</f>
        <v/>
      </c>
      <c r="BL4" s="1020" t="str">
        <f t="shared" ref="BL4:BL17" si="4">AG4</f>
        <v/>
      </c>
    </row>
    <row r="5" spans="1:64" x14ac:dyDescent="0.3">
      <c r="A5" s="1569"/>
      <c r="B5" s="920"/>
      <c r="C5" s="993" t="s">
        <v>8513</v>
      </c>
      <c r="D5" s="994" t="e">
        <f>SEARCH(C5,CHALLANGE_draft!$G$3)</f>
        <v>#VALUE!</v>
      </c>
      <c r="E5" s="994"/>
      <c r="F5" s="994"/>
      <c r="G5" s="994"/>
      <c r="H5" s="994"/>
      <c r="I5" s="1569"/>
      <c r="J5" s="993" t="s">
        <v>8513</v>
      </c>
      <c r="K5" s="854">
        <f>MIN(IFERROR(SEARCH(J$3,$A$3,R4),99999),
IFERROR(SEARCH(J$4,$A$3,R4),99999),
IFERROR(SEARCH(J$5,$A$3,R4),99999),
IFERROR(SEARCH(J$6,$A$3,R4),99999),
IFERROR(SEARCH(J$7,$A$3,R4),99999),
IFERROR(SEARCH(J$8,$A$3,R4),99999),
IFERROR(SEARCH(J$9,$A$3,R4),99999),
IFERROR(SEARCH(J$10,$A$3,R4),99999),
IFERROR(SEARCH(J$11,$A$3,R4),99999),
IFERROR(SEARCH(J$12,$A$3,R4),99999),
IFERROR(SEARCH(J$13,$A$3,R4),99999),
IFERROR(SEARCH(J$14,$A$3,R4),99999)
)</f>
        <v>99999</v>
      </c>
      <c r="L5" s="920"/>
      <c r="M5" s="334">
        <f t="shared" si="0"/>
        <v>2165</v>
      </c>
      <c r="N5" s="993" t="s">
        <v>8513</v>
      </c>
      <c r="O5" s="854">
        <f t="shared" si="1"/>
        <v>99999</v>
      </c>
      <c r="P5" s="994"/>
      <c r="Q5" s="994"/>
      <c r="R5" s="1181" t="e">
        <f>SEARCH(Q5,$A$3,O5)</f>
        <v>#VALUE!</v>
      </c>
      <c r="S5" s="854">
        <f t="shared" si="2"/>
        <v>97834</v>
      </c>
      <c r="T5" s="866" t="str">
        <f>MID($A$3,M5,S5)</f>
        <v/>
      </c>
      <c r="U5" t="str">
        <f>CONCATENATE(CHALLANGE_draft!DQ6,", ")</f>
        <v xml:space="preserve">Истомина Владимира Васильевича, </v>
      </c>
      <c r="V5" s="994" t="e">
        <f>SEARCH(U5,W4)</f>
        <v>#VALUE!</v>
      </c>
      <c r="X5" s="1476"/>
      <c r="Y5" s="834" t="s">
        <v>8436</v>
      </c>
      <c r="Z5" s="836" t="e">
        <f>SEARCH(" ",W$4,AB4+1)+1</f>
        <v>#VALUE!</v>
      </c>
      <c r="AA5" s="306"/>
      <c r="AB5" s="306" t="e">
        <f>Z5+AC5</f>
        <v>#VALUE!</v>
      </c>
      <c r="AC5" s="306">
        <v>10</v>
      </c>
      <c r="AD5" s="827" t="e">
        <f>DATEVALUE(MID(W$4,Z5,AC5))</f>
        <v>#VALUE!</v>
      </c>
      <c r="AE5" s="828" t="str">
        <f>IF(AA3=" за период",AD5,"")</f>
        <v/>
      </c>
      <c r="AF5" s="1021" t="str">
        <f>AE17</f>
        <v/>
      </c>
      <c r="AG5" s="1022" t="str">
        <f>AE23</f>
        <v/>
      </c>
      <c r="AH5" s="843" t="str">
        <f>IF(AE17="","",CONCATENATE(X17,". ",AE17," ",IFERROR(CONCATENATE(AD21,",",AD22),""),IF(ISERROR(CONCATENATE(AD21,",",AD22)),"","₽")))</f>
        <v/>
      </c>
      <c r="AI5" t="s">
        <v>8513</v>
      </c>
      <c r="AJ5" s="1072" t="e">
        <f>SEARCH(AI5,AK4)</f>
        <v>#VALUE!</v>
      </c>
      <c r="AL5" s="1476"/>
      <c r="AM5" s="834" t="s">
        <v>8436</v>
      </c>
      <c r="AN5" s="836" t="e">
        <f>SEARCH(" ",AK$4,AP4+1)+1</f>
        <v>#VALUE!</v>
      </c>
      <c r="AO5" s="306"/>
      <c r="AP5" s="306" t="e">
        <f>AN5+AQ5</f>
        <v>#VALUE!</v>
      </c>
      <c r="AQ5" s="306">
        <v>10</v>
      </c>
      <c r="AR5" s="827" t="e">
        <f>DATEVALUE(MID(AK$4,AN5,AQ5))</f>
        <v>#VALUE!</v>
      </c>
      <c r="AS5" s="828" t="str">
        <f>IF(AO3=" за период",AR5,"")</f>
        <v/>
      </c>
      <c r="AT5" s="1021" t="str">
        <f>AS17</f>
        <v/>
      </c>
      <c r="AU5" s="1022" t="str">
        <f>AS23</f>
        <v/>
      </c>
      <c r="AV5" s="843" t="str">
        <f>IF(AS17="","",CONCATENATE(AL17,". ",AS17," ",IFERROR(CONCATENATE(AR21,",",AR22),""),IF(ISERROR(CONCATENATE(AR21,",",AR22)),"","₽")))</f>
        <v/>
      </c>
      <c r="AW5" t="s">
        <v>8513</v>
      </c>
      <c r="AX5" s="1181" t="e">
        <f>SEARCH(AW5,AY4)</f>
        <v>#VALUE!</v>
      </c>
      <c r="AZ5" s="1476"/>
      <c r="BA5" s="834" t="s">
        <v>8436</v>
      </c>
      <c r="BB5" s="836" t="e">
        <f>SEARCH(" ",AY$4,BD4+1)+1</f>
        <v>#VALUE!</v>
      </c>
      <c r="BC5" s="306"/>
      <c r="BD5" s="306" t="e">
        <f>BB5+BE5</f>
        <v>#VALUE!</v>
      </c>
      <c r="BE5" s="306">
        <v>10</v>
      </c>
      <c r="BF5" s="827" t="e">
        <f>DATEVALUE(MID(AY$4,BB5,BE5))</f>
        <v>#VALUE!</v>
      </c>
      <c r="BG5" s="828" t="str">
        <f>IF(BC3=" за период",BF5,"")</f>
        <v/>
      </c>
      <c r="BH5" s="1021" t="str">
        <f>BG17</f>
        <v/>
      </c>
      <c r="BI5" s="1022" t="str">
        <f>BG23</f>
        <v/>
      </c>
      <c r="BJ5" s="843" t="str">
        <f>IF(BG17="","",CONCATENATE(AZ17,". ",BG17," ",IFERROR(CONCATENATE(BF21,",",BF22),""),IF(ISERROR(CONCATENATE(BF21,",",BF22)),"","₽")))</f>
        <v/>
      </c>
      <c r="BK5" s="1019" t="str">
        <f t="shared" si="3"/>
        <v/>
      </c>
      <c r="BL5" s="1020" t="str">
        <f t="shared" si="4"/>
        <v/>
      </c>
    </row>
    <row r="6" spans="1:64" x14ac:dyDescent="0.3">
      <c r="A6" s="1569"/>
      <c r="B6" s="920"/>
      <c r="C6" s="993" t="s">
        <v>8513</v>
      </c>
      <c r="D6" s="994" t="e">
        <f>SEARCH(C6,CHALLANGE_draft!$G$3)</f>
        <v>#VALUE!</v>
      </c>
      <c r="E6" s="994"/>
      <c r="F6" s="994"/>
      <c r="G6" s="994"/>
      <c r="H6" s="994"/>
      <c r="I6" s="1569"/>
      <c r="J6" s="993" t="s">
        <v>8513</v>
      </c>
      <c r="K6" s="854">
        <f>MIN(IFERROR(SEARCH(J$3,$A$3,R5),99999),
IFERROR(SEARCH(J$4,$A$3,R5),99999),
IFERROR(SEARCH(J$5,$A$3,R5),99999),
IFERROR(SEARCH(J$6,$A$3,R5),99999),
IFERROR(SEARCH(J$7,$A$3,R5),99999),
IFERROR(SEARCH(J$8,$A$3,R5),99999),
IFERROR(SEARCH(J$9,$A$3,R5),99999),
IFERROR(SEARCH(J$10,$A$3,R5),99999),
IFERROR(SEARCH(J$11,$A$3,R5),99999),
IFERROR(SEARCH(J$12,$A$3,R5),99999),
IFERROR(SEARCH(J$13,$A$3,R5),99999),
IFERROR(SEARCH(J$14,$A$3,R5),99999)
)</f>
        <v>99999</v>
      </c>
      <c r="L6" s="929"/>
      <c r="M6" s="334">
        <f t="shared" si="0"/>
        <v>2165</v>
      </c>
      <c r="N6" s="993" t="s">
        <v>8513</v>
      </c>
      <c r="O6" s="854">
        <f t="shared" si="1"/>
        <v>99999</v>
      </c>
      <c r="P6" s="994"/>
      <c r="Q6" s="994"/>
      <c r="R6" s="1181" t="e">
        <f>SEARCH(Q6,$A$3,O6)</f>
        <v>#VALUE!</v>
      </c>
      <c r="S6" s="854">
        <f t="shared" si="2"/>
        <v>97834</v>
      </c>
      <c r="T6" s="866" t="str">
        <f>MID($A$3,M6,S6)</f>
        <v/>
      </c>
      <c r="U6" t="s">
        <v>8513</v>
      </c>
      <c r="V6" s="994" t="e">
        <f>SEARCH(U6,W4)</f>
        <v>#VALUE!</v>
      </c>
      <c r="X6" s="1476"/>
      <c r="Y6" s="834"/>
      <c r="Z6" s="836"/>
      <c r="AA6" s="306" t="str">
        <f>IF(AB6=IFERROR(SEARCH(".",W$4,AB5),99999),".",
IF(AB6=IFERROR(SEARCH(",",W$4,AB5),99999),",",
IF(AB6=IFERROR(SEARCH(" за период",W$4,AB5),999999)," за период",
IF(AB6=IFERROR(SEARCH(" в размере",W$4,AB5),99999)," в размере",
))))</f>
        <v>.</v>
      </c>
      <c r="AB6" s="306">
        <f>MIN(
IFERROR(SEARCH(".",W$4,AB5),99999),
IFERROR(SEARCH(",",W$4,AB5),99999),
IFERROR(SEARCH(" в размере",W$4,AB5),99999))</f>
        <v>99999</v>
      </c>
      <c r="AC6" s="306"/>
      <c r="AD6" s="827"/>
      <c r="AE6" s="829"/>
      <c r="AF6" s="1019" t="str">
        <f>AE24</f>
        <v/>
      </c>
      <c r="AG6" s="1020" t="str">
        <f>AE30</f>
        <v/>
      </c>
      <c r="AH6" s="844" t="str">
        <f>IF(AE24="","",CONCATENATE(X24,". ",AE24," ",IFERROR(CONCATENATE(AD28,",",AD29),""),IF(ISERROR(CONCATENATE(AD28,",",AD29)),"","₽")))</f>
        <v/>
      </c>
      <c r="AI6" t="s">
        <v>8513</v>
      </c>
      <c r="AJ6" s="1072" t="e">
        <f>SEARCH(AI6,AK4)</f>
        <v>#VALUE!</v>
      </c>
      <c r="AL6" s="1476"/>
      <c r="AM6" s="834"/>
      <c r="AN6" s="836"/>
      <c r="AO6" s="306" t="str">
        <f>IF(AP6=IFERROR(SEARCH(".",AK$4,AP5),99999),".",
IF(AP6=IFERROR(SEARCH(",",AK$4,AP5),99999),",",
IF(AP6=IFERROR(SEARCH(" за период",AK$4,AP5),999999)," за период",
IF(AP6=IFERROR(SEARCH(" в размере",AK$4,AP5),99999)," в размере",
))))</f>
        <v>.</v>
      </c>
      <c r="AP6" s="306">
        <f>MIN(
IFERROR(SEARCH(".",AK$4,AP5),99999),
IFERROR(SEARCH(",",AK$4,AP5),99999),
IFERROR(SEARCH(" в размере",AK$4,AP5),99999))</f>
        <v>99999</v>
      </c>
      <c r="AQ6" s="306"/>
      <c r="AR6" s="827"/>
      <c r="AS6" s="829"/>
      <c r="AT6" s="1019" t="str">
        <f>AS24</f>
        <v/>
      </c>
      <c r="AU6" s="1020" t="str">
        <f>AS30</f>
        <v/>
      </c>
      <c r="AV6" s="844" t="str">
        <f>IF(AS24="","",CONCATENATE(AL24,". ",AS24," ",IFERROR(CONCATENATE(AR28,",",AR29),""),IF(ISERROR(CONCATENATE(AR28,",",AR29)),"","₽")))</f>
        <v/>
      </c>
      <c r="AW6" t="s">
        <v>8513</v>
      </c>
      <c r="AX6" s="1181" t="e">
        <f>SEARCH(AW6,AY4)</f>
        <v>#VALUE!</v>
      </c>
      <c r="AZ6" s="1476"/>
      <c r="BA6" s="834"/>
      <c r="BB6" s="836"/>
      <c r="BC6" s="306" t="str">
        <f>IF(BD6=IFERROR(SEARCH(".",AY$4,BD5),99999),".",
IF(BD6=IFERROR(SEARCH(",",AY$4,BD5),99999),",",
IF(BD6=IFERROR(SEARCH(" за период",AY$4,BD5),999999)," за период",
IF(BD6=IFERROR(SEARCH(" в размере",AY$4,BD5),99999)," в размере",
))))</f>
        <v>.</v>
      </c>
      <c r="BD6" s="306">
        <f>MIN(
IFERROR(SEARCH(".",AY$4,BD5),99999),
IFERROR(SEARCH(",",AY$4,BD5),99999),
IFERROR(SEARCH(" в размере",AY$4,BD5),99999))</f>
        <v>99999</v>
      </c>
      <c r="BE6" s="306"/>
      <c r="BF6" s="827"/>
      <c r="BG6" s="829"/>
      <c r="BH6" s="1019" t="str">
        <f>BG24</f>
        <v/>
      </c>
      <c r="BI6" s="1020" t="str">
        <f>BG30</f>
        <v/>
      </c>
      <c r="BJ6" s="844" t="str">
        <f>IF(BG24="","",CONCATENATE(AZ24,". ",BG24," ",IFERROR(CONCATENATE(BF28,",",BF29),""),IF(ISERROR(CONCATENATE(BF28,",",BF29)),"","₽")))</f>
        <v/>
      </c>
      <c r="BK6" s="1019" t="str">
        <f t="shared" si="3"/>
        <v/>
      </c>
      <c r="BL6" s="1020" t="str">
        <f t="shared" si="4"/>
        <v/>
      </c>
    </row>
    <row r="7" spans="1:64" x14ac:dyDescent="0.3">
      <c r="A7" s="1569"/>
      <c r="B7" s="920"/>
      <c r="C7" s="993" t="s">
        <v>8513</v>
      </c>
      <c r="D7" s="994" t="e">
        <f>SEARCH(C7,CHALLANGE_draft!$G$3)</f>
        <v>#VALUE!</v>
      </c>
      <c r="E7" s="994"/>
      <c r="F7" s="994"/>
      <c r="G7" s="994"/>
      <c r="H7" s="994"/>
      <c r="I7" s="1569"/>
      <c r="J7" s="993" t="s">
        <v>8513</v>
      </c>
      <c r="K7" s="854">
        <f>MIN(IFERROR(SEARCH(J$3,$A$3,R6),99999),
IFERROR(SEARCH(J$4,$A$3,R6),99999),
IFERROR(SEARCH(J$5,$A$3,R6),99999),
IFERROR(SEARCH(J$6,$A$3,R6),99999),
IFERROR(SEARCH(J$7,$A$3,R6),99999),
IFERROR(SEARCH(J$8,$A$3,R6),99999),
IFERROR(SEARCH(J$9,$A$3,R6),99999),
IFERROR(SEARCH(J$10,$A$3,R6),99999),
IFERROR(SEARCH(J$11,$A$3,R6),99999),
IFERROR(SEARCH(J$12,$A$3,R6),99999),
IFERROR(SEARCH(J$13,$A$3,R6),99999),
IFERROR(SEARCH(J$14,$A$3,R6),99999)
)</f>
        <v>99999</v>
      </c>
      <c r="L7" s="920"/>
      <c r="M7" s="334">
        <f t="shared" si="0"/>
        <v>2165</v>
      </c>
      <c r="N7" s="993" t="s">
        <v>8513</v>
      </c>
      <c r="O7" s="854">
        <f t="shared" si="1"/>
        <v>99999</v>
      </c>
      <c r="P7" s="994"/>
      <c r="Q7" s="994"/>
      <c r="R7" s="1181" t="e">
        <f>SEARCH(Q7,$A$3,O7)</f>
        <v>#VALUE!</v>
      </c>
      <c r="S7" s="854">
        <f t="shared" si="2"/>
        <v>97834</v>
      </c>
      <c r="T7" s="866" t="str">
        <f>MID($A$3,M7,S7)</f>
        <v/>
      </c>
      <c r="X7" s="1476"/>
      <c r="Y7" s="835" t="s">
        <v>8249</v>
      </c>
      <c r="Z7" s="836">
        <f>SEARCH(" в размере",W$4,AB3)+LEN(" в размере")+1</f>
        <v>155</v>
      </c>
      <c r="AA7" s="306" t="s">
        <v>8234</v>
      </c>
      <c r="AB7" s="306">
        <f>SEARCH(AA7,W$4,Z7)</f>
        <v>162</v>
      </c>
      <c r="AC7" s="306">
        <f>AB7-Z7</f>
        <v>7</v>
      </c>
      <c r="AD7" s="826" t="str">
        <f>IF(AE3="Штраф 50%","",MID(W$4,Z7,AC7))</f>
        <v>100 000</v>
      </c>
      <c r="AE7" s="829"/>
      <c r="AF7" s="1019" t="str">
        <f>AE31</f>
        <v/>
      </c>
      <c r="AG7" s="1020" t="str">
        <f>AE37</f>
        <v/>
      </c>
      <c r="AH7" s="844" t="str">
        <f>IF(AE31="","",CONCATENATE(X31,". ",AE31," ",IFERROR(CONCATENATE(AD35,",",AD36),""),IF(ISERROR(CONCATENATE(AD35,",",AD36)),"","₽")))</f>
        <v/>
      </c>
      <c r="AL7" s="1476"/>
      <c r="AM7" s="835" t="s">
        <v>8249</v>
      </c>
      <c r="AN7" s="836" t="e">
        <f>SEARCH(" в размере",AK$4,AP3)+LEN(" в размере")+1</f>
        <v>#VALUE!</v>
      </c>
      <c r="AO7" s="306" t="s">
        <v>8234</v>
      </c>
      <c r="AP7" s="306" t="e">
        <f>SEARCH(AO7,AK$4,AN7)</f>
        <v>#VALUE!</v>
      </c>
      <c r="AQ7" s="306" t="e">
        <f>AP7-AN7</f>
        <v>#VALUE!</v>
      </c>
      <c r="AR7" s="826" t="e">
        <f>IF(AS3="Штраф 50%","",MID(AK$4,AN7,AQ7))</f>
        <v>#VALUE!</v>
      </c>
      <c r="AS7" s="829"/>
      <c r="AT7" s="1019" t="str">
        <f>AS31</f>
        <v/>
      </c>
      <c r="AU7" s="1020" t="str">
        <f>AS37</f>
        <v/>
      </c>
      <c r="AV7" s="844" t="str">
        <f>IF(AS31="","",CONCATENATE(AL31,". ",AS31," ",IFERROR(CONCATENATE(AR35,",",AR36),""),IF(ISERROR(CONCATENATE(AR35,",",AR36)),"","₽")))</f>
        <v/>
      </c>
      <c r="AZ7" s="1476"/>
      <c r="BA7" s="835" t="s">
        <v>8249</v>
      </c>
      <c r="BB7" s="836" t="e">
        <f>SEARCH(" в размере",AY$4,BD3)+LEN(" в размере")+1</f>
        <v>#VALUE!</v>
      </c>
      <c r="BC7" s="306" t="s">
        <v>8234</v>
      </c>
      <c r="BD7" s="306" t="e">
        <f>SEARCH(BC7,AY$4,BB7)</f>
        <v>#VALUE!</v>
      </c>
      <c r="BE7" s="306" t="e">
        <f>BD7-BB7</f>
        <v>#VALUE!</v>
      </c>
      <c r="BF7" s="826" t="e">
        <f>IF(BG3="Штраф 50%","",MID(AY$4,BB7,BE7))</f>
        <v>#VALUE!</v>
      </c>
      <c r="BG7" s="829"/>
      <c r="BH7" s="1019" t="str">
        <f>BG31</f>
        <v/>
      </c>
      <c r="BI7" s="1020" t="str">
        <f>BG37</f>
        <v/>
      </c>
      <c r="BJ7" s="844" t="str">
        <f>IF(BG31="","",CONCATENATE(AZ31,". ",BG31," ",IFERROR(CONCATENATE(BF35,",",BF36),""),IF(ISERROR(CONCATENATE(BF35,",",BF36)),"","₽")))</f>
        <v/>
      </c>
      <c r="BK7" s="1019" t="str">
        <f t="shared" si="3"/>
        <v/>
      </c>
      <c r="BL7" s="1020" t="str">
        <f t="shared" si="4"/>
        <v/>
      </c>
    </row>
    <row r="8" spans="1:64" x14ac:dyDescent="0.3">
      <c r="A8" s="1569"/>
      <c r="B8" s="920"/>
      <c r="C8" s="993" t="s">
        <v>8513</v>
      </c>
      <c r="D8" s="994" t="e">
        <f>SEARCH(C8,CHALLANGE_draft!$G$3)</f>
        <v>#VALUE!</v>
      </c>
      <c r="E8" s="994"/>
      <c r="F8" s="994"/>
      <c r="G8" s="994"/>
      <c r="H8" s="994"/>
      <c r="I8" s="1569"/>
      <c r="J8" s="993" t="s">
        <v>8513</v>
      </c>
      <c r="K8" s="854"/>
      <c r="L8" s="920"/>
      <c r="M8" s="920"/>
      <c r="N8" s="993" t="s">
        <v>8513</v>
      </c>
      <c r="O8" s="994"/>
      <c r="P8" s="994"/>
      <c r="Q8" s="994"/>
      <c r="R8" s="994"/>
      <c r="S8" s="994"/>
      <c r="T8" s="1000"/>
      <c r="X8" s="1476"/>
      <c r="Y8" s="401"/>
      <c r="Z8" s="836">
        <f>SEARCH(" ",W$4,SEARCH("руб",W$4,AB7))+1</f>
        <v>182</v>
      </c>
      <c r="AA8" s="306" t="s">
        <v>8432</v>
      </c>
      <c r="AB8" s="306">
        <f>SEARCH(AA8,W$4,Z8)</f>
        <v>184</v>
      </c>
      <c r="AC8" s="306">
        <f>AB8-Z8</f>
        <v>2</v>
      </c>
      <c r="AD8" s="826" t="str">
        <f>IF(AE3="Штраф 50%","",MID(W$4,Z8,AC8))</f>
        <v>00</v>
      </c>
      <c r="AE8" s="829"/>
      <c r="AF8" s="1019" t="str">
        <f>AE38</f>
        <v/>
      </c>
      <c r="AG8" s="1020" t="str">
        <f>AE44</f>
        <v/>
      </c>
      <c r="AH8" s="842" t="str">
        <f>IF(AE38="","",CONCATENATE(X38,". ",AE38," ",IFERROR(CONCATENATE(AD42,",",AD43),""),IF(ISERROR(CONCATENATE(AD42,",",AD43)),"","₽")))</f>
        <v/>
      </c>
      <c r="AL8" s="1476"/>
      <c r="AM8" s="401"/>
      <c r="AN8" s="836" t="e">
        <f>SEARCH(" ",AK$4,SEARCH("руб",AK$4,AP7))+1</f>
        <v>#VALUE!</v>
      </c>
      <c r="AO8" s="306" t="s">
        <v>8432</v>
      </c>
      <c r="AP8" s="306" t="e">
        <f>SEARCH(AO8,AK$4,AN8)</f>
        <v>#VALUE!</v>
      </c>
      <c r="AQ8" s="306" t="e">
        <f>AP8-AN8</f>
        <v>#VALUE!</v>
      </c>
      <c r="AR8" s="826" t="e">
        <f>IF(AS3="Штраф 50%","",MID(AK$4,AN8,AQ8))</f>
        <v>#VALUE!</v>
      </c>
      <c r="AS8" s="829"/>
      <c r="AT8" s="1019" t="str">
        <f>AS38</f>
        <v/>
      </c>
      <c r="AU8" s="1020" t="str">
        <f>AS44</f>
        <v/>
      </c>
      <c r="AV8" s="842" t="str">
        <f>IF(AS38="","",CONCATENATE(AL38,". ",AS38," ",IFERROR(CONCATENATE(AR42,",",AR43),""),IF(ISERROR(CONCATENATE(AR42,",",AR43)),"","₽")))</f>
        <v/>
      </c>
      <c r="AZ8" s="1476"/>
      <c r="BA8" s="401"/>
      <c r="BB8" s="836" t="e">
        <f>SEARCH(" ",AY$4,SEARCH("руб",AY$4,BD7))+1</f>
        <v>#VALUE!</v>
      </c>
      <c r="BC8" s="306" t="s">
        <v>8432</v>
      </c>
      <c r="BD8" s="306" t="e">
        <f>SEARCH(BC8,AY$4,BB8)</f>
        <v>#VALUE!</v>
      </c>
      <c r="BE8" s="306" t="e">
        <f>BD8-BB8</f>
        <v>#VALUE!</v>
      </c>
      <c r="BF8" s="826" t="e">
        <f>IF(BG3="Штраф 50%","",MID(AY$4,BB8,BE8))</f>
        <v>#VALUE!</v>
      </c>
      <c r="BG8" s="829"/>
      <c r="BH8" s="1019" t="str">
        <f>BG38</f>
        <v/>
      </c>
      <c r="BI8" s="1020" t="str">
        <f>BG44</f>
        <v/>
      </c>
      <c r="BJ8" s="842" t="str">
        <f>IF(BG38="","",CONCATENATE(AZ38,". ",BG38," ",IFERROR(CONCATENATE(BF42,",",BF43),""),IF(ISERROR(CONCATENATE(BF42,",",BF43)),"","₽")))</f>
        <v/>
      </c>
      <c r="BK8" s="1019" t="str">
        <f t="shared" si="3"/>
        <v/>
      </c>
      <c r="BL8" s="1020" t="str">
        <f t="shared" si="4"/>
        <v/>
      </c>
    </row>
    <row r="9" spans="1:64" ht="15" thickBot="1" x14ac:dyDescent="0.35">
      <c r="A9" s="1569"/>
      <c r="B9" s="920"/>
      <c r="C9" s="993" t="s">
        <v>8513</v>
      </c>
      <c r="D9" s="994" t="e">
        <f>SEARCH(C9,CHALLANGE_draft!$G$3)</f>
        <v>#VALUE!</v>
      </c>
      <c r="E9" s="994"/>
      <c r="F9" s="994"/>
      <c r="G9" s="994"/>
      <c r="H9" s="994"/>
      <c r="I9" s="1569"/>
      <c r="J9" s="993" t="s">
        <v>8513</v>
      </c>
      <c r="K9" s="854"/>
      <c r="L9" s="920"/>
      <c r="M9" s="920"/>
      <c r="N9" s="993" t="s">
        <v>8513</v>
      </c>
      <c r="O9" s="994"/>
      <c r="P9" s="994"/>
      <c r="Q9" s="994"/>
      <c r="R9" s="994"/>
      <c r="S9" s="994"/>
      <c r="T9" s="1000"/>
      <c r="X9" s="1477"/>
      <c r="Y9" s="586"/>
      <c r="Z9" s="837"/>
      <c r="AA9" s="583"/>
      <c r="AB9" s="583"/>
      <c r="AC9" s="583"/>
      <c r="AD9" s="831">
        <f>VALUE(CONCATENATE(AD7,",",AD8))</f>
        <v>100000</v>
      </c>
      <c r="AE9" s="832">
        <f>IF(AE3="Штраф 50%","",IF(OR(AA6=" в размере",AA3=" в размере"),AD9,""))</f>
        <v>100000</v>
      </c>
      <c r="AF9" s="1022" t="str">
        <f>AE45</f>
        <v/>
      </c>
      <c r="AG9" s="1022" t="str">
        <f>AE51</f>
        <v/>
      </c>
      <c r="AH9" s="844" t="str">
        <f>IF(AE45="","",CONCATENATE(X45,". ",AE45," ",IFERROR(CONCATENATE(AD49,",",AD50),""),IF(ISERROR(CONCATENATE(AD49,",",AD50)),"","₽")))</f>
        <v/>
      </c>
      <c r="AL9" s="1477"/>
      <c r="AM9" s="586"/>
      <c r="AN9" s="837"/>
      <c r="AO9" s="583"/>
      <c r="AP9" s="583"/>
      <c r="AQ9" s="583"/>
      <c r="AR9" s="831" t="e">
        <f>VALUE(CONCATENATE(AR7,",",AR8))</f>
        <v>#VALUE!</v>
      </c>
      <c r="AS9" s="832" t="str">
        <f>IF(AS3="Штраф 50%","",IF(OR(AO6=" в размере",AO3=" в размере"),AR9,""))</f>
        <v/>
      </c>
      <c r="AT9" s="1022" t="str">
        <f>AS45</f>
        <v/>
      </c>
      <c r="AU9" s="1022" t="str">
        <f>AS51</f>
        <v/>
      </c>
      <c r="AV9" s="844" t="str">
        <f>IF(AS45="","",CONCATENATE(AL45,". ",AS45," ",IFERROR(CONCATENATE(AR49,",",AR50),""),IF(ISERROR(CONCATENATE(AR49,",",AR50)),"","₽")))</f>
        <v/>
      </c>
      <c r="AZ9" s="1477"/>
      <c r="BA9" s="586"/>
      <c r="BB9" s="837"/>
      <c r="BC9" s="583"/>
      <c r="BD9" s="583"/>
      <c r="BE9" s="583"/>
      <c r="BF9" s="831" t="e">
        <f>VALUE(CONCATENATE(BF7,",",BF8))</f>
        <v>#VALUE!</v>
      </c>
      <c r="BG9" s="832" t="str">
        <f>IF(BG3="Штраф 50%","",IF(OR(BC6=" в размере",BC3=" в размере"),BF9,""))</f>
        <v/>
      </c>
      <c r="BH9" s="1022" t="str">
        <f>BG45</f>
        <v/>
      </c>
      <c r="BI9" s="1022" t="str">
        <f>BG51</f>
        <v/>
      </c>
      <c r="BJ9" s="844" t="str">
        <f>IF(BG45="","",CONCATENATE(AZ45,". ",BG45," ",IFERROR(CONCATENATE(BF49,",",BF50),""),IF(ISERROR(CONCATENATE(BF49,",",BF50)),"","₽")))</f>
        <v/>
      </c>
      <c r="BK9" s="1019" t="str">
        <f t="shared" si="3"/>
        <v/>
      </c>
      <c r="BL9" s="1020" t="str">
        <f t="shared" si="4"/>
        <v/>
      </c>
    </row>
    <row r="10" spans="1:64" ht="15" thickTop="1" x14ac:dyDescent="0.3">
      <c r="A10" s="1569"/>
      <c r="B10" s="920"/>
      <c r="C10" s="993" t="s">
        <v>8513</v>
      </c>
      <c r="D10" s="994" t="e">
        <f>SEARCH(C10,CHALLANGE_draft!$G$3)</f>
        <v>#VALUE!</v>
      </c>
      <c r="E10" s="994"/>
      <c r="F10" s="994"/>
      <c r="G10" s="994"/>
      <c r="H10" s="994"/>
      <c r="I10" s="1569"/>
      <c r="J10" s="993" t="s">
        <v>8513</v>
      </c>
      <c r="K10" s="854"/>
      <c r="L10" s="920"/>
      <c r="M10" s="920"/>
      <c r="N10" s="993" t="s">
        <v>8513</v>
      </c>
      <c r="O10" s="994"/>
      <c r="P10" s="994"/>
      <c r="Q10" s="994"/>
      <c r="R10" s="994"/>
      <c r="S10" s="994"/>
      <c r="T10" s="1000"/>
      <c r="X10" s="1463">
        <v>2</v>
      </c>
      <c r="Y10" s="824" t="s">
        <v>8433</v>
      </c>
      <c r="Z10" s="838" t="e">
        <f>SEARCH(U$4,W$4,AB3)+LEN(U$4)</f>
        <v>#VALUE!</v>
      </c>
      <c r="AA10" s="406" t="str">
        <f>IF(AB10=IFERROR(SEARCH(".",W$4,Z10),99999),".",
IF(AB10=IFERROR(SEARCH(",",W$4,Z10),99999),",",
IF(AB10=IFERROR(SEARCH(" за период",W$4,Z10),999999)," за период",
IF(AB10=IFERROR(SEARCH(" в размере",W$4,Z10),99999)," в размере",
))))</f>
        <v>.</v>
      </c>
      <c r="AB10" s="406">
        <f>IFERROR(MIN(IFERROR(SEARCH(".",W$4,Z10),99999),IFERROR(SEARCH(",",W$4,Z10),99999),IFERROR(SEARCH(" за период",W$4,Z10),999999),IFERROR(SEARCH(" в размере",W$4,Z10),99999)),"ОШИБКА")</f>
        <v>99999</v>
      </c>
      <c r="AC10" s="406" t="e">
        <f>AB10-Z10</f>
        <v>#VALUE!</v>
      </c>
      <c r="AD10" s="824" t="e">
        <f>MID(W$4,Z10,AC10)</f>
        <v>#VALUE!</v>
      </c>
      <c r="AE10" s="825" t="str">
        <f>IFERROR(INDEX($EL:$EL,MATCH(MID(W$4,Z10,AC10),$EK:$EK,0),1),"")</f>
        <v/>
      </c>
      <c r="AF10" s="1019" t="str">
        <f>AE52</f>
        <v/>
      </c>
      <c r="AG10" s="1020" t="str">
        <f>AE58</f>
        <v/>
      </c>
      <c r="AH10" s="842" t="str">
        <f>IF(AE52="","",CONCATENATE(X52,". ",AE52," ",IFERROR(CONCATENATE(AD56,",",AD57),""),IF(ISERROR(CONCATENATE(AD56,",",AD57)),"","₽")))</f>
        <v/>
      </c>
      <c r="AL10" s="1463">
        <v>2</v>
      </c>
      <c r="AM10" s="824" t="s">
        <v>8433</v>
      </c>
      <c r="AN10" s="838" t="e">
        <f>SEARCH(AI$4,AK$4,AP3)+LEN(AI$4)</f>
        <v>#VALUE!</v>
      </c>
      <c r="AO10" s="406" t="str">
        <f>IF(AP10=IFERROR(SEARCH(".",AK$4,AN10),99999),".",
IF(AP10=IFERROR(SEARCH(",",AK$4,AN10),99999),",",
IF(AP10=IFERROR(SEARCH(" за период",AK$4,AN10),999999)," за период",
IF(AP10=IFERROR(SEARCH(" в размере",AK$4,AN10),99999)," в размере",
))))</f>
        <v>.</v>
      </c>
      <c r="AP10" s="406">
        <f>IFERROR(MIN(IFERROR(SEARCH(".",AK$4,AN10),99999),IFERROR(SEARCH(",",AK$4,AN10),99999),IFERROR(SEARCH(" за период",AK$4,AN10),999999),IFERROR(SEARCH(" в размере",AK$4,AN10),99999)),"ОШИБКА")</f>
        <v>99999</v>
      </c>
      <c r="AQ10" s="406" t="e">
        <f>AP10-AN10</f>
        <v>#VALUE!</v>
      </c>
      <c r="AR10" s="824" t="e">
        <f>MID(AK$4,AN10,AQ10)</f>
        <v>#VALUE!</v>
      </c>
      <c r="AS10" s="825" t="str">
        <f>IFERROR(INDEX($EL:$EL,MATCH(MID(AK$4,AN10,AQ10),$EK:$EK,0),1),"")</f>
        <v/>
      </c>
      <c r="AT10" s="1019" t="str">
        <f>AS52</f>
        <v/>
      </c>
      <c r="AU10" s="1020" t="str">
        <f>AS58</f>
        <v/>
      </c>
      <c r="AV10" s="842" t="str">
        <f>IF(AS52="","",CONCATENATE(AL52,". ",AS52," ",IFERROR(CONCATENATE(AR56,",",AR57),""),IF(ISERROR(CONCATENATE(AR56,",",AR57)),"","₽")))</f>
        <v/>
      </c>
      <c r="AZ10" s="1463">
        <v>2</v>
      </c>
      <c r="BA10" s="824" t="s">
        <v>8433</v>
      </c>
      <c r="BB10" s="838" t="e">
        <f>SEARCH(AW$4,AY$4,BD3)+LEN(AW$4)</f>
        <v>#VALUE!</v>
      </c>
      <c r="BC10" s="406" t="str">
        <f>IF(BD10=IFERROR(SEARCH(".",AY$4,BB10),99999),".",
IF(BD10=IFERROR(SEARCH(",",AY$4,BB10),99999),",",
IF(BD10=IFERROR(SEARCH(" за период",AY$4,BB10),999999)," за период",
IF(BD10=IFERROR(SEARCH(" в размере",AY$4,BB10),99999)," в размере",
))))</f>
        <v>.</v>
      </c>
      <c r="BD10" s="406">
        <f>IFERROR(MIN(IFERROR(SEARCH(".",AY$4,BB10),99999),IFERROR(SEARCH(",",AY$4,BB10),99999),IFERROR(SEARCH(" за период",AY$4,BB10),999999),IFERROR(SEARCH(" в размере",AY$4,BB10),99999)),"ОШИБКА")</f>
        <v>99999</v>
      </c>
      <c r="BE10" s="406" t="e">
        <f>BD10-BB10</f>
        <v>#VALUE!</v>
      </c>
      <c r="BF10" s="824" t="e">
        <f>MID(AY$4,BB10,BE10)</f>
        <v>#VALUE!</v>
      </c>
      <c r="BG10" s="825" t="str">
        <f>IFERROR(INDEX($EL:$EL,MATCH(MID(AY$4,BB10,BE10),$EK:$EK,0),1),"")</f>
        <v/>
      </c>
      <c r="BH10" s="1019" t="str">
        <f>BG52</f>
        <v/>
      </c>
      <c r="BI10" s="1020" t="str">
        <f>BG58</f>
        <v/>
      </c>
      <c r="BJ10" s="842" t="str">
        <f>IF(BG52="","",CONCATENATE(AZ52,". ",BG52," ",IFERROR(CONCATENATE(BF56,",",BF57),""),IF(ISERROR(CONCATENATE(BF56,",",BF57)),"","₽")))</f>
        <v/>
      </c>
      <c r="BK10" s="1019" t="str">
        <f t="shared" si="3"/>
        <v/>
      </c>
      <c r="BL10" s="1020" t="str">
        <f t="shared" si="4"/>
        <v/>
      </c>
    </row>
    <row r="11" spans="1:64" x14ac:dyDescent="0.3">
      <c r="A11" s="1569"/>
      <c r="B11" s="920"/>
      <c r="C11" s="993" t="s">
        <v>8513</v>
      </c>
      <c r="D11" s="994" t="e">
        <f>SEARCH(C11,CHALLANGE_draft!$G$3)</f>
        <v>#VALUE!</v>
      </c>
      <c r="E11" s="994"/>
      <c r="F11" s="994"/>
      <c r="G11" s="994"/>
      <c r="H11" s="994"/>
      <c r="I11" s="1569"/>
      <c r="J11" s="993" t="s">
        <v>8513</v>
      </c>
      <c r="K11" s="854"/>
      <c r="L11" s="920"/>
      <c r="M11" s="920"/>
      <c r="N11" s="993" t="s">
        <v>8513</v>
      </c>
      <c r="O11" s="994"/>
      <c r="P11" s="994"/>
      <c r="Q11" s="994"/>
      <c r="R11" s="994"/>
      <c r="S11" s="994"/>
      <c r="T11" s="1000"/>
      <c r="X11" s="1464"/>
      <c r="Y11" s="826" t="s">
        <v>8435</v>
      </c>
      <c r="Z11" s="836" t="str">
        <f>IF(AA10=" за период",SEARCH(" за период",W$4,AB10)+LEN(" за период")+3,"НЕТ")</f>
        <v>НЕТ</v>
      </c>
      <c r="AA11" s="306" t="s">
        <v>8434</v>
      </c>
      <c r="AB11" s="306" t="e">
        <f>SEARCH(AA11,W$4,Z11)</f>
        <v>#VALUE!</v>
      </c>
      <c r="AC11" s="306" t="e">
        <f>AB11-Z11</f>
        <v>#VALUE!</v>
      </c>
      <c r="AD11" s="827" t="e">
        <f>DATEVALUE(MID(W$4,Z11,AC11))</f>
        <v>#VALUE!</v>
      </c>
      <c r="AE11" s="828" t="str">
        <f>IF(AA10=" за период",AD11,"")</f>
        <v/>
      </c>
      <c r="AF11" s="1021" t="str">
        <f>AE59</f>
        <v/>
      </c>
      <c r="AG11" s="1022" t="str">
        <f>AE65</f>
        <v/>
      </c>
      <c r="AH11" s="842" t="str">
        <f>IF(AE59="","",CONCATENATE(X59,". ",AE59," ",IFERROR(CONCATENATE(AD63,",",AD64),""),IF(ISERROR(CONCATENATE(AD63,",",AD64)),"","₽")))</f>
        <v/>
      </c>
      <c r="AL11" s="1464"/>
      <c r="AM11" s="826" t="s">
        <v>8435</v>
      </c>
      <c r="AN11" s="836" t="str">
        <f>IF(AO10=" за период",SEARCH(" за период",AK$4,AP10)+LEN(" за период")+3,"НЕТ")</f>
        <v>НЕТ</v>
      </c>
      <c r="AO11" s="306" t="s">
        <v>8434</v>
      </c>
      <c r="AP11" s="306" t="e">
        <f>SEARCH(AO11,AK$4,AN11)</f>
        <v>#VALUE!</v>
      </c>
      <c r="AQ11" s="306" t="e">
        <f>AP11-AN11</f>
        <v>#VALUE!</v>
      </c>
      <c r="AR11" s="827" t="e">
        <f>DATEVALUE(MID(AK$4,AN11,AQ11))</f>
        <v>#VALUE!</v>
      </c>
      <c r="AS11" s="828" t="str">
        <f>IF(AO10=" за период",AR11,"")</f>
        <v/>
      </c>
      <c r="AT11" s="1021" t="str">
        <f>AS59</f>
        <v/>
      </c>
      <c r="AU11" s="1022" t="str">
        <f>AS65</f>
        <v/>
      </c>
      <c r="AV11" s="842" t="str">
        <f>IF(AS59="","",CONCATENATE(AL59,". ",AS59," ",IFERROR(CONCATENATE(AR63,",",AR64),""),IF(ISERROR(CONCATENATE(AR63,",",AR64)),"","₽")))</f>
        <v/>
      </c>
      <c r="AZ11" s="1464"/>
      <c r="BA11" s="826" t="s">
        <v>8435</v>
      </c>
      <c r="BB11" s="836" t="str">
        <f>IF(BC10=" за период",SEARCH(" за период",AY$4,BD10)+LEN(" за период")+3,"НЕТ")</f>
        <v>НЕТ</v>
      </c>
      <c r="BC11" s="306" t="s">
        <v>8434</v>
      </c>
      <c r="BD11" s="306" t="e">
        <f>SEARCH(BC11,AY$4,BB11)</f>
        <v>#VALUE!</v>
      </c>
      <c r="BE11" s="306" t="e">
        <f>BD11-BB11</f>
        <v>#VALUE!</v>
      </c>
      <c r="BF11" s="827" t="e">
        <f>DATEVALUE(MID(AY$4,BB11,BE11))</f>
        <v>#VALUE!</v>
      </c>
      <c r="BG11" s="828" t="str">
        <f>IF(BC10=" за период",BF11,"")</f>
        <v/>
      </c>
      <c r="BH11" s="1021" t="str">
        <f>BG59</f>
        <v/>
      </c>
      <c r="BI11" s="1022" t="str">
        <f>BG65</f>
        <v/>
      </c>
      <c r="BJ11" s="842" t="str">
        <f>IF(BG59="","",CONCATENATE(AZ59,". ",BG59," ",IFERROR(CONCATENATE(BF63,",",BF64),""),IF(ISERROR(CONCATENATE(BF63,",",BF64)),"","₽")))</f>
        <v/>
      </c>
      <c r="BK11" s="1019" t="str">
        <f t="shared" si="3"/>
        <v/>
      </c>
      <c r="BL11" s="1020" t="str">
        <f t="shared" si="4"/>
        <v/>
      </c>
    </row>
    <row r="12" spans="1:64" x14ac:dyDescent="0.3">
      <c r="A12" s="1569"/>
      <c r="B12" s="920"/>
      <c r="C12" s="993" t="s">
        <v>8513</v>
      </c>
      <c r="D12" s="994" t="e">
        <f>SEARCH(C12,CHALLANGE_draft!$G$3)</f>
        <v>#VALUE!</v>
      </c>
      <c r="E12" s="994"/>
      <c r="F12" s="994"/>
      <c r="G12" s="994"/>
      <c r="H12" s="994"/>
      <c r="I12" s="1569"/>
      <c r="J12" s="993" t="s">
        <v>8513</v>
      </c>
      <c r="K12" s="854"/>
      <c r="L12" s="920"/>
      <c r="M12" s="920"/>
      <c r="N12" s="993" t="s">
        <v>8513</v>
      </c>
      <c r="O12" s="994"/>
      <c r="P12" s="994"/>
      <c r="Q12" s="994"/>
      <c r="R12" s="994"/>
      <c r="S12" s="994"/>
      <c r="T12" s="1000"/>
      <c r="X12" s="1464"/>
      <c r="Y12" s="826" t="s">
        <v>8436</v>
      </c>
      <c r="Z12" s="836" t="e">
        <f>SEARCH(" ",W$4,AB11+1)+1</f>
        <v>#VALUE!</v>
      </c>
      <c r="AA12" s="306"/>
      <c r="AB12" s="306" t="e">
        <f>Z12+AC12</f>
        <v>#VALUE!</v>
      </c>
      <c r="AC12" s="306">
        <v>10</v>
      </c>
      <c r="AD12" s="827" t="e">
        <f>DATEVALUE(MID(W$4,Z12,AC12))</f>
        <v>#VALUE!</v>
      </c>
      <c r="AE12" s="828" t="str">
        <f>IF(AA10=" за период",AD12,"")</f>
        <v/>
      </c>
      <c r="AF12" s="1021" t="str">
        <f>AE66</f>
        <v/>
      </c>
      <c r="AG12" s="1022" t="str">
        <f>AE72</f>
        <v/>
      </c>
      <c r="AH12" s="842" t="str">
        <f>IF(AE66="","",CONCATENATE(X66,". ",AE66," ",IFERROR(CONCATENATE(AD70,",",AD71),""),IF(ISERROR(CONCATENATE(AD70,",",AD71)),"","₽")))</f>
        <v/>
      </c>
      <c r="AL12" s="1464"/>
      <c r="AM12" s="826" t="s">
        <v>8436</v>
      </c>
      <c r="AN12" s="836" t="e">
        <f>SEARCH(" ",AK$4,AP11+1)+1</f>
        <v>#VALUE!</v>
      </c>
      <c r="AO12" s="306"/>
      <c r="AP12" s="306" t="e">
        <f>AN12+AQ12</f>
        <v>#VALUE!</v>
      </c>
      <c r="AQ12" s="306">
        <v>10</v>
      </c>
      <c r="AR12" s="827" t="e">
        <f>DATEVALUE(MID(AK$4,AN12,AQ12))</f>
        <v>#VALUE!</v>
      </c>
      <c r="AS12" s="828" t="str">
        <f>IF(AO10=" за период",AR12,"")</f>
        <v/>
      </c>
      <c r="AT12" s="1021" t="str">
        <f>AS66</f>
        <v/>
      </c>
      <c r="AU12" s="1022" t="str">
        <f>AS72</f>
        <v/>
      </c>
      <c r="AV12" s="842" t="str">
        <f>IF(AS66="","",CONCATENATE(AL66,". ",AS66," ",IFERROR(CONCATENATE(AR70,",",AR71),""),IF(ISERROR(CONCATENATE(AR70,",",AR71)),"","₽")))</f>
        <v/>
      </c>
      <c r="AZ12" s="1464"/>
      <c r="BA12" s="826" t="s">
        <v>8436</v>
      </c>
      <c r="BB12" s="836" t="e">
        <f>SEARCH(" ",AY$4,BD11+1)+1</f>
        <v>#VALUE!</v>
      </c>
      <c r="BC12" s="306"/>
      <c r="BD12" s="306" t="e">
        <f>BB12+BE12</f>
        <v>#VALUE!</v>
      </c>
      <c r="BE12" s="306">
        <v>10</v>
      </c>
      <c r="BF12" s="827" t="e">
        <f>DATEVALUE(MID(AY$4,BB12,BE12))</f>
        <v>#VALUE!</v>
      </c>
      <c r="BG12" s="828" t="str">
        <f>IF(BC10=" за период",BF12,"")</f>
        <v/>
      </c>
      <c r="BH12" s="1021" t="str">
        <f>BG66</f>
        <v/>
      </c>
      <c r="BI12" s="1022" t="str">
        <f>BG72</f>
        <v/>
      </c>
      <c r="BJ12" s="842" t="str">
        <f>IF(BG66="","",CONCATENATE(AZ66,". ",BG66," ",IFERROR(CONCATENATE(BF70,",",BF71),""),IF(ISERROR(CONCATENATE(BF70,",",BF71)),"","₽")))</f>
        <v/>
      </c>
      <c r="BK12" s="1019" t="str">
        <f t="shared" si="3"/>
        <v/>
      </c>
      <c r="BL12" s="1020" t="str">
        <f t="shared" si="4"/>
        <v/>
      </c>
    </row>
    <row r="13" spans="1:64" x14ac:dyDescent="0.3">
      <c r="A13" s="1569"/>
      <c r="B13" s="920"/>
      <c r="C13" s="993" t="s">
        <v>8513</v>
      </c>
      <c r="D13" s="994" t="e">
        <f>SEARCH(C13,CHALLANGE_draft!$G$3)</f>
        <v>#VALUE!</v>
      </c>
      <c r="E13" s="994"/>
      <c r="F13" s="994"/>
      <c r="G13" s="994"/>
      <c r="H13" s="994"/>
      <c r="I13" s="1569"/>
      <c r="J13" s="993" t="s">
        <v>8513</v>
      </c>
      <c r="K13" s="854"/>
      <c r="L13" s="920"/>
      <c r="M13" s="920"/>
      <c r="N13" s="993" t="s">
        <v>8513</v>
      </c>
      <c r="O13" s="994"/>
      <c r="P13" s="994"/>
      <c r="Q13" s="994"/>
      <c r="R13" s="994"/>
      <c r="S13" s="994"/>
      <c r="T13" s="1000"/>
      <c r="X13" s="1464"/>
      <c r="Y13" s="826"/>
      <c r="Z13" s="836"/>
      <c r="AA13" s="306" t="str">
        <f>IF(AB13=IFERROR(SEARCH(".",W$4,AB12),99999),".",
IF(AB13=IFERROR(SEARCH(",",W$4,AB12),99999),",",
IF(AB13=IFERROR(SEARCH(" за период",W$4,AB12),999999)," за период",
IF(AB13=IFERROR(SEARCH(" в размере",W$4,AB12),99999)," в размере",
))))</f>
        <v>.</v>
      </c>
      <c r="AB13" s="306">
        <f>MIN(
IFERROR(SEARCH(".",W$4,AB12),99999),
IFERROR(SEARCH(",",W$4,AB12),99999),
IFERROR(SEARCH(" в размере",W$4,AB12),99999))</f>
        <v>99999</v>
      </c>
      <c r="AC13" s="306"/>
      <c r="AD13" s="827"/>
      <c r="AE13" s="829"/>
      <c r="AF13" s="1019" t="str">
        <f>AE73</f>
        <v/>
      </c>
      <c r="AG13" s="1020" t="str">
        <f>AE79</f>
        <v/>
      </c>
      <c r="AH13" s="842" t="str">
        <f>IF(AE73="","",CONCATENATE(X73,". ",AE73," ",IFERROR(CONCATENATE(AD77,",",AD78),""),IF(ISERROR(CONCATENATE(AD77,",",AD78)),"","₽")))</f>
        <v/>
      </c>
      <c r="AL13" s="1464"/>
      <c r="AM13" s="826"/>
      <c r="AN13" s="836"/>
      <c r="AO13" s="306" t="str">
        <f>IF(AP13=IFERROR(SEARCH(".",AK$4,AP12),99999),".",
IF(AP13=IFERROR(SEARCH(",",AK$4,AP12),99999),",",
IF(AP13=IFERROR(SEARCH(" за период",AK$4,AP12),999999)," за период",
IF(AP13=IFERROR(SEARCH(" в размере",AK$4,AP12),99999)," в размере",
))))</f>
        <v>.</v>
      </c>
      <c r="AP13" s="306">
        <f>MIN(
IFERROR(SEARCH(".",AK$4,AP12),99999),
IFERROR(SEARCH(",",AK$4,AP12),99999),
IFERROR(SEARCH(" в размере",AK$4,AP12),99999))</f>
        <v>99999</v>
      </c>
      <c r="AQ13" s="306"/>
      <c r="AR13" s="827"/>
      <c r="AS13" s="829"/>
      <c r="AT13" s="1019" t="str">
        <f>AS73</f>
        <v/>
      </c>
      <c r="AU13" s="1020" t="str">
        <f>AS79</f>
        <v/>
      </c>
      <c r="AV13" s="842" t="str">
        <f>IF(AS73="","",CONCATENATE(AL73,". ",AS73," ",IFERROR(CONCATENATE(AR77,",",AR78),""),IF(ISERROR(CONCATENATE(AR77,",",AR78)),"","₽")))</f>
        <v/>
      </c>
      <c r="AZ13" s="1464"/>
      <c r="BA13" s="826"/>
      <c r="BB13" s="836"/>
      <c r="BC13" s="306" t="str">
        <f>IF(BD13=IFERROR(SEARCH(".",AY$4,BD12),99999),".",
IF(BD13=IFERROR(SEARCH(",",AY$4,BD12),99999),",",
IF(BD13=IFERROR(SEARCH(" за период",AY$4,BD12),999999)," за период",
IF(BD13=IFERROR(SEARCH(" в размере",AY$4,BD12),99999)," в размере",
))))</f>
        <v>.</v>
      </c>
      <c r="BD13" s="306">
        <f>MIN(
IFERROR(SEARCH(".",AY$4,BD12),99999),
IFERROR(SEARCH(",",AY$4,BD12),99999),
IFERROR(SEARCH(" в размере",AY$4,BD12),99999))</f>
        <v>99999</v>
      </c>
      <c r="BE13" s="306"/>
      <c r="BF13" s="827"/>
      <c r="BG13" s="829"/>
      <c r="BH13" s="1019" t="str">
        <f>BG73</f>
        <v/>
      </c>
      <c r="BI13" s="1020" t="str">
        <f>BG79</f>
        <v/>
      </c>
      <c r="BJ13" s="842" t="str">
        <f>IF(BG73="","",CONCATENATE(AZ73,". ",BG73," ",IFERROR(CONCATENATE(BF77,",",BF78),""),IF(ISERROR(CONCATENATE(BF77,",",BF78)),"","₽")))</f>
        <v/>
      </c>
      <c r="BK13" s="1019" t="str">
        <f t="shared" si="3"/>
        <v/>
      </c>
      <c r="BL13" s="1020" t="str">
        <f t="shared" si="4"/>
        <v/>
      </c>
    </row>
    <row r="14" spans="1:64" x14ac:dyDescent="0.3">
      <c r="A14" s="1569"/>
      <c r="B14" s="920"/>
      <c r="C14" s="993" t="s">
        <v>8513</v>
      </c>
      <c r="D14" s="994" t="e">
        <f>SEARCH(C14,CHALLANGE_draft!$G$3)</f>
        <v>#VALUE!</v>
      </c>
      <c r="E14" s="994"/>
      <c r="F14" s="994"/>
      <c r="G14" s="994"/>
      <c r="H14" s="994"/>
      <c r="I14" s="1569"/>
      <c r="J14" s="993" t="s">
        <v>8513</v>
      </c>
      <c r="K14" s="854"/>
      <c r="L14" s="920"/>
      <c r="M14" s="920"/>
      <c r="N14" s="993" t="s">
        <v>8513</v>
      </c>
      <c r="O14" s="994"/>
      <c r="P14" s="994"/>
      <c r="Q14" s="994"/>
      <c r="R14" s="994"/>
      <c r="S14" s="994"/>
      <c r="T14" s="1000"/>
      <c r="X14" s="1464"/>
      <c r="Y14" s="835" t="s">
        <v>8249</v>
      </c>
      <c r="Z14" s="836" t="e">
        <f>SEARCH(" в размере",W$4,AB10)+LEN(" в размере")+1</f>
        <v>#VALUE!</v>
      </c>
      <c r="AA14" s="306" t="s">
        <v>8234</v>
      </c>
      <c r="AB14" s="306" t="e">
        <f>SEARCH(AA14,W$4,Z14)</f>
        <v>#VALUE!</v>
      </c>
      <c r="AC14" s="306" t="e">
        <f>AB14-Z14</f>
        <v>#VALUE!</v>
      </c>
      <c r="AD14" s="826" t="e">
        <f>IF(AE10="Штраф 50%","",MID(W$4,Z14,AC14))</f>
        <v>#VALUE!</v>
      </c>
      <c r="AE14" s="829"/>
      <c r="AF14" s="1019" t="str">
        <f>AE80</f>
        <v/>
      </c>
      <c r="AG14" s="1020" t="str">
        <f>AE86</f>
        <v/>
      </c>
      <c r="AH14" s="845" t="str">
        <f>IF(AE80="","",CONCATENATE(X80,". ",AE80," ",IFERROR(CONCATENATE(AD84,",",AD85),""),IF(ISERROR(CONCATENATE(AD84,",",AD85)),"","₽")))</f>
        <v/>
      </c>
      <c r="AL14" s="1464"/>
      <c r="AM14" s="835" t="s">
        <v>8249</v>
      </c>
      <c r="AN14" s="836" t="e">
        <f>SEARCH(" в размере",AK$4,AP10)+LEN(" в размере")+1</f>
        <v>#VALUE!</v>
      </c>
      <c r="AO14" s="306" t="s">
        <v>8234</v>
      </c>
      <c r="AP14" s="306" t="e">
        <f>SEARCH(AO14,AK$4,AN14)</f>
        <v>#VALUE!</v>
      </c>
      <c r="AQ14" s="306" t="e">
        <f>AP14-AN14</f>
        <v>#VALUE!</v>
      </c>
      <c r="AR14" s="826" t="e">
        <f>IF(AS10="Штраф 50%","",MID(AK$4,AN14,AQ14))</f>
        <v>#VALUE!</v>
      </c>
      <c r="AS14" s="829"/>
      <c r="AT14" s="1019" t="str">
        <f>AS80</f>
        <v/>
      </c>
      <c r="AU14" s="1020" t="str">
        <f>AS86</f>
        <v/>
      </c>
      <c r="AV14" s="845" t="str">
        <f>IF(AS80="","",CONCATENATE(AL80,". ",AS80," ",IFERROR(CONCATENATE(AR84,",",AR85),""),IF(ISERROR(CONCATENATE(AR84,",",AR85)),"","₽")))</f>
        <v/>
      </c>
      <c r="AZ14" s="1464"/>
      <c r="BA14" s="835" t="s">
        <v>8249</v>
      </c>
      <c r="BB14" s="836" t="e">
        <f>SEARCH(" в размере",AY$4,BD10)+LEN(" в размере")+1</f>
        <v>#VALUE!</v>
      </c>
      <c r="BC14" s="306" t="s">
        <v>8234</v>
      </c>
      <c r="BD14" s="306" t="e">
        <f>SEARCH(BC14,AY$4,BB14)</f>
        <v>#VALUE!</v>
      </c>
      <c r="BE14" s="306" t="e">
        <f>BD14-BB14</f>
        <v>#VALUE!</v>
      </c>
      <c r="BF14" s="826" t="e">
        <f>IF(BG10="Штраф 50%","",MID(AY$4,BB14,BE14))</f>
        <v>#VALUE!</v>
      </c>
      <c r="BG14" s="829"/>
      <c r="BH14" s="1019" t="str">
        <f>BG80</f>
        <v/>
      </c>
      <c r="BI14" s="1020" t="str">
        <f>BG86</f>
        <v/>
      </c>
      <c r="BJ14" s="845" t="str">
        <f>IF(BG80="","",CONCATENATE(AZ80,". ",BG80," ",IFERROR(CONCATENATE(BF84,",",BF85),""),IF(ISERROR(CONCATENATE(BF84,",",BF85)),"","₽")))</f>
        <v/>
      </c>
      <c r="BK14" s="1019" t="str">
        <f t="shared" si="3"/>
        <v/>
      </c>
      <c r="BL14" s="1020" t="str">
        <f t="shared" si="4"/>
        <v/>
      </c>
    </row>
    <row r="15" spans="1:64" ht="14.4" customHeight="1" x14ac:dyDescent="0.3">
      <c r="A15" s="1569"/>
      <c r="B15" s="920"/>
      <c r="C15" s="995"/>
      <c r="D15" s="920"/>
      <c r="E15" s="920"/>
      <c r="F15" s="996"/>
      <c r="G15" s="920"/>
      <c r="H15" s="854"/>
      <c r="I15" s="1569"/>
      <c r="J15" s="993"/>
      <c r="K15" s="994"/>
      <c r="L15" s="870"/>
      <c r="M15" s="1204"/>
      <c r="N15" s="993"/>
      <c r="O15" s="994"/>
      <c r="P15" s="994"/>
      <c r="Q15" s="870"/>
      <c r="R15" s="994"/>
      <c r="S15" s="854"/>
      <c r="T15" s="1000"/>
      <c r="X15" s="1464"/>
      <c r="Y15" s="401"/>
      <c r="Z15" s="836" t="e">
        <f>SEARCH(" ",W$4,SEARCH("руб",W$4,AB14))+1</f>
        <v>#VALUE!</v>
      </c>
      <c r="AA15" s="306" t="s">
        <v>8432</v>
      </c>
      <c r="AB15" s="306" t="e">
        <f>SEARCH(AA15,W$4,Z15)</f>
        <v>#VALUE!</v>
      </c>
      <c r="AC15" s="306" t="e">
        <f>AB15-Z15</f>
        <v>#VALUE!</v>
      </c>
      <c r="AD15" s="826" t="e">
        <f>IF(AE10="Штраф 50%","",MID(W$4,Z15,AC15))</f>
        <v>#VALUE!</v>
      </c>
      <c r="AE15" s="829"/>
      <c r="AF15" s="1019" t="str">
        <f>AE87</f>
        <v/>
      </c>
      <c r="AG15" s="1020" t="str">
        <f>AE93</f>
        <v/>
      </c>
      <c r="AH15" s="845" t="str">
        <f>IF(AE87="","",CONCATENATE(X87,". ",AE87," ",IFERROR(CONCATENATE(AD91,",",AD92),""),IF(ISERROR(CONCATENATE(AD91,",",AD92)),"","₽")))</f>
        <v/>
      </c>
      <c r="AL15" s="1464"/>
      <c r="AM15" s="401"/>
      <c r="AN15" s="836" t="e">
        <f>SEARCH(" ",AK$4,SEARCH("руб",AK$4,AP14))+1</f>
        <v>#VALUE!</v>
      </c>
      <c r="AO15" s="306" t="s">
        <v>8432</v>
      </c>
      <c r="AP15" s="306" t="e">
        <f>SEARCH(AO15,AK$4,AN15)</f>
        <v>#VALUE!</v>
      </c>
      <c r="AQ15" s="306" t="e">
        <f>AP15-AN15</f>
        <v>#VALUE!</v>
      </c>
      <c r="AR15" s="826" t="e">
        <f>IF(AS10="Штраф 50%","",MID(AK$4,AN15,AQ15))</f>
        <v>#VALUE!</v>
      </c>
      <c r="AS15" s="829"/>
      <c r="AT15" s="1019" t="str">
        <f>AS87</f>
        <v/>
      </c>
      <c r="AU15" s="1020" t="str">
        <f>AS93</f>
        <v/>
      </c>
      <c r="AV15" s="845" t="str">
        <f>IF(AS87="","",CONCATENATE(AL87,". ",AS87," ",IFERROR(CONCATENATE(AR91,",",AR92),""),IF(ISERROR(CONCATENATE(AR91,",",AR92)),"","₽")))</f>
        <v/>
      </c>
      <c r="AZ15" s="1464"/>
      <c r="BA15" s="401"/>
      <c r="BB15" s="836" t="e">
        <f>SEARCH(" ",AY$4,SEARCH("руб",AY$4,BD14))+1</f>
        <v>#VALUE!</v>
      </c>
      <c r="BC15" s="306" t="s">
        <v>8432</v>
      </c>
      <c r="BD15" s="306" t="e">
        <f>SEARCH(BC15,AY$4,BB15)</f>
        <v>#VALUE!</v>
      </c>
      <c r="BE15" s="306" t="e">
        <f>BD15-BB15</f>
        <v>#VALUE!</v>
      </c>
      <c r="BF15" s="826" t="e">
        <f>IF(BG10="Штраф 50%","",MID(AY$4,BB15,BE15))</f>
        <v>#VALUE!</v>
      </c>
      <c r="BG15" s="829"/>
      <c r="BH15" s="1019" t="str">
        <f>BG87</f>
        <v/>
      </c>
      <c r="BI15" s="1020" t="str">
        <f>BG93</f>
        <v/>
      </c>
      <c r="BJ15" s="845" t="str">
        <f>IF(BG87="","",CONCATENATE(AZ87,". ",BG87," ",IFERROR(CONCATENATE(BF91,",",BF92),""),IF(ISERROR(CONCATENATE(BF91,",",BF92)),"","₽")))</f>
        <v/>
      </c>
      <c r="BK15" s="1019" t="str">
        <f t="shared" si="3"/>
        <v/>
      </c>
      <c r="BL15" s="1020" t="str">
        <f t="shared" si="4"/>
        <v/>
      </c>
    </row>
    <row r="16" spans="1:64" ht="15" thickBot="1" x14ac:dyDescent="0.35">
      <c r="A16" s="1569"/>
      <c r="B16" s="920"/>
      <c r="C16" s="995"/>
      <c r="D16" s="920"/>
      <c r="E16" s="920"/>
      <c r="F16" s="920"/>
      <c r="G16" s="920"/>
      <c r="H16" s="920"/>
      <c r="I16" s="1569"/>
      <c r="J16" s="993"/>
      <c r="K16" s="994"/>
      <c r="L16" s="920"/>
      <c r="M16" s="920"/>
      <c r="N16" s="993"/>
      <c r="O16" s="994"/>
      <c r="P16" s="994"/>
      <c r="Q16" s="994"/>
      <c r="R16" s="994"/>
      <c r="S16" s="994"/>
      <c r="T16" s="1000"/>
      <c r="X16" s="1465"/>
      <c r="Y16" s="583"/>
      <c r="Z16" s="837"/>
      <c r="AA16" s="583"/>
      <c r="AB16" s="583"/>
      <c r="AC16" s="583"/>
      <c r="AD16" s="831" t="e">
        <f>VALUE(CONCATENATE(AD14,",",AD15))</f>
        <v>#VALUE!</v>
      </c>
      <c r="AE16" s="832" t="str">
        <f>IF(AE10="Штраф 50%","",IF(OR(AA13=" в размере",AA10=" в размере"),AD16,""))</f>
        <v/>
      </c>
      <c r="AF16" s="1022" t="str">
        <f>AE94</f>
        <v/>
      </c>
      <c r="AG16" s="1022" t="str">
        <f>AE100</f>
        <v/>
      </c>
      <c r="AH16" s="845" t="str">
        <f>IF(AE94="","",CONCATENATE(X94,". ",AE94," ",IFERROR(CONCATENATE(AD98,",",AD99),""),IF(ISERROR(CONCATENATE(AD98,",",AD99)),"","₽")))</f>
        <v/>
      </c>
      <c r="AL16" s="1465"/>
      <c r="AM16" s="583"/>
      <c r="AN16" s="837"/>
      <c r="AO16" s="583"/>
      <c r="AP16" s="583"/>
      <c r="AQ16" s="583"/>
      <c r="AR16" s="831" t="e">
        <f>VALUE(CONCATENATE(AR14,",",AR15))</f>
        <v>#VALUE!</v>
      </c>
      <c r="AS16" s="832" t="str">
        <f>IF(AS10="Штраф 50%","",IF(OR(AO13=" в размере",AO10=" в размере"),AR16,""))</f>
        <v/>
      </c>
      <c r="AT16" s="1022" t="str">
        <f>AS94</f>
        <v/>
      </c>
      <c r="AU16" s="1022" t="str">
        <f>AS100</f>
        <v/>
      </c>
      <c r="AV16" s="845" t="str">
        <f>IF(AS94="","",CONCATENATE(AL94,". ",AS94," ",IFERROR(CONCATENATE(AR98,",",AR99),""),IF(ISERROR(CONCATENATE(AR98,",",AR99)),"","₽")))</f>
        <v/>
      </c>
      <c r="AZ16" s="1465"/>
      <c r="BA16" s="583"/>
      <c r="BB16" s="837"/>
      <c r="BC16" s="583"/>
      <c r="BD16" s="583"/>
      <c r="BE16" s="583"/>
      <c r="BF16" s="831" t="e">
        <f>VALUE(CONCATENATE(BF14,",",BF15))</f>
        <v>#VALUE!</v>
      </c>
      <c r="BG16" s="832" t="str">
        <f>IF(BG10="Штраф 50%","",IF(OR(BC13=" в размере",BC10=" в размере"),BF16,""))</f>
        <v/>
      </c>
      <c r="BH16" s="1022" t="str">
        <f>BG94</f>
        <v/>
      </c>
      <c r="BI16" s="1022" t="str">
        <f>BG100</f>
        <v/>
      </c>
      <c r="BJ16" s="845" t="str">
        <f>IF(BG94="","",CONCATENATE(AZ94,". ",BG94," ",IFERROR(CONCATENATE(BF98,",",BF99),""),IF(ISERROR(CONCATENATE(BF98,",",BF99)),"","₽")))</f>
        <v/>
      </c>
      <c r="BK16" s="1019" t="str">
        <f t="shared" si="3"/>
        <v/>
      </c>
      <c r="BL16" s="1020" t="str">
        <f t="shared" si="4"/>
        <v/>
      </c>
    </row>
    <row r="17" spans="1:64" ht="15" thickTop="1" x14ac:dyDescent="0.3">
      <c r="A17" s="1569"/>
      <c r="B17" s="920"/>
      <c r="C17" s="995"/>
      <c r="D17" s="920"/>
      <c r="E17" s="920"/>
      <c r="F17" s="920"/>
      <c r="G17" s="920"/>
      <c r="H17" s="920"/>
      <c r="I17" s="1569"/>
      <c r="J17" s="993"/>
      <c r="K17" s="994"/>
      <c r="L17" s="920"/>
      <c r="M17" s="920"/>
      <c r="N17" s="993"/>
      <c r="O17" s="994"/>
      <c r="P17" s="994"/>
      <c r="Q17" s="994"/>
      <c r="R17" s="994"/>
      <c r="S17" s="994"/>
      <c r="T17" s="1000"/>
      <c r="X17" s="1463">
        <v>3</v>
      </c>
      <c r="Y17" s="824" t="s">
        <v>8433</v>
      </c>
      <c r="Z17" s="838" t="e">
        <f>SEARCH(U$4,W$4,AB10)+LEN(U$4)</f>
        <v>#VALUE!</v>
      </c>
      <c r="AA17" s="406" t="str">
        <f>IF(AB17=IFERROR(SEARCH(".",W$4,Z17),99999),".",
IF(AB17=IFERROR(SEARCH(",",W$4,Z17),99999),",",
IF(AB17=IFERROR(SEARCH(" за период",W$4,Z17),999999)," за период",
IF(AB17=IFERROR(SEARCH(" в размере",W$4,Z17),99999)," в размере",
))))</f>
        <v>.</v>
      </c>
      <c r="AB17" s="406">
        <f>IFERROR(MIN(IFERROR(SEARCH(".",W$4,Z17),99999),IFERROR(SEARCH(",",W$4,Z17),99999),IFERROR(SEARCH(" за период",W$4,Z17),999999),IFERROR(SEARCH(" в размере",W$4,Z17),99999)),"ОШИБКА")</f>
        <v>99999</v>
      </c>
      <c r="AC17" s="406" t="e">
        <f>AB17-Z17</f>
        <v>#VALUE!</v>
      </c>
      <c r="AD17" s="824" t="e">
        <f>MID(W$4,Z17,AC17)</f>
        <v>#VALUE!</v>
      </c>
      <c r="AE17" s="825" t="str">
        <f>IFERROR(INDEX($EL:$EL,MATCH(MID(W$4,Z17,AC17),$EK:$EK,0),1),"")</f>
        <v/>
      </c>
      <c r="AF17" s="1019" t="str">
        <f>AE101</f>
        <v/>
      </c>
      <c r="AG17" s="1020" t="str">
        <f>AE107</f>
        <v/>
      </c>
      <c r="AH17" s="842" t="str">
        <f>IF(AE101="","",CONCATENATE(X101,". ",AE101," ",IFERROR(CONCATENATE(AD105,",",AD106),""),IF(ISERROR(CONCATENATE(AD105,",",AD106)),"","₽")))</f>
        <v/>
      </c>
      <c r="AL17" s="1463">
        <v>3</v>
      </c>
      <c r="AM17" s="824" t="s">
        <v>8433</v>
      </c>
      <c r="AN17" s="838" t="e">
        <f>SEARCH(AI$4,AK$4,AP10)+LEN(AI$4)</f>
        <v>#VALUE!</v>
      </c>
      <c r="AO17" s="406" t="str">
        <f>IF(AP17=IFERROR(SEARCH(".",AK$4,AN17),99999),".",
IF(AP17=IFERROR(SEARCH(",",AK$4,AN17),99999),",",
IF(AP17=IFERROR(SEARCH(" за период",AK$4,AN17),999999)," за период",
IF(AP17=IFERROR(SEARCH(" в размере",AK$4,AN17),99999)," в размере",
))))</f>
        <v>.</v>
      </c>
      <c r="AP17" s="406">
        <f>IFERROR(MIN(IFERROR(SEARCH(".",AK$4,AN17),99999),IFERROR(SEARCH(",",AK$4,AN17),99999),IFERROR(SEARCH(" за период",AK$4,AN17),999999),IFERROR(SEARCH(" в размере",AK$4,AN17),99999)),"ОШИБКА")</f>
        <v>99999</v>
      </c>
      <c r="AQ17" s="406" t="e">
        <f>AP17-AN17</f>
        <v>#VALUE!</v>
      </c>
      <c r="AR17" s="824" t="e">
        <f>MID(AK$4,AN17,AQ17)</f>
        <v>#VALUE!</v>
      </c>
      <c r="AS17" s="825" t="str">
        <f>IFERROR(INDEX($EL:$EL,MATCH(MID(AK$4,AN17,AQ17),$EK:$EK,0),1),"")</f>
        <v/>
      </c>
      <c r="AT17" s="1019" t="str">
        <f>AS101</f>
        <v/>
      </c>
      <c r="AU17" s="1020" t="str">
        <f>AS107</f>
        <v/>
      </c>
      <c r="AV17" s="842" t="str">
        <f>IF(AS101="","",CONCATENATE(AL101,". ",AS101," ",IFERROR(CONCATENATE(AR105,",",AR106),""),IF(ISERROR(CONCATENATE(AR105,",",AR106)),"","₽")))</f>
        <v/>
      </c>
      <c r="AZ17" s="1463">
        <v>3</v>
      </c>
      <c r="BA17" s="824" t="s">
        <v>8433</v>
      </c>
      <c r="BB17" s="838" t="e">
        <f>SEARCH(AW$4,AY$4,BD10)+LEN(AW$4)</f>
        <v>#VALUE!</v>
      </c>
      <c r="BC17" s="406" t="str">
        <f>IF(BD17=IFERROR(SEARCH(".",AY$4,BB17),99999),".",
IF(BD17=IFERROR(SEARCH(",",AY$4,BB17),99999),",",
IF(BD17=IFERROR(SEARCH(" за период",AY$4,BB17),999999)," за период",
IF(BD17=IFERROR(SEARCH(" в размере",AY$4,BB17),99999)," в размере",
))))</f>
        <v>.</v>
      </c>
      <c r="BD17" s="406">
        <f>IFERROR(MIN(IFERROR(SEARCH(".",AY$4,BB17),99999),IFERROR(SEARCH(",",AY$4,BB17),99999),IFERROR(SEARCH(" за период",AY$4,BB17),999999),IFERROR(SEARCH(" в размере",AY$4,BB17),99999)),"ОШИБКА")</f>
        <v>99999</v>
      </c>
      <c r="BE17" s="406" t="e">
        <f>BD17-BB17</f>
        <v>#VALUE!</v>
      </c>
      <c r="BF17" s="824" t="e">
        <f>MID(AY$4,BB17,BE17)</f>
        <v>#VALUE!</v>
      </c>
      <c r="BG17" s="825" t="str">
        <f>IFERROR(INDEX($EL:$EL,MATCH(MID(AY$4,BB17,BE17),$EK:$EK,0),1),"")</f>
        <v/>
      </c>
      <c r="BH17" s="1019" t="str">
        <f>BG101</f>
        <v/>
      </c>
      <c r="BI17" s="1020" t="str">
        <f>BG107</f>
        <v/>
      </c>
      <c r="BJ17" s="842" t="str">
        <f>IF(BG101="","",CONCATENATE(AZ101,". ",BG101," ",IFERROR(CONCATENATE(BF105,",",BF106),""),IF(ISERROR(CONCATENATE(BF105,",",BF106)),"","₽")))</f>
        <v/>
      </c>
      <c r="BK17" s="1019" t="str">
        <f t="shared" si="3"/>
        <v/>
      </c>
      <c r="BL17" s="1020" t="str">
        <f t="shared" si="4"/>
        <v/>
      </c>
    </row>
    <row r="18" spans="1:64" x14ac:dyDescent="0.3">
      <c r="A18" s="1569"/>
      <c r="B18" s="920"/>
      <c r="C18" s="995"/>
      <c r="D18" s="920"/>
      <c r="E18" s="920"/>
      <c r="F18" s="920"/>
      <c r="G18" s="920"/>
      <c r="H18" s="920"/>
      <c r="I18" s="1569"/>
      <c r="J18" s="993"/>
      <c r="K18" s="994"/>
      <c r="L18" s="929"/>
      <c r="M18" s="920"/>
      <c r="N18" s="993"/>
      <c r="O18" s="994"/>
      <c r="P18" s="994"/>
      <c r="Q18" s="994"/>
      <c r="R18" s="994"/>
      <c r="S18" s="994"/>
      <c r="T18" s="1000"/>
      <c r="X18" s="1464"/>
      <c r="Y18" s="826" t="s">
        <v>8435</v>
      </c>
      <c r="Z18" s="836" t="str">
        <f>IF(AA17=" за период",SEARCH(" за период",W$4,AB17)+LEN(" за период")+3,"НЕТ")</f>
        <v>НЕТ</v>
      </c>
      <c r="AA18" s="306" t="s">
        <v>8434</v>
      </c>
      <c r="AB18" s="306" t="e">
        <f>SEARCH(AA18,W$4,Z18)</f>
        <v>#VALUE!</v>
      </c>
      <c r="AC18" s="306" t="e">
        <f>AB18-Z18</f>
        <v>#VALUE!</v>
      </c>
      <c r="AD18" s="827" t="e">
        <f>DATEVALUE(MID(W$4,Z18,AC18))</f>
        <v>#VALUE!</v>
      </c>
      <c r="AE18" s="828" t="str">
        <f>IF(AA17=" за период",AD18,"")</f>
        <v/>
      </c>
      <c r="AF18" s="1017"/>
      <c r="AG18" s="1017"/>
      <c r="AH18" s="116"/>
      <c r="AL18" s="1464"/>
      <c r="AM18" s="826" t="s">
        <v>8435</v>
      </c>
      <c r="AN18" s="836" t="str">
        <f>IF(AO17=" за период",SEARCH(" за период",AK$4,AP17)+LEN(" за период")+3,"НЕТ")</f>
        <v>НЕТ</v>
      </c>
      <c r="AO18" s="306" t="s">
        <v>8434</v>
      </c>
      <c r="AP18" s="306" t="e">
        <f>SEARCH(AO18,AK$4,AN18)</f>
        <v>#VALUE!</v>
      </c>
      <c r="AQ18" s="306" t="e">
        <f>AP18-AN18</f>
        <v>#VALUE!</v>
      </c>
      <c r="AR18" s="827" t="e">
        <f>DATEVALUE(MID(AK$4,AN18,AQ18))</f>
        <v>#VALUE!</v>
      </c>
      <c r="AS18" s="828" t="str">
        <f>IF(AO17=" за период",AR18,"")</f>
        <v/>
      </c>
      <c r="AT18" s="1017"/>
      <c r="AU18" s="1017"/>
      <c r="AV18" s="116"/>
      <c r="AZ18" s="1464"/>
      <c r="BA18" s="826" t="s">
        <v>8435</v>
      </c>
      <c r="BB18" s="836" t="str">
        <f>IF(BC17=" за период",SEARCH(" за период",AY$4,BD17)+LEN(" за период")+3,"НЕТ")</f>
        <v>НЕТ</v>
      </c>
      <c r="BC18" s="306" t="s">
        <v>8434</v>
      </c>
      <c r="BD18" s="306" t="e">
        <f>SEARCH(BC18,AY$4,BB18)</f>
        <v>#VALUE!</v>
      </c>
      <c r="BE18" s="306" t="e">
        <f>BD18-BB18</f>
        <v>#VALUE!</v>
      </c>
      <c r="BF18" s="827" t="e">
        <f>DATEVALUE(MID(AY$4,BB18,BE18))</f>
        <v>#VALUE!</v>
      </c>
      <c r="BG18" s="828" t="str">
        <f>IF(BC17=" за период",BF18,"")</f>
        <v/>
      </c>
      <c r="BH18" s="1017"/>
      <c r="BI18" s="1017"/>
      <c r="BJ18" s="116"/>
      <c r="BK18" s="1021" t="str">
        <f>AT3</f>
        <v/>
      </c>
      <c r="BL18" s="1022" t="str">
        <f>AU3</f>
        <v/>
      </c>
    </row>
    <row r="19" spans="1:64" x14ac:dyDescent="0.3">
      <c r="A19" s="1569"/>
      <c r="B19" s="920"/>
      <c r="C19" s="995"/>
      <c r="D19" s="920"/>
      <c r="E19" s="920"/>
      <c r="F19" s="920"/>
      <c r="G19" s="920"/>
      <c r="H19" s="920"/>
      <c r="I19" s="1569"/>
      <c r="J19" s="993"/>
      <c r="K19" s="994"/>
      <c r="L19" s="920"/>
      <c r="M19" s="920"/>
      <c r="N19" s="993"/>
      <c r="O19" s="994"/>
      <c r="P19" s="994"/>
      <c r="Q19" s="994"/>
      <c r="R19" s="994"/>
      <c r="S19" s="994"/>
      <c r="T19" s="1000"/>
      <c r="X19" s="1464"/>
      <c r="Y19" s="826" t="s">
        <v>8436</v>
      </c>
      <c r="Z19" s="836" t="e">
        <f>SEARCH(" ",W$4,AB18+1)+1</f>
        <v>#VALUE!</v>
      </c>
      <c r="AA19" s="306"/>
      <c r="AB19" s="306" t="e">
        <f>Z19+AC19</f>
        <v>#VALUE!</v>
      </c>
      <c r="AC19" s="306">
        <v>10</v>
      </c>
      <c r="AD19" s="827" t="e">
        <f>DATEVALUE(MID(W$4,Z19,AC19))</f>
        <v>#VALUE!</v>
      </c>
      <c r="AE19" s="828" t="str">
        <f>IF(AA17=" за период",AD19,"")</f>
        <v/>
      </c>
      <c r="AF19" s="1017"/>
      <c r="AG19" s="1017"/>
      <c r="AH19" s="116"/>
      <c r="AL19" s="1464"/>
      <c r="AM19" s="826" t="s">
        <v>8436</v>
      </c>
      <c r="AN19" s="836" t="e">
        <f>SEARCH(" ",AK$4,AP18+1)+1</f>
        <v>#VALUE!</v>
      </c>
      <c r="AO19" s="306"/>
      <c r="AP19" s="306" t="e">
        <f>AN19+AQ19</f>
        <v>#VALUE!</v>
      </c>
      <c r="AQ19" s="306">
        <v>10</v>
      </c>
      <c r="AR19" s="827" t="e">
        <f>DATEVALUE(MID(AK$4,AN19,AQ19))</f>
        <v>#VALUE!</v>
      </c>
      <c r="AS19" s="828" t="str">
        <f>IF(AO17=" за период",AR19,"")</f>
        <v/>
      </c>
      <c r="AT19" s="1017"/>
      <c r="AU19" s="1017"/>
      <c r="AV19" s="116"/>
      <c r="AZ19" s="1464"/>
      <c r="BA19" s="826" t="s">
        <v>8436</v>
      </c>
      <c r="BB19" s="836" t="e">
        <f>SEARCH(" ",AY$4,BD18+1)+1</f>
        <v>#VALUE!</v>
      </c>
      <c r="BC19" s="306"/>
      <c r="BD19" s="306" t="e">
        <f>BB19+BE19</f>
        <v>#VALUE!</v>
      </c>
      <c r="BE19" s="306">
        <v>10</v>
      </c>
      <c r="BF19" s="827" t="e">
        <f>DATEVALUE(MID(AY$4,BB19,BE19))</f>
        <v>#VALUE!</v>
      </c>
      <c r="BG19" s="828" t="str">
        <f>IF(BC17=" за период",BF19,"")</f>
        <v/>
      </c>
      <c r="BH19" s="1017"/>
      <c r="BI19" s="1017"/>
      <c r="BJ19" s="116"/>
      <c r="BK19" s="1021" t="str">
        <f>AT4</f>
        <v/>
      </c>
      <c r="BL19" s="1022" t="str">
        <f t="shared" ref="BL19" si="5">AU4</f>
        <v/>
      </c>
    </row>
    <row r="20" spans="1:64" x14ac:dyDescent="0.3">
      <c r="A20" s="1569"/>
      <c r="B20" s="920"/>
      <c r="C20" s="995"/>
      <c r="D20" s="920"/>
      <c r="E20" s="920"/>
      <c r="F20" s="920"/>
      <c r="G20" s="920"/>
      <c r="H20" s="920"/>
      <c r="I20" s="1569"/>
      <c r="J20" s="993"/>
      <c r="K20" s="994"/>
      <c r="L20" s="920"/>
      <c r="M20" s="920"/>
      <c r="N20" s="993"/>
      <c r="O20" s="994"/>
      <c r="P20" s="994"/>
      <c r="Q20" s="994"/>
      <c r="R20" s="994"/>
      <c r="S20" s="994"/>
      <c r="T20" s="1000"/>
      <c r="X20" s="1464"/>
      <c r="Y20" s="826"/>
      <c r="Z20" s="836"/>
      <c r="AA20" s="306" t="str">
        <f>IF(AB20=IFERROR(SEARCH(".",W$4,AB19),99999),".",
IF(AB20=IFERROR(SEARCH(",",W$4,AB19),99999),",",
IF(AB20=IFERROR(SEARCH(" за период",W$4,AB19),999999)," за период",
IF(AB20=IFERROR(SEARCH(" в размере",W$4,AB19),99999)," в размере",
))))</f>
        <v>.</v>
      </c>
      <c r="AB20" s="306">
        <f>MIN(
IFERROR(SEARCH(".",W$4,AB19),99999),
IFERROR(SEARCH(",",W$4,AB19),99999),
IFERROR(SEARCH(" в размере",W$4,AB19),99999))</f>
        <v>99999</v>
      </c>
      <c r="AC20" s="306"/>
      <c r="AD20" s="827"/>
      <c r="AE20" s="829"/>
      <c r="AF20" s="1016"/>
      <c r="AG20" s="1016"/>
      <c r="AH20" s="116"/>
      <c r="AL20" s="1464"/>
      <c r="AM20" s="826"/>
      <c r="AN20" s="836"/>
      <c r="AO20" s="306" t="str">
        <f>IF(AP20=IFERROR(SEARCH(".",AK$4,AP19),99999),".",
IF(AP20=IFERROR(SEARCH(",",AK$4,AP19),99999),",",
IF(AP20=IFERROR(SEARCH(" за период",AK$4,AP19),999999)," за период",
IF(AP20=IFERROR(SEARCH(" в размере",AK$4,AP19),99999)," в размере",
))))</f>
        <v>.</v>
      </c>
      <c r="AP20" s="306">
        <f>MIN(
IFERROR(SEARCH(".",AK$4,AP19),99999),
IFERROR(SEARCH(",",AK$4,AP19),99999),
IFERROR(SEARCH(" в размере",AK$4,AP19),99999))</f>
        <v>99999</v>
      </c>
      <c r="AQ20" s="306"/>
      <c r="AR20" s="827"/>
      <c r="AS20" s="829"/>
      <c r="AT20" s="1016"/>
      <c r="AU20" s="1016"/>
      <c r="AV20" s="116"/>
      <c r="AZ20" s="1464"/>
      <c r="BA20" s="826"/>
      <c r="BB20" s="836"/>
      <c r="BC20" s="306" t="str">
        <f>IF(BD20=IFERROR(SEARCH(".",AY$4,BD19),99999),".",
IF(BD20=IFERROR(SEARCH(",",AY$4,BD19),99999),",",
IF(BD20=IFERROR(SEARCH(" за период",AY$4,BD19),999999)," за период",
IF(BD20=IFERROR(SEARCH(" в размере",AY$4,BD19),99999)," в размере",
))))</f>
        <v>.</v>
      </c>
      <c r="BD20" s="306">
        <f>MIN(
IFERROR(SEARCH(".",AY$4,BD19),99999),
IFERROR(SEARCH(",",AY$4,BD19),99999),
IFERROR(SEARCH(" в размере",AY$4,BD19),99999))</f>
        <v>99999</v>
      </c>
      <c r="BE20" s="306"/>
      <c r="BF20" s="827"/>
      <c r="BG20" s="829"/>
      <c r="BH20" s="1016"/>
      <c r="BI20" s="1016"/>
      <c r="BJ20" s="116"/>
      <c r="BK20" s="1021" t="str">
        <f t="shared" ref="BK20:BL20" si="6">AT5</f>
        <v/>
      </c>
      <c r="BL20" s="1022" t="str">
        <f t="shared" si="6"/>
        <v/>
      </c>
    </row>
    <row r="21" spans="1:64" x14ac:dyDescent="0.3">
      <c r="A21" s="1569"/>
      <c r="B21" s="920"/>
      <c r="C21" s="995"/>
      <c r="D21" s="920"/>
      <c r="E21" s="920"/>
      <c r="F21" s="920"/>
      <c r="G21" s="920"/>
      <c r="H21" s="920"/>
      <c r="I21" s="1569"/>
      <c r="J21" s="993"/>
      <c r="K21" s="994"/>
      <c r="L21" s="920"/>
      <c r="M21" s="920"/>
      <c r="N21" s="993"/>
      <c r="O21" s="994"/>
      <c r="P21" s="994"/>
      <c r="Q21" s="994"/>
      <c r="R21" s="994"/>
      <c r="S21" s="994"/>
      <c r="T21" s="1000"/>
      <c r="X21" s="1464"/>
      <c r="Y21" s="835" t="s">
        <v>8249</v>
      </c>
      <c r="Z21" s="836" t="e">
        <f>SEARCH(" в размере",W$4,AB17)+LEN(" в размере")+1</f>
        <v>#VALUE!</v>
      </c>
      <c r="AA21" s="306" t="s">
        <v>8234</v>
      </c>
      <c r="AB21" s="306" t="e">
        <f>SEARCH(AA21,W$4,Z21)</f>
        <v>#VALUE!</v>
      </c>
      <c r="AC21" s="306" t="e">
        <f>AB21-Z21</f>
        <v>#VALUE!</v>
      </c>
      <c r="AD21" s="826" t="e">
        <f>IF(AE17="Штраф 50%","",MID(W$4,Z21,AC21))</f>
        <v>#VALUE!</v>
      </c>
      <c r="AE21" s="829"/>
      <c r="AF21" s="1016"/>
      <c r="AG21" s="1016"/>
      <c r="AH21" s="116"/>
      <c r="AL21" s="1464"/>
      <c r="AM21" s="835" t="s">
        <v>8249</v>
      </c>
      <c r="AN21" s="836" t="e">
        <f>SEARCH(" в размере",AK$4,AP17)+LEN(" в размере")+1</f>
        <v>#VALUE!</v>
      </c>
      <c r="AO21" s="306" t="s">
        <v>8234</v>
      </c>
      <c r="AP21" s="306" t="e">
        <f>SEARCH(AO21,AK$4,AN21)</f>
        <v>#VALUE!</v>
      </c>
      <c r="AQ21" s="306" t="e">
        <f>AP21-AN21</f>
        <v>#VALUE!</v>
      </c>
      <c r="AR21" s="826" t="e">
        <f>IF(AS17="Штраф 50%","",MID(AK$4,AN21,AQ21))</f>
        <v>#VALUE!</v>
      </c>
      <c r="AS21" s="829"/>
      <c r="AT21" s="1016"/>
      <c r="AU21" s="1016"/>
      <c r="AV21" s="116"/>
      <c r="AZ21" s="1464"/>
      <c r="BA21" s="835" t="s">
        <v>8249</v>
      </c>
      <c r="BB21" s="836" t="e">
        <f>SEARCH(" в размере",AY$4,BD17)+LEN(" в размере")+1</f>
        <v>#VALUE!</v>
      </c>
      <c r="BC21" s="306" t="s">
        <v>8234</v>
      </c>
      <c r="BD21" s="306" t="e">
        <f>SEARCH(BC21,AY$4,BB21)</f>
        <v>#VALUE!</v>
      </c>
      <c r="BE21" s="306" t="e">
        <f>BD21-BB21</f>
        <v>#VALUE!</v>
      </c>
      <c r="BF21" s="826" t="e">
        <f>IF(BG17="Штраф 50%","",MID(AY$4,BB21,BE21))</f>
        <v>#VALUE!</v>
      </c>
      <c r="BG21" s="829"/>
      <c r="BH21" s="1016"/>
      <c r="BI21" s="1016"/>
      <c r="BJ21" s="116"/>
      <c r="BK21" s="1021" t="str">
        <f t="shared" ref="BK21:BL21" si="7">AT6</f>
        <v/>
      </c>
      <c r="BL21" s="1022" t="str">
        <f t="shared" si="7"/>
        <v/>
      </c>
    </row>
    <row r="22" spans="1:64" x14ac:dyDescent="0.3">
      <c r="A22" s="1569"/>
      <c r="B22" s="920"/>
      <c r="C22" s="995"/>
      <c r="D22" s="920"/>
      <c r="E22" s="920"/>
      <c r="F22" s="920"/>
      <c r="G22" s="920"/>
      <c r="H22" s="920"/>
      <c r="I22" s="1569"/>
      <c r="J22" s="993"/>
      <c r="K22" s="994"/>
      <c r="L22" s="920"/>
      <c r="M22" s="920"/>
      <c r="N22" s="993"/>
      <c r="O22" s="994"/>
      <c r="P22" s="994"/>
      <c r="Q22" s="994"/>
      <c r="R22" s="994"/>
      <c r="S22" s="994"/>
      <c r="T22" s="1000"/>
      <c r="X22" s="1464"/>
      <c r="Y22" s="401"/>
      <c r="Z22" s="836" t="e">
        <f>SEARCH(" ",W$4,SEARCH("руб",W$4,AB21))+1</f>
        <v>#VALUE!</v>
      </c>
      <c r="AA22" s="306" t="s">
        <v>8432</v>
      </c>
      <c r="AB22" s="306" t="e">
        <f>SEARCH(AA22,W$4,Z22)</f>
        <v>#VALUE!</v>
      </c>
      <c r="AC22" s="306" t="e">
        <f>AB22-Z22</f>
        <v>#VALUE!</v>
      </c>
      <c r="AD22" s="826" t="e">
        <f>IF(AE17="Штраф 50%","",MID(W$4,Z22,AC22))</f>
        <v>#VALUE!</v>
      </c>
      <c r="AE22" s="829"/>
      <c r="AF22" s="1016"/>
      <c r="AG22" s="1016"/>
      <c r="AH22" s="116"/>
      <c r="AL22" s="1464"/>
      <c r="AM22" s="401"/>
      <c r="AN22" s="836" t="e">
        <f>SEARCH(" ",AK$4,SEARCH("руб",AK$4,AP21))+1</f>
        <v>#VALUE!</v>
      </c>
      <c r="AO22" s="306" t="s">
        <v>8432</v>
      </c>
      <c r="AP22" s="306" t="e">
        <f>SEARCH(AO22,AK$4,AN22)</f>
        <v>#VALUE!</v>
      </c>
      <c r="AQ22" s="306" t="e">
        <f>AP22-AN22</f>
        <v>#VALUE!</v>
      </c>
      <c r="AR22" s="826" t="e">
        <f>IF(AS17="Штраф 50%","",MID(AK$4,AN22,AQ22))</f>
        <v>#VALUE!</v>
      </c>
      <c r="AS22" s="829"/>
      <c r="AT22" s="1016"/>
      <c r="AU22" s="1016"/>
      <c r="AV22" s="116"/>
      <c r="AZ22" s="1464"/>
      <c r="BA22" s="401"/>
      <c r="BB22" s="836" t="e">
        <f>SEARCH(" ",AY$4,SEARCH("руб",AY$4,BD21))+1</f>
        <v>#VALUE!</v>
      </c>
      <c r="BC22" s="306" t="s">
        <v>8432</v>
      </c>
      <c r="BD22" s="306" t="e">
        <f>SEARCH(BC22,AY$4,BB22)</f>
        <v>#VALUE!</v>
      </c>
      <c r="BE22" s="306" t="e">
        <f>BD22-BB22</f>
        <v>#VALUE!</v>
      </c>
      <c r="BF22" s="826" t="e">
        <f>IF(BG17="Штраф 50%","",MID(AY$4,BB22,BE22))</f>
        <v>#VALUE!</v>
      </c>
      <c r="BG22" s="829"/>
      <c r="BH22" s="1016"/>
      <c r="BI22" s="1016"/>
      <c r="BJ22" s="116"/>
      <c r="BK22" s="1021" t="str">
        <f t="shared" ref="BK22:BL22" si="8">AT7</f>
        <v/>
      </c>
      <c r="BL22" s="1022" t="str">
        <f t="shared" si="8"/>
        <v/>
      </c>
    </row>
    <row r="23" spans="1:64" ht="15" thickBot="1" x14ac:dyDescent="0.35">
      <c r="A23" s="1569"/>
      <c r="B23" s="920"/>
      <c r="C23" s="995"/>
      <c r="D23" s="920"/>
      <c r="E23" s="920"/>
      <c r="F23" s="920"/>
      <c r="G23" s="920"/>
      <c r="H23" s="920"/>
      <c r="I23" s="1569"/>
      <c r="J23" s="993"/>
      <c r="K23" s="994"/>
      <c r="L23" s="920"/>
      <c r="M23" s="920"/>
      <c r="N23" s="993"/>
      <c r="O23" s="994"/>
      <c r="P23" s="994"/>
      <c r="Q23" s="994"/>
      <c r="R23" s="994"/>
      <c r="S23" s="994"/>
      <c r="T23" s="1000"/>
      <c r="X23" s="1465"/>
      <c r="Y23" s="583"/>
      <c r="Z23" s="837"/>
      <c r="AA23" s="583"/>
      <c r="AB23" s="583"/>
      <c r="AC23" s="583"/>
      <c r="AD23" s="831" t="e">
        <f>VALUE(CONCATENATE(AD21,",",AD22))</f>
        <v>#VALUE!</v>
      </c>
      <c r="AE23" s="832" t="str">
        <f>IF(AE17="Штраф 50%","",IF(OR(AA20=" в размере",AA17=" в размере"),AD23,""))</f>
        <v/>
      </c>
      <c r="AF23" s="1018"/>
      <c r="AG23" s="1018"/>
      <c r="AH23" s="116"/>
      <c r="AL23" s="1465"/>
      <c r="AM23" s="583"/>
      <c r="AN23" s="837"/>
      <c r="AO23" s="583"/>
      <c r="AP23" s="583"/>
      <c r="AQ23" s="583"/>
      <c r="AR23" s="831" t="e">
        <f>VALUE(CONCATENATE(AR21,",",AR22))</f>
        <v>#VALUE!</v>
      </c>
      <c r="AS23" s="832" t="str">
        <f>IF(AS17="Штраф 50%","",IF(OR(AO20=" в размере",AO17=" в размере"),AR23,""))</f>
        <v/>
      </c>
      <c r="AT23" s="1018"/>
      <c r="AU23" s="1018"/>
      <c r="AV23" s="116"/>
      <c r="AZ23" s="1465"/>
      <c r="BA23" s="583"/>
      <c r="BB23" s="837"/>
      <c r="BC23" s="583"/>
      <c r="BD23" s="583"/>
      <c r="BE23" s="583"/>
      <c r="BF23" s="831" t="e">
        <f>VALUE(CONCATENATE(BF21,",",BF22))</f>
        <v>#VALUE!</v>
      </c>
      <c r="BG23" s="832" t="str">
        <f>IF(BG17="Штраф 50%","",IF(OR(BC20=" в размере",BC17=" в размере"),BF23,""))</f>
        <v/>
      </c>
      <c r="BH23" s="1018"/>
      <c r="BI23" s="1018"/>
      <c r="BJ23" s="116"/>
      <c r="BK23" s="1021" t="str">
        <f t="shared" ref="BK23:BL23" si="9">AT8</f>
        <v/>
      </c>
      <c r="BL23" s="1022" t="str">
        <f t="shared" si="9"/>
        <v/>
      </c>
    </row>
    <row r="24" spans="1:64" ht="15" thickTop="1" x14ac:dyDescent="0.3">
      <c r="A24" s="1569"/>
      <c r="B24" s="920"/>
      <c r="C24" s="995"/>
      <c r="D24" s="920"/>
      <c r="E24" s="920"/>
      <c r="F24" s="920"/>
      <c r="G24" s="920"/>
      <c r="H24" s="920"/>
      <c r="I24" s="1569"/>
      <c r="J24" s="993"/>
      <c r="K24" s="994"/>
      <c r="L24" s="920"/>
      <c r="M24" s="920"/>
      <c r="N24" s="993"/>
      <c r="O24" s="994"/>
      <c r="P24" s="994"/>
      <c r="Q24" s="994"/>
      <c r="R24" s="994"/>
      <c r="S24" s="994"/>
      <c r="T24" s="1000"/>
      <c r="X24" s="1463">
        <v>4</v>
      </c>
      <c r="Y24" s="824" t="s">
        <v>8433</v>
      </c>
      <c r="Z24" s="838" t="e">
        <f>SEARCH(U$4,W$4,AB17)+LEN(U$4)</f>
        <v>#VALUE!</v>
      </c>
      <c r="AA24" s="406" t="str">
        <f>IF(AB24=IFERROR(SEARCH(".",W$4,Z24),99999),".",
IF(AB24=IFERROR(SEARCH(",",W$4,Z24),99999),",",
IF(AB24=IFERROR(SEARCH(" за период",W$4,Z24),999999)," за период",
IF(AB24=IFERROR(SEARCH(" в размере",W$4,Z24),99999)," в размере",
))))</f>
        <v>.</v>
      </c>
      <c r="AB24" s="406">
        <f>IFERROR(MIN(IFERROR(SEARCH(".",W$4,Z24),99999),IFERROR(SEARCH(",",W$4,Z24),99999),IFERROR(SEARCH(" за период",W$4,Z24),999999),IFERROR(SEARCH(" в размере",W$4,Z24),99999)),"ОШИБКА")</f>
        <v>99999</v>
      </c>
      <c r="AC24" s="406" t="e">
        <f>AB24-Z24</f>
        <v>#VALUE!</v>
      </c>
      <c r="AD24" s="824" t="e">
        <f>MID(W$4,Z24,AC24)</f>
        <v>#VALUE!</v>
      </c>
      <c r="AE24" s="825" t="str">
        <f>IFERROR(INDEX($EL:$EL,MATCH(MID(W$4,Z24,AC24),$EK:$EK,0),1),"")</f>
        <v/>
      </c>
      <c r="AF24" s="1016"/>
      <c r="AG24" s="1016"/>
      <c r="AH24" s="754"/>
      <c r="AL24" s="1463">
        <v>4</v>
      </c>
      <c r="AM24" s="824" t="s">
        <v>8433</v>
      </c>
      <c r="AN24" s="838" t="e">
        <f>SEARCH(AI$4,AK$4,AP17)+LEN(AI$4)</f>
        <v>#VALUE!</v>
      </c>
      <c r="AO24" s="406" t="str">
        <f>IF(AP24=IFERROR(SEARCH(".",AK$4,AN24),99999),".",
IF(AP24=IFERROR(SEARCH(",",AK$4,AN24),99999),",",
IF(AP24=IFERROR(SEARCH(" за период",AK$4,AN24),999999)," за период",
IF(AP24=IFERROR(SEARCH(" в размере",AK$4,AN24),99999)," в размере",
))))</f>
        <v>.</v>
      </c>
      <c r="AP24" s="406">
        <f>IFERROR(MIN(IFERROR(SEARCH(".",AK$4,AN24),99999),IFERROR(SEARCH(",",AK$4,AN24),99999),IFERROR(SEARCH(" за период",AK$4,AN24),999999),IFERROR(SEARCH(" в размере",AK$4,AN24),99999)),"ОШИБКА")</f>
        <v>99999</v>
      </c>
      <c r="AQ24" s="406" t="e">
        <f>AP24-AN24</f>
        <v>#VALUE!</v>
      </c>
      <c r="AR24" s="824" t="e">
        <f>MID(AK$4,AN24,AQ24)</f>
        <v>#VALUE!</v>
      </c>
      <c r="AS24" s="825" t="str">
        <f>IFERROR(INDEX($EL:$EL,MATCH(MID(AK$4,AN24,AQ24),$EK:$EK,0),1),"")</f>
        <v/>
      </c>
      <c r="AT24" s="1016"/>
      <c r="AU24" s="1016"/>
      <c r="AV24" s="754"/>
      <c r="AZ24" s="1463">
        <v>4</v>
      </c>
      <c r="BA24" s="824" t="s">
        <v>8433</v>
      </c>
      <c r="BB24" s="838" t="e">
        <f>SEARCH(AW$4,AY$4,BD17)+LEN(AW$4)</f>
        <v>#VALUE!</v>
      </c>
      <c r="BC24" s="406" t="str">
        <f>IF(BD24=IFERROR(SEARCH(".",AY$4,BB24),99999),".",
IF(BD24=IFERROR(SEARCH(",",AY$4,BB24),99999),",",
IF(BD24=IFERROR(SEARCH(" за период",AY$4,BB24),999999)," за период",
IF(BD24=IFERROR(SEARCH(" в размере",AY$4,BB24),99999)," в размере",
))))</f>
        <v>.</v>
      </c>
      <c r="BD24" s="406">
        <f>IFERROR(MIN(IFERROR(SEARCH(".",AY$4,BB24),99999),IFERROR(SEARCH(",",AY$4,BB24),99999),IFERROR(SEARCH(" за период",AY$4,BB24),999999),IFERROR(SEARCH(" в размере",AY$4,BB24),99999)),"ОШИБКА")</f>
        <v>99999</v>
      </c>
      <c r="BE24" s="406" t="e">
        <f>BD24-BB24</f>
        <v>#VALUE!</v>
      </c>
      <c r="BF24" s="824" t="e">
        <f>MID(AY$4,BB24,BE24)</f>
        <v>#VALUE!</v>
      </c>
      <c r="BG24" s="825" t="str">
        <f>IFERROR(INDEX($EL:$EL,MATCH(MID(AY$4,BB24,BE24),$EK:$EK,0),1),"")</f>
        <v/>
      </c>
      <c r="BH24" s="1016"/>
      <c r="BI24" s="1016"/>
      <c r="BJ24" s="754"/>
      <c r="BK24" s="1021" t="str">
        <f t="shared" ref="BK24:BL24" si="10">AT9</f>
        <v/>
      </c>
      <c r="BL24" s="1022" t="str">
        <f t="shared" si="10"/>
        <v/>
      </c>
    </row>
    <row r="25" spans="1:64" x14ac:dyDescent="0.3">
      <c r="A25" s="1569"/>
      <c r="B25" s="920"/>
      <c r="C25" s="995"/>
      <c r="D25" s="920"/>
      <c r="E25" s="920"/>
      <c r="F25" s="920"/>
      <c r="G25" s="920"/>
      <c r="H25" s="920"/>
      <c r="I25" s="1569"/>
      <c r="J25" s="993"/>
      <c r="K25" s="994"/>
      <c r="L25" s="920"/>
      <c r="M25" s="920"/>
      <c r="N25" s="993"/>
      <c r="O25" s="994"/>
      <c r="P25" s="994"/>
      <c r="Q25" s="994"/>
      <c r="R25" s="994"/>
      <c r="S25" s="994"/>
      <c r="T25" s="1000"/>
      <c r="X25" s="1464"/>
      <c r="Y25" s="826" t="s">
        <v>8435</v>
      </c>
      <c r="Z25" s="836" t="str">
        <f>IF(AA24=" за период",SEARCH(" за период",W$4,AB24)+LEN(" за период")+3,"НЕТ")</f>
        <v>НЕТ</v>
      </c>
      <c r="AA25" s="306" t="s">
        <v>8434</v>
      </c>
      <c r="AB25" s="306" t="e">
        <f>SEARCH(AA25,W$4,Z25)</f>
        <v>#VALUE!</v>
      </c>
      <c r="AC25" s="306" t="e">
        <f>AB25-Z25</f>
        <v>#VALUE!</v>
      </c>
      <c r="AD25" s="827" t="e">
        <f>DATEVALUE(MID(W$4,Z25,AC25))</f>
        <v>#VALUE!</v>
      </c>
      <c r="AE25" s="828" t="str">
        <f>IF(AA24=" за период",AD25,"")</f>
        <v/>
      </c>
      <c r="AF25" s="1017"/>
      <c r="AG25" s="1017"/>
      <c r="AH25" s="754"/>
      <c r="AL25" s="1464"/>
      <c r="AM25" s="826" t="s">
        <v>8435</v>
      </c>
      <c r="AN25" s="836" t="str">
        <f>IF(AO24=" за период",SEARCH(" за период",AK$4,AP24)+LEN(" за период")+3,"НЕТ")</f>
        <v>НЕТ</v>
      </c>
      <c r="AO25" s="306" t="s">
        <v>8434</v>
      </c>
      <c r="AP25" s="306" t="e">
        <f>SEARCH(AO25,AK$4,AN25)</f>
        <v>#VALUE!</v>
      </c>
      <c r="AQ25" s="306" t="e">
        <f>AP25-AN25</f>
        <v>#VALUE!</v>
      </c>
      <c r="AR25" s="827" t="e">
        <f>DATEVALUE(MID(AK$4,AN25,AQ25))</f>
        <v>#VALUE!</v>
      </c>
      <c r="AS25" s="828" t="str">
        <f>IF(AO24=" за период",AR25,"")</f>
        <v/>
      </c>
      <c r="AT25" s="1017"/>
      <c r="AU25" s="1017"/>
      <c r="AV25" s="754"/>
      <c r="AZ25" s="1464"/>
      <c r="BA25" s="826" t="s">
        <v>8435</v>
      </c>
      <c r="BB25" s="836" t="str">
        <f>IF(BC24=" за период",SEARCH(" за период",AY$4,BD24)+LEN(" за период")+3,"НЕТ")</f>
        <v>НЕТ</v>
      </c>
      <c r="BC25" s="306" t="s">
        <v>8434</v>
      </c>
      <c r="BD25" s="306" t="e">
        <f>SEARCH(BC25,AY$4,BB25)</f>
        <v>#VALUE!</v>
      </c>
      <c r="BE25" s="306" t="e">
        <f>BD25-BB25</f>
        <v>#VALUE!</v>
      </c>
      <c r="BF25" s="827" t="e">
        <f>DATEVALUE(MID(AY$4,BB25,BE25))</f>
        <v>#VALUE!</v>
      </c>
      <c r="BG25" s="828" t="str">
        <f>IF(BC24=" за период",BF25,"")</f>
        <v/>
      </c>
      <c r="BH25" s="1017"/>
      <c r="BI25" s="1017"/>
      <c r="BJ25" s="754"/>
      <c r="BK25" s="1021" t="str">
        <f t="shared" ref="BK25:BL25" si="11">AT10</f>
        <v/>
      </c>
      <c r="BL25" s="1022" t="str">
        <f t="shared" si="11"/>
        <v/>
      </c>
    </row>
    <row r="26" spans="1:64" x14ac:dyDescent="0.3">
      <c r="A26" s="1569"/>
      <c r="B26" s="920"/>
      <c r="C26" s="995"/>
      <c r="D26" s="920"/>
      <c r="E26" s="920"/>
      <c r="F26" s="920"/>
      <c r="G26" s="920"/>
      <c r="H26" s="920"/>
      <c r="I26" s="1569"/>
      <c r="J26" s="993"/>
      <c r="K26" s="994"/>
      <c r="L26" s="920"/>
      <c r="M26" s="920"/>
      <c r="N26" s="993"/>
      <c r="O26" s="994"/>
      <c r="P26" s="994"/>
      <c r="Q26" s="994"/>
      <c r="R26" s="994"/>
      <c r="S26" s="994"/>
      <c r="T26" s="1000"/>
      <c r="X26" s="1464"/>
      <c r="Y26" s="826" t="s">
        <v>8436</v>
      </c>
      <c r="Z26" s="836" t="e">
        <f>SEARCH(" ",W$4,AB25+1)+1</f>
        <v>#VALUE!</v>
      </c>
      <c r="AA26" s="306"/>
      <c r="AB26" s="306" t="e">
        <f>Z26+AC26</f>
        <v>#VALUE!</v>
      </c>
      <c r="AC26" s="306">
        <v>10</v>
      </c>
      <c r="AD26" s="827" t="e">
        <f>DATEVALUE(MID(W$4,Z26,AC26))</f>
        <v>#VALUE!</v>
      </c>
      <c r="AE26" s="828" t="str">
        <f>IF(AA24=" за период",AD26,"")</f>
        <v/>
      </c>
      <c r="AF26" s="1017"/>
      <c r="AG26" s="1017"/>
      <c r="AH26" s="754"/>
      <c r="AL26" s="1464"/>
      <c r="AM26" s="826" t="s">
        <v>8436</v>
      </c>
      <c r="AN26" s="836" t="e">
        <f>SEARCH(" ",AK$4,AP25+1)+1</f>
        <v>#VALUE!</v>
      </c>
      <c r="AO26" s="306"/>
      <c r="AP26" s="306" t="e">
        <f>AN26+AQ26</f>
        <v>#VALUE!</v>
      </c>
      <c r="AQ26" s="306">
        <v>10</v>
      </c>
      <c r="AR26" s="827" t="e">
        <f>DATEVALUE(MID(AK$4,AN26,AQ26))</f>
        <v>#VALUE!</v>
      </c>
      <c r="AS26" s="828" t="str">
        <f>IF(AO24=" за период",AR26,"")</f>
        <v/>
      </c>
      <c r="AT26" s="1017"/>
      <c r="AU26" s="1017"/>
      <c r="AV26" s="754"/>
      <c r="AZ26" s="1464"/>
      <c r="BA26" s="826" t="s">
        <v>8436</v>
      </c>
      <c r="BB26" s="836" t="e">
        <f>SEARCH(" ",AY$4,BD25+1)+1</f>
        <v>#VALUE!</v>
      </c>
      <c r="BC26" s="306"/>
      <c r="BD26" s="306" t="e">
        <f>BB26+BE26</f>
        <v>#VALUE!</v>
      </c>
      <c r="BE26" s="306">
        <v>10</v>
      </c>
      <c r="BF26" s="827" t="e">
        <f>DATEVALUE(MID(AY$4,BB26,BE26))</f>
        <v>#VALUE!</v>
      </c>
      <c r="BG26" s="828" t="str">
        <f>IF(BC24=" за период",BF26,"")</f>
        <v/>
      </c>
      <c r="BH26" s="1017"/>
      <c r="BI26" s="1017"/>
      <c r="BJ26" s="754"/>
      <c r="BK26" s="1021" t="str">
        <f t="shared" ref="BK26:BL26" si="12">AT11</f>
        <v/>
      </c>
      <c r="BL26" s="1022" t="str">
        <f t="shared" si="12"/>
        <v/>
      </c>
    </row>
    <row r="27" spans="1:64" x14ac:dyDescent="0.3">
      <c r="A27" s="1569"/>
      <c r="B27" s="920"/>
      <c r="C27" s="995"/>
      <c r="D27" s="920"/>
      <c r="E27" s="920"/>
      <c r="F27" s="996"/>
      <c r="G27" s="920"/>
      <c r="H27" s="854"/>
      <c r="I27" s="1569"/>
      <c r="J27" s="995"/>
      <c r="K27" s="920"/>
      <c r="L27" s="996"/>
      <c r="M27" s="920"/>
      <c r="N27" s="995"/>
      <c r="O27" s="920"/>
      <c r="P27" s="920"/>
      <c r="Q27" s="996"/>
      <c r="R27" s="920"/>
      <c r="S27" s="854"/>
      <c r="T27" s="1000"/>
      <c r="X27" s="1464"/>
      <c r="Y27" s="826"/>
      <c r="Z27" s="836"/>
      <c r="AA27" s="306" t="str">
        <f>IF(AB27=IFERROR(SEARCH(".",W$4,AB26),99999),".",
IF(AB27=IFERROR(SEARCH(",",W$4,AB26),99999),",",
IF(AB27=IFERROR(SEARCH(" за период",W$4,AB26),999999)," за период",
IF(AB27=IFERROR(SEARCH(" в размере",W$4,AB26),99999)," в размере",
))))</f>
        <v>.</v>
      </c>
      <c r="AB27" s="306">
        <f>MIN(
IFERROR(SEARCH(".",W$4,AB26),99999),
IFERROR(SEARCH(",",W$4,AB26),99999),
IFERROR(SEARCH(" в размере",W$4,AB26),99999))</f>
        <v>99999</v>
      </c>
      <c r="AC27" s="306"/>
      <c r="AD27" s="827"/>
      <c r="AE27" s="829"/>
      <c r="AF27" s="1016"/>
      <c r="AG27" s="1016"/>
      <c r="AH27" s="754"/>
      <c r="AL27" s="1464"/>
      <c r="AM27" s="826"/>
      <c r="AN27" s="836"/>
      <c r="AO27" s="306" t="str">
        <f>IF(AP27=IFERROR(SEARCH(".",AK$4,AP26),99999),".",
IF(AP27=IFERROR(SEARCH(",",AK$4,AP26),99999),",",
IF(AP27=IFERROR(SEARCH(" за период",AK$4,AP26),999999)," за период",
IF(AP27=IFERROR(SEARCH(" в размере",AK$4,AP26),99999)," в размере",
))))</f>
        <v>.</v>
      </c>
      <c r="AP27" s="306">
        <f>MIN(
IFERROR(SEARCH(".",AK$4,AP26),99999),
IFERROR(SEARCH(",",AK$4,AP26),99999),
IFERROR(SEARCH(" в размере",AK$4,AP26),99999))</f>
        <v>99999</v>
      </c>
      <c r="AQ27" s="306"/>
      <c r="AR27" s="827"/>
      <c r="AS27" s="829"/>
      <c r="AT27" s="1016"/>
      <c r="AU27" s="1016"/>
      <c r="AV27" s="754"/>
      <c r="AZ27" s="1464"/>
      <c r="BA27" s="826"/>
      <c r="BB27" s="836"/>
      <c r="BC27" s="306" t="str">
        <f>IF(BD27=IFERROR(SEARCH(".",AY$4,BD26),99999),".",
IF(BD27=IFERROR(SEARCH(",",AY$4,BD26),99999),",",
IF(BD27=IFERROR(SEARCH(" за период",AY$4,BD26),999999)," за период",
IF(BD27=IFERROR(SEARCH(" в размере",AY$4,BD26),99999)," в размере",
))))</f>
        <v>.</v>
      </c>
      <c r="BD27" s="306">
        <f>MIN(
IFERROR(SEARCH(".",AY$4,BD26),99999),
IFERROR(SEARCH(",",AY$4,BD26),99999),
IFERROR(SEARCH(" в размере",AY$4,BD26),99999))</f>
        <v>99999</v>
      </c>
      <c r="BE27" s="306"/>
      <c r="BF27" s="827"/>
      <c r="BG27" s="829"/>
      <c r="BH27" s="1016"/>
      <c r="BI27" s="1016"/>
      <c r="BJ27" s="754"/>
      <c r="BK27" s="1021" t="str">
        <f t="shared" ref="BK27:BL27" si="13">AT12</f>
        <v/>
      </c>
      <c r="BL27" s="1022" t="str">
        <f t="shared" si="13"/>
        <v/>
      </c>
    </row>
    <row r="28" spans="1:64" x14ac:dyDescent="0.3">
      <c r="A28" s="1569"/>
      <c r="B28" s="920"/>
      <c r="C28" s="995"/>
      <c r="D28" s="920"/>
      <c r="E28" s="920"/>
      <c r="F28" s="920"/>
      <c r="G28" s="920"/>
      <c r="H28" s="920"/>
      <c r="I28" s="1569"/>
      <c r="J28" s="995"/>
      <c r="K28" s="920"/>
      <c r="L28" s="920"/>
      <c r="M28" s="920"/>
      <c r="N28" s="995"/>
      <c r="O28" s="920"/>
      <c r="P28" s="920"/>
      <c r="Q28" s="920"/>
      <c r="R28" s="920"/>
      <c r="S28" s="920"/>
      <c r="T28" s="1000"/>
      <c r="X28" s="1464"/>
      <c r="Y28" s="835" t="s">
        <v>8249</v>
      </c>
      <c r="Z28" s="836" t="e">
        <f>SEARCH(" в размере",W$4,AB24)+LEN(" в размере")+1</f>
        <v>#VALUE!</v>
      </c>
      <c r="AA28" s="306" t="s">
        <v>8234</v>
      </c>
      <c r="AB28" s="306" t="e">
        <f>SEARCH(AA28,W$4,Z28)</f>
        <v>#VALUE!</v>
      </c>
      <c r="AC28" s="306" t="e">
        <f>AB28-Z28</f>
        <v>#VALUE!</v>
      </c>
      <c r="AD28" s="826" t="e">
        <f>IF(AE24="Штраф 50%","",MID(W$4,Z28,AC28))</f>
        <v>#VALUE!</v>
      </c>
      <c r="AE28" s="829"/>
      <c r="AF28" s="1016"/>
      <c r="AG28" s="1016"/>
      <c r="AL28" s="1464"/>
      <c r="AM28" s="835" t="s">
        <v>8249</v>
      </c>
      <c r="AN28" s="836" t="e">
        <f>SEARCH(" в размере",AK$4,AP24)+LEN(" в размере")+1</f>
        <v>#VALUE!</v>
      </c>
      <c r="AO28" s="306" t="s">
        <v>8234</v>
      </c>
      <c r="AP28" s="306" t="e">
        <f>SEARCH(AO28,AK$4,AN28)</f>
        <v>#VALUE!</v>
      </c>
      <c r="AQ28" s="306" t="e">
        <f>AP28-AN28</f>
        <v>#VALUE!</v>
      </c>
      <c r="AR28" s="826" t="e">
        <f>IF(AS24="Штраф 50%","",MID(AK$4,AN28,AQ28))</f>
        <v>#VALUE!</v>
      </c>
      <c r="AS28" s="829"/>
      <c r="AT28" s="1016"/>
      <c r="AU28" s="1016"/>
      <c r="AZ28" s="1464"/>
      <c r="BA28" s="835" t="s">
        <v>8249</v>
      </c>
      <c r="BB28" s="836" t="e">
        <f>SEARCH(" в размере",AY$4,BD24)+LEN(" в размере")+1</f>
        <v>#VALUE!</v>
      </c>
      <c r="BC28" s="306" t="s">
        <v>8234</v>
      </c>
      <c r="BD28" s="306" t="e">
        <f>SEARCH(BC28,AY$4,BB28)</f>
        <v>#VALUE!</v>
      </c>
      <c r="BE28" s="306" t="e">
        <f>BD28-BB28</f>
        <v>#VALUE!</v>
      </c>
      <c r="BF28" s="826" t="e">
        <f>IF(BG24="Штраф 50%","",MID(AY$4,BB28,BE28))</f>
        <v>#VALUE!</v>
      </c>
      <c r="BG28" s="829"/>
      <c r="BH28" s="1016"/>
      <c r="BI28" s="1016"/>
      <c r="BK28" s="1021" t="str">
        <f t="shared" ref="BK28:BL28" si="14">AT13</f>
        <v/>
      </c>
      <c r="BL28" s="1022" t="str">
        <f t="shared" si="14"/>
        <v/>
      </c>
    </row>
    <row r="29" spans="1:64" x14ac:dyDescent="0.3">
      <c r="A29" s="1569"/>
      <c r="B29" s="920"/>
      <c r="C29" s="995"/>
      <c r="D29" s="920"/>
      <c r="E29" s="920"/>
      <c r="F29" s="920"/>
      <c r="G29" s="920"/>
      <c r="H29" s="920"/>
      <c r="I29" s="1569"/>
      <c r="J29" s="995"/>
      <c r="K29" s="920"/>
      <c r="L29" s="920"/>
      <c r="M29" s="920"/>
      <c r="N29" s="995"/>
      <c r="O29" s="920"/>
      <c r="P29" s="920"/>
      <c r="Q29" s="920"/>
      <c r="R29" s="920"/>
      <c r="S29" s="920"/>
      <c r="T29" s="1000"/>
      <c r="X29" s="1464"/>
      <c r="Y29" s="401"/>
      <c r="Z29" s="836" t="e">
        <f>SEARCH(" ",W$4,SEARCH("руб",W$4,AB28))+1</f>
        <v>#VALUE!</v>
      </c>
      <c r="AA29" s="306" t="s">
        <v>8432</v>
      </c>
      <c r="AB29" s="306" t="e">
        <f>SEARCH(AA29,W$4,Z29)</f>
        <v>#VALUE!</v>
      </c>
      <c r="AC29" s="306" t="e">
        <f>AB29-Z29</f>
        <v>#VALUE!</v>
      </c>
      <c r="AD29" s="826" t="e">
        <f>IF(AE24="Штраф 50%","",MID(W$4,Z29,AC29))</f>
        <v>#VALUE!</v>
      </c>
      <c r="AE29" s="829"/>
      <c r="AF29" s="1016"/>
      <c r="AG29" s="1016"/>
      <c r="AL29" s="1464"/>
      <c r="AM29" s="401"/>
      <c r="AN29" s="836" t="e">
        <f>SEARCH(" ",AK$4,SEARCH("руб",AK$4,AP28))+1</f>
        <v>#VALUE!</v>
      </c>
      <c r="AO29" s="306" t="s">
        <v>8432</v>
      </c>
      <c r="AP29" s="306" t="e">
        <f>SEARCH(AO29,AK$4,AN29)</f>
        <v>#VALUE!</v>
      </c>
      <c r="AQ29" s="306" t="e">
        <f>AP29-AN29</f>
        <v>#VALUE!</v>
      </c>
      <c r="AR29" s="826" t="e">
        <f>IF(AS24="Штраф 50%","",MID(AK$4,AN29,AQ29))</f>
        <v>#VALUE!</v>
      </c>
      <c r="AS29" s="829"/>
      <c r="AT29" s="1016"/>
      <c r="AU29" s="1016"/>
      <c r="AZ29" s="1464"/>
      <c r="BA29" s="401"/>
      <c r="BB29" s="836" t="e">
        <f>SEARCH(" ",AY$4,SEARCH("руб",AY$4,BD28))+1</f>
        <v>#VALUE!</v>
      </c>
      <c r="BC29" s="306" t="s">
        <v>8432</v>
      </c>
      <c r="BD29" s="306" t="e">
        <f>SEARCH(BC29,AY$4,BB29)</f>
        <v>#VALUE!</v>
      </c>
      <c r="BE29" s="306" t="e">
        <f>BD29-BB29</f>
        <v>#VALUE!</v>
      </c>
      <c r="BF29" s="826" t="e">
        <f>IF(BG24="Штраф 50%","",MID(AY$4,BB29,BE29))</f>
        <v>#VALUE!</v>
      </c>
      <c r="BG29" s="829"/>
      <c r="BH29" s="1016"/>
      <c r="BI29" s="1016"/>
      <c r="BK29" s="1021" t="str">
        <f t="shared" ref="BK29:BL29" si="15">AT14</f>
        <v/>
      </c>
      <c r="BL29" s="1022" t="str">
        <f t="shared" si="15"/>
        <v/>
      </c>
    </row>
    <row r="30" spans="1:64" ht="15" thickBot="1" x14ac:dyDescent="0.35">
      <c r="A30" s="1569"/>
      <c r="B30" s="920"/>
      <c r="C30" s="995"/>
      <c r="D30" s="920"/>
      <c r="E30" s="920"/>
      <c r="F30" s="920"/>
      <c r="G30" s="920"/>
      <c r="H30" s="920"/>
      <c r="I30" s="1569"/>
      <c r="J30" s="995"/>
      <c r="K30" s="920"/>
      <c r="L30" s="920"/>
      <c r="M30" s="920"/>
      <c r="N30" s="995"/>
      <c r="O30" s="920"/>
      <c r="P30" s="920"/>
      <c r="Q30" s="920"/>
      <c r="R30" s="920"/>
      <c r="S30" s="920"/>
      <c r="T30" s="1000"/>
      <c r="X30" s="1465"/>
      <c r="Y30" s="583"/>
      <c r="Z30" s="837"/>
      <c r="AA30" s="583"/>
      <c r="AB30" s="583"/>
      <c r="AC30" s="583"/>
      <c r="AD30" s="831" t="e">
        <f>VALUE(CONCATENATE(AD28,",",AD29))</f>
        <v>#VALUE!</v>
      </c>
      <c r="AE30" s="832" t="str">
        <f>IF(AE24="Штраф 50%","",IF(OR(AA27=" в размере",AA24=" в размере"),AD30,""))</f>
        <v/>
      </c>
      <c r="AF30" s="1018"/>
      <c r="AG30" s="1018"/>
      <c r="AL30" s="1465"/>
      <c r="AM30" s="583"/>
      <c r="AN30" s="837"/>
      <c r="AO30" s="583"/>
      <c r="AP30" s="583"/>
      <c r="AQ30" s="583"/>
      <c r="AR30" s="831" t="e">
        <f>VALUE(CONCATENATE(AR28,",",AR29))</f>
        <v>#VALUE!</v>
      </c>
      <c r="AS30" s="832" t="str">
        <f>IF(AS24="Штраф 50%","",IF(OR(AO27=" в размере",AO24=" в размере"),AR30,""))</f>
        <v/>
      </c>
      <c r="AT30" s="1018"/>
      <c r="AU30" s="1018"/>
      <c r="AZ30" s="1465"/>
      <c r="BA30" s="583"/>
      <c r="BB30" s="837"/>
      <c r="BC30" s="583"/>
      <c r="BD30" s="583"/>
      <c r="BE30" s="583"/>
      <c r="BF30" s="831" t="e">
        <f>VALUE(CONCATENATE(BF28,",",BF29))</f>
        <v>#VALUE!</v>
      </c>
      <c r="BG30" s="832" t="str">
        <f>IF(BG24="Штраф 50%","",IF(OR(BC27=" в размере",BC24=" в размере"),BF30,""))</f>
        <v/>
      </c>
      <c r="BH30" s="1018"/>
      <c r="BI30" s="1018"/>
      <c r="BK30" s="1021" t="str">
        <f t="shared" ref="BK30:BL30" si="16">AT15</f>
        <v/>
      </c>
      <c r="BL30" s="1022" t="str">
        <f t="shared" si="16"/>
        <v/>
      </c>
    </row>
    <row r="31" spans="1:64" ht="15" thickTop="1" x14ac:dyDescent="0.3">
      <c r="A31" s="1569"/>
      <c r="B31" s="920"/>
      <c r="C31" s="995"/>
      <c r="D31" s="920"/>
      <c r="E31" s="920"/>
      <c r="F31" s="920"/>
      <c r="G31" s="920"/>
      <c r="H31" s="920"/>
      <c r="I31" s="1569"/>
      <c r="J31" s="995"/>
      <c r="K31" s="920"/>
      <c r="L31" s="920"/>
      <c r="M31" s="920"/>
      <c r="N31" s="995"/>
      <c r="O31" s="920"/>
      <c r="P31" s="920"/>
      <c r="Q31" s="920"/>
      <c r="R31" s="920"/>
      <c r="S31" s="920"/>
      <c r="T31" s="1000"/>
      <c r="U31" s="5"/>
      <c r="V31" s="5"/>
      <c r="W31" s="5"/>
      <c r="X31" s="1463">
        <v>5</v>
      </c>
      <c r="Y31" s="824" t="s">
        <v>8433</v>
      </c>
      <c r="Z31" s="838" t="e">
        <f>SEARCH(U$4,W$4,AB24)+LEN(U$4)</f>
        <v>#VALUE!</v>
      </c>
      <c r="AA31" s="406" t="str">
        <f>IF(AB31=IFERROR(SEARCH(".",W$4,Z31),99999),".",
IF(AB31=IFERROR(SEARCH(",",W$4,Z31),99999),",",
IF(AB31=IFERROR(SEARCH(" за период",W$4,Z31),999999)," за период",
IF(AB31=IFERROR(SEARCH(" в размере",W$4,Z31),99999)," в размере",
))))</f>
        <v>.</v>
      </c>
      <c r="AB31" s="406">
        <f>IFERROR(MIN(IFERROR(SEARCH(".",W$4,Z31),99999),IFERROR(SEARCH(",",W$4,Z31),99999),IFERROR(SEARCH(" за период",W$4,Z31),999999),IFERROR(SEARCH(" в размере",W$4,Z31),99999)),"ОШИБКА")</f>
        <v>99999</v>
      </c>
      <c r="AC31" s="406" t="e">
        <f>AB31-Z31</f>
        <v>#VALUE!</v>
      </c>
      <c r="AD31" s="824" t="e">
        <f>MID(W$4,Z31,AC31)</f>
        <v>#VALUE!</v>
      </c>
      <c r="AE31" s="825" t="str">
        <f>IFERROR(INDEX($EL:$EL,MATCH(MID(W$4,Z31,AC31),$EK:$EK,0),1),"")</f>
        <v/>
      </c>
      <c r="AF31" s="1016"/>
      <c r="AG31" s="1016"/>
      <c r="AH31" s="754"/>
      <c r="AI31" s="5"/>
      <c r="AJ31" s="5"/>
      <c r="AK31" s="5"/>
      <c r="AL31" s="1463">
        <v>5</v>
      </c>
      <c r="AM31" s="824" t="s">
        <v>8433</v>
      </c>
      <c r="AN31" s="838" t="e">
        <f>SEARCH(AI$4,AK$4,AP24)+LEN(AI$4)</f>
        <v>#VALUE!</v>
      </c>
      <c r="AO31" s="406" t="str">
        <f>IF(AP31=IFERROR(SEARCH(".",AK$4,AN31),99999),".",
IF(AP31=IFERROR(SEARCH(",",AK$4,AN31),99999),",",
IF(AP31=IFERROR(SEARCH(" за период",AK$4,AN31),999999)," за период",
IF(AP31=IFERROR(SEARCH(" в размере",AK$4,AN31),99999)," в размере",
))))</f>
        <v>.</v>
      </c>
      <c r="AP31" s="406">
        <f>IFERROR(MIN(IFERROR(SEARCH(".",AK$4,AN31),99999),IFERROR(SEARCH(",",AK$4,AN31),99999),IFERROR(SEARCH(" за период",AK$4,AN31),999999),IFERROR(SEARCH(" в размере",AK$4,AN31),99999)),"ОШИБКА")</f>
        <v>99999</v>
      </c>
      <c r="AQ31" s="406" t="e">
        <f>AP31-AN31</f>
        <v>#VALUE!</v>
      </c>
      <c r="AR31" s="824" t="e">
        <f>MID(AK$4,AN31,AQ31)</f>
        <v>#VALUE!</v>
      </c>
      <c r="AS31" s="825" t="str">
        <f>IFERROR(INDEX($EL:$EL,MATCH(MID(AK$4,AN31,AQ31),$EK:$EK,0),1),"")</f>
        <v/>
      </c>
      <c r="AT31" s="1016"/>
      <c r="AU31" s="1016"/>
      <c r="AV31" s="754"/>
      <c r="AW31" s="5"/>
      <c r="AX31" s="5"/>
      <c r="AY31" s="5"/>
      <c r="AZ31" s="1463">
        <v>5</v>
      </c>
      <c r="BA31" s="824" t="s">
        <v>8433</v>
      </c>
      <c r="BB31" s="838" t="e">
        <f>SEARCH(AW$4,AY$4,BD24)+LEN(AW$4)</f>
        <v>#VALUE!</v>
      </c>
      <c r="BC31" s="406" t="str">
        <f>IF(BD31=IFERROR(SEARCH(".",AY$4,BB31),99999),".",
IF(BD31=IFERROR(SEARCH(",",AY$4,BB31),99999),",",
IF(BD31=IFERROR(SEARCH(" за период",AY$4,BB31),999999)," за период",
IF(BD31=IFERROR(SEARCH(" в размере",AY$4,BB31),99999)," в размере",
))))</f>
        <v>.</v>
      </c>
      <c r="BD31" s="406">
        <f>IFERROR(MIN(IFERROR(SEARCH(".",AY$4,BB31),99999),IFERROR(SEARCH(",",AY$4,BB31),99999),IFERROR(SEARCH(" за период",AY$4,BB31),999999),IFERROR(SEARCH(" в размере",AY$4,BB31),99999)),"ОШИБКА")</f>
        <v>99999</v>
      </c>
      <c r="BE31" s="406" t="e">
        <f>BD31-BB31</f>
        <v>#VALUE!</v>
      </c>
      <c r="BF31" s="824" t="e">
        <f>MID(AY$4,BB31,BE31)</f>
        <v>#VALUE!</v>
      </c>
      <c r="BG31" s="825" t="str">
        <f>IFERROR(INDEX($EL:$EL,MATCH(MID(AY$4,BB31,BE31),$EK:$EK,0),1),"")</f>
        <v/>
      </c>
      <c r="BH31" s="1016"/>
      <c r="BI31" s="1016"/>
      <c r="BJ31" s="754"/>
      <c r="BK31" s="1021" t="str">
        <f t="shared" ref="BK31:BL31" si="17">AT16</f>
        <v/>
      </c>
      <c r="BL31" s="1022" t="str">
        <f t="shared" si="17"/>
        <v/>
      </c>
    </row>
    <row r="32" spans="1:64" x14ac:dyDescent="0.3">
      <c r="A32" s="1569"/>
      <c r="B32" s="920"/>
      <c r="C32" s="995"/>
      <c r="D32" s="920"/>
      <c r="E32" s="920"/>
      <c r="F32" s="920"/>
      <c r="G32" s="920"/>
      <c r="H32" s="920"/>
      <c r="I32" s="1569"/>
      <c r="J32" s="995"/>
      <c r="K32" s="920"/>
      <c r="L32" s="920"/>
      <c r="M32" s="920"/>
      <c r="N32" s="995"/>
      <c r="O32" s="920"/>
      <c r="P32" s="920"/>
      <c r="Q32" s="920"/>
      <c r="R32" s="920"/>
      <c r="S32" s="920"/>
      <c r="T32" s="1000"/>
      <c r="U32" s="5"/>
      <c r="V32" s="5"/>
      <c r="W32" s="5"/>
      <c r="X32" s="1464"/>
      <c r="Y32" s="826" t="s">
        <v>8435</v>
      </c>
      <c r="Z32" s="836" t="str">
        <f>IF(AA31=" за период",SEARCH(" за период",W$4,AB31)+LEN(" за период")+3,"НЕТ")</f>
        <v>НЕТ</v>
      </c>
      <c r="AA32" s="306" t="s">
        <v>8434</v>
      </c>
      <c r="AB32" s="306" t="e">
        <f>SEARCH(AA32,W$4,Z32)</f>
        <v>#VALUE!</v>
      </c>
      <c r="AC32" s="306" t="e">
        <f>AB32-Z32</f>
        <v>#VALUE!</v>
      </c>
      <c r="AD32" s="827" t="e">
        <f>DATEVALUE(MID(W$4,Z32,AC32))</f>
        <v>#VALUE!</v>
      </c>
      <c r="AE32" s="828" t="str">
        <f>IF(AA31=" за период",AD32,"")</f>
        <v/>
      </c>
      <c r="AF32" s="1017"/>
      <c r="AG32" s="1017"/>
      <c r="AI32" s="5"/>
      <c r="AJ32" s="5"/>
      <c r="AK32" s="5"/>
      <c r="AL32" s="1464"/>
      <c r="AM32" s="826" t="s">
        <v>8435</v>
      </c>
      <c r="AN32" s="836" t="str">
        <f>IF(AO31=" за период",SEARCH(" за период",AK$4,AP31)+LEN(" за период")+3,"НЕТ")</f>
        <v>НЕТ</v>
      </c>
      <c r="AO32" s="306" t="s">
        <v>8434</v>
      </c>
      <c r="AP32" s="306" t="e">
        <f>SEARCH(AO32,AK$4,AN32)</f>
        <v>#VALUE!</v>
      </c>
      <c r="AQ32" s="306" t="e">
        <f>AP32-AN32</f>
        <v>#VALUE!</v>
      </c>
      <c r="AR32" s="827" t="e">
        <f>DATEVALUE(MID(AK$4,AN32,AQ32))</f>
        <v>#VALUE!</v>
      </c>
      <c r="AS32" s="828" t="str">
        <f>IF(AO31=" за период",AR32,"")</f>
        <v/>
      </c>
      <c r="AT32" s="1017"/>
      <c r="AU32" s="1017"/>
      <c r="AW32" s="5"/>
      <c r="AX32" s="5"/>
      <c r="AY32" s="5"/>
      <c r="AZ32" s="1464"/>
      <c r="BA32" s="826" t="s">
        <v>8435</v>
      </c>
      <c r="BB32" s="836" t="str">
        <f>IF(BC31=" за период",SEARCH(" за период",AY$4,BD31)+LEN(" за период")+3,"НЕТ")</f>
        <v>НЕТ</v>
      </c>
      <c r="BC32" s="306" t="s">
        <v>8434</v>
      </c>
      <c r="BD32" s="306" t="e">
        <f>SEARCH(BC32,AY$4,BB32)</f>
        <v>#VALUE!</v>
      </c>
      <c r="BE32" s="306" t="e">
        <f>BD32-BB32</f>
        <v>#VALUE!</v>
      </c>
      <c r="BF32" s="827" t="e">
        <f>DATEVALUE(MID(AY$4,BB32,BE32))</f>
        <v>#VALUE!</v>
      </c>
      <c r="BG32" s="828" t="str">
        <f>IF(BC31=" за период",BF32,"")</f>
        <v/>
      </c>
      <c r="BH32" s="1017"/>
      <c r="BI32" s="1017"/>
      <c r="BK32" s="1021" t="str">
        <f t="shared" ref="BK32:BL32" si="18">AT17</f>
        <v/>
      </c>
      <c r="BL32" s="1022" t="str">
        <f t="shared" si="18"/>
        <v/>
      </c>
    </row>
    <row r="33" spans="1:64" x14ac:dyDescent="0.3">
      <c r="A33" s="1569"/>
      <c r="B33" s="920"/>
      <c r="C33" s="995"/>
      <c r="D33" s="920"/>
      <c r="E33" s="920"/>
      <c r="F33" s="920"/>
      <c r="G33" s="920"/>
      <c r="H33" s="920"/>
      <c r="I33" s="1569"/>
      <c r="J33" s="995"/>
      <c r="K33" s="920"/>
      <c r="L33" s="920"/>
      <c r="M33" s="920"/>
      <c r="N33" s="995"/>
      <c r="O33" s="920"/>
      <c r="P33" s="920"/>
      <c r="Q33" s="920"/>
      <c r="R33" s="920"/>
      <c r="S33" s="920"/>
      <c r="T33" s="1000"/>
      <c r="X33" s="1464"/>
      <c r="Y33" s="826" t="s">
        <v>8436</v>
      </c>
      <c r="Z33" s="836" t="e">
        <f>SEARCH(" ",W$4,AB32+1)+1</f>
        <v>#VALUE!</v>
      </c>
      <c r="AA33" s="306"/>
      <c r="AB33" s="306" t="e">
        <f>Z33+AC33</f>
        <v>#VALUE!</v>
      </c>
      <c r="AC33" s="306">
        <v>10</v>
      </c>
      <c r="AD33" s="827" t="e">
        <f>DATEVALUE(MID(W$4,Z33,AC33))</f>
        <v>#VALUE!</v>
      </c>
      <c r="AE33" s="828" t="str">
        <f>IF(AA31=" за период",AD33,"")</f>
        <v/>
      </c>
      <c r="AF33" s="1017"/>
      <c r="AG33" s="1017"/>
      <c r="AL33" s="1464"/>
      <c r="AM33" s="826" t="s">
        <v>8436</v>
      </c>
      <c r="AN33" s="836" t="e">
        <f>SEARCH(" ",AK$4,AP32+1)+1</f>
        <v>#VALUE!</v>
      </c>
      <c r="AO33" s="306"/>
      <c r="AP33" s="306" t="e">
        <f>AN33+AQ33</f>
        <v>#VALUE!</v>
      </c>
      <c r="AQ33" s="306">
        <v>10</v>
      </c>
      <c r="AR33" s="827" t="e">
        <f>DATEVALUE(MID(AK$4,AN33,AQ33))</f>
        <v>#VALUE!</v>
      </c>
      <c r="AS33" s="828" t="str">
        <f>IF(AO31=" за период",AR33,"")</f>
        <v/>
      </c>
      <c r="AT33" s="1017"/>
      <c r="AU33" s="1017"/>
      <c r="AZ33" s="1464"/>
      <c r="BA33" s="826" t="s">
        <v>8436</v>
      </c>
      <c r="BB33" s="836" t="e">
        <f>SEARCH(" ",AY$4,BD32+1)+1</f>
        <v>#VALUE!</v>
      </c>
      <c r="BC33" s="306"/>
      <c r="BD33" s="306" t="e">
        <f>BB33+BE33</f>
        <v>#VALUE!</v>
      </c>
      <c r="BE33" s="306">
        <v>10</v>
      </c>
      <c r="BF33" s="827" t="e">
        <f>DATEVALUE(MID(AY$4,BB33,BE33))</f>
        <v>#VALUE!</v>
      </c>
      <c r="BG33" s="828" t="str">
        <f>IF(BC31=" за период",BF33,"")</f>
        <v/>
      </c>
      <c r="BH33" s="1017"/>
      <c r="BI33" s="1017"/>
      <c r="BK33" s="1021" t="str">
        <f>BH3</f>
        <v/>
      </c>
      <c r="BL33" s="1022" t="str">
        <f>BI3</f>
        <v/>
      </c>
    </row>
    <row r="34" spans="1:64" x14ac:dyDescent="0.3">
      <c r="A34" s="1569"/>
      <c r="B34" s="920"/>
      <c r="C34" s="995"/>
      <c r="D34" s="920"/>
      <c r="E34" s="920"/>
      <c r="F34" s="920"/>
      <c r="G34" s="920"/>
      <c r="H34" s="920"/>
      <c r="I34" s="1569"/>
      <c r="J34" s="995"/>
      <c r="K34" s="920"/>
      <c r="L34" s="920"/>
      <c r="M34" s="920"/>
      <c r="N34" s="995"/>
      <c r="O34" s="920"/>
      <c r="P34" s="920"/>
      <c r="Q34" s="920"/>
      <c r="R34" s="920"/>
      <c r="S34" s="920"/>
      <c r="T34" s="1000"/>
      <c r="X34" s="1464"/>
      <c r="Y34" s="826"/>
      <c r="Z34" s="836"/>
      <c r="AA34" s="306" t="str">
        <f>IF(AB34=IFERROR(SEARCH(".",W$4,AB33),99999),".",
IF(AB34=IFERROR(SEARCH(",",W$4,AB33),99999),",",
IF(AB34=IFERROR(SEARCH(" за период",W$4,AB33),999999)," за период",
IF(AB34=IFERROR(SEARCH(" в размере",W$4,AB33),99999)," в размере",
))))</f>
        <v>.</v>
      </c>
      <c r="AB34" s="306">
        <f>MIN(
IFERROR(SEARCH(".",W$4,AB33),99999),
IFERROR(SEARCH(",",W$4,AB33),99999),
IFERROR(SEARCH(" в размере",W$4,AB33),99999))</f>
        <v>99999</v>
      </c>
      <c r="AC34" s="306"/>
      <c r="AD34" s="827"/>
      <c r="AE34" s="829"/>
      <c r="AF34" s="1016"/>
      <c r="AG34" s="1016"/>
      <c r="AL34" s="1464"/>
      <c r="AM34" s="826"/>
      <c r="AN34" s="836"/>
      <c r="AO34" s="306" t="str">
        <f>IF(AP34=IFERROR(SEARCH(".",AK$4,AP33),99999),".",
IF(AP34=IFERROR(SEARCH(",",AK$4,AP33),99999),",",
IF(AP34=IFERROR(SEARCH(" за период",AK$4,AP33),999999)," за период",
IF(AP34=IFERROR(SEARCH(" в размере",AK$4,AP33),99999)," в размере",
))))</f>
        <v>.</v>
      </c>
      <c r="AP34" s="306">
        <f>MIN(
IFERROR(SEARCH(".",AK$4,AP33),99999),
IFERROR(SEARCH(",",AK$4,AP33),99999),
IFERROR(SEARCH(" в размере",AK$4,AP33),99999))</f>
        <v>99999</v>
      </c>
      <c r="AQ34" s="306"/>
      <c r="AR34" s="827"/>
      <c r="AS34" s="829"/>
      <c r="AT34" s="1016"/>
      <c r="AU34" s="1016"/>
      <c r="AZ34" s="1464"/>
      <c r="BA34" s="826"/>
      <c r="BB34" s="836"/>
      <c r="BC34" s="306" t="str">
        <f>IF(BD34=IFERROR(SEARCH(".",AY$4,BD33),99999),".",
IF(BD34=IFERROR(SEARCH(",",AY$4,BD33),99999),",",
IF(BD34=IFERROR(SEARCH(" за период",AY$4,BD33),999999)," за период",
IF(BD34=IFERROR(SEARCH(" в размере",AY$4,BD33),99999)," в размере",
))))</f>
        <v>.</v>
      </c>
      <c r="BD34" s="306">
        <f>MIN(
IFERROR(SEARCH(".",AY$4,BD33),99999),
IFERROR(SEARCH(",",AY$4,BD33),99999),
IFERROR(SEARCH(" в размере",AY$4,BD33),99999))</f>
        <v>99999</v>
      </c>
      <c r="BE34" s="306"/>
      <c r="BF34" s="827"/>
      <c r="BG34" s="829"/>
      <c r="BH34" s="1016"/>
      <c r="BI34" s="1016"/>
      <c r="BK34" s="1021" t="str">
        <f t="shared" ref="BK34:BL34" si="19">BH4</f>
        <v/>
      </c>
      <c r="BL34" s="1022" t="str">
        <f t="shared" si="19"/>
        <v/>
      </c>
    </row>
    <row r="35" spans="1:64" x14ac:dyDescent="0.3">
      <c r="A35" s="1569"/>
      <c r="B35" s="920"/>
      <c r="C35" s="995"/>
      <c r="D35" s="920"/>
      <c r="E35" s="920"/>
      <c r="F35" s="920"/>
      <c r="G35" s="920"/>
      <c r="H35" s="920"/>
      <c r="I35" s="1569"/>
      <c r="J35" s="995"/>
      <c r="K35" s="920"/>
      <c r="L35" s="920"/>
      <c r="M35" s="920"/>
      <c r="N35" s="995"/>
      <c r="O35" s="920"/>
      <c r="P35" s="920"/>
      <c r="Q35" s="920"/>
      <c r="R35" s="920"/>
      <c r="S35" s="920"/>
      <c r="T35" s="1000"/>
      <c r="X35" s="1464"/>
      <c r="Y35" s="835" t="s">
        <v>8249</v>
      </c>
      <c r="Z35" s="836" t="e">
        <f>SEARCH(" в размере",W$4,AB31)+LEN(" в размере")+1</f>
        <v>#VALUE!</v>
      </c>
      <c r="AA35" s="306" t="s">
        <v>8234</v>
      </c>
      <c r="AB35" s="306" t="e">
        <f>SEARCH(AA35,W$4,Z35)</f>
        <v>#VALUE!</v>
      </c>
      <c r="AC35" s="306" t="e">
        <f>AB35-Z35</f>
        <v>#VALUE!</v>
      </c>
      <c r="AD35" s="826" t="e">
        <f>IF(AE31="Штраф 50%","",MID(W$4,Z35,AC35))</f>
        <v>#VALUE!</v>
      </c>
      <c r="AE35" s="829"/>
      <c r="AF35" s="1016"/>
      <c r="AG35" s="1016"/>
      <c r="AL35" s="1464"/>
      <c r="AM35" s="835" t="s">
        <v>8249</v>
      </c>
      <c r="AN35" s="836" t="e">
        <f>SEARCH(" в размере",AK$4,AP31)+LEN(" в размере")+1</f>
        <v>#VALUE!</v>
      </c>
      <c r="AO35" s="306" t="s">
        <v>8234</v>
      </c>
      <c r="AP35" s="306" t="e">
        <f>SEARCH(AO35,AK$4,AN35)</f>
        <v>#VALUE!</v>
      </c>
      <c r="AQ35" s="306" t="e">
        <f>AP35-AN35</f>
        <v>#VALUE!</v>
      </c>
      <c r="AR35" s="826" t="e">
        <f>IF(AS31="Штраф 50%","",MID(AK$4,AN35,AQ35))</f>
        <v>#VALUE!</v>
      </c>
      <c r="AS35" s="829"/>
      <c r="AT35" s="1016"/>
      <c r="AU35" s="1016"/>
      <c r="AZ35" s="1464"/>
      <c r="BA35" s="835" t="s">
        <v>8249</v>
      </c>
      <c r="BB35" s="836" t="e">
        <f>SEARCH(" в размере",AY$4,BD31)+LEN(" в размере")+1</f>
        <v>#VALUE!</v>
      </c>
      <c r="BC35" s="306" t="s">
        <v>8234</v>
      </c>
      <c r="BD35" s="306" t="e">
        <f>SEARCH(BC35,AY$4,BB35)</f>
        <v>#VALUE!</v>
      </c>
      <c r="BE35" s="306" t="e">
        <f>BD35-BB35</f>
        <v>#VALUE!</v>
      </c>
      <c r="BF35" s="826" t="e">
        <f>IF(BG31="Штраф 50%","",MID(AY$4,BB35,BE35))</f>
        <v>#VALUE!</v>
      </c>
      <c r="BG35" s="829"/>
      <c r="BH35" s="1016"/>
      <c r="BI35" s="1016"/>
      <c r="BK35" s="1021" t="str">
        <f t="shared" ref="BK35:BL35" si="20">BH5</f>
        <v/>
      </c>
      <c r="BL35" s="1022" t="str">
        <f t="shared" si="20"/>
        <v/>
      </c>
    </row>
    <row r="36" spans="1:64" x14ac:dyDescent="0.3">
      <c r="A36" s="1569"/>
      <c r="B36" s="920"/>
      <c r="C36" s="995"/>
      <c r="D36" s="920"/>
      <c r="E36" s="920"/>
      <c r="F36" s="920"/>
      <c r="G36" s="920"/>
      <c r="H36" s="920"/>
      <c r="I36" s="1569"/>
      <c r="J36" s="995"/>
      <c r="K36" s="920"/>
      <c r="L36" s="920"/>
      <c r="M36" s="920"/>
      <c r="N36" s="995"/>
      <c r="O36" s="920"/>
      <c r="P36" s="920"/>
      <c r="Q36" s="920"/>
      <c r="R36" s="920"/>
      <c r="S36" s="920"/>
      <c r="T36" s="1000"/>
      <c r="X36" s="1464"/>
      <c r="Y36" s="401"/>
      <c r="Z36" s="836" t="e">
        <f>SEARCH(" ",W$4,SEARCH("руб",W$4,AB35))+1</f>
        <v>#VALUE!</v>
      </c>
      <c r="AA36" s="306" t="s">
        <v>8432</v>
      </c>
      <c r="AB36" s="306" t="e">
        <f>SEARCH(AA36,W$4,Z36)</f>
        <v>#VALUE!</v>
      </c>
      <c r="AC36" s="306" t="e">
        <f>AB36-Z36</f>
        <v>#VALUE!</v>
      </c>
      <c r="AD36" s="826" t="e">
        <f>IF(AE31="Штраф 50%","",MID(W$4,Z36,AC36))</f>
        <v>#VALUE!</v>
      </c>
      <c r="AE36" s="829"/>
      <c r="AF36" s="1016"/>
      <c r="AG36" s="1016"/>
      <c r="AL36" s="1464"/>
      <c r="AM36" s="401"/>
      <c r="AN36" s="836" t="e">
        <f>SEARCH(" ",AK$4,SEARCH("руб",AK$4,AP35))+1</f>
        <v>#VALUE!</v>
      </c>
      <c r="AO36" s="306" t="s">
        <v>8432</v>
      </c>
      <c r="AP36" s="306" t="e">
        <f>SEARCH(AO36,AK$4,AN36)</f>
        <v>#VALUE!</v>
      </c>
      <c r="AQ36" s="306" t="e">
        <f>AP36-AN36</f>
        <v>#VALUE!</v>
      </c>
      <c r="AR36" s="826" t="e">
        <f>IF(AS31="Штраф 50%","",MID(AK$4,AN36,AQ36))</f>
        <v>#VALUE!</v>
      </c>
      <c r="AS36" s="829"/>
      <c r="AT36" s="1016"/>
      <c r="AU36" s="1016"/>
      <c r="AZ36" s="1464"/>
      <c r="BA36" s="401"/>
      <c r="BB36" s="836" t="e">
        <f>SEARCH(" ",AY$4,SEARCH("руб",AY$4,BD35))+1</f>
        <v>#VALUE!</v>
      </c>
      <c r="BC36" s="306" t="s">
        <v>8432</v>
      </c>
      <c r="BD36" s="306" t="e">
        <f>SEARCH(BC36,AY$4,BB36)</f>
        <v>#VALUE!</v>
      </c>
      <c r="BE36" s="306" t="e">
        <f>BD36-BB36</f>
        <v>#VALUE!</v>
      </c>
      <c r="BF36" s="826" t="e">
        <f>IF(BG31="Штраф 50%","",MID(AY$4,BB36,BE36))</f>
        <v>#VALUE!</v>
      </c>
      <c r="BG36" s="829"/>
      <c r="BH36" s="1016"/>
      <c r="BI36" s="1016"/>
      <c r="BK36" s="1021" t="str">
        <f t="shared" ref="BK36:BL36" si="21">BH6</f>
        <v/>
      </c>
      <c r="BL36" s="1022" t="str">
        <f t="shared" si="21"/>
        <v/>
      </c>
    </row>
    <row r="37" spans="1:64" ht="15" thickBot="1" x14ac:dyDescent="0.35">
      <c r="A37" s="1569"/>
      <c r="B37" s="920"/>
      <c r="C37" s="995"/>
      <c r="D37" s="920"/>
      <c r="E37" s="920"/>
      <c r="F37" s="920"/>
      <c r="G37" s="920"/>
      <c r="H37" s="920"/>
      <c r="I37" s="1569"/>
      <c r="J37" s="995"/>
      <c r="K37" s="920"/>
      <c r="L37" s="920"/>
      <c r="M37" s="920"/>
      <c r="N37" s="995"/>
      <c r="O37" s="920"/>
      <c r="P37" s="920"/>
      <c r="Q37" s="920"/>
      <c r="R37" s="920"/>
      <c r="S37" s="920"/>
      <c r="T37" s="1000"/>
      <c r="X37" s="1465"/>
      <c r="Y37" s="583"/>
      <c r="Z37" s="837"/>
      <c r="AA37" s="583"/>
      <c r="AB37" s="583"/>
      <c r="AC37" s="583"/>
      <c r="AD37" s="831" t="e">
        <f>VALUE(CONCATENATE(AD35,",",AD36))</f>
        <v>#VALUE!</v>
      </c>
      <c r="AE37" s="832" t="str">
        <f>IF(AE31="Штраф 50%","",IF(OR(AA34=" в размере",AA31=" в размере"),AD37,""))</f>
        <v/>
      </c>
      <c r="AF37" s="1018"/>
      <c r="AG37" s="1018"/>
      <c r="AL37" s="1465"/>
      <c r="AM37" s="583"/>
      <c r="AN37" s="837"/>
      <c r="AO37" s="583"/>
      <c r="AP37" s="583"/>
      <c r="AQ37" s="583"/>
      <c r="AR37" s="831" t="e">
        <f>VALUE(CONCATENATE(AR35,",",AR36))</f>
        <v>#VALUE!</v>
      </c>
      <c r="AS37" s="832" t="str">
        <f>IF(AS31="Штраф 50%","",IF(OR(AO34=" в размере",AO31=" в размере"),AR37,""))</f>
        <v/>
      </c>
      <c r="AT37" s="1018"/>
      <c r="AU37" s="1018"/>
      <c r="AZ37" s="1465"/>
      <c r="BA37" s="583"/>
      <c r="BB37" s="837"/>
      <c r="BC37" s="583"/>
      <c r="BD37" s="583"/>
      <c r="BE37" s="583"/>
      <c r="BF37" s="831" t="e">
        <f>VALUE(CONCATENATE(BF35,",",BF36))</f>
        <v>#VALUE!</v>
      </c>
      <c r="BG37" s="832" t="str">
        <f>IF(BG31="Штраф 50%","",IF(OR(BC34=" в размере",BC31=" в размере"),BF37,""))</f>
        <v/>
      </c>
      <c r="BH37" s="1018"/>
      <c r="BI37" s="1018"/>
      <c r="BK37" s="1021" t="str">
        <f t="shared" ref="BK37:BL37" si="22">BH7</f>
        <v/>
      </c>
      <c r="BL37" s="1022" t="str">
        <f t="shared" si="22"/>
        <v/>
      </c>
    </row>
    <row r="38" spans="1:64" ht="15" thickTop="1" x14ac:dyDescent="0.3">
      <c r="A38" s="1569"/>
      <c r="B38" s="920"/>
      <c r="C38" s="995"/>
      <c r="D38" s="920"/>
      <c r="E38" s="920"/>
      <c r="F38" s="920"/>
      <c r="G38" s="920"/>
      <c r="H38" s="920"/>
      <c r="I38" s="1569"/>
      <c r="J38" s="995"/>
      <c r="K38" s="920"/>
      <c r="L38" s="920"/>
      <c r="M38" s="920"/>
      <c r="N38" s="995"/>
      <c r="O38" s="920"/>
      <c r="P38" s="920"/>
      <c r="Q38" s="920"/>
      <c r="R38" s="920"/>
      <c r="S38" s="920"/>
      <c r="T38" s="1000"/>
      <c r="X38" s="1463">
        <v>6</v>
      </c>
      <c r="Y38" s="824" t="s">
        <v>8433</v>
      </c>
      <c r="Z38" s="838" t="e">
        <f>SEARCH(U$4,W$4,AB31)+LEN(U$4)</f>
        <v>#VALUE!</v>
      </c>
      <c r="AA38" s="406" t="str">
        <f>IF(AB38=IFERROR(SEARCH(".",W$4,Z38),99999),".",
IF(AB38=IFERROR(SEARCH(",",W$4,Z38),99999),",",
IF(AB38=IFERROR(SEARCH(" за период",W$4,Z38),999999)," за период",
IF(AB38=IFERROR(SEARCH(" в размере",W$4,Z38),99999)," в размере",
))))</f>
        <v>.</v>
      </c>
      <c r="AB38" s="406">
        <f>IFERROR(MIN(IFERROR(SEARCH(".",W$4,Z38),99999),IFERROR(SEARCH(",",W$4,Z38),99999),IFERROR(SEARCH(" за период",W$4,Z38),999999),IFERROR(SEARCH(" в размере",W$4,Z38),99999)),"ОШИБКА")</f>
        <v>99999</v>
      </c>
      <c r="AC38" s="406" t="e">
        <f>AB38-Z38</f>
        <v>#VALUE!</v>
      </c>
      <c r="AD38" s="824" t="e">
        <f>MID(W$4,Z38,AC38)</f>
        <v>#VALUE!</v>
      </c>
      <c r="AE38" s="825" t="str">
        <f>IFERROR(INDEX($EL:$EL,MATCH(MID(W$4,Z38,AC38),$EK:$EK,0),1),"")</f>
        <v/>
      </c>
      <c r="AF38" s="1016"/>
      <c r="AG38" s="1016"/>
      <c r="AH38" s="754"/>
      <c r="AL38" s="1463">
        <v>6</v>
      </c>
      <c r="AM38" s="824" t="s">
        <v>8433</v>
      </c>
      <c r="AN38" s="838" t="e">
        <f>SEARCH(AI$4,AK$4,AP31)+LEN(AI$4)</f>
        <v>#VALUE!</v>
      </c>
      <c r="AO38" s="406" t="str">
        <f>IF(AP38=IFERROR(SEARCH(".",AK$4,AN38),99999),".",
IF(AP38=IFERROR(SEARCH(",",AK$4,AN38),99999),",",
IF(AP38=IFERROR(SEARCH(" за период",AK$4,AN38),999999)," за период",
IF(AP38=IFERROR(SEARCH(" в размере",AK$4,AN38),99999)," в размере",
))))</f>
        <v>.</v>
      </c>
      <c r="AP38" s="406">
        <f>IFERROR(MIN(IFERROR(SEARCH(".",AK$4,AN38),99999),IFERROR(SEARCH(",",AK$4,AN38),99999),IFERROR(SEARCH(" за период",AK$4,AN38),999999),IFERROR(SEARCH(" в размере",AK$4,AN38),99999)),"ОШИБКА")</f>
        <v>99999</v>
      </c>
      <c r="AQ38" s="406" t="e">
        <f>AP38-AN38</f>
        <v>#VALUE!</v>
      </c>
      <c r="AR38" s="824" t="e">
        <f>MID(AK$4,AN38,AQ38)</f>
        <v>#VALUE!</v>
      </c>
      <c r="AS38" s="825" t="str">
        <f>IFERROR(INDEX($EL:$EL,MATCH(MID(AK$4,AN38,AQ38),$EK:$EK,0),1),"")</f>
        <v/>
      </c>
      <c r="AT38" s="1016"/>
      <c r="AU38" s="1016"/>
      <c r="AV38" s="754"/>
      <c r="AZ38" s="1463">
        <v>6</v>
      </c>
      <c r="BA38" s="824" t="s">
        <v>8433</v>
      </c>
      <c r="BB38" s="838" t="e">
        <f>SEARCH(AW$4,AY$4,BD31)+LEN(AW$4)</f>
        <v>#VALUE!</v>
      </c>
      <c r="BC38" s="406" t="str">
        <f>IF(BD38=IFERROR(SEARCH(".",AY$4,BB38),99999),".",
IF(BD38=IFERROR(SEARCH(",",AY$4,BB38),99999),",",
IF(BD38=IFERROR(SEARCH(" за период",AY$4,BB38),999999)," за период",
IF(BD38=IFERROR(SEARCH(" в размере",AY$4,BB38),99999)," в размере",
))))</f>
        <v>.</v>
      </c>
      <c r="BD38" s="406">
        <f>IFERROR(MIN(IFERROR(SEARCH(".",AY$4,BB38),99999),IFERROR(SEARCH(",",AY$4,BB38),99999),IFERROR(SEARCH(" за период",AY$4,BB38),999999),IFERROR(SEARCH(" в размере",AY$4,BB38),99999)),"ОШИБКА")</f>
        <v>99999</v>
      </c>
      <c r="BE38" s="406" t="e">
        <f>BD38-BB38</f>
        <v>#VALUE!</v>
      </c>
      <c r="BF38" s="824" t="e">
        <f>MID(AY$4,BB38,BE38)</f>
        <v>#VALUE!</v>
      </c>
      <c r="BG38" s="825" t="str">
        <f>IFERROR(INDEX($EL:$EL,MATCH(MID(AY$4,BB38,BE38),$EK:$EK,0),1),"")</f>
        <v/>
      </c>
      <c r="BH38" s="1016"/>
      <c r="BI38" s="1016"/>
      <c r="BJ38" s="754"/>
      <c r="BK38" s="1021" t="str">
        <f t="shared" ref="BK38:BL38" si="23">BH8</f>
        <v/>
      </c>
      <c r="BL38" s="1022" t="str">
        <f t="shared" si="23"/>
        <v/>
      </c>
    </row>
    <row r="39" spans="1:64" x14ac:dyDescent="0.3">
      <c r="A39" s="1569"/>
      <c r="B39" s="920"/>
      <c r="C39" s="995"/>
      <c r="D39" s="920"/>
      <c r="E39" s="920"/>
      <c r="F39" s="996"/>
      <c r="G39" s="920"/>
      <c r="H39" s="854"/>
      <c r="I39" s="1569"/>
      <c r="J39" s="995"/>
      <c r="K39" s="920"/>
      <c r="L39" s="996"/>
      <c r="M39" s="920"/>
      <c r="N39" s="995"/>
      <c r="O39" s="920"/>
      <c r="P39" s="920"/>
      <c r="Q39" s="996"/>
      <c r="R39" s="920"/>
      <c r="S39" s="854"/>
      <c r="T39" s="1000"/>
      <c r="X39" s="1464"/>
      <c r="Y39" s="826" t="s">
        <v>8435</v>
      </c>
      <c r="Z39" s="836" t="str">
        <f>IF(AA38=" за период",SEARCH(" за период",W$4,AB38)+LEN(" за период")+3,"НЕТ")</f>
        <v>НЕТ</v>
      </c>
      <c r="AA39" s="306" t="s">
        <v>8434</v>
      </c>
      <c r="AB39" s="306" t="e">
        <f>SEARCH(AA39,W$4,Z39)</f>
        <v>#VALUE!</v>
      </c>
      <c r="AC39" s="306" t="e">
        <f>AB39-Z39</f>
        <v>#VALUE!</v>
      </c>
      <c r="AD39" s="827" t="e">
        <f>DATEVALUE(MID(W$4,Z39,AC39))</f>
        <v>#VALUE!</v>
      </c>
      <c r="AE39" s="828" t="str">
        <f>IF(AA38=" за период",AD39,"")</f>
        <v/>
      </c>
      <c r="AF39" s="1017"/>
      <c r="AG39" s="1017"/>
      <c r="AL39" s="1464"/>
      <c r="AM39" s="826" t="s">
        <v>8435</v>
      </c>
      <c r="AN39" s="836" t="str">
        <f>IF(AO38=" за период",SEARCH(" за период",AK$4,AP38)+LEN(" за период")+3,"НЕТ")</f>
        <v>НЕТ</v>
      </c>
      <c r="AO39" s="306" t="s">
        <v>8434</v>
      </c>
      <c r="AP39" s="306" t="e">
        <f>SEARCH(AO39,AK$4,AN39)</f>
        <v>#VALUE!</v>
      </c>
      <c r="AQ39" s="306" t="e">
        <f>AP39-AN39</f>
        <v>#VALUE!</v>
      </c>
      <c r="AR39" s="827" t="e">
        <f>DATEVALUE(MID(AK$4,AN39,AQ39))</f>
        <v>#VALUE!</v>
      </c>
      <c r="AS39" s="828" t="str">
        <f>IF(AO38=" за период",AR39,"")</f>
        <v/>
      </c>
      <c r="AT39" s="1017"/>
      <c r="AU39" s="1017"/>
      <c r="AZ39" s="1464"/>
      <c r="BA39" s="826" t="s">
        <v>8435</v>
      </c>
      <c r="BB39" s="836" t="str">
        <f>IF(BC38=" за период",SEARCH(" за период",AY$4,BD38)+LEN(" за период")+3,"НЕТ")</f>
        <v>НЕТ</v>
      </c>
      <c r="BC39" s="306" t="s">
        <v>8434</v>
      </c>
      <c r="BD39" s="306" t="e">
        <f>SEARCH(BC39,AY$4,BB39)</f>
        <v>#VALUE!</v>
      </c>
      <c r="BE39" s="306" t="e">
        <f>BD39-BB39</f>
        <v>#VALUE!</v>
      </c>
      <c r="BF39" s="827" t="e">
        <f>DATEVALUE(MID(AY$4,BB39,BE39))</f>
        <v>#VALUE!</v>
      </c>
      <c r="BG39" s="828" t="str">
        <f>IF(BC38=" за период",BF39,"")</f>
        <v/>
      </c>
      <c r="BH39" s="1017"/>
      <c r="BI39" s="1017"/>
      <c r="BK39" s="1021" t="str">
        <f t="shared" ref="BK39:BL39" si="24">BH9</f>
        <v/>
      </c>
      <c r="BL39" s="1022" t="str">
        <f t="shared" si="24"/>
        <v/>
      </c>
    </row>
    <row r="40" spans="1:64" x14ac:dyDescent="0.3">
      <c r="A40" s="1569"/>
      <c r="B40" s="920"/>
      <c r="C40" s="995"/>
      <c r="D40" s="920"/>
      <c r="E40" s="920"/>
      <c r="F40" s="920"/>
      <c r="G40" s="920"/>
      <c r="H40" s="920"/>
      <c r="I40" s="1569"/>
      <c r="J40" s="995"/>
      <c r="K40" s="920"/>
      <c r="L40" s="920"/>
      <c r="M40" s="920"/>
      <c r="N40" s="995"/>
      <c r="O40" s="920"/>
      <c r="P40" s="920"/>
      <c r="Q40" s="920"/>
      <c r="R40" s="920"/>
      <c r="S40" s="920"/>
      <c r="T40" s="1000"/>
      <c r="X40" s="1464"/>
      <c r="Y40" s="826" t="s">
        <v>8436</v>
      </c>
      <c r="Z40" s="836" t="e">
        <f>SEARCH(" ",W$4,AB39+1)+1</f>
        <v>#VALUE!</v>
      </c>
      <c r="AA40" s="306"/>
      <c r="AB40" s="306" t="e">
        <f>Z40+AC40</f>
        <v>#VALUE!</v>
      </c>
      <c r="AC40" s="306">
        <v>10</v>
      </c>
      <c r="AD40" s="827" t="e">
        <f>DATEVALUE(MID(W$4,Z40,AC40))</f>
        <v>#VALUE!</v>
      </c>
      <c r="AE40" s="828" t="str">
        <f>IF(AA38=" за период",AD40,"")</f>
        <v/>
      </c>
      <c r="AF40" s="1017"/>
      <c r="AG40" s="1017"/>
      <c r="AL40" s="1464"/>
      <c r="AM40" s="826" t="s">
        <v>8436</v>
      </c>
      <c r="AN40" s="836" t="e">
        <f>SEARCH(" ",AK$4,AP39+1)+1</f>
        <v>#VALUE!</v>
      </c>
      <c r="AO40" s="306"/>
      <c r="AP40" s="306" t="e">
        <f>AN40+AQ40</f>
        <v>#VALUE!</v>
      </c>
      <c r="AQ40" s="306">
        <v>10</v>
      </c>
      <c r="AR40" s="827" t="e">
        <f>DATEVALUE(MID(AK$4,AN40,AQ40))</f>
        <v>#VALUE!</v>
      </c>
      <c r="AS40" s="828" t="str">
        <f>IF(AO38=" за период",AR40,"")</f>
        <v/>
      </c>
      <c r="AT40" s="1017"/>
      <c r="AU40" s="1017"/>
      <c r="AZ40" s="1464"/>
      <c r="BA40" s="826" t="s">
        <v>8436</v>
      </c>
      <c r="BB40" s="836" t="e">
        <f>SEARCH(" ",AY$4,BD39+1)+1</f>
        <v>#VALUE!</v>
      </c>
      <c r="BC40" s="306"/>
      <c r="BD40" s="306" t="e">
        <f>BB40+BE40</f>
        <v>#VALUE!</v>
      </c>
      <c r="BE40" s="306">
        <v>10</v>
      </c>
      <c r="BF40" s="827" t="e">
        <f>DATEVALUE(MID(AY$4,BB40,BE40))</f>
        <v>#VALUE!</v>
      </c>
      <c r="BG40" s="828" t="str">
        <f>IF(BC38=" за период",BF40,"")</f>
        <v/>
      </c>
      <c r="BH40" s="1017"/>
      <c r="BI40" s="1017"/>
      <c r="BK40" s="1021" t="str">
        <f t="shared" ref="BK40:BL40" si="25">BH10</f>
        <v/>
      </c>
      <c r="BL40" s="1022" t="str">
        <f t="shared" si="25"/>
        <v/>
      </c>
    </row>
    <row r="41" spans="1:64" x14ac:dyDescent="0.3">
      <c r="A41" s="1569"/>
      <c r="B41" s="920"/>
      <c r="C41" s="995"/>
      <c r="D41" s="920"/>
      <c r="E41" s="920"/>
      <c r="F41" s="920"/>
      <c r="G41" s="920"/>
      <c r="H41" s="920"/>
      <c r="I41" s="1569"/>
      <c r="J41" s="995"/>
      <c r="K41" s="920"/>
      <c r="L41" s="920"/>
      <c r="M41" s="920"/>
      <c r="N41" s="995"/>
      <c r="O41" s="920"/>
      <c r="P41" s="920"/>
      <c r="Q41" s="920"/>
      <c r="R41" s="920"/>
      <c r="S41" s="920"/>
      <c r="T41" s="1000"/>
      <c r="X41" s="1464"/>
      <c r="Y41" s="826"/>
      <c r="Z41" s="836"/>
      <c r="AA41" s="306" t="str">
        <f>IF(AB41=IFERROR(SEARCH(".",W$4,AB40),99999),".",
IF(AB41=IFERROR(SEARCH(",",W$4,AB40),99999),",",
IF(AB41=IFERROR(SEARCH(" за период",W$4,AB40),999999)," за период",
IF(AB41=IFERROR(SEARCH(" в размере",W$4,AB40),99999)," в размере",
))))</f>
        <v>.</v>
      </c>
      <c r="AB41" s="306">
        <f>MIN(
IFERROR(SEARCH(".",W$4,AB40),99999),
IFERROR(SEARCH(",",W$4,AB40),99999),
IFERROR(SEARCH(" в размере",W$4,AB40),99999))</f>
        <v>99999</v>
      </c>
      <c r="AC41" s="306"/>
      <c r="AD41" s="827"/>
      <c r="AE41" s="829"/>
      <c r="AF41" s="1016"/>
      <c r="AG41" s="1016"/>
      <c r="AL41" s="1464"/>
      <c r="AM41" s="826"/>
      <c r="AN41" s="836"/>
      <c r="AO41" s="306" t="str">
        <f>IF(AP41=IFERROR(SEARCH(".",AK$4,AP40),99999),".",
IF(AP41=IFERROR(SEARCH(",",AK$4,AP40),99999),",",
IF(AP41=IFERROR(SEARCH(" за период",AK$4,AP40),999999)," за период",
IF(AP41=IFERROR(SEARCH(" в размере",AK$4,AP40),99999)," в размере",
))))</f>
        <v>.</v>
      </c>
      <c r="AP41" s="306">
        <f>MIN(
IFERROR(SEARCH(".",AK$4,AP40),99999),
IFERROR(SEARCH(",",AK$4,AP40),99999),
IFERROR(SEARCH(" в размере",AK$4,AP40),99999))</f>
        <v>99999</v>
      </c>
      <c r="AQ41" s="306"/>
      <c r="AR41" s="827"/>
      <c r="AS41" s="829"/>
      <c r="AT41" s="1016"/>
      <c r="AU41" s="1016"/>
      <c r="AZ41" s="1464"/>
      <c r="BA41" s="826"/>
      <c r="BB41" s="836"/>
      <c r="BC41" s="306" t="str">
        <f>IF(BD41=IFERROR(SEARCH(".",AY$4,BD40),99999),".",
IF(BD41=IFERROR(SEARCH(",",AY$4,BD40),99999),",",
IF(BD41=IFERROR(SEARCH(" за период",AY$4,BD40),999999)," за период",
IF(BD41=IFERROR(SEARCH(" в размере",AY$4,BD40),99999)," в размере",
))))</f>
        <v>.</v>
      </c>
      <c r="BD41" s="306">
        <f>MIN(
IFERROR(SEARCH(".",AY$4,BD40),99999),
IFERROR(SEARCH(",",AY$4,BD40),99999),
IFERROR(SEARCH(" в размере",AY$4,BD40),99999))</f>
        <v>99999</v>
      </c>
      <c r="BE41" s="306"/>
      <c r="BF41" s="827"/>
      <c r="BG41" s="829"/>
      <c r="BH41" s="1016"/>
      <c r="BI41" s="1016"/>
      <c r="BK41" s="1021" t="str">
        <f t="shared" ref="BK41:BL41" si="26">BH11</f>
        <v/>
      </c>
      <c r="BL41" s="1022" t="str">
        <f t="shared" si="26"/>
        <v/>
      </c>
    </row>
    <row r="42" spans="1:64" x14ac:dyDescent="0.3">
      <c r="A42" s="1569"/>
      <c r="B42" s="920"/>
      <c r="C42" s="995"/>
      <c r="D42" s="920"/>
      <c r="E42" s="920"/>
      <c r="F42" s="920"/>
      <c r="G42" s="920"/>
      <c r="H42" s="920"/>
      <c r="I42" s="1569"/>
      <c r="J42" s="995"/>
      <c r="K42" s="920"/>
      <c r="L42" s="920"/>
      <c r="M42" s="920"/>
      <c r="N42" s="995"/>
      <c r="O42" s="920"/>
      <c r="P42" s="920"/>
      <c r="Q42" s="920"/>
      <c r="R42" s="920"/>
      <c r="S42" s="920"/>
      <c r="T42" s="1000"/>
      <c r="X42" s="1464"/>
      <c r="Y42" s="835" t="s">
        <v>8249</v>
      </c>
      <c r="Z42" s="836" t="e">
        <f>SEARCH(" в размере",W$4,AB38)+LEN(" в размере")+1</f>
        <v>#VALUE!</v>
      </c>
      <c r="AA42" s="306" t="s">
        <v>8234</v>
      </c>
      <c r="AB42" s="306" t="e">
        <f>SEARCH(AA42,W$4,Z42)</f>
        <v>#VALUE!</v>
      </c>
      <c r="AC42" s="306" t="e">
        <f>AB42-Z42</f>
        <v>#VALUE!</v>
      </c>
      <c r="AD42" s="826" t="e">
        <f>IF(AE38="Штраф 50%","",MID(W$4,Z42,AC42))</f>
        <v>#VALUE!</v>
      </c>
      <c r="AE42" s="829"/>
      <c r="AF42" s="1016"/>
      <c r="AG42" s="1016"/>
      <c r="AL42" s="1464"/>
      <c r="AM42" s="835" t="s">
        <v>8249</v>
      </c>
      <c r="AN42" s="836" t="e">
        <f>SEARCH(" в размере",AK$4,AP38)+LEN(" в размере")+1</f>
        <v>#VALUE!</v>
      </c>
      <c r="AO42" s="306" t="s">
        <v>8234</v>
      </c>
      <c r="AP42" s="306" t="e">
        <f>SEARCH(AO42,AK$4,AN42)</f>
        <v>#VALUE!</v>
      </c>
      <c r="AQ42" s="306" t="e">
        <f>AP42-AN42</f>
        <v>#VALUE!</v>
      </c>
      <c r="AR42" s="826" t="e">
        <f>IF(AS38="Штраф 50%","",MID(AK$4,AN42,AQ42))</f>
        <v>#VALUE!</v>
      </c>
      <c r="AS42" s="829"/>
      <c r="AT42" s="1016"/>
      <c r="AU42" s="1016"/>
      <c r="AZ42" s="1464"/>
      <c r="BA42" s="835" t="s">
        <v>8249</v>
      </c>
      <c r="BB42" s="836" t="e">
        <f>SEARCH(" в размере",AY$4,BD38)+LEN(" в размере")+1</f>
        <v>#VALUE!</v>
      </c>
      <c r="BC42" s="306" t="s">
        <v>8234</v>
      </c>
      <c r="BD42" s="306" t="e">
        <f>SEARCH(BC42,AY$4,BB42)</f>
        <v>#VALUE!</v>
      </c>
      <c r="BE42" s="306" t="e">
        <f>BD42-BB42</f>
        <v>#VALUE!</v>
      </c>
      <c r="BF42" s="826" t="e">
        <f>IF(BG38="Штраф 50%","",MID(AY$4,BB42,BE42))</f>
        <v>#VALUE!</v>
      </c>
      <c r="BG42" s="829"/>
      <c r="BH42" s="1016"/>
      <c r="BI42" s="1016"/>
      <c r="BK42" s="1021" t="str">
        <f t="shared" ref="BK42:BL42" si="27">BH12</f>
        <v/>
      </c>
      <c r="BL42" s="1022" t="str">
        <f t="shared" si="27"/>
        <v/>
      </c>
    </row>
    <row r="43" spans="1:64" x14ac:dyDescent="0.3">
      <c r="A43" s="1569"/>
      <c r="B43" s="920"/>
      <c r="C43" s="995"/>
      <c r="D43" s="920"/>
      <c r="E43" s="920"/>
      <c r="F43" s="920"/>
      <c r="G43" s="920"/>
      <c r="H43" s="920"/>
      <c r="I43" s="1569"/>
      <c r="J43" s="995"/>
      <c r="K43" s="920"/>
      <c r="L43" s="920"/>
      <c r="M43" s="920"/>
      <c r="N43" s="995"/>
      <c r="O43" s="920"/>
      <c r="P43" s="920"/>
      <c r="Q43" s="920"/>
      <c r="R43" s="920"/>
      <c r="S43" s="920"/>
      <c r="T43" s="1000"/>
      <c r="X43" s="1464"/>
      <c r="Y43" s="401"/>
      <c r="Z43" s="836" t="e">
        <f>SEARCH(" ",W$4,SEARCH("руб",W$4,AB42))+1</f>
        <v>#VALUE!</v>
      </c>
      <c r="AA43" s="306" t="s">
        <v>8432</v>
      </c>
      <c r="AB43" s="306" t="e">
        <f>SEARCH(AA43,W$4,Z43)</f>
        <v>#VALUE!</v>
      </c>
      <c r="AC43" s="306" t="e">
        <f>AB43-Z43</f>
        <v>#VALUE!</v>
      </c>
      <c r="AD43" s="826" t="e">
        <f>IF(AE38="Штраф 50%","",MID(W$4,Z43,AC43))</f>
        <v>#VALUE!</v>
      </c>
      <c r="AE43" s="829"/>
      <c r="AF43" s="1016"/>
      <c r="AG43" s="1016"/>
      <c r="AL43" s="1464"/>
      <c r="AM43" s="401"/>
      <c r="AN43" s="836" t="e">
        <f>SEARCH(" ",AK$4,SEARCH("руб",AK$4,AP42))+1</f>
        <v>#VALUE!</v>
      </c>
      <c r="AO43" s="306" t="s">
        <v>8432</v>
      </c>
      <c r="AP43" s="306" t="e">
        <f>SEARCH(AO43,AK$4,AN43)</f>
        <v>#VALUE!</v>
      </c>
      <c r="AQ43" s="306" t="e">
        <f>AP43-AN43</f>
        <v>#VALUE!</v>
      </c>
      <c r="AR43" s="826" t="e">
        <f>IF(AS38="Штраф 50%","",MID(AK$4,AN43,AQ43))</f>
        <v>#VALUE!</v>
      </c>
      <c r="AS43" s="829"/>
      <c r="AT43" s="1016"/>
      <c r="AU43" s="1016"/>
      <c r="AZ43" s="1464"/>
      <c r="BA43" s="401"/>
      <c r="BB43" s="836" t="e">
        <f>SEARCH(" ",AY$4,SEARCH("руб",AY$4,BD42))+1</f>
        <v>#VALUE!</v>
      </c>
      <c r="BC43" s="306" t="s">
        <v>8432</v>
      </c>
      <c r="BD43" s="306" t="e">
        <f>SEARCH(BC43,AY$4,BB43)</f>
        <v>#VALUE!</v>
      </c>
      <c r="BE43" s="306" t="e">
        <f>BD43-BB43</f>
        <v>#VALUE!</v>
      </c>
      <c r="BF43" s="826" t="e">
        <f>IF(BG38="Штраф 50%","",MID(AY$4,BB43,BE43))</f>
        <v>#VALUE!</v>
      </c>
      <c r="BG43" s="829"/>
      <c r="BH43" s="1016"/>
      <c r="BI43" s="1016"/>
      <c r="BK43" s="1021" t="str">
        <f t="shared" ref="BK43:BL43" si="28">BH13</f>
        <v/>
      </c>
      <c r="BL43" s="1022" t="str">
        <f t="shared" si="28"/>
        <v/>
      </c>
    </row>
    <row r="44" spans="1:64" ht="15" thickBot="1" x14ac:dyDescent="0.35">
      <c r="A44" s="1569"/>
      <c r="B44" s="920"/>
      <c r="C44" s="995"/>
      <c r="D44" s="920"/>
      <c r="E44" s="920"/>
      <c r="F44" s="920"/>
      <c r="G44" s="920"/>
      <c r="H44" s="920"/>
      <c r="I44" s="1569"/>
      <c r="J44" s="995"/>
      <c r="K44" s="920"/>
      <c r="L44" s="920"/>
      <c r="M44" s="920"/>
      <c r="N44" s="995"/>
      <c r="O44" s="920"/>
      <c r="P44" s="920"/>
      <c r="Q44" s="920"/>
      <c r="R44" s="920"/>
      <c r="S44" s="920"/>
      <c r="T44" s="1000"/>
      <c r="X44" s="1465"/>
      <c r="Y44" s="583"/>
      <c r="Z44" s="837"/>
      <c r="AA44" s="583"/>
      <c r="AB44" s="583"/>
      <c r="AC44" s="583"/>
      <c r="AD44" s="831" t="e">
        <f>VALUE(CONCATENATE(AD42,",",AD43))</f>
        <v>#VALUE!</v>
      </c>
      <c r="AE44" s="832" t="str">
        <f>IF(AE38="Штраф 50%","",IF(OR(AA41=" в размере",AA38=" в размере"),AD44,""))</f>
        <v/>
      </c>
      <c r="AF44" s="1018"/>
      <c r="AG44" s="1018"/>
      <c r="AL44" s="1465"/>
      <c r="AM44" s="583"/>
      <c r="AN44" s="837"/>
      <c r="AO44" s="583"/>
      <c r="AP44" s="583"/>
      <c r="AQ44" s="583"/>
      <c r="AR44" s="831" t="e">
        <f>VALUE(CONCATENATE(AR42,",",AR43))</f>
        <v>#VALUE!</v>
      </c>
      <c r="AS44" s="832" t="str">
        <f>IF(AS38="Штраф 50%","",IF(OR(AO41=" в размере",AO38=" в размере"),AR44,""))</f>
        <v/>
      </c>
      <c r="AT44" s="1018"/>
      <c r="AU44" s="1018"/>
      <c r="AZ44" s="1465"/>
      <c r="BA44" s="583"/>
      <c r="BB44" s="837"/>
      <c r="BC44" s="583"/>
      <c r="BD44" s="583"/>
      <c r="BE44" s="583"/>
      <c r="BF44" s="831" t="e">
        <f>VALUE(CONCATENATE(BF42,",",BF43))</f>
        <v>#VALUE!</v>
      </c>
      <c r="BG44" s="832" t="str">
        <f>IF(BG38="Штраф 50%","",IF(OR(BC41=" в размере",BC38=" в размере"),BF44,""))</f>
        <v/>
      </c>
      <c r="BH44" s="1018"/>
      <c r="BI44" s="1018"/>
      <c r="BK44" s="1021" t="str">
        <f t="shared" ref="BK44:BL44" si="29">BH14</f>
        <v/>
      </c>
      <c r="BL44" s="1022" t="str">
        <f t="shared" si="29"/>
        <v/>
      </c>
    </row>
    <row r="45" spans="1:64" ht="15" thickTop="1" x14ac:dyDescent="0.3">
      <c r="A45" s="1569"/>
      <c r="B45" s="920"/>
      <c r="C45" s="995"/>
      <c r="D45" s="920"/>
      <c r="E45" s="920"/>
      <c r="F45" s="920"/>
      <c r="G45" s="920"/>
      <c r="H45" s="920"/>
      <c r="I45" s="1569"/>
      <c r="J45" s="995"/>
      <c r="K45" s="920"/>
      <c r="L45" s="920"/>
      <c r="M45" s="920"/>
      <c r="N45" s="995"/>
      <c r="O45" s="920"/>
      <c r="P45" s="920"/>
      <c r="Q45" s="920"/>
      <c r="R45" s="920"/>
      <c r="S45" s="920"/>
      <c r="T45" s="1000"/>
      <c r="X45" s="1463">
        <v>7</v>
      </c>
      <c r="Y45" s="824" t="s">
        <v>8433</v>
      </c>
      <c r="Z45" s="838" t="e">
        <f>SEARCH(U$4,W$4,AB38)+LEN(U$4)</f>
        <v>#VALUE!</v>
      </c>
      <c r="AA45" s="406" t="str">
        <f>IF(AB45=IFERROR(SEARCH(".",W$4,Z45),99999),".",
IF(AB45=IFERROR(SEARCH(",",W$4,Z45),99999),",",
IF(AB45=IFERROR(SEARCH(" за период",W$4,Z45),999999)," за период",
IF(AB45=IFERROR(SEARCH(" в размере",W$4,Z45),99999)," в размере",
))))</f>
        <v>.</v>
      </c>
      <c r="AB45" s="406">
        <f>IFERROR(MIN(IFERROR(SEARCH(".",W$4,Z45),99999),IFERROR(SEARCH(",",W$4,Z45),99999),IFERROR(SEARCH(" за период",W$4,Z45),999999),IFERROR(SEARCH(" в размере",W$4,Z45),99999)),"ОШИБКА")</f>
        <v>99999</v>
      </c>
      <c r="AC45" s="406" t="e">
        <f>AB45-Z45</f>
        <v>#VALUE!</v>
      </c>
      <c r="AD45" s="824" t="e">
        <f>MID(W$4,Z45,AC45)</f>
        <v>#VALUE!</v>
      </c>
      <c r="AE45" s="825" t="str">
        <f>IFERROR(INDEX($EL:$EL,MATCH(MID(W$4,Z45,AC45),$EK:$EK,0),1),"")</f>
        <v/>
      </c>
      <c r="AF45" s="1016"/>
      <c r="AG45" s="1016"/>
      <c r="AH45" s="754"/>
      <c r="AL45" s="1463">
        <v>7</v>
      </c>
      <c r="AM45" s="824" t="s">
        <v>8433</v>
      </c>
      <c r="AN45" s="838" t="e">
        <f>SEARCH(AI$4,AK$4,AP38)+LEN(AI$4)</f>
        <v>#VALUE!</v>
      </c>
      <c r="AO45" s="406" t="str">
        <f>IF(AP45=IFERROR(SEARCH(".",AK$4,AN45),99999),".",
IF(AP45=IFERROR(SEARCH(",",AK$4,AN45),99999),",",
IF(AP45=IFERROR(SEARCH(" за период",AK$4,AN45),999999)," за период",
IF(AP45=IFERROR(SEARCH(" в размере",AK$4,AN45),99999)," в размере",
))))</f>
        <v>.</v>
      </c>
      <c r="AP45" s="406">
        <f>IFERROR(MIN(IFERROR(SEARCH(".",AK$4,AN45),99999),IFERROR(SEARCH(",",AK$4,AN45),99999),IFERROR(SEARCH(" за период",AK$4,AN45),999999),IFERROR(SEARCH(" в размере",AK$4,AN45),99999)),"ОШИБКА")</f>
        <v>99999</v>
      </c>
      <c r="AQ45" s="406" t="e">
        <f>AP45-AN45</f>
        <v>#VALUE!</v>
      </c>
      <c r="AR45" s="824" t="e">
        <f>MID(AK$4,AN45,AQ45)</f>
        <v>#VALUE!</v>
      </c>
      <c r="AS45" s="825" t="str">
        <f>IFERROR(INDEX($EL:$EL,MATCH(MID(AK$4,AN45,AQ45),$EK:$EK,0),1),"")</f>
        <v/>
      </c>
      <c r="AT45" s="1016"/>
      <c r="AU45" s="1016"/>
      <c r="AV45" s="754"/>
      <c r="AZ45" s="1463">
        <v>7</v>
      </c>
      <c r="BA45" s="824" t="s">
        <v>8433</v>
      </c>
      <c r="BB45" s="838" t="e">
        <f>SEARCH(AW$4,AY$4,BD38)+LEN(AW$4)</f>
        <v>#VALUE!</v>
      </c>
      <c r="BC45" s="406" t="str">
        <f>IF(BD45=IFERROR(SEARCH(".",AY$4,BB45),99999),".",
IF(BD45=IFERROR(SEARCH(",",AY$4,BB45),99999),",",
IF(BD45=IFERROR(SEARCH(" за период",AY$4,BB45),999999)," за период",
IF(BD45=IFERROR(SEARCH(" в размере",AY$4,BB45),99999)," в размере",
))))</f>
        <v>.</v>
      </c>
      <c r="BD45" s="406">
        <f>IFERROR(MIN(IFERROR(SEARCH(".",AY$4,BB45),99999),IFERROR(SEARCH(",",AY$4,BB45),99999),IFERROR(SEARCH(" за период",AY$4,BB45),999999),IFERROR(SEARCH(" в размере",AY$4,BB45),99999)),"ОШИБКА")</f>
        <v>99999</v>
      </c>
      <c r="BE45" s="406" t="e">
        <f>BD45-BB45</f>
        <v>#VALUE!</v>
      </c>
      <c r="BF45" s="824" t="e">
        <f>MID(AY$4,BB45,BE45)</f>
        <v>#VALUE!</v>
      </c>
      <c r="BG45" s="825" t="str">
        <f>IFERROR(INDEX($EL:$EL,MATCH(MID(AY$4,BB45,BE45),$EK:$EK,0),1),"")</f>
        <v/>
      </c>
      <c r="BH45" s="1016"/>
      <c r="BI45" s="1016"/>
      <c r="BJ45" s="754"/>
      <c r="BK45" s="1021" t="str">
        <f t="shared" ref="BK45:BL45" si="30">BH15</f>
        <v/>
      </c>
      <c r="BL45" s="1022" t="str">
        <f t="shared" si="30"/>
        <v/>
      </c>
    </row>
    <row r="46" spans="1:64" x14ac:dyDescent="0.3">
      <c r="A46" s="1569"/>
      <c r="B46" s="920"/>
      <c r="C46" s="995"/>
      <c r="D46" s="920"/>
      <c r="E46" s="920"/>
      <c r="F46" s="920"/>
      <c r="G46" s="920"/>
      <c r="H46" s="920"/>
      <c r="I46" s="1569"/>
      <c r="J46" s="995"/>
      <c r="K46" s="920"/>
      <c r="L46" s="920"/>
      <c r="M46" s="920"/>
      <c r="N46" s="995"/>
      <c r="O46" s="920"/>
      <c r="P46" s="920"/>
      <c r="Q46" s="920"/>
      <c r="R46" s="920"/>
      <c r="S46" s="920"/>
      <c r="T46" s="1000"/>
      <c r="X46" s="1464"/>
      <c r="Y46" s="826" t="s">
        <v>8435</v>
      </c>
      <c r="Z46" s="836" t="str">
        <f>IF(AA45=" за период",SEARCH(" за период",W$4,AB45)+LEN(" за период")+3,"НЕТ")</f>
        <v>НЕТ</v>
      </c>
      <c r="AA46" s="306" t="s">
        <v>8434</v>
      </c>
      <c r="AB46" s="306" t="e">
        <f>SEARCH(AA46,W$4,Z46)</f>
        <v>#VALUE!</v>
      </c>
      <c r="AC46" s="306" t="e">
        <f>AB46-Z46</f>
        <v>#VALUE!</v>
      </c>
      <c r="AD46" s="827" t="e">
        <f>DATEVALUE(MID(W$4,Z46,AC46))</f>
        <v>#VALUE!</v>
      </c>
      <c r="AE46" s="828" t="str">
        <f>IF(AA45=" за период",AD46,"")</f>
        <v/>
      </c>
      <c r="AF46" s="1017"/>
      <c r="AG46" s="1017"/>
      <c r="AL46" s="1464"/>
      <c r="AM46" s="826" t="s">
        <v>8435</v>
      </c>
      <c r="AN46" s="836" t="str">
        <f>IF(AO45=" за период",SEARCH(" за период",AK$4,AP45)+LEN(" за период")+3,"НЕТ")</f>
        <v>НЕТ</v>
      </c>
      <c r="AO46" s="306" t="s">
        <v>8434</v>
      </c>
      <c r="AP46" s="306" t="e">
        <f>SEARCH(AO46,AK$4,AN46)</f>
        <v>#VALUE!</v>
      </c>
      <c r="AQ46" s="306" t="e">
        <f>AP46-AN46</f>
        <v>#VALUE!</v>
      </c>
      <c r="AR46" s="827" t="e">
        <f>DATEVALUE(MID(AK$4,AN46,AQ46))</f>
        <v>#VALUE!</v>
      </c>
      <c r="AS46" s="828" t="str">
        <f>IF(AO45=" за период",AR46,"")</f>
        <v/>
      </c>
      <c r="AT46" s="1017"/>
      <c r="AU46" s="1017"/>
      <c r="AZ46" s="1464"/>
      <c r="BA46" s="826" t="s">
        <v>8435</v>
      </c>
      <c r="BB46" s="836" t="str">
        <f>IF(BC45=" за период",SEARCH(" за период",AY$4,BD45)+LEN(" за период")+3,"НЕТ")</f>
        <v>НЕТ</v>
      </c>
      <c r="BC46" s="306" t="s">
        <v>8434</v>
      </c>
      <c r="BD46" s="306" t="e">
        <f>SEARCH(BC46,AY$4,BB46)</f>
        <v>#VALUE!</v>
      </c>
      <c r="BE46" s="306" t="e">
        <f>BD46-BB46</f>
        <v>#VALUE!</v>
      </c>
      <c r="BF46" s="827" t="e">
        <f>DATEVALUE(MID(AY$4,BB46,BE46))</f>
        <v>#VALUE!</v>
      </c>
      <c r="BG46" s="828" t="str">
        <f>IF(BC45=" за период",BF46,"")</f>
        <v/>
      </c>
      <c r="BH46" s="1017"/>
      <c r="BI46" s="1017"/>
      <c r="BK46" s="1021" t="str">
        <f t="shared" ref="BK46:BL46" si="31">BH16</f>
        <v/>
      </c>
      <c r="BL46" s="1022" t="str">
        <f t="shared" si="31"/>
        <v/>
      </c>
    </row>
    <row r="47" spans="1:64" x14ac:dyDescent="0.3">
      <c r="A47" s="1569"/>
      <c r="B47" s="920"/>
      <c r="C47" s="995"/>
      <c r="D47" s="920"/>
      <c r="E47" s="920"/>
      <c r="F47" s="920"/>
      <c r="G47" s="920"/>
      <c r="H47" s="920"/>
      <c r="I47" s="1569"/>
      <c r="J47" s="995"/>
      <c r="K47" s="920"/>
      <c r="L47" s="920"/>
      <c r="M47" s="920"/>
      <c r="N47" s="995"/>
      <c r="O47" s="920"/>
      <c r="P47" s="920"/>
      <c r="Q47" s="920"/>
      <c r="R47" s="920"/>
      <c r="S47" s="920"/>
      <c r="T47" s="1000"/>
      <c r="X47" s="1464"/>
      <c r="Y47" s="826" t="s">
        <v>8436</v>
      </c>
      <c r="Z47" s="836" t="e">
        <f>SEARCH(" ",W$4,AB46+1)+1</f>
        <v>#VALUE!</v>
      </c>
      <c r="AA47" s="306"/>
      <c r="AB47" s="306" t="e">
        <f>Z47+AC47</f>
        <v>#VALUE!</v>
      </c>
      <c r="AC47" s="306">
        <v>10</v>
      </c>
      <c r="AD47" s="827" t="e">
        <f>DATEVALUE(MID(W$4,Z47,AC47))</f>
        <v>#VALUE!</v>
      </c>
      <c r="AE47" s="828" t="str">
        <f>IF(AA45=" за период",AD47,"")</f>
        <v/>
      </c>
      <c r="AF47" s="1017"/>
      <c r="AG47" s="1017"/>
      <c r="AL47" s="1464"/>
      <c r="AM47" s="826" t="s">
        <v>8436</v>
      </c>
      <c r="AN47" s="836" t="e">
        <f>SEARCH(" ",AK$4,AP46+1)+1</f>
        <v>#VALUE!</v>
      </c>
      <c r="AO47" s="306"/>
      <c r="AP47" s="306" t="e">
        <f>AN47+AQ47</f>
        <v>#VALUE!</v>
      </c>
      <c r="AQ47" s="306">
        <v>10</v>
      </c>
      <c r="AR47" s="827" t="e">
        <f>DATEVALUE(MID(AK$4,AN47,AQ47))</f>
        <v>#VALUE!</v>
      </c>
      <c r="AS47" s="828" t="str">
        <f>IF(AO45=" за период",AR47,"")</f>
        <v/>
      </c>
      <c r="AT47" s="1017"/>
      <c r="AU47" s="1017"/>
      <c r="AZ47" s="1464"/>
      <c r="BA47" s="826" t="s">
        <v>8436</v>
      </c>
      <c r="BB47" s="836" t="e">
        <f>SEARCH(" ",AY$4,BD46+1)+1</f>
        <v>#VALUE!</v>
      </c>
      <c r="BC47" s="306"/>
      <c r="BD47" s="306" t="e">
        <f>BB47+BE47</f>
        <v>#VALUE!</v>
      </c>
      <c r="BE47" s="306">
        <v>10</v>
      </c>
      <c r="BF47" s="827" t="e">
        <f>DATEVALUE(MID(AY$4,BB47,BE47))</f>
        <v>#VALUE!</v>
      </c>
      <c r="BG47" s="828" t="str">
        <f>IF(BC45=" за период",BF47,"")</f>
        <v/>
      </c>
      <c r="BH47" s="1017"/>
      <c r="BI47" s="1017"/>
      <c r="BK47" s="1021" t="str">
        <f t="shared" ref="BK47:BL47" si="32">BH17</f>
        <v/>
      </c>
      <c r="BL47" s="1022" t="str">
        <f t="shared" si="32"/>
        <v/>
      </c>
    </row>
    <row r="48" spans="1:64" x14ac:dyDescent="0.3">
      <c r="A48" s="1569"/>
      <c r="B48" s="920"/>
      <c r="C48" s="995"/>
      <c r="D48" s="920"/>
      <c r="E48" s="920"/>
      <c r="F48" s="920"/>
      <c r="G48" s="920"/>
      <c r="H48" s="920"/>
      <c r="I48" s="1569"/>
      <c r="J48" s="995"/>
      <c r="K48" s="920"/>
      <c r="L48" s="920"/>
      <c r="M48" s="920"/>
      <c r="N48" s="995"/>
      <c r="O48" s="920"/>
      <c r="P48" s="920"/>
      <c r="Q48" s="920"/>
      <c r="R48" s="920"/>
      <c r="S48" s="920"/>
      <c r="T48" s="1000"/>
      <c r="X48" s="1464"/>
      <c r="Y48" s="826"/>
      <c r="Z48" s="836"/>
      <c r="AA48" s="306" t="str">
        <f>IF(AB48=IFERROR(SEARCH(".",W$4,AB47),99999),".",
IF(AB48=IFERROR(SEARCH(",",W$4,AB47),99999),",",
IF(AB48=IFERROR(SEARCH(" за период",W$4,AB47),999999)," за период",
IF(AB48=IFERROR(SEARCH(" в размере",W$4,AB47),99999)," в размере",
))))</f>
        <v>.</v>
      </c>
      <c r="AB48" s="306">
        <f>MIN(
IFERROR(SEARCH(".",W$4,AB47),99999),
IFERROR(SEARCH(",",W$4,AB47),99999),
IFERROR(SEARCH(" в размере",W$4,AB47),99999))</f>
        <v>99999</v>
      </c>
      <c r="AC48" s="306"/>
      <c r="AD48" s="827"/>
      <c r="AE48" s="829"/>
      <c r="AF48" s="1016"/>
      <c r="AG48" s="1016"/>
      <c r="AL48" s="1464"/>
      <c r="AM48" s="826"/>
      <c r="AN48" s="836"/>
      <c r="AO48" s="306" t="str">
        <f>IF(AP48=IFERROR(SEARCH(".",AK$4,AP47),99999),".",
IF(AP48=IFERROR(SEARCH(",",AK$4,AP47),99999),",",
IF(AP48=IFERROR(SEARCH(" за период",AK$4,AP47),999999)," за период",
IF(AP48=IFERROR(SEARCH(" в размере",AK$4,AP47),99999)," в размере",
))))</f>
        <v>.</v>
      </c>
      <c r="AP48" s="306">
        <f>MIN(
IFERROR(SEARCH(".",AK$4,AP47),99999),
IFERROR(SEARCH(",",AK$4,AP47),99999),
IFERROR(SEARCH(" в размере",AK$4,AP47),99999))</f>
        <v>99999</v>
      </c>
      <c r="AQ48" s="306"/>
      <c r="AR48" s="827"/>
      <c r="AS48" s="829"/>
      <c r="AT48" s="1016"/>
      <c r="AU48" s="1016"/>
      <c r="AZ48" s="1464"/>
      <c r="BA48" s="826"/>
      <c r="BB48" s="836"/>
      <c r="BC48" s="306" t="str">
        <f>IF(BD48=IFERROR(SEARCH(".",AY$4,BD47),99999),".",
IF(BD48=IFERROR(SEARCH(",",AY$4,BD47),99999),",",
IF(BD48=IFERROR(SEARCH(" за период",AY$4,BD47),999999)," за период",
IF(BD48=IFERROR(SEARCH(" в размере",AY$4,BD47),99999)," в размере",
))))</f>
        <v>.</v>
      </c>
      <c r="BD48" s="306">
        <f>MIN(
IFERROR(SEARCH(".",AY$4,BD47),99999),
IFERROR(SEARCH(",",AY$4,BD47),99999),
IFERROR(SEARCH(" в размере",AY$4,BD47),99999))</f>
        <v>99999</v>
      </c>
      <c r="BE48" s="306"/>
      <c r="BF48" s="827"/>
      <c r="BG48" s="829"/>
      <c r="BH48" s="1016"/>
      <c r="BI48" s="1016"/>
      <c r="BK48" s="1016"/>
      <c r="BL48" s="1016"/>
    </row>
    <row r="49" spans="1:64" x14ac:dyDescent="0.3">
      <c r="A49" s="1569"/>
      <c r="B49" s="920"/>
      <c r="C49" s="995"/>
      <c r="D49" s="920"/>
      <c r="E49" s="920"/>
      <c r="F49" s="920"/>
      <c r="G49" s="920"/>
      <c r="H49" s="920"/>
      <c r="I49" s="1569"/>
      <c r="J49" s="995"/>
      <c r="K49" s="920"/>
      <c r="L49" s="920"/>
      <c r="M49" s="920"/>
      <c r="N49" s="995"/>
      <c r="O49" s="920"/>
      <c r="P49" s="920"/>
      <c r="Q49" s="920"/>
      <c r="R49" s="920"/>
      <c r="S49" s="920"/>
      <c r="T49" s="1000"/>
      <c r="X49" s="1464"/>
      <c r="Y49" s="835" t="s">
        <v>8249</v>
      </c>
      <c r="Z49" s="836" t="e">
        <f>SEARCH(" в размере",W$4,AB45)+LEN(" в размере")+1</f>
        <v>#VALUE!</v>
      </c>
      <c r="AA49" s="306" t="s">
        <v>8234</v>
      </c>
      <c r="AB49" s="306" t="e">
        <f>SEARCH(AA49,W$4,Z49)</f>
        <v>#VALUE!</v>
      </c>
      <c r="AC49" s="306" t="e">
        <f>AB49-Z49</f>
        <v>#VALUE!</v>
      </c>
      <c r="AD49" s="826" t="e">
        <f>IF(AE45="Штраф 50%","",MID(W$4,Z49,AC49))</f>
        <v>#VALUE!</v>
      </c>
      <c r="AE49" s="829"/>
      <c r="AF49" s="1016"/>
      <c r="AG49" s="1016"/>
      <c r="AL49" s="1464"/>
      <c r="AM49" s="835" t="s">
        <v>8249</v>
      </c>
      <c r="AN49" s="836" t="e">
        <f>SEARCH(" в размере",AK$4,AP45)+LEN(" в размере")+1</f>
        <v>#VALUE!</v>
      </c>
      <c r="AO49" s="306" t="s">
        <v>8234</v>
      </c>
      <c r="AP49" s="306" t="e">
        <f>SEARCH(AO49,AK$4,AN49)</f>
        <v>#VALUE!</v>
      </c>
      <c r="AQ49" s="306" t="e">
        <f>AP49-AN49</f>
        <v>#VALUE!</v>
      </c>
      <c r="AR49" s="826" t="e">
        <f>IF(AS45="Штраф 50%","",MID(AK$4,AN49,AQ49))</f>
        <v>#VALUE!</v>
      </c>
      <c r="AS49" s="829"/>
      <c r="AT49" s="1016"/>
      <c r="AU49" s="1016"/>
      <c r="AZ49" s="1464"/>
      <c r="BA49" s="835" t="s">
        <v>8249</v>
      </c>
      <c r="BB49" s="836" t="e">
        <f>SEARCH(" в размере",AY$4,BD45)+LEN(" в размере")+1</f>
        <v>#VALUE!</v>
      </c>
      <c r="BC49" s="306" t="s">
        <v>8234</v>
      </c>
      <c r="BD49" s="306" t="e">
        <f>SEARCH(BC49,AY$4,BB49)</f>
        <v>#VALUE!</v>
      </c>
      <c r="BE49" s="306" t="e">
        <f>BD49-BB49</f>
        <v>#VALUE!</v>
      </c>
      <c r="BF49" s="826" t="e">
        <f>IF(BG45="Штраф 50%","",MID(AY$4,BB49,BE49))</f>
        <v>#VALUE!</v>
      </c>
      <c r="BG49" s="829"/>
      <c r="BH49" s="1016"/>
      <c r="BI49" s="1016"/>
      <c r="BK49" s="1016"/>
      <c r="BL49" s="1016"/>
    </row>
    <row r="50" spans="1:64" x14ac:dyDescent="0.3">
      <c r="A50" s="1569"/>
      <c r="B50" s="920"/>
      <c r="C50" s="995"/>
      <c r="D50" s="920"/>
      <c r="E50" s="920"/>
      <c r="F50" s="920"/>
      <c r="G50" s="920"/>
      <c r="H50" s="920"/>
      <c r="I50" s="1569"/>
      <c r="J50" s="995"/>
      <c r="K50" s="920"/>
      <c r="L50" s="920"/>
      <c r="M50" s="920"/>
      <c r="N50" s="995"/>
      <c r="O50" s="920"/>
      <c r="P50" s="920"/>
      <c r="Q50" s="920"/>
      <c r="R50" s="920"/>
      <c r="S50" s="920"/>
      <c r="T50" s="1000"/>
      <c r="X50" s="1464"/>
      <c r="Y50" s="401"/>
      <c r="Z50" s="836" t="e">
        <f>SEARCH(" ",W$4,SEARCH("руб",W$4,AB49))+1</f>
        <v>#VALUE!</v>
      </c>
      <c r="AA50" s="306" t="s">
        <v>8432</v>
      </c>
      <c r="AB50" s="306" t="e">
        <f>SEARCH(AA50,W$4,Z50)</f>
        <v>#VALUE!</v>
      </c>
      <c r="AC50" s="306" t="e">
        <f>AB50-Z50</f>
        <v>#VALUE!</v>
      </c>
      <c r="AD50" s="826" t="e">
        <f>IF(AE45="Штраф 50%","",MID(W$4,Z50,AC50))</f>
        <v>#VALUE!</v>
      </c>
      <c r="AE50" s="829"/>
      <c r="AF50" s="1016"/>
      <c r="AG50" s="1016"/>
      <c r="AL50" s="1464"/>
      <c r="AM50" s="401"/>
      <c r="AN50" s="836" t="e">
        <f>SEARCH(" ",AK$4,SEARCH("руб",AK$4,AP49))+1</f>
        <v>#VALUE!</v>
      </c>
      <c r="AO50" s="306" t="s">
        <v>8432</v>
      </c>
      <c r="AP50" s="306" t="e">
        <f>SEARCH(AO50,AK$4,AN50)</f>
        <v>#VALUE!</v>
      </c>
      <c r="AQ50" s="306" t="e">
        <f>AP50-AN50</f>
        <v>#VALUE!</v>
      </c>
      <c r="AR50" s="826" t="e">
        <f>IF(AS45="Штраф 50%","",MID(AK$4,AN50,AQ50))</f>
        <v>#VALUE!</v>
      </c>
      <c r="AS50" s="829"/>
      <c r="AT50" s="1016"/>
      <c r="AU50" s="1016"/>
      <c r="AZ50" s="1464"/>
      <c r="BA50" s="401"/>
      <c r="BB50" s="836" t="e">
        <f>SEARCH(" ",AY$4,SEARCH("руб",AY$4,BD49))+1</f>
        <v>#VALUE!</v>
      </c>
      <c r="BC50" s="306" t="s">
        <v>8432</v>
      </c>
      <c r="BD50" s="306" t="e">
        <f>SEARCH(BC50,AY$4,BB50)</f>
        <v>#VALUE!</v>
      </c>
      <c r="BE50" s="306" t="e">
        <f>BD50-BB50</f>
        <v>#VALUE!</v>
      </c>
      <c r="BF50" s="826" t="e">
        <f>IF(BG45="Штраф 50%","",MID(AY$4,BB50,BE50))</f>
        <v>#VALUE!</v>
      </c>
      <c r="BG50" s="829"/>
      <c r="BH50" s="1016"/>
      <c r="BI50" s="1016"/>
      <c r="BK50" s="1016"/>
      <c r="BL50" s="1016"/>
    </row>
    <row r="51" spans="1:64" ht="15" thickBot="1" x14ac:dyDescent="0.35">
      <c r="A51" s="1569"/>
      <c r="B51" s="920"/>
      <c r="C51" s="995"/>
      <c r="D51" s="920"/>
      <c r="E51" s="920"/>
      <c r="F51" s="996"/>
      <c r="G51" s="920"/>
      <c r="H51" s="854"/>
      <c r="J51" s="995"/>
      <c r="K51" s="920"/>
      <c r="L51" s="996"/>
      <c r="M51" s="920"/>
      <c r="N51" s="995"/>
      <c r="O51" s="920"/>
      <c r="P51" s="920"/>
      <c r="Q51" s="996"/>
      <c r="R51" s="920"/>
      <c r="S51" s="854"/>
      <c r="X51" s="1465"/>
      <c r="Y51" s="583"/>
      <c r="Z51" s="837"/>
      <c r="AA51" s="583"/>
      <c r="AB51" s="583"/>
      <c r="AC51" s="583"/>
      <c r="AD51" s="831" t="e">
        <f>VALUE(CONCATENATE(AD49,",",AD50))</f>
        <v>#VALUE!</v>
      </c>
      <c r="AE51" s="832" t="str">
        <f>IF(AE45="Штраф 50%","",IF(OR(AA48=" в размере",AA45=" в размере"),AD51,""))</f>
        <v/>
      </c>
      <c r="AF51" s="1018"/>
      <c r="AG51" s="1018"/>
      <c r="AL51" s="1465"/>
      <c r="AM51" s="583"/>
      <c r="AN51" s="837"/>
      <c r="AO51" s="583"/>
      <c r="AP51" s="583"/>
      <c r="AQ51" s="583"/>
      <c r="AR51" s="831" t="e">
        <f>VALUE(CONCATENATE(AR49,",",AR50))</f>
        <v>#VALUE!</v>
      </c>
      <c r="AS51" s="832" t="str">
        <f>IF(AS45="Штраф 50%","",IF(OR(AO48=" в размере",AO45=" в размере"),AR51,""))</f>
        <v/>
      </c>
      <c r="AT51" s="1018"/>
      <c r="AU51" s="1018"/>
      <c r="AZ51" s="1465"/>
      <c r="BA51" s="583"/>
      <c r="BB51" s="837"/>
      <c r="BC51" s="583"/>
      <c r="BD51" s="583"/>
      <c r="BE51" s="583"/>
      <c r="BF51" s="831" t="e">
        <f>VALUE(CONCATENATE(BF49,",",BF50))</f>
        <v>#VALUE!</v>
      </c>
      <c r="BG51" s="832" t="str">
        <f>IF(BG45="Штраф 50%","",IF(OR(BC48=" в размере",BC45=" в размере"),BF51,""))</f>
        <v/>
      </c>
      <c r="BH51" s="1018"/>
      <c r="BI51" s="1018"/>
      <c r="BK51" s="1018"/>
      <c r="BL51" s="1018"/>
    </row>
    <row r="52" spans="1:64" ht="15" thickTop="1" x14ac:dyDescent="0.3">
      <c r="A52" s="1569"/>
      <c r="B52" s="920"/>
      <c r="C52" s="995"/>
      <c r="D52" s="920"/>
      <c r="E52" s="920"/>
      <c r="F52" s="920"/>
      <c r="G52" s="920"/>
      <c r="H52" s="920"/>
      <c r="J52" s="995"/>
      <c r="K52" s="920"/>
      <c r="L52" s="920"/>
      <c r="M52" s="920"/>
      <c r="N52" s="995"/>
      <c r="O52" s="920"/>
      <c r="P52" s="920"/>
      <c r="Q52" s="920"/>
      <c r="R52" s="920"/>
      <c r="S52" s="920"/>
      <c r="X52" s="1463">
        <v>8</v>
      </c>
      <c r="Y52" s="824" t="s">
        <v>8433</v>
      </c>
      <c r="Z52" s="838" t="e">
        <f>SEARCH(U$4,W$4,AB45)+LEN(U$4)</f>
        <v>#VALUE!</v>
      </c>
      <c r="AA52" s="406" t="str">
        <f>IF(AB52=IFERROR(SEARCH(".",W$4,Z52),99999),".",
IF(AB52=IFERROR(SEARCH(",",W$4,Z52),99999),",",
IF(AB52=IFERROR(SEARCH(" за период",W$4,Z52),999999)," за период",
IF(AB52=IFERROR(SEARCH(" в размере",W$4,Z52),99999)," в размере",
))))</f>
        <v>.</v>
      </c>
      <c r="AB52" s="406">
        <f>IFERROR(MIN(IFERROR(SEARCH(".",W$4,Z52),99999),IFERROR(SEARCH(",",W$4,Z52),99999),IFERROR(SEARCH(" за период",W$4,Z52),999999),IFERROR(SEARCH(" в размере",W$4,Z52),99999)),"ОШИБКА")</f>
        <v>99999</v>
      </c>
      <c r="AC52" s="406" t="e">
        <f>AB52-Z52</f>
        <v>#VALUE!</v>
      </c>
      <c r="AD52" s="824" t="e">
        <f>MID(W$4,Z52,AC52)</f>
        <v>#VALUE!</v>
      </c>
      <c r="AE52" s="825" t="str">
        <f>IFERROR(INDEX($EL:$EL,MATCH(MID(W$4,Z52,AC52),$EK:$EK,0),1),"")</f>
        <v/>
      </c>
      <c r="AF52" s="1016"/>
      <c r="AG52" s="1016"/>
      <c r="AH52" s="754"/>
      <c r="AL52" s="1463">
        <v>8</v>
      </c>
      <c r="AM52" s="824" t="s">
        <v>8433</v>
      </c>
      <c r="AN52" s="838" t="e">
        <f>SEARCH(AI$4,AK$4,AP45)+LEN(AI$4)</f>
        <v>#VALUE!</v>
      </c>
      <c r="AO52" s="406" t="str">
        <f>IF(AP52=IFERROR(SEARCH(".",AK$4,AN52),99999),".",
IF(AP52=IFERROR(SEARCH(",",AK$4,AN52),99999),",",
IF(AP52=IFERROR(SEARCH(" за период",AK$4,AN52),999999)," за период",
IF(AP52=IFERROR(SEARCH(" в размере",AK$4,AN52),99999)," в размере",
))))</f>
        <v>.</v>
      </c>
      <c r="AP52" s="406">
        <f>IFERROR(MIN(IFERROR(SEARCH(".",AK$4,AN52),99999),IFERROR(SEARCH(",",AK$4,AN52),99999),IFERROR(SEARCH(" за период",AK$4,AN52),999999),IFERROR(SEARCH(" в размере",AK$4,AN52),99999)),"ОШИБКА")</f>
        <v>99999</v>
      </c>
      <c r="AQ52" s="406" t="e">
        <f>AP52-AN52</f>
        <v>#VALUE!</v>
      </c>
      <c r="AR52" s="824" t="e">
        <f>MID(AK$4,AN52,AQ52)</f>
        <v>#VALUE!</v>
      </c>
      <c r="AS52" s="825" t="str">
        <f>IFERROR(INDEX($EL:$EL,MATCH(MID(AK$4,AN52,AQ52),$EK:$EK,0),1),"")</f>
        <v/>
      </c>
      <c r="AT52" s="1016"/>
      <c r="AU52" s="1016"/>
      <c r="AV52" s="754"/>
      <c r="AZ52" s="1463">
        <v>8</v>
      </c>
      <c r="BA52" s="824" t="s">
        <v>8433</v>
      </c>
      <c r="BB52" s="838" t="e">
        <f>SEARCH(AW$4,AY$4,BD45)+LEN(AW$4)</f>
        <v>#VALUE!</v>
      </c>
      <c r="BC52" s="406" t="str">
        <f>IF(BD52=IFERROR(SEARCH(".",AY$4,BB52),99999),".",
IF(BD52=IFERROR(SEARCH(",",AY$4,BB52),99999),",",
IF(BD52=IFERROR(SEARCH(" за период",AY$4,BB52),999999)," за период",
IF(BD52=IFERROR(SEARCH(" в размере",AY$4,BB52),99999)," в размере",
))))</f>
        <v>.</v>
      </c>
      <c r="BD52" s="406">
        <f>IFERROR(MIN(IFERROR(SEARCH(".",AY$4,BB52),99999),IFERROR(SEARCH(",",AY$4,BB52),99999),IFERROR(SEARCH(" за период",AY$4,BB52),999999),IFERROR(SEARCH(" в размере",AY$4,BB52),99999)),"ОШИБКА")</f>
        <v>99999</v>
      </c>
      <c r="BE52" s="406" t="e">
        <f>BD52-BB52</f>
        <v>#VALUE!</v>
      </c>
      <c r="BF52" s="824" t="e">
        <f>MID(AY$4,BB52,BE52)</f>
        <v>#VALUE!</v>
      </c>
      <c r="BG52" s="825" t="str">
        <f>IFERROR(INDEX($EL:$EL,MATCH(MID(AY$4,BB52,BE52),$EK:$EK,0),1),"")</f>
        <v/>
      </c>
      <c r="BH52" s="1016"/>
      <c r="BI52" s="1016"/>
      <c r="BJ52" s="754"/>
      <c r="BK52" s="1016"/>
      <c r="BL52" s="1016"/>
    </row>
    <row r="53" spans="1:64" x14ac:dyDescent="0.3">
      <c r="A53" s="1569"/>
      <c r="B53" s="920"/>
      <c r="C53" s="995"/>
      <c r="D53" s="920"/>
      <c r="E53" s="920"/>
      <c r="F53" s="920"/>
      <c r="G53" s="920"/>
      <c r="H53" s="920"/>
      <c r="J53" s="995"/>
      <c r="K53" s="920"/>
      <c r="L53" s="920"/>
      <c r="M53" s="920"/>
      <c r="N53" s="995"/>
      <c r="O53" s="920"/>
      <c r="P53" s="920"/>
      <c r="Q53" s="920"/>
      <c r="R53" s="920"/>
      <c r="S53" s="920"/>
      <c r="X53" s="1464"/>
      <c r="Y53" s="826" t="s">
        <v>8435</v>
      </c>
      <c r="Z53" s="836" t="str">
        <f>IF(AA52=" за период",SEARCH(" за период",W$4,AB52)+LEN(" за период")+3,"НЕТ")</f>
        <v>НЕТ</v>
      </c>
      <c r="AA53" s="306" t="s">
        <v>8434</v>
      </c>
      <c r="AB53" s="306" t="e">
        <f>SEARCH(AA53,W$4,Z53)</f>
        <v>#VALUE!</v>
      </c>
      <c r="AC53" s="306" t="e">
        <f>AB53-Z53</f>
        <v>#VALUE!</v>
      </c>
      <c r="AD53" s="827" t="e">
        <f>DATEVALUE(MID(W$4,Z53,AC53))</f>
        <v>#VALUE!</v>
      </c>
      <c r="AE53" s="828" t="str">
        <f>IF(AA52=" за период",AD53,"")</f>
        <v/>
      </c>
      <c r="AF53" s="1017"/>
      <c r="AG53" s="1017"/>
      <c r="AL53" s="1464"/>
      <c r="AM53" s="826" t="s">
        <v>8435</v>
      </c>
      <c r="AN53" s="836" t="str">
        <f>IF(AO52=" за период",SEARCH(" за период",AK$4,AP52)+LEN(" за период")+3,"НЕТ")</f>
        <v>НЕТ</v>
      </c>
      <c r="AO53" s="306" t="s">
        <v>8434</v>
      </c>
      <c r="AP53" s="306" t="e">
        <f>SEARCH(AO53,AK$4,AN53)</f>
        <v>#VALUE!</v>
      </c>
      <c r="AQ53" s="306" t="e">
        <f>AP53-AN53</f>
        <v>#VALUE!</v>
      </c>
      <c r="AR53" s="827" t="e">
        <f>DATEVALUE(MID(AK$4,AN53,AQ53))</f>
        <v>#VALUE!</v>
      </c>
      <c r="AS53" s="828" t="str">
        <f>IF(AO52=" за период",AR53,"")</f>
        <v/>
      </c>
      <c r="AT53" s="1017"/>
      <c r="AU53" s="1017"/>
      <c r="AZ53" s="1464"/>
      <c r="BA53" s="826" t="s">
        <v>8435</v>
      </c>
      <c r="BB53" s="836" t="str">
        <f>IF(BC52=" за период",SEARCH(" за период",AY$4,BD52)+LEN(" за период")+3,"НЕТ")</f>
        <v>НЕТ</v>
      </c>
      <c r="BC53" s="306" t="s">
        <v>8434</v>
      </c>
      <c r="BD53" s="306" t="e">
        <f>SEARCH(BC53,AY$4,BB53)</f>
        <v>#VALUE!</v>
      </c>
      <c r="BE53" s="306" t="e">
        <f>BD53-BB53</f>
        <v>#VALUE!</v>
      </c>
      <c r="BF53" s="827" t="e">
        <f>DATEVALUE(MID(AY$4,BB53,BE53))</f>
        <v>#VALUE!</v>
      </c>
      <c r="BG53" s="828" t="str">
        <f>IF(BC52=" за период",BF53,"")</f>
        <v/>
      </c>
      <c r="BH53" s="1017"/>
      <c r="BI53" s="1017"/>
      <c r="BK53" s="1017"/>
      <c r="BL53" s="1017"/>
    </row>
    <row r="54" spans="1:64" x14ac:dyDescent="0.3">
      <c r="A54" s="1569"/>
      <c r="B54" s="997"/>
      <c r="C54" s="995"/>
      <c r="D54" s="920"/>
      <c r="E54" s="99"/>
      <c r="F54" s="99"/>
      <c r="G54" s="99"/>
      <c r="H54" s="99"/>
      <c r="J54" s="995"/>
      <c r="K54" s="920"/>
      <c r="L54" s="997"/>
      <c r="M54" s="997"/>
      <c r="N54" s="995"/>
      <c r="O54" s="920"/>
      <c r="P54" s="99"/>
      <c r="Q54" s="99"/>
      <c r="R54" s="99"/>
      <c r="S54" s="99"/>
      <c r="X54" s="1464"/>
      <c r="Y54" s="826" t="s">
        <v>8436</v>
      </c>
      <c r="Z54" s="836" t="e">
        <f>SEARCH(" ",W$4,AB53+1)+1</f>
        <v>#VALUE!</v>
      </c>
      <c r="AA54" s="306"/>
      <c r="AB54" s="306" t="e">
        <f>Z54+AC54</f>
        <v>#VALUE!</v>
      </c>
      <c r="AC54" s="306">
        <v>10</v>
      </c>
      <c r="AD54" s="827" t="e">
        <f>DATEVALUE(MID(W$4,Z54,AC54))</f>
        <v>#VALUE!</v>
      </c>
      <c r="AE54" s="828" t="str">
        <f>IF(AA52=" за период",AD54,"")</f>
        <v/>
      </c>
      <c r="AF54" s="1017"/>
      <c r="AG54" s="1017"/>
      <c r="AL54" s="1464"/>
      <c r="AM54" s="826" t="s">
        <v>8436</v>
      </c>
      <c r="AN54" s="836" t="e">
        <f>SEARCH(" ",AK$4,AP53+1)+1</f>
        <v>#VALUE!</v>
      </c>
      <c r="AO54" s="306"/>
      <c r="AP54" s="306" t="e">
        <f>AN54+AQ54</f>
        <v>#VALUE!</v>
      </c>
      <c r="AQ54" s="306">
        <v>10</v>
      </c>
      <c r="AR54" s="827" t="e">
        <f>DATEVALUE(MID(AK$4,AN54,AQ54))</f>
        <v>#VALUE!</v>
      </c>
      <c r="AS54" s="828" t="str">
        <f>IF(AO52=" за период",AR54,"")</f>
        <v/>
      </c>
      <c r="AT54" s="1017"/>
      <c r="AU54" s="1017"/>
      <c r="AZ54" s="1464"/>
      <c r="BA54" s="826" t="s">
        <v>8436</v>
      </c>
      <c r="BB54" s="836" t="e">
        <f>SEARCH(" ",AY$4,BD53+1)+1</f>
        <v>#VALUE!</v>
      </c>
      <c r="BC54" s="306"/>
      <c r="BD54" s="306" t="e">
        <f>BB54+BE54</f>
        <v>#VALUE!</v>
      </c>
      <c r="BE54" s="306">
        <v>10</v>
      </c>
      <c r="BF54" s="827" t="e">
        <f>DATEVALUE(MID(AY$4,BB54,BE54))</f>
        <v>#VALUE!</v>
      </c>
      <c r="BG54" s="828" t="str">
        <f>IF(BC52=" за период",BF54,"")</f>
        <v/>
      </c>
      <c r="BH54" s="1017"/>
      <c r="BI54" s="1017"/>
      <c r="BK54" s="1017"/>
      <c r="BL54" s="1017"/>
    </row>
    <row r="55" spans="1:64" x14ac:dyDescent="0.3">
      <c r="A55" s="1569"/>
      <c r="B55" s="997"/>
      <c r="C55" s="995"/>
      <c r="D55" s="920"/>
      <c r="E55" s="99"/>
      <c r="F55" s="99"/>
      <c r="G55" s="99"/>
      <c r="H55" s="99"/>
      <c r="J55" s="995"/>
      <c r="K55" s="920"/>
      <c r="L55" s="997"/>
      <c r="M55" s="997"/>
      <c r="N55" s="995"/>
      <c r="O55" s="920"/>
      <c r="P55" s="99"/>
      <c r="Q55" s="99"/>
      <c r="R55" s="99"/>
      <c r="S55" s="99"/>
      <c r="X55" s="1464"/>
      <c r="Y55" s="826"/>
      <c r="Z55" s="836"/>
      <c r="AA55" s="306" t="str">
        <f>IF(AB55=IFERROR(SEARCH(".",W$4,AB54),99999),".",
IF(AB55=IFERROR(SEARCH(",",W$4,AB54),99999),",",
IF(AB55=IFERROR(SEARCH(" за период",W$4,AB54),999999)," за период",
IF(AB55=IFERROR(SEARCH(" в размере",W$4,AB54),99999)," в размере",
))))</f>
        <v>.</v>
      </c>
      <c r="AB55" s="306">
        <f>MIN(
IFERROR(SEARCH(".",W$4,AB54),99999),
IFERROR(SEARCH(",",W$4,AB54),99999),
IFERROR(SEARCH(" в размере",W$4,AB54),99999))</f>
        <v>99999</v>
      </c>
      <c r="AC55" s="306"/>
      <c r="AD55" s="827"/>
      <c r="AE55" s="829"/>
      <c r="AF55" s="1016"/>
      <c r="AG55" s="1016"/>
      <c r="AL55" s="1464"/>
      <c r="AM55" s="826"/>
      <c r="AN55" s="836"/>
      <c r="AO55" s="306" t="str">
        <f>IF(AP55=IFERROR(SEARCH(".",AK$4,AP54),99999),".",
IF(AP55=IFERROR(SEARCH(",",AK$4,AP54),99999),",",
IF(AP55=IFERROR(SEARCH(" за период",AK$4,AP54),999999)," за период",
IF(AP55=IFERROR(SEARCH(" в размере",AK$4,AP54),99999)," в размере",
))))</f>
        <v>.</v>
      </c>
      <c r="AP55" s="306">
        <f>MIN(
IFERROR(SEARCH(".",AK$4,AP54),99999),
IFERROR(SEARCH(",",AK$4,AP54),99999),
IFERROR(SEARCH(" в размере",AK$4,AP54),99999))</f>
        <v>99999</v>
      </c>
      <c r="AQ55" s="306"/>
      <c r="AR55" s="827"/>
      <c r="AS55" s="829"/>
      <c r="AT55" s="1016"/>
      <c r="AU55" s="1016"/>
      <c r="AZ55" s="1464"/>
      <c r="BA55" s="826"/>
      <c r="BB55" s="836"/>
      <c r="BC55" s="306" t="str">
        <f>IF(BD55=IFERROR(SEARCH(".",AY$4,BD54),99999),".",
IF(BD55=IFERROR(SEARCH(",",AY$4,BD54),99999),",",
IF(BD55=IFERROR(SEARCH(" за период",AY$4,BD54),999999)," за период",
IF(BD55=IFERROR(SEARCH(" в размере",AY$4,BD54),99999)," в размере",
))))</f>
        <v>.</v>
      </c>
      <c r="BD55" s="306">
        <f>MIN(
IFERROR(SEARCH(".",AY$4,BD54),99999),
IFERROR(SEARCH(",",AY$4,BD54),99999),
IFERROR(SEARCH(" в размере",AY$4,BD54),99999))</f>
        <v>99999</v>
      </c>
      <c r="BE55" s="306"/>
      <c r="BF55" s="827"/>
      <c r="BG55" s="829"/>
      <c r="BH55" s="1016"/>
      <c r="BI55" s="1016"/>
      <c r="BK55" s="1016"/>
      <c r="BL55" s="1016"/>
    </row>
    <row r="56" spans="1:64" x14ac:dyDescent="0.3">
      <c r="A56" s="1569"/>
      <c r="B56" s="998"/>
      <c r="C56" s="995"/>
      <c r="D56" s="920"/>
      <c r="E56" s="998"/>
      <c r="F56" s="998"/>
      <c r="G56" s="998"/>
      <c r="H56" s="99"/>
      <c r="J56" s="995"/>
      <c r="K56" s="920"/>
      <c r="L56" s="998"/>
      <c r="M56" s="998"/>
      <c r="N56" s="995"/>
      <c r="O56" s="920"/>
      <c r="P56" s="998"/>
      <c r="Q56" s="998"/>
      <c r="R56" s="998"/>
      <c r="S56" s="99"/>
      <c r="X56" s="1464"/>
      <c r="Y56" s="835" t="s">
        <v>8249</v>
      </c>
      <c r="Z56" s="836" t="e">
        <f>SEARCH(" в размере",W$4,AB52)+LEN(" в размере")+1</f>
        <v>#VALUE!</v>
      </c>
      <c r="AA56" s="306" t="s">
        <v>8234</v>
      </c>
      <c r="AB56" s="306" t="e">
        <f>SEARCH(AA56,W$4,Z56)</f>
        <v>#VALUE!</v>
      </c>
      <c r="AC56" s="306" t="e">
        <f>AB56-Z56</f>
        <v>#VALUE!</v>
      </c>
      <c r="AD56" s="826" t="e">
        <f>IF(AE52="Штраф 50%","",MID(W$4,Z56,AC56))</f>
        <v>#VALUE!</v>
      </c>
      <c r="AE56" s="829"/>
      <c r="AF56" s="1016"/>
      <c r="AG56" s="1016"/>
      <c r="AL56" s="1464"/>
      <c r="AM56" s="835" t="s">
        <v>8249</v>
      </c>
      <c r="AN56" s="836" t="e">
        <f>SEARCH(" в размере",AK$4,AP52)+LEN(" в размере")+1</f>
        <v>#VALUE!</v>
      </c>
      <c r="AO56" s="306" t="s">
        <v>8234</v>
      </c>
      <c r="AP56" s="306" t="e">
        <f>SEARCH(AO56,AK$4,AN56)</f>
        <v>#VALUE!</v>
      </c>
      <c r="AQ56" s="306" t="e">
        <f>AP56-AN56</f>
        <v>#VALUE!</v>
      </c>
      <c r="AR56" s="826" t="e">
        <f>IF(AS52="Штраф 50%","",MID(AK$4,AN56,AQ56))</f>
        <v>#VALUE!</v>
      </c>
      <c r="AS56" s="829"/>
      <c r="AT56" s="1016"/>
      <c r="AU56" s="1016"/>
      <c r="AZ56" s="1464"/>
      <c r="BA56" s="835" t="s">
        <v>8249</v>
      </c>
      <c r="BB56" s="836" t="e">
        <f>SEARCH(" в размере",AY$4,BD52)+LEN(" в размере")+1</f>
        <v>#VALUE!</v>
      </c>
      <c r="BC56" s="306" t="s">
        <v>8234</v>
      </c>
      <c r="BD56" s="306" t="e">
        <f>SEARCH(BC56,AY$4,BB56)</f>
        <v>#VALUE!</v>
      </c>
      <c r="BE56" s="306" t="e">
        <f>BD56-BB56</f>
        <v>#VALUE!</v>
      </c>
      <c r="BF56" s="826" t="e">
        <f>IF(BG52="Штраф 50%","",MID(AY$4,BB56,BE56))</f>
        <v>#VALUE!</v>
      </c>
      <c r="BG56" s="829"/>
      <c r="BH56" s="1016"/>
      <c r="BI56" s="1016"/>
      <c r="BK56" s="1016"/>
      <c r="BL56" s="1016"/>
    </row>
    <row r="57" spans="1:64" x14ac:dyDescent="0.3">
      <c r="A57" s="1569"/>
      <c r="B57" s="998"/>
      <c r="C57" s="995"/>
      <c r="D57" s="920"/>
      <c r="E57" s="998"/>
      <c r="F57" s="998"/>
      <c r="G57" s="998"/>
      <c r="H57" s="998"/>
      <c r="J57" s="995"/>
      <c r="K57" s="920"/>
      <c r="L57" s="998"/>
      <c r="M57" s="998"/>
      <c r="N57" s="995"/>
      <c r="O57" s="920"/>
      <c r="P57" s="998"/>
      <c r="Q57" s="998"/>
      <c r="R57" s="998"/>
      <c r="S57" s="998"/>
      <c r="X57" s="1464"/>
      <c r="Y57" s="401"/>
      <c r="Z57" s="836" t="e">
        <f>SEARCH(" ",W$4,SEARCH("руб",W$4,AB56))+1</f>
        <v>#VALUE!</v>
      </c>
      <c r="AA57" s="306" t="s">
        <v>8432</v>
      </c>
      <c r="AB57" s="306" t="e">
        <f>SEARCH(AA57,W$4,Z57)</f>
        <v>#VALUE!</v>
      </c>
      <c r="AC57" s="306" t="e">
        <f>AB57-Z57</f>
        <v>#VALUE!</v>
      </c>
      <c r="AD57" s="826" t="e">
        <f>IF(AE52="Штраф 50%","",MID(W$4,Z57,AC57))</f>
        <v>#VALUE!</v>
      </c>
      <c r="AE57" s="829"/>
      <c r="AF57" s="1016"/>
      <c r="AG57" s="1016"/>
      <c r="AL57" s="1464"/>
      <c r="AM57" s="401"/>
      <c r="AN57" s="836" t="e">
        <f>SEARCH(" ",AK$4,SEARCH("руб",AK$4,AP56))+1</f>
        <v>#VALUE!</v>
      </c>
      <c r="AO57" s="306" t="s">
        <v>8432</v>
      </c>
      <c r="AP57" s="306" t="e">
        <f>SEARCH(AO57,AK$4,AN57)</f>
        <v>#VALUE!</v>
      </c>
      <c r="AQ57" s="306" t="e">
        <f>AP57-AN57</f>
        <v>#VALUE!</v>
      </c>
      <c r="AR57" s="826" t="e">
        <f>IF(AS52="Штраф 50%","",MID(AK$4,AN57,AQ57))</f>
        <v>#VALUE!</v>
      </c>
      <c r="AS57" s="829"/>
      <c r="AT57" s="1016"/>
      <c r="AU57" s="1016"/>
      <c r="AZ57" s="1464"/>
      <c r="BA57" s="401"/>
      <c r="BB57" s="836" t="e">
        <f>SEARCH(" ",AY$4,SEARCH("руб",AY$4,BD56))+1</f>
        <v>#VALUE!</v>
      </c>
      <c r="BC57" s="306" t="s">
        <v>8432</v>
      </c>
      <c r="BD57" s="306" t="e">
        <f>SEARCH(BC57,AY$4,BB57)</f>
        <v>#VALUE!</v>
      </c>
      <c r="BE57" s="306" t="e">
        <f>BD57-BB57</f>
        <v>#VALUE!</v>
      </c>
      <c r="BF57" s="826" t="e">
        <f>IF(BG52="Штраф 50%","",MID(AY$4,BB57,BE57))</f>
        <v>#VALUE!</v>
      </c>
      <c r="BG57" s="829"/>
      <c r="BH57" s="1016"/>
      <c r="BI57" s="1016"/>
      <c r="BK57" s="1016"/>
      <c r="BL57" s="1016"/>
    </row>
    <row r="58" spans="1:64" ht="15" thickBot="1" x14ac:dyDescent="0.35">
      <c r="A58" s="1569"/>
      <c r="B58" s="998"/>
      <c r="C58" s="995"/>
      <c r="D58" s="920"/>
      <c r="E58" s="998"/>
      <c r="F58" s="998"/>
      <c r="G58" s="998"/>
      <c r="H58" s="998"/>
      <c r="J58" s="995"/>
      <c r="K58" s="920"/>
      <c r="L58" s="998"/>
      <c r="M58" s="998"/>
      <c r="N58" s="995"/>
      <c r="O58" s="920"/>
      <c r="P58" s="998"/>
      <c r="Q58" s="998"/>
      <c r="R58" s="998"/>
      <c r="S58" s="998"/>
      <c r="X58" s="1465"/>
      <c r="Y58" s="583"/>
      <c r="Z58" s="837"/>
      <c r="AA58" s="583"/>
      <c r="AB58" s="583"/>
      <c r="AC58" s="583"/>
      <c r="AD58" s="831" t="e">
        <f>VALUE(CONCATENATE(AD56,",",AD57))</f>
        <v>#VALUE!</v>
      </c>
      <c r="AE58" s="832" t="str">
        <f>IF(AE52="Штраф 50%","",IF(OR(AA55=" в размере",AA52=" в размере"),AD58,""))</f>
        <v/>
      </c>
      <c r="AF58" s="1018"/>
      <c r="AG58" s="1018"/>
      <c r="AL58" s="1465"/>
      <c r="AM58" s="583"/>
      <c r="AN58" s="837"/>
      <c r="AO58" s="583"/>
      <c r="AP58" s="583"/>
      <c r="AQ58" s="583"/>
      <c r="AR58" s="831" t="e">
        <f>VALUE(CONCATENATE(AR56,",",AR57))</f>
        <v>#VALUE!</v>
      </c>
      <c r="AS58" s="832" t="str">
        <f>IF(AS52="Штраф 50%","",IF(OR(AO55=" в размере",AO52=" в размере"),AR58,""))</f>
        <v/>
      </c>
      <c r="AT58" s="1018"/>
      <c r="AU58" s="1018"/>
      <c r="AZ58" s="1465"/>
      <c r="BA58" s="583"/>
      <c r="BB58" s="837"/>
      <c r="BC58" s="583"/>
      <c r="BD58" s="583"/>
      <c r="BE58" s="583"/>
      <c r="BF58" s="831" t="e">
        <f>VALUE(CONCATENATE(BF56,",",BF57))</f>
        <v>#VALUE!</v>
      </c>
      <c r="BG58" s="832" t="str">
        <f>IF(BG52="Штраф 50%","",IF(OR(BC55=" в размере",BC52=" в размере"),BF58,""))</f>
        <v/>
      </c>
      <c r="BH58" s="1018"/>
      <c r="BI58" s="1018"/>
      <c r="BK58" s="1018"/>
      <c r="BL58" s="1018"/>
    </row>
    <row r="59" spans="1:64" ht="15" thickTop="1" x14ac:dyDescent="0.3">
      <c r="A59" s="1569"/>
      <c r="B59" s="998"/>
      <c r="C59" s="995"/>
      <c r="D59" s="920"/>
      <c r="E59" s="998"/>
      <c r="F59" s="998"/>
      <c r="G59" s="998"/>
      <c r="H59" s="998"/>
      <c r="J59" s="995"/>
      <c r="K59" s="920"/>
      <c r="L59" s="998"/>
      <c r="M59" s="998"/>
      <c r="N59" s="995"/>
      <c r="O59" s="920"/>
      <c r="P59" s="998"/>
      <c r="Q59" s="998"/>
      <c r="R59" s="998"/>
      <c r="S59" s="998"/>
      <c r="X59" s="1463">
        <v>9</v>
      </c>
      <c r="Y59" s="824" t="s">
        <v>8433</v>
      </c>
      <c r="Z59" s="838" t="e">
        <f>SEARCH(U$4,W$4,AB52)+LEN(U$4)</f>
        <v>#VALUE!</v>
      </c>
      <c r="AA59" s="406" t="str">
        <f>IF(AB59=IFERROR(SEARCH(".",W$4,Z59),99999),".",
IF(AB59=IFERROR(SEARCH(",",W$4,Z59),99999),",",
IF(AB59=IFERROR(SEARCH(" за период",W$4,Z59),999999)," за период",
IF(AB59=IFERROR(SEARCH(" в размере",W$4,Z59),99999)," в размере",
))))</f>
        <v>.</v>
      </c>
      <c r="AB59" s="406">
        <f>IFERROR(MIN(IFERROR(SEARCH(".",W$4,Z59),99999),IFERROR(SEARCH(",",W$4,Z59),99999),IFERROR(SEARCH(" за период",W$4,Z59),999999),IFERROR(SEARCH(" в размере",W$4,Z59),99999)),"ОШИБКА")</f>
        <v>99999</v>
      </c>
      <c r="AC59" s="406" t="e">
        <f>AB59-Z59</f>
        <v>#VALUE!</v>
      </c>
      <c r="AD59" s="824" t="e">
        <f>MID(W$4,Z59,AC59)</f>
        <v>#VALUE!</v>
      </c>
      <c r="AE59" s="825" t="str">
        <f>IFERROR(INDEX($EL:$EL,MATCH(MID(W$4,Z59,AC59),$EK:$EK,0),1),"")</f>
        <v/>
      </c>
      <c r="AF59" s="1016"/>
      <c r="AG59" s="1016"/>
      <c r="AH59" s="754"/>
      <c r="AL59" s="1463">
        <v>9</v>
      </c>
      <c r="AM59" s="824" t="s">
        <v>8433</v>
      </c>
      <c r="AN59" s="838" t="e">
        <f>SEARCH(AI$4,AK$4,AP52)+LEN(AI$4)</f>
        <v>#VALUE!</v>
      </c>
      <c r="AO59" s="406" t="str">
        <f>IF(AP59=IFERROR(SEARCH(".",AK$4,AN59),99999),".",
IF(AP59=IFERROR(SEARCH(",",AK$4,AN59),99999),",",
IF(AP59=IFERROR(SEARCH(" за период",AK$4,AN59),999999)," за период",
IF(AP59=IFERROR(SEARCH(" в размере",AK$4,AN59),99999)," в размере",
))))</f>
        <v>.</v>
      </c>
      <c r="AP59" s="406">
        <f>IFERROR(MIN(IFERROR(SEARCH(".",AK$4,AN59),99999),IFERROR(SEARCH(",",AK$4,AN59),99999),IFERROR(SEARCH(" за период",AK$4,AN59),999999),IFERROR(SEARCH(" в размере",AK$4,AN59),99999)),"ОШИБКА")</f>
        <v>99999</v>
      </c>
      <c r="AQ59" s="406" t="e">
        <f>AP59-AN59</f>
        <v>#VALUE!</v>
      </c>
      <c r="AR59" s="824" t="e">
        <f>MID(AK$4,AN59,AQ59)</f>
        <v>#VALUE!</v>
      </c>
      <c r="AS59" s="825" t="str">
        <f>IFERROR(INDEX($EL:$EL,MATCH(MID(AK$4,AN59,AQ59),$EK:$EK,0),1),"")</f>
        <v/>
      </c>
      <c r="AT59" s="1016"/>
      <c r="AU59" s="1016"/>
      <c r="AV59" s="754"/>
      <c r="AZ59" s="1463">
        <v>9</v>
      </c>
      <c r="BA59" s="824" t="s">
        <v>8433</v>
      </c>
      <c r="BB59" s="838" t="e">
        <f>SEARCH(AW$4,AY$4,BD52)+LEN(AW$4)</f>
        <v>#VALUE!</v>
      </c>
      <c r="BC59" s="406" t="str">
        <f>IF(BD59=IFERROR(SEARCH(".",AY$4,BB59),99999),".",
IF(BD59=IFERROR(SEARCH(",",AY$4,BB59),99999),",",
IF(BD59=IFERROR(SEARCH(" за период",AY$4,BB59),999999)," за период",
IF(BD59=IFERROR(SEARCH(" в размере",AY$4,BB59),99999)," в размере",
))))</f>
        <v>.</v>
      </c>
      <c r="BD59" s="406">
        <f>IFERROR(MIN(IFERROR(SEARCH(".",AY$4,BB59),99999),IFERROR(SEARCH(",",AY$4,BB59),99999),IFERROR(SEARCH(" за период",AY$4,BB59),999999),IFERROR(SEARCH(" в размере",AY$4,BB59),99999)),"ОШИБКА")</f>
        <v>99999</v>
      </c>
      <c r="BE59" s="406" t="e">
        <f>BD59-BB59</f>
        <v>#VALUE!</v>
      </c>
      <c r="BF59" s="824" t="e">
        <f>MID(AY$4,BB59,BE59)</f>
        <v>#VALUE!</v>
      </c>
      <c r="BG59" s="825" t="str">
        <f>IFERROR(INDEX($EL:$EL,MATCH(MID(AY$4,BB59,BE59),$EK:$EK,0),1),"")</f>
        <v/>
      </c>
      <c r="BH59" s="1016"/>
      <c r="BI59" s="1016"/>
      <c r="BJ59" s="754"/>
      <c r="BK59" s="1016"/>
      <c r="BL59" s="1016"/>
    </row>
    <row r="60" spans="1:64" x14ac:dyDescent="0.3">
      <c r="A60" s="1569"/>
      <c r="B60" s="998"/>
      <c r="C60" s="995"/>
      <c r="D60" s="920"/>
      <c r="E60" s="998"/>
      <c r="F60" s="998"/>
      <c r="G60" s="998"/>
      <c r="H60" s="998"/>
      <c r="J60" s="995"/>
      <c r="K60" s="920"/>
      <c r="L60" s="998"/>
      <c r="M60" s="998"/>
      <c r="N60" s="995"/>
      <c r="O60" s="920"/>
      <c r="P60" s="998"/>
      <c r="Q60" s="998"/>
      <c r="R60" s="998"/>
      <c r="S60" s="998"/>
      <c r="X60" s="1464"/>
      <c r="Y60" s="826" t="s">
        <v>8435</v>
      </c>
      <c r="Z60" s="836" t="str">
        <f>IF(AA59=" за период",SEARCH(" за период",W$4,AB59)+LEN(" за период")+3,"НЕТ")</f>
        <v>НЕТ</v>
      </c>
      <c r="AA60" s="306" t="s">
        <v>8434</v>
      </c>
      <c r="AB60" s="306" t="e">
        <f>SEARCH(AA60,W$4,Z60)</f>
        <v>#VALUE!</v>
      </c>
      <c r="AC60" s="306" t="e">
        <f>AB60-Z60</f>
        <v>#VALUE!</v>
      </c>
      <c r="AD60" s="827" t="e">
        <f>DATEVALUE(MID(W$4,Z60,AC60))</f>
        <v>#VALUE!</v>
      </c>
      <c r="AE60" s="828" t="str">
        <f>IF(AA59=" за период",AD60,"")</f>
        <v/>
      </c>
      <c r="AF60" s="1017"/>
      <c r="AG60" s="1017"/>
      <c r="AL60" s="1464"/>
      <c r="AM60" s="826" t="s">
        <v>8435</v>
      </c>
      <c r="AN60" s="836" t="str">
        <f>IF(AO59=" за период",SEARCH(" за период",AK$4,AP59)+LEN(" за период")+3,"НЕТ")</f>
        <v>НЕТ</v>
      </c>
      <c r="AO60" s="306" t="s">
        <v>8434</v>
      </c>
      <c r="AP60" s="306" t="e">
        <f>SEARCH(AO60,AK$4,AN60)</f>
        <v>#VALUE!</v>
      </c>
      <c r="AQ60" s="306" t="e">
        <f>AP60-AN60</f>
        <v>#VALUE!</v>
      </c>
      <c r="AR60" s="827" t="e">
        <f>DATEVALUE(MID(AK$4,AN60,AQ60))</f>
        <v>#VALUE!</v>
      </c>
      <c r="AS60" s="828" t="str">
        <f>IF(AO59=" за период",AR60,"")</f>
        <v/>
      </c>
      <c r="AT60" s="1017"/>
      <c r="AU60" s="1017"/>
      <c r="AZ60" s="1464"/>
      <c r="BA60" s="826" t="s">
        <v>8435</v>
      </c>
      <c r="BB60" s="836" t="str">
        <f>IF(BC59=" за период",SEARCH(" за период",AY$4,BD59)+LEN(" за период")+3,"НЕТ")</f>
        <v>НЕТ</v>
      </c>
      <c r="BC60" s="306" t="s">
        <v>8434</v>
      </c>
      <c r="BD60" s="306" t="e">
        <f>SEARCH(BC60,AY$4,BB60)</f>
        <v>#VALUE!</v>
      </c>
      <c r="BE60" s="306" t="e">
        <f>BD60-BB60</f>
        <v>#VALUE!</v>
      </c>
      <c r="BF60" s="827" t="e">
        <f>DATEVALUE(MID(AY$4,BB60,BE60))</f>
        <v>#VALUE!</v>
      </c>
      <c r="BG60" s="828" t="str">
        <f>IF(BC59=" за период",BF60,"")</f>
        <v/>
      </c>
      <c r="BH60" s="1017"/>
      <c r="BI60" s="1017"/>
      <c r="BK60" s="1017"/>
      <c r="BL60" s="1017"/>
    </row>
    <row r="61" spans="1:64" x14ac:dyDescent="0.3">
      <c r="A61" s="1569"/>
      <c r="B61" s="998"/>
      <c r="C61" s="995"/>
      <c r="D61" s="920"/>
      <c r="E61" s="998"/>
      <c r="F61" s="998"/>
      <c r="G61" s="998"/>
      <c r="H61" s="998"/>
      <c r="J61" s="995"/>
      <c r="K61" s="920"/>
      <c r="L61" s="998"/>
      <c r="M61" s="998"/>
      <c r="N61" s="995"/>
      <c r="O61" s="920"/>
      <c r="P61" s="998"/>
      <c r="Q61" s="998"/>
      <c r="R61" s="998"/>
      <c r="S61" s="998"/>
      <c r="X61" s="1464"/>
      <c r="Y61" s="826" t="s">
        <v>8436</v>
      </c>
      <c r="Z61" s="836" t="e">
        <f>SEARCH(" ",W$4,AB60+1)+1</f>
        <v>#VALUE!</v>
      </c>
      <c r="AA61" s="306"/>
      <c r="AB61" s="306" t="e">
        <f>Z61+AC61</f>
        <v>#VALUE!</v>
      </c>
      <c r="AC61" s="306">
        <v>10</v>
      </c>
      <c r="AD61" s="827" t="e">
        <f>DATEVALUE(MID(W$4,Z61,AC61))</f>
        <v>#VALUE!</v>
      </c>
      <c r="AE61" s="828" t="str">
        <f>IF(AA59=" за период",AD61,"")</f>
        <v/>
      </c>
      <c r="AF61" s="1017"/>
      <c r="AG61" s="1017"/>
      <c r="AL61" s="1464"/>
      <c r="AM61" s="826" t="s">
        <v>8436</v>
      </c>
      <c r="AN61" s="836" t="e">
        <f>SEARCH(" ",AK$4,AP60+1)+1</f>
        <v>#VALUE!</v>
      </c>
      <c r="AO61" s="306"/>
      <c r="AP61" s="306" t="e">
        <f>AN61+AQ61</f>
        <v>#VALUE!</v>
      </c>
      <c r="AQ61" s="306">
        <v>10</v>
      </c>
      <c r="AR61" s="827" t="e">
        <f>DATEVALUE(MID(AK$4,AN61,AQ61))</f>
        <v>#VALUE!</v>
      </c>
      <c r="AS61" s="828" t="str">
        <f>IF(AO59=" за период",AR61,"")</f>
        <v/>
      </c>
      <c r="AT61" s="1017"/>
      <c r="AU61" s="1017"/>
      <c r="AZ61" s="1464"/>
      <c r="BA61" s="826" t="s">
        <v>8436</v>
      </c>
      <c r="BB61" s="836" t="e">
        <f>SEARCH(" ",AY$4,BD60+1)+1</f>
        <v>#VALUE!</v>
      </c>
      <c r="BC61" s="306"/>
      <c r="BD61" s="306" t="e">
        <f>BB61+BE61</f>
        <v>#VALUE!</v>
      </c>
      <c r="BE61" s="306">
        <v>10</v>
      </c>
      <c r="BF61" s="827" t="e">
        <f>DATEVALUE(MID(AY$4,BB61,BE61))</f>
        <v>#VALUE!</v>
      </c>
      <c r="BG61" s="828" t="str">
        <f>IF(BC59=" за период",BF61,"")</f>
        <v/>
      </c>
      <c r="BH61" s="1017"/>
      <c r="BI61" s="1017"/>
      <c r="BK61" s="1017"/>
      <c r="BL61" s="1017"/>
    </row>
    <row r="62" spans="1:64" x14ac:dyDescent="0.3">
      <c r="A62" s="1569"/>
      <c r="B62" s="998"/>
      <c r="C62" s="995"/>
      <c r="D62" s="920"/>
      <c r="E62" s="998"/>
      <c r="F62" s="998"/>
      <c r="G62" s="998"/>
      <c r="H62" s="998"/>
      <c r="J62" s="995"/>
      <c r="K62" s="920"/>
      <c r="L62" s="998"/>
      <c r="M62" s="998"/>
      <c r="N62" s="995"/>
      <c r="O62" s="920"/>
      <c r="P62" s="998"/>
      <c r="Q62" s="998"/>
      <c r="R62" s="998"/>
      <c r="S62" s="998"/>
      <c r="X62" s="1464"/>
      <c r="Y62" s="826"/>
      <c r="Z62" s="836"/>
      <c r="AA62" s="306" t="str">
        <f>IF(AB62=IFERROR(SEARCH(".",W$4,AB61),99999),".",
IF(AB62=IFERROR(SEARCH(",",W$4,AB61),99999),",",
IF(AB62=IFERROR(SEARCH(" за период",W$4,AB61),999999)," за период",
IF(AB62=IFERROR(SEARCH(" в размере",W$4,AB61),99999)," в размере",
))))</f>
        <v>.</v>
      </c>
      <c r="AB62" s="306">
        <f>MIN(
IFERROR(SEARCH(".",W$4,AB61),99999),
IFERROR(SEARCH(",",W$4,AB61),99999),
IFERROR(SEARCH(" в размере",W$4,AB61),99999))</f>
        <v>99999</v>
      </c>
      <c r="AC62" s="306"/>
      <c r="AD62" s="827"/>
      <c r="AE62" s="829"/>
      <c r="AF62" s="1016"/>
      <c r="AG62" s="1016"/>
      <c r="AL62" s="1464"/>
      <c r="AM62" s="826"/>
      <c r="AN62" s="836"/>
      <c r="AO62" s="306" t="str">
        <f>IF(AP62=IFERROR(SEARCH(".",AK$4,AP61),99999),".",
IF(AP62=IFERROR(SEARCH(",",AK$4,AP61),99999),",",
IF(AP62=IFERROR(SEARCH(" за период",AK$4,AP61),999999)," за период",
IF(AP62=IFERROR(SEARCH(" в размере",AK$4,AP61),99999)," в размере",
))))</f>
        <v>.</v>
      </c>
      <c r="AP62" s="306">
        <f>MIN(
IFERROR(SEARCH(".",AK$4,AP61),99999),
IFERROR(SEARCH(",",AK$4,AP61),99999),
IFERROR(SEARCH(" в размере",AK$4,AP61),99999))</f>
        <v>99999</v>
      </c>
      <c r="AQ62" s="306"/>
      <c r="AR62" s="827"/>
      <c r="AS62" s="829"/>
      <c r="AT62" s="1016"/>
      <c r="AU62" s="1016"/>
      <c r="AZ62" s="1464"/>
      <c r="BA62" s="826"/>
      <c r="BB62" s="836"/>
      <c r="BC62" s="306" t="str">
        <f>IF(BD62=IFERROR(SEARCH(".",AY$4,BD61),99999),".",
IF(BD62=IFERROR(SEARCH(",",AY$4,BD61),99999),",",
IF(BD62=IFERROR(SEARCH(" за период",AY$4,BD61),999999)," за период",
IF(BD62=IFERROR(SEARCH(" в размере",AY$4,BD61),99999)," в размере",
))))</f>
        <v>.</v>
      </c>
      <c r="BD62" s="306">
        <f>MIN(
IFERROR(SEARCH(".",AY$4,BD61),99999),
IFERROR(SEARCH(",",AY$4,BD61),99999),
IFERROR(SEARCH(" в размере",AY$4,BD61),99999))</f>
        <v>99999</v>
      </c>
      <c r="BE62" s="306"/>
      <c r="BF62" s="827"/>
      <c r="BG62" s="829"/>
      <c r="BH62" s="1016"/>
      <c r="BI62" s="1016"/>
      <c r="BK62" s="1016"/>
      <c r="BL62" s="1016"/>
    </row>
    <row r="63" spans="1:64" x14ac:dyDescent="0.3">
      <c r="A63" s="1569"/>
      <c r="B63" s="116"/>
      <c r="C63" s="991"/>
      <c r="D63" s="116"/>
      <c r="E63" s="116"/>
      <c r="F63" s="116"/>
      <c r="G63" s="116"/>
      <c r="H63" s="116"/>
      <c r="J63" s="116"/>
      <c r="K63" s="116"/>
      <c r="L63" s="116"/>
      <c r="M63" s="116"/>
      <c r="N63" s="991"/>
      <c r="O63" s="116"/>
      <c r="P63" s="116"/>
      <c r="Q63" s="116"/>
      <c r="R63" s="116"/>
      <c r="S63" s="116"/>
      <c r="X63" s="1464"/>
      <c r="Y63" s="835" t="s">
        <v>8249</v>
      </c>
      <c r="Z63" s="836" t="e">
        <f>SEARCH(" в размере",W$4,AB59)+LEN(" в размере")+1</f>
        <v>#VALUE!</v>
      </c>
      <c r="AA63" s="306" t="s">
        <v>8234</v>
      </c>
      <c r="AB63" s="306" t="e">
        <f>SEARCH(AA63,W$4,Z63)</f>
        <v>#VALUE!</v>
      </c>
      <c r="AC63" s="306" t="e">
        <f>AB63-Z63</f>
        <v>#VALUE!</v>
      </c>
      <c r="AD63" s="826" t="e">
        <f>IF(AE59="Штраф 50%","",MID(W$4,Z63,AC63))</f>
        <v>#VALUE!</v>
      </c>
      <c r="AE63" s="829"/>
      <c r="AF63" s="1016"/>
      <c r="AG63" s="1016"/>
      <c r="AL63" s="1464"/>
      <c r="AM63" s="835" t="s">
        <v>8249</v>
      </c>
      <c r="AN63" s="836" t="e">
        <f>SEARCH(" в размере",AK$4,AP59)+LEN(" в размере")+1</f>
        <v>#VALUE!</v>
      </c>
      <c r="AO63" s="306" t="s">
        <v>8234</v>
      </c>
      <c r="AP63" s="306" t="e">
        <f>SEARCH(AO63,AK$4,AN63)</f>
        <v>#VALUE!</v>
      </c>
      <c r="AQ63" s="306" t="e">
        <f>AP63-AN63</f>
        <v>#VALUE!</v>
      </c>
      <c r="AR63" s="826" t="e">
        <f>IF(AS59="Штраф 50%","",MID(AK$4,AN63,AQ63))</f>
        <v>#VALUE!</v>
      </c>
      <c r="AS63" s="829"/>
      <c r="AT63" s="1016"/>
      <c r="AU63" s="1016"/>
      <c r="AZ63" s="1464"/>
      <c r="BA63" s="835" t="s">
        <v>8249</v>
      </c>
      <c r="BB63" s="836" t="e">
        <f>SEARCH(" в размере",AY$4,BD59)+LEN(" в размере")+1</f>
        <v>#VALUE!</v>
      </c>
      <c r="BC63" s="306" t="s">
        <v>8234</v>
      </c>
      <c r="BD63" s="306" t="e">
        <f>SEARCH(BC63,AY$4,BB63)</f>
        <v>#VALUE!</v>
      </c>
      <c r="BE63" s="306" t="e">
        <f>BD63-BB63</f>
        <v>#VALUE!</v>
      </c>
      <c r="BF63" s="826" t="e">
        <f>IF(BG59="Штраф 50%","",MID(AY$4,BB63,BE63))</f>
        <v>#VALUE!</v>
      </c>
      <c r="BG63" s="829"/>
      <c r="BH63" s="1016"/>
      <c r="BI63" s="1016"/>
      <c r="BK63" s="1016"/>
      <c r="BL63" s="1016"/>
    </row>
    <row r="64" spans="1:64" x14ac:dyDescent="0.3">
      <c r="A64" s="1569"/>
      <c r="B64" s="116"/>
      <c r="C64" s="991"/>
      <c r="D64" s="116"/>
      <c r="E64" s="116"/>
      <c r="F64" s="116"/>
      <c r="G64" s="116"/>
      <c r="H64" s="116"/>
      <c r="J64" s="116"/>
      <c r="K64" s="116"/>
      <c r="L64" s="116"/>
      <c r="M64" s="116"/>
      <c r="N64" s="991"/>
      <c r="O64" s="116"/>
      <c r="P64" s="116"/>
      <c r="Q64" s="116"/>
      <c r="R64" s="116"/>
      <c r="S64" s="116"/>
      <c r="X64" s="1464"/>
      <c r="Y64" s="401"/>
      <c r="Z64" s="836" t="e">
        <f>SEARCH(" ",W$4,SEARCH("руб",W$4,AB63))+1</f>
        <v>#VALUE!</v>
      </c>
      <c r="AA64" s="306" t="s">
        <v>8432</v>
      </c>
      <c r="AB64" s="306" t="e">
        <f>SEARCH(AA64,W$4,Z64)</f>
        <v>#VALUE!</v>
      </c>
      <c r="AC64" s="306" t="e">
        <f>AB64-Z64</f>
        <v>#VALUE!</v>
      </c>
      <c r="AD64" s="826" t="e">
        <f>IF(AE59="Штраф 50%","",MID(W$4,Z64,AC64))</f>
        <v>#VALUE!</v>
      </c>
      <c r="AE64" s="829"/>
      <c r="AF64" s="1016"/>
      <c r="AG64" s="1016"/>
      <c r="AL64" s="1464"/>
      <c r="AM64" s="401"/>
      <c r="AN64" s="836" t="e">
        <f>SEARCH(" ",AK$4,SEARCH("руб",AK$4,AP63))+1</f>
        <v>#VALUE!</v>
      </c>
      <c r="AO64" s="306" t="s">
        <v>8432</v>
      </c>
      <c r="AP64" s="306" t="e">
        <f>SEARCH(AO64,AK$4,AN64)</f>
        <v>#VALUE!</v>
      </c>
      <c r="AQ64" s="306" t="e">
        <f>AP64-AN64</f>
        <v>#VALUE!</v>
      </c>
      <c r="AR64" s="826" t="e">
        <f>IF(AS59="Штраф 50%","",MID(AK$4,AN64,AQ64))</f>
        <v>#VALUE!</v>
      </c>
      <c r="AS64" s="829"/>
      <c r="AT64" s="1016"/>
      <c r="AU64" s="1016"/>
      <c r="AZ64" s="1464"/>
      <c r="BA64" s="401"/>
      <c r="BB64" s="836" t="e">
        <f>SEARCH(" ",AY$4,SEARCH("руб",AY$4,BD63))+1</f>
        <v>#VALUE!</v>
      </c>
      <c r="BC64" s="306" t="s">
        <v>8432</v>
      </c>
      <c r="BD64" s="306" t="e">
        <f>SEARCH(BC64,AY$4,BB64)</f>
        <v>#VALUE!</v>
      </c>
      <c r="BE64" s="306" t="e">
        <f>BD64-BB64</f>
        <v>#VALUE!</v>
      </c>
      <c r="BF64" s="826" t="e">
        <f>IF(BG59="Штраф 50%","",MID(AY$4,BB64,BE64))</f>
        <v>#VALUE!</v>
      </c>
      <c r="BG64" s="829"/>
      <c r="BH64" s="1016"/>
      <c r="BI64" s="1016"/>
      <c r="BK64" s="1016"/>
      <c r="BL64" s="1016"/>
    </row>
    <row r="65" spans="1:64" ht="15" thickBot="1" x14ac:dyDescent="0.35">
      <c r="A65" s="1569"/>
      <c r="X65" s="1465"/>
      <c r="Y65" s="583"/>
      <c r="Z65" s="837"/>
      <c r="AA65" s="583"/>
      <c r="AB65" s="583"/>
      <c r="AC65" s="583"/>
      <c r="AD65" s="831" t="e">
        <f>VALUE(CONCATENATE(AD63,",",AD64))</f>
        <v>#VALUE!</v>
      </c>
      <c r="AE65" s="832" t="str">
        <f>IF(AE59="Штраф 50%","",IF(OR(AA62=" в размере",AA59=" в размере"),AD65,""))</f>
        <v/>
      </c>
      <c r="AF65" s="1018"/>
      <c r="AG65" s="1018"/>
      <c r="AL65" s="1465"/>
      <c r="AM65" s="583"/>
      <c r="AN65" s="837"/>
      <c r="AO65" s="583"/>
      <c r="AP65" s="583"/>
      <c r="AQ65" s="583"/>
      <c r="AR65" s="831" t="e">
        <f>VALUE(CONCATENATE(AR63,",",AR64))</f>
        <v>#VALUE!</v>
      </c>
      <c r="AS65" s="832" t="str">
        <f>IF(AS59="Штраф 50%","",IF(OR(AO62=" в размере",AO59=" в размере"),AR65,""))</f>
        <v/>
      </c>
      <c r="AT65" s="1018"/>
      <c r="AU65" s="1018"/>
      <c r="AZ65" s="1465"/>
      <c r="BA65" s="583"/>
      <c r="BB65" s="837"/>
      <c r="BC65" s="583"/>
      <c r="BD65" s="583"/>
      <c r="BE65" s="583"/>
      <c r="BF65" s="831" t="e">
        <f>VALUE(CONCATENATE(BF63,",",BF64))</f>
        <v>#VALUE!</v>
      </c>
      <c r="BG65" s="832" t="str">
        <f>IF(BG59="Штраф 50%","",IF(OR(BC62=" в размере",BC59=" в размере"),BF65,""))</f>
        <v/>
      </c>
      <c r="BH65" s="1018"/>
      <c r="BI65" s="1018"/>
      <c r="BK65" s="1018"/>
      <c r="BL65" s="1018"/>
    </row>
    <row r="66" spans="1:64" ht="15" thickTop="1" x14ac:dyDescent="0.3">
      <c r="A66" s="1569"/>
      <c r="X66" s="1463">
        <v>10</v>
      </c>
      <c r="Y66" s="824" t="s">
        <v>8433</v>
      </c>
      <c r="Z66" s="838" t="e">
        <f>SEARCH(U$4,W$4,AB59)+LEN(U$4)</f>
        <v>#VALUE!</v>
      </c>
      <c r="AA66" s="406" t="str">
        <f>IF(AB66=IFERROR(SEARCH(".",W$4,Z66),99999),".",
IF(AB66=IFERROR(SEARCH(",",W$4,Z66),99999),",",
IF(AB66=IFERROR(SEARCH(" за период",W$4,Z66),999999)," за период",
IF(AB66=IFERROR(SEARCH(" в размере",W$4,Z66),99999)," в размере",
))))</f>
        <v>.</v>
      </c>
      <c r="AB66" s="406">
        <f>IFERROR(MIN(IFERROR(SEARCH(".",W$4,Z66),99999),IFERROR(SEARCH(",",W$4,Z66),99999),IFERROR(SEARCH(" за период",W$4,Z66),999999),IFERROR(SEARCH(" в размере",W$4,Z66),99999)),"ОШИБКА")</f>
        <v>99999</v>
      </c>
      <c r="AC66" s="406" t="e">
        <f>AB66-Z66</f>
        <v>#VALUE!</v>
      </c>
      <c r="AD66" s="824" t="e">
        <f>MID(W$4,Z66,AC66)</f>
        <v>#VALUE!</v>
      </c>
      <c r="AE66" s="825" t="str">
        <f>IFERROR(INDEX($EL:$EL,MATCH(MID(W$4,Z66,AC66),$EK:$EK,0),1),"")</f>
        <v/>
      </c>
      <c r="AF66" s="1016"/>
      <c r="AG66" s="1016"/>
      <c r="AH66" s="754"/>
      <c r="AL66" s="1463">
        <v>10</v>
      </c>
      <c r="AM66" s="824" t="s">
        <v>8433</v>
      </c>
      <c r="AN66" s="838" t="e">
        <f>SEARCH(AI$4,AK$4,AP59)+LEN(AI$4)</f>
        <v>#VALUE!</v>
      </c>
      <c r="AO66" s="406" t="str">
        <f>IF(AP66=IFERROR(SEARCH(".",AK$4,AN66),99999),".",
IF(AP66=IFERROR(SEARCH(",",AK$4,AN66),99999),",",
IF(AP66=IFERROR(SEARCH(" за период",AK$4,AN66),999999)," за период",
IF(AP66=IFERROR(SEARCH(" в размере",AK$4,AN66),99999)," в размере",
))))</f>
        <v>.</v>
      </c>
      <c r="AP66" s="406">
        <f>IFERROR(MIN(IFERROR(SEARCH(".",AK$4,AN66),99999),IFERROR(SEARCH(",",AK$4,AN66),99999),IFERROR(SEARCH(" за период",AK$4,AN66),999999),IFERROR(SEARCH(" в размере",AK$4,AN66),99999)),"ОШИБКА")</f>
        <v>99999</v>
      </c>
      <c r="AQ66" s="406" t="e">
        <f>AP66-AN66</f>
        <v>#VALUE!</v>
      </c>
      <c r="AR66" s="824" t="e">
        <f>MID(AK$4,AN66,AQ66)</f>
        <v>#VALUE!</v>
      </c>
      <c r="AS66" s="825" t="str">
        <f>IFERROR(INDEX($EL:$EL,MATCH(MID(AK$4,AN66,AQ66),$EK:$EK,0),1),"")</f>
        <v/>
      </c>
      <c r="AT66" s="1016"/>
      <c r="AU66" s="1016"/>
      <c r="AV66" s="754"/>
      <c r="AZ66" s="1463">
        <v>10</v>
      </c>
      <c r="BA66" s="824" t="s">
        <v>8433</v>
      </c>
      <c r="BB66" s="838" t="e">
        <f>SEARCH(AW$4,AY$4,BD59)+LEN(AW$4)</f>
        <v>#VALUE!</v>
      </c>
      <c r="BC66" s="406" t="str">
        <f>IF(BD66=IFERROR(SEARCH(".",AY$4,BB66),99999),".",
IF(BD66=IFERROR(SEARCH(",",AY$4,BB66),99999),",",
IF(BD66=IFERROR(SEARCH(" за период",AY$4,BB66),999999)," за период",
IF(BD66=IFERROR(SEARCH(" в размере",AY$4,BB66),99999)," в размере",
))))</f>
        <v>.</v>
      </c>
      <c r="BD66" s="406">
        <f>IFERROR(MIN(IFERROR(SEARCH(".",AY$4,BB66),99999),IFERROR(SEARCH(",",AY$4,BB66),99999),IFERROR(SEARCH(" за период",AY$4,BB66),999999),IFERROR(SEARCH(" в размере",AY$4,BB66),99999)),"ОШИБКА")</f>
        <v>99999</v>
      </c>
      <c r="BE66" s="406" t="e">
        <f>BD66-BB66</f>
        <v>#VALUE!</v>
      </c>
      <c r="BF66" s="824" t="e">
        <f>MID(AY$4,BB66,BE66)</f>
        <v>#VALUE!</v>
      </c>
      <c r="BG66" s="825" t="str">
        <f>IFERROR(INDEX($EL:$EL,MATCH(MID(AY$4,BB66,BE66),$EK:$EK,0),1),"")</f>
        <v/>
      </c>
      <c r="BH66" s="1016"/>
      <c r="BI66" s="1016"/>
      <c r="BJ66" s="754"/>
      <c r="BK66" s="1016"/>
      <c r="BL66" s="1016"/>
    </row>
    <row r="67" spans="1:64" x14ac:dyDescent="0.3">
      <c r="A67" s="1569"/>
      <c r="X67" s="1464"/>
      <c r="Y67" s="826" t="s">
        <v>8435</v>
      </c>
      <c r="Z67" s="836" t="str">
        <f>IF(AA66=" за период",SEARCH(" за период",W$4,AB66)+LEN(" за период")+3,"НЕТ")</f>
        <v>НЕТ</v>
      </c>
      <c r="AA67" s="306" t="s">
        <v>8434</v>
      </c>
      <c r="AB67" s="306" t="e">
        <f>SEARCH(AA67,W$4,Z67)</f>
        <v>#VALUE!</v>
      </c>
      <c r="AC67" s="306" t="e">
        <f>AB67-Z67</f>
        <v>#VALUE!</v>
      </c>
      <c r="AD67" s="827" t="e">
        <f>DATEVALUE(MID(W$4,Z67,AC67))</f>
        <v>#VALUE!</v>
      </c>
      <c r="AE67" s="828" t="str">
        <f>IF(AA66=" за период",AD67,"")</f>
        <v/>
      </c>
      <c r="AF67" s="1017"/>
      <c r="AG67" s="1017"/>
      <c r="AL67" s="1464"/>
      <c r="AM67" s="826" t="s">
        <v>8435</v>
      </c>
      <c r="AN67" s="836" t="str">
        <f>IF(AO66=" за период",SEARCH(" за период",AK$4,AP66)+LEN(" за период")+3,"НЕТ")</f>
        <v>НЕТ</v>
      </c>
      <c r="AO67" s="306" t="s">
        <v>8434</v>
      </c>
      <c r="AP67" s="306" t="e">
        <f>SEARCH(AO67,AK$4,AN67)</f>
        <v>#VALUE!</v>
      </c>
      <c r="AQ67" s="306" t="e">
        <f>AP67-AN67</f>
        <v>#VALUE!</v>
      </c>
      <c r="AR67" s="827" t="e">
        <f>DATEVALUE(MID(AK$4,AN67,AQ67))</f>
        <v>#VALUE!</v>
      </c>
      <c r="AS67" s="828" t="str">
        <f>IF(AO66=" за период",AR67,"")</f>
        <v/>
      </c>
      <c r="AT67" s="1017"/>
      <c r="AU67" s="1017"/>
      <c r="AZ67" s="1464"/>
      <c r="BA67" s="826" t="s">
        <v>8435</v>
      </c>
      <c r="BB67" s="836" t="str">
        <f>IF(BC66=" за период",SEARCH(" за период",AY$4,BD66)+LEN(" за период")+3,"НЕТ")</f>
        <v>НЕТ</v>
      </c>
      <c r="BC67" s="306" t="s">
        <v>8434</v>
      </c>
      <c r="BD67" s="306" t="e">
        <f>SEARCH(BC67,AY$4,BB67)</f>
        <v>#VALUE!</v>
      </c>
      <c r="BE67" s="306" t="e">
        <f>BD67-BB67</f>
        <v>#VALUE!</v>
      </c>
      <c r="BF67" s="827" t="e">
        <f>DATEVALUE(MID(AY$4,BB67,BE67))</f>
        <v>#VALUE!</v>
      </c>
      <c r="BG67" s="828" t="str">
        <f>IF(BC66=" за период",BF67,"")</f>
        <v/>
      </c>
      <c r="BH67" s="1017"/>
      <c r="BI67" s="1017"/>
      <c r="BK67" s="1017"/>
      <c r="BL67" s="1017"/>
    </row>
    <row r="68" spans="1:64" x14ac:dyDescent="0.3">
      <c r="A68" s="1569"/>
      <c r="X68" s="1464"/>
      <c r="Y68" s="826" t="s">
        <v>8436</v>
      </c>
      <c r="Z68" s="836" t="e">
        <f>SEARCH(" ",W$4,AB67+1)+1</f>
        <v>#VALUE!</v>
      </c>
      <c r="AA68" s="306"/>
      <c r="AB68" s="306" t="e">
        <f>Z68+AC68</f>
        <v>#VALUE!</v>
      </c>
      <c r="AC68" s="306">
        <v>10</v>
      </c>
      <c r="AD68" s="827" t="e">
        <f>DATEVALUE(MID(W$4,Z68,AC68))</f>
        <v>#VALUE!</v>
      </c>
      <c r="AE68" s="828" t="str">
        <f>IF(AA66=" за период",AD68,"")</f>
        <v/>
      </c>
      <c r="AF68" s="1017"/>
      <c r="AG68" s="1017"/>
      <c r="AL68" s="1464"/>
      <c r="AM68" s="826" t="s">
        <v>8436</v>
      </c>
      <c r="AN68" s="836" t="e">
        <f>SEARCH(" ",AK$4,AP67+1)+1</f>
        <v>#VALUE!</v>
      </c>
      <c r="AO68" s="306"/>
      <c r="AP68" s="306" t="e">
        <f>AN68+AQ68</f>
        <v>#VALUE!</v>
      </c>
      <c r="AQ68" s="306">
        <v>10</v>
      </c>
      <c r="AR68" s="827" t="e">
        <f>DATEVALUE(MID(AK$4,AN68,AQ68))</f>
        <v>#VALUE!</v>
      </c>
      <c r="AS68" s="828" t="str">
        <f>IF(AO66=" за период",AR68,"")</f>
        <v/>
      </c>
      <c r="AT68" s="1017"/>
      <c r="AU68" s="1017"/>
      <c r="AZ68" s="1464"/>
      <c r="BA68" s="826" t="s">
        <v>8436</v>
      </c>
      <c r="BB68" s="836" t="e">
        <f>SEARCH(" ",AY$4,BD67+1)+1</f>
        <v>#VALUE!</v>
      </c>
      <c r="BC68" s="306"/>
      <c r="BD68" s="306" t="e">
        <f>BB68+BE68</f>
        <v>#VALUE!</v>
      </c>
      <c r="BE68" s="306">
        <v>10</v>
      </c>
      <c r="BF68" s="827" t="e">
        <f>DATEVALUE(MID(AY$4,BB68,BE68))</f>
        <v>#VALUE!</v>
      </c>
      <c r="BG68" s="828" t="str">
        <f>IF(BC66=" за период",BF68,"")</f>
        <v/>
      </c>
      <c r="BH68" s="1017"/>
      <c r="BI68" s="1017"/>
      <c r="BK68" s="1017"/>
      <c r="BL68" s="1017"/>
    </row>
    <row r="69" spans="1:64" x14ac:dyDescent="0.3">
      <c r="A69" s="1569"/>
      <c r="X69" s="1464"/>
      <c r="Y69" s="826"/>
      <c r="Z69" s="836"/>
      <c r="AA69" s="306" t="str">
        <f>IF(AB69=IFERROR(SEARCH(".",W$4,AB68),99999),".",
IF(AB69=IFERROR(SEARCH(",",W$4,AB68),99999),",",
IF(AB69=IFERROR(SEARCH(" за период",W$4,AB68),999999)," за период",
IF(AB69=IFERROR(SEARCH(" в размере",W$4,AB68),99999)," в размере",
))))</f>
        <v>.</v>
      </c>
      <c r="AB69" s="306">
        <f>MIN(
IFERROR(SEARCH(".",W$4,AB68),99999),
IFERROR(SEARCH(",",W$4,AB68),99999),
IFERROR(SEARCH(" в размере",W$4,AB68),99999))</f>
        <v>99999</v>
      </c>
      <c r="AC69" s="306"/>
      <c r="AD69" s="827"/>
      <c r="AE69" s="829"/>
      <c r="AF69" s="1016"/>
      <c r="AG69" s="1016"/>
      <c r="AL69" s="1464"/>
      <c r="AM69" s="826"/>
      <c r="AN69" s="836"/>
      <c r="AO69" s="306" t="str">
        <f>IF(AP69=IFERROR(SEARCH(".",AK$4,AP68),99999),".",
IF(AP69=IFERROR(SEARCH(",",AK$4,AP68),99999),",",
IF(AP69=IFERROR(SEARCH(" за период",AK$4,AP68),999999)," за период",
IF(AP69=IFERROR(SEARCH(" в размере",AK$4,AP68),99999)," в размере",
))))</f>
        <v>.</v>
      </c>
      <c r="AP69" s="306">
        <f>MIN(
IFERROR(SEARCH(".",AK$4,AP68),99999),
IFERROR(SEARCH(",",AK$4,AP68),99999),
IFERROR(SEARCH(" в размере",AK$4,AP68),99999))</f>
        <v>99999</v>
      </c>
      <c r="AQ69" s="306"/>
      <c r="AR69" s="827"/>
      <c r="AS69" s="829"/>
      <c r="AT69" s="1016"/>
      <c r="AU69" s="1016"/>
      <c r="AZ69" s="1464"/>
      <c r="BA69" s="826"/>
      <c r="BB69" s="836"/>
      <c r="BC69" s="306" t="str">
        <f>IF(BD69=IFERROR(SEARCH(".",AY$4,BD68),99999),".",
IF(BD69=IFERROR(SEARCH(",",AY$4,BD68),99999),",",
IF(BD69=IFERROR(SEARCH(" за период",AY$4,BD68),999999)," за период",
IF(BD69=IFERROR(SEARCH(" в размере",AY$4,BD68),99999)," в размере",
))))</f>
        <v>.</v>
      </c>
      <c r="BD69" s="306">
        <f>MIN(
IFERROR(SEARCH(".",AY$4,BD68),99999),
IFERROR(SEARCH(",",AY$4,BD68),99999),
IFERROR(SEARCH(" в размере",AY$4,BD68),99999))</f>
        <v>99999</v>
      </c>
      <c r="BE69" s="306"/>
      <c r="BF69" s="827"/>
      <c r="BG69" s="829"/>
      <c r="BH69" s="1016"/>
      <c r="BI69" s="1016"/>
      <c r="BK69" s="1016"/>
      <c r="BL69" s="1016"/>
    </row>
    <row r="70" spans="1:64" x14ac:dyDescent="0.3">
      <c r="A70" s="1569"/>
      <c r="X70" s="1464"/>
      <c r="Y70" s="835" t="s">
        <v>8249</v>
      </c>
      <c r="Z70" s="836" t="e">
        <f>SEARCH(" в размере",W$4,AB66)+LEN(" в размере")+1</f>
        <v>#VALUE!</v>
      </c>
      <c r="AA70" s="306" t="s">
        <v>8234</v>
      </c>
      <c r="AB70" s="306" t="e">
        <f>SEARCH(AA70,W$4,Z70)</f>
        <v>#VALUE!</v>
      </c>
      <c r="AC70" s="306" t="e">
        <f>AB70-Z70</f>
        <v>#VALUE!</v>
      </c>
      <c r="AD70" s="826" t="e">
        <f>IF(AE66="Штраф 50%","",MID(W$4,Z70,AC70))</f>
        <v>#VALUE!</v>
      </c>
      <c r="AE70" s="829"/>
      <c r="AF70" s="1016"/>
      <c r="AG70" s="1016"/>
      <c r="AL70" s="1464"/>
      <c r="AM70" s="835" t="s">
        <v>8249</v>
      </c>
      <c r="AN70" s="836" t="e">
        <f>SEARCH(" в размере",AK$4,AP66)+LEN(" в размере")+1</f>
        <v>#VALUE!</v>
      </c>
      <c r="AO70" s="306" t="s">
        <v>8234</v>
      </c>
      <c r="AP70" s="306" t="e">
        <f>SEARCH(AO70,AK$4,AN70)</f>
        <v>#VALUE!</v>
      </c>
      <c r="AQ70" s="306" t="e">
        <f>AP70-AN70</f>
        <v>#VALUE!</v>
      </c>
      <c r="AR70" s="826" t="e">
        <f>IF(AS66="Штраф 50%","",MID(AK$4,AN70,AQ70))</f>
        <v>#VALUE!</v>
      </c>
      <c r="AS70" s="829"/>
      <c r="AT70" s="1016"/>
      <c r="AU70" s="1016"/>
      <c r="AZ70" s="1464"/>
      <c r="BA70" s="835" t="s">
        <v>8249</v>
      </c>
      <c r="BB70" s="836" t="e">
        <f>SEARCH(" в размере",AY$4,BD66)+LEN(" в размере")+1</f>
        <v>#VALUE!</v>
      </c>
      <c r="BC70" s="306" t="s">
        <v>8234</v>
      </c>
      <c r="BD70" s="306" t="e">
        <f>SEARCH(BC70,AY$4,BB70)</f>
        <v>#VALUE!</v>
      </c>
      <c r="BE70" s="306" t="e">
        <f>BD70-BB70</f>
        <v>#VALUE!</v>
      </c>
      <c r="BF70" s="826" t="e">
        <f>IF(BG66="Штраф 50%","",MID(AY$4,BB70,BE70))</f>
        <v>#VALUE!</v>
      </c>
      <c r="BG70" s="829"/>
      <c r="BH70" s="1016"/>
      <c r="BI70" s="1016"/>
      <c r="BK70" s="1016"/>
      <c r="BL70" s="1016"/>
    </row>
    <row r="71" spans="1:64" x14ac:dyDescent="0.3">
      <c r="A71" s="1569"/>
      <c r="X71" s="1464"/>
      <c r="Y71" s="401"/>
      <c r="Z71" s="836" t="e">
        <f>SEARCH(" ",W$4,SEARCH("руб",W$4,AB70))+1</f>
        <v>#VALUE!</v>
      </c>
      <c r="AA71" s="306" t="s">
        <v>8432</v>
      </c>
      <c r="AB71" s="306" t="e">
        <f>SEARCH(AA71,W$4,Z71)</f>
        <v>#VALUE!</v>
      </c>
      <c r="AC71" s="306" t="e">
        <f>AB71-Z71</f>
        <v>#VALUE!</v>
      </c>
      <c r="AD71" s="826" t="e">
        <f>IF(AE66="Штраф 50%","",MID(W$4,Z71,AC71))</f>
        <v>#VALUE!</v>
      </c>
      <c r="AE71" s="829"/>
      <c r="AF71" s="1016"/>
      <c r="AG71" s="1016"/>
      <c r="AL71" s="1464"/>
      <c r="AM71" s="401"/>
      <c r="AN71" s="836" t="e">
        <f>SEARCH(" ",AK$4,SEARCH("руб",AK$4,AP70))+1</f>
        <v>#VALUE!</v>
      </c>
      <c r="AO71" s="306" t="s">
        <v>8432</v>
      </c>
      <c r="AP71" s="306" t="e">
        <f>SEARCH(AO71,AK$4,AN71)</f>
        <v>#VALUE!</v>
      </c>
      <c r="AQ71" s="306" t="e">
        <f>AP71-AN71</f>
        <v>#VALUE!</v>
      </c>
      <c r="AR71" s="826" t="e">
        <f>IF(AS66="Штраф 50%","",MID(AK$4,AN71,AQ71))</f>
        <v>#VALUE!</v>
      </c>
      <c r="AS71" s="829"/>
      <c r="AT71" s="1016"/>
      <c r="AU71" s="1016"/>
      <c r="AZ71" s="1464"/>
      <c r="BA71" s="401"/>
      <c r="BB71" s="836" t="e">
        <f>SEARCH(" ",AY$4,SEARCH("руб",AY$4,BD70))+1</f>
        <v>#VALUE!</v>
      </c>
      <c r="BC71" s="306" t="s">
        <v>8432</v>
      </c>
      <c r="BD71" s="306" t="e">
        <f>SEARCH(BC71,AY$4,BB71)</f>
        <v>#VALUE!</v>
      </c>
      <c r="BE71" s="306" t="e">
        <f>BD71-BB71</f>
        <v>#VALUE!</v>
      </c>
      <c r="BF71" s="826" t="e">
        <f>IF(BG66="Штраф 50%","",MID(AY$4,BB71,BE71))</f>
        <v>#VALUE!</v>
      </c>
      <c r="BG71" s="829"/>
      <c r="BH71" s="1016"/>
      <c r="BI71" s="1016"/>
      <c r="BK71" s="1016"/>
      <c r="BL71" s="1016"/>
    </row>
    <row r="72" spans="1:64" ht="15" thickBot="1" x14ac:dyDescent="0.35">
      <c r="A72" s="1569"/>
      <c r="X72" s="1465"/>
      <c r="Y72" s="583"/>
      <c r="Z72" s="837"/>
      <c r="AA72" s="583"/>
      <c r="AB72" s="583"/>
      <c r="AC72" s="583"/>
      <c r="AD72" s="831" t="e">
        <f>VALUE(CONCATENATE(AD70,",",AD71))</f>
        <v>#VALUE!</v>
      </c>
      <c r="AE72" s="832" t="str">
        <f>IF(AE66="Штраф 50%","",IF(OR(AA69=" в размере",AA66=" в размере"),AD72,""))</f>
        <v/>
      </c>
      <c r="AF72" s="1018"/>
      <c r="AG72" s="1018"/>
      <c r="AL72" s="1465"/>
      <c r="AM72" s="583"/>
      <c r="AN72" s="837"/>
      <c r="AO72" s="583"/>
      <c r="AP72" s="583"/>
      <c r="AQ72" s="583"/>
      <c r="AR72" s="831" t="e">
        <f>VALUE(CONCATENATE(AR70,",",AR71))</f>
        <v>#VALUE!</v>
      </c>
      <c r="AS72" s="832" t="str">
        <f>IF(AS66="Штраф 50%","",IF(OR(AO69=" в размере",AO66=" в размере"),AR72,""))</f>
        <v/>
      </c>
      <c r="AT72" s="1018"/>
      <c r="AU72" s="1018"/>
      <c r="AZ72" s="1465"/>
      <c r="BA72" s="583"/>
      <c r="BB72" s="837"/>
      <c r="BC72" s="583"/>
      <c r="BD72" s="583"/>
      <c r="BE72" s="583"/>
      <c r="BF72" s="831" t="e">
        <f>VALUE(CONCATENATE(BF70,",",BF71))</f>
        <v>#VALUE!</v>
      </c>
      <c r="BG72" s="832" t="str">
        <f>IF(BG66="Штраф 50%","",IF(OR(BC69=" в размере",BC66=" в размере"),BF72,""))</f>
        <v/>
      </c>
      <c r="BH72" s="1018"/>
      <c r="BI72" s="1018"/>
      <c r="BK72" s="1018"/>
      <c r="BL72" s="1018"/>
    </row>
    <row r="73" spans="1:64" ht="15" thickTop="1" x14ac:dyDescent="0.3">
      <c r="A73" s="1569"/>
      <c r="X73" s="1463">
        <v>11</v>
      </c>
      <c r="Y73" s="824" t="s">
        <v>8433</v>
      </c>
      <c r="Z73" s="838" t="e">
        <f>SEARCH(U$4,W$4,AB66)+LEN(U$4)</f>
        <v>#VALUE!</v>
      </c>
      <c r="AA73" s="406" t="str">
        <f>IF(AB73=IFERROR(SEARCH(".",W$4,Z73),99999),".",
IF(AB73=IFERROR(SEARCH(",",W$4,Z73),99999),",",
IF(AB73=IFERROR(SEARCH(" за период",W$4,Z73),999999)," за период",
IF(AB73=IFERROR(SEARCH(" в размере",W$4,Z73),99999)," в размере",
))))</f>
        <v>.</v>
      </c>
      <c r="AB73" s="406">
        <f>IFERROR(MIN(IFERROR(SEARCH(".",W$4,Z73),99999),IFERROR(SEARCH(",",W$4,Z73),99999),IFERROR(SEARCH(" за период",W$4,Z73),999999),IFERROR(SEARCH(" в размере",W$4,Z73),99999)),"ОШИБКА")</f>
        <v>99999</v>
      </c>
      <c r="AC73" s="406" t="e">
        <f>AB73-Z73</f>
        <v>#VALUE!</v>
      </c>
      <c r="AD73" s="824" t="e">
        <f>MID(W$4,Z73,AC73)</f>
        <v>#VALUE!</v>
      </c>
      <c r="AE73" s="825" t="str">
        <f>IFERROR(INDEX($EL:$EL,MATCH(MID(W$4,Z73,AC73),$EK:$EK,0),1),"")</f>
        <v/>
      </c>
      <c r="AF73" s="1016"/>
      <c r="AG73" s="1016"/>
      <c r="AH73" s="754"/>
      <c r="AL73" s="1463">
        <v>11</v>
      </c>
      <c r="AM73" s="824" t="s">
        <v>8433</v>
      </c>
      <c r="AN73" s="838" t="e">
        <f>SEARCH(AI$4,AK$4,AP66)+LEN(AI$4)</f>
        <v>#VALUE!</v>
      </c>
      <c r="AO73" s="406" t="str">
        <f>IF(AP73=IFERROR(SEARCH(".",AK$4,AN73),99999),".",
IF(AP73=IFERROR(SEARCH(",",AK$4,AN73),99999),",",
IF(AP73=IFERROR(SEARCH(" за период",AK$4,AN73),999999)," за период",
IF(AP73=IFERROR(SEARCH(" в размере",AK$4,AN73),99999)," в размере",
))))</f>
        <v>.</v>
      </c>
      <c r="AP73" s="406">
        <f>IFERROR(MIN(IFERROR(SEARCH(".",AK$4,AN73),99999),IFERROR(SEARCH(",",AK$4,AN73),99999),IFERROR(SEARCH(" за период",AK$4,AN73),999999),IFERROR(SEARCH(" в размере",AK$4,AN73),99999)),"ОШИБКА")</f>
        <v>99999</v>
      </c>
      <c r="AQ73" s="406" t="e">
        <f>AP73-AN73</f>
        <v>#VALUE!</v>
      </c>
      <c r="AR73" s="824" t="e">
        <f>MID(AK$4,AN73,AQ73)</f>
        <v>#VALUE!</v>
      </c>
      <c r="AS73" s="825" t="str">
        <f>IFERROR(INDEX($EL:$EL,MATCH(MID(AK$4,AN73,AQ73),$EK:$EK,0),1),"")</f>
        <v/>
      </c>
      <c r="AT73" s="1016"/>
      <c r="AU73" s="1016"/>
      <c r="AV73" s="754"/>
      <c r="AZ73" s="1463">
        <v>11</v>
      </c>
      <c r="BA73" s="824" t="s">
        <v>8433</v>
      </c>
      <c r="BB73" s="838" t="e">
        <f>SEARCH(AW$4,AY$4,BD66)+LEN(AW$4)</f>
        <v>#VALUE!</v>
      </c>
      <c r="BC73" s="406" t="str">
        <f>IF(BD73=IFERROR(SEARCH(".",AY$4,BB73),99999),".",
IF(BD73=IFERROR(SEARCH(",",AY$4,BB73),99999),",",
IF(BD73=IFERROR(SEARCH(" за период",AY$4,BB73),999999)," за период",
IF(BD73=IFERROR(SEARCH(" в размере",AY$4,BB73),99999)," в размере",
))))</f>
        <v>.</v>
      </c>
      <c r="BD73" s="406">
        <f>IFERROR(MIN(IFERROR(SEARCH(".",AY$4,BB73),99999),IFERROR(SEARCH(",",AY$4,BB73),99999),IFERROR(SEARCH(" за период",AY$4,BB73),999999),IFERROR(SEARCH(" в размере",AY$4,BB73),99999)),"ОШИБКА")</f>
        <v>99999</v>
      </c>
      <c r="BE73" s="406" t="e">
        <f>BD73-BB73</f>
        <v>#VALUE!</v>
      </c>
      <c r="BF73" s="824" t="e">
        <f>MID(AY$4,BB73,BE73)</f>
        <v>#VALUE!</v>
      </c>
      <c r="BG73" s="825" t="str">
        <f>IFERROR(INDEX($EL:$EL,MATCH(MID(AY$4,BB73,BE73),$EK:$EK,0),1),"")</f>
        <v/>
      </c>
      <c r="BH73" s="1016"/>
      <c r="BI73" s="1016"/>
      <c r="BJ73" s="754"/>
      <c r="BK73" s="1016"/>
      <c r="BL73" s="1016"/>
    </row>
    <row r="74" spans="1:64" x14ac:dyDescent="0.3">
      <c r="A74" s="1569"/>
      <c r="X74" s="1464"/>
      <c r="Y74" s="826" t="s">
        <v>8435</v>
      </c>
      <c r="Z74" s="836" t="str">
        <f>IF(AA73=" за период",SEARCH(" за период",W$4,AB73)+LEN(" за период")+3,"НЕТ")</f>
        <v>НЕТ</v>
      </c>
      <c r="AA74" s="306" t="s">
        <v>8434</v>
      </c>
      <c r="AB74" s="306" t="e">
        <f>SEARCH(AA74,W$4,Z74)</f>
        <v>#VALUE!</v>
      </c>
      <c r="AC74" s="306" t="e">
        <f>AB74-Z74</f>
        <v>#VALUE!</v>
      </c>
      <c r="AD74" s="827" t="e">
        <f>DATEVALUE(MID(W$4,Z74,AC74))</f>
        <v>#VALUE!</v>
      </c>
      <c r="AE74" s="828" t="str">
        <f>IF(AA73=" за период",AD74,"")</f>
        <v/>
      </c>
      <c r="AF74" s="1017"/>
      <c r="AG74" s="1017"/>
      <c r="AL74" s="1464"/>
      <c r="AM74" s="826" t="s">
        <v>8435</v>
      </c>
      <c r="AN74" s="836" t="str">
        <f>IF(AO73=" за период",SEARCH(" за период",AK$4,AP73)+LEN(" за период")+3,"НЕТ")</f>
        <v>НЕТ</v>
      </c>
      <c r="AO74" s="306" t="s">
        <v>8434</v>
      </c>
      <c r="AP74" s="306" t="e">
        <f>SEARCH(AO74,AK$4,AN74)</f>
        <v>#VALUE!</v>
      </c>
      <c r="AQ74" s="306" t="e">
        <f>AP74-AN74</f>
        <v>#VALUE!</v>
      </c>
      <c r="AR74" s="827" t="e">
        <f>DATEVALUE(MID(AK$4,AN74,AQ74))</f>
        <v>#VALUE!</v>
      </c>
      <c r="AS74" s="828" t="str">
        <f>IF(AO73=" за период",AR74,"")</f>
        <v/>
      </c>
      <c r="AT74" s="1017"/>
      <c r="AU74" s="1017"/>
      <c r="AZ74" s="1464"/>
      <c r="BA74" s="826" t="s">
        <v>8435</v>
      </c>
      <c r="BB74" s="836" t="str">
        <f>IF(BC73=" за период",SEARCH(" за период",AY$4,BD73)+LEN(" за период")+3,"НЕТ")</f>
        <v>НЕТ</v>
      </c>
      <c r="BC74" s="306" t="s">
        <v>8434</v>
      </c>
      <c r="BD74" s="306" t="e">
        <f>SEARCH(BC74,AY$4,BB74)</f>
        <v>#VALUE!</v>
      </c>
      <c r="BE74" s="306" t="e">
        <f>BD74-BB74</f>
        <v>#VALUE!</v>
      </c>
      <c r="BF74" s="827" t="e">
        <f>DATEVALUE(MID(AY$4,BB74,BE74))</f>
        <v>#VALUE!</v>
      </c>
      <c r="BG74" s="828" t="str">
        <f>IF(BC73=" за период",BF74,"")</f>
        <v/>
      </c>
      <c r="BH74" s="1017"/>
      <c r="BI74" s="1017"/>
      <c r="BK74" s="1017"/>
      <c r="BL74" s="1017"/>
    </row>
    <row r="75" spans="1:64" x14ac:dyDescent="0.3">
      <c r="A75" s="1569"/>
      <c r="X75" s="1464"/>
      <c r="Y75" s="826" t="s">
        <v>8436</v>
      </c>
      <c r="Z75" s="836" t="e">
        <f>SEARCH(" ",W$4,AB74+1)+1</f>
        <v>#VALUE!</v>
      </c>
      <c r="AA75" s="306"/>
      <c r="AB75" s="306" t="e">
        <f>Z75+AC75</f>
        <v>#VALUE!</v>
      </c>
      <c r="AC75" s="306">
        <v>10</v>
      </c>
      <c r="AD75" s="827" t="e">
        <f>DATEVALUE(MID(W$4,Z75,AC75))</f>
        <v>#VALUE!</v>
      </c>
      <c r="AE75" s="828" t="str">
        <f>IF(AA73=" за период",AD75,"")</f>
        <v/>
      </c>
      <c r="AF75" s="1017"/>
      <c r="AG75" s="1017"/>
      <c r="AL75" s="1464"/>
      <c r="AM75" s="826" t="s">
        <v>8436</v>
      </c>
      <c r="AN75" s="836" t="e">
        <f>SEARCH(" ",AK$4,AP74+1)+1</f>
        <v>#VALUE!</v>
      </c>
      <c r="AO75" s="306"/>
      <c r="AP75" s="306" t="e">
        <f>AN75+AQ75</f>
        <v>#VALUE!</v>
      </c>
      <c r="AQ75" s="306">
        <v>10</v>
      </c>
      <c r="AR75" s="827" t="e">
        <f>DATEVALUE(MID(AK$4,AN75,AQ75))</f>
        <v>#VALUE!</v>
      </c>
      <c r="AS75" s="828" t="str">
        <f>IF(AO73=" за период",AR75,"")</f>
        <v/>
      </c>
      <c r="AT75" s="1017"/>
      <c r="AU75" s="1017"/>
      <c r="AZ75" s="1464"/>
      <c r="BA75" s="826" t="s">
        <v>8436</v>
      </c>
      <c r="BB75" s="836" t="e">
        <f>SEARCH(" ",AY$4,BD74+1)+1</f>
        <v>#VALUE!</v>
      </c>
      <c r="BC75" s="306"/>
      <c r="BD75" s="306" t="e">
        <f>BB75+BE75</f>
        <v>#VALUE!</v>
      </c>
      <c r="BE75" s="306">
        <v>10</v>
      </c>
      <c r="BF75" s="827" t="e">
        <f>DATEVALUE(MID(AY$4,BB75,BE75))</f>
        <v>#VALUE!</v>
      </c>
      <c r="BG75" s="828" t="str">
        <f>IF(BC73=" за период",BF75,"")</f>
        <v/>
      </c>
      <c r="BH75" s="1017"/>
      <c r="BI75" s="1017"/>
      <c r="BK75" s="1017"/>
      <c r="BL75" s="1017"/>
    </row>
    <row r="76" spans="1:64" x14ac:dyDescent="0.3">
      <c r="A76" s="1569"/>
      <c r="X76" s="1464"/>
      <c r="Y76" s="826"/>
      <c r="Z76" s="836"/>
      <c r="AA76" s="306" t="str">
        <f>IF(AB76=IFERROR(SEARCH(".",W$4,AB75),99999),".",
IF(AB76=IFERROR(SEARCH(",",W$4,AB75),99999),",",
IF(AB76=IFERROR(SEARCH(" за период",W$4,AB75),999999)," за период",
IF(AB76=IFERROR(SEARCH(" в размере",W$4,AB75),99999)," в размере",
))))</f>
        <v>.</v>
      </c>
      <c r="AB76" s="306">
        <f>MIN(
IFERROR(SEARCH(".",W$4,AB75),99999),
IFERROR(SEARCH(",",W$4,AB75),99999),
IFERROR(SEARCH(" в размере",W$4,AB75),99999))</f>
        <v>99999</v>
      </c>
      <c r="AC76" s="306"/>
      <c r="AD76" s="827"/>
      <c r="AE76" s="829"/>
      <c r="AF76" s="1016"/>
      <c r="AG76" s="1016"/>
      <c r="AL76" s="1464"/>
      <c r="AM76" s="826"/>
      <c r="AN76" s="836"/>
      <c r="AO76" s="306" t="str">
        <f>IF(AP76=IFERROR(SEARCH(".",AK$4,AP75),99999),".",
IF(AP76=IFERROR(SEARCH(",",AK$4,AP75),99999),",",
IF(AP76=IFERROR(SEARCH(" за период",AK$4,AP75),999999)," за период",
IF(AP76=IFERROR(SEARCH(" в размере",AK$4,AP75),99999)," в размере",
))))</f>
        <v>.</v>
      </c>
      <c r="AP76" s="306">
        <f>MIN(
IFERROR(SEARCH(".",AK$4,AP75),99999),
IFERROR(SEARCH(",",AK$4,AP75),99999),
IFERROR(SEARCH(" в размере",AK$4,AP75),99999))</f>
        <v>99999</v>
      </c>
      <c r="AQ76" s="306"/>
      <c r="AR76" s="827"/>
      <c r="AS76" s="829"/>
      <c r="AT76" s="1016"/>
      <c r="AU76" s="1016"/>
      <c r="AZ76" s="1464"/>
      <c r="BA76" s="826"/>
      <c r="BB76" s="836"/>
      <c r="BC76" s="306" t="str">
        <f>IF(BD76=IFERROR(SEARCH(".",AY$4,BD75),99999),".",
IF(BD76=IFERROR(SEARCH(",",AY$4,BD75),99999),",",
IF(BD76=IFERROR(SEARCH(" за период",AY$4,BD75),999999)," за период",
IF(BD76=IFERROR(SEARCH(" в размере",AY$4,BD75),99999)," в размере",
))))</f>
        <v>.</v>
      </c>
      <c r="BD76" s="306">
        <f>MIN(
IFERROR(SEARCH(".",AY$4,BD75),99999),
IFERROR(SEARCH(",",AY$4,BD75),99999),
IFERROR(SEARCH(" в размере",AY$4,BD75),99999))</f>
        <v>99999</v>
      </c>
      <c r="BE76" s="306"/>
      <c r="BF76" s="827"/>
      <c r="BG76" s="829"/>
      <c r="BH76" s="1016"/>
      <c r="BI76" s="1016"/>
      <c r="BK76" s="1016"/>
      <c r="BL76" s="1016"/>
    </row>
    <row r="77" spans="1:64" x14ac:dyDescent="0.3">
      <c r="A77" s="1569"/>
      <c r="X77" s="1464"/>
      <c r="Y77" s="835" t="s">
        <v>8249</v>
      </c>
      <c r="Z77" s="836" t="e">
        <f>SEARCH(" в размере",W$4,AB73)+LEN(" в размере")+1</f>
        <v>#VALUE!</v>
      </c>
      <c r="AA77" s="306" t="s">
        <v>8234</v>
      </c>
      <c r="AB77" s="306" t="e">
        <f>SEARCH(AA77,W$4,Z77)</f>
        <v>#VALUE!</v>
      </c>
      <c r="AC77" s="306" t="e">
        <f>AB77-Z77</f>
        <v>#VALUE!</v>
      </c>
      <c r="AD77" s="826" t="e">
        <f>IF(AE73="Штраф 50%","",MID(W$4,Z77,AC77))</f>
        <v>#VALUE!</v>
      </c>
      <c r="AE77" s="829"/>
      <c r="AF77" s="1016"/>
      <c r="AG77" s="1016"/>
      <c r="AL77" s="1464"/>
      <c r="AM77" s="835" t="s">
        <v>8249</v>
      </c>
      <c r="AN77" s="836" t="e">
        <f>SEARCH(" в размере",AK$4,AP73)+LEN(" в размере")+1</f>
        <v>#VALUE!</v>
      </c>
      <c r="AO77" s="306" t="s">
        <v>8234</v>
      </c>
      <c r="AP77" s="306" t="e">
        <f>SEARCH(AO77,AK$4,AN77)</f>
        <v>#VALUE!</v>
      </c>
      <c r="AQ77" s="306" t="e">
        <f>AP77-AN77</f>
        <v>#VALUE!</v>
      </c>
      <c r="AR77" s="826" t="e">
        <f>IF(AS73="Штраф 50%","",MID(AK$4,AN77,AQ77))</f>
        <v>#VALUE!</v>
      </c>
      <c r="AS77" s="829"/>
      <c r="AT77" s="1016"/>
      <c r="AU77" s="1016"/>
      <c r="AZ77" s="1464"/>
      <c r="BA77" s="835" t="s">
        <v>8249</v>
      </c>
      <c r="BB77" s="836" t="e">
        <f>SEARCH(" в размере",AY$4,BD73)+LEN(" в размере")+1</f>
        <v>#VALUE!</v>
      </c>
      <c r="BC77" s="306" t="s">
        <v>8234</v>
      </c>
      <c r="BD77" s="306" t="e">
        <f>SEARCH(BC77,AY$4,BB77)</f>
        <v>#VALUE!</v>
      </c>
      <c r="BE77" s="306" t="e">
        <f>BD77-BB77</f>
        <v>#VALUE!</v>
      </c>
      <c r="BF77" s="826" t="e">
        <f>IF(BG73="Штраф 50%","",MID(AY$4,BB77,BE77))</f>
        <v>#VALUE!</v>
      </c>
      <c r="BG77" s="829"/>
      <c r="BH77" s="1016"/>
      <c r="BI77" s="1016"/>
      <c r="BK77" s="1016"/>
      <c r="BL77" s="1016"/>
    </row>
    <row r="78" spans="1:64" x14ac:dyDescent="0.3">
      <c r="A78" s="1569"/>
      <c r="X78" s="1464"/>
      <c r="Y78" s="401"/>
      <c r="Z78" s="836" t="e">
        <f>SEARCH(" ",W$4,SEARCH("руб",W$4,AB77))+1</f>
        <v>#VALUE!</v>
      </c>
      <c r="AA78" s="306" t="s">
        <v>8432</v>
      </c>
      <c r="AB78" s="306" t="e">
        <f>SEARCH(AA78,W$4,Z78)</f>
        <v>#VALUE!</v>
      </c>
      <c r="AC78" s="306" t="e">
        <f>AB78-Z78</f>
        <v>#VALUE!</v>
      </c>
      <c r="AD78" s="826" t="e">
        <f>IF(AE73="Штраф 50%","",MID(W$4,Z78,AC78))</f>
        <v>#VALUE!</v>
      </c>
      <c r="AE78" s="829"/>
      <c r="AF78" s="1016"/>
      <c r="AG78" s="1016"/>
      <c r="AL78" s="1464"/>
      <c r="AM78" s="401"/>
      <c r="AN78" s="836" t="e">
        <f>SEARCH(" ",AK$4,SEARCH("руб",AK$4,AP77))+1</f>
        <v>#VALUE!</v>
      </c>
      <c r="AO78" s="306" t="s">
        <v>8432</v>
      </c>
      <c r="AP78" s="306" t="e">
        <f>SEARCH(AO78,AK$4,AN78)</f>
        <v>#VALUE!</v>
      </c>
      <c r="AQ78" s="306" t="e">
        <f>AP78-AN78</f>
        <v>#VALUE!</v>
      </c>
      <c r="AR78" s="826" t="e">
        <f>IF(AS73="Штраф 50%","",MID(AK$4,AN78,AQ78))</f>
        <v>#VALUE!</v>
      </c>
      <c r="AS78" s="829"/>
      <c r="AT78" s="1016"/>
      <c r="AU78" s="1016"/>
      <c r="AZ78" s="1464"/>
      <c r="BA78" s="401"/>
      <c r="BB78" s="836" t="e">
        <f>SEARCH(" ",AY$4,SEARCH("руб",AY$4,BD77))+1</f>
        <v>#VALUE!</v>
      </c>
      <c r="BC78" s="306" t="s">
        <v>8432</v>
      </c>
      <c r="BD78" s="306" t="e">
        <f>SEARCH(BC78,AY$4,BB78)</f>
        <v>#VALUE!</v>
      </c>
      <c r="BE78" s="306" t="e">
        <f>BD78-BB78</f>
        <v>#VALUE!</v>
      </c>
      <c r="BF78" s="826" t="e">
        <f>IF(BG73="Штраф 50%","",MID(AY$4,BB78,BE78))</f>
        <v>#VALUE!</v>
      </c>
      <c r="BG78" s="829"/>
      <c r="BH78" s="1016"/>
      <c r="BI78" s="1016"/>
      <c r="BK78" s="1016"/>
      <c r="BL78" s="1016"/>
    </row>
    <row r="79" spans="1:64" ht="15" thickBot="1" x14ac:dyDescent="0.35">
      <c r="A79" s="1569"/>
      <c r="B79" s="116"/>
      <c r="C79" s="116"/>
      <c r="D79" s="116"/>
      <c r="E79" s="116"/>
      <c r="F79" s="116"/>
      <c r="G79" s="116"/>
      <c r="H79" s="116"/>
      <c r="L79" s="116"/>
      <c r="M79" s="116"/>
      <c r="N79" s="116"/>
      <c r="O79" s="116"/>
      <c r="P79" s="116"/>
      <c r="Q79" s="116"/>
      <c r="R79" s="116"/>
      <c r="S79" s="116"/>
      <c r="X79" s="1465"/>
      <c r="Y79" s="583"/>
      <c r="Z79" s="837"/>
      <c r="AA79" s="583"/>
      <c r="AB79" s="583"/>
      <c r="AC79" s="583"/>
      <c r="AD79" s="831" t="e">
        <f>VALUE(CONCATENATE(AD77,",",AD78))</f>
        <v>#VALUE!</v>
      </c>
      <c r="AE79" s="832" t="str">
        <f>IF(AE73="Штраф 50%","",IF(OR(AA76=" в размере",AA73=" в размере"),AD79,""))</f>
        <v/>
      </c>
      <c r="AF79" s="1018"/>
      <c r="AG79" s="1018"/>
      <c r="AL79" s="1465"/>
      <c r="AM79" s="583"/>
      <c r="AN79" s="837"/>
      <c r="AO79" s="583"/>
      <c r="AP79" s="583"/>
      <c r="AQ79" s="583"/>
      <c r="AR79" s="831" t="e">
        <f>VALUE(CONCATENATE(AR77,",",AR78))</f>
        <v>#VALUE!</v>
      </c>
      <c r="AS79" s="832" t="str">
        <f>IF(AS73="Штраф 50%","",IF(OR(AO76=" в размере",AO73=" в размере"),AR79,""))</f>
        <v/>
      </c>
      <c r="AT79" s="1018"/>
      <c r="AU79" s="1018"/>
      <c r="AZ79" s="1465"/>
      <c r="BA79" s="583"/>
      <c r="BB79" s="837"/>
      <c r="BC79" s="583"/>
      <c r="BD79" s="583"/>
      <c r="BE79" s="583"/>
      <c r="BF79" s="831" t="e">
        <f>VALUE(CONCATENATE(BF77,",",BF78))</f>
        <v>#VALUE!</v>
      </c>
      <c r="BG79" s="832" t="str">
        <f>IF(BG73="Штраф 50%","",IF(OR(BC76=" в размере",BC73=" в размере"),BF79,""))</f>
        <v/>
      </c>
      <c r="BH79" s="1018"/>
      <c r="BI79" s="1018"/>
      <c r="BK79" s="1018"/>
      <c r="BL79" s="1018"/>
    </row>
    <row r="80" spans="1:64" ht="15" thickTop="1" x14ac:dyDescent="0.3">
      <c r="A80" s="1569"/>
      <c r="B80" s="116"/>
      <c r="C80" s="116"/>
      <c r="D80" s="116"/>
      <c r="E80" s="116"/>
      <c r="F80" s="116"/>
      <c r="G80" s="116"/>
      <c r="H80" s="116"/>
      <c r="L80" s="116"/>
      <c r="M80" s="116"/>
      <c r="N80" s="116"/>
      <c r="O80" s="116"/>
      <c r="P80" s="116"/>
      <c r="Q80" s="116"/>
      <c r="R80" s="116"/>
      <c r="S80" s="116"/>
      <c r="X80" s="1463">
        <v>12</v>
      </c>
      <c r="Y80" s="824" t="s">
        <v>8433</v>
      </c>
      <c r="Z80" s="838" t="e">
        <f>SEARCH(U$4,W$4,AB73)+LEN(U$4)</f>
        <v>#VALUE!</v>
      </c>
      <c r="AA80" s="406" t="str">
        <f>IF(AB80=IFERROR(SEARCH(".",W$4,Z80),99999),".",
IF(AB80=IFERROR(SEARCH(",",W$4,Z80),99999),",",
IF(AB80=IFERROR(SEARCH(" за период",W$4,Z80),999999)," за период",
IF(AB80=IFERROR(SEARCH(" в размере",W$4,Z80),99999)," в размере",
))))</f>
        <v>.</v>
      </c>
      <c r="AB80" s="406">
        <f>IFERROR(MIN(IFERROR(SEARCH(".",W$4,Z80),99999),IFERROR(SEARCH(",",W$4,Z80),99999),IFERROR(SEARCH(" за период",W$4,Z80),999999),IFERROR(SEARCH(" в размере",W$4,Z80),99999)),"ОШИБКА")</f>
        <v>99999</v>
      </c>
      <c r="AC80" s="406" t="e">
        <f>AB80-Z80</f>
        <v>#VALUE!</v>
      </c>
      <c r="AD80" s="824" t="e">
        <f>MID(W$4,Z80,AC80)</f>
        <v>#VALUE!</v>
      </c>
      <c r="AE80" s="825" t="str">
        <f>IFERROR(INDEX($EL:$EL,MATCH(MID(W$4,Z80,AC80),$EK:$EK,0),1),"")</f>
        <v/>
      </c>
      <c r="AF80" s="1016"/>
      <c r="AG80" s="1016"/>
      <c r="AH80" s="754"/>
      <c r="AL80" s="1463">
        <v>12</v>
      </c>
      <c r="AM80" s="824" t="s">
        <v>8433</v>
      </c>
      <c r="AN80" s="838" t="e">
        <f>SEARCH(AI$4,AK$4,AP73)+LEN(AI$4)</f>
        <v>#VALUE!</v>
      </c>
      <c r="AO80" s="406" t="str">
        <f>IF(AP80=IFERROR(SEARCH(".",AK$4,AN80),99999),".",
IF(AP80=IFERROR(SEARCH(",",AK$4,AN80),99999),",",
IF(AP80=IFERROR(SEARCH(" за период",AK$4,AN80),999999)," за период",
IF(AP80=IFERROR(SEARCH(" в размере",AK$4,AN80),99999)," в размере",
))))</f>
        <v>.</v>
      </c>
      <c r="AP80" s="406">
        <f>IFERROR(MIN(IFERROR(SEARCH(".",AK$4,AN80),99999),IFERROR(SEARCH(",",AK$4,AN80),99999),IFERROR(SEARCH(" за период",AK$4,AN80),999999),IFERROR(SEARCH(" в размере",AK$4,AN80),99999)),"ОШИБКА")</f>
        <v>99999</v>
      </c>
      <c r="AQ80" s="406" t="e">
        <f>AP80-AN80</f>
        <v>#VALUE!</v>
      </c>
      <c r="AR80" s="824" t="e">
        <f>MID(AK$4,AN80,AQ80)</f>
        <v>#VALUE!</v>
      </c>
      <c r="AS80" s="825" t="str">
        <f>IFERROR(INDEX($EL:$EL,MATCH(MID(AK$4,AN80,AQ80),$EK:$EK,0),1),"")</f>
        <v/>
      </c>
      <c r="AT80" s="1016"/>
      <c r="AU80" s="1016"/>
      <c r="AV80" s="754"/>
      <c r="AZ80" s="1463">
        <v>12</v>
      </c>
      <c r="BA80" s="824" t="s">
        <v>8433</v>
      </c>
      <c r="BB80" s="838" t="e">
        <f>SEARCH(AW$4,AY$4,BD73)+LEN(AW$4)</f>
        <v>#VALUE!</v>
      </c>
      <c r="BC80" s="406" t="str">
        <f>IF(BD80=IFERROR(SEARCH(".",AY$4,BB80),99999),".",
IF(BD80=IFERROR(SEARCH(",",AY$4,BB80),99999),",",
IF(BD80=IFERROR(SEARCH(" за период",AY$4,BB80),999999)," за период",
IF(BD80=IFERROR(SEARCH(" в размере",AY$4,BB80),99999)," в размере",
))))</f>
        <v>.</v>
      </c>
      <c r="BD80" s="406">
        <f>IFERROR(MIN(IFERROR(SEARCH(".",AY$4,BB80),99999),IFERROR(SEARCH(",",AY$4,BB80),99999),IFERROR(SEARCH(" за период",AY$4,BB80),999999),IFERROR(SEARCH(" в размере",AY$4,BB80),99999)),"ОШИБКА")</f>
        <v>99999</v>
      </c>
      <c r="BE80" s="406" t="e">
        <f>BD80-BB80</f>
        <v>#VALUE!</v>
      </c>
      <c r="BF80" s="824" t="e">
        <f>MID(AY$4,BB80,BE80)</f>
        <v>#VALUE!</v>
      </c>
      <c r="BG80" s="825" t="str">
        <f>IFERROR(INDEX($EL:$EL,MATCH(MID(AY$4,BB80,BE80),$EK:$EK,0),1),"")</f>
        <v/>
      </c>
      <c r="BH80" s="1016"/>
      <c r="BI80" s="1016"/>
      <c r="BJ80" s="754"/>
      <c r="BK80" s="1016"/>
      <c r="BL80" s="1016"/>
    </row>
    <row r="81" spans="1:64" x14ac:dyDescent="0.3">
      <c r="A81" s="1569"/>
      <c r="B81" s="116"/>
      <c r="C81" s="116"/>
      <c r="D81" s="116"/>
      <c r="E81" s="116"/>
      <c r="F81" s="116"/>
      <c r="G81" s="116"/>
      <c r="H81" s="116"/>
      <c r="L81" s="116"/>
      <c r="M81" s="116"/>
      <c r="N81" s="116"/>
      <c r="O81" s="116"/>
      <c r="P81" s="116"/>
      <c r="Q81" s="116"/>
      <c r="R81" s="116"/>
      <c r="S81" s="116"/>
      <c r="X81" s="1464"/>
      <c r="Y81" s="826" t="s">
        <v>8435</v>
      </c>
      <c r="Z81" s="836" t="str">
        <f>IF(AA80=" за период",SEARCH(" за период",W$4,AB80)+LEN(" за период")+3,"НЕТ")</f>
        <v>НЕТ</v>
      </c>
      <c r="AA81" s="306" t="s">
        <v>8434</v>
      </c>
      <c r="AB81" s="306" t="e">
        <f>SEARCH(AA81,W$4,Z81)</f>
        <v>#VALUE!</v>
      </c>
      <c r="AC81" s="306" t="e">
        <f>AB81-Z81</f>
        <v>#VALUE!</v>
      </c>
      <c r="AD81" s="827" t="e">
        <f>DATEVALUE(MID(W$4,Z81,AC81))</f>
        <v>#VALUE!</v>
      </c>
      <c r="AE81" s="828" t="str">
        <f>IF(AA80=" за период",AD81,"")</f>
        <v/>
      </c>
      <c r="AF81" s="1017"/>
      <c r="AG81" s="1017"/>
      <c r="AL81" s="1464"/>
      <c r="AM81" s="826" t="s">
        <v>8435</v>
      </c>
      <c r="AN81" s="836" t="str">
        <f>IF(AO80=" за период",SEARCH(" за период",AK$4,AP80)+LEN(" за период")+3,"НЕТ")</f>
        <v>НЕТ</v>
      </c>
      <c r="AO81" s="306" t="s">
        <v>8434</v>
      </c>
      <c r="AP81" s="306" t="e">
        <f>SEARCH(AO81,AK$4,AN81)</f>
        <v>#VALUE!</v>
      </c>
      <c r="AQ81" s="306" t="e">
        <f>AP81-AN81</f>
        <v>#VALUE!</v>
      </c>
      <c r="AR81" s="827" t="e">
        <f>DATEVALUE(MID(AK$4,AN81,AQ81))</f>
        <v>#VALUE!</v>
      </c>
      <c r="AS81" s="828" t="str">
        <f>IF(AO80=" за период",AR81,"")</f>
        <v/>
      </c>
      <c r="AT81" s="1017"/>
      <c r="AU81" s="1017"/>
      <c r="AZ81" s="1464"/>
      <c r="BA81" s="826" t="s">
        <v>8435</v>
      </c>
      <c r="BB81" s="836" t="str">
        <f>IF(BC80=" за период",SEARCH(" за период",AY$4,BD80)+LEN(" за период")+3,"НЕТ")</f>
        <v>НЕТ</v>
      </c>
      <c r="BC81" s="306" t="s">
        <v>8434</v>
      </c>
      <c r="BD81" s="306" t="e">
        <f>SEARCH(BC81,AY$4,BB81)</f>
        <v>#VALUE!</v>
      </c>
      <c r="BE81" s="306" t="e">
        <f>BD81-BB81</f>
        <v>#VALUE!</v>
      </c>
      <c r="BF81" s="827" t="e">
        <f>DATEVALUE(MID(AY$4,BB81,BE81))</f>
        <v>#VALUE!</v>
      </c>
      <c r="BG81" s="828" t="str">
        <f>IF(BC80=" за период",BF81,"")</f>
        <v/>
      </c>
      <c r="BH81" s="1017"/>
      <c r="BI81" s="1017"/>
      <c r="BK81" s="1017"/>
      <c r="BL81" s="1017"/>
    </row>
    <row r="82" spans="1:64" x14ac:dyDescent="0.3">
      <c r="A82" s="1569"/>
      <c r="B82" s="116"/>
      <c r="C82" s="116"/>
      <c r="D82" s="116"/>
      <c r="E82" s="116"/>
      <c r="F82" s="116"/>
      <c r="G82" s="116"/>
      <c r="H82" s="116"/>
      <c r="L82" s="116"/>
      <c r="M82" s="116"/>
      <c r="N82" s="116"/>
      <c r="O82" s="116"/>
      <c r="P82" s="116"/>
      <c r="Q82" s="116"/>
      <c r="R82" s="116"/>
      <c r="S82" s="116"/>
      <c r="X82" s="1464"/>
      <c r="Y82" s="826" t="s">
        <v>8436</v>
      </c>
      <c r="Z82" s="836" t="e">
        <f>SEARCH(" ",W$4,AB81+1)+1</f>
        <v>#VALUE!</v>
      </c>
      <c r="AA82" s="306"/>
      <c r="AB82" s="306" t="e">
        <f>Z82+AC82</f>
        <v>#VALUE!</v>
      </c>
      <c r="AC82" s="306">
        <v>10</v>
      </c>
      <c r="AD82" s="827" t="e">
        <f>DATEVALUE(MID(W$4,Z82,AC82))</f>
        <v>#VALUE!</v>
      </c>
      <c r="AE82" s="828" t="str">
        <f>IF(AA80=" за период",AD82,"")</f>
        <v/>
      </c>
      <c r="AF82" s="1017"/>
      <c r="AG82" s="1017"/>
      <c r="AL82" s="1464"/>
      <c r="AM82" s="826" t="s">
        <v>8436</v>
      </c>
      <c r="AN82" s="836" t="e">
        <f>SEARCH(" ",AK$4,AP81+1)+1</f>
        <v>#VALUE!</v>
      </c>
      <c r="AO82" s="306"/>
      <c r="AP82" s="306" t="e">
        <f>AN82+AQ82</f>
        <v>#VALUE!</v>
      </c>
      <c r="AQ82" s="306">
        <v>10</v>
      </c>
      <c r="AR82" s="827" t="e">
        <f>DATEVALUE(MID(AK$4,AN82,AQ82))</f>
        <v>#VALUE!</v>
      </c>
      <c r="AS82" s="828" t="str">
        <f>IF(AO80=" за период",AR82,"")</f>
        <v/>
      </c>
      <c r="AT82" s="1017"/>
      <c r="AU82" s="1017"/>
      <c r="AZ82" s="1464"/>
      <c r="BA82" s="826" t="s">
        <v>8436</v>
      </c>
      <c r="BB82" s="836" t="e">
        <f>SEARCH(" ",AY$4,BD81+1)+1</f>
        <v>#VALUE!</v>
      </c>
      <c r="BC82" s="306"/>
      <c r="BD82" s="306" t="e">
        <f>BB82+BE82</f>
        <v>#VALUE!</v>
      </c>
      <c r="BE82" s="306">
        <v>10</v>
      </c>
      <c r="BF82" s="827" t="e">
        <f>DATEVALUE(MID(AY$4,BB82,BE82))</f>
        <v>#VALUE!</v>
      </c>
      <c r="BG82" s="828" t="str">
        <f>IF(BC80=" за период",BF82,"")</f>
        <v/>
      </c>
      <c r="BH82" s="1017"/>
      <c r="BI82" s="1017"/>
      <c r="BK82" s="1017"/>
      <c r="BL82" s="1017"/>
    </row>
    <row r="83" spans="1:64" x14ac:dyDescent="0.3">
      <c r="A83" s="1569"/>
      <c r="B83" s="116"/>
      <c r="C83" s="116"/>
      <c r="D83" s="116"/>
      <c r="E83" s="116"/>
      <c r="F83" s="116"/>
      <c r="G83" s="116"/>
      <c r="H83" s="116"/>
      <c r="L83" s="116"/>
      <c r="M83" s="116"/>
      <c r="N83" s="116"/>
      <c r="O83" s="116"/>
      <c r="P83" s="116"/>
      <c r="Q83" s="116"/>
      <c r="R83" s="116"/>
      <c r="S83" s="116"/>
      <c r="X83" s="1464"/>
      <c r="Y83" s="826"/>
      <c r="Z83" s="836"/>
      <c r="AA83" s="306" t="str">
        <f>IF(AB83=IFERROR(SEARCH(".",W$4,AB82),99999),".",
IF(AB83=IFERROR(SEARCH(",",W$4,AB82),99999),",",
IF(AB83=IFERROR(SEARCH(" за период",W$4,AB82),999999)," за период",
IF(AB83=IFERROR(SEARCH(" в размере",W$4,AB82),99999)," в размере",
))))</f>
        <v>.</v>
      </c>
      <c r="AB83" s="306">
        <f>MIN(
IFERROR(SEARCH(".",W$4,AB82),99999),
IFERROR(SEARCH(",",W$4,AB82),99999),
IFERROR(SEARCH(" в размере",W$4,AB82),99999))</f>
        <v>99999</v>
      </c>
      <c r="AC83" s="306"/>
      <c r="AD83" s="827"/>
      <c r="AE83" s="829"/>
      <c r="AF83" s="1016"/>
      <c r="AG83" s="1016"/>
      <c r="AL83" s="1464"/>
      <c r="AM83" s="826"/>
      <c r="AN83" s="836"/>
      <c r="AO83" s="306" t="str">
        <f>IF(AP83=IFERROR(SEARCH(".",AK$4,AP82),99999),".",
IF(AP83=IFERROR(SEARCH(",",AK$4,AP82),99999),",",
IF(AP83=IFERROR(SEARCH(" за период",AK$4,AP82),999999)," за период",
IF(AP83=IFERROR(SEARCH(" в размере",AK$4,AP82),99999)," в размере",
))))</f>
        <v>.</v>
      </c>
      <c r="AP83" s="306">
        <f>MIN(
IFERROR(SEARCH(".",AK$4,AP82),99999),
IFERROR(SEARCH(",",AK$4,AP82),99999),
IFERROR(SEARCH(" в размере",AK$4,AP82),99999))</f>
        <v>99999</v>
      </c>
      <c r="AQ83" s="306"/>
      <c r="AR83" s="827"/>
      <c r="AS83" s="829"/>
      <c r="AT83" s="1016"/>
      <c r="AU83" s="1016"/>
      <c r="AZ83" s="1464"/>
      <c r="BA83" s="826"/>
      <c r="BB83" s="836"/>
      <c r="BC83" s="306" t="str">
        <f>IF(BD83=IFERROR(SEARCH(".",AY$4,BD82),99999),".",
IF(BD83=IFERROR(SEARCH(",",AY$4,BD82),99999),",",
IF(BD83=IFERROR(SEARCH(" за период",AY$4,BD82),999999)," за период",
IF(BD83=IFERROR(SEARCH(" в размере",AY$4,BD82),99999)," в размере",
))))</f>
        <v>.</v>
      </c>
      <c r="BD83" s="306">
        <f>MIN(
IFERROR(SEARCH(".",AY$4,BD82),99999),
IFERROR(SEARCH(",",AY$4,BD82),99999),
IFERROR(SEARCH(" в размере",AY$4,BD82),99999))</f>
        <v>99999</v>
      </c>
      <c r="BE83" s="306"/>
      <c r="BF83" s="827"/>
      <c r="BG83" s="829"/>
      <c r="BH83" s="1016"/>
      <c r="BI83" s="1016"/>
      <c r="BK83" s="1016"/>
      <c r="BL83" s="1016"/>
    </row>
    <row r="84" spans="1:64" x14ac:dyDescent="0.3">
      <c r="A84" s="1569"/>
      <c r="B84" s="116"/>
      <c r="C84" s="116"/>
      <c r="D84" s="116"/>
      <c r="E84" s="116"/>
      <c r="F84" s="116"/>
      <c r="G84" s="116"/>
      <c r="H84" s="116"/>
      <c r="L84" s="116"/>
      <c r="M84" s="116"/>
      <c r="N84" s="116"/>
      <c r="O84" s="116"/>
      <c r="P84" s="116"/>
      <c r="Q84" s="116"/>
      <c r="R84" s="116"/>
      <c r="S84" s="116"/>
      <c r="X84" s="1464"/>
      <c r="Y84" s="835" t="s">
        <v>8249</v>
      </c>
      <c r="Z84" s="836" t="e">
        <f>SEARCH(" в размере",W$4,AB80)+LEN(" в размере")+1</f>
        <v>#VALUE!</v>
      </c>
      <c r="AA84" s="306" t="s">
        <v>8234</v>
      </c>
      <c r="AB84" s="306" t="e">
        <f>SEARCH(AA84,W$4,Z84)</f>
        <v>#VALUE!</v>
      </c>
      <c r="AC84" s="306" t="e">
        <f>AB84-Z84</f>
        <v>#VALUE!</v>
      </c>
      <c r="AD84" s="826" t="e">
        <f>IF(AE80="Штраф 50%","",MID(W$4,Z84,AC84))</f>
        <v>#VALUE!</v>
      </c>
      <c r="AE84" s="829"/>
      <c r="AF84" s="1016"/>
      <c r="AG84" s="1016"/>
      <c r="AL84" s="1464"/>
      <c r="AM84" s="835" t="s">
        <v>8249</v>
      </c>
      <c r="AN84" s="836" t="e">
        <f>SEARCH(" в размере",AK$4,AP80)+LEN(" в размере")+1</f>
        <v>#VALUE!</v>
      </c>
      <c r="AO84" s="306" t="s">
        <v>8234</v>
      </c>
      <c r="AP84" s="306" t="e">
        <f>SEARCH(AO84,AK$4,AN84)</f>
        <v>#VALUE!</v>
      </c>
      <c r="AQ84" s="306" t="e">
        <f>AP84-AN84</f>
        <v>#VALUE!</v>
      </c>
      <c r="AR84" s="826" t="e">
        <f>IF(AS80="Штраф 50%","",MID(AK$4,AN84,AQ84))</f>
        <v>#VALUE!</v>
      </c>
      <c r="AS84" s="829"/>
      <c r="AT84" s="1016"/>
      <c r="AU84" s="1016"/>
      <c r="AZ84" s="1464"/>
      <c r="BA84" s="835" t="s">
        <v>8249</v>
      </c>
      <c r="BB84" s="836" t="e">
        <f>SEARCH(" в размере",AY$4,BD80)+LEN(" в размере")+1</f>
        <v>#VALUE!</v>
      </c>
      <c r="BC84" s="306" t="s">
        <v>8234</v>
      </c>
      <c r="BD84" s="306" t="e">
        <f>SEARCH(BC84,AY$4,BB84)</f>
        <v>#VALUE!</v>
      </c>
      <c r="BE84" s="306" t="e">
        <f>BD84-BB84</f>
        <v>#VALUE!</v>
      </c>
      <c r="BF84" s="826" t="e">
        <f>IF(BG80="Штраф 50%","",MID(AY$4,BB84,BE84))</f>
        <v>#VALUE!</v>
      </c>
      <c r="BG84" s="829"/>
      <c r="BH84" s="1016"/>
      <c r="BI84" s="1016"/>
      <c r="BK84" s="1016"/>
      <c r="BL84" s="1016"/>
    </row>
    <row r="85" spans="1:64" x14ac:dyDescent="0.3">
      <c r="A85" s="1569"/>
      <c r="B85" s="116"/>
      <c r="C85" s="116"/>
      <c r="D85" s="116"/>
      <c r="E85" s="116"/>
      <c r="F85" s="116"/>
      <c r="G85" s="116"/>
      <c r="H85" s="116"/>
      <c r="L85" s="116"/>
      <c r="M85" s="116"/>
      <c r="N85" s="116"/>
      <c r="O85" s="116"/>
      <c r="P85" s="116"/>
      <c r="Q85" s="116"/>
      <c r="R85" s="116"/>
      <c r="S85" s="116"/>
      <c r="X85" s="1464"/>
      <c r="Y85" s="401"/>
      <c r="Z85" s="836" t="e">
        <f>SEARCH(" ",W$4,SEARCH("руб",W$4,AB84))+1</f>
        <v>#VALUE!</v>
      </c>
      <c r="AA85" s="306" t="s">
        <v>8432</v>
      </c>
      <c r="AB85" s="306" t="e">
        <f>SEARCH(AA85,W$4,Z85)</f>
        <v>#VALUE!</v>
      </c>
      <c r="AC85" s="306" t="e">
        <f>AB85-Z85</f>
        <v>#VALUE!</v>
      </c>
      <c r="AD85" s="826" t="e">
        <f>IF(AE80="Штраф 50%","",MID(W$4,Z85,AC85))</f>
        <v>#VALUE!</v>
      </c>
      <c r="AE85" s="829"/>
      <c r="AF85" s="1016"/>
      <c r="AG85" s="1016"/>
      <c r="AL85" s="1464"/>
      <c r="AM85" s="401"/>
      <c r="AN85" s="836" t="e">
        <f>SEARCH(" ",AK$4,SEARCH("руб",AK$4,AP84))+1</f>
        <v>#VALUE!</v>
      </c>
      <c r="AO85" s="306" t="s">
        <v>8432</v>
      </c>
      <c r="AP85" s="306" t="e">
        <f>SEARCH(AO85,AK$4,AN85)</f>
        <v>#VALUE!</v>
      </c>
      <c r="AQ85" s="306" t="e">
        <f>AP85-AN85</f>
        <v>#VALUE!</v>
      </c>
      <c r="AR85" s="826" t="e">
        <f>IF(AS80="Штраф 50%","",MID(AK$4,AN85,AQ85))</f>
        <v>#VALUE!</v>
      </c>
      <c r="AS85" s="829"/>
      <c r="AT85" s="1016"/>
      <c r="AU85" s="1016"/>
      <c r="AZ85" s="1464"/>
      <c r="BA85" s="401"/>
      <c r="BB85" s="836" t="e">
        <f>SEARCH(" ",AY$4,SEARCH("руб",AY$4,BD84))+1</f>
        <v>#VALUE!</v>
      </c>
      <c r="BC85" s="306" t="s">
        <v>8432</v>
      </c>
      <c r="BD85" s="306" t="e">
        <f>SEARCH(BC85,AY$4,BB85)</f>
        <v>#VALUE!</v>
      </c>
      <c r="BE85" s="306" t="e">
        <f>BD85-BB85</f>
        <v>#VALUE!</v>
      </c>
      <c r="BF85" s="826" t="e">
        <f>IF(BG80="Штраф 50%","",MID(AY$4,BB85,BE85))</f>
        <v>#VALUE!</v>
      </c>
      <c r="BG85" s="829"/>
      <c r="BH85" s="1016"/>
      <c r="BI85" s="1016"/>
      <c r="BK85" s="1016"/>
      <c r="BL85" s="1016"/>
    </row>
    <row r="86" spans="1:64" ht="15" thickBot="1" x14ac:dyDescent="0.35">
      <c r="A86" s="1569"/>
      <c r="B86" s="116"/>
      <c r="C86" s="116"/>
      <c r="D86" s="116"/>
      <c r="E86" s="116"/>
      <c r="F86" s="116"/>
      <c r="G86" s="116"/>
      <c r="H86" s="116"/>
      <c r="L86" s="116"/>
      <c r="M86" s="116"/>
      <c r="N86" s="116"/>
      <c r="O86" s="116"/>
      <c r="P86" s="116"/>
      <c r="Q86" s="116"/>
      <c r="R86" s="116"/>
      <c r="S86" s="116"/>
      <c r="X86" s="1465"/>
      <c r="Y86" s="583"/>
      <c r="Z86" s="837"/>
      <c r="AA86" s="583"/>
      <c r="AB86" s="583"/>
      <c r="AC86" s="583"/>
      <c r="AD86" s="831" t="e">
        <f>VALUE(CONCATENATE(AD84,",",AD85))</f>
        <v>#VALUE!</v>
      </c>
      <c r="AE86" s="832" t="str">
        <f>IF(AE80="Штраф 50%","",IF(OR(AA83=" в размере",AA80=" в размере"),AD86,""))</f>
        <v/>
      </c>
      <c r="AF86" s="1018"/>
      <c r="AG86" s="1018"/>
      <c r="AL86" s="1465"/>
      <c r="AM86" s="583"/>
      <c r="AN86" s="837"/>
      <c r="AO86" s="583"/>
      <c r="AP86" s="583"/>
      <c r="AQ86" s="583"/>
      <c r="AR86" s="831" t="e">
        <f>VALUE(CONCATENATE(AR84,",",AR85))</f>
        <v>#VALUE!</v>
      </c>
      <c r="AS86" s="832" t="str">
        <f>IF(AS80="Штраф 50%","",IF(OR(AO83=" в размере",AO80=" в размере"),AR86,""))</f>
        <v/>
      </c>
      <c r="AT86" s="1018"/>
      <c r="AU86" s="1018"/>
      <c r="AZ86" s="1465"/>
      <c r="BA86" s="583"/>
      <c r="BB86" s="837"/>
      <c r="BC86" s="583"/>
      <c r="BD86" s="583"/>
      <c r="BE86" s="583"/>
      <c r="BF86" s="831" t="e">
        <f>VALUE(CONCATENATE(BF84,",",BF85))</f>
        <v>#VALUE!</v>
      </c>
      <c r="BG86" s="832" t="str">
        <f>IF(BG80="Штраф 50%","",IF(OR(BC83=" в размере",BC80=" в размере"),BF86,""))</f>
        <v/>
      </c>
      <c r="BH86" s="1018"/>
      <c r="BI86" s="1018"/>
      <c r="BK86" s="1018"/>
      <c r="BL86" s="1018"/>
    </row>
    <row r="87" spans="1:64" ht="15" thickTop="1" x14ac:dyDescent="0.3">
      <c r="A87" s="1569"/>
      <c r="B87" s="116"/>
      <c r="C87" s="116"/>
      <c r="D87" s="116"/>
      <c r="E87" s="116"/>
      <c r="F87" s="116"/>
      <c r="G87" s="116"/>
      <c r="H87" s="116"/>
      <c r="L87" s="116"/>
      <c r="M87" s="116"/>
      <c r="N87" s="116"/>
      <c r="O87" s="116"/>
      <c r="P87" s="116"/>
      <c r="Q87" s="116"/>
      <c r="R87" s="116"/>
      <c r="S87" s="116"/>
      <c r="X87" s="1463">
        <v>13</v>
      </c>
      <c r="Y87" s="824" t="s">
        <v>8433</v>
      </c>
      <c r="Z87" s="838" t="e">
        <f>SEARCH(U$4,W$4,AB80)+LEN(U$4)</f>
        <v>#VALUE!</v>
      </c>
      <c r="AA87" s="406" t="str">
        <f>IF(AB87=IFERROR(SEARCH(".",W$4,Z87),99999),".",
IF(AB87=IFERROR(SEARCH(",",W$4,Z87),99999),",",
IF(AB87=IFERROR(SEARCH(" за период",W$4,Z87),999999)," за период",
IF(AB87=IFERROR(SEARCH(" в размере",W$4,Z87),99999)," в размере",
))))</f>
        <v>.</v>
      </c>
      <c r="AB87" s="406">
        <f>IFERROR(MIN(IFERROR(SEARCH(".",W$4,Z87),99999),IFERROR(SEARCH(",",W$4,Z87),99999),IFERROR(SEARCH(" за период",W$4,Z87),999999),IFERROR(SEARCH(" в размере",W$4,Z87),99999)),"ОШИБКА")</f>
        <v>99999</v>
      </c>
      <c r="AC87" s="406" t="e">
        <f>AB87-Z87</f>
        <v>#VALUE!</v>
      </c>
      <c r="AD87" s="824" t="e">
        <f>MID(W$4,Z87,AC87)</f>
        <v>#VALUE!</v>
      </c>
      <c r="AE87" s="825" t="str">
        <f>IFERROR(INDEX($EL:$EL,MATCH(MID(W$4,Z87,AC87),$EK:$EK,0),1),"")</f>
        <v/>
      </c>
      <c r="AF87" s="1016"/>
      <c r="AG87" s="1016"/>
      <c r="AH87" s="754"/>
      <c r="AL87" s="1463">
        <v>13</v>
      </c>
      <c r="AM87" s="824" t="s">
        <v>8433</v>
      </c>
      <c r="AN87" s="838" t="e">
        <f>SEARCH(AI$4,AK$4,AP80)+LEN(AI$4)</f>
        <v>#VALUE!</v>
      </c>
      <c r="AO87" s="406" t="str">
        <f>IF(AP87=IFERROR(SEARCH(".",AK$4,AN87),99999),".",
IF(AP87=IFERROR(SEARCH(",",AK$4,AN87),99999),",",
IF(AP87=IFERROR(SEARCH(" за период",AK$4,AN87),999999)," за период",
IF(AP87=IFERROR(SEARCH(" в размере",AK$4,AN87),99999)," в размере",
))))</f>
        <v>.</v>
      </c>
      <c r="AP87" s="406">
        <f>IFERROR(MIN(IFERROR(SEARCH(".",AK$4,AN87),99999),IFERROR(SEARCH(",",AK$4,AN87),99999),IFERROR(SEARCH(" за период",AK$4,AN87),999999),IFERROR(SEARCH(" в размере",AK$4,AN87),99999)),"ОШИБКА")</f>
        <v>99999</v>
      </c>
      <c r="AQ87" s="406" t="e">
        <f>AP87-AN87</f>
        <v>#VALUE!</v>
      </c>
      <c r="AR87" s="824" t="e">
        <f>MID(AK$4,AN87,AQ87)</f>
        <v>#VALUE!</v>
      </c>
      <c r="AS87" s="825" t="str">
        <f>IFERROR(INDEX($EL:$EL,MATCH(MID(AK$4,AN87,AQ87),$EK:$EK,0),1),"")</f>
        <v/>
      </c>
      <c r="AT87" s="1016"/>
      <c r="AU87" s="1016"/>
      <c r="AV87" s="754"/>
      <c r="AZ87" s="1463">
        <v>13</v>
      </c>
      <c r="BA87" s="824" t="s">
        <v>8433</v>
      </c>
      <c r="BB87" s="838" t="e">
        <f>SEARCH(AW$4,AY$4,BD80)+LEN(AW$4)</f>
        <v>#VALUE!</v>
      </c>
      <c r="BC87" s="406" t="str">
        <f>IF(BD87=IFERROR(SEARCH(".",AY$4,BB87),99999),".",
IF(BD87=IFERROR(SEARCH(",",AY$4,BB87),99999),",",
IF(BD87=IFERROR(SEARCH(" за период",AY$4,BB87),999999)," за период",
IF(BD87=IFERROR(SEARCH(" в размере",AY$4,BB87),99999)," в размере",
))))</f>
        <v>.</v>
      </c>
      <c r="BD87" s="406">
        <f>IFERROR(MIN(IFERROR(SEARCH(".",AY$4,BB87),99999),IFERROR(SEARCH(",",AY$4,BB87),99999),IFERROR(SEARCH(" за период",AY$4,BB87),999999),IFERROR(SEARCH(" в размере",AY$4,BB87),99999)),"ОШИБКА")</f>
        <v>99999</v>
      </c>
      <c r="BE87" s="406" t="e">
        <f>BD87-BB87</f>
        <v>#VALUE!</v>
      </c>
      <c r="BF87" s="824" t="e">
        <f>MID(AY$4,BB87,BE87)</f>
        <v>#VALUE!</v>
      </c>
      <c r="BG87" s="825" t="str">
        <f>IFERROR(INDEX($EL:$EL,MATCH(MID(AY$4,BB87,BE87),$EK:$EK,0),1),"")</f>
        <v/>
      </c>
      <c r="BH87" s="1016"/>
      <c r="BI87" s="1016"/>
      <c r="BJ87" s="754"/>
      <c r="BK87" s="1016"/>
      <c r="BL87" s="1016"/>
    </row>
    <row r="88" spans="1:64" x14ac:dyDescent="0.3">
      <c r="A88" s="1569"/>
      <c r="B88" s="116"/>
      <c r="C88" s="116"/>
      <c r="D88" s="116"/>
      <c r="E88" s="116"/>
      <c r="F88" s="116"/>
      <c r="G88" s="116"/>
      <c r="H88" s="116"/>
      <c r="L88" s="116"/>
      <c r="M88" s="116"/>
      <c r="N88" s="116"/>
      <c r="O88" s="116"/>
      <c r="P88" s="116"/>
      <c r="Q88" s="116"/>
      <c r="R88" s="116"/>
      <c r="S88" s="116"/>
      <c r="X88" s="1464"/>
      <c r="Y88" s="826" t="s">
        <v>8435</v>
      </c>
      <c r="Z88" s="836" t="str">
        <f>IF(AA87=" за период",SEARCH(" за период",W$4,AB87)+LEN(" за период")+3,"НЕТ")</f>
        <v>НЕТ</v>
      </c>
      <c r="AA88" s="306" t="s">
        <v>8434</v>
      </c>
      <c r="AB88" s="306" t="e">
        <f>SEARCH(AA88,W$4,Z88)</f>
        <v>#VALUE!</v>
      </c>
      <c r="AC88" s="306" t="e">
        <f>AB88-Z88</f>
        <v>#VALUE!</v>
      </c>
      <c r="AD88" s="827" t="e">
        <f>DATEVALUE(MID(W$4,Z88,AC88))</f>
        <v>#VALUE!</v>
      </c>
      <c r="AE88" s="828" t="str">
        <f>IF(AA87=" за период",AD88,"")</f>
        <v/>
      </c>
      <c r="AF88" s="1017"/>
      <c r="AG88" s="1017"/>
      <c r="AL88" s="1464"/>
      <c r="AM88" s="826" t="s">
        <v>8435</v>
      </c>
      <c r="AN88" s="836" t="str">
        <f>IF(AO87=" за период",SEARCH(" за период",AK$4,AP87)+LEN(" за период")+3,"НЕТ")</f>
        <v>НЕТ</v>
      </c>
      <c r="AO88" s="306" t="s">
        <v>8434</v>
      </c>
      <c r="AP88" s="306" t="e">
        <f>SEARCH(AO88,AK$4,AN88)</f>
        <v>#VALUE!</v>
      </c>
      <c r="AQ88" s="306" t="e">
        <f>AP88-AN88</f>
        <v>#VALUE!</v>
      </c>
      <c r="AR88" s="827" t="e">
        <f>DATEVALUE(MID(AK$4,AN88,AQ88))</f>
        <v>#VALUE!</v>
      </c>
      <c r="AS88" s="828" t="str">
        <f>IF(AO87=" за период",AR88,"")</f>
        <v/>
      </c>
      <c r="AT88" s="1017"/>
      <c r="AU88" s="1017"/>
      <c r="AZ88" s="1464"/>
      <c r="BA88" s="826" t="s">
        <v>8435</v>
      </c>
      <c r="BB88" s="836" t="str">
        <f>IF(BC87=" за период",SEARCH(" за период",AY$4,BD87)+LEN(" за период")+3,"НЕТ")</f>
        <v>НЕТ</v>
      </c>
      <c r="BC88" s="306" t="s">
        <v>8434</v>
      </c>
      <c r="BD88" s="306" t="e">
        <f>SEARCH(BC88,AY$4,BB88)</f>
        <v>#VALUE!</v>
      </c>
      <c r="BE88" s="306" t="e">
        <f>BD88-BB88</f>
        <v>#VALUE!</v>
      </c>
      <c r="BF88" s="827" t="e">
        <f>DATEVALUE(MID(AY$4,BB88,BE88))</f>
        <v>#VALUE!</v>
      </c>
      <c r="BG88" s="828" t="str">
        <f>IF(BC87=" за период",BF88,"")</f>
        <v/>
      </c>
      <c r="BH88" s="1017"/>
      <c r="BI88" s="1017"/>
      <c r="BK88" s="1017"/>
      <c r="BL88" s="1017"/>
    </row>
    <row r="89" spans="1:64" x14ac:dyDescent="0.3">
      <c r="A89" s="1569"/>
      <c r="B89" s="116"/>
      <c r="C89" s="116"/>
      <c r="D89" s="116"/>
      <c r="E89" s="116"/>
      <c r="F89" s="116"/>
      <c r="G89" s="116"/>
      <c r="H89" s="116"/>
      <c r="L89" s="116"/>
      <c r="M89" s="116"/>
      <c r="N89" s="116"/>
      <c r="O89" s="116"/>
      <c r="P89" s="116"/>
      <c r="Q89" s="116"/>
      <c r="R89" s="116"/>
      <c r="S89" s="116"/>
      <c r="X89" s="1464"/>
      <c r="Y89" s="826" t="s">
        <v>8436</v>
      </c>
      <c r="Z89" s="836" t="e">
        <f>SEARCH(" ",W$4,AB88+1)+1</f>
        <v>#VALUE!</v>
      </c>
      <c r="AA89" s="306"/>
      <c r="AB89" s="306" t="e">
        <f>Z89+AC89</f>
        <v>#VALUE!</v>
      </c>
      <c r="AC89" s="306">
        <v>10</v>
      </c>
      <c r="AD89" s="827" t="e">
        <f>DATEVALUE(MID(W$4,Z89,AC89))</f>
        <v>#VALUE!</v>
      </c>
      <c r="AE89" s="828" t="str">
        <f>IF(AA87=" за период",AD89,"")</f>
        <v/>
      </c>
      <c r="AF89" s="1017"/>
      <c r="AG89" s="1017"/>
      <c r="AL89" s="1464"/>
      <c r="AM89" s="826" t="s">
        <v>8436</v>
      </c>
      <c r="AN89" s="836" t="e">
        <f>SEARCH(" ",AK$4,AP88+1)+1</f>
        <v>#VALUE!</v>
      </c>
      <c r="AO89" s="306"/>
      <c r="AP89" s="306" t="e">
        <f>AN89+AQ89</f>
        <v>#VALUE!</v>
      </c>
      <c r="AQ89" s="306">
        <v>10</v>
      </c>
      <c r="AR89" s="827" t="e">
        <f>DATEVALUE(MID(AK$4,AN89,AQ89))</f>
        <v>#VALUE!</v>
      </c>
      <c r="AS89" s="828" t="str">
        <f>IF(AO87=" за период",AR89,"")</f>
        <v/>
      </c>
      <c r="AT89" s="1017"/>
      <c r="AU89" s="1017"/>
      <c r="AZ89" s="1464"/>
      <c r="BA89" s="826" t="s">
        <v>8436</v>
      </c>
      <c r="BB89" s="836" t="e">
        <f>SEARCH(" ",AY$4,BD88+1)+1</f>
        <v>#VALUE!</v>
      </c>
      <c r="BC89" s="306"/>
      <c r="BD89" s="306" t="e">
        <f>BB89+BE89</f>
        <v>#VALUE!</v>
      </c>
      <c r="BE89" s="306">
        <v>10</v>
      </c>
      <c r="BF89" s="827" t="e">
        <f>DATEVALUE(MID(AY$4,BB89,BE89))</f>
        <v>#VALUE!</v>
      </c>
      <c r="BG89" s="828" t="str">
        <f>IF(BC87=" за период",BF89,"")</f>
        <v/>
      </c>
      <c r="BH89" s="1017"/>
      <c r="BI89" s="1017"/>
      <c r="BK89" s="1017"/>
      <c r="BL89" s="1017"/>
    </row>
    <row r="90" spans="1:64" x14ac:dyDescent="0.3">
      <c r="A90" s="1569"/>
      <c r="B90" s="116"/>
      <c r="C90" s="116"/>
      <c r="D90" s="116"/>
      <c r="E90" s="116"/>
      <c r="F90" s="116"/>
      <c r="G90" s="116"/>
      <c r="H90" s="116"/>
      <c r="L90" s="116"/>
      <c r="M90" s="116"/>
      <c r="N90" s="116"/>
      <c r="O90" s="116"/>
      <c r="P90" s="116"/>
      <c r="Q90" s="116"/>
      <c r="R90" s="116"/>
      <c r="S90" s="116"/>
      <c r="X90" s="1464"/>
      <c r="Y90" s="826"/>
      <c r="Z90" s="836"/>
      <c r="AA90" s="306" t="str">
        <f>IF(AB90=IFERROR(SEARCH(".",W$4,AB89),99999),".",
IF(AB90=IFERROR(SEARCH(",",W$4,AB89),99999),",",
IF(AB90=IFERROR(SEARCH(" за период",W$4,AB89),999999)," за период",
IF(AB90=IFERROR(SEARCH(" в размере",W$4,AB89),99999)," в размере",
))))</f>
        <v>.</v>
      </c>
      <c r="AB90" s="306">
        <f>MIN(
IFERROR(SEARCH(".",W$4,AB89),99999),
IFERROR(SEARCH(",",W$4,AB89),99999),
IFERROR(SEARCH(" в размере",W$4,AB89),99999))</f>
        <v>99999</v>
      </c>
      <c r="AC90" s="306"/>
      <c r="AD90" s="827"/>
      <c r="AE90" s="829"/>
      <c r="AF90" s="1016"/>
      <c r="AG90" s="1016"/>
      <c r="AL90" s="1464"/>
      <c r="AM90" s="826"/>
      <c r="AN90" s="836"/>
      <c r="AO90" s="306" t="str">
        <f>IF(AP90=IFERROR(SEARCH(".",AK$4,AP89),99999),".",
IF(AP90=IFERROR(SEARCH(",",AK$4,AP89),99999),",",
IF(AP90=IFERROR(SEARCH(" за период",AK$4,AP89),999999)," за период",
IF(AP90=IFERROR(SEARCH(" в размере",AK$4,AP89),99999)," в размере",
))))</f>
        <v>.</v>
      </c>
      <c r="AP90" s="306">
        <f>MIN(
IFERROR(SEARCH(".",AK$4,AP89),99999),
IFERROR(SEARCH(",",AK$4,AP89),99999),
IFERROR(SEARCH(" в размере",AK$4,AP89),99999))</f>
        <v>99999</v>
      </c>
      <c r="AQ90" s="306"/>
      <c r="AR90" s="827"/>
      <c r="AS90" s="829"/>
      <c r="AT90" s="1016"/>
      <c r="AU90" s="1016"/>
      <c r="AZ90" s="1464"/>
      <c r="BA90" s="826"/>
      <c r="BB90" s="836"/>
      <c r="BC90" s="306" t="str">
        <f>IF(BD90=IFERROR(SEARCH(".",AY$4,BD89),99999),".",
IF(BD90=IFERROR(SEARCH(",",AY$4,BD89),99999),",",
IF(BD90=IFERROR(SEARCH(" за период",AY$4,BD89),999999)," за период",
IF(BD90=IFERROR(SEARCH(" в размере",AY$4,BD89),99999)," в размере",
))))</f>
        <v>.</v>
      </c>
      <c r="BD90" s="306">
        <f>MIN(
IFERROR(SEARCH(".",AY$4,BD89),99999),
IFERROR(SEARCH(",",AY$4,BD89),99999),
IFERROR(SEARCH(" в размере",AY$4,BD89),99999))</f>
        <v>99999</v>
      </c>
      <c r="BE90" s="306"/>
      <c r="BF90" s="827"/>
      <c r="BG90" s="829"/>
      <c r="BH90" s="1016"/>
      <c r="BI90" s="1016"/>
      <c r="BK90" s="1016"/>
      <c r="BL90" s="1016"/>
    </row>
    <row r="91" spans="1:64" x14ac:dyDescent="0.3">
      <c r="A91" s="1569"/>
      <c r="B91" s="116"/>
      <c r="C91" s="116"/>
      <c r="D91" s="116"/>
      <c r="E91" s="116"/>
      <c r="F91" s="116"/>
      <c r="G91" s="116"/>
      <c r="H91" s="116"/>
      <c r="L91" s="116"/>
      <c r="M91" s="116"/>
      <c r="N91" s="116"/>
      <c r="O91" s="116"/>
      <c r="P91" s="116"/>
      <c r="Q91" s="116"/>
      <c r="R91" s="116"/>
      <c r="S91" s="116"/>
      <c r="X91" s="1464"/>
      <c r="Y91" s="835" t="s">
        <v>8249</v>
      </c>
      <c r="Z91" s="836" t="e">
        <f>SEARCH(" в размере",W$4,AB87)+LEN(" в размере")+1</f>
        <v>#VALUE!</v>
      </c>
      <c r="AA91" s="306" t="s">
        <v>8234</v>
      </c>
      <c r="AB91" s="306" t="e">
        <f>SEARCH(AA91,W$4,Z91)</f>
        <v>#VALUE!</v>
      </c>
      <c r="AC91" s="306" t="e">
        <f>AB91-Z91</f>
        <v>#VALUE!</v>
      </c>
      <c r="AD91" s="826" t="e">
        <f>IF(AE87="Штраф 50%","",MID(W$4,Z91,AC91))</f>
        <v>#VALUE!</v>
      </c>
      <c r="AE91" s="829"/>
      <c r="AF91" s="1016"/>
      <c r="AG91" s="1016"/>
      <c r="AL91" s="1464"/>
      <c r="AM91" s="835" t="s">
        <v>8249</v>
      </c>
      <c r="AN91" s="836" t="e">
        <f>SEARCH(" в размере",AK$4,AP87)+LEN(" в размере")+1</f>
        <v>#VALUE!</v>
      </c>
      <c r="AO91" s="306" t="s">
        <v>8234</v>
      </c>
      <c r="AP91" s="306" t="e">
        <f>SEARCH(AO91,AK$4,AN91)</f>
        <v>#VALUE!</v>
      </c>
      <c r="AQ91" s="306" t="e">
        <f>AP91-AN91</f>
        <v>#VALUE!</v>
      </c>
      <c r="AR91" s="826" t="e">
        <f>IF(AS87="Штраф 50%","",MID(AK$4,AN91,AQ91))</f>
        <v>#VALUE!</v>
      </c>
      <c r="AS91" s="829"/>
      <c r="AT91" s="1016"/>
      <c r="AU91" s="1016"/>
      <c r="AZ91" s="1464"/>
      <c r="BA91" s="835" t="s">
        <v>8249</v>
      </c>
      <c r="BB91" s="836" t="e">
        <f>SEARCH(" в размере",AY$4,BD87)+LEN(" в размере")+1</f>
        <v>#VALUE!</v>
      </c>
      <c r="BC91" s="306" t="s">
        <v>8234</v>
      </c>
      <c r="BD91" s="306" t="e">
        <f>SEARCH(BC91,AY$4,BB91)</f>
        <v>#VALUE!</v>
      </c>
      <c r="BE91" s="306" t="e">
        <f>BD91-BB91</f>
        <v>#VALUE!</v>
      </c>
      <c r="BF91" s="826" t="e">
        <f>IF(BG87="Штраф 50%","",MID(AY$4,BB91,BE91))</f>
        <v>#VALUE!</v>
      </c>
      <c r="BG91" s="829"/>
      <c r="BH91" s="1016"/>
      <c r="BI91" s="1016"/>
      <c r="BK91" s="1016"/>
      <c r="BL91" s="1016"/>
    </row>
    <row r="92" spans="1:64" x14ac:dyDescent="0.3">
      <c r="A92" s="1569"/>
      <c r="B92" s="116"/>
      <c r="C92" s="116"/>
      <c r="D92" s="116"/>
      <c r="E92" s="116"/>
      <c r="F92" s="116"/>
      <c r="G92" s="116"/>
      <c r="H92" s="116"/>
      <c r="L92" s="116"/>
      <c r="M92" s="116"/>
      <c r="N92" s="116"/>
      <c r="O92" s="116"/>
      <c r="P92" s="116"/>
      <c r="Q92" s="116"/>
      <c r="R92" s="116"/>
      <c r="S92" s="116"/>
      <c r="X92" s="1464"/>
      <c r="Y92" s="401"/>
      <c r="Z92" s="836" t="e">
        <f>SEARCH(" ",W$4,SEARCH("руб",W$4,AB91))+1</f>
        <v>#VALUE!</v>
      </c>
      <c r="AA92" s="306" t="s">
        <v>8432</v>
      </c>
      <c r="AB92" s="306" t="e">
        <f>SEARCH(AA92,W$4,Z92)</f>
        <v>#VALUE!</v>
      </c>
      <c r="AC92" s="306" t="e">
        <f>AB92-Z92</f>
        <v>#VALUE!</v>
      </c>
      <c r="AD92" s="826" t="e">
        <f>IF(AE87="Штраф 50%","",MID(W$4,Z92,AC92))</f>
        <v>#VALUE!</v>
      </c>
      <c r="AE92" s="829"/>
      <c r="AF92" s="1016"/>
      <c r="AG92" s="1016"/>
      <c r="AL92" s="1464"/>
      <c r="AM92" s="401"/>
      <c r="AN92" s="836" t="e">
        <f>SEARCH(" ",AK$4,SEARCH("руб",AK$4,AP91))+1</f>
        <v>#VALUE!</v>
      </c>
      <c r="AO92" s="306" t="s">
        <v>8432</v>
      </c>
      <c r="AP92" s="306" t="e">
        <f>SEARCH(AO92,AK$4,AN92)</f>
        <v>#VALUE!</v>
      </c>
      <c r="AQ92" s="306" t="e">
        <f>AP92-AN92</f>
        <v>#VALUE!</v>
      </c>
      <c r="AR92" s="826" t="e">
        <f>IF(AS87="Штраф 50%","",MID(AK$4,AN92,AQ92))</f>
        <v>#VALUE!</v>
      </c>
      <c r="AS92" s="829"/>
      <c r="AT92" s="1016"/>
      <c r="AU92" s="1016"/>
      <c r="AZ92" s="1464"/>
      <c r="BA92" s="401"/>
      <c r="BB92" s="836" t="e">
        <f>SEARCH(" ",AY$4,SEARCH("руб",AY$4,BD91))+1</f>
        <v>#VALUE!</v>
      </c>
      <c r="BC92" s="306" t="s">
        <v>8432</v>
      </c>
      <c r="BD92" s="306" t="e">
        <f>SEARCH(BC92,AY$4,BB92)</f>
        <v>#VALUE!</v>
      </c>
      <c r="BE92" s="306" t="e">
        <f>BD92-BB92</f>
        <v>#VALUE!</v>
      </c>
      <c r="BF92" s="826" t="e">
        <f>IF(BG87="Штраф 50%","",MID(AY$4,BB92,BE92))</f>
        <v>#VALUE!</v>
      </c>
      <c r="BG92" s="829"/>
      <c r="BH92" s="1016"/>
      <c r="BI92" s="1016"/>
      <c r="BK92" s="1016"/>
      <c r="BL92" s="1016"/>
    </row>
    <row r="93" spans="1:64" ht="15" thickBot="1" x14ac:dyDescent="0.35">
      <c r="A93" s="1569"/>
      <c r="B93" s="116"/>
      <c r="C93" s="116"/>
      <c r="D93" s="116"/>
      <c r="E93" s="116"/>
      <c r="F93" s="116"/>
      <c r="G93" s="116"/>
      <c r="H93" s="116"/>
      <c r="L93" s="116"/>
      <c r="M93" s="116"/>
      <c r="N93" s="116"/>
      <c r="O93" s="116"/>
      <c r="P93" s="116"/>
      <c r="Q93" s="116"/>
      <c r="R93" s="116"/>
      <c r="S93" s="116"/>
      <c r="X93" s="1465"/>
      <c r="Y93" s="583"/>
      <c r="Z93" s="837"/>
      <c r="AA93" s="583"/>
      <c r="AB93" s="583"/>
      <c r="AC93" s="583"/>
      <c r="AD93" s="831" t="e">
        <f>VALUE(CONCATENATE(AD91,",",AD92))</f>
        <v>#VALUE!</v>
      </c>
      <c r="AE93" s="832" t="str">
        <f>IF(AE87="Штраф 50%","",IF(OR(AA90=" в размере",AA87=" в размере"),AD93,""))</f>
        <v/>
      </c>
      <c r="AF93" s="1018"/>
      <c r="AG93" s="1018"/>
      <c r="AL93" s="1465"/>
      <c r="AM93" s="583"/>
      <c r="AN93" s="837"/>
      <c r="AO93" s="583"/>
      <c r="AP93" s="583"/>
      <c r="AQ93" s="583"/>
      <c r="AR93" s="831" t="e">
        <f>VALUE(CONCATENATE(AR91,",",AR92))</f>
        <v>#VALUE!</v>
      </c>
      <c r="AS93" s="832" t="str">
        <f>IF(AS87="Штраф 50%","",IF(OR(AO90=" в размере",AO87=" в размере"),AR93,""))</f>
        <v/>
      </c>
      <c r="AT93" s="1018"/>
      <c r="AU93" s="1018"/>
      <c r="AZ93" s="1465"/>
      <c r="BA93" s="583"/>
      <c r="BB93" s="837"/>
      <c r="BC93" s="583"/>
      <c r="BD93" s="583"/>
      <c r="BE93" s="583"/>
      <c r="BF93" s="831" t="e">
        <f>VALUE(CONCATENATE(BF91,",",BF92))</f>
        <v>#VALUE!</v>
      </c>
      <c r="BG93" s="832" t="str">
        <f>IF(BG87="Штраф 50%","",IF(OR(BC90=" в размере",BC87=" в размере"),BF93,""))</f>
        <v/>
      </c>
      <c r="BH93" s="1018"/>
      <c r="BI93" s="1018"/>
      <c r="BK93" s="1018"/>
      <c r="BL93" s="1018"/>
    </row>
    <row r="94" spans="1:64" ht="15" thickTop="1" x14ac:dyDescent="0.3">
      <c r="A94" s="1569"/>
      <c r="B94" s="116"/>
      <c r="C94" s="116"/>
      <c r="D94" s="116"/>
      <c r="E94" s="116"/>
      <c r="F94" s="116"/>
      <c r="G94" s="116"/>
      <c r="H94" s="116"/>
      <c r="L94" s="116"/>
      <c r="M94" s="116"/>
      <c r="N94" s="116"/>
      <c r="O94" s="116"/>
      <c r="P94" s="116"/>
      <c r="Q94" s="116"/>
      <c r="R94" s="116"/>
      <c r="S94" s="116"/>
      <c r="X94" s="1463">
        <v>14</v>
      </c>
      <c r="Y94" s="824" t="s">
        <v>8433</v>
      </c>
      <c r="Z94" s="838" t="e">
        <f>SEARCH(U$4,W$4,AB87)+LEN(U$4)</f>
        <v>#VALUE!</v>
      </c>
      <c r="AA94" s="406" t="str">
        <f>IF(AB94=IFERROR(SEARCH(".",W$4,Z94),99999),".",
IF(AB94=IFERROR(SEARCH(",",W$4,Z94),99999),",",
IF(AB94=IFERROR(SEARCH(" за период",W$4,Z94),999999)," за период",
IF(AB94=IFERROR(SEARCH(" в размере",W$4,Z94),99999)," в размере",
))))</f>
        <v>.</v>
      </c>
      <c r="AB94" s="406">
        <f>IFERROR(MIN(IFERROR(SEARCH(".",W$4,Z94),99999),IFERROR(SEARCH(",",W$4,Z94),99999),IFERROR(SEARCH(" за период",W$4,Z94),999999),IFERROR(SEARCH(" в размере",W$4,Z94),99999)),"ОШИБКА")</f>
        <v>99999</v>
      </c>
      <c r="AC94" s="406" t="e">
        <f>AB94-Z94</f>
        <v>#VALUE!</v>
      </c>
      <c r="AD94" s="824" t="e">
        <f>MID(W$4,Z94,AC94)</f>
        <v>#VALUE!</v>
      </c>
      <c r="AE94" s="825" t="str">
        <f>IFERROR(INDEX($EL:$EL,MATCH(MID(W$4,Z94,AC94),$EK:$EK,0),1),"")</f>
        <v/>
      </c>
      <c r="AF94" s="1016"/>
      <c r="AG94" s="1016"/>
      <c r="AH94" s="754"/>
      <c r="AL94" s="1463">
        <v>14</v>
      </c>
      <c r="AM94" s="824" t="s">
        <v>8433</v>
      </c>
      <c r="AN94" s="838" t="e">
        <f>SEARCH(AI$4,AK$4,AP87)+LEN(AI$4)</f>
        <v>#VALUE!</v>
      </c>
      <c r="AO94" s="406" t="str">
        <f>IF(AP94=IFERROR(SEARCH(".",AK$4,AN94),99999),".",
IF(AP94=IFERROR(SEARCH(",",AK$4,AN94),99999),",",
IF(AP94=IFERROR(SEARCH(" за период",AK$4,AN94),999999)," за период",
IF(AP94=IFERROR(SEARCH(" в размере",AK$4,AN94),99999)," в размере",
))))</f>
        <v>.</v>
      </c>
      <c r="AP94" s="406">
        <f>IFERROR(MIN(IFERROR(SEARCH(".",AK$4,AN94),99999),IFERROR(SEARCH(",",AK$4,AN94),99999),IFERROR(SEARCH(" за период",AK$4,AN94),999999),IFERROR(SEARCH(" в размере",AK$4,AN94),99999)),"ОШИБКА")</f>
        <v>99999</v>
      </c>
      <c r="AQ94" s="406" t="e">
        <f>AP94-AN94</f>
        <v>#VALUE!</v>
      </c>
      <c r="AR94" s="824" t="e">
        <f>MID(AK$4,AN94,AQ94)</f>
        <v>#VALUE!</v>
      </c>
      <c r="AS94" s="825" t="str">
        <f>IFERROR(INDEX($EL:$EL,MATCH(MID(AK$4,AN94,AQ94),$EK:$EK,0),1),"")</f>
        <v/>
      </c>
      <c r="AT94" s="1016"/>
      <c r="AU94" s="1016"/>
      <c r="AV94" s="754"/>
      <c r="AZ94" s="1463">
        <v>14</v>
      </c>
      <c r="BA94" s="824" t="s">
        <v>8433</v>
      </c>
      <c r="BB94" s="838" t="e">
        <f>SEARCH(AW$4,AY$4,BD87)+LEN(AW$4)</f>
        <v>#VALUE!</v>
      </c>
      <c r="BC94" s="406" t="str">
        <f>IF(BD94=IFERROR(SEARCH(".",AY$4,BB94),99999),".",
IF(BD94=IFERROR(SEARCH(",",AY$4,BB94),99999),",",
IF(BD94=IFERROR(SEARCH(" за период",AY$4,BB94),999999)," за период",
IF(BD94=IFERROR(SEARCH(" в размере",AY$4,BB94),99999)," в размере",
))))</f>
        <v>.</v>
      </c>
      <c r="BD94" s="406">
        <f>IFERROR(MIN(IFERROR(SEARCH(".",AY$4,BB94),99999),IFERROR(SEARCH(",",AY$4,BB94),99999),IFERROR(SEARCH(" за период",AY$4,BB94),999999),IFERROR(SEARCH(" в размере",AY$4,BB94),99999)),"ОШИБКА")</f>
        <v>99999</v>
      </c>
      <c r="BE94" s="406" t="e">
        <f>BD94-BB94</f>
        <v>#VALUE!</v>
      </c>
      <c r="BF94" s="824" t="e">
        <f>MID(AY$4,BB94,BE94)</f>
        <v>#VALUE!</v>
      </c>
      <c r="BG94" s="825" t="str">
        <f>IFERROR(INDEX($EL:$EL,MATCH(MID(AY$4,BB94,BE94),$EK:$EK,0),1),"")</f>
        <v/>
      </c>
      <c r="BH94" s="1016"/>
      <c r="BI94" s="1016"/>
      <c r="BJ94" s="754"/>
      <c r="BK94" s="1016"/>
      <c r="BL94" s="1016"/>
    </row>
    <row r="95" spans="1:64" x14ac:dyDescent="0.3">
      <c r="A95" s="1569"/>
      <c r="B95" s="116"/>
      <c r="C95" s="116"/>
      <c r="D95" s="116"/>
      <c r="E95" s="116"/>
      <c r="F95" s="116"/>
      <c r="G95" s="116"/>
      <c r="H95" s="116"/>
      <c r="L95" s="116"/>
      <c r="M95" s="116"/>
      <c r="N95" s="116"/>
      <c r="O95" s="116"/>
      <c r="P95" s="116"/>
      <c r="Q95" s="116"/>
      <c r="R95" s="116"/>
      <c r="S95" s="116"/>
      <c r="X95" s="1464"/>
      <c r="Y95" s="826" t="s">
        <v>8435</v>
      </c>
      <c r="Z95" s="836" t="str">
        <f>IF(AA94=" за период",SEARCH(" за период",W$4,AB94)+LEN(" за период")+3,"НЕТ")</f>
        <v>НЕТ</v>
      </c>
      <c r="AA95" s="306" t="s">
        <v>8434</v>
      </c>
      <c r="AB95" s="306" t="e">
        <f>SEARCH(AA95,W$4,Z95)</f>
        <v>#VALUE!</v>
      </c>
      <c r="AC95" s="306" t="e">
        <f>AB95-Z95</f>
        <v>#VALUE!</v>
      </c>
      <c r="AD95" s="827" t="e">
        <f>DATEVALUE(MID(W$4,Z95,AC95))</f>
        <v>#VALUE!</v>
      </c>
      <c r="AE95" s="828" t="str">
        <f>IF(AA94=" за период",AD95,"")</f>
        <v/>
      </c>
      <c r="AF95" s="1017"/>
      <c r="AG95" s="1017"/>
      <c r="AL95" s="1464"/>
      <c r="AM95" s="826" t="s">
        <v>8435</v>
      </c>
      <c r="AN95" s="836" t="str">
        <f>IF(AO94=" за период",SEARCH(" за период",AK$4,AP94)+LEN(" за период")+3,"НЕТ")</f>
        <v>НЕТ</v>
      </c>
      <c r="AO95" s="306" t="s">
        <v>8434</v>
      </c>
      <c r="AP95" s="306" t="e">
        <f>SEARCH(AO95,AK$4,AN95)</f>
        <v>#VALUE!</v>
      </c>
      <c r="AQ95" s="306" t="e">
        <f>AP95-AN95</f>
        <v>#VALUE!</v>
      </c>
      <c r="AR95" s="827" t="e">
        <f>DATEVALUE(MID(AK$4,AN95,AQ95))</f>
        <v>#VALUE!</v>
      </c>
      <c r="AS95" s="828" t="str">
        <f>IF(AO94=" за период",AR95,"")</f>
        <v/>
      </c>
      <c r="AT95" s="1017"/>
      <c r="AU95" s="1017"/>
      <c r="AZ95" s="1464"/>
      <c r="BA95" s="826" t="s">
        <v>8435</v>
      </c>
      <c r="BB95" s="836" t="str">
        <f>IF(BC94=" за период",SEARCH(" за период",AY$4,BD94)+LEN(" за период")+3,"НЕТ")</f>
        <v>НЕТ</v>
      </c>
      <c r="BC95" s="306" t="s">
        <v>8434</v>
      </c>
      <c r="BD95" s="306" t="e">
        <f>SEARCH(BC95,AY$4,BB95)</f>
        <v>#VALUE!</v>
      </c>
      <c r="BE95" s="306" t="e">
        <f>BD95-BB95</f>
        <v>#VALUE!</v>
      </c>
      <c r="BF95" s="827" t="e">
        <f>DATEVALUE(MID(AY$4,BB95,BE95))</f>
        <v>#VALUE!</v>
      </c>
      <c r="BG95" s="828" t="str">
        <f>IF(BC94=" за период",BF95,"")</f>
        <v/>
      </c>
      <c r="BH95" s="1017"/>
      <c r="BI95" s="1017"/>
      <c r="BK95" s="1017"/>
      <c r="BL95" s="1017"/>
    </row>
    <row r="96" spans="1:64" x14ac:dyDescent="0.3">
      <c r="A96" s="1569"/>
      <c r="B96" s="116"/>
      <c r="C96" s="116"/>
      <c r="D96" s="116"/>
      <c r="E96" s="116"/>
      <c r="F96" s="116"/>
      <c r="G96" s="116"/>
      <c r="H96" s="116"/>
      <c r="L96" s="116"/>
      <c r="M96" s="116"/>
      <c r="N96" s="116"/>
      <c r="O96" s="116"/>
      <c r="P96" s="116"/>
      <c r="Q96" s="116"/>
      <c r="R96" s="116"/>
      <c r="S96" s="116"/>
      <c r="X96" s="1464"/>
      <c r="Y96" s="826" t="s">
        <v>8436</v>
      </c>
      <c r="Z96" s="836" t="e">
        <f>SEARCH(" ",W$4,AB95+1)+1</f>
        <v>#VALUE!</v>
      </c>
      <c r="AA96" s="306"/>
      <c r="AB96" s="306" t="e">
        <f>Z96+AC96</f>
        <v>#VALUE!</v>
      </c>
      <c r="AC96" s="306">
        <v>10</v>
      </c>
      <c r="AD96" s="827" t="e">
        <f>DATEVALUE(MID(W$4,Z96,AC96))</f>
        <v>#VALUE!</v>
      </c>
      <c r="AE96" s="828" t="str">
        <f>IF(AA94=" за период",AD96,"")</f>
        <v/>
      </c>
      <c r="AF96" s="1017"/>
      <c r="AG96" s="1017"/>
      <c r="AL96" s="1464"/>
      <c r="AM96" s="826" t="s">
        <v>8436</v>
      </c>
      <c r="AN96" s="836" t="e">
        <f>SEARCH(" ",AK$4,AP95+1)+1</f>
        <v>#VALUE!</v>
      </c>
      <c r="AO96" s="306"/>
      <c r="AP96" s="306" t="e">
        <f>AN96+AQ96</f>
        <v>#VALUE!</v>
      </c>
      <c r="AQ96" s="306">
        <v>10</v>
      </c>
      <c r="AR96" s="827" t="e">
        <f>DATEVALUE(MID(AK$4,AN96,AQ96))</f>
        <v>#VALUE!</v>
      </c>
      <c r="AS96" s="828" t="str">
        <f>IF(AO94=" за период",AR96,"")</f>
        <v/>
      </c>
      <c r="AT96" s="1017"/>
      <c r="AU96" s="1017"/>
      <c r="AZ96" s="1464"/>
      <c r="BA96" s="826" t="s">
        <v>8436</v>
      </c>
      <c r="BB96" s="836" t="e">
        <f>SEARCH(" ",AY$4,BD95+1)+1</f>
        <v>#VALUE!</v>
      </c>
      <c r="BC96" s="306"/>
      <c r="BD96" s="306" t="e">
        <f>BB96+BE96</f>
        <v>#VALUE!</v>
      </c>
      <c r="BE96" s="306">
        <v>10</v>
      </c>
      <c r="BF96" s="827" t="e">
        <f>DATEVALUE(MID(AY$4,BB96,BE96))</f>
        <v>#VALUE!</v>
      </c>
      <c r="BG96" s="828" t="str">
        <f>IF(BC94=" за период",BF96,"")</f>
        <v/>
      </c>
      <c r="BH96" s="1017"/>
      <c r="BI96" s="1017"/>
      <c r="BK96" s="1017"/>
      <c r="BL96" s="1017"/>
    </row>
    <row r="97" spans="1:64" x14ac:dyDescent="0.3">
      <c r="A97" s="1569"/>
      <c r="B97" s="116"/>
      <c r="C97" s="116"/>
      <c r="D97" s="116"/>
      <c r="E97" s="116"/>
      <c r="F97" s="116"/>
      <c r="G97" s="116"/>
      <c r="H97" s="116"/>
      <c r="L97" s="116"/>
      <c r="M97" s="116"/>
      <c r="N97" s="116"/>
      <c r="O97" s="116"/>
      <c r="P97" s="116"/>
      <c r="Q97" s="116"/>
      <c r="R97" s="116"/>
      <c r="S97" s="116"/>
      <c r="X97" s="1464"/>
      <c r="Y97" s="826"/>
      <c r="Z97" s="836"/>
      <c r="AA97" s="306" t="str">
        <f>IF(AB97=IFERROR(SEARCH(".",W$4,AB96),99999),".",
IF(AB97=IFERROR(SEARCH(",",W$4,AB96),99999),",",
IF(AB97=IFERROR(SEARCH(" за период",W$4,AB96),999999)," за период",
IF(AB97=IFERROR(SEARCH(" в размере",W$4,AB96),99999)," в размере",
))))</f>
        <v>.</v>
      </c>
      <c r="AB97" s="306">
        <f>MIN(
IFERROR(SEARCH(".",W$4,AB96),99999),
IFERROR(SEARCH(",",W$4,AB96),99999),
IFERROR(SEARCH(" в размере",W$4,AB96),99999))</f>
        <v>99999</v>
      </c>
      <c r="AC97" s="306"/>
      <c r="AD97" s="827"/>
      <c r="AE97" s="829"/>
      <c r="AF97" s="1016"/>
      <c r="AG97" s="1016"/>
      <c r="AL97" s="1464"/>
      <c r="AM97" s="826"/>
      <c r="AN97" s="836"/>
      <c r="AO97" s="306" t="str">
        <f>IF(AP97=IFERROR(SEARCH(".",AK$4,AP96),99999),".",
IF(AP97=IFERROR(SEARCH(",",AK$4,AP96),99999),",",
IF(AP97=IFERROR(SEARCH(" за период",AK$4,AP96),999999)," за период",
IF(AP97=IFERROR(SEARCH(" в размере",AK$4,AP96),99999)," в размере",
))))</f>
        <v>.</v>
      </c>
      <c r="AP97" s="306">
        <f>MIN(
IFERROR(SEARCH(".",AK$4,AP96),99999),
IFERROR(SEARCH(",",AK$4,AP96),99999),
IFERROR(SEARCH(" в размере",AK$4,AP96),99999))</f>
        <v>99999</v>
      </c>
      <c r="AQ97" s="306"/>
      <c r="AR97" s="827"/>
      <c r="AS97" s="829"/>
      <c r="AT97" s="1016"/>
      <c r="AU97" s="1016"/>
      <c r="AZ97" s="1464"/>
      <c r="BA97" s="826"/>
      <c r="BB97" s="836"/>
      <c r="BC97" s="306" t="str">
        <f>IF(BD97=IFERROR(SEARCH(".",AY$4,BD96),99999),".",
IF(BD97=IFERROR(SEARCH(",",AY$4,BD96),99999),",",
IF(BD97=IFERROR(SEARCH(" за период",AY$4,BD96),999999)," за период",
IF(BD97=IFERROR(SEARCH(" в размере",AY$4,BD96),99999)," в размере",
))))</f>
        <v>.</v>
      </c>
      <c r="BD97" s="306">
        <f>MIN(
IFERROR(SEARCH(".",AY$4,BD96),99999),
IFERROR(SEARCH(",",AY$4,BD96),99999),
IFERROR(SEARCH(" в размере",AY$4,BD96),99999))</f>
        <v>99999</v>
      </c>
      <c r="BE97" s="306"/>
      <c r="BF97" s="827"/>
      <c r="BG97" s="829"/>
      <c r="BH97" s="1016"/>
      <c r="BI97" s="1016"/>
      <c r="BK97" s="1016"/>
      <c r="BL97" s="1016"/>
    </row>
    <row r="98" spans="1:64" x14ac:dyDescent="0.3">
      <c r="A98" s="1569"/>
      <c r="B98" s="116"/>
      <c r="C98" s="116"/>
      <c r="D98" s="116"/>
      <c r="E98" s="116"/>
      <c r="F98" s="116"/>
      <c r="G98" s="116"/>
      <c r="H98" s="116"/>
      <c r="L98" s="116"/>
      <c r="M98" s="116"/>
      <c r="N98" s="116"/>
      <c r="O98" s="116"/>
      <c r="P98" s="116"/>
      <c r="Q98" s="116"/>
      <c r="R98" s="116"/>
      <c r="S98" s="116"/>
      <c r="X98" s="1464"/>
      <c r="Y98" s="835" t="s">
        <v>8249</v>
      </c>
      <c r="Z98" s="836" t="e">
        <f>SEARCH(" в размере",W$4,AB94)+LEN(" в размере")+1</f>
        <v>#VALUE!</v>
      </c>
      <c r="AA98" s="306" t="s">
        <v>8234</v>
      </c>
      <c r="AB98" s="306" t="e">
        <f>SEARCH(AA98,W$4,Z98)</f>
        <v>#VALUE!</v>
      </c>
      <c r="AC98" s="306" t="e">
        <f>AB98-Z98</f>
        <v>#VALUE!</v>
      </c>
      <c r="AD98" s="826" t="e">
        <f>IF(AE94="Штраф 50%","",MID(W$4,Z98,AC98))</f>
        <v>#VALUE!</v>
      </c>
      <c r="AE98" s="829"/>
      <c r="AF98" s="1016"/>
      <c r="AG98" s="1016"/>
      <c r="AL98" s="1464"/>
      <c r="AM98" s="835" t="s">
        <v>8249</v>
      </c>
      <c r="AN98" s="836" t="e">
        <f>SEARCH(" в размере",AK$4,AP94)+LEN(" в размере")+1</f>
        <v>#VALUE!</v>
      </c>
      <c r="AO98" s="306" t="s">
        <v>8234</v>
      </c>
      <c r="AP98" s="306" t="e">
        <f>SEARCH(AO98,AK$4,AN98)</f>
        <v>#VALUE!</v>
      </c>
      <c r="AQ98" s="306" t="e">
        <f>AP98-AN98</f>
        <v>#VALUE!</v>
      </c>
      <c r="AR98" s="826" t="e">
        <f>IF(AS94="Штраф 50%","",MID(AK$4,AN98,AQ98))</f>
        <v>#VALUE!</v>
      </c>
      <c r="AS98" s="829"/>
      <c r="AT98" s="1016"/>
      <c r="AU98" s="1016"/>
      <c r="AZ98" s="1464"/>
      <c r="BA98" s="835" t="s">
        <v>8249</v>
      </c>
      <c r="BB98" s="836" t="e">
        <f>SEARCH(" в размере",AY$4,BD94)+LEN(" в размере")+1</f>
        <v>#VALUE!</v>
      </c>
      <c r="BC98" s="306" t="s">
        <v>8234</v>
      </c>
      <c r="BD98" s="306" t="e">
        <f>SEARCH(BC98,AY$4,BB98)</f>
        <v>#VALUE!</v>
      </c>
      <c r="BE98" s="306" t="e">
        <f>BD98-BB98</f>
        <v>#VALUE!</v>
      </c>
      <c r="BF98" s="826" t="e">
        <f>IF(BG94="Штраф 50%","",MID(AY$4,BB98,BE98))</f>
        <v>#VALUE!</v>
      </c>
      <c r="BG98" s="829"/>
      <c r="BH98" s="1016"/>
      <c r="BI98" s="1016"/>
      <c r="BK98" s="1016"/>
      <c r="BL98" s="1016"/>
    </row>
    <row r="99" spans="1:64" x14ac:dyDescent="0.3">
      <c r="A99" s="1569"/>
      <c r="B99" s="116"/>
      <c r="C99" s="116"/>
      <c r="D99" s="116"/>
      <c r="E99" s="116"/>
      <c r="F99" s="116"/>
      <c r="G99" s="116"/>
      <c r="H99" s="116"/>
      <c r="L99" s="116"/>
      <c r="M99" s="116"/>
      <c r="N99" s="116"/>
      <c r="O99" s="116"/>
      <c r="P99" s="116"/>
      <c r="Q99" s="116"/>
      <c r="R99" s="116"/>
      <c r="S99" s="116"/>
      <c r="X99" s="1464"/>
      <c r="Y99" s="401"/>
      <c r="Z99" s="836" t="e">
        <f>SEARCH(" ",W$4,SEARCH("руб",W$4,AB98))+1</f>
        <v>#VALUE!</v>
      </c>
      <c r="AA99" s="306" t="s">
        <v>8432</v>
      </c>
      <c r="AB99" s="306" t="e">
        <f>SEARCH(AA99,W$4,Z99)</f>
        <v>#VALUE!</v>
      </c>
      <c r="AC99" s="306" t="e">
        <f>AB99-Z99</f>
        <v>#VALUE!</v>
      </c>
      <c r="AD99" s="826" t="e">
        <f>IF(AE94="Штраф 50%","",MID(W$4,Z99,AC99))</f>
        <v>#VALUE!</v>
      </c>
      <c r="AE99" s="829"/>
      <c r="AF99" s="1016"/>
      <c r="AG99" s="1016"/>
      <c r="AL99" s="1464"/>
      <c r="AM99" s="401"/>
      <c r="AN99" s="836" t="e">
        <f>SEARCH(" ",AK$4,SEARCH("руб",AK$4,AP98))+1</f>
        <v>#VALUE!</v>
      </c>
      <c r="AO99" s="306" t="s">
        <v>8432</v>
      </c>
      <c r="AP99" s="306" t="e">
        <f>SEARCH(AO99,AK$4,AN99)</f>
        <v>#VALUE!</v>
      </c>
      <c r="AQ99" s="306" t="e">
        <f>AP99-AN99</f>
        <v>#VALUE!</v>
      </c>
      <c r="AR99" s="826" t="e">
        <f>IF(AS94="Штраф 50%","",MID(AK$4,AN99,AQ99))</f>
        <v>#VALUE!</v>
      </c>
      <c r="AS99" s="829"/>
      <c r="AT99" s="1016"/>
      <c r="AU99" s="1016"/>
      <c r="AZ99" s="1464"/>
      <c r="BA99" s="401"/>
      <c r="BB99" s="836" t="e">
        <f>SEARCH(" ",AY$4,SEARCH("руб",AY$4,BD98))+1</f>
        <v>#VALUE!</v>
      </c>
      <c r="BC99" s="306" t="s">
        <v>8432</v>
      </c>
      <c r="BD99" s="306" t="e">
        <f>SEARCH(BC99,AY$4,BB99)</f>
        <v>#VALUE!</v>
      </c>
      <c r="BE99" s="306" t="e">
        <f>BD99-BB99</f>
        <v>#VALUE!</v>
      </c>
      <c r="BF99" s="826" t="e">
        <f>IF(BG94="Штраф 50%","",MID(AY$4,BB99,BE99))</f>
        <v>#VALUE!</v>
      </c>
      <c r="BG99" s="829"/>
      <c r="BH99" s="1016"/>
      <c r="BI99" s="1016"/>
      <c r="BK99" s="1016"/>
      <c r="BL99" s="1016"/>
    </row>
    <row r="100" spans="1:64" ht="15" thickBot="1" x14ac:dyDescent="0.35">
      <c r="A100" s="1569"/>
      <c r="B100" s="116"/>
      <c r="C100" s="116"/>
      <c r="D100" s="116"/>
      <c r="E100" s="116"/>
      <c r="F100" s="116"/>
      <c r="G100" s="116"/>
      <c r="H100" s="116"/>
      <c r="L100" s="116"/>
      <c r="M100" s="116"/>
      <c r="N100" s="116"/>
      <c r="O100" s="116"/>
      <c r="P100" s="116"/>
      <c r="Q100" s="116"/>
      <c r="R100" s="116"/>
      <c r="S100" s="116"/>
      <c r="X100" s="1465"/>
      <c r="Y100" s="583"/>
      <c r="Z100" s="837"/>
      <c r="AA100" s="583"/>
      <c r="AB100" s="583"/>
      <c r="AC100" s="583"/>
      <c r="AD100" s="831" t="e">
        <f>VALUE(CONCATENATE(AD98,",",AD99))</f>
        <v>#VALUE!</v>
      </c>
      <c r="AE100" s="832" t="str">
        <f>IF(AE94="Штраф 50%","",IF(OR(AA97=" в размере",AA94=" в размере"),AD100,""))</f>
        <v/>
      </c>
      <c r="AF100" s="1018"/>
      <c r="AG100" s="1018"/>
      <c r="AL100" s="1465"/>
      <c r="AM100" s="583"/>
      <c r="AN100" s="837"/>
      <c r="AO100" s="583"/>
      <c r="AP100" s="583"/>
      <c r="AQ100" s="583"/>
      <c r="AR100" s="831" t="e">
        <f>VALUE(CONCATENATE(AR98,",",AR99))</f>
        <v>#VALUE!</v>
      </c>
      <c r="AS100" s="832" t="str">
        <f>IF(AS94="Штраф 50%","",IF(OR(AO97=" в размере",AO94=" в размере"),AR100,""))</f>
        <v/>
      </c>
      <c r="AT100" s="1018"/>
      <c r="AU100" s="1018"/>
      <c r="AZ100" s="1465"/>
      <c r="BA100" s="583"/>
      <c r="BB100" s="837"/>
      <c r="BC100" s="583"/>
      <c r="BD100" s="583"/>
      <c r="BE100" s="583"/>
      <c r="BF100" s="831" t="e">
        <f>VALUE(CONCATENATE(BF98,",",BF99))</f>
        <v>#VALUE!</v>
      </c>
      <c r="BG100" s="832" t="str">
        <f>IF(BG94="Штраф 50%","",IF(OR(BC97=" в размере",BC94=" в размере"),BF100,""))</f>
        <v/>
      </c>
      <c r="BH100" s="1018"/>
      <c r="BI100" s="1018"/>
      <c r="BK100" s="1018"/>
      <c r="BL100" s="1018"/>
    </row>
    <row r="101" spans="1:64" ht="15" thickTop="1" x14ac:dyDescent="0.3">
      <c r="B101" s="116"/>
      <c r="C101" s="116"/>
      <c r="D101" s="116"/>
      <c r="E101" s="116"/>
      <c r="F101" s="116"/>
      <c r="G101" s="116"/>
      <c r="H101" s="116"/>
      <c r="L101" s="116"/>
      <c r="M101" s="116"/>
      <c r="N101" s="116"/>
      <c r="O101" s="116"/>
      <c r="P101" s="116"/>
      <c r="Q101" s="116"/>
      <c r="R101" s="116"/>
      <c r="S101" s="116"/>
      <c r="X101" s="1463">
        <v>15</v>
      </c>
      <c r="Y101" s="824" t="s">
        <v>8433</v>
      </c>
      <c r="Z101" s="838" t="e">
        <f>SEARCH(U$4,W$4,AB94)+LEN(U$4)</f>
        <v>#VALUE!</v>
      </c>
      <c r="AA101" s="406" t="str">
        <f>IF(AB101=IFERROR(SEARCH(".",W$4,Z101),99999),".",
IF(AB101=IFERROR(SEARCH(",",W$4,Z101),99999),",",
IF(AB101=IFERROR(SEARCH(" за период",W$4,Z101),999999)," за период",
IF(AB101=IFERROR(SEARCH(" в размере",W$4,Z101),99999)," в размере",
))))</f>
        <v>.</v>
      </c>
      <c r="AB101" s="406">
        <f>IFERROR(MIN(IFERROR(SEARCH(".",W$4,Z101),99999),IFERROR(SEARCH(",",W$4,Z101),99999),IFERROR(SEARCH(" за период",W$4,Z101),999999),IFERROR(SEARCH(" в размере",W$4,Z101),99999)),"ОШИБКА")</f>
        <v>99999</v>
      </c>
      <c r="AC101" s="406" t="e">
        <f>AB101-Z101</f>
        <v>#VALUE!</v>
      </c>
      <c r="AD101" s="824" t="e">
        <f>MID(W$4,Z101,AC101)</f>
        <v>#VALUE!</v>
      </c>
      <c r="AE101" s="825" t="str">
        <f>IFERROR(INDEX($EL:$EL,MATCH(MID(W$4,Z101,AC101),$EK:$EK,0),1),"")</f>
        <v/>
      </c>
      <c r="AF101" s="1016"/>
      <c r="AG101" s="1016"/>
      <c r="AH101" s="754"/>
      <c r="AL101" s="1463">
        <v>15</v>
      </c>
      <c r="AM101" s="824" t="s">
        <v>8433</v>
      </c>
      <c r="AN101" s="838" t="e">
        <f>SEARCH(AI$4,AK$4,AP94)+LEN(AI$4)</f>
        <v>#VALUE!</v>
      </c>
      <c r="AO101" s="406" t="str">
        <f>IF(AP101=IFERROR(SEARCH(".",AK$4,AN101),99999),".",
IF(AP101=IFERROR(SEARCH(",",AK$4,AN101),99999),",",
IF(AP101=IFERROR(SEARCH(" за период",AK$4,AN101),999999)," за период",
IF(AP101=IFERROR(SEARCH(" в размере",AK$4,AN101),99999)," в размере",
))))</f>
        <v>.</v>
      </c>
      <c r="AP101" s="406">
        <f>IFERROR(MIN(IFERROR(SEARCH(".",AK$4,AN101),99999),IFERROR(SEARCH(",",AK$4,AN101),99999),IFERROR(SEARCH(" за период",AK$4,AN101),999999),IFERROR(SEARCH(" в размере",AK$4,AN101),99999)),"ОШИБКА")</f>
        <v>99999</v>
      </c>
      <c r="AQ101" s="406" t="e">
        <f>AP101-AN101</f>
        <v>#VALUE!</v>
      </c>
      <c r="AR101" s="824" t="e">
        <f>MID(AK$4,AN101,AQ101)</f>
        <v>#VALUE!</v>
      </c>
      <c r="AS101" s="825" t="str">
        <f>IFERROR(INDEX($EL:$EL,MATCH(MID(AK$4,AN101,AQ101),$EK:$EK,0),1),"")</f>
        <v/>
      </c>
      <c r="AT101" s="1016"/>
      <c r="AU101" s="1016"/>
      <c r="AV101" s="754"/>
      <c r="AZ101" s="1463">
        <v>15</v>
      </c>
      <c r="BA101" s="824" t="s">
        <v>8433</v>
      </c>
      <c r="BB101" s="838" t="e">
        <f>SEARCH(AW$4,AY$4,BD94)+LEN(AW$4)</f>
        <v>#VALUE!</v>
      </c>
      <c r="BC101" s="406" t="str">
        <f>IF(BD101=IFERROR(SEARCH(".",AY$4,BB101),99999),".",
IF(BD101=IFERROR(SEARCH(",",AY$4,BB101),99999),",",
IF(BD101=IFERROR(SEARCH(" за период",AY$4,BB101),999999)," за период",
IF(BD101=IFERROR(SEARCH(" в размере",AY$4,BB101),99999)," в размере",
))))</f>
        <v>.</v>
      </c>
      <c r="BD101" s="406">
        <f>IFERROR(MIN(IFERROR(SEARCH(".",AY$4,BB101),99999),IFERROR(SEARCH(",",AY$4,BB101),99999),IFERROR(SEARCH(" за период",AY$4,BB101),999999),IFERROR(SEARCH(" в размере",AY$4,BB101),99999)),"ОШИБКА")</f>
        <v>99999</v>
      </c>
      <c r="BE101" s="406" t="e">
        <f>BD101-BB101</f>
        <v>#VALUE!</v>
      </c>
      <c r="BF101" s="824" t="e">
        <f>MID(AY$4,BB101,BE101)</f>
        <v>#VALUE!</v>
      </c>
      <c r="BG101" s="825" t="str">
        <f>IFERROR(INDEX($EL:$EL,MATCH(MID(AY$4,BB101,BE101),$EK:$EK,0),1),"")</f>
        <v/>
      </c>
      <c r="BH101" s="1016"/>
      <c r="BI101" s="1016"/>
      <c r="BJ101" s="754"/>
      <c r="BK101" s="1016"/>
      <c r="BL101" s="1016"/>
    </row>
    <row r="102" spans="1:64" x14ac:dyDescent="0.3">
      <c r="B102" s="116"/>
      <c r="C102" s="116"/>
      <c r="D102" s="116"/>
      <c r="E102" s="116"/>
      <c r="F102" s="116"/>
      <c r="G102" s="116"/>
      <c r="H102" s="116"/>
      <c r="L102" s="116"/>
      <c r="M102" s="116"/>
      <c r="N102" s="116"/>
      <c r="O102" s="116"/>
      <c r="P102" s="116"/>
      <c r="Q102" s="116"/>
      <c r="R102" s="116"/>
      <c r="S102" s="116"/>
      <c r="X102" s="1464"/>
      <c r="Y102" s="826" t="s">
        <v>8435</v>
      </c>
      <c r="Z102" s="836" t="str">
        <f>IF(AA101=" за период",SEARCH(" за период",W$4,AB101)+LEN(" за период")+3,"НЕТ")</f>
        <v>НЕТ</v>
      </c>
      <c r="AA102" s="306" t="s">
        <v>8434</v>
      </c>
      <c r="AB102" s="306" t="e">
        <f>SEARCH(AA102,W$4,Z102)</f>
        <v>#VALUE!</v>
      </c>
      <c r="AC102" s="306" t="e">
        <f>AB102-Z102</f>
        <v>#VALUE!</v>
      </c>
      <c r="AD102" s="827" t="e">
        <f>DATEVALUE(MID(W$4,Z102,AC102))</f>
        <v>#VALUE!</v>
      </c>
      <c r="AE102" s="828" t="str">
        <f>IF(AA101=" за период",AD102,"")</f>
        <v/>
      </c>
      <c r="AF102" s="1017"/>
      <c r="AG102" s="1017"/>
      <c r="AL102" s="1464"/>
      <c r="AM102" s="826" t="s">
        <v>8435</v>
      </c>
      <c r="AN102" s="836" t="str">
        <f>IF(AO101=" за период",SEARCH(" за период",AK$4,AP101)+LEN(" за период")+3,"НЕТ")</f>
        <v>НЕТ</v>
      </c>
      <c r="AO102" s="306" t="s">
        <v>8434</v>
      </c>
      <c r="AP102" s="306" t="e">
        <f>SEARCH(AO102,AK$4,AN102)</f>
        <v>#VALUE!</v>
      </c>
      <c r="AQ102" s="306" t="e">
        <f>AP102-AN102</f>
        <v>#VALUE!</v>
      </c>
      <c r="AR102" s="827" t="e">
        <f>DATEVALUE(MID(AK$4,AN102,AQ102))</f>
        <v>#VALUE!</v>
      </c>
      <c r="AS102" s="828" t="str">
        <f>IF(AO101=" за период",AR102,"")</f>
        <v/>
      </c>
      <c r="AT102" s="1017"/>
      <c r="AU102" s="1017"/>
      <c r="AZ102" s="1464"/>
      <c r="BA102" s="826" t="s">
        <v>8435</v>
      </c>
      <c r="BB102" s="836" t="str">
        <f>IF(BC101=" за период",SEARCH(" за период",AY$4,BD101)+LEN(" за период")+3,"НЕТ")</f>
        <v>НЕТ</v>
      </c>
      <c r="BC102" s="306" t="s">
        <v>8434</v>
      </c>
      <c r="BD102" s="306" t="e">
        <f>SEARCH(BC102,AY$4,BB102)</f>
        <v>#VALUE!</v>
      </c>
      <c r="BE102" s="306" t="e">
        <f>BD102-BB102</f>
        <v>#VALUE!</v>
      </c>
      <c r="BF102" s="827" t="e">
        <f>DATEVALUE(MID(AY$4,BB102,BE102))</f>
        <v>#VALUE!</v>
      </c>
      <c r="BG102" s="828" t="str">
        <f>IF(BC101=" за период",BF102,"")</f>
        <v/>
      </c>
      <c r="BH102" s="1017"/>
      <c r="BI102" s="1017"/>
      <c r="BK102" s="1017"/>
      <c r="BL102" s="1017"/>
    </row>
    <row r="103" spans="1:64" x14ac:dyDescent="0.3">
      <c r="B103" s="116"/>
      <c r="C103" s="116"/>
      <c r="D103" s="116"/>
      <c r="E103" s="116"/>
      <c r="F103" s="116"/>
      <c r="G103" s="116"/>
      <c r="H103" s="116"/>
      <c r="L103" s="116"/>
      <c r="M103" s="116"/>
      <c r="N103" s="116"/>
      <c r="O103" s="116"/>
      <c r="P103" s="116"/>
      <c r="Q103" s="116"/>
      <c r="R103" s="116"/>
      <c r="S103" s="116"/>
      <c r="X103" s="1464"/>
      <c r="Y103" s="826" t="s">
        <v>8436</v>
      </c>
      <c r="Z103" s="836" t="e">
        <f>SEARCH(" ",W$4,AB102+1)+1</f>
        <v>#VALUE!</v>
      </c>
      <c r="AA103" s="306"/>
      <c r="AB103" s="306" t="e">
        <f>Z103+AC103</f>
        <v>#VALUE!</v>
      </c>
      <c r="AC103" s="306">
        <v>10</v>
      </c>
      <c r="AD103" s="827" t="e">
        <f>DATEVALUE(MID(W$4,Z103,AC103))</f>
        <v>#VALUE!</v>
      </c>
      <c r="AE103" s="828" t="str">
        <f>IF(AA101=" за период",AD103,"")</f>
        <v/>
      </c>
      <c r="AF103" s="1017"/>
      <c r="AG103" s="1017"/>
      <c r="AL103" s="1464"/>
      <c r="AM103" s="826" t="s">
        <v>8436</v>
      </c>
      <c r="AN103" s="836" t="e">
        <f>SEARCH(" ",AK$4,AP102+1)+1</f>
        <v>#VALUE!</v>
      </c>
      <c r="AO103" s="306"/>
      <c r="AP103" s="306" t="e">
        <f>AN103+AQ103</f>
        <v>#VALUE!</v>
      </c>
      <c r="AQ103" s="306">
        <v>10</v>
      </c>
      <c r="AR103" s="827" t="e">
        <f>DATEVALUE(MID(AK$4,AN103,AQ103))</f>
        <v>#VALUE!</v>
      </c>
      <c r="AS103" s="828" t="str">
        <f>IF(AO101=" за период",AR103,"")</f>
        <v/>
      </c>
      <c r="AT103" s="1017"/>
      <c r="AU103" s="1017"/>
      <c r="AZ103" s="1464"/>
      <c r="BA103" s="826" t="s">
        <v>8436</v>
      </c>
      <c r="BB103" s="836" t="e">
        <f>SEARCH(" ",AY$4,BD102+1)+1</f>
        <v>#VALUE!</v>
      </c>
      <c r="BC103" s="306"/>
      <c r="BD103" s="306" t="e">
        <f>BB103+BE103</f>
        <v>#VALUE!</v>
      </c>
      <c r="BE103" s="306">
        <v>10</v>
      </c>
      <c r="BF103" s="827" t="e">
        <f>DATEVALUE(MID(AY$4,BB103,BE103))</f>
        <v>#VALUE!</v>
      </c>
      <c r="BG103" s="828" t="str">
        <f>IF(BC101=" за период",BF103,"")</f>
        <v/>
      </c>
      <c r="BH103" s="1017"/>
      <c r="BI103" s="1017"/>
      <c r="BK103" s="1017"/>
      <c r="BL103" s="1017"/>
    </row>
    <row r="104" spans="1:64" x14ac:dyDescent="0.3">
      <c r="B104" s="116"/>
      <c r="C104" s="116"/>
      <c r="D104" s="116"/>
      <c r="E104" s="116"/>
      <c r="F104" s="116"/>
      <c r="G104" s="116"/>
      <c r="H104" s="116"/>
      <c r="L104" s="116"/>
      <c r="M104" s="116"/>
      <c r="N104" s="116"/>
      <c r="O104" s="116"/>
      <c r="P104" s="116"/>
      <c r="Q104" s="116"/>
      <c r="R104" s="116"/>
      <c r="S104" s="116"/>
      <c r="X104" s="1464"/>
      <c r="Y104" s="826"/>
      <c r="Z104" s="836"/>
      <c r="AA104" s="306" t="str">
        <f>IF(AB104=IFERROR(SEARCH(".",W$4,AB103),99999),".",
IF(AB104=IFERROR(SEARCH(",",W$4,AB103),99999),",",
IF(AB104=IFERROR(SEARCH(" за период",W$4,AB103),999999)," за период",
IF(AB104=IFERROR(SEARCH(" в размере",W$4,AB103),99999)," в размере",
))))</f>
        <v>.</v>
      </c>
      <c r="AB104" s="306">
        <f>MIN(
IFERROR(SEARCH(".",W$4,AB103),99999),
IFERROR(SEARCH(",",W$4,AB103),99999),
IFERROR(SEARCH(" в размере",W$4,AB103),99999))</f>
        <v>99999</v>
      </c>
      <c r="AC104" s="306"/>
      <c r="AD104" s="827"/>
      <c r="AE104" s="829"/>
      <c r="AF104" s="1016"/>
      <c r="AG104" s="1016"/>
      <c r="AL104" s="1464"/>
      <c r="AM104" s="826"/>
      <c r="AN104" s="836"/>
      <c r="AO104" s="306" t="str">
        <f>IF(AP104=IFERROR(SEARCH(".",AK$4,AP103),99999),".",
IF(AP104=IFERROR(SEARCH(",",AK$4,AP103),99999),",",
IF(AP104=IFERROR(SEARCH(" за период",AK$4,AP103),999999)," за период",
IF(AP104=IFERROR(SEARCH(" в размере",AK$4,AP103),99999)," в размере",
))))</f>
        <v>.</v>
      </c>
      <c r="AP104" s="306">
        <f>MIN(
IFERROR(SEARCH(".",AK$4,AP103),99999),
IFERROR(SEARCH(",",AK$4,AP103),99999),
IFERROR(SEARCH(" в размере",AK$4,AP103),99999))</f>
        <v>99999</v>
      </c>
      <c r="AQ104" s="306"/>
      <c r="AR104" s="827"/>
      <c r="AS104" s="829"/>
      <c r="AT104" s="1016"/>
      <c r="AU104" s="1016"/>
      <c r="AZ104" s="1464"/>
      <c r="BA104" s="826"/>
      <c r="BB104" s="836"/>
      <c r="BC104" s="306" t="str">
        <f>IF(BD104=IFERROR(SEARCH(".",AY$4,BD103),99999),".",
IF(BD104=IFERROR(SEARCH(",",AY$4,BD103),99999),",",
IF(BD104=IFERROR(SEARCH(" за период",AY$4,BD103),999999)," за период",
IF(BD104=IFERROR(SEARCH(" в размере",AY$4,BD103),99999)," в размере",
))))</f>
        <v>.</v>
      </c>
      <c r="BD104" s="306">
        <f>MIN(
IFERROR(SEARCH(".",AY$4,BD103),99999),
IFERROR(SEARCH(",",AY$4,BD103),99999),
IFERROR(SEARCH(" в размере",AY$4,BD103),99999))</f>
        <v>99999</v>
      </c>
      <c r="BE104" s="306"/>
      <c r="BF104" s="827"/>
      <c r="BG104" s="829"/>
      <c r="BH104" s="1016"/>
      <c r="BI104" s="1016"/>
      <c r="BK104" s="1016"/>
      <c r="BL104" s="1016"/>
    </row>
    <row r="105" spans="1:64" x14ac:dyDescent="0.3">
      <c r="B105" s="116"/>
      <c r="C105" s="116"/>
      <c r="D105" s="116"/>
      <c r="E105" s="116"/>
      <c r="F105" s="116"/>
      <c r="G105" s="116"/>
      <c r="H105" s="116"/>
      <c r="L105" s="116"/>
      <c r="M105" s="116"/>
      <c r="N105" s="116"/>
      <c r="O105" s="116"/>
      <c r="P105" s="116"/>
      <c r="Q105" s="116"/>
      <c r="R105" s="116"/>
      <c r="S105" s="116"/>
      <c r="X105" s="1464"/>
      <c r="Y105" s="835" t="s">
        <v>8249</v>
      </c>
      <c r="Z105" s="836" t="e">
        <f>SEARCH(" в размере",W$4,AB101)+LEN(" в размере")+1</f>
        <v>#VALUE!</v>
      </c>
      <c r="AA105" s="306" t="s">
        <v>8234</v>
      </c>
      <c r="AB105" s="306" t="e">
        <f>SEARCH(AA105,W$4,Z105)</f>
        <v>#VALUE!</v>
      </c>
      <c r="AC105" s="306" t="e">
        <f>AB105-Z105</f>
        <v>#VALUE!</v>
      </c>
      <c r="AD105" s="826" t="e">
        <f>IF(AE101="Штраф 50%","",MID(W$4,Z105,AC105))</f>
        <v>#VALUE!</v>
      </c>
      <c r="AE105" s="829"/>
      <c r="AF105" s="1016"/>
      <c r="AG105" s="1016"/>
      <c r="AL105" s="1464"/>
      <c r="AM105" s="835" t="s">
        <v>8249</v>
      </c>
      <c r="AN105" s="836" t="e">
        <f>SEARCH(" в размере",AK$4,AP101)+LEN(" в размере")+1</f>
        <v>#VALUE!</v>
      </c>
      <c r="AO105" s="306" t="s">
        <v>8234</v>
      </c>
      <c r="AP105" s="306" t="e">
        <f>SEARCH(AO105,AK$4,AN105)</f>
        <v>#VALUE!</v>
      </c>
      <c r="AQ105" s="306" t="e">
        <f>AP105-AN105</f>
        <v>#VALUE!</v>
      </c>
      <c r="AR105" s="826" t="e">
        <f>IF(AS101="Штраф 50%","",MID(AK$4,AN105,AQ105))</f>
        <v>#VALUE!</v>
      </c>
      <c r="AS105" s="829"/>
      <c r="AT105" s="1016"/>
      <c r="AU105" s="1016"/>
      <c r="AZ105" s="1464"/>
      <c r="BA105" s="835" t="s">
        <v>8249</v>
      </c>
      <c r="BB105" s="836" t="e">
        <f>SEARCH(" в размере",AY$4,BD101)+LEN(" в размере")+1</f>
        <v>#VALUE!</v>
      </c>
      <c r="BC105" s="306" t="s">
        <v>8234</v>
      </c>
      <c r="BD105" s="306" t="e">
        <f>SEARCH(BC105,AY$4,BB105)</f>
        <v>#VALUE!</v>
      </c>
      <c r="BE105" s="306" t="e">
        <f>BD105-BB105</f>
        <v>#VALUE!</v>
      </c>
      <c r="BF105" s="826" t="e">
        <f>IF(BG101="Штраф 50%","",MID(AY$4,BB105,BE105))</f>
        <v>#VALUE!</v>
      </c>
      <c r="BG105" s="829"/>
      <c r="BH105" s="1016"/>
      <c r="BI105" s="1016"/>
      <c r="BK105" s="1016"/>
      <c r="BL105" s="1016"/>
    </row>
    <row r="106" spans="1:64" x14ac:dyDescent="0.3">
      <c r="B106" s="116"/>
      <c r="C106" s="116"/>
      <c r="D106" s="116"/>
      <c r="E106" s="116"/>
      <c r="F106" s="116"/>
      <c r="G106" s="116"/>
      <c r="H106" s="116"/>
      <c r="L106" s="116"/>
      <c r="M106" s="116"/>
      <c r="N106" s="116"/>
      <c r="O106" s="116"/>
      <c r="P106" s="116"/>
      <c r="Q106" s="116"/>
      <c r="R106" s="116"/>
      <c r="S106" s="116"/>
      <c r="X106" s="1464"/>
      <c r="Y106" s="401"/>
      <c r="Z106" s="836" t="e">
        <f>SEARCH(" ",W$4,SEARCH("руб",W$4,AB105))+1</f>
        <v>#VALUE!</v>
      </c>
      <c r="AA106" s="306" t="s">
        <v>8432</v>
      </c>
      <c r="AB106" s="306" t="e">
        <f>SEARCH(AA106,W$4,Z106)</f>
        <v>#VALUE!</v>
      </c>
      <c r="AC106" s="306" t="e">
        <f>AB106-Z106</f>
        <v>#VALUE!</v>
      </c>
      <c r="AD106" s="826" t="e">
        <f>IF(AE101="Штраф 50%","",MID(W$4,Z106,AC106))</f>
        <v>#VALUE!</v>
      </c>
      <c r="AE106" s="829"/>
      <c r="AF106" s="1016"/>
      <c r="AG106" s="1016"/>
      <c r="AL106" s="1464"/>
      <c r="AM106" s="401"/>
      <c r="AN106" s="836" t="e">
        <f>SEARCH(" ",AK$4,SEARCH("руб",AK$4,AP105))+1</f>
        <v>#VALUE!</v>
      </c>
      <c r="AO106" s="306" t="s">
        <v>8432</v>
      </c>
      <c r="AP106" s="306" t="e">
        <f>SEARCH(AO106,AK$4,AN106)</f>
        <v>#VALUE!</v>
      </c>
      <c r="AQ106" s="306" t="e">
        <f>AP106-AN106</f>
        <v>#VALUE!</v>
      </c>
      <c r="AR106" s="826" t="e">
        <f>IF(AS101="Штраф 50%","",MID(AK$4,AN106,AQ106))</f>
        <v>#VALUE!</v>
      </c>
      <c r="AS106" s="829"/>
      <c r="AT106" s="1016"/>
      <c r="AU106" s="1016"/>
      <c r="AZ106" s="1464"/>
      <c r="BA106" s="401"/>
      <c r="BB106" s="836" t="e">
        <f>SEARCH(" ",AY$4,SEARCH("руб",AY$4,BD105))+1</f>
        <v>#VALUE!</v>
      </c>
      <c r="BC106" s="306" t="s">
        <v>8432</v>
      </c>
      <c r="BD106" s="306" t="e">
        <f>SEARCH(BC106,AY$4,BB106)</f>
        <v>#VALUE!</v>
      </c>
      <c r="BE106" s="306" t="e">
        <f>BD106-BB106</f>
        <v>#VALUE!</v>
      </c>
      <c r="BF106" s="826" t="e">
        <f>IF(BG101="Штраф 50%","",MID(AY$4,BB106,BE106))</f>
        <v>#VALUE!</v>
      </c>
      <c r="BG106" s="829"/>
      <c r="BH106" s="1016"/>
      <c r="BI106" s="1016"/>
      <c r="BK106" s="1016"/>
      <c r="BL106" s="1016"/>
    </row>
    <row r="107" spans="1:64" ht="15" thickBot="1" x14ac:dyDescent="0.35">
      <c r="B107" s="116"/>
      <c r="C107" s="116"/>
      <c r="D107" s="116"/>
      <c r="E107" s="116"/>
      <c r="F107" s="116"/>
      <c r="G107" s="116"/>
      <c r="H107" s="116"/>
      <c r="L107" s="116"/>
      <c r="M107" s="116"/>
      <c r="N107" s="116"/>
      <c r="O107" s="116"/>
      <c r="P107" s="116"/>
      <c r="Q107" s="116"/>
      <c r="R107" s="116"/>
      <c r="S107" s="116"/>
      <c r="X107" s="1465"/>
      <c r="Y107" s="583"/>
      <c r="Z107" s="837"/>
      <c r="AA107" s="583"/>
      <c r="AB107" s="583"/>
      <c r="AC107" s="583"/>
      <c r="AD107" s="831" t="e">
        <f>VALUE(CONCATENATE(AD105,",",AD106))</f>
        <v>#VALUE!</v>
      </c>
      <c r="AE107" s="832" t="str">
        <f>IF(AE101="Штраф 50%","",IF(OR(AA104=" в размере",AA101=" в размере"),AD107,""))</f>
        <v/>
      </c>
      <c r="AF107" s="1018"/>
      <c r="AG107" s="1018"/>
      <c r="AL107" s="1465"/>
      <c r="AM107" s="583"/>
      <c r="AN107" s="837"/>
      <c r="AO107" s="583"/>
      <c r="AP107" s="583"/>
      <c r="AQ107" s="583"/>
      <c r="AR107" s="831" t="e">
        <f>VALUE(CONCATENATE(AR105,",",AR106))</f>
        <v>#VALUE!</v>
      </c>
      <c r="AS107" s="832" t="str">
        <f>IF(AS101="Штраф 50%","",IF(OR(AO104=" в размере",AO101=" в размере"),AR107,""))</f>
        <v/>
      </c>
      <c r="AT107" s="1018"/>
      <c r="AU107" s="1018"/>
      <c r="AZ107" s="1465"/>
      <c r="BA107" s="583"/>
      <c r="BB107" s="837"/>
      <c r="BC107" s="583"/>
      <c r="BD107" s="583"/>
      <c r="BE107" s="583"/>
      <c r="BF107" s="831" t="e">
        <f>VALUE(CONCATENATE(BF105,",",BF106))</f>
        <v>#VALUE!</v>
      </c>
      <c r="BG107" s="832" t="str">
        <f>IF(BG101="Штраф 50%","",IF(OR(BC104=" в размере",BC101=" в размере"),BF107,""))</f>
        <v/>
      </c>
      <c r="BH107" s="1018"/>
      <c r="BI107" s="1018"/>
      <c r="BK107" s="1018"/>
      <c r="BL107" s="1018"/>
    </row>
    <row r="108" spans="1:64" ht="15" thickTop="1" x14ac:dyDescent="0.3">
      <c r="B108" s="116"/>
      <c r="C108" s="116"/>
      <c r="D108" s="116"/>
      <c r="E108" s="116"/>
      <c r="F108" s="116"/>
      <c r="G108" s="116"/>
      <c r="H108" s="116"/>
      <c r="L108" s="116"/>
      <c r="M108" s="116"/>
      <c r="N108" s="116"/>
      <c r="O108" s="116"/>
      <c r="P108" s="116"/>
      <c r="Q108" s="116"/>
      <c r="R108" s="116"/>
      <c r="S108" s="116"/>
    </row>
    <row r="109" spans="1:64" x14ac:dyDescent="0.3">
      <c r="B109" s="116"/>
      <c r="C109" s="116"/>
      <c r="D109" s="116"/>
      <c r="E109" s="116"/>
      <c r="F109" s="116"/>
      <c r="G109" s="116"/>
      <c r="H109" s="116"/>
      <c r="L109" s="116"/>
      <c r="M109" s="116"/>
      <c r="N109" s="116"/>
      <c r="O109" s="116"/>
      <c r="P109" s="116"/>
      <c r="Q109" s="116"/>
      <c r="R109" s="116"/>
      <c r="S109" s="116"/>
    </row>
    <row r="110" spans="1:64" x14ac:dyDescent="0.3">
      <c r="B110" s="116"/>
      <c r="C110" s="116"/>
      <c r="D110" s="116"/>
      <c r="E110" s="116"/>
      <c r="F110" s="116"/>
      <c r="G110" s="116"/>
      <c r="H110" s="116"/>
      <c r="L110" s="116"/>
      <c r="M110" s="116"/>
      <c r="N110" s="116"/>
      <c r="O110" s="116"/>
      <c r="P110" s="116"/>
      <c r="Q110" s="116"/>
      <c r="R110" s="116"/>
      <c r="S110" s="116"/>
    </row>
    <row r="111" spans="1:64" x14ac:dyDescent="0.3">
      <c r="B111" s="116"/>
      <c r="C111" s="116"/>
      <c r="D111" s="116"/>
      <c r="E111" s="116"/>
      <c r="F111" s="116"/>
      <c r="G111" s="116"/>
      <c r="H111" s="116"/>
      <c r="L111" s="116"/>
      <c r="M111" s="116"/>
      <c r="N111" s="116"/>
      <c r="O111" s="116"/>
      <c r="P111" s="116"/>
      <c r="Q111" s="116"/>
      <c r="R111" s="116"/>
      <c r="S111" s="116"/>
    </row>
    <row r="112" spans="1:64" x14ac:dyDescent="0.3">
      <c r="B112" s="116"/>
      <c r="C112" s="116"/>
      <c r="D112" s="116"/>
      <c r="E112" s="116"/>
      <c r="F112" s="116"/>
      <c r="G112" s="116"/>
      <c r="H112" s="116"/>
      <c r="L112" s="116"/>
      <c r="M112" s="116"/>
      <c r="N112" s="116"/>
      <c r="O112" s="116"/>
      <c r="P112" s="116"/>
      <c r="Q112" s="116"/>
      <c r="R112" s="116"/>
      <c r="S112" s="116"/>
    </row>
    <row r="113" spans="2:19" x14ac:dyDescent="0.3">
      <c r="B113" s="116"/>
      <c r="C113" s="116"/>
      <c r="D113" s="116"/>
      <c r="E113" s="116"/>
      <c r="F113" s="116"/>
      <c r="G113" s="116"/>
      <c r="H113" s="116"/>
      <c r="L113" s="116"/>
      <c r="M113" s="116"/>
      <c r="N113" s="116"/>
      <c r="O113" s="116"/>
      <c r="P113" s="116"/>
      <c r="Q113" s="116"/>
      <c r="R113" s="116"/>
      <c r="S113" s="116"/>
    </row>
    <row r="114" spans="2:19" x14ac:dyDescent="0.3">
      <c r="B114" s="116"/>
      <c r="C114" s="116"/>
      <c r="D114" s="116"/>
      <c r="E114" s="116"/>
      <c r="F114" s="116"/>
      <c r="G114" s="116"/>
      <c r="H114" s="116"/>
      <c r="L114" s="116"/>
      <c r="M114" s="116"/>
      <c r="N114" s="116"/>
      <c r="O114" s="116"/>
      <c r="P114" s="116"/>
      <c r="Q114" s="116"/>
      <c r="R114" s="116"/>
      <c r="S114" s="116"/>
    </row>
    <row r="115" spans="2:19" x14ac:dyDescent="0.3">
      <c r="B115" s="116"/>
      <c r="C115" s="116"/>
      <c r="D115" s="116"/>
      <c r="E115" s="116"/>
      <c r="F115" s="116"/>
      <c r="G115" s="116"/>
      <c r="H115" s="116"/>
      <c r="L115" s="116"/>
      <c r="M115" s="116"/>
      <c r="N115" s="116"/>
      <c r="O115" s="116"/>
      <c r="P115" s="116"/>
      <c r="Q115" s="116"/>
      <c r="R115" s="116"/>
      <c r="S115" s="116"/>
    </row>
    <row r="116" spans="2:19" x14ac:dyDescent="0.3">
      <c r="B116" s="116"/>
      <c r="C116" s="116"/>
      <c r="D116" s="116"/>
      <c r="E116" s="116"/>
      <c r="F116" s="116"/>
      <c r="G116" s="116"/>
      <c r="H116" s="116"/>
      <c r="L116" s="116"/>
      <c r="M116" s="116"/>
      <c r="N116" s="116"/>
      <c r="O116" s="116"/>
      <c r="P116" s="116"/>
      <c r="Q116" s="116"/>
      <c r="R116" s="116"/>
      <c r="S116" s="116"/>
    </row>
    <row r="117" spans="2:19" x14ac:dyDescent="0.3">
      <c r="B117" s="116"/>
      <c r="C117" s="116"/>
      <c r="D117" s="116"/>
      <c r="E117" s="116"/>
      <c r="F117" s="116"/>
      <c r="G117" s="116"/>
      <c r="H117" s="116"/>
      <c r="L117" s="116"/>
      <c r="M117" s="116"/>
      <c r="N117" s="116"/>
      <c r="O117" s="116"/>
      <c r="P117" s="116"/>
      <c r="Q117" s="116"/>
      <c r="R117" s="116"/>
      <c r="S117" s="116"/>
    </row>
    <row r="118" spans="2:19" x14ac:dyDescent="0.3">
      <c r="B118" s="116"/>
      <c r="C118" s="116"/>
      <c r="D118" s="116"/>
      <c r="E118" s="116"/>
      <c r="F118" s="116"/>
      <c r="G118" s="116"/>
      <c r="H118" s="116"/>
      <c r="L118" s="116"/>
      <c r="M118" s="116"/>
      <c r="N118" s="116"/>
      <c r="O118" s="116"/>
      <c r="P118" s="116"/>
      <c r="Q118" s="116"/>
      <c r="R118" s="116"/>
      <c r="S118" s="116"/>
    </row>
    <row r="119" spans="2:19" x14ac:dyDescent="0.3">
      <c r="B119" s="116"/>
      <c r="C119" s="116"/>
      <c r="D119" s="116"/>
      <c r="E119" s="116"/>
      <c r="F119" s="116"/>
      <c r="G119" s="116"/>
      <c r="H119" s="116"/>
      <c r="L119" s="116"/>
      <c r="M119" s="116"/>
      <c r="N119" s="116"/>
      <c r="O119" s="116"/>
      <c r="P119" s="116"/>
      <c r="Q119" s="116"/>
      <c r="R119" s="116"/>
      <c r="S119" s="116"/>
    </row>
    <row r="120" spans="2:19" x14ac:dyDescent="0.3">
      <c r="B120" s="116"/>
      <c r="C120" s="116"/>
      <c r="D120" s="116"/>
      <c r="E120" s="116"/>
      <c r="F120" s="116"/>
      <c r="G120" s="116"/>
      <c r="H120" s="116"/>
      <c r="L120" s="116"/>
      <c r="M120" s="116"/>
      <c r="N120" s="116"/>
      <c r="O120" s="116"/>
      <c r="P120" s="116"/>
      <c r="Q120" s="116"/>
      <c r="R120" s="116"/>
      <c r="S120" s="116"/>
    </row>
    <row r="121" spans="2:19" x14ac:dyDescent="0.3">
      <c r="B121" s="116"/>
      <c r="C121" s="116"/>
      <c r="D121" s="116"/>
      <c r="E121" s="116"/>
      <c r="F121" s="116"/>
      <c r="G121" s="116"/>
      <c r="H121" s="116"/>
      <c r="L121" s="116"/>
      <c r="M121" s="116"/>
      <c r="N121" s="116"/>
      <c r="O121" s="116"/>
      <c r="P121" s="116"/>
      <c r="Q121" s="116"/>
      <c r="R121" s="116"/>
      <c r="S121" s="116"/>
    </row>
    <row r="122" spans="2:19" x14ac:dyDescent="0.3">
      <c r="B122" s="116"/>
      <c r="C122" s="116"/>
      <c r="D122" s="116"/>
      <c r="E122" s="116"/>
      <c r="F122" s="116"/>
      <c r="G122" s="116"/>
      <c r="H122" s="116"/>
      <c r="L122" s="116"/>
      <c r="M122" s="116"/>
      <c r="N122" s="116"/>
      <c r="O122" s="116"/>
      <c r="P122" s="116"/>
      <c r="Q122" s="116"/>
      <c r="R122" s="116"/>
      <c r="S122" s="116"/>
    </row>
    <row r="123" spans="2:19" x14ac:dyDescent="0.3">
      <c r="B123" s="116"/>
      <c r="C123" s="116"/>
      <c r="D123" s="116"/>
      <c r="E123" s="116"/>
      <c r="F123" s="116"/>
      <c r="G123" s="116"/>
      <c r="H123" s="116"/>
      <c r="L123" s="116"/>
      <c r="M123" s="116"/>
      <c r="N123" s="116"/>
      <c r="O123" s="116"/>
      <c r="P123" s="116"/>
      <c r="Q123" s="116"/>
      <c r="R123" s="116"/>
      <c r="S123" s="116"/>
    </row>
    <row r="124" spans="2:19" x14ac:dyDescent="0.3">
      <c r="B124" s="116"/>
      <c r="C124" s="116"/>
      <c r="D124" s="116"/>
      <c r="E124" s="116"/>
      <c r="F124" s="116"/>
      <c r="G124" s="116"/>
      <c r="H124" s="116"/>
      <c r="L124" s="116"/>
      <c r="M124" s="116"/>
      <c r="N124" s="116"/>
      <c r="O124" s="116"/>
      <c r="P124" s="116"/>
      <c r="Q124" s="116"/>
      <c r="R124" s="116"/>
      <c r="S124" s="116"/>
    </row>
    <row r="125" spans="2:19" x14ac:dyDescent="0.3">
      <c r="B125" s="116"/>
      <c r="C125" s="116"/>
      <c r="D125" s="116"/>
      <c r="E125" s="116"/>
      <c r="F125" s="116"/>
      <c r="G125" s="116"/>
      <c r="H125" s="116"/>
      <c r="L125" s="116"/>
      <c r="M125" s="116"/>
      <c r="N125" s="116"/>
      <c r="O125" s="116"/>
      <c r="P125" s="116"/>
      <c r="Q125" s="116"/>
      <c r="R125" s="116"/>
      <c r="S125" s="116"/>
    </row>
    <row r="126" spans="2:19" x14ac:dyDescent="0.3">
      <c r="B126" s="116"/>
      <c r="C126" s="116"/>
      <c r="D126" s="116"/>
      <c r="E126" s="116"/>
      <c r="F126" s="116"/>
      <c r="G126" s="116"/>
      <c r="H126" s="116"/>
      <c r="L126" s="116"/>
      <c r="M126" s="116"/>
      <c r="N126" s="116"/>
      <c r="O126" s="116"/>
      <c r="P126" s="116"/>
      <c r="Q126" s="116"/>
      <c r="R126" s="116"/>
      <c r="S126" s="116"/>
    </row>
    <row r="127" spans="2:19" x14ac:dyDescent="0.3">
      <c r="B127" s="116"/>
      <c r="C127" s="116"/>
      <c r="D127" s="116"/>
      <c r="E127" s="116"/>
      <c r="F127" s="116"/>
      <c r="G127" s="116"/>
      <c r="H127" s="116"/>
      <c r="L127" s="116"/>
      <c r="M127" s="116"/>
      <c r="N127" s="116"/>
      <c r="O127" s="116"/>
      <c r="P127" s="116"/>
      <c r="Q127" s="116"/>
      <c r="R127" s="116"/>
      <c r="S127" s="116"/>
    </row>
    <row r="128" spans="2:19" x14ac:dyDescent="0.3">
      <c r="B128" s="116"/>
      <c r="C128" s="116"/>
      <c r="D128" s="116"/>
      <c r="E128" s="116"/>
      <c r="F128" s="116"/>
      <c r="G128" s="116"/>
      <c r="H128" s="116"/>
      <c r="L128" s="116"/>
      <c r="M128" s="116"/>
      <c r="N128" s="116"/>
      <c r="O128" s="116"/>
      <c r="P128" s="116"/>
      <c r="Q128" s="116"/>
      <c r="R128" s="116"/>
      <c r="S128" s="116"/>
    </row>
    <row r="129" spans="2:19" x14ac:dyDescent="0.3">
      <c r="B129" s="116"/>
      <c r="C129" s="116"/>
      <c r="D129" s="116"/>
      <c r="E129" s="116"/>
      <c r="F129" s="116"/>
      <c r="G129" s="116"/>
      <c r="H129" s="116"/>
      <c r="L129" s="116"/>
      <c r="M129" s="116"/>
      <c r="N129" s="116"/>
      <c r="O129" s="116"/>
      <c r="P129" s="116"/>
      <c r="Q129" s="116"/>
      <c r="R129" s="116"/>
      <c r="S129" s="116"/>
    </row>
  </sheetData>
  <mergeCells count="54">
    <mergeCell ref="AZ101:AZ107"/>
    <mergeCell ref="AZ66:AZ72"/>
    <mergeCell ref="AZ73:AZ79"/>
    <mergeCell ref="AZ80:AZ86"/>
    <mergeCell ref="AZ87:AZ93"/>
    <mergeCell ref="AZ94:AZ100"/>
    <mergeCell ref="AZ31:AZ37"/>
    <mergeCell ref="AZ38:AZ44"/>
    <mergeCell ref="AZ45:AZ51"/>
    <mergeCell ref="AZ52:AZ58"/>
    <mergeCell ref="AZ59:AZ65"/>
    <mergeCell ref="AW1:BJ1"/>
    <mergeCell ref="AZ3:AZ9"/>
    <mergeCell ref="AZ10:AZ16"/>
    <mergeCell ref="AZ17:AZ23"/>
    <mergeCell ref="AZ24:AZ30"/>
    <mergeCell ref="X101:X107"/>
    <mergeCell ref="X38:X44"/>
    <mergeCell ref="X45:X51"/>
    <mergeCell ref="X52:X58"/>
    <mergeCell ref="X59:X65"/>
    <mergeCell ref="X66:X72"/>
    <mergeCell ref="X73:X79"/>
    <mergeCell ref="AL24:AL30"/>
    <mergeCell ref="X31:X37"/>
    <mergeCell ref="B1:I1"/>
    <mergeCell ref="I3:I50"/>
    <mergeCell ref="A1:A2"/>
    <mergeCell ref="A3:A100"/>
    <mergeCell ref="J1:T1"/>
    <mergeCell ref="U1:AH1"/>
    <mergeCell ref="X3:X9"/>
    <mergeCell ref="X10:X16"/>
    <mergeCell ref="X17:X23"/>
    <mergeCell ref="X24:X30"/>
    <mergeCell ref="X80:X86"/>
    <mergeCell ref="X87:X93"/>
    <mergeCell ref="X94:X100"/>
    <mergeCell ref="AL101:AL107"/>
    <mergeCell ref="BK1:BL2"/>
    <mergeCell ref="AL66:AL72"/>
    <mergeCell ref="AL73:AL79"/>
    <mergeCell ref="AL80:AL86"/>
    <mergeCell ref="AL87:AL93"/>
    <mergeCell ref="AL94:AL100"/>
    <mergeCell ref="AL31:AL37"/>
    <mergeCell ref="AL38:AL44"/>
    <mergeCell ref="AL45:AL51"/>
    <mergeCell ref="AL52:AL58"/>
    <mergeCell ref="AL59:AL65"/>
    <mergeCell ref="AI1:AV1"/>
    <mergeCell ref="AL3:AL9"/>
    <mergeCell ref="AL10:AL16"/>
    <mergeCell ref="AL17:AL23"/>
  </mergeCells>
  <conditionalFormatting sqref="AE3:AG3 AE10:AG10 AE17:AG17 AE101:AG101 AE24:AG24 AE31:AG31 AE38:AG38 AE45:AG45 AE52:AG52 AE59:AG59 AE66:AG66 AE73:AG73 AE80:AG80 AE87:AG87 AE94:AG94 AS10:AU10 AS17:AU17 AS101:AU101 AS24:AU24 AS31:AU31 AS38:AU38 AS45:AU45 AS52:AU52 AS59:AU59 AS66:AU66 AS73:AU73 AS80:AU80 AS87:AU87 AS94:AU94">
    <cfRule type="expression" dxfId="5" priority="5">
      <formula>AND(NOT(ISERROR($AD3)),$AE3="")</formula>
    </cfRule>
  </conditionalFormatting>
  <conditionalFormatting sqref="AS3:AU3">
    <cfRule type="expression" dxfId="4" priority="4">
      <formula>AND(NOT(ISERROR($AD3)),$AE3="")</formula>
    </cfRule>
  </conditionalFormatting>
  <conditionalFormatting sqref="BG10:BI10 BG17:BI17 BG101:BI101 BG24:BI24 BG31:BI31 BG38:BI38 BG45:BI45 BG52:BI52 BG59:BI59 BG66:BI66 BG73:BI73 BG80:BI80 BG87:BI87 BG94:BI94">
    <cfRule type="expression" dxfId="3" priority="2">
      <formula>AND(NOT(ISERROR($AD10)),$AE10="")</formula>
    </cfRule>
  </conditionalFormatting>
  <conditionalFormatting sqref="BG3:BI3">
    <cfRule type="expression" dxfId="2" priority="1">
      <formula>AND(NOT(ISERROR($AD3)),$AE3="")</formula>
    </cfRule>
  </conditionalFormatting>
  <pageMargins left="0.7" right="0.7" top="0.75" bottom="0.75" header="0.3" footer="0.3"/>
  <pageSetup paperSize="9"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M200"/>
  <sheetViews>
    <sheetView topLeftCell="DA1" zoomScale="90" zoomScaleNormal="90" workbookViewId="0">
      <pane ySplit="2" topLeftCell="A3" activePane="bottomLeft" state="frozen"/>
      <selection pane="bottomLeft" activeCell="FD3" sqref="FD3:FD14"/>
    </sheetView>
  </sheetViews>
  <sheetFormatPr defaultRowHeight="14.4" outlineLevelCol="1" x14ac:dyDescent="0.3"/>
  <cols>
    <col min="1" max="1" width="12.88671875" hidden="1" customWidth="1" outlineLevel="1"/>
    <col min="2" max="5" width="12.88671875" style="264" hidden="1" customWidth="1" outlineLevel="1"/>
    <col min="6" max="6" width="9.33203125" style="768" hidden="1" customWidth="1" outlineLevel="1"/>
    <col min="7" max="7" width="12.88671875" style="264" hidden="1" customWidth="1" outlineLevel="1"/>
    <col min="8" max="11" width="9.33203125" hidden="1" customWidth="1" outlineLevel="1"/>
    <col min="12" max="12" width="39.5546875" customWidth="1" collapsed="1"/>
    <col min="13" max="13" width="10.88671875" hidden="1" customWidth="1" outlineLevel="1"/>
    <col min="14" max="14" width="8.6640625" hidden="1" customWidth="1" outlineLevel="1"/>
    <col min="15" max="16" width="10.44140625" hidden="1" customWidth="1" outlineLevel="1"/>
    <col min="17" max="18" width="12.88671875" style="264" hidden="1" customWidth="1" outlineLevel="1"/>
    <col min="19" max="19" width="11.44140625" hidden="1" customWidth="1" outlineLevel="1"/>
    <col min="20" max="20" width="8.6640625" hidden="1" customWidth="1" outlineLevel="1"/>
    <col min="21" max="21" width="11.6640625" hidden="1" customWidth="1" outlineLevel="1"/>
    <col min="22" max="22" width="8.6640625" hidden="1" customWidth="1" outlineLevel="1"/>
    <col min="23" max="24" width="12.88671875" style="264" hidden="1" customWidth="1" outlineLevel="1"/>
    <col min="25" max="25" width="8.6640625" style="264" hidden="1" customWidth="1" outlineLevel="1"/>
    <col min="26" max="26" width="39.44140625" customWidth="1" collapsed="1"/>
    <col min="27" max="27" width="10.88671875" hidden="1" customWidth="1" outlineLevel="1"/>
    <col min="28" max="28" width="8.6640625" hidden="1" customWidth="1" outlineLevel="1"/>
    <col min="29" max="30" width="10.44140625" hidden="1" customWidth="1" outlineLevel="1"/>
    <col min="31" max="32" width="12.88671875" style="264" hidden="1" customWidth="1" outlineLevel="1"/>
    <col min="33" max="33" width="11.44140625" hidden="1" customWidth="1" outlineLevel="1"/>
    <col min="34" max="34" width="8.6640625" hidden="1" customWidth="1" outlineLevel="1"/>
    <col min="35" max="36" width="12.88671875" style="264" hidden="1" customWidth="1" outlineLevel="1"/>
    <col min="37" max="37" width="8.6640625" style="264" hidden="1" customWidth="1" outlineLevel="1"/>
    <col min="38" max="38" width="38.88671875" customWidth="1" collapsed="1"/>
    <col min="39" max="39" width="10.88671875" hidden="1" customWidth="1" outlineLevel="1"/>
    <col min="40" max="40" width="8.6640625" hidden="1" customWidth="1" outlineLevel="1"/>
    <col min="41" max="42" width="12.88671875" style="264" hidden="1" customWidth="1" outlineLevel="1"/>
    <col min="43" max="43" width="11.44140625" hidden="1" customWidth="1" outlineLevel="1"/>
    <col min="44" max="44" width="8.6640625" hidden="1" customWidth="1" outlineLevel="1"/>
    <col min="45" max="45" width="11.6640625" hidden="1" customWidth="1" outlineLevel="1"/>
    <col min="46" max="46" width="8.6640625" hidden="1" customWidth="1" outlineLevel="1"/>
    <col min="47" max="48" width="12.88671875" style="264" hidden="1" customWidth="1" outlineLevel="1"/>
    <col min="49" max="49" width="8.6640625" style="264" hidden="1" customWidth="1" outlineLevel="1"/>
    <col min="50" max="50" width="36.33203125" customWidth="1" collapsed="1"/>
    <col min="51" max="51" width="10.88671875" hidden="1" customWidth="1" outlineLevel="1"/>
    <col min="52" max="52" width="8.6640625" hidden="1" customWidth="1" outlineLevel="1"/>
    <col min="53" max="54" width="10.44140625" hidden="1" customWidth="1" outlineLevel="1"/>
    <col min="55" max="56" width="12.88671875" style="264" hidden="1" customWidth="1" outlineLevel="1"/>
    <col min="57" max="57" width="11.44140625" hidden="1" customWidth="1" outlineLevel="1"/>
    <col min="58" max="58" width="8.6640625" hidden="1" customWidth="1" outlineLevel="1"/>
    <col min="59" max="59" width="11.6640625" hidden="1" customWidth="1" outlineLevel="1"/>
    <col min="60" max="60" width="8.6640625" hidden="1" customWidth="1" outlineLevel="1"/>
    <col min="61" max="62" width="12.88671875" style="264" hidden="1" customWidth="1" outlineLevel="1"/>
    <col min="63" max="63" width="8.6640625" style="264" hidden="1" customWidth="1" outlineLevel="1"/>
    <col min="64" max="64" width="36.33203125" customWidth="1" collapsed="1"/>
    <col min="65" max="65" width="9.88671875" hidden="1" customWidth="1" outlineLevel="1"/>
    <col min="66" max="77" width="8.6640625" hidden="1" customWidth="1" outlineLevel="1"/>
    <col min="78" max="78" width="27.109375" customWidth="1" collapsed="1"/>
    <col min="79" max="79" width="9.88671875" hidden="1" customWidth="1" outlineLevel="1"/>
    <col min="80" max="87" width="8.6640625" hidden="1" customWidth="1" outlineLevel="1"/>
    <col min="88" max="88" width="27.6640625" customWidth="1" collapsed="1"/>
    <col min="89" max="89" width="9.88671875" hidden="1" customWidth="1" outlineLevel="1"/>
    <col min="90" max="97" width="8.6640625" hidden="1" customWidth="1" outlineLevel="1"/>
    <col min="98" max="98" width="23.88671875" customWidth="1" collapsed="1"/>
    <col min="99" max="99" width="9.88671875" hidden="1" customWidth="1" outlineLevel="1"/>
    <col min="100" max="104" width="8.6640625" hidden="1" customWidth="1" outlineLevel="1"/>
    <col min="105" max="105" width="27.44140625" customWidth="1" collapsed="1"/>
    <col min="106" max="106" width="9.88671875" hidden="1" customWidth="1" outlineLevel="1"/>
    <col min="107" max="114" width="8.6640625" hidden="1" customWidth="1" outlineLevel="1"/>
    <col min="115" max="115" width="13.88671875" customWidth="1" collapsed="1"/>
    <col min="116" max="116" width="9.88671875" hidden="1" customWidth="1" outlineLevel="1"/>
    <col min="117" max="122" width="8.6640625" hidden="1" customWidth="1" outlineLevel="1"/>
    <col min="123" max="123" width="25.5546875" customWidth="1" collapsed="1"/>
    <col min="124" max="124" width="9.88671875" hidden="1" customWidth="1" outlineLevel="1"/>
    <col min="125" max="132" width="8.6640625" hidden="1" customWidth="1" outlineLevel="1"/>
    <col min="133" max="133" width="21.109375" customWidth="1" collapsed="1"/>
    <col min="134" max="134" width="10.88671875" hidden="1" customWidth="1" outlineLevel="1"/>
    <col min="135" max="135" width="8.6640625" hidden="1" customWidth="1" outlineLevel="1"/>
    <col min="136" max="136" width="10.44140625" hidden="1" customWidth="1" outlineLevel="1"/>
    <col min="137" max="137" width="10.44140625" style="264" hidden="1" customWidth="1" outlineLevel="1"/>
    <col min="138" max="138" width="11.44140625" hidden="1" customWidth="1" outlineLevel="1"/>
    <col min="139" max="139" width="8.6640625" hidden="1" customWidth="1" outlineLevel="1"/>
    <col min="140" max="140" width="8.6640625" style="264" hidden="1" customWidth="1" outlineLevel="1"/>
    <col min="141" max="141" width="8.6640625" hidden="1" customWidth="1" outlineLevel="1"/>
    <col min="142" max="142" width="28.44140625" customWidth="1" collapsed="1"/>
    <col min="143" max="143" width="10.88671875" hidden="1" customWidth="1" outlineLevel="1"/>
    <col min="144" max="144" width="8.6640625" hidden="1" customWidth="1" outlineLevel="1"/>
    <col min="145" max="145" width="10.44140625" hidden="1" customWidth="1" outlineLevel="1"/>
    <col min="146" max="146" width="10.44140625" style="264" hidden="1" customWidth="1" outlineLevel="1"/>
    <col min="147" max="147" width="11.44140625" hidden="1" customWidth="1" outlineLevel="1"/>
    <col min="148" max="148" width="8.6640625" hidden="1" customWidth="1" outlineLevel="1"/>
    <col min="149" max="149" width="8.6640625" style="264" hidden="1" customWidth="1" outlineLevel="1"/>
    <col min="150" max="150" width="8.6640625" hidden="1" customWidth="1" outlineLevel="1"/>
    <col min="151" max="151" width="28.44140625" customWidth="1" collapsed="1"/>
    <col min="152" max="152" width="10.88671875" hidden="1" customWidth="1" outlineLevel="1"/>
    <col min="153" max="153" width="8.6640625" hidden="1" customWidth="1" outlineLevel="1"/>
    <col min="154" max="154" width="10.44140625" hidden="1" customWidth="1" outlineLevel="1"/>
    <col min="155" max="155" width="10.44140625" style="264" hidden="1" customWidth="1" outlineLevel="1"/>
    <col min="156" max="156" width="11.44140625" hidden="1" customWidth="1" outlineLevel="1"/>
    <col min="157" max="157" width="8.6640625" hidden="1" customWidth="1" outlineLevel="1"/>
    <col min="158" max="158" width="8.6640625" style="264" hidden="1" customWidth="1" outlineLevel="1"/>
    <col min="159" max="159" width="8.6640625" hidden="1" customWidth="1" outlineLevel="1"/>
    <col min="160" max="160" width="30.88671875" customWidth="1" collapsed="1"/>
    <col min="161" max="161" width="10.88671875" hidden="1" customWidth="1" outlineLevel="1"/>
    <col min="162" max="162" width="8.6640625" hidden="1" customWidth="1" outlineLevel="1"/>
    <col min="163" max="163" width="10.44140625" hidden="1" customWidth="1" outlineLevel="1"/>
    <col min="164" max="164" width="10.44140625" style="264" hidden="1" customWidth="1" outlineLevel="1"/>
    <col min="165" max="165" width="11.44140625" hidden="1" customWidth="1" outlineLevel="1"/>
    <col min="166" max="166" width="8.6640625" hidden="1" customWidth="1" outlineLevel="1"/>
    <col min="167" max="167" width="8.6640625" style="264" hidden="1" customWidth="1" outlineLevel="1"/>
    <col min="168" max="168" width="8.6640625" hidden="1" customWidth="1" outlineLevel="1"/>
    <col min="169" max="169" width="28.44140625" customWidth="1" collapsed="1"/>
  </cols>
  <sheetData>
    <row r="1" spans="1:169" x14ac:dyDescent="0.3">
      <c r="A1" s="1509" t="s">
        <v>8656</v>
      </c>
      <c r="B1" s="1512"/>
      <c r="C1" s="1512"/>
      <c r="D1" s="1512"/>
      <c r="E1" s="1512"/>
      <c r="F1" s="1512"/>
      <c r="G1" s="1512"/>
      <c r="H1" s="1512"/>
      <c r="I1" s="1512"/>
      <c r="J1" s="1512"/>
      <c r="K1" s="1512"/>
      <c r="L1" s="1512"/>
      <c r="M1" s="1466" t="s">
        <v>8686</v>
      </c>
      <c r="N1" s="1467"/>
      <c r="O1" s="1467"/>
      <c r="P1" s="1467"/>
      <c r="Q1" s="1467"/>
      <c r="R1" s="1467"/>
      <c r="S1" s="1467"/>
      <c r="T1" s="1467"/>
      <c r="U1" s="1467"/>
      <c r="V1" s="1467"/>
      <c r="W1" s="1467"/>
      <c r="X1" s="1467"/>
      <c r="Y1" s="1467"/>
      <c r="Z1" s="1468"/>
      <c r="AA1" s="1466" t="s">
        <v>8687</v>
      </c>
      <c r="AB1" s="1467"/>
      <c r="AC1" s="1467"/>
      <c r="AD1" s="1467"/>
      <c r="AE1" s="1467"/>
      <c r="AF1" s="1467"/>
      <c r="AG1" s="1467"/>
      <c r="AH1" s="1467"/>
      <c r="AI1" s="1467"/>
      <c r="AJ1" s="1467"/>
      <c r="AK1" s="1467"/>
      <c r="AL1" s="1468"/>
      <c r="AM1" s="1466" t="s">
        <v>8688</v>
      </c>
      <c r="AN1" s="1467"/>
      <c r="AO1" s="1467"/>
      <c r="AP1" s="1467"/>
      <c r="AQ1" s="1467"/>
      <c r="AR1" s="1467"/>
      <c r="AS1" s="1467"/>
      <c r="AT1" s="1467"/>
      <c r="AU1" s="1467"/>
      <c r="AV1" s="1467"/>
      <c r="AW1" s="1467"/>
      <c r="AX1" s="1468"/>
      <c r="AY1" s="1466" t="s">
        <v>8689</v>
      </c>
      <c r="AZ1" s="1467"/>
      <c r="BA1" s="1467"/>
      <c r="BB1" s="1467"/>
      <c r="BC1" s="1467"/>
      <c r="BD1" s="1467"/>
      <c r="BE1" s="1467"/>
      <c r="BF1" s="1467"/>
      <c r="BG1" s="1467"/>
      <c r="BH1" s="1467"/>
      <c r="BI1" s="1467"/>
      <c r="BJ1" s="1467"/>
      <c r="BK1" s="1467"/>
      <c r="BL1" s="1468"/>
      <c r="BM1" s="1466" t="s">
        <v>8690</v>
      </c>
      <c r="BN1" s="1467"/>
      <c r="BO1" s="1467"/>
      <c r="BP1" s="1467"/>
      <c r="BQ1" s="1467"/>
      <c r="BR1" s="1467"/>
      <c r="BS1" s="1467"/>
      <c r="BT1" s="1467"/>
      <c r="BU1" s="1467"/>
      <c r="BV1" s="1467"/>
      <c r="BW1" s="1467"/>
      <c r="BX1" s="1467"/>
      <c r="BY1" s="1467"/>
      <c r="BZ1" s="1468"/>
      <c r="CA1" s="1466" t="s">
        <v>8694</v>
      </c>
      <c r="CB1" s="1467"/>
      <c r="CC1" s="1467"/>
      <c r="CD1" s="1467"/>
      <c r="CE1" s="1467"/>
      <c r="CF1" s="1467"/>
      <c r="CG1" s="1467"/>
      <c r="CH1" s="1467"/>
      <c r="CI1" s="1467"/>
      <c r="CJ1" s="1468"/>
      <c r="CK1" s="1466" t="s">
        <v>8700</v>
      </c>
      <c r="CL1" s="1467"/>
      <c r="CM1" s="1467"/>
      <c r="CN1" s="1467"/>
      <c r="CO1" s="1467"/>
      <c r="CP1" s="1467"/>
      <c r="CQ1" s="1467"/>
      <c r="CR1" s="1467"/>
      <c r="CS1" s="1467"/>
      <c r="CT1" s="1468"/>
      <c r="CU1" s="1466" t="s">
        <v>8702</v>
      </c>
      <c r="CV1" s="1467"/>
      <c r="CW1" s="1467"/>
      <c r="CX1" s="1467"/>
      <c r="CY1" s="1467"/>
      <c r="CZ1" s="1467"/>
      <c r="DA1" s="1468"/>
      <c r="DB1" s="1466" t="s">
        <v>8695</v>
      </c>
      <c r="DC1" s="1467"/>
      <c r="DD1" s="1467"/>
      <c r="DE1" s="1467"/>
      <c r="DF1" s="1467"/>
      <c r="DG1" s="1467"/>
      <c r="DH1" s="1467"/>
      <c r="DI1" s="1467"/>
      <c r="DJ1" s="1467"/>
      <c r="DK1" s="1468"/>
      <c r="DL1" s="1466" t="s">
        <v>8696</v>
      </c>
      <c r="DM1" s="1467"/>
      <c r="DN1" s="1467"/>
      <c r="DO1" s="1467"/>
      <c r="DP1" s="1467"/>
      <c r="DQ1" s="1467"/>
      <c r="DR1" s="1467"/>
      <c r="DS1" s="1468"/>
      <c r="DT1" s="1466" t="s">
        <v>8697</v>
      </c>
      <c r="DU1" s="1467"/>
      <c r="DV1" s="1467"/>
      <c r="DW1" s="1467"/>
      <c r="DX1" s="1467"/>
      <c r="DY1" s="1467"/>
      <c r="DZ1" s="1467"/>
      <c r="EA1" s="1467"/>
      <c r="EB1" s="1467"/>
      <c r="EC1" s="1468"/>
      <c r="ED1" s="1466" t="s">
        <v>8682</v>
      </c>
      <c r="EE1" s="1467"/>
      <c r="EF1" s="1467"/>
      <c r="EG1" s="1467"/>
      <c r="EH1" s="1467"/>
      <c r="EI1" s="1467"/>
      <c r="EJ1" s="1467"/>
      <c r="EK1" s="1467"/>
      <c r="EL1" s="1468"/>
      <c r="EM1" s="1466" t="s">
        <v>8683</v>
      </c>
      <c r="EN1" s="1467"/>
      <c r="EO1" s="1467"/>
      <c r="EP1" s="1467"/>
      <c r="EQ1" s="1467"/>
      <c r="ER1" s="1467"/>
      <c r="ES1" s="1467"/>
      <c r="ET1" s="1467"/>
      <c r="EU1" s="1468"/>
      <c r="EV1" s="1466" t="s">
        <v>8684</v>
      </c>
      <c r="EW1" s="1467"/>
      <c r="EX1" s="1467"/>
      <c r="EY1" s="1467"/>
      <c r="EZ1" s="1467"/>
      <c r="FA1" s="1467"/>
      <c r="FB1" s="1467"/>
      <c r="FC1" s="1467"/>
      <c r="FD1" s="1468"/>
      <c r="FE1" s="1466" t="s">
        <v>8685</v>
      </c>
      <c r="FF1" s="1467"/>
      <c r="FG1" s="1467"/>
      <c r="FH1" s="1467"/>
      <c r="FI1" s="1467"/>
      <c r="FJ1" s="1467"/>
      <c r="FK1" s="1467"/>
      <c r="FL1" s="1467"/>
      <c r="FM1" s="1468"/>
    </row>
    <row r="2" spans="1:169" x14ac:dyDescent="0.3">
      <c r="A2" s="792" t="s">
        <v>8374</v>
      </c>
      <c r="B2" s="792" t="s">
        <v>8392</v>
      </c>
      <c r="C2" s="792" t="s">
        <v>8451</v>
      </c>
      <c r="D2" s="792"/>
      <c r="E2" s="792" t="s">
        <v>8547</v>
      </c>
      <c r="F2" s="792" t="s">
        <v>8374</v>
      </c>
      <c r="G2" s="792" t="s">
        <v>8393</v>
      </c>
      <c r="H2" s="792" t="s">
        <v>8546</v>
      </c>
      <c r="I2" s="792"/>
      <c r="J2" s="792" t="s">
        <v>8653</v>
      </c>
      <c r="K2" s="792" t="s">
        <v>8394</v>
      </c>
      <c r="L2" s="792" t="s">
        <v>8675</v>
      </c>
      <c r="M2" s="792" t="s">
        <v>8374</v>
      </c>
      <c r="N2" s="823" t="s">
        <v>8392</v>
      </c>
      <c r="O2" s="823" t="s">
        <v>8375</v>
      </c>
      <c r="P2" s="823" t="s">
        <v>8451</v>
      </c>
      <c r="Q2" s="792"/>
      <c r="R2" s="792" t="s">
        <v>8547</v>
      </c>
      <c r="S2" s="792" t="s">
        <v>8374</v>
      </c>
      <c r="T2" s="823" t="s">
        <v>8393</v>
      </c>
      <c r="U2" s="823" t="s">
        <v>8375</v>
      </c>
      <c r="V2" s="823" t="s">
        <v>8546</v>
      </c>
      <c r="W2" s="792"/>
      <c r="X2" s="792" t="s">
        <v>8547</v>
      </c>
      <c r="Y2" s="823" t="s">
        <v>8394</v>
      </c>
      <c r="Z2" s="822" t="s">
        <v>8360</v>
      </c>
      <c r="AA2" s="792" t="s">
        <v>8374</v>
      </c>
      <c r="AB2" s="823" t="s">
        <v>8392</v>
      </c>
      <c r="AC2" s="823" t="s">
        <v>8375</v>
      </c>
      <c r="AD2" s="823" t="s">
        <v>8451</v>
      </c>
      <c r="AE2" s="792"/>
      <c r="AF2" s="792" t="s">
        <v>8547</v>
      </c>
      <c r="AG2" s="792" t="s">
        <v>8374</v>
      </c>
      <c r="AH2" s="823" t="s">
        <v>8393</v>
      </c>
      <c r="AI2" s="792"/>
      <c r="AJ2" s="792" t="s">
        <v>8547</v>
      </c>
      <c r="AK2" s="823" t="s">
        <v>8394</v>
      </c>
      <c r="AL2" s="822" t="s">
        <v>8360</v>
      </c>
      <c r="AM2" s="792" t="s">
        <v>8374</v>
      </c>
      <c r="AN2" s="823" t="s">
        <v>8392</v>
      </c>
      <c r="AO2" s="792"/>
      <c r="AP2" s="792" t="s">
        <v>8547</v>
      </c>
      <c r="AQ2" s="792" t="s">
        <v>8374</v>
      </c>
      <c r="AR2" s="823" t="s">
        <v>8393</v>
      </c>
      <c r="AS2" s="823" t="s">
        <v>8375</v>
      </c>
      <c r="AT2" s="823" t="s">
        <v>8546</v>
      </c>
      <c r="AU2" s="792"/>
      <c r="AV2" s="792" t="s">
        <v>8547</v>
      </c>
      <c r="AW2" s="823" t="s">
        <v>8394</v>
      </c>
      <c r="AX2" s="822" t="s">
        <v>8360</v>
      </c>
      <c r="AY2" s="792" t="s">
        <v>8374</v>
      </c>
      <c r="AZ2" s="823" t="s">
        <v>8392</v>
      </c>
      <c r="BA2" s="823" t="s">
        <v>8375</v>
      </c>
      <c r="BB2" s="823" t="s">
        <v>8451</v>
      </c>
      <c r="BC2" s="792"/>
      <c r="BD2" s="792" t="s">
        <v>8547</v>
      </c>
      <c r="BE2" s="792" t="s">
        <v>8374</v>
      </c>
      <c r="BF2" s="823" t="s">
        <v>8393</v>
      </c>
      <c r="BG2" s="823" t="s">
        <v>8375</v>
      </c>
      <c r="BH2" s="823" t="s">
        <v>8546</v>
      </c>
      <c r="BI2" s="792"/>
      <c r="BJ2" s="792" t="s">
        <v>8547</v>
      </c>
      <c r="BK2" s="823" t="s">
        <v>8394</v>
      </c>
      <c r="BL2" s="822" t="s">
        <v>8360</v>
      </c>
      <c r="BM2" s="792" t="s">
        <v>8374</v>
      </c>
      <c r="BN2" s="823" t="s">
        <v>8392</v>
      </c>
      <c r="BO2" s="823" t="s">
        <v>8375</v>
      </c>
      <c r="BP2" s="823" t="s">
        <v>8451</v>
      </c>
      <c r="BQ2" s="792"/>
      <c r="BR2" s="792" t="s">
        <v>8547</v>
      </c>
      <c r="BS2" s="792" t="s">
        <v>8374</v>
      </c>
      <c r="BT2" s="823" t="s">
        <v>8393</v>
      </c>
      <c r="BU2" s="823" t="s">
        <v>8375</v>
      </c>
      <c r="BV2" s="823" t="s">
        <v>8546</v>
      </c>
      <c r="BW2" s="792"/>
      <c r="BX2" s="792" t="s">
        <v>8547</v>
      </c>
      <c r="BY2" s="823" t="s">
        <v>8394</v>
      </c>
      <c r="BZ2" s="822" t="s">
        <v>8360</v>
      </c>
      <c r="CA2" s="792" t="s">
        <v>8374</v>
      </c>
      <c r="CB2" s="823" t="s">
        <v>8392</v>
      </c>
      <c r="CC2" s="823" t="s">
        <v>8375</v>
      </c>
      <c r="CD2" s="823" t="s">
        <v>8451</v>
      </c>
      <c r="CE2" s="792" t="s">
        <v>8374</v>
      </c>
      <c r="CF2" s="823" t="s">
        <v>8393</v>
      </c>
      <c r="CG2" s="823" t="s">
        <v>8375</v>
      </c>
      <c r="CH2" s="823" t="s">
        <v>8546</v>
      </c>
      <c r="CI2" s="823" t="s">
        <v>8394</v>
      </c>
      <c r="CJ2" s="822" t="s">
        <v>8360</v>
      </c>
      <c r="CK2" s="792" t="s">
        <v>8374</v>
      </c>
      <c r="CL2" s="823" t="s">
        <v>8392</v>
      </c>
      <c r="CM2" s="823" t="s">
        <v>8375</v>
      </c>
      <c r="CN2" s="823" t="s">
        <v>8451</v>
      </c>
      <c r="CO2" s="792" t="s">
        <v>8374</v>
      </c>
      <c r="CP2" s="823" t="s">
        <v>8393</v>
      </c>
      <c r="CQ2" s="823" t="s">
        <v>8375</v>
      </c>
      <c r="CR2" s="823" t="s">
        <v>8546</v>
      </c>
      <c r="CS2" s="823" t="s">
        <v>8394</v>
      </c>
      <c r="CT2" s="822" t="s">
        <v>8360</v>
      </c>
      <c r="CU2" s="792" t="s">
        <v>8374</v>
      </c>
      <c r="CV2" s="823" t="s">
        <v>8392</v>
      </c>
      <c r="CW2" s="823" t="s">
        <v>8375</v>
      </c>
      <c r="CX2" s="823" t="s">
        <v>8451</v>
      </c>
      <c r="CY2" s="823" t="s">
        <v>8393</v>
      </c>
      <c r="CZ2" s="823" t="s">
        <v>8394</v>
      </c>
      <c r="DA2" s="822" t="s">
        <v>8360</v>
      </c>
      <c r="DB2" s="792" t="s">
        <v>8374</v>
      </c>
      <c r="DC2" s="823" t="s">
        <v>8392</v>
      </c>
      <c r="DD2" s="823" t="s">
        <v>8375</v>
      </c>
      <c r="DE2" s="823" t="s">
        <v>8451</v>
      </c>
      <c r="DF2" s="792" t="s">
        <v>8374</v>
      </c>
      <c r="DG2" s="823" t="s">
        <v>8393</v>
      </c>
      <c r="DH2" s="823" t="s">
        <v>8375</v>
      </c>
      <c r="DI2" s="823" t="s">
        <v>8546</v>
      </c>
      <c r="DJ2" s="823" t="s">
        <v>8394</v>
      </c>
      <c r="DK2" s="822" t="s">
        <v>8360</v>
      </c>
      <c r="DL2" s="792" t="s">
        <v>8374</v>
      </c>
      <c r="DM2" s="823" t="s">
        <v>8392</v>
      </c>
      <c r="DN2" s="823" t="s">
        <v>8451</v>
      </c>
      <c r="DO2" s="792" t="s">
        <v>8374</v>
      </c>
      <c r="DP2" s="823" t="s">
        <v>8393</v>
      </c>
      <c r="DQ2" s="823" t="s">
        <v>8546</v>
      </c>
      <c r="DR2" s="823" t="s">
        <v>8394</v>
      </c>
      <c r="DS2" s="822" t="s">
        <v>8360</v>
      </c>
      <c r="DT2" s="792" t="s">
        <v>8374</v>
      </c>
      <c r="DU2" s="823" t="s">
        <v>8392</v>
      </c>
      <c r="DV2" s="823" t="s">
        <v>8375</v>
      </c>
      <c r="DW2" s="823" t="s">
        <v>8451</v>
      </c>
      <c r="DX2" s="792" t="s">
        <v>8374</v>
      </c>
      <c r="DY2" s="823" t="s">
        <v>8393</v>
      </c>
      <c r="DZ2" s="823" t="s">
        <v>8375</v>
      </c>
      <c r="EA2" s="823" t="s">
        <v>8546</v>
      </c>
      <c r="EB2" s="823" t="s">
        <v>8394</v>
      </c>
      <c r="EC2" s="822" t="s">
        <v>8360</v>
      </c>
      <c r="ED2" s="792" t="s">
        <v>8374</v>
      </c>
      <c r="EE2" s="823" t="s">
        <v>8392</v>
      </c>
      <c r="EF2" s="823" t="s">
        <v>8375</v>
      </c>
      <c r="EG2" s="823" t="s">
        <v>8451</v>
      </c>
      <c r="EH2" s="792" t="s">
        <v>8374</v>
      </c>
      <c r="EI2" s="823" t="s">
        <v>8393</v>
      </c>
      <c r="EJ2" s="823" t="s">
        <v>8394</v>
      </c>
      <c r="EK2" s="823" t="s">
        <v>8602</v>
      </c>
      <c r="EL2" s="822" t="s">
        <v>8360</v>
      </c>
      <c r="EM2" s="792" t="s">
        <v>8374</v>
      </c>
      <c r="EN2" s="823" t="s">
        <v>8392</v>
      </c>
      <c r="EO2" s="823" t="s">
        <v>8375</v>
      </c>
      <c r="EP2" s="823" t="s">
        <v>8451</v>
      </c>
      <c r="EQ2" s="792" t="s">
        <v>8374</v>
      </c>
      <c r="ER2" s="823" t="s">
        <v>8393</v>
      </c>
      <c r="ES2" s="823" t="s">
        <v>8394</v>
      </c>
      <c r="ET2" s="823" t="s">
        <v>8602</v>
      </c>
      <c r="EU2" s="822" t="s">
        <v>8360</v>
      </c>
      <c r="EV2" s="792" t="s">
        <v>8374</v>
      </c>
      <c r="EW2" s="823" t="s">
        <v>8392</v>
      </c>
      <c r="EX2" s="823" t="s">
        <v>8375</v>
      </c>
      <c r="EY2" s="823" t="s">
        <v>8451</v>
      </c>
      <c r="EZ2" s="792" t="s">
        <v>8374</v>
      </c>
      <c r="FA2" s="823" t="s">
        <v>8393</v>
      </c>
      <c r="FB2" s="823" t="s">
        <v>8394</v>
      </c>
      <c r="FC2" s="823" t="s">
        <v>8602</v>
      </c>
      <c r="FD2" s="822" t="s">
        <v>8360</v>
      </c>
      <c r="FE2" s="792" t="s">
        <v>8374</v>
      </c>
      <c r="FF2" s="823" t="s">
        <v>8392</v>
      </c>
      <c r="FG2" s="823" t="s">
        <v>8375</v>
      </c>
      <c r="FH2" s="823" t="s">
        <v>8451</v>
      </c>
      <c r="FI2" s="792" t="s">
        <v>8374</v>
      </c>
      <c r="FJ2" s="823" t="s">
        <v>8393</v>
      </c>
      <c r="FK2" s="823" t="s">
        <v>8394</v>
      </c>
      <c r="FL2" s="823" t="s">
        <v>8602</v>
      </c>
      <c r="FM2" s="822" t="s">
        <v>8360</v>
      </c>
    </row>
    <row r="3" spans="1:169" ht="14.4" customHeight="1" x14ac:dyDescent="0.3">
      <c r="A3" s="988" t="s">
        <v>8649</v>
      </c>
      <c r="B3" s="984" t="e">
        <f>SEARCH(A3,CHALLANGE_draft!$G$3)</f>
        <v>#VALUE!</v>
      </c>
      <c r="C3" s="984">
        <f>MIN(IFERROR(B3,99999),IFERROR(B4,99999),IFERROR(B5,99999),IFERROR(B6,99999),IFERROR(B7,99999),IFERROR(B8,99999),IFERROR(B9,99999),IFERROR(B10,99999),IFERROR(B11,99999),IFERROR(B12,99999),IFERROR(B13,99999),IFERROR(B14,99999))</f>
        <v>99999</v>
      </c>
      <c r="D3" s="870" t="str">
        <f>CHAR(10)</f>
        <v xml:space="preserve">
</v>
      </c>
      <c r="E3" s="334">
        <f>LEN(MID(CHALLANGE_draft!$G$3,1,C3))-LEN(IF(ISERROR(FIND(" ",MID(CHALLANGE_draft!$G$3,1,C3))),MID(CHALLANGE_draft!$G$3,1,C3),RIGHT(MID(CHALLANGE_draft!$G$3,1,C3),LEN(MID(CHALLANGE_draft!$G$3,1,C3))-FIND("~",SUBSTITUTE(MID(CHALLANGE_draft!$G$3,1,C3),D3,"~",LEN(MID(CHALLANGE_draft!$G$3,1,C3))-LEN(SUBSTITUTE(MID(CHALLANGE_draft!$G$3,1,C3),D3,"")))))))+1</f>
        <v>9085</v>
      </c>
      <c r="F3" s="870" t="s">
        <v>8650</v>
      </c>
      <c r="G3" s="984" t="e">
        <f>SEARCH(F3,CHALLANGE_draft!$G$3,$E$3)</f>
        <v>#VALUE!</v>
      </c>
      <c r="H3" s="984">
        <f>MIN(IFERROR(G3,99999),IFERROR(G4,99999),IFERROR(G5,99999),IFERROR(G6,99999),IFERROR(G7,99999),IFERROR(G8,99999),IFERROR(G9,99999),IFERROR(G10,99999),IFERROR(G11,99999),IFERROR(G12,99999),IFERROR(G13,99999),IFERROR(G14,99999))</f>
        <v>99999</v>
      </c>
      <c r="I3" s="870" t="str">
        <f>CHAR(10)</f>
        <v xml:space="preserve">
</v>
      </c>
      <c r="J3" s="984" t="e">
        <f>SEARCH(I3,CHALLANGE_draft!$G$3,H3)</f>
        <v>#VALUE!</v>
      </c>
      <c r="K3" s="854" t="e">
        <f>J3-E3</f>
        <v>#VALUE!</v>
      </c>
      <c r="L3" s="1568" t="e">
        <f>MID(CHALLANGE_draft!$G$3,E3,K3)</f>
        <v>#VALUE!</v>
      </c>
      <c r="M3" t="s">
        <v>8651</v>
      </c>
      <c r="N3" s="965" t="e">
        <f>SEARCH(M3,$L$3)</f>
        <v>#VALUE!</v>
      </c>
      <c r="O3" s="859" t="str">
        <f>IF(ISERROR(N3),
IF(ISERROR(N4),
IF(ISERROR(N5),
IF(ISERROR(N6),
"ОШИБКА",
M6),
M5),
M4),
M3)</f>
        <v>ОШИБКА</v>
      </c>
      <c r="P3" s="965" t="e">
        <f>SEARCH(O3,$L$3)</f>
        <v>#VALUE!</v>
      </c>
      <c r="Q3" s="870" t="str">
        <f>CHAR(10)</f>
        <v xml:space="preserve">
</v>
      </c>
      <c r="R3" s="334" t="e">
        <f>LEN(MID($L$3,1,P3))-LEN(IF(ISERROR(FIND(" ",MID($L$3,1,P3))),MID($L$3,1,P3),RIGHT(MID($L$3,1,P3),LEN(MID($L$3,1,P3))-FIND("~",SUBSTITUTE(MID($L$3,1,P3),Q3,"~",LEN(MID($L$3,1,P3))-LEN(SUBSTITUTE(MID($L$3,1,P3),Q3,"")))))))+1</f>
        <v>#VALUE!</v>
      </c>
      <c r="S3" s="964" t="s">
        <v>8657</v>
      </c>
      <c r="T3" s="965" t="e">
        <f>SEARCH(S3,$L$3,P$3)</f>
        <v>#VALUE!</v>
      </c>
      <c r="U3" s="859" t="str">
        <f>IF(ISERROR(T3),
IF(ISERROR(T4),
IF(ISERROR(T5),
IF(ISERROR(T6),
"ОШИБКА",
S6),
S5),
S4),
S3)</f>
        <v>ОШИБКА</v>
      </c>
      <c r="V3" s="965" t="e">
        <f>SEARCH(U3,$L$3,P$3)</f>
        <v>#VALUE!</v>
      </c>
      <c r="W3" s="870" t="str">
        <f>CHAR(10)</f>
        <v xml:space="preserve">
</v>
      </c>
      <c r="X3" s="334" t="e">
        <f>LEN(MID($L$3,1,V3))-LEN(IF(ISERROR(FIND(" ",MID($L$3,1,V3))),MID($L$3,1,V3),RIGHT(MID($L$3,1,V3),LEN(MID($L$3,1,V3))-FIND("~",SUBSTITUTE(MID($L$3,1,V3),W3,"~",LEN(MID($L$3,1,V3))-LEN(SUBSTITUTE(MID($L$3,1,V3),W3,"")))))))+1</f>
        <v>#VALUE!</v>
      </c>
      <c r="Y3" s="264" t="e">
        <f>X3-P3</f>
        <v>#VALUE!</v>
      </c>
      <c r="Z3" s="1568" t="e">
        <f>MID($L$3,P3,Y3)</f>
        <v>#VALUE!</v>
      </c>
      <c r="AA3" t="s">
        <v>8679</v>
      </c>
      <c r="AB3" s="984" t="e">
        <f t="shared" ref="AB3:AB14" si="0">SEARCH(AA3,$L$3)</f>
        <v>#VALUE!</v>
      </c>
      <c r="AC3" s="859" t="str">
        <f>IF(ISERROR(AB3),
IF(ISERROR(AB4),
IF(ISERROR(AB5),
IF(ISERROR(AB6),
"ОШИБКА",
AA6),
AA5),
AA4),
AA3)</f>
        <v>ОШИБКА</v>
      </c>
      <c r="AD3" s="984" t="e">
        <f>SEARCH(AC3,$L$3)</f>
        <v>#VALUE!</v>
      </c>
      <c r="AE3" s="870" t="str">
        <f>CHAR(10)</f>
        <v xml:space="preserve">
</v>
      </c>
      <c r="AF3" s="334" t="e">
        <f>LEN(MID($L$3,1,AD3))-LEN(IF(ISERROR(FIND(" ",MID($L$3,1,AD3))),MID($L$3,1,AD3),RIGHT(MID($L$3,1,AD3),LEN(MID($L$3,1,AD3))-FIND("~",SUBSTITUTE(MID($L$3,1,AD3),AE3,"~",LEN(MID($L$3,1,AD3))-LEN(SUBSTITUTE(MID($L$3,1,AD3),AE3,"")))))))+1</f>
        <v>#VALUE!</v>
      </c>
      <c r="AG3" s="988" t="s">
        <v>791</v>
      </c>
      <c r="AH3" s="854">
        <f>MIN(IFERROR(SEARCH(AG$3,$L$3),99999),
IFERROR(SEARCH(AG$4,$L$3),99999),
IFERROR(SEARCH(AG$5,$L$3),99999),
IFERROR(SEARCH(AG$6,$L$3),99999),
IFERROR(SEARCH(AG$7,$L$3),99999),
IFERROR(SEARCH(AG$8,$L$3),99999),
IFERROR(SEARCH(AG$9,$L$3),99999),
IFERROR(SEARCH(AG$10,$L$3),99999),
IFERROR(SEARCH(AG$11,$L$3),99999),
IFERROR(SEARCH(AG$12,$L$3),99999),
IFERROR(SEARCH(AG$13,$L$3),99999),
IFERROR(SEARCH(AG$14,$L$3),99999)
)</f>
        <v>99999</v>
      </c>
      <c r="AI3" s="870" t="str">
        <f>CHAR(10)</f>
        <v xml:space="preserve">
</v>
      </c>
      <c r="AJ3" s="334" t="e">
        <f>LEN(MID($L$3,1,AH3))-LEN(IF(ISERROR(FIND(" ",MID($L$3,1,AH3))),MID($L$3,1,AH3),RIGHT(MID($L$3,1,AH3),LEN(MID($L$3,1,AH3))-FIND("~",SUBSTITUTE(MID($L$3,1,AH3),AI3,"~",LEN(MID($L$3,1,AH3))-LEN(SUBSTITUTE(MID($L$3,1,AH3),AI3,"")))))))+1</f>
        <v>#VALUE!</v>
      </c>
      <c r="AK3" s="984" t="e">
        <f>AJ3-AF3</f>
        <v>#VALUE!</v>
      </c>
      <c r="AL3" s="1568" t="e">
        <f>MID($L$3,AF3,AK3)</f>
        <v>#VALUE!</v>
      </c>
      <c r="AM3" t="s">
        <v>791</v>
      </c>
      <c r="AN3" s="854">
        <f>MIN(IFERROR(SEARCH(AM$3,$L$3),99999),
IFERROR(SEARCH(AM$4,$L$3),99999),
IFERROR(SEARCH(AM$5,$L$3),99999),
IFERROR(SEARCH(AM$6,$L$3),99999),
IFERROR(SEARCH(AM$7,$L$3),99999),
IFERROR(SEARCH(AM$8,$L$3),99999),
IFERROR(SEARCH(AM$9,$L$3),99999),
IFERROR(SEARCH(AM$10,$L$3),99999),
IFERROR(SEARCH(AM$11,$L$3),99999),
IFERROR(SEARCH(AM$12,$L$3),99999),
IFERROR(SEARCH(AM$13,$L$3),99999),
IFERROR(SEARCH(AM$14,$L$3),99999)
)</f>
        <v>99999</v>
      </c>
      <c r="AO3" s="870" t="str">
        <f>CHAR(10)</f>
        <v xml:space="preserve">
</v>
      </c>
      <c r="AP3" s="334" t="e">
        <f>LEN(MID($L$3,1,AN3))-LEN(IF(ISERROR(FIND(" ",MID($L$3,1,AN3))),MID($L$3,1,AN3),RIGHT(MID($L$3,1,AN3),LEN(MID($L$3,1,AN3))-FIND("~",SUBSTITUTE(MID($L$3,1,AN3),AO3,"~",LEN(MID($L$3,1,AN3))-LEN(SUBSTITUTE(MID($L$3,1,AN3),AO3,"")))))))+1</f>
        <v>#VALUE!</v>
      </c>
      <c r="AQ3" s="988" t="s">
        <v>8680</v>
      </c>
      <c r="AR3" s="984" t="e">
        <f>SEARCH(AQ3,$L$3)</f>
        <v>#VALUE!</v>
      </c>
      <c r="AS3" s="859" t="str">
        <f>IF(ISERROR(AR3),
IF(ISERROR(AR4),
IF(ISERROR(AR5),
IF(ISERROR(AR6),
IF(ISERROR(AR7),
IF(ISERROR(AR8),
IF(ISERROR(AR9),
"ОШИБКА",
AQ9),
AQ8),
AQ7),
AQ6),
AQ5),
AQ4),
AQ3)</f>
        <v>ОШИБКА</v>
      </c>
      <c r="AT3" s="984" t="e">
        <f>SEARCH(AS3,$L$3)</f>
        <v>#VALUE!</v>
      </c>
      <c r="AU3" s="870" t="str">
        <f>CHAR(10)</f>
        <v xml:space="preserve">
</v>
      </c>
      <c r="AV3" s="334" t="e">
        <f>LEN(MID($L$3,1,AT3))-LEN(IF(ISERROR(FIND(" ",MID($L$3,1,AT3))),MID($L$3,1,AT3),RIGHT(MID($L$3,1,AT3),LEN(MID($L$3,1,AT3))-FIND("~",SUBSTITUTE(MID($L$3,1,AT3),AU3,"~",LEN(MID($L$3,1,AT3))-LEN(SUBSTITUTE(MID($L$3,1,AT3),AU3,"")))))))+1</f>
        <v>#VALUE!</v>
      </c>
      <c r="AW3" s="984" t="e">
        <f>AV3-AP3</f>
        <v>#VALUE!</v>
      </c>
      <c r="AX3" s="1568" t="e">
        <f>MID($L$3,AP3,AW3)</f>
        <v>#VALUE!</v>
      </c>
      <c r="AY3" t="s">
        <v>8680</v>
      </c>
      <c r="AZ3" s="984" t="e">
        <f t="shared" ref="AZ3:AZ14" si="1">SEARCH(AY3,$L$3)</f>
        <v>#VALUE!</v>
      </c>
      <c r="BA3" s="859" t="str">
        <f>IF(ISERROR(AZ3),
IF(ISERROR(AZ4),
IF(ISERROR(AZ5),
IF(ISERROR(AZ6),
"ОШИБКА",
AY6),
AY5),
AY4),
AY3)</f>
        <v>ОШИБКА</v>
      </c>
      <c r="BB3" s="984" t="e">
        <f>SEARCH(BA3,$L$3)+LEN(BA3)</f>
        <v>#VALUE!</v>
      </c>
      <c r="BC3" s="870" t="str">
        <f>CHAR(10)</f>
        <v xml:space="preserve">
</v>
      </c>
      <c r="BD3" s="334" t="e">
        <f>LEN(MID($L$3,1,BB3))-LEN(IF(ISERROR(FIND(" ",MID($L$3,1,BB3))),MID($L$3,1,BB3),RIGHT(MID($L$3,1,BB3),LEN(MID($L$3,1,BB3))-FIND("~",SUBSTITUTE(MID($L$3,1,BB3),BC3,"~",LEN(MID($L$3,1,BB3))-LEN(SUBSTITUTE(MID($L$3,1,BB3),BC3,"")))))))+1</f>
        <v>#VALUE!</v>
      </c>
      <c r="BE3" s="988" t="str">
        <f>CHAR(10)</f>
        <v xml:space="preserve">
</v>
      </c>
      <c r="BF3" s="984" t="e">
        <f t="shared" ref="BF3:BF14" si="2">SEARCH(BE3,$L$3,$BD$3)</f>
        <v>#VALUE!</v>
      </c>
      <c r="BG3" s="859" t="str">
        <f>IF(ISERROR(BF3),
IF(ISERROR(BF4),
IF(ISERROR(BF5),
IF(ISERROR(BF6),
"ОШИБКА",
BE6),
BE5),
BE4),
BE3)</f>
        <v>ОШИБКА</v>
      </c>
      <c r="BH3" s="984" t="e">
        <f>SEARCH(BG3,$L$3,$BD$3)</f>
        <v>#VALUE!</v>
      </c>
      <c r="BI3" s="870" t="str">
        <f>CHAR(10)</f>
        <v xml:space="preserve">
</v>
      </c>
      <c r="BJ3" s="334" t="e">
        <f>LEN(MID($L$3,1,BH3))-LEN(IF(ISERROR(FIND(" ",MID($L$3,1,BH3))),MID($L$3,1,BH3),RIGHT(MID($L$3,1,BH3),LEN(MID($L$3,1,BH3))-FIND("~",SUBSTITUTE(MID($L$3,1,BH3),BI3,"~",LEN(MID($L$3,1,BH3))-LEN(SUBSTITUTE(MID($L$3,1,BH3),BI3,"")))))))+1</f>
        <v>#VALUE!</v>
      </c>
      <c r="BK3" s="984" t="e">
        <f>BJ3-BD3</f>
        <v>#VALUE!</v>
      </c>
      <c r="BL3" s="1568" t="e">
        <f>MID($L$3,BD3,BK3)</f>
        <v>#VALUE!</v>
      </c>
      <c r="BM3" t="s">
        <v>8650</v>
      </c>
      <c r="BN3" s="984" t="e">
        <f t="shared" ref="BN3:BN14" si="3">SEARCH(BM3,$L$3)</f>
        <v>#VALUE!</v>
      </c>
      <c r="BO3" s="859" t="str">
        <f>IF(ISERROR(BN3),
IF(ISERROR(BN4),
IF(ISERROR(BN5),
IF(ISERROR(BN6),
"ОШИБКА",
BM6),
BM5),
BM4),
BM3)</f>
        <v>ОШИБКА</v>
      </c>
      <c r="BP3" s="984" t="e">
        <f>SEARCH(BO3,$L$3)+LEN(BO3)</f>
        <v>#VALUE!</v>
      </c>
      <c r="BQ3" s="870" t="str">
        <f>CHAR(10)</f>
        <v xml:space="preserve">
</v>
      </c>
      <c r="BR3" s="334" t="e">
        <f>LEN(MID($L$3,1,BP3))-LEN(IF(ISERROR(FIND(" ",MID($L$3,1,BP3))),MID($L$3,1,BP3),RIGHT(MID($L$3,1,BP3),LEN(MID($L$3,1,BP3))-FIND("~",SUBSTITUTE(MID($L$3,1,BP3),BQ3,"~",LEN(MID($L$3,1,BP3))-LEN(SUBSTITUTE(MID($L$3,1,BP3),BQ3,"")))))))+1</f>
        <v>#VALUE!</v>
      </c>
      <c r="BS3" s="988" t="s">
        <v>8273</v>
      </c>
      <c r="BT3" s="984" t="e">
        <f t="shared" ref="BT3:BT14" si="4">SEARCH(BS3,$L$3,$BP$3)</f>
        <v>#VALUE!</v>
      </c>
      <c r="BU3" s="859" t="str">
        <f>IF(ISERROR(BT3),
IF(ISERROR(BT4),
IF(ISERROR(BT5),
IF(ISERROR(BT6),
"ОШИБКА",
BS6),
BS5),
BS4),
BS3)</f>
        <v>ОШИБКА</v>
      </c>
      <c r="BV3" s="984" t="e">
        <f>SEARCH(BU3,$L$3,$BP$3)</f>
        <v>#VALUE!</v>
      </c>
      <c r="BW3" s="870" t="str">
        <f>CHAR(10)</f>
        <v xml:space="preserve">
</v>
      </c>
      <c r="BX3" s="334" t="e">
        <f>LEN(MID($L$3,1,BV3))-LEN(IF(ISERROR(FIND(" ",MID($L$3,1,BV3))),MID($L$3,1,BV3),RIGHT(MID($L$3,1,BV3),LEN(MID($L$3,1,BV3))-FIND("~",SUBSTITUTE(MID($L$3,1,BV3),BW3,"~",LEN(MID($L$3,1,BV3))-LEN(SUBSTITUTE(MID($L$3,1,BV3),BW3,"")))))))+1</f>
        <v>#VALUE!</v>
      </c>
      <c r="BY3" s="984" t="e">
        <f>BV3-BR3</f>
        <v>#VALUE!</v>
      </c>
      <c r="BZ3" s="1568" t="e">
        <f>MID($L$3,BR3,BY3)</f>
        <v>#VALUE!</v>
      </c>
      <c r="CA3" t="s">
        <v>8691</v>
      </c>
      <c r="CB3" s="984" t="e">
        <f>SEARCH(CA3,$AX$3)</f>
        <v>#VALUE!</v>
      </c>
      <c r="CC3" s="859" t="str">
        <f>IF(ISERROR(CB3),
IF(ISERROR(CB4),
IF(ISERROR(CB5),
IF(ISERROR(CB6),
"ОШИБКА",
CA6),
CA5),
CA4),
CA3)</f>
        <v>ОШИБКА</v>
      </c>
      <c r="CD3" s="984" t="e">
        <f>SEARCH(CC3,$AX$3)+LEN(CC3)</f>
        <v>#VALUE!</v>
      </c>
      <c r="CE3" s="988" t="s">
        <v>8692</v>
      </c>
      <c r="CF3" s="984" t="e">
        <f>SEARCH(CE3,$AX$3,$CD$3)</f>
        <v>#VALUE!</v>
      </c>
      <c r="CG3" s="859" t="str">
        <f>IF(ISERROR(CF3),
IF(ISERROR(CF4),
IF(ISERROR(CF5),
IF(ISERROR(CF6),
"ОШИБКА",
CE6),
CE5),
CE4),
CE3)</f>
        <v>ОШИБКА</v>
      </c>
      <c r="CH3" s="984" t="e">
        <f>SEARCH(CG3,$AX$3,$CD$3)</f>
        <v>#VALUE!</v>
      </c>
      <c r="CI3" s="984" t="e">
        <f>CH3-CD3</f>
        <v>#VALUE!</v>
      </c>
      <c r="CJ3" s="999" t="e">
        <f>MID($AX$3,CD3,CI3)</f>
        <v>#VALUE!</v>
      </c>
      <c r="CK3" t="s">
        <v>8701</v>
      </c>
      <c r="CL3" s="984" t="e">
        <f>SEARCH(CK3,$AL$3)</f>
        <v>#VALUE!</v>
      </c>
      <c r="CM3" s="859" t="str">
        <f>IF(ISERROR(CL3),
IF(ISERROR(CL4),
IF(ISERROR(CL5),
IF(ISERROR(CL6),
"ОШИБКА",
CK6),
CK5),
CK4),
CK3)</f>
        <v>ОШИБКА</v>
      </c>
      <c r="CN3" s="984" t="e">
        <f>SEARCH(CM3,$AL$3)+LEN(CM3)</f>
        <v>#VALUE!</v>
      </c>
      <c r="CO3" s="988" t="s">
        <v>805</v>
      </c>
      <c r="CP3" s="984" t="e">
        <f t="shared" ref="CP3:CP14" si="5">SEARCH(CO3,$AL$3,$CN$3)</f>
        <v>#VALUE!</v>
      </c>
      <c r="CQ3" s="859" t="str">
        <f>IF(ISERROR(CP3),
IF(ISERROR(CP4),
IF(ISERROR(CP5),
IF(ISERROR(CP6),
"ОШИБКА",
CO6),
CO5),
CO4),
CO3)</f>
        <v>ОШИБКА</v>
      </c>
      <c r="CR3" s="984" t="e">
        <f>SEARCH(CQ3,$AL$3,$CN$3)</f>
        <v>#VALUE!</v>
      </c>
      <c r="CS3" s="984" t="e">
        <f>CR3-CN3</f>
        <v>#VALUE!</v>
      </c>
      <c r="CT3" s="999" t="e">
        <f>MID($AL$3,CN3,CS3)</f>
        <v>#VALUE!</v>
      </c>
      <c r="CU3" s="8" t="s">
        <v>8703</v>
      </c>
      <c r="CV3" s="984" t="e">
        <f>SEARCH(CU3,$AL$3)</f>
        <v>#VALUE!</v>
      </c>
      <c r="CW3" s="859" t="str">
        <f>IF(ISERROR(CV3),
IF(ISERROR(CV4),
IF(ISERROR(CV5),
IF(ISERROR(CV6),
"ОШИБКА",
CU6),
CU5),
CU4),
CU3)</f>
        <v>ОШИБКА</v>
      </c>
      <c r="CX3" s="984" t="e">
        <f>SEARCH(CW3,$AL$3)+LEN(CW3)</f>
        <v>#VALUE!</v>
      </c>
      <c r="CY3" s="984" t="e">
        <f>LEN(AL3)</f>
        <v>#VALUE!</v>
      </c>
      <c r="CZ3" s="984" t="e">
        <f>CY3-CX3</f>
        <v>#VALUE!</v>
      </c>
      <c r="DA3" s="1568" t="e">
        <f>MID($AL$3,CX3,CZ3)</f>
        <v>#VALUE!</v>
      </c>
      <c r="DB3" t="s">
        <v>8444</v>
      </c>
      <c r="DC3" s="984" t="e">
        <f>SEARCH(DB3,$AX$3)</f>
        <v>#VALUE!</v>
      </c>
      <c r="DD3" s="859" t="str">
        <f>IF(ISERROR(DC3),
IF(ISERROR(DC4),
IF(ISERROR(DC5),
IF(ISERROR(DC6),
"ОШИБКА",
DB6),
DB5),
DB4),
DB3)</f>
        <v>ОШИБКА</v>
      </c>
      <c r="DE3" s="984" t="e">
        <f>SEARCH(DD3,$AX$3)+LEN(DD3)</f>
        <v>#VALUE!</v>
      </c>
      <c r="DF3" s="988" t="s">
        <v>8693</v>
      </c>
      <c r="DG3" s="984" t="e">
        <f>SEARCH(DF3,$AX$3,$CD$3)</f>
        <v>#VALUE!</v>
      </c>
      <c r="DH3" s="859" t="str">
        <f>IF(ISERROR(DG3),
IF(ISERROR(DG4),
IF(ISERROR(DG5),
IF(ISERROR(DG6),
"ОШИБКА",
DF6),
DF5),
DF4),
DF3)</f>
        <v>ОШИБКА</v>
      </c>
      <c r="DI3" s="984" t="e">
        <f>SEARCH(DH3,$AX$3,$CD$3)</f>
        <v>#VALUE!</v>
      </c>
      <c r="DJ3" s="984" t="e">
        <f>DI3-DE3</f>
        <v>#VALUE!</v>
      </c>
      <c r="DK3" s="985" t="e">
        <f>MID($AX$3,DE3,DJ3)</f>
        <v>#VALUE!</v>
      </c>
      <c r="DL3" t="s">
        <v>8233</v>
      </c>
      <c r="DM3" s="984" t="e">
        <f>SEARCH(DL3,$AX$3)+LEN(DL3)</f>
        <v>#VALUE!</v>
      </c>
      <c r="DN3" s="334">
        <f>MIN(IFERROR(DM3,99999),IFERROR(DM4,99999),IFERROR(DM5,99999),IFERROR(DM6,99999),IFERROR(DM7,99999),IFERROR(DM8,99999),IFERROR(DM9,99999),IFERROR(DM10,99999),IFERROR(DM11,99999),IFERROR(DM12,99999),IFERROR(DM13,99999),IFERROR(DM14,99999))</f>
        <v>99999</v>
      </c>
      <c r="DO3" s="988" t="s">
        <v>8704</v>
      </c>
      <c r="DP3" s="984" t="e">
        <f>SEARCH(DO3,$AX$3,$DN$3)</f>
        <v>#VALUE!</v>
      </c>
      <c r="DQ3" s="334">
        <f>MIN(IFERROR(DP3,99999),IFERROR(DP4,99999),IFERROR(DP5,99999),IFERROR(DP6,99999),IFERROR(DP7,99999),IFERROR(DP8,99999),IFERROR(DP9,99999),IFERROR(DP10,99999),IFERROR(DP11,99999),IFERROR(DP12,99999),IFERROR(DP13,99999),IFERROR(DP14,99999))</f>
        <v>99999</v>
      </c>
      <c r="DR3" s="984">
        <f>DQ3-DN3</f>
        <v>0</v>
      </c>
      <c r="DS3" s="985" t="e">
        <f>MID($AX$3,DN3,DR3)</f>
        <v>#VALUE!</v>
      </c>
      <c r="DT3" t="s">
        <v>8698</v>
      </c>
      <c r="DU3" s="984" t="e">
        <f>SEARCH(DT3,$AX$3)</f>
        <v>#VALUE!</v>
      </c>
      <c r="DV3" s="859" t="str">
        <f>IF(ISERROR(DU3),
IF(ISERROR(DU4),
IF(ISERROR(DU5),
IF(ISERROR(DU6),
"ОШИБКА",
DT6),
DT5),
DT4),
DT3)</f>
        <v>ОШИБКА</v>
      </c>
      <c r="DW3" s="984" t="e">
        <f>SEARCH(DV3,$AX$3)+LEN(DV3)</f>
        <v>#VALUE!</v>
      </c>
      <c r="DX3" s="988" t="s">
        <v>149</v>
      </c>
      <c r="DY3" s="984" t="e">
        <f>SEARCH(DX3,$AX$3,$DW$3)</f>
        <v>#VALUE!</v>
      </c>
      <c r="DZ3" s="859" t="str">
        <f>IF(ISERROR(DY3),
IF(ISERROR(DY4),
IF(ISERROR(DY5),
IF(ISERROR(DY6),
"ОШИБКА",
DX6),
DX5),
DX4),
DX3)</f>
        <v>ОШИБКА</v>
      </c>
      <c r="EA3" s="984" t="e">
        <f>SEARCH(DZ3,$AX$3,DW3)</f>
        <v>#VALUE!</v>
      </c>
      <c r="EB3" s="984" t="e">
        <f>EA3-DW3</f>
        <v>#VALUE!</v>
      </c>
      <c r="EC3" s="985" t="str">
        <f>IF(NOT(ISERROR(DW3)),"ОТКАЗ ПО ТРАСЕ","")</f>
        <v/>
      </c>
      <c r="ED3" t="s">
        <v>8584</v>
      </c>
      <c r="EE3" s="984" t="e">
        <f>SEARCH(ED3,$AX$3)</f>
        <v>#VALUE!</v>
      </c>
      <c r="EF3" s="859" t="str">
        <f>IF(ISERROR(EE3),
IF(ISERROR(EE4),
IF(ISERROR(EE5),
IF(ISERROR(EE6),
"ОШИБКА",
ED6),
ED5),
ED4),
ED3)</f>
        <v>ОШИБКА</v>
      </c>
      <c r="EG3" s="984" t="e">
        <f>SEARCH(EF3,$AX$3)+LEN(EF3)</f>
        <v>#VALUE!</v>
      </c>
      <c r="EH3" s="988" t="s">
        <v>8431</v>
      </c>
      <c r="EI3" s="984" t="e">
        <f>SEARCH(EH3,$AX$3,EG3)</f>
        <v>#VALUE!</v>
      </c>
      <c r="EJ3" s="984" t="e">
        <f>EI3-EG3</f>
        <v>#VALUE!</v>
      </c>
      <c r="EK3" s="100" t="e">
        <f>MID($AX$3,EG3,EJ3)</f>
        <v>#VALUE!</v>
      </c>
      <c r="EL3" s="1469" t="e">
        <f>VALUE(CONCATENATE(EK3,",",EK4))</f>
        <v>#VALUE!</v>
      </c>
      <c r="EM3" t="s">
        <v>8588</v>
      </c>
      <c r="EN3" s="984" t="e">
        <f>SEARCH(EM3,$AX$3)</f>
        <v>#VALUE!</v>
      </c>
      <c r="EO3" s="859" t="str">
        <f>IF(ISERROR(EN3),
IF(ISERROR(EN4),
IF(ISERROR(EN5),
IF(ISERROR(EN6),
IF(ISERROR(EN7),
IF(ISERROR(EN8),
"ОШИБКА",
EM8),
EM7),
EM6),
EM5),
EM4),
EM3)</f>
        <v>ОШИБКА</v>
      </c>
      <c r="EP3" s="984" t="e">
        <f>SEARCH(EO3,$AX$3)+LEN(EO3)</f>
        <v>#VALUE!</v>
      </c>
      <c r="EQ3" s="988" t="s">
        <v>8431</v>
      </c>
      <c r="ER3" s="984" t="e">
        <f>SEARCH(EQ3,$AX$3,EP3)</f>
        <v>#VALUE!</v>
      </c>
      <c r="ES3" s="984" t="e">
        <f>ER3-EP3</f>
        <v>#VALUE!</v>
      </c>
      <c r="ET3" s="100" t="e">
        <f>MID($AX$3,EP3,ES3)</f>
        <v>#VALUE!</v>
      </c>
      <c r="EU3" s="1469" t="e">
        <f>VALUE(CONCATENATE(ET3,",",ET4))</f>
        <v>#VALUE!</v>
      </c>
      <c r="EV3" t="s">
        <v>8589</v>
      </c>
      <c r="EW3" s="984" t="e">
        <f>SEARCH(EV3,$AX$3)</f>
        <v>#VALUE!</v>
      </c>
      <c r="EX3" s="859" t="str">
        <f>IF(ISERROR(EW3),
IF(ISERROR(EW4),
IF(ISERROR(EW5),
IF(ISERROR(EW6),
"ОШИБКА",
EV6),
EV5),
EV4),
EV3)</f>
        <v>ОШИБКА</v>
      </c>
      <c r="EY3" s="984" t="e">
        <f>SEARCH(EX3,$AX$3)+LEN(EX3)</f>
        <v>#VALUE!</v>
      </c>
      <c r="EZ3" s="988" t="s">
        <v>8431</v>
      </c>
      <c r="FA3" s="984" t="e">
        <f>SEARCH(EZ3,$AX$3,EY3)</f>
        <v>#VALUE!</v>
      </c>
      <c r="FB3" s="984" t="e">
        <f>FA3-EY3</f>
        <v>#VALUE!</v>
      </c>
      <c r="FC3" s="100" t="e">
        <f>MID($AX$3,EY3,FB3)</f>
        <v>#VALUE!</v>
      </c>
      <c r="FD3" s="1469" t="e">
        <f>VALUE(CONCATENATE(FC3,",",FC4))</f>
        <v>#VALUE!</v>
      </c>
      <c r="FE3" t="s">
        <v>8590</v>
      </c>
      <c r="FF3" s="984" t="e">
        <f>SEARCH(FE3,$AX$3)</f>
        <v>#VALUE!</v>
      </c>
      <c r="FG3" s="859" t="str">
        <f>IF(ISERROR(FF3),
IF(ISERROR(FF4),
IF(ISERROR(FF5),
IF(ISERROR(FF6),
"ОШИБКА",
FE6),
FE5),
FE4),
FE3)</f>
        <v>ОШИБКА</v>
      </c>
      <c r="FH3" s="984" t="e">
        <f>SEARCH(FG3,$AX$3)+LEN(FG3)</f>
        <v>#VALUE!</v>
      </c>
      <c r="FI3" s="988" t="s">
        <v>8431</v>
      </c>
      <c r="FJ3" s="984" t="e">
        <f>SEARCH(FI3,$AX$3,FH3)</f>
        <v>#VALUE!</v>
      </c>
      <c r="FK3" s="984" t="e">
        <f>FJ3-FH3</f>
        <v>#VALUE!</v>
      </c>
      <c r="FL3" s="100" t="e">
        <f>MID($AX$3,FH3,FK3)</f>
        <v>#VALUE!</v>
      </c>
      <c r="FM3" s="1469" t="e">
        <f>VALUE(CONCATENATE(FL3,",",FL4))</f>
        <v>#VALUE!</v>
      </c>
    </row>
    <row r="4" spans="1:169" x14ac:dyDescent="0.3">
      <c r="A4" s="988" t="s">
        <v>8651</v>
      </c>
      <c r="B4" s="984" t="e">
        <f>SEARCH(A4,CHALLANGE_draft!$G$3)</f>
        <v>#VALUE!</v>
      </c>
      <c r="C4" s="984"/>
      <c r="D4" s="920"/>
      <c r="E4" s="920"/>
      <c r="F4" s="988" t="s">
        <v>8652</v>
      </c>
      <c r="G4" s="984" t="e">
        <f>SEARCH(F4,CHALLANGE_draft!$G$3,$E$3)</f>
        <v>#VALUE!</v>
      </c>
      <c r="H4" s="984"/>
      <c r="I4" s="984"/>
      <c r="J4" s="984"/>
      <c r="K4" s="984"/>
      <c r="L4" s="1569"/>
      <c r="M4" t="s">
        <v>8649</v>
      </c>
      <c r="N4" s="984" t="e">
        <f t="shared" ref="N4:N14" si="6">SEARCH(M4,$L$3)</f>
        <v>#VALUE!</v>
      </c>
      <c r="Q4" s="920"/>
      <c r="R4" s="920"/>
      <c r="S4" t="s">
        <v>8513</v>
      </c>
      <c r="T4" s="994" t="e">
        <f t="shared" ref="T4:T14" si="7">SEARCH(S4,$L$3,P$3)</f>
        <v>#VALUE!</v>
      </c>
      <c r="W4" s="920"/>
      <c r="X4" s="920"/>
      <c r="Z4" s="1569"/>
      <c r="AA4" t="s">
        <v>8513</v>
      </c>
      <c r="AB4" s="984" t="e">
        <f t="shared" si="0"/>
        <v>#VALUE!</v>
      </c>
      <c r="AE4" s="920"/>
      <c r="AF4" s="920"/>
      <c r="AG4" t="s">
        <v>839</v>
      </c>
      <c r="AH4" s="984"/>
      <c r="AI4" s="920"/>
      <c r="AJ4" s="920"/>
      <c r="AL4" s="1569"/>
      <c r="AM4" t="s">
        <v>839</v>
      </c>
      <c r="AN4" s="984"/>
      <c r="AO4" s="920"/>
      <c r="AP4" s="920"/>
      <c r="AQ4" t="s">
        <v>8724</v>
      </c>
      <c r="AR4" s="994" t="e">
        <f t="shared" ref="AR4:AR14" si="8">SEARCH(AQ4,$L$3)</f>
        <v>#VALUE!</v>
      </c>
      <c r="AU4" s="920"/>
      <c r="AV4" s="920"/>
      <c r="AX4" s="1569"/>
      <c r="AY4" t="s">
        <v>8513</v>
      </c>
      <c r="AZ4" s="984" t="e">
        <f t="shared" si="1"/>
        <v>#VALUE!</v>
      </c>
      <c r="BC4" s="920"/>
      <c r="BD4" s="920"/>
      <c r="BE4" t="s">
        <v>8513</v>
      </c>
      <c r="BF4" s="984" t="e">
        <f t="shared" si="2"/>
        <v>#VALUE!</v>
      </c>
      <c r="BI4" s="920"/>
      <c r="BJ4" s="920"/>
      <c r="BL4" s="1569"/>
      <c r="BM4" t="s">
        <v>8513</v>
      </c>
      <c r="BN4" s="984" t="e">
        <f t="shared" si="3"/>
        <v>#VALUE!</v>
      </c>
      <c r="BQ4" s="920"/>
      <c r="BR4" s="920"/>
      <c r="BS4" t="s">
        <v>8513</v>
      </c>
      <c r="BT4" s="984" t="e">
        <f t="shared" si="4"/>
        <v>#VALUE!</v>
      </c>
      <c r="BW4" s="920"/>
      <c r="BX4" s="920"/>
      <c r="BY4" s="264"/>
      <c r="BZ4" s="1569"/>
      <c r="CA4" t="s">
        <v>8879</v>
      </c>
      <c r="CB4" s="984" t="e">
        <f t="shared" ref="CB4:CB14" si="9">SEARCH(CA4,$AX$3)</f>
        <v>#VALUE!</v>
      </c>
      <c r="CE4" t="s">
        <v>8513</v>
      </c>
      <c r="CF4" s="984" t="e">
        <f t="shared" ref="CF4:CF14" si="10">SEARCH(CE4,$AX$3,$CD$3)</f>
        <v>#VALUE!</v>
      </c>
      <c r="CI4" s="264"/>
      <c r="CJ4" s="1000"/>
      <c r="CK4" t="s">
        <v>8658</v>
      </c>
      <c r="CL4" s="984" t="e">
        <f t="shared" ref="CL4:CL14" si="11">SEARCH(CK4,$AL$3)</f>
        <v>#VALUE!</v>
      </c>
      <c r="CO4" t="s">
        <v>8513</v>
      </c>
      <c r="CP4" s="984" t="e">
        <f t="shared" si="5"/>
        <v>#VALUE!</v>
      </c>
      <c r="CS4" s="264"/>
      <c r="CT4" s="1000"/>
      <c r="CU4" s="5" t="s">
        <v>8880</v>
      </c>
      <c r="CV4" s="984" t="e">
        <f t="shared" ref="CV4:CV14" si="12">SEARCH(CU4,$AL$3)</f>
        <v>#VALUE!</v>
      </c>
      <c r="CZ4" s="264"/>
      <c r="DA4" s="1569"/>
      <c r="DB4" t="s">
        <v>8513</v>
      </c>
      <c r="DC4" s="984" t="e">
        <f t="shared" ref="DC4:DC14" si="13">SEARCH(DB4,$AX$3)</f>
        <v>#VALUE!</v>
      </c>
      <c r="DF4" t="s">
        <v>8513</v>
      </c>
      <c r="DG4" s="984" t="e">
        <f t="shared" ref="DG4:DG14" si="14">SEARCH(DF4,$AX$3,$CD$3)</f>
        <v>#VALUE!</v>
      </c>
      <c r="DJ4" s="264"/>
      <c r="DK4" s="1003"/>
      <c r="DL4" t="s">
        <v>8513</v>
      </c>
      <c r="DM4" s="994" t="e">
        <f t="shared" ref="DM4:DM14" si="15">SEARCH(DL4,$AX$3)+LEN(DL4)</f>
        <v>#VALUE!</v>
      </c>
      <c r="DO4" t="s">
        <v>8725</v>
      </c>
      <c r="DP4" s="994" t="e">
        <f t="shared" ref="DP4:DP14" si="16">SEARCH(DO4,$AX$3,$DN$3)</f>
        <v>#VALUE!</v>
      </c>
      <c r="DR4" s="264"/>
      <c r="DS4" s="1003"/>
      <c r="DT4" t="s">
        <v>8699</v>
      </c>
      <c r="DU4" s="984" t="e">
        <f t="shared" ref="DU4:DU14" si="17">SEARCH(DT4,$AX$3)</f>
        <v>#VALUE!</v>
      </c>
      <c r="DX4" t="s">
        <v>8513</v>
      </c>
      <c r="DY4" s="1013" t="e">
        <f t="shared" ref="DY4:DY14" si="18">SEARCH(DX4,$AX$3,$DW$3)</f>
        <v>#VALUE!</v>
      </c>
      <c r="EB4" s="264"/>
      <c r="EC4" s="1003"/>
      <c r="ED4" t="s">
        <v>8669</v>
      </c>
      <c r="EE4" s="984" t="e">
        <f t="shared" ref="EE4:EE14" si="19">SEARCH(ED4,$AX$3)</f>
        <v>#VALUE!</v>
      </c>
      <c r="EG4" s="264" t="e">
        <f>SEARCH(" ",$AX$3,EI3+1)+1</f>
        <v>#VALUE!</v>
      </c>
      <c r="EH4" t="s">
        <v>8432</v>
      </c>
      <c r="EI4" s="984" t="e">
        <f>SEARCH(EH4,$AX$3,EG4)</f>
        <v>#VALUE!</v>
      </c>
      <c r="EJ4" s="984" t="e">
        <f>EI4-EG4</f>
        <v>#VALUE!</v>
      </c>
      <c r="EK4" s="100" t="e">
        <f>MID($AX$3,EG4,EJ4)</f>
        <v>#VALUE!</v>
      </c>
      <c r="EL4" s="1470"/>
      <c r="EM4" t="s">
        <v>8670</v>
      </c>
      <c r="EN4" s="984" t="e">
        <f t="shared" ref="EN4:EN14" si="20">SEARCH(EM4,$AX$3)</f>
        <v>#VALUE!</v>
      </c>
      <c r="EP4" s="264" t="e">
        <f>SEARCH(" ",$AX$3,ER3+1)+1</f>
        <v>#VALUE!</v>
      </c>
      <c r="EQ4" t="s">
        <v>8432</v>
      </c>
      <c r="ER4" s="984" t="e">
        <f>SEARCH(EQ4,$AX$3,EP4)</f>
        <v>#VALUE!</v>
      </c>
      <c r="ES4" s="984" t="e">
        <f>ER4-EP4</f>
        <v>#VALUE!</v>
      </c>
      <c r="ET4" s="100" t="e">
        <f>MID($AX$3,EP4,ES4)</f>
        <v>#VALUE!</v>
      </c>
      <c r="EU4" s="1470"/>
      <c r="EV4" t="s">
        <v>9200</v>
      </c>
      <c r="EW4" s="984" t="e">
        <f t="shared" ref="EW4:EW14" si="21">SEARCH(EV4,$AX$3)</f>
        <v>#VALUE!</v>
      </c>
      <c r="EY4" s="264" t="e">
        <f>SEARCH(" ",$AX$3,FA3+1)+1</f>
        <v>#VALUE!</v>
      </c>
      <c r="EZ4" t="s">
        <v>8432</v>
      </c>
      <c r="FA4" s="984" t="e">
        <f>SEARCH(EZ4,$AX$3,EY4)</f>
        <v>#VALUE!</v>
      </c>
      <c r="FB4" s="984" t="e">
        <f>FA4-EY4</f>
        <v>#VALUE!</v>
      </c>
      <c r="FC4" s="100" t="e">
        <f>MID($AX$3,EY4,FB4)</f>
        <v>#VALUE!</v>
      </c>
      <c r="FD4" s="1470"/>
      <c r="FE4" t="s">
        <v>9201</v>
      </c>
      <c r="FF4" s="984" t="e">
        <f t="shared" ref="FF4:FF14" si="22">SEARCH(FE4,$AX$3)</f>
        <v>#VALUE!</v>
      </c>
      <c r="FH4" s="264" t="e">
        <f>SEARCH(" ",$AX$3,FJ3+1)+1</f>
        <v>#VALUE!</v>
      </c>
      <c r="FI4" t="s">
        <v>8432</v>
      </c>
      <c r="FJ4" s="984" t="e">
        <f>SEARCH(FI4,$AX$3,FH4)</f>
        <v>#VALUE!</v>
      </c>
      <c r="FK4" s="984" t="e">
        <f>FJ4-FH4</f>
        <v>#VALUE!</v>
      </c>
      <c r="FL4" s="100" t="e">
        <f>MID($AX$3,FH4,FK4)</f>
        <v>#VALUE!</v>
      </c>
      <c r="FM4" s="1470"/>
    </row>
    <row r="5" spans="1:169" x14ac:dyDescent="0.3">
      <c r="A5" s="988" t="s">
        <v>8889</v>
      </c>
      <c r="B5" s="984" t="e">
        <f>SEARCH(A5,CHALLANGE_draft!$G$3)</f>
        <v>#VALUE!</v>
      </c>
      <c r="C5" s="984"/>
      <c r="D5" s="920"/>
      <c r="E5" s="920"/>
      <c r="F5" s="988" t="s">
        <v>8724</v>
      </c>
      <c r="G5" s="984" t="e">
        <f>SEARCH(F5,CHALLANGE_draft!$G$3,$E$3)</f>
        <v>#VALUE!</v>
      </c>
      <c r="H5" s="984"/>
      <c r="I5" s="984"/>
      <c r="J5" s="984"/>
      <c r="K5" s="984"/>
      <c r="L5" s="1569"/>
      <c r="M5" t="s">
        <v>8513</v>
      </c>
      <c r="N5" s="984" t="e">
        <f t="shared" si="6"/>
        <v>#VALUE!</v>
      </c>
      <c r="O5" s="5"/>
      <c r="P5" s="5"/>
      <c r="Q5" s="920"/>
      <c r="R5" s="920"/>
      <c r="S5" t="s">
        <v>8513</v>
      </c>
      <c r="T5" s="994" t="e">
        <f t="shared" si="7"/>
        <v>#VALUE!</v>
      </c>
      <c r="U5" s="5"/>
      <c r="V5" s="5"/>
      <c r="W5" s="920"/>
      <c r="X5" s="920"/>
      <c r="Z5" s="1569"/>
      <c r="AA5" t="s">
        <v>8513</v>
      </c>
      <c r="AB5" s="984" t="e">
        <f t="shared" si="0"/>
        <v>#VALUE!</v>
      </c>
      <c r="AC5" s="5"/>
      <c r="AD5" s="5"/>
      <c r="AE5" s="920"/>
      <c r="AF5" s="920"/>
      <c r="AG5" t="s">
        <v>8988</v>
      </c>
      <c r="AH5" s="984"/>
      <c r="AI5" s="920"/>
      <c r="AJ5" s="920"/>
      <c r="AL5" s="1569"/>
      <c r="AM5" t="s">
        <v>8988</v>
      </c>
      <c r="AN5" s="984"/>
      <c r="AO5" s="920"/>
      <c r="AP5" s="920"/>
      <c r="AQ5" t="s">
        <v>8652</v>
      </c>
      <c r="AR5" s="994" t="e">
        <f t="shared" si="8"/>
        <v>#VALUE!</v>
      </c>
      <c r="AS5" s="5"/>
      <c r="AT5" s="5"/>
      <c r="AU5" s="920"/>
      <c r="AV5" s="920"/>
      <c r="AX5" s="1569"/>
      <c r="AY5" t="s">
        <v>8513</v>
      </c>
      <c r="AZ5" s="984" t="e">
        <f t="shared" si="1"/>
        <v>#VALUE!</v>
      </c>
      <c r="BA5" s="5"/>
      <c r="BB5" s="5"/>
      <c r="BC5" s="920"/>
      <c r="BD5" s="920"/>
      <c r="BE5" t="s">
        <v>8513</v>
      </c>
      <c r="BF5" s="984" t="e">
        <f t="shared" si="2"/>
        <v>#VALUE!</v>
      </c>
      <c r="BG5" s="5"/>
      <c r="BH5" s="5"/>
      <c r="BI5" s="920"/>
      <c r="BJ5" s="920"/>
      <c r="BL5" s="1569"/>
      <c r="BM5" t="s">
        <v>8513</v>
      </c>
      <c r="BN5" s="984" t="e">
        <f t="shared" si="3"/>
        <v>#VALUE!</v>
      </c>
      <c r="BO5" s="5"/>
      <c r="BP5" s="5"/>
      <c r="BQ5" s="920"/>
      <c r="BR5" s="920"/>
      <c r="BS5" t="s">
        <v>8513</v>
      </c>
      <c r="BT5" s="984" t="e">
        <f t="shared" si="4"/>
        <v>#VALUE!</v>
      </c>
      <c r="BU5" s="5"/>
      <c r="BV5" s="5"/>
      <c r="BW5" s="920"/>
      <c r="BX5" s="920"/>
      <c r="BY5" s="264"/>
      <c r="BZ5" s="1569"/>
      <c r="CA5" t="s">
        <v>8989</v>
      </c>
      <c r="CB5" s="984" t="e">
        <f t="shared" si="9"/>
        <v>#VALUE!</v>
      </c>
      <c r="CC5" s="5"/>
      <c r="CD5" s="5"/>
      <c r="CE5" t="s">
        <v>8513</v>
      </c>
      <c r="CF5" s="984" t="e">
        <f t="shared" si="10"/>
        <v>#VALUE!</v>
      </c>
      <c r="CG5" s="5"/>
      <c r="CH5" s="5"/>
      <c r="CI5" s="264"/>
      <c r="CJ5" s="1000"/>
      <c r="CK5" t="s">
        <v>8513</v>
      </c>
      <c r="CL5" s="984" t="e">
        <f t="shared" si="11"/>
        <v>#VALUE!</v>
      </c>
      <c r="CM5" s="5"/>
      <c r="CN5" s="5"/>
      <c r="CO5" t="s">
        <v>8513</v>
      </c>
      <c r="CP5" s="984" t="e">
        <f t="shared" si="5"/>
        <v>#VALUE!</v>
      </c>
      <c r="CQ5" s="5"/>
      <c r="CR5" s="5"/>
      <c r="CS5" s="264"/>
      <c r="CT5" s="1000"/>
      <c r="CU5" t="s">
        <v>8513</v>
      </c>
      <c r="CV5" s="984" t="e">
        <f t="shared" si="12"/>
        <v>#VALUE!</v>
      </c>
      <c r="CW5" s="5"/>
      <c r="CX5" s="5"/>
      <c r="CY5" s="5"/>
      <c r="CZ5" s="264"/>
      <c r="DA5" s="1569"/>
      <c r="DB5" t="s">
        <v>8513</v>
      </c>
      <c r="DC5" s="984" t="e">
        <f t="shared" si="13"/>
        <v>#VALUE!</v>
      </c>
      <c r="DD5" s="5"/>
      <c r="DE5" s="5"/>
      <c r="DF5" t="s">
        <v>8513</v>
      </c>
      <c r="DG5" s="984" t="e">
        <f t="shared" si="14"/>
        <v>#VALUE!</v>
      </c>
      <c r="DH5" s="5"/>
      <c r="DI5" s="5"/>
      <c r="DJ5" s="264"/>
      <c r="DK5" s="1003"/>
      <c r="DL5" t="s">
        <v>8513</v>
      </c>
      <c r="DM5" s="994" t="e">
        <f t="shared" si="15"/>
        <v>#VALUE!</v>
      </c>
      <c r="DN5" s="5"/>
      <c r="DO5" t="s">
        <v>8234</v>
      </c>
      <c r="DP5" s="994" t="e">
        <f t="shared" si="16"/>
        <v>#VALUE!</v>
      </c>
      <c r="DQ5" s="5"/>
      <c r="DR5" s="264"/>
      <c r="DS5" s="1003"/>
      <c r="DT5" t="s">
        <v>8891</v>
      </c>
      <c r="DU5" s="984" t="e">
        <f t="shared" si="17"/>
        <v>#VALUE!</v>
      </c>
      <c r="DV5" s="5"/>
      <c r="DW5" s="5"/>
      <c r="DX5" t="s">
        <v>8513</v>
      </c>
      <c r="DY5" s="1013" t="e">
        <f t="shared" si="18"/>
        <v>#VALUE!</v>
      </c>
      <c r="DZ5" s="5"/>
      <c r="EA5" s="5"/>
      <c r="EB5" s="264"/>
      <c r="EC5" s="1003"/>
      <c r="ED5" t="s">
        <v>8726</v>
      </c>
      <c r="EE5" s="984" t="e">
        <f t="shared" si="19"/>
        <v>#VALUE!</v>
      </c>
      <c r="EF5" s="5"/>
      <c r="EI5" s="984"/>
      <c r="EK5" s="5"/>
      <c r="EL5" s="1470"/>
      <c r="EM5" t="s">
        <v>9199</v>
      </c>
      <c r="EN5" s="984" t="e">
        <f t="shared" si="20"/>
        <v>#VALUE!</v>
      </c>
      <c r="EO5" s="5"/>
      <c r="ER5" s="984"/>
      <c r="ET5" s="5"/>
      <c r="EU5" s="1470"/>
      <c r="EV5" t="s">
        <v>9580</v>
      </c>
      <c r="EW5" s="984" t="e">
        <f t="shared" si="21"/>
        <v>#VALUE!</v>
      </c>
      <c r="EX5" s="5"/>
      <c r="FA5" s="984"/>
      <c r="FC5" s="5"/>
      <c r="FD5" s="1470"/>
      <c r="FE5" t="s">
        <v>9582</v>
      </c>
      <c r="FF5" s="984" t="e">
        <f t="shared" si="22"/>
        <v>#VALUE!</v>
      </c>
      <c r="FG5" s="5"/>
      <c r="FJ5" s="984"/>
      <c r="FL5" s="5"/>
      <c r="FM5" s="1470"/>
    </row>
    <row r="6" spans="1:169" x14ac:dyDescent="0.3">
      <c r="A6" s="988" t="s">
        <v>8513</v>
      </c>
      <c r="B6" s="984" t="e">
        <f>SEARCH(A6,CHALLANGE_draft!$G$3)</f>
        <v>#VALUE!</v>
      </c>
      <c r="C6" s="984"/>
      <c r="D6" s="929"/>
      <c r="E6" s="920"/>
      <c r="F6" s="988" t="s">
        <v>8890</v>
      </c>
      <c r="G6" s="984" t="e">
        <f>SEARCH(F6,CHALLANGE_draft!$G$3,$E$3)</f>
        <v>#VALUE!</v>
      </c>
      <c r="H6" s="984"/>
      <c r="I6" s="984"/>
      <c r="J6" s="984"/>
      <c r="K6" s="984"/>
      <c r="L6" s="1569"/>
      <c r="M6" t="s">
        <v>8513</v>
      </c>
      <c r="N6" s="984" t="e">
        <f t="shared" si="6"/>
        <v>#VALUE!</v>
      </c>
      <c r="O6" s="5"/>
      <c r="P6" s="5"/>
      <c r="Q6" s="929"/>
      <c r="R6" s="920"/>
      <c r="S6" t="s">
        <v>8513</v>
      </c>
      <c r="T6" s="994" t="e">
        <f t="shared" si="7"/>
        <v>#VALUE!</v>
      </c>
      <c r="U6" s="5"/>
      <c r="V6" s="5"/>
      <c r="W6" s="929"/>
      <c r="X6" s="920"/>
      <c r="Z6" s="1569"/>
      <c r="AA6" t="s">
        <v>8513</v>
      </c>
      <c r="AB6" s="984" t="e">
        <f t="shared" si="0"/>
        <v>#VALUE!</v>
      </c>
      <c r="AC6" s="5"/>
      <c r="AD6" s="5"/>
      <c r="AE6" s="920"/>
      <c r="AF6" s="920"/>
      <c r="AG6" t="s">
        <v>8513</v>
      </c>
      <c r="AH6" s="984"/>
      <c r="AI6" s="920"/>
      <c r="AJ6" s="920"/>
      <c r="AL6" s="1569"/>
      <c r="AM6" t="s">
        <v>9476</v>
      </c>
      <c r="AN6" s="984"/>
      <c r="AO6" s="920"/>
      <c r="AP6" s="920"/>
      <c r="AQ6" t="s">
        <v>9249</v>
      </c>
      <c r="AR6" s="994" t="e">
        <f t="shared" si="8"/>
        <v>#VALUE!</v>
      </c>
      <c r="AS6" s="5"/>
      <c r="AT6" s="5"/>
      <c r="AU6" s="920"/>
      <c r="AV6" s="920"/>
      <c r="AX6" s="1569"/>
      <c r="AY6" t="s">
        <v>8513</v>
      </c>
      <c r="AZ6" s="984" t="e">
        <f t="shared" si="1"/>
        <v>#VALUE!</v>
      </c>
      <c r="BA6" s="5"/>
      <c r="BB6" s="5"/>
      <c r="BC6" s="920"/>
      <c r="BD6" s="920"/>
      <c r="BE6" t="s">
        <v>8513</v>
      </c>
      <c r="BF6" s="984" t="e">
        <f t="shared" si="2"/>
        <v>#VALUE!</v>
      </c>
      <c r="BG6" s="5"/>
      <c r="BH6" s="5"/>
      <c r="BI6" s="920"/>
      <c r="BJ6" s="920"/>
      <c r="BL6" s="1569"/>
      <c r="BM6" t="s">
        <v>8513</v>
      </c>
      <c r="BN6" s="984" t="e">
        <f t="shared" si="3"/>
        <v>#VALUE!</v>
      </c>
      <c r="BO6" s="5"/>
      <c r="BP6" s="5"/>
      <c r="BQ6" s="920"/>
      <c r="BR6" s="920"/>
      <c r="BS6" t="s">
        <v>8513</v>
      </c>
      <c r="BT6" s="984" t="e">
        <f t="shared" si="4"/>
        <v>#VALUE!</v>
      </c>
      <c r="BU6" s="5"/>
      <c r="BV6" s="5"/>
      <c r="BW6" s="920"/>
      <c r="BX6" s="920"/>
      <c r="BY6" s="264"/>
      <c r="BZ6" s="1569"/>
      <c r="CA6" t="s">
        <v>8513</v>
      </c>
      <c r="CB6" s="984" t="e">
        <f t="shared" si="9"/>
        <v>#VALUE!</v>
      </c>
      <c r="CC6" s="5"/>
      <c r="CD6" s="5"/>
      <c r="CE6" t="s">
        <v>8513</v>
      </c>
      <c r="CF6" s="984" t="e">
        <f t="shared" si="10"/>
        <v>#VALUE!</v>
      </c>
      <c r="CG6" s="5"/>
      <c r="CH6" s="5"/>
      <c r="CI6" s="264"/>
      <c r="CJ6" s="1000"/>
      <c r="CK6" t="s">
        <v>8513</v>
      </c>
      <c r="CL6" s="984" t="e">
        <f t="shared" si="11"/>
        <v>#VALUE!</v>
      </c>
      <c r="CM6" s="5"/>
      <c r="CN6" s="5"/>
      <c r="CO6" t="s">
        <v>8513</v>
      </c>
      <c r="CP6" s="984" t="e">
        <f t="shared" si="5"/>
        <v>#VALUE!</v>
      </c>
      <c r="CQ6" s="5"/>
      <c r="CR6" s="5"/>
      <c r="CS6" s="264"/>
      <c r="CT6" s="1000"/>
      <c r="CU6" t="s">
        <v>8513</v>
      </c>
      <c r="CV6" s="984" t="e">
        <f t="shared" si="12"/>
        <v>#VALUE!</v>
      </c>
      <c r="CW6" s="5"/>
      <c r="CX6" s="5"/>
      <c r="CY6" s="5"/>
      <c r="CZ6" s="264"/>
      <c r="DA6" s="1569"/>
      <c r="DB6" t="s">
        <v>8513</v>
      </c>
      <c r="DC6" s="984" t="e">
        <f t="shared" si="13"/>
        <v>#VALUE!</v>
      </c>
      <c r="DD6" s="5"/>
      <c r="DE6" s="5"/>
      <c r="DF6" t="s">
        <v>8513</v>
      </c>
      <c r="DG6" s="984" t="e">
        <f t="shared" si="14"/>
        <v>#VALUE!</v>
      </c>
      <c r="DH6" s="5"/>
      <c r="DI6" s="5"/>
      <c r="DJ6" s="264"/>
      <c r="DK6" s="1003"/>
      <c r="DL6" t="s">
        <v>8513</v>
      </c>
      <c r="DM6" s="994" t="e">
        <f t="shared" si="15"/>
        <v>#VALUE!</v>
      </c>
      <c r="DN6" s="5"/>
      <c r="DO6" t="s">
        <v>8513</v>
      </c>
      <c r="DP6" s="994" t="e">
        <f t="shared" si="16"/>
        <v>#VALUE!</v>
      </c>
      <c r="DQ6" s="5"/>
      <c r="DR6" s="264"/>
      <c r="DS6" s="1003"/>
      <c r="DT6" t="s">
        <v>9440</v>
      </c>
      <c r="DU6" s="984" t="e">
        <f t="shared" si="17"/>
        <v>#VALUE!</v>
      </c>
      <c r="DV6" s="5"/>
      <c r="DW6" s="5"/>
      <c r="DX6" t="s">
        <v>8513</v>
      </c>
      <c r="DY6" s="1013" t="e">
        <f t="shared" si="18"/>
        <v>#VALUE!</v>
      </c>
      <c r="DZ6" s="5"/>
      <c r="EA6" s="5"/>
      <c r="EB6" s="264"/>
      <c r="EC6" s="1003"/>
      <c r="ED6" t="s">
        <v>9198</v>
      </c>
      <c r="EE6" s="984" t="e">
        <f t="shared" si="19"/>
        <v>#VALUE!</v>
      </c>
      <c r="EF6" s="5"/>
      <c r="EI6" s="984"/>
      <c r="EK6" s="5"/>
      <c r="EL6" s="1470"/>
      <c r="EM6" t="s">
        <v>9449</v>
      </c>
      <c r="EN6" s="984" t="e">
        <f t="shared" si="20"/>
        <v>#VALUE!</v>
      </c>
      <c r="EO6" s="5"/>
      <c r="ER6" s="984"/>
      <c r="ET6" s="5"/>
      <c r="EU6" s="1470"/>
      <c r="EV6" t="s">
        <v>10070</v>
      </c>
      <c r="EW6" s="984" t="e">
        <f t="shared" si="21"/>
        <v>#VALUE!</v>
      </c>
      <c r="EX6" s="5"/>
      <c r="FA6" s="984"/>
      <c r="FC6" s="5"/>
      <c r="FD6" s="1470"/>
      <c r="FE6" t="s">
        <v>10071</v>
      </c>
      <c r="FF6" s="984" t="e">
        <f t="shared" si="22"/>
        <v>#VALUE!</v>
      </c>
      <c r="FG6" s="5"/>
      <c r="FJ6" s="984"/>
      <c r="FL6" s="5"/>
      <c r="FM6" s="1470"/>
    </row>
    <row r="7" spans="1:169" x14ac:dyDescent="0.3">
      <c r="A7" s="988" t="s">
        <v>8513</v>
      </c>
      <c r="B7" s="984" t="e">
        <f>SEARCH(A7,CHALLANGE_draft!$G$3)</f>
        <v>#VALUE!</v>
      </c>
      <c r="C7" s="984"/>
      <c r="D7" s="920"/>
      <c r="E7" s="920"/>
      <c r="F7" s="988" t="s">
        <v>8680</v>
      </c>
      <c r="G7" s="984" t="e">
        <f>SEARCH(F7,CHALLANGE_draft!$G$3,$E$3)</f>
        <v>#VALUE!</v>
      </c>
      <c r="H7" s="984"/>
      <c r="I7" s="984"/>
      <c r="J7" s="984"/>
      <c r="K7" s="984"/>
      <c r="L7" s="1569"/>
      <c r="M7" t="s">
        <v>8513</v>
      </c>
      <c r="N7" s="984" t="e">
        <f t="shared" si="6"/>
        <v>#VALUE!</v>
      </c>
      <c r="O7" s="5"/>
      <c r="P7" s="5"/>
      <c r="Q7" s="920"/>
      <c r="R7" s="920"/>
      <c r="S7" t="s">
        <v>8513</v>
      </c>
      <c r="T7" s="994" t="e">
        <f t="shared" si="7"/>
        <v>#VALUE!</v>
      </c>
      <c r="U7" s="5"/>
      <c r="V7" s="5"/>
      <c r="W7" s="920"/>
      <c r="X7" s="920"/>
      <c r="Z7" s="1569"/>
      <c r="AA7" t="s">
        <v>8513</v>
      </c>
      <c r="AB7" s="984" t="e">
        <f t="shared" si="0"/>
        <v>#VALUE!</v>
      </c>
      <c r="AC7" s="5"/>
      <c r="AD7" s="5"/>
      <c r="AE7" s="920"/>
      <c r="AF7" s="920"/>
      <c r="AG7" t="s">
        <v>8513</v>
      </c>
      <c r="AH7" s="984"/>
      <c r="AI7" s="920"/>
      <c r="AJ7" s="920"/>
      <c r="AL7" s="1569"/>
      <c r="AM7" t="s">
        <v>8513</v>
      </c>
      <c r="AN7" s="984"/>
      <c r="AO7" s="920"/>
      <c r="AP7" s="920"/>
      <c r="AQ7" t="s">
        <v>9487</v>
      </c>
      <c r="AR7" s="994" t="e">
        <f t="shared" si="8"/>
        <v>#VALUE!</v>
      </c>
      <c r="AS7" s="5"/>
      <c r="AT7" s="5"/>
      <c r="AU7" s="920"/>
      <c r="AV7" s="920"/>
      <c r="AX7" s="1569"/>
      <c r="AY7" t="s">
        <v>8513</v>
      </c>
      <c r="AZ7" s="984" t="e">
        <f t="shared" si="1"/>
        <v>#VALUE!</v>
      </c>
      <c r="BA7" s="5"/>
      <c r="BB7" s="5"/>
      <c r="BC7" s="920"/>
      <c r="BD7" s="920"/>
      <c r="BE7" t="s">
        <v>8513</v>
      </c>
      <c r="BF7" s="984" t="e">
        <f t="shared" si="2"/>
        <v>#VALUE!</v>
      </c>
      <c r="BG7" s="5"/>
      <c r="BH7" s="5"/>
      <c r="BI7" s="920"/>
      <c r="BJ7" s="920"/>
      <c r="BL7" s="1569"/>
      <c r="BM7" t="s">
        <v>8513</v>
      </c>
      <c r="BN7" s="984" t="e">
        <f t="shared" si="3"/>
        <v>#VALUE!</v>
      </c>
      <c r="BO7" s="5"/>
      <c r="BP7" s="5"/>
      <c r="BQ7" s="920"/>
      <c r="BR7" s="920"/>
      <c r="BS7" t="s">
        <v>8513</v>
      </c>
      <c r="BT7" s="984" t="e">
        <f t="shared" si="4"/>
        <v>#VALUE!</v>
      </c>
      <c r="BU7" s="5"/>
      <c r="BV7" s="5"/>
      <c r="BW7" s="920"/>
      <c r="BX7" s="920"/>
      <c r="BY7" s="264"/>
      <c r="BZ7" s="1569"/>
      <c r="CA7" t="s">
        <v>8513</v>
      </c>
      <c r="CB7" s="984" t="e">
        <f t="shared" si="9"/>
        <v>#VALUE!</v>
      </c>
      <c r="CC7" s="5"/>
      <c r="CD7" s="5"/>
      <c r="CE7" t="s">
        <v>8513</v>
      </c>
      <c r="CF7" s="984" t="e">
        <f t="shared" si="10"/>
        <v>#VALUE!</v>
      </c>
      <c r="CG7" s="5"/>
      <c r="CH7" s="5"/>
      <c r="CI7" s="264"/>
      <c r="CJ7" s="1000"/>
      <c r="CK7" t="s">
        <v>8513</v>
      </c>
      <c r="CL7" s="984" t="e">
        <f t="shared" si="11"/>
        <v>#VALUE!</v>
      </c>
      <c r="CM7" s="5"/>
      <c r="CN7" s="5"/>
      <c r="CO7" t="s">
        <v>8513</v>
      </c>
      <c r="CP7" s="984" t="e">
        <f t="shared" si="5"/>
        <v>#VALUE!</v>
      </c>
      <c r="CQ7" s="5"/>
      <c r="CR7" s="5"/>
      <c r="CS7" s="264"/>
      <c r="CT7" s="1000"/>
      <c r="CU7" t="s">
        <v>8513</v>
      </c>
      <c r="CV7" s="984" t="e">
        <f t="shared" si="12"/>
        <v>#VALUE!</v>
      </c>
      <c r="CW7" s="5"/>
      <c r="CX7" s="5"/>
      <c r="CY7" s="5"/>
      <c r="CZ7" s="264"/>
      <c r="DA7" s="1569"/>
      <c r="DB7" t="s">
        <v>8513</v>
      </c>
      <c r="DC7" s="984" t="e">
        <f t="shared" si="13"/>
        <v>#VALUE!</v>
      </c>
      <c r="DD7" s="5"/>
      <c r="DE7" s="5"/>
      <c r="DF7" t="s">
        <v>8513</v>
      </c>
      <c r="DG7" s="984" t="e">
        <f t="shared" si="14"/>
        <v>#VALUE!</v>
      </c>
      <c r="DH7" s="5"/>
      <c r="DI7" s="5"/>
      <c r="DJ7" s="264"/>
      <c r="DK7" s="1003"/>
      <c r="DL7" t="s">
        <v>8513</v>
      </c>
      <c r="DM7" s="994" t="e">
        <f t="shared" si="15"/>
        <v>#VALUE!</v>
      </c>
      <c r="DN7" s="5"/>
      <c r="DO7" t="s">
        <v>8513</v>
      </c>
      <c r="DP7" s="994" t="e">
        <f t="shared" si="16"/>
        <v>#VALUE!</v>
      </c>
      <c r="DQ7" s="5"/>
      <c r="DR7" s="264"/>
      <c r="DS7" s="1003"/>
      <c r="DT7" t="s">
        <v>8513</v>
      </c>
      <c r="DU7" s="984" t="e">
        <f t="shared" si="17"/>
        <v>#VALUE!</v>
      </c>
      <c r="DV7" s="5"/>
      <c r="DW7" s="5"/>
      <c r="DX7" t="s">
        <v>8513</v>
      </c>
      <c r="DY7" s="1013" t="e">
        <f t="shared" si="18"/>
        <v>#VALUE!</v>
      </c>
      <c r="DZ7" s="5"/>
      <c r="EA7" s="5"/>
      <c r="EB7" s="264"/>
      <c r="EC7" s="1003"/>
      <c r="ED7" t="s">
        <v>8513</v>
      </c>
      <c r="EE7" s="984" t="e">
        <f t="shared" si="19"/>
        <v>#VALUE!</v>
      </c>
      <c r="EF7" s="5"/>
      <c r="EI7" s="984"/>
      <c r="EK7" s="5"/>
      <c r="EL7" s="1470"/>
      <c r="EM7" t="s">
        <v>10069</v>
      </c>
      <c r="EN7" s="984" t="e">
        <f t="shared" si="20"/>
        <v>#VALUE!</v>
      </c>
      <c r="EO7" s="5"/>
      <c r="ER7" s="984"/>
      <c r="ET7" s="5"/>
      <c r="EU7" s="1470"/>
      <c r="EV7" t="s">
        <v>8513</v>
      </c>
      <c r="EW7" s="984" t="e">
        <f t="shared" si="21"/>
        <v>#VALUE!</v>
      </c>
      <c r="EX7" s="5"/>
      <c r="FA7" s="984"/>
      <c r="FC7" s="5"/>
      <c r="FD7" s="1470"/>
      <c r="FE7" t="s">
        <v>8513</v>
      </c>
      <c r="FF7" s="984" t="e">
        <f t="shared" si="22"/>
        <v>#VALUE!</v>
      </c>
      <c r="FG7" s="5"/>
      <c r="FJ7" s="984"/>
      <c r="FL7" s="5"/>
      <c r="FM7" s="1470"/>
    </row>
    <row r="8" spans="1:169" x14ac:dyDescent="0.3">
      <c r="A8" s="988" t="s">
        <v>8513</v>
      </c>
      <c r="B8" s="984" t="e">
        <f>SEARCH(A8,CHALLANGE_draft!$G$3)</f>
        <v>#VALUE!</v>
      </c>
      <c r="C8" s="984"/>
      <c r="D8" s="920"/>
      <c r="E8" s="920"/>
      <c r="F8" s="988" t="s">
        <v>8513</v>
      </c>
      <c r="G8" s="984" t="e">
        <f>SEARCH(F8,CHALLANGE_draft!$G$3,$E$3)</f>
        <v>#VALUE!</v>
      </c>
      <c r="H8" s="984"/>
      <c r="I8" s="984"/>
      <c r="J8" s="984"/>
      <c r="K8" s="984"/>
      <c r="L8" s="1569"/>
      <c r="M8" t="s">
        <v>8513</v>
      </c>
      <c r="N8" s="984" t="e">
        <f t="shared" si="6"/>
        <v>#VALUE!</v>
      </c>
      <c r="O8" s="5"/>
      <c r="P8" s="5"/>
      <c r="Q8" s="920"/>
      <c r="R8" s="920"/>
      <c r="S8" t="s">
        <v>8513</v>
      </c>
      <c r="T8" s="994" t="e">
        <f t="shared" si="7"/>
        <v>#VALUE!</v>
      </c>
      <c r="U8" s="5"/>
      <c r="V8" s="5"/>
      <c r="W8" s="920"/>
      <c r="X8" s="920"/>
      <c r="Z8" s="1569"/>
      <c r="AA8" t="s">
        <v>8513</v>
      </c>
      <c r="AB8" s="984" t="e">
        <f t="shared" si="0"/>
        <v>#VALUE!</v>
      </c>
      <c r="AC8" s="5"/>
      <c r="AD8" s="5"/>
      <c r="AE8" s="920"/>
      <c r="AF8" s="920"/>
      <c r="AG8" t="s">
        <v>8513</v>
      </c>
      <c r="AH8" s="984"/>
      <c r="AI8" s="920"/>
      <c r="AJ8" s="920"/>
      <c r="AL8" s="1569"/>
      <c r="AM8" t="s">
        <v>8513</v>
      </c>
      <c r="AN8" s="984"/>
      <c r="AO8" s="920"/>
      <c r="AP8" s="920"/>
      <c r="AQ8" t="s">
        <v>9645</v>
      </c>
      <c r="AR8" s="994" t="e">
        <f t="shared" si="8"/>
        <v>#VALUE!</v>
      </c>
      <c r="AS8" s="5"/>
      <c r="AT8" s="5"/>
      <c r="AU8" s="920"/>
      <c r="AV8" s="920"/>
      <c r="AX8" s="1569"/>
      <c r="AY8" t="s">
        <v>8513</v>
      </c>
      <c r="AZ8" s="984" t="e">
        <f t="shared" si="1"/>
        <v>#VALUE!</v>
      </c>
      <c r="BA8" s="5"/>
      <c r="BB8" s="5"/>
      <c r="BC8" s="920"/>
      <c r="BD8" s="920"/>
      <c r="BE8" t="s">
        <v>8513</v>
      </c>
      <c r="BF8" s="984" t="e">
        <f t="shared" si="2"/>
        <v>#VALUE!</v>
      </c>
      <c r="BG8" s="5"/>
      <c r="BH8" s="5"/>
      <c r="BI8" s="920"/>
      <c r="BJ8" s="920"/>
      <c r="BL8" s="1569"/>
      <c r="BM8" t="s">
        <v>8513</v>
      </c>
      <c r="BN8" s="984" t="e">
        <f t="shared" si="3"/>
        <v>#VALUE!</v>
      </c>
      <c r="BO8" s="5"/>
      <c r="BP8" s="5"/>
      <c r="BQ8" s="920"/>
      <c r="BR8" s="920"/>
      <c r="BS8" t="s">
        <v>8513</v>
      </c>
      <c r="BT8" s="984" t="e">
        <f t="shared" si="4"/>
        <v>#VALUE!</v>
      </c>
      <c r="BU8" s="5"/>
      <c r="BV8" s="5"/>
      <c r="BW8" s="920"/>
      <c r="BX8" s="920"/>
      <c r="BY8" s="264"/>
      <c r="BZ8" s="1569"/>
      <c r="CA8" t="s">
        <v>8513</v>
      </c>
      <c r="CB8" s="984" t="e">
        <f t="shared" si="9"/>
        <v>#VALUE!</v>
      </c>
      <c r="CC8" s="5"/>
      <c r="CD8" s="5"/>
      <c r="CE8" t="s">
        <v>8513</v>
      </c>
      <c r="CF8" s="984" t="e">
        <f t="shared" si="10"/>
        <v>#VALUE!</v>
      </c>
      <c r="CG8" s="5"/>
      <c r="CH8" s="5"/>
      <c r="CI8" s="264"/>
      <c r="CJ8" s="1000"/>
      <c r="CK8" t="s">
        <v>8513</v>
      </c>
      <c r="CL8" s="984" t="e">
        <f t="shared" si="11"/>
        <v>#VALUE!</v>
      </c>
      <c r="CM8" s="5"/>
      <c r="CN8" s="5"/>
      <c r="CO8" t="s">
        <v>8513</v>
      </c>
      <c r="CP8" s="984" t="e">
        <f t="shared" si="5"/>
        <v>#VALUE!</v>
      </c>
      <c r="CQ8" s="5"/>
      <c r="CR8" s="5"/>
      <c r="CS8" s="264"/>
      <c r="CT8" s="1000"/>
      <c r="CU8" t="s">
        <v>8513</v>
      </c>
      <c r="CV8" s="984" t="e">
        <f t="shared" si="12"/>
        <v>#VALUE!</v>
      </c>
      <c r="CW8" s="5"/>
      <c r="CX8" s="5"/>
      <c r="CY8" s="5"/>
      <c r="CZ8" s="264"/>
      <c r="DA8" s="1569"/>
      <c r="DB8" t="s">
        <v>8513</v>
      </c>
      <c r="DC8" s="984" t="e">
        <f t="shared" si="13"/>
        <v>#VALUE!</v>
      </c>
      <c r="DD8" s="5"/>
      <c r="DE8" s="5"/>
      <c r="DF8" t="s">
        <v>8513</v>
      </c>
      <c r="DG8" s="984" t="e">
        <f t="shared" si="14"/>
        <v>#VALUE!</v>
      </c>
      <c r="DH8" s="5"/>
      <c r="DI8" s="5"/>
      <c r="DJ8" s="264"/>
      <c r="DK8" s="1003"/>
      <c r="DL8" t="s">
        <v>8513</v>
      </c>
      <c r="DM8" s="994" t="e">
        <f t="shared" si="15"/>
        <v>#VALUE!</v>
      </c>
      <c r="DN8" s="5"/>
      <c r="DO8" t="s">
        <v>8513</v>
      </c>
      <c r="DP8" s="994" t="e">
        <f t="shared" si="16"/>
        <v>#VALUE!</v>
      </c>
      <c r="DQ8" s="5"/>
      <c r="DR8" s="264"/>
      <c r="DS8" s="1003"/>
      <c r="DT8" t="s">
        <v>8513</v>
      </c>
      <c r="DU8" s="984" t="e">
        <f t="shared" si="17"/>
        <v>#VALUE!</v>
      </c>
      <c r="DV8" s="5"/>
      <c r="DW8" s="5"/>
      <c r="DX8" t="s">
        <v>8513</v>
      </c>
      <c r="DY8" s="1013" t="e">
        <f t="shared" si="18"/>
        <v>#VALUE!</v>
      </c>
      <c r="DZ8" s="5"/>
      <c r="EA8" s="5"/>
      <c r="EB8" s="264"/>
      <c r="EC8" s="1003"/>
      <c r="ED8" t="s">
        <v>8513</v>
      </c>
      <c r="EE8" s="984" t="e">
        <f t="shared" si="19"/>
        <v>#VALUE!</v>
      </c>
      <c r="EF8" s="5"/>
      <c r="EI8" s="984"/>
      <c r="EK8" s="5"/>
      <c r="EL8" s="1470"/>
      <c r="EM8" t="s">
        <v>10052</v>
      </c>
      <c r="EN8" s="984" t="e">
        <f t="shared" si="20"/>
        <v>#VALUE!</v>
      </c>
      <c r="EO8" s="5"/>
      <c r="ER8" s="984"/>
      <c r="ET8" s="5"/>
      <c r="EU8" s="1470"/>
      <c r="EV8" t="s">
        <v>8513</v>
      </c>
      <c r="EW8" s="984" t="e">
        <f t="shared" si="21"/>
        <v>#VALUE!</v>
      </c>
      <c r="EX8" s="5"/>
      <c r="FA8" s="984"/>
      <c r="FC8" s="5"/>
      <c r="FD8" s="1470"/>
      <c r="FE8" t="s">
        <v>8513</v>
      </c>
      <c r="FF8" s="984" t="e">
        <f t="shared" si="22"/>
        <v>#VALUE!</v>
      </c>
      <c r="FG8" s="5"/>
      <c r="FJ8" s="984"/>
      <c r="FL8" s="5"/>
      <c r="FM8" s="1470"/>
    </row>
    <row r="9" spans="1:169" x14ac:dyDescent="0.3">
      <c r="A9" s="988" t="s">
        <v>8513</v>
      </c>
      <c r="B9" s="984" t="e">
        <f>SEARCH(A9,CHALLANGE_draft!$G$3)</f>
        <v>#VALUE!</v>
      </c>
      <c r="C9" s="984"/>
      <c r="D9" s="920"/>
      <c r="E9" s="920"/>
      <c r="F9" s="988" t="s">
        <v>8513</v>
      </c>
      <c r="G9" s="984" t="e">
        <f>SEARCH(F9,CHALLANGE_draft!$G$3,$E$3)</f>
        <v>#VALUE!</v>
      </c>
      <c r="H9" s="984"/>
      <c r="I9" s="984"/>
      <c r="J9" s="984"/>
      <c r="K9" s="984"/>
      <c r="L9" s="1569"/>
      <c r="M9" t="s">
        <v>8513</v>
      </c>
      <c r="N9" s="984" t="e">
        <f t="shared" si="6"/>
        <v>#VALUE!</v>
      </c>
      <c r="O9" s="5"/>
      <c r="P9" s="5"/>
      <c r="Q9" s="920"/>
      <c r="R9" s="920"/>
      <c r="S9" t="s">
        <v>8513</v>
      </c>
      <c r="T9" s="994" t="e">
        <f t="shared" si="7"/>
        <v>#VALUE!</v>
      </c>
      <c r="U9" s="5"/>
      <c r="V9" s="5"/>
      <c r="W9" s="920"/>
      <c r="X9" s="920"/>
      <c r="Z9" s="1569"/>
      <c r="AA9" t="s">
        <v>8513</v>
      </c>
      <c r="AB9" s="984" t="e">
        <f t="shared" si="0"/>
        <v>#VALUE!</v>
      </c>
      <c r="AC9" s="5"/>
      <c r="AD9" s="5"/>
      <c r="AE9" s="920"/>
      <c r="AF9" s="920"/>
      <c r="AG9" t="s">
        <v>8513</v>
      </c>
      <c r="AH9" s="984"/>
      <c r="AI9" s="920"/>
      <c r="AJ9" s="920"/>
      <c r="AL9" s="1569"/>
      <c r="AM9" t="s">
        <v>8513</v>
      </c>
      <c r="AN9" s="984"/>
      <c r="AO9" s="920"/>
      <c r="AP9" s="920"/>
      <c r="AQ9" t="s">
        <v>8513</v>
      </c>
      <c r="AR9" s="994" t="e">
        <f t="shared" si="8"/>
        <v>#VALUE!</v>
      </c>
      <c r="AS9" s="5"/>
      <c r="AT9" s="5"/>
      <c r="AU9" s="920"/>
      <c r="AV9" s="920"/>
      <c r="AX9" s="1569"/>
      <c r="AY9" t="s">
        <v>8513</v>
      </c>
      <c r="AZ9" s="984" t="e">
        <f t="shared" si="1"/>
        <v>#VALUE!</v>
      </c>
      <c r="BA9" s="5"/>
      <c r="BB9" s="5"/>
      <c r="BC9" s="920"/>
      <c r="BD9" s="920"/>
      <c r="BE9" t="s">
        <v>8513</v>
      </c>
      <c r="BF9" s="984" t="e">
        <f t="shared" si="2"/>
        <v>#VALUE!</v>
      </c>
      <c r="BG9" s="5"/>
      <c r="BH9" s="5"/>
      <c r="BI9" s="920"/>
      <c r="BJ9" s="920"/>
      <c r="BL9" s="1569"/>
      <c r="BM9" t="s">
        <v>8513</v>
      </c>
      <c r="BN9" s="984" t="e">
        <f t="shared" si="3"/>
        <v>#VALUE!</v>
      </c>
      <c r="BO9" s="5"/>
      <c r="BP9" s="5"/>
      <c r="BQ9" s="920"/>
      <c r="BR9" s="920"/>
      <c r="BS9" t="s">
        <v>8513</v>
      </c>
      <c r="BT9" s="984" t="e">
        <f t="shared" si="4"/>
        <v>#VALUE!</v>
      </c>
      <c r="BU9" s="5"/>
      <c r="BV9" s="5"/>
      <c r="BW9" s="920"/>
      <c r="BX9" s="920"/>
      <c r="BY9" s="264"/>
      <c r="BZ9" s="1569"/>
      <c r="CA9" t="s">
        <v>8513</v>
      </c>
      <c r="CB9" s="984" t="e">
        <f t="shared" si="9"/>
        <v>#VALUE!</v>
      </c>
      <c r="CC9" s="5"/>
      <c r="CD9" s="5"/>
      <c r="CE9" t="s">
        <v>8513</v>
      </c>
      <c r="CF9" s="984" t="e">
        <f t="shared" si="10"/>
        <v>#VALUE!</v>
      </c>
      <c r="CG9" s="5"/>
      <c r="CH9" s="5"/>
      <c r="CI9" s="264"/>
      <c r="CJ9" s="1000"/>
      <c r="CK9" t="s">
        <v>8513</v>
      </c>
      <c r="CL9" s="984" t="e">
        <f t="shared" si="11"/>
        <v>#VALUE!</v>
      </c>
      <c r="CM9" s="5"/>
      <c r="CN9" s="5"/>
      <c r="CO9" t="s">
        <v>8513</v>
      </c>
      <c r="CP9" s="984" t="e">
        <f t="shared" si="5"/>
        <v>#VALUE!</v>
      </c>
      <c r="CQ9" s="5"/>
      <c r="CR9" s="5"/>
      <c r="CS9" s="264"/>
      <c r="CT9" s="1000"/>
      <c r="CU9" t="s">
        <v>8513</v>
      </c>
      <c r="CV9" s="984" t="e">
        <f t="shared" si="12"/>
        <v>#VALUE!</v>
      </c>
      <c r="CW9" s="5"/>
      <c r="CX9" s="5"/>
      <c r="CY9" s="5"/>
      <c r="CZ9" s="264"/>
      <c r="DA9" s="1569"/>
      <c r="DB9" t="s">
        <v>8513</v>
      </c>
      <c r="DC9" s="984" t="e">
        <f t="shared" si="13"/>
        <v>#VALUE!</v>
      </c>
      <c r="DD9" s="5"/>
      <c r="DE9" s="5"/>
      <c r="DF9" t="s">
        <v>8513</v>
      </c>
      <c r="DG9" s="984" t="e">
        <f t="shared" si="14"/>
        <v>#VALUE!</v>
      </c>
      <c r="DH9" s="5"/>
      <c r="DI9" s="5"/>
      <c r="DJ9" s="264"/>
      <c r="DK9" s="1003"/>
      <c r="DL9" t="s">
        <v>8513</v>
      </c>
      <c r="DM9" s="994" t="e">
        <f t="shared" si="15"/>
        <v>#VALUE!</v>
      </c>
      <c r="DN9" s="5"/>
      <c r="DO9" t="s">
        <v>8513</v>
      </c>
      <c r="DP9" s="994" t="e">
        <f t="shared" si="16"/>
        <v>#VALUE!</v>
      </c>
      <c r="DQ9" s="5"/>
      <c r="DR9" s="264"/>
      <c r="DS9" s="1003"/>
      <c r="DT9" t="s">
        <v>8513</v>
      </c>
      <c r="DU9" s="984" t="e">
        <f t="shared" si="17"/>
        <v>#VALUE!</v>
      </c>
      <c r="DV9" s="5"/>
      <c r="DW9" s="5"/>
      <c r="DX9" t="s">
        <v>8513</v>
      </c>
      <c r="DY9" s="1013" t="e">
        <f t="shared" si="18"/>
        <v>#VALUE!</v>
      </c>
      <c r="DZ9" s="5"/>
      <c r="EA9" s="5"/>
      <c r="EB9" s="264"/>
      <c r="EC9" s="1003"/>
      <c r="ED9" t="s">
        <v>8513</v>
      </c>
      <c r="EE9" s="984" t="e">
        <f t="shared" si="19"/>
        <v>#VALUE!</v>
      </c>
      <c r="EF9" s="5"/>
      <c r="EI9" s="984"/>
      <c r="EK9" s="5"/>
      <c r="EL9" s="1470"/>
      <c r="EM9" t="s">
        <v>8513</v>
      </c>
      <c r="EN9" s="984" t="e">
        <f t="shared" si="20"/>
        <v>#VALUE!</v>
      </c>
      <c r="EO9" s="5"/>
      <c r="ER9" s="984"/>
      <c r="ET9" s="5"/>
      <c r="EU9" s="1470"/>
      <c r="EV9" t="s">
        <v>8513</v>
      </c>
      <c r="EW9" s="984" t="e">
        <f t="shared" si="21"/>
        <v>#VALUE!</v>
      </c>
      <c r="EX9" s="5"/>
      <c r="FA9" s="984"/>
      <c r="FC9" s="5"/>
      <c r="FD9" s="1470"/>
      <c r="FE9" t="s">
        <v>8513</v>
      </c>
      <c r="FF9" s="984" t="e">
        <f t="shared" si="22"/>
        <v>#VALUE!</v>
      </c>
      <c r="FG9" s="5"/>
      <c r="FJ9" s="984"/>
      <c r="FL9" s="5"/>
      <c r="FM9" s="1470"/>
    </row>
    <row r="10" spans="1:169" x14ac:dyDescent="0.3">
      <c r="A10" s="988" t="s">
        <v>8513</v>
      </c>
      <c r="B10" s="984" t="e">
        <f>SEARCH(A10,CHALLANGE_draft!$G$3)</f>
        <v>#VALUE!</v>
      </c>
      <c r="C10" s="984"/>
      <c r="D10" s="920"/>
      <c r="E10" s="920"/>
      <c r="F10" s="988" t="s">
        <v>8513</v>
      </c>
      <c r="G10" s="984" t="e">
        <f>SEARCH(F10,CHALLANGE_draft!$G$3,$E$3)</f>
        <v>#VALUE!</v>
      </c>
      <c r="H10" s="984"/>
      <c r="I10" s="984"/>
      <c r="J10" s="984"/>
      <c r="K10" s="984"/>
      <c r="L10" s="1569"/>
      <c r="M10" t="s">
        <v>8513</v>
      </c>
      <c r="N10" s="984" t="e">
        <f t="shared" si="6"/>
        <v>#VALUE!</v>
      </c>
      <c r="O10" s="5"/>
      <c r="P10" s="5"/>
      <c r="Q10" s="920"/>
      <c r="R10" s="920"/>
      <c r="S10" t="s">
        <v>8513</v>
      </c>
      <c r="T10" s="994" t="e">
        <f t="shared" si="7"/>
        <v>#VALUE!</v>
      </c>
      <c r="U10" s="5"/>
      <c r="V10" s="5"/>
      <c r="W10" s="920"/>
      <c r="X10" s="920"/>
      <c r="Z10" s="1569"/>
      <c r="AA10" t="s">
        <v>8513</v>
      </c>
      <c r="AB10" s="984" t="e">
        <f t="shared" si="0"/>
        <v>#VALUE!</v>
      </c>
      <c r="AC10" s="5"/>
      <c r="AD10" s="5"/>
      <c r="AE10" s="920"/>
      <c r="AF10" s="920"/>
      <c r="AG10" t="s">
        <v>8513</v>
      </c>
      <c r="AH10" s="984"/>
      <c r="AI10" s="920"/>
      <c r="AJ10" s="920"/>
      <c r="AL10" s="1569"/>
      <c r="AM10" t="s">
        <v>8513</v>
      </c>
      <c r="AN10" s="984"/>
      <c r="AO10" s="920"/>
      <c r="AP10" s="920"/>
      <c r="AQ10" t="s">
        <v>8513</v>
      </c>
      <c r="AR10" s="994" t="e">
        <f t="shared" si="8"/>
        <v>#VALUE!</v>
      </c>
      <c r="AS10" s="5"/>
      <c r="AT10" s="5"/>
      <c r="AU10" s="920"/>
      <c r="AV10" s="920"/>
      <c r="AX10" s="1569"/>
      <c r="AY10" t="s">
        <v>8513</v>
      </c>
      <c r="AZ10" s="984" t="e">
        <f t="shared" si="1"/>
        <v>#VALUE!</v>
      </c>
      <c r="BA10" s="5"/>
      <c r="BB10" s="5"/>
      <c r="BC10" s="920"/>
      <c r="BD10" s="920"/>
      <c r="BE10" t="s">
        <v>8513</v>
      </c>
      <c r="BF10" s="984" t="e">
        <f t="shared" si="2"/>
        <v>#VALUE!</v>
      </c>
      <c r="BG10" s="5"/>
      <c r="BH10" s="5"/>
      <c r="BI10" s="920"/>
      <c r="BJ10" s="920"/>
      <c r="BL10" s="1569"/>
      <c r="BM10" t="s">
        <v>8513</v>
      </c>
      <c r="BN10" s="984" t="e">
        <f t="shared" si="3"/>
        <v>#VALUE!</v>
      </c>
      <c r="BO10" s="5"/>
      <c r="BP10" s="5"/>
      <c r="BQ10" s="920"/>
      <c r="BR10" s="920"/>
      <c r="BS10" t="s">
        <v>8513</v>
      </c>
      <c r="BT10" s="984" t="e">
        <f t="shared" si="4"/>
        <v>#VALUE!</v>
      </c>
      <c r="BU10" s="5"/>
      <c r="BV10" s="5"/>
      <c r="BW10" s="920"/>
      <c r="BX10" s="920"/>
      <c r="BY10" s="264"/>
      <c r="BZ10" s="1569"/>
      <c r="CA10" t="s">
        <v>8513</v>
      </c>
      <c r="CB10" s="984" t="e">
        <f t="shared" si="9"/>
        <v>#VALUE!</v>
      </c>
      <c r="CC10" s="5"/>
      <c r="CD10" s="5"/>
      <c r="CE10" t="s">
        <v>8513</v>
      </c>
      <c r="CF10" s="984" t="e">
        <f t="shared" si="10"/>
        <v>#VALUE!</v>
      </c>
      <c r="CG10" s="5"/>
      <c r="CH10" s="5"/>
      <c r="CI10" s="264"/>
      <c r="CJ10" s="1000"/>
      <c r="CK10" t="s">
        <v>8513</v>
      </c>
      <c r="CL10" s="984" t="e">
        <f t="shared" si="11"/>
        <v>#VALUE!</v>
      </c>
      <c r="CM10" s="5"/>
      <c r="CN10" s="5"/>
      <c r="CO10" t="s">
        <v>8513</v>
      </c>
      <c r="CP10" s="984" t="e">
        <f t="shared" si="5"/>
        <v>#VALUE!</v>
      </c>
      <c r="CQ10" s="5"/>
      <c r="CR10" s="5"/>
      <c r="CS10" s="264"/>
      <c r="CT10" s="1000"/>
      <c r="CU10" t="s">
        <v>8513</v>
      </c>
      <c r="CV10" s="984" t="e">
        <f t="shared" si="12"/>
        <v>#VALUE!</v>
      </c>
      <c r="CW10" s="5"/>
      <c r="CX10" s="5"/>
      <c r="CY10" s="5"/>
      <c r="CZ10" s="264"/>
      <c r="DA10" s="1569"/>
      <c r="DB10" t="s">
        <v>8513</v>
      </c>
      <c r="DC10" s="984" t="e">
        <f t="shared" si="13"/>
        <v>#VALUE!</v>
      </c>
      <c r="DD10" s="5"/>
      <c r="DE10" s="5"/>
      <c r="DF10" t="s">
        <v>8513</v>
      </c>
      <c r="DG10" s="984" t="e">
        <f t="shared" si="14"/>
        <v>#VALUE!</v>
      </c>
      <c r="DH10" s="5"/>
      <c r="DI10" s="5"/>
      <c r="DJ10" s="264"/>
      <c r="DK10" s="1003"/>
      <c r="DL10" t="s">
        <v>8513</v>
      </c>
      <c r="DM10" s="994" t="e">
        <f t="shared" si="15"/>
        <v>#VALUE!</v>
      </c>
      <c r="DN10" s="5"/>
      <c r="DO10" t="s">
        <v>8513</v>
      </c>
      <c r="DP10" s="994" t="e">
        <f t="shared" si="16"/>
        <v>#VALUE!</v>
      </c>
      <c r="DQ10" s="5"/>
      <c r="DR10" s="264"/>
      <c r="DS10" s="1003"/>
      <c r="DT10" t="s">
        <v>8513</v>
      </c>
      <c r="DU10" s="984" t="e">
        <f t="shared" si="17"/>
        <v>#VALUE!</v>
      </c>
      <c r="DV10" s="5"/>
      <c r="DW10" s="5"/>
      <c r="DX10" t="s">
        <v>8513</v>
      </c>
      <c r="DY10" s="1013" t="e">
        <f t="shared" si="18"/>
        <v>#VALUE!</v>
      </c>
      <c r="DZ10" s="5"/>
      <c r="EA10" s="5"/>
      <c r="EB10" s="264"/>
      <c r="EC10" s="1003"/>
      <c r="ED10" t="s">
        <v>8513</v>
      </c>
      <c r="EE10" s="984" t="e">
        <f t="shared" si="19"/>
        <v>#VALUE!</v>
      </c>
      <c r="EF10" s="5"/>
      <c r="EI10" s="984"/>
      <c r="EK10" s="5"/>
      <c r="EL10" s="1470"/>
      <c r="EM10" t="s">
        <v>8513</v>
      </c>
      <c r="EN10" s="984" t="e">
        <f t="shared" si="20"/>
        <v>#VALUE!</v>
      </c>
      <c r="EO10" s="5"/>
      <c r="ER10" s="984"/>
      <c r="ET10" s="5"/>
      <c r="EU10" s="1470"/>
      <c r="EV10" t="s">
        <v>8513</v>
      </c>
      <c r="EW10" s="984" t="e">
        <f t="shared" si="21"/>
        <v>#VALUE!</v>
      </c>
      <c r="EX10" s="5"/>
      <c r="FA10" s="984"/>
      <c r="FC10" s="5"/>
      <c r="FD10" s="1470"/>
      <c r="FE10" t="s">
        <v>8513</v>
      </c>
      <c r="FF10" s="984" t="e">
        <f t="shared" si="22"/>
        <v>#VALUE!</v>
      </c>
      <c r="FG10" s="5"/>
      <c r="FJ10" s="984"/>
      <c r="FL10" s="5"/>
      <c r="FM10" s="1470"/>
    </row>
    <row r="11" spans="1:169" x14ac:dyDescent="0.3">
      <c r="A11" s="988" t="s">
        <v>8513</v>
      </c>
      <c r="B11" s="984" t="e">
        <f>SEARCH(A11,CHALLANGE_draft!$G$3)</f>
        <v>#VALUE!</v>
      </c>
      <c r="C11" s="984"/>
      <c r="D11" s="920"/>
      <c r="E11" s="920"/>
      <c r="F11" s="988" t="s">
        <v>8513</v>
      </c>
      <c r="G11" s="984" t="e">
        <f>SEARCH(F11,CHALLANGE_draft!$G$3,$E$3)</f>
        <v>#VALUE!</v>
      </c>
      <c r="H11" s="984"/>
      <c r="I11" s="984"/>
      <c r="J11" s="984"/>
      <c r="K11" s="984"/>
      <c r="L11" s="1569"/>
      <c r="M11" t="s">
        <v>8513</v>
      </c>
      <c r="N11" s="984" t="e">
        <f t="shared" si="6"/>
        <v>#VALUE!</v>
      </c>
      <c r="O11" s="5"/>
      <c r="P11" s="5"/>
      <c r="Q11" s="920"/>
      <c r="R11" s="920"/>
      <c r="S11" t="s">
        <v>8513</v>
      </c>
      <c r="T11" s="994" t="e">
        <f t="shared" si="7"/>
        <v>#VALUE!</v>
      </c>
      <c r="U11" s="5"/>
      <c r="V11" s="5"/>
      <c r="W11" s="920"/>
      <c r="X11" s="920"/>
      <c r="Z11" s="1569"/>
      <c r="AA11" t="s">
        <v>8513</v>
      </c>
      <c r="AB11" s="984" t="e">
        <f t="shared" si="0"/>
        <v>#VALUE!</v>
      </c>
      <c r="AC11" s="5"/>
      <c r="AD11" s="5"/>
      <c r="AE11" s="920"/>
      <c r="AF11" s="920"/>
      <c r="AG11" t="s">
        <v>8513</v>
      </c>
      <c r="AH11" s="984"/>
      <c r="AI11" s="920"/>
      <c r="AJ11" s="920"/>
      <c r="AL11" s="1569"/>
      <c r="AM11" t="s">
        <v>8513</v>
      </c>
      <c r="AN11" s="984"/>
      <c r="AO11" s="920"/>
      <c r="AP11" s="920"/>
      <c r="AQ11" t="s">
        <v>8513</v>
      </c>
      <c r="AR11" s="994" t="e">
        <f t="shared" si="8"/>
        <v>#VALUE!</v>
      </c>
      <c r="AS11" s="5"/>
      <c r="AT11" s="5"/>
      <c r="AU11" s="920"/>
      <c r="AV11" s="920"/>
      <c r="AX11" s="1569"/>
      <c r="AY11" t="s">
        <v>8513</v>
      </c>
      <c r="AZ11" s="984" t="e">
        <f t="shared" si="1"/>
        <v>#VALUE!</v>
      </c>
      <c r="BA11" s="5"/>
      <c r="BB11" s="5"/>
      <c r="BC11" s="920"/>
      <c r="BD11" s="920"/>
      <c r="BE11" t="s">
        <v>8513</v>
      </c>
      <c r="BF11" s="984" t="e">
        <f t="shared" si="2"/>
        <v>#VALUE!</v>
      </c>
      <c r="BG11" s="5"/>
      <c r="BH11" s="5"/>
      <c r="BI11" s="920"/>
      <c r="BJ11" s="920"/>
      <c r="BL11" s="1569"/>
      <c r="BM11" t="s">
        <v>8513</v>
      </c>
      <c r="BN11" s="984" t="e">
        <f t="shared" si="3"/>
        <v>#VALUE!</v>
      </c>
      <c r="BO11" s="5"/>
      <c r="BP11" s="5"/>
      <c r="BQ11" s="920"/>
      <c r="BR11" s="920"/>
      <c r="BS11" t="s">
        <v>8513</v>
      </c>
      <c r="BT11" s="984" t="e">
        <f t="shared" si="4"/>
        <v>#VALUE!</v>
      </c>
      <c r="BU11" s="5"/>
      <c r="BV11" s="5"/>
      <c r="BW11" s="920"/>
      <c r="BX11" s="920"/>
      <c r="BY11" s="264"/>
      <c r="BZ11" s="1569"/>
      <c r="CA11" t="s">
        <v>8513</v>
      </c>
      <c r="CB11" s="984" t="e">
        <f t="shared" si="9"/>
        <v>#VALUE!</v>
      </c>
      <c r="CC11" s="5"/>
      <c r="CD11" s="5"/>
      <c r="CE11" t="s">
        <v>8513</v>
      </c>
      <c r="CF11" s="984" t="e">
        <f t="shared" si="10"/>
        <v>#VALUE!</v>
      </c>
      <c r="CG11" s="5"/>
      <c r="CH11" s="5"/>
      <c r="CI11" s="264"/>
      <c r="CJ11" s="1000"/>
      <c r="CK11" t="s">
        <v>8513</v>
      </c>
      <c r="CL11" s="984" t="e">
        <f t="shared" si="11"/>
        <v>#VALUE!</v>
      </c>
      <c r="CM11" s="5"/>
      <c r="CN11" s="5"/>
      <c r="CO11" t="s">
        <v>8513</v>
      </c>
      <c r="CP11" s="984" t="e">
        <f t="shared" si="5"/>
        <v>#VALUE!</v>
      </c>
      <c r="CQ11" s="5"/>
      <c r="CR11" s="5"/>
      <c r="CS11" s="264"/>
      <c r="CT11" s="1000"/>
      <c r="CU11" t="s">
        <v>8513</v>
      </c>
      <c r="CV11" s="984" t="e">
        <f t="shared" si="12"/>
        <v>#VALUE!</v>
      </c>
      <c r="CW11" s="5"/>
      <c r="CX11" s="5"/>
      <c r="CY11" s="5"/>
      <c r="CZ11" s="264"/>
      <c r="DA11" s="1569"/>
      <c r="DB11" t="s">
        <v>8513</v>
      </c>
      <c r="DC11" s="984" t="e">
        <f t="shared" si="13"/>
        <v>#VALUE!</v>
      </c>
      <c r="DD11" s="5"/>
      <c r="DE11" s="5"/>
      <c r="DF11" t="s">
        <v>8513</v>
      </c>
      <c r="DG11" s="984" t="e">
        <f t="shared" si="14"/>
        <v>#VALUE!</v>
      </c>
      <c r="DH11" s="5"/>
      <c r="DI11" s="5"/>
      <c r="DJ11" s="264"/>
      <c r="DK11" s="1003"/>
      <c r="DL11" t="s">
        <v>8513</v>
      </c>
      <c r="DM11" s="994" t="e">
        <f t="shared" si="15"/>
        <v>#VALUE!</v>
      </c>
      <c r="DN11" s="5"/>
      <c r="DO11" t="s">
        <v>8513</v>
      </c>
      <c r="DP11" s="994" t="e">
        <f t="shared" si="16"/>
        <v>#VALUE!</v>
      </c>
      <c r="DQ11" s="5"/>
      <c r="DR11" s="264"/>
      <c r="DS11" s="1003"/>
      <c r="DT11" t="s">
        <v>8513</v>
      </c>
      <c r="DU11" s="984" t="e">
        <f t="shared" si="17"/>
        <v>#VALUE!</v>
      </c>
      <c r="DV11" s="5"/>
      <c r="DW11" s="5"/>
      <c r="DX11" t="s">
        <v>8513</v>
      </c>
      <c r="DY11" s="1013" t="e">
        <f t="shared" si="18"/>
        <v>#VALUE!</v>
      </c>
      <c r="DZ11" s="5"/>
      <c r="EA11" s="5"/>
      <c r="EB11" s="264"/>
      <c r="EC11" s="1003"/>
      <c r="ED11" t="s">
        <v>8513</v>
      </c>
      <c r="EE11" s="984" t="e">
        <f t="shared" si="19"/>
        <v>#VALUE!</v>
      </c>
      <c r="EF11" s="5"/>
      <c r="EI11" s="984"/>
      <c r="EK11" s="5"/>
      <c r="EL11" s="1470"/>
      <c r="EM11" t="s">
        <v>8513</v>
      </c>
      <c r="EN11" s="984" t="e">
        <f t="shared" si="20"/>
        <v>#VALUE!</v>
      </c>
      <c r="EO11" s="5"/>
      <c r="ER11" s="984"/>
      <c r="ET11" s="5"/>
      <c r="EU11" s="1470"/>
      <c r="EV11" t="s">
        <v>8513</v>
      </c>
      <c r="EW11" s="984" t="e">
        <f t="shared" si="21"/>
        <v>#VALUE!</v>
      </c>
      <c r="EX11" s="5"/>
      <c r="FA11" s="984"/>
      <c r="FC11" s="5"/>
      <c r="FD11" s="1470"/>
      <c r="FE11" t="s">
        <v>8513</v>
      </c>
      <c r="FF11" s="984" t="e">
        <f t="shared" si="22"/>
        <v>#VALUE!</v>
      </c>
      <c r="FG11" s="5"/>
      <c r="FJ11" s="984"/>
      <c r="FL11" s="5"/>
      <c r="FM11" s="1470"/>
    </row>
    <row r="12" spans="1:169" x14ac:dyDescent="0.3">
      <c r="A12" s="988" t="s">
        <v>8513</v>
      </c>
      <c r="B12" s="984" t="e">
        <f>SEARCH(A12,CHALLANGE_draft!$G$3)</f>
        <v>#VALUE!</v>
      </c>
      <c r="C12" s="984"/>
      <c r="D12" s="920"/>
      <c r="E12" s="920"/>
      <c r="F12" s="988" t="s">
        <v>8513</v>
      </c>
      <c r="G12" s="984" t="e">
        <f>SEARCH(F12,CHALLANGE_draft!$G$3,$E$3)</f>
        <v>#VALUE!</v>
      </c>
      <c r="H12" s="984"/>
      <c r="I12" s="984"/>
      <c r="J12" s="984"/>
      <c r="K12" s="984"/>
      <c r="L12" s="1569"/>
      <c r="M12" t="s">
        <v>8513</v>
      </c>
      <c r="N12" s="984" t="e">
        <f t="shared" si="6"/>
        <v>#VALUE!</v>
      </c>
      <c r="O12" s="5"/>
      <c r="P12" s="5"/>
      <c r="Q12" s="920"/>
      <c r="R12" s="920"/>
      <c r="S12" t="s">
        <v>8513</v>
      </c>
      <c r="T12" s="994" t="e">
        <f t="shared" si="7"/>
        <v>#VALUE!</v>
      </c>
      <c r="U12" s="5"/>
      <c r="V12" s="5"/>
      <c r="W12" s="920"/>
      <c r="X12" s="920"/>
      <c r="Z12" s="1569"/>
      <c r="AA12" t="s">
        <v>8513</v>
      </c>
      <c r="AB12" s="984" t="e">
        <f t="shared" si="0"/>
        <v>#VALUE!</v>
      </c>
      <c r="AC12" s="5"/>
      <c r="AD12" s="5"/>
      <c r="AE12" s="920"/>
      <c r="AF12" s="920"/>
      <c r="AG12" t="s">
        <v>8513</v>
      </c>
      <c r="AH12" s="984"/>
      <c r="AI12" s="920"/>
      <c r="AJ12" s="920"/>
      <c r="AL12" s="1569"/>
      <c r="AM12" t="s">
        <v>8513</v>
      </c>
      <c r="AN12" s="984"/>
      <c r="AO12" s="920"/>
      <c r="AP12" s="920"/>
      <c r="AQ12" t="s">
        <v>8513</v>
      </c>
      <c r="AR12" s="994" t="e">
        <f t="shared" si="8"/>
        <v>#VALUE!</v>
      </c>
      <c r="AS12" s="5"/>
      <c r="AT12" s="5"/>
      <c r="AU12" s="920"/>
      <c r="AV12" s="920"/>
      <c r="AX12" s="1569"/>
      <c r="AY12" t="s">
        <v>8513</v>
      </c>
      <c r="AZ12" s="984" t="e">
        <f t="shared" si="1"/>
        <v>#VALUE!</v>
      </c>
      <c r="BA12" s="5"/>
      <c r="BB12" s="5"/>
      <c r="BC12" s="920"/>
      <c r="BD12" s="920"/>
      <c r="BE12" t="s">
        <v>8513</v>
      </c>
      <c r="BF12" s="984" t="e">
        <f t="shared" si="2"/>
        <v>#VALUE!</v>
      </c>
      <c r="BG12" s="5"/>
      <c r="BH12" s="5"/>
      <c r="BI12" s="920"/>
      <c r="BJ12" s="920"/>
      <c r="BL12" s="1569"/>
      <c r="BM12" t="s">
        <v>8513</v>
      </c>
      <c r="BN12" s="984" t="e">
        <f t="shared" si="3"/>
        <v>#VALUE!</v>
      </c>
      <c r="BO12" s="5"/>
      <c r="BP12" s="5"/>
      <c r="BQ12" s="920"/>
      <c r="BR12" s="920"/>
      <c r="BS12" t="s">
        <v>8513</v>
      </c>
      <c r="BT12" s="984" t="e">
        <f t="shared" si="4"/>
        <v>#VALUE!</v>
      </c>
      <c r="BU12" s="5"/>
      <c r="BV12" s="5"/>
      <c r="BW12" s="920"/>
      <c r="BX12" s="920"/>
      <c r="BY12" s="264"/>
      <c r="BZ12" s="1569"/>
      <c r="CA12" t="s">
        <v>8513</v>
      </c>
      <c r="CB12" s="984" t="e">
        <f t="shared" si="9"/>
        <v>#VALUE!</v>
      </c>
      <c r="CC12" s="5"/>
      <c r="CD12" s="5"/>
      <c r="CE12" t="s">
        <v>8513</v>
      </c>
      <c r="CF12" s="984" t="e">
        <f t="shared" si="10"/>
        <v>#VALUE!</v>
      </c>
      <c r="CG12" s="5"/>
      <c r="CH12" s="5"/>
      <c r="CI12" s="264"/>
      <c r="CJ12" s="1000"/>
      <c r="CK12" t="s">
        <v>8513</v>
      </c>
      <c r="CL12" s="984" t="e">
        <f t="shared" si="11"/>
        <v>#VALUE!</v>
      </c>
      <c r="CM12" s="5"/>
      <c r="CN12" s="5"/>
      <c r="CO12" t="s">
        <v>8513</v>
      </c>
      <c r="CP12" s="984" t="e">
        <f t="shared" si="5"/>
        <v>#VALUE!</v>
      </c>
      <c r="CQ12" s="5"/>
      <c r="CR12" s="5"/>
      <c r="CS12" s="264"/>
      <c r="CT12" s="1000"/>
      <c r="CU12" t="s">
        <v>8513</v>
      </c>
      <c r="CV12" s="984" t="e">
        <f t="shared" si="12"/>
        <v>#VALUE!</v>
      </c>
      <c r="CW12" s="5"/>
      <c r="CX12" s="5"/>
      <c r="CY12" s="5"/>
      <c r="CZ12" s="264"/>
      <c r="DA12" s="1569"/>
      <c r="DB12" t="s">
        <v>8513</v>
      </c>
      <c r="DC12" s="984" t="e">
        <f t="shared" si="13"/>
        <v>#VALUE!</v>
      </c>
      <c r="DD12" s="5"/>
      <c r="DE12" s="5"/>
      <c r="DF12" t="s">
        <v>8513</v>
      </c>
      <c r="DG12" s="984" t="e">
        <f t="shared" si="14"/>
        <v>#VALUE!</v>
      </c>
      <c r="DH12" s="5"/>
      <c r="DI12" s="5"/>
      <c r="DJ12" s="264"/>
      <c r="DK12" s="1003"/>
      <c r="DL12" t="s">
        <v>8513</v>
      </c>
      <c r="DM12" s="994" t="e">
        <f t="shared" si="15"/>
        <v>#VALUE!</v>
      </c>
      <c r="DN12" s="5"/>
      <c r="DO12" t="s">
        <v>8513</v>
      </c>
      <c r="DP12" s="994" t="e">
        <f t="shared" si="16"/>
        <v>#VALUE!</v>
      </c>
      <c r="DQ12" s="5"/>
      <c r="DR12" s="264"/>
      <c r="DS12" s="1003"/>
      <c r="DT12" t="s">
        <v>8513</v>
      </c>
      <c r="DU12" s="984" t="e">
        <f t="shared" si="17"/>
        <v>#VALUE!</v>
      </c>
      <c r="DV12" s="5"/>
      <c r="DW12" s="5"/>
      <c r="DX12" t="s">
        <v>8513</v>
      </c>
      <c r="DY12" s="1013" t="e">
        <f t="shared" si="18"/>
        <v>#VALUE!</v>
      </c>
      <c r="DZ12" s="5"/>
      <c r="EA12" s="5"/>
      <c r="EB12" s="264"/>
      <c r="EC12" s="1003"/>
      <c r="ED12" t="s">
        <v>8513</v>
      </c>
      <c r="EE12" s="984" t="e">
        <f t="shared" si="19"/>
        <v>#VALUE!</v>
      </c>
      <c r="EF12" s="5"/>
      <c r="EI12" s="984"/>
      <c r="EK12" s="5"/>
      <c r="EL12" s="1470"/>
      <c r="EM12" t="s">
        <v>8513</v>
      </c>
      <c r="EN12" s="984" t="e">
        <f t="shared" si="20"/>
        <v>#VALUE!</v>
      </c>
      <c r="EO12" s="5"/>
      <c r="ER12" s="984"/>
      <c r="ET12" s="5"/>
      <c r="EU12" s="1470"/>
      <c r="EV12" t="s">
        <v>8513</v>
      </c>
      <c r="EW12" s="984" t="e">
        <f t="shared" si="21"/>
        <v>#VALUE!</v>
      </c>
      <c r="EX12" s="5"/>
      <c r="FA12" s="984"/>
      <c r="FC12" s="5"/>
      <c r="FD12" s="1470"/>
      <c r="FE12" t="s">
        <v>8513</v>
      </c>
      <c r="FF12" s="984" t="e">
        <f t="shared" si="22"/>
        <v>#VALUE!</v>
      </c>
      <c r="FG12" s="5"/>
      <c r="FJ12" s="984"/>
      <c r="FL12" s="5"/>
      <c r="FM12" s="1470"/>
    </row>
    <row r="13" spans="1:169" x14ac:dyDescent="0.3">
      <c r="A13" s="988" t="s">
        <v>8513</v>
      </c>
      <c r="B13" s="984" t="e">
        <f>SEARCH(A13,CHALLANGE_draft!$G$3)</f>
        <v>#VALUE!</v>
      </c>
      <c r="C13" s="984"/>
      <c r="D13" s="920"/>
      <c r="E13" s="920"/>
      <c r="F13" s="988" t="s">
        <v>8513</v>
      </c>
      <c r="G13" s="984" t="e">
        <f>SEARCH(F13,CHALLANGE_draft!$G$3,$E$3)</f>
        <v>#VALUE!</v>
      </c>
      <c r="H13" s="984"/>
      <c r="I13" s="984"/>
      <c r="J13" s="984"/>
      <c r="K13" s="984"/>
      <c r="L13" s="1569"/>
      <c r="M13" t="s">
        <v>8513</v>
      </c>
      <c r="N13" s="984" t="e">
        <f t="shared" si="6"/>
        <v>#VALUE!</v>
      </c>
      <c r="O13" s="5"/>
      <c r="P13" s="5"/>
      <c r="Q13" s="920"/>
      <c r="R13" s="920"/>
      <c r="S13" t="s">
        <v>8513</v>
      </c>
      <c r="T13" s="994" t="e">
        <f t="shared" si="7"/>
        <v>#VALUE!</v>
      </c>
      <c r="U13" s="5"/>
      <c r="V13" s="5"/>
      <c r="W13" s="920"/>
      <c r="X13" s="920"/>
      <c r="Z13" s="1569"/>
      <c r="AA13" t="s">
        <v>8513</v>
      </c>
      <c r="AB13" s="984" t="e">
        <f t="shared" si="0"/>
        <v>#VALUE!</v>
      </c>
      <c r="AC13" s="5"/>
      <c r="AD13" s="5"/>
      <c r="AE13" s="920"/>
      <c r="AF13" s="920"/>
      <c r="AG13" t="s">
        <v>8513</v>
      </c>
      <c r="AH13" s="984"/>
      <c r="AI13" s="920"/>
      <c r="AJ13" s="920"/>
      <c r="AL13" s="1569"/>
      <c r="AM13" t="s">
        <v>8513</v>
      </c>
      <c r="AN13" s="984"/>
      <c r="AO13" s="920"/>
      <c r="AP13" s="920"/>
      <c r="AQ13" t="s">
        <v>8513</v>
      </c>
      <c r="AR13" s="994" t="e">
        <f t="shared" si="8"/>
        <v>#VALUE!</v>
      </c>
      <c r="AS13" s="5"/>
      <c r="AT13" s="5"/>
      <c r="AU13" s="920"/>
      <c r="AV13" s="920"/>
      <c r="AX13" s="1569"/>
      <c r="AY13" t="s">
        <v>8513</v>
      </c>
      <c r="AZ13" s="984" t="e">
        <f t="shared" si="1"/>
        <v>#VALUE!</v>
      </c>
      <c r="BA13" s="5"/>
      <c r="BB13" s="5"/>
      <c r="BC13" s="920"/>
      <c r="BD13" s="920"/>
      <c r="BE13" t="s">
        <v>8513</v>
      </c>
      <c r="BF13" s="984" t="e">
        <f t="shared" si="2"/>
        <v>#VALUE!</v>
      </c>
      <c r="BG13" s="5"/>
      <c r="BH13" s="5"/>
      <c r="BI13" s="920"/>
      <c r="BJ13" s="920"/>
      <c r="BL13" s="1569"/>
      <c r="BM13" t="s">
        <v>8513</v>
      </c>
      <c r="BN13" s="984" t="e">
        <f t="shared" si="3"/>
        <v>#VALUE!</v>
      </c>
      <c r="BO13" s="5"/>
      <c r="BP13" s="5"/>
      <c r="BQ13" s="920"/>
      <c r="BR13" s="920"/>
      <c r="BS13" t="s">
        <v>8513</v>
      </c>
      <c r="BT13" s="984" t="e">
        <f t="shared" si="4"/>
        <v>#VALUE!</v>
      </c>
      <c r="BU13" s="5"/>
      <c r="BV13" s="5"/>
      <c r="BW13" s="920"/>
      <c r="BX13" s="920"/>
      <c r="BY13" s="264"/>
      <c r="BZ13" s="1569"/>
      <c r="CA13" t="s">
        <v>8513</v>
      </c>
      <c r="CB13" s="984" t="e">
        <f t="shared" si="9"/>
        <v>#VALUE!</v>
      </c>
      <c r="CC13" s="5"/>
      <c r="CD13" s="5"/>
      <c r="CE13" t="s">
        <v>8513</v>
      </c>
      <c r="CF13" s="984" t="e">
        <f t="shared" si="10"/>
        <v>#VALUE!</v>
      </c>
      <c r="CG13" s="5"/>
      <c r="CH13" s="5"/>
      <c r="CI13" s="264"/>
      <c r="CJ13" s="1000"/>
      <c r="CK13" t="s">
        <v>8513</v>
      </c>
      <c r="CL13" s="984" t="e">
        <f t="shared" si="11"/>
        <v>#VALUE!</v>
      </c>
      <c r="CM13" s="5"/>
      <c r="CN13" s="5"/>
      <c r="CO13" t="s">
        <v>8513</v>
      </c>
      <c r="CP13" s="984" t="e">
        <f t="shared" si="5"/>
        <v>#VALUE!</v>
      </c>
      <c r="CQ13" s="5"/>
      <c r="CR13" s="5"/>
      <c r="CS13" s="264"/>
      <c r="CT13" s="1000"/>
      <c r="CU13" t="s">
        <v>8513</v>
      </c>
      <c r="CV13" s="984" t="e">
        <f t="shared" si="12"/>
        <v>#VALUE!</v>
      </c>
      <c r="CW13" s="5"/>
      <c r="CX13" s="5"/>
      <c r="CY13" s="5"/>
      <c r="CZ13" s="264"/>
      <c r="DA13" s="1569"/>
      <c r="DB13" t="s">
        <v>8513</v>
      </c>
      <c r="DC13" s="984" t="e">
        <f t="shared" si="13"/>
        <v>#VALUE!</v>
      </c>
      <c r="DD13" s="5"/>
      <c r="DE13" s="5"/>
      <c r="DF13" t="s">
        <v>8513</v>
      </c>
      <c r="DG13" s="984" t="e">
        <f t="shared" si="14"/>
        <v>#VALUE!</v>
      </c>
      <c r="DH13" s="5"/>
      <c r="DI13" s="5"/>
      <c r="DJ13" s="264"/>
      <c r="DK13" s="1003"/>
      <c r="DL13" t="s">
        <v>8513</v>
      </c>
      <c r="DM13" s="994" t="e">
        <f t="shared" si="15"/>
        <v>#VALUE!</v>
      </c>
      <c r="DN13" s="5"/>
      <c r="DO13" t="s">
        <v>8513</v>
      </c>
      <c r="DP13" s="994" t="e">
        <f t="shared" si="16"/>
        <v>#VALUE!</v>
      </c>
      <c r="DQ13" s="5"/>
      <c r="DR13" s="264"/>
      <c r="DS13" s="1003"/>
      <c r="DT13" t="s">
        <v>8513</v>
      </c>
      <c r="DU13" s="984" t="e">
        <f t="shared" si="17"/>
        <v>#VALUE!</v>
      </c>
      <c r="DV13" s="5"/>
      <c r="DW13" s="5"/>
      <c r="DX13" t="s">
        <v>8513</v>
      </c>
      <c r="DY13" s="1013" t="e">
        <f t="shared" si="18"/>
        <v>#VALUE!</v>
      </c>
      <c r="DZ13" s="5"/>
      <c r="EA13" s="5"/>
      <c r="EB13" s="264"/>
      <c r="EC13" s="1003"/>
      <c r="ED13" t="s">
        <v>8513</v>
      </c>
      <c r="EE13" s="984" t="e">
        <f t="shared" si="19"/>
        <v>#VALUE!</v>
      </c>
      <c r="EF13" s="5"/>
      <c r="EI13" s="984"/>
      <c r="EK13" s="5"/>
      <c r="EL13" s="1470"/>
      <c r="EM13" t="s">
        <v>8513</v>
      </c>
      <c r="EN13" s="984" t="e">
        <f t="shared" si="20"/>
        <v>#VALUE!</v>
      </c>
      <c r="EO13" s="5"/>
      <c r="ER13" s="984"/>
      <c r="ET13" s="5"/>
      <c r="EU13" s="1470"/>
      <c r="EV13" t="s">
        <v>8513</v>
      </c>
      <c r="EW13" s="984" t="e">
        <f t="shared" si="21"/>
        <v>#VALUE!</v>
      </c>
      <c r="EX13" s="5"/>
      <c r="FA13" s="984"/>
      <c r="FC13" s="5"/>
      <c r="FD13" s="1470"/>
      <c r="FE13" t="s">
        <v>8513</v>
      </c>
      <c r="FF13" s="984" t="e">
        <f t="shared" si="22"/>
        <v>#VALUE!</v>
      </c>
      <c r="FG13" s="5"/>
      <c r="FJ13" s="984"/>
      <c r="FL13" s="5"/>
      <c r="FM13" s="1470"/>
    </row>
    <row r="14" spans="1:169" x14ac:dyDescent="0.3">
      <c r="A14" s="988" t="s">
        <v>8513</v>
      </c>
      <c r="B14" s="984" t="e">
        <f>SEARCH(A14,CHALLANGE_draft!$G$3)</f>
        <v>#VALUE!</v>
      </c>
      <c r="C14" s="984"/>
      <c r="D14" s="920"/>
      <c r="E14" s="920"/>
      <c r="F14" s="988" t="s">
        <v>8513</v>
      </c>
      <c r="G14" s="984" t="e">
        <f>SEARCH(F14,CHALLANGE_draft!$G$3,$E$3)</f>
        <v>#VALUE!</v>
      </c>
      <c r="H14" s="984"/>
      <c r="I14" s="984"/>
      <c r="J14" s="984"/>
      <c r="K14" s="984"/>
      <c r="L14" s="1569"/>
      <c r="M14" t="s">
        <v>8513</v>
      </c>
      <c r="N14" s="984" t="e">
        <f t="shared" si="6"/>
        <v>#VALUE!</v>
      </c>
      <c r="O14" s="5"/>
      <c r="P14" s="5"/>
      <c r="Q14" s="920"/>
      <c r="R14" s="920"/>
      <c r="S14" t="s">
        <v>8513</v>
      </c>
      <c r="T14" s="994" t="e">
        <f t="shared" si="7"/>
        <v>#VALUE!</v>
      </c>
      <c r="W14" s="920"/>
      <c r="X14" s="920"/>
      <c r="Z14" s="1569"/>
      <c r="AA14" t="s">
        <v>8513</v>
      </c>
      <c r="AB14" s="984" t="e">
        <f t="shared" si="0"/>
        <v>#VALUE!</v>
      </c>
      <c r="AC14" s="5"/>
      <c r="AD14" s="5"/>
      <c r="AE14" s="920"/>
      <c r="AF14" s="920"/>
      <c r="AG14" t="s">
        <v>8513</v>
      </c>
      <c r="AH14" s="984"/>
      <c r="AI14" s="920"/>
      <c r="AJ14" s="920"/>
      <c r="AL14" s="1569"/>
      <c r="AM14" t="s">
        <v>8513</v>
      </c>
      <c r="AN14" s="984"/>
      <c r="AO14" s="920"/>
      <c r="AP14" s="920"/>
      <c r="AQ14" t="s">
        <v>8513</v>
      </c>
      <c r="AR14" s="994" t="e">
        <f t="shared" si="8"/>
        <v>#VALUE!</v>
      </c>
      <c r="AU14" s="920"/>
      <c r="AV14" s="920"/>
      <c r="AX14" s="1569"/>
      <c r="AY14" t="s">
        <v>8513</v>
      </c>
      <c r="AZ14" s="984" t="e">
        <f t="shared" si="1"/>
        <v>#VALUE!</v>
      </c>
      <c r="BA14" s="5"/>
      <c r="BB14" s="5"/>
      <c r="BC14" s="920"/>
      <c r="BD14" s="920"/>
      <c r="BE14" t="s">
        <v>8513</v>
      </c>
      <c r="BF14" s="984" t="e">
        <f t="shared" si="2"/>
        <v>#VALUE!</v>
      </c>
      <c r="BI14" s="920"/>
      <c r="BJ14" s="920"/>
      <c r="BL14" s="1569"/>
      <c r="BM14" t="s">
        <v>8513</v>
      </c>
      <c r="BN14" s="984" t="e">
        <f t="shared" si="3"/>
        <v>#VALUE!</v>
      </c>
      <c r="BO14" s="5"/>
      <c r="BP14" s="5"/>
      <c r="BQ14" s="920"/>
      <c r="BR14" s="920"/>
      <c r="BS14" t="s">
        <v>8513</v>
      </c>
      <c r="BT14" s="984" t="e">
        <f t="shared" si="4"/>
        <v>#VALUE!</v>
      </c>
      <c r="BW14" s="920"/>
      <c r="BX14" s="920"/>
      <c r="BY14" s="264"/>
      <c r="BZ14" s="1569"/>
      <c r="CA14" t="s">
        <v>8513</v>
      </c>
      <c r="CB14" s="984" t="e">
        <f t="shared" si="9"/>
        <v>#VALUE!</v>
      </c>
      <c r="CC14" s="5"/>
      <c r="CD14" s="5"/>
      <c r="CE14" t="s">
        <v>8513</v>
      </c>
      <c r="CF14" s="984" t="e">
        <f t="shared" si="10"/>
        <v>#VALUE!</v>
      </c>
      <c r="CI14" s="264"/>
      <c r="CJ14" s="1000"/>
      <c r="CK14" t="s">
        <v>8513</v>
      </c>
      <c r="CL14" s="984" t="e">
        <f t="shared" si="11"/>
        <v>#VALUE!</v>
      </c>
      <c r="CM14" s="5"/>
      <c r="CN14" s="5"/>
      <c r="CO14" t="s">
        <v>8513</v>
      </c>
      <c r="CP14" s="984" t="e">
        <f t="shared" si="5"/>
        <v>#VALUE!</v>
      </c>
      <c r="CS14" s="264"/>
      <c r="CT14" s="1000"/>
      <c r="CU14" t="s">
        <v>8513</v>
      </c>
      <c r="CV14" s="984" t="e">
        <f t="shared" si="12"/>
        <v>#VALUE!</v>
      </c>
      <c r="CW14" s="5"/>
      <c r="CX14" s="5"/>
      <c r="CZ14" s="264"/>
      <c r="DA14" s="1569"/>
      <c r="DB14" t="s">
        <v>8513</v>
      </c>
      <c r="DC14" s="984" t="e">
        <f t="shared" si="13"/>
        <v>#VALUE!</v>
      </c>
      <c r="DD14" s="5"/>
      <c r="DE14" s="5"/>
      <c r="DF14" t="s">
        <v>8513</v>
      </c>
      <c r="DG14" s="984" t="e">
        <f t="shared" si="14"/>
        <v>#VALUE!</v>
      </c>
      <c r="DJ14" s="264"/>
      <c r="DK14" s="1003"/>
      <c r="DL14" t="s">
        <v>8513</v>
      </c>
      <c r="DM14" s="994" t="e">
        <f t="shared" si="15"/>
        <v>#VALUE!</v>
      </c>
      <c r="DN14" s="5"/>
      <c r="DO14" t="s">
        <v>8513</v>
      </c>
      <c r="DP14" s="994" t="e">
        <f t="shared" si="16"/>
        <v>#VALUE!</v>
      </c>
      <c r="DR14" s="264"/>
      <c r="DS14" s="1003"/>
      <c r="DT14" t="s">
        <v>8513</v>
      </c>
      <c r="DU14" s="984" t="e">
        <f t="shared" si="17"/>
        <v>#VALUE!</v>
      </c>
      <c r="DV14" s="5"/>
      <c r="DW14" s="5"/>
      <c r="DX14" t="s">
        <v>8513</v>
      </c>
      <c r="DY14" s="1013" t="e">
        <f t="shared" si="18"/>
        <v>#VALUE!</v>
      </c>
      <c r="EB14" s="264"/>
      <c r="EC14" s="1003"/>
      <c r="ED14" t="s">
        <v>8513</v>
      </c>
      <c r="EE14" s="984" t="e">
        <f t="shared" si="19"/>
        <v>#VALUE!</v>
      </c>
      <c r="EF14" s="5"/>
      <c r="EI14" s="984"/>
      <c r="EL14" s="1470"/>
      <c r="EM14" t="s">
        <v>8513</v>
      </c>
      <c r="EN14" s="984" t="e">
        <f t="shared" si="20"/>
        <v>#VALUE!</v>
      </c>
      <c r="EO14" s="5"/>
      <c r="ER14" s="984"/>
      <c r="EU14" s="1470"/>
      <c r="EV14" t="s">
        <v>8513</v>
      </c>
      <c r="EW14" s="984" t="e">
        <f t="shared" si="21"/>
        <v>#VALUE!</v>
      </c>
      <c r="EX14" s="5"/>
      <c r="FA14" s="984"/>
      <c r="FD14" s="1470"/>
      <c r="FE14" t="s">
        <v>8513</v>
      </c>
      <c r="FF14" s="984" t="e">
        <f t="shared" si="22"/>
        <v>#VALUE!</v>
      </c>
      <c r="FG14" s="5"/>
      <c r="FJ14" s="984"/>
      <c r="FM14" s="1470"/>
    </row>
    <row r="15" spans="1:169" x14ac:dyDescent="0.3">
      <c r="A15" s="995"/>
      <c r="B15" s="920"/>
      <c r="C15" s="920"/>
      <c r="D15" s="996"/>
      <c r="E15" s="920"/>
      <c r="F15" s="995"/>
      <c r="G15" s="920"/>
      <c r="H15" s="920"/>
      <c r="I15" s="996"/>
      <c r="J15" s="920"/>
      <c r="K15" s="854"/>
      <c r="L15" s="1569"/>
      <c r="Q15" s="116"/>
      <c r="R15" s="116"/>
      <c r="W15" s="116"/>
      <c r="X15" s="116"/>
      <c r="Z15" s="1569"/>
      <c r="AE15" s="116"/>
      <c r="AF15" s="116"/>
      <c r="AI15" s="116"/>
      <c r="AJ15" s="116"/>
      <c r="AL15" s="1569"/>
      <c r="AO15" s="116"/>
      <c r="AP15" s="116"/>
      <c r="AU15" s="116"/>
      <c r="AV15" s="116"/>
      <c r="AX15" s="1569"/>
      <c r="BC15" s="116"/>
      <c r="BD15" s="116"/>
      <c r="BI15" s="116"/>
      <c r="BJ15" s="116"/>
      <c r="BL15" s="1569"/>
      <c r="BQ15" s="116"/>
      <c r="BR15" s="116"/>
      <c r="BW15" s="116"/>
      <c r="BX15" s="116"/>
      <c r="BY15" s="264"/>
      <c r="BZ15" s="1569"/>
      <c r="CI15" s="264"/>
      <c r="CJ15" s="1000"/>
      <c r="CS15" s="264"/>
      <c r="CT15" s="1000"/>
      <c r="CZ15" s="264"/>
      <c r="DA15" s="1569"/>
      <c r="DJ15" s="264"/>
      <c r="DK15" s="1003"/>
      <c r="DR15" s="264"/>
      <c r="DS15" s="1003"/>
      <c r="EB15" s="264"/>
      <c r="EC15" s="1003"/>
    </row>
    <row r="16" spans="1:169" x14ac:dyDescent="0.3">
      <c r="A16" s="995"/>
      <c r="B16" s="920"/>
      <c r="C16" s="920"/>
      <c r="D16" s="920"/>
      <c r="E16" s="920"/>
      <c r="F16" s="995"/>
      <c r="G16" s="920"/>
      <c r="H16" s="920"/>
      <c r="I16" s="920"/>
      <c r="J16" s="920"/>
      <c r="K16" s="920"/>
      <c r="L16" s="1569"/>
      <c r="Q16" s="116"/>
      <c r="R16" s="116"/>
      <c r="W16" s="116"/>
      <c r="X16" s="116"/>
      <c r="Z16" s="1569"/>
      <c r="AE16" s="116"/>
      <c r="AF16" s="116"/>
      <c r="AI16" s="116"/>
      <c r="AJ16" s="116"/>
      <c r="AL16" s="1569"/>
      <c r="AO16" s="116"/>
      <c r="AP16" s="116"/>
      <c r="AU16" s="116"/>
      <c r="AV16" s="116"/>
      <c r="AX16" s="1569"/>
      <c r="BC16" s="116"/>
      <c r="BD16" s="116"/>
      <c r="BI16" s="116"/>
      <c r="BJ16" s="116"/>
      <c r="BL16" s="1569"/>
      <c r="BQ16" s="116"/>
      <c r="BR16" s="116"/>
      <c r="BW16" s="116"/>
      <c r="BX16" s="116"/>
      <c r="BY16" s="264"/>
      <c r="BZ16" s="1569"/>
      <c r="CI16" s="264"/>
      <c r="CJ16" s="1000"/>
      <c r="CS16" s="264"/>
      <c r="CT16" s="1000"/>
      <c r="CZ16" s="264"/>
      <c r="DA16" s="1569"/>
      <c r="DJ16" s="264"/>
      <c r="DK16" s="1003"/>
      <c r="DR16" s="264"/>
      <c r="DS16" s="1003"/>
      <c r="EB16" s="264"/>
      <c r="EC16" s="1003"/>
    </row>
    <row r="17" spans="1:133" x14ac:dyDescent="0.3">
      <c r="A17" s="995"/>
      <c r="B17" s="920"/>
      <c r="C17" s="920"/>
      <c r="D17" s="920"/>
      <c r="E17" s="920"/>
      <c r="F17" s="995"/>
      <c r="G17" s="920"/>
      <c r="H17" s="920"/>
      <c r="I17" s="920"/>
      <c r="J17" s="920"/>
      <c r="K17" s="920"/>
      <c r="L17" s="1569"/>
      <c r="Q17" s="116"/>
      <c r="R17" s="116"/>
      <c r="W17" s="116"/>
      <c r="X17" s="116"/>
      <c r="Z17" s="1569"/>
      <c r="AE17" s="116"/>
      <c r="AF17" s="116"/>
      <c r="AI17" s="116"/>
      <c r="AJ17" s="116"/>
      <c r="AL17" s="1569"/>
      <c r="AO17" s="116"/>
      <c r="AP17" s="116"/>
      <c r="AU17" s="116"/>
      <c r="AV17" s="116"/>
      <c r="AX17" s="1569"/>
      <c r="BC17" s="116"/>
      <c r="BD17" s="116"/>
      <c r="BI17" s="116"/>
      <c r="BJ17" s="116"/>
      <c r="BL17" s="1569"/>
      <c r="BQ17" s="116"/>
      <c r="BR17" s="116"/>
      <c r="BW17" s="116"/>
      <c r="BX17" s="116"/>
      <c r="BY17" s="264"/>
      <c r="BZ17" s="1569"/>
      <c r="CI17" s="264"/>
      <c r="CJ17" s="1000"/>
      <c r="CS17" s="264"/>
      <c r="CT17" s="1000"/>
      <c r="CZ17" s="264"/>
      <c r="DA17" s="1569"/>
      <c r="DJ17" s="264"/>
      <c r="DK17" s="1003"/>
      <c r="DR17" s="264"/>
      <c r="DS17" s="1003"/>
      <c r="EB17" s="264"/>
      <c r="EC17" s="1003"/>
    </row>
    <row r="18" spans="1:133" x14ac:dyDescent="0.3">
      <c r="A18" s="995"/>
      <c r="B18" s="920"/>
      <c r="C18" s="920"/>
      <c r="D18" s="920"/>
      <c r="E18" s="920"/>
      <c r="F18" s="995"/>
      <c r="G18" s="920"/>
      <c r="H18" s="920"/>
      <c r="I18" s="920"/>
      <c r="J18" s="920"/>
      <c r="K18" s="920"/>
      <c r="L18" s="1569"/>
      <c r="Q18" s="116"/>
      <c r="R18" s="116"/>
      <c r="W18" s="116"/>
      <c r="X18" s="116"/>
      <c r="Z18" s="1569"/>
      <c r="AE18" s="116"/>
      <c r="AF18" s="116"/>
      <c r="AI18" s="116"/>
      <c r="AJ18" s="116"/>
      <c r="AL18" s="1569"/>
      <c r="AO18" s="116"/>
      <c r="AP18" s="116"/>
      <c r="AU18" s="116"/>
      <c r="AV18" s="116"/>
      <c r="AX18" s="1569"/>
      <c r="BC18" s="116"/>
      <c r="BD18" s="116"/>
      <c r="BI18" s="116"/>
      <c r="BJ18" s="116"/>
      <c r="BL18" s="1569"/>
      <c r="BQ18" s="116"/>
      <c r="BR18" s="116"/>
      <c r="BW18" s="116"/>
      <c r="BX18" s="116"/>
      <c r="BY18" s="264"/>
      <c r="BZ18" s="1569"/>
      <c r="CI18" s="264"/>
      <c r="CJ18" s="1000"/>
      <c r="CS18" s="264"/>
      <c r="CT18" s="1000"/>
      <c r="CZ18" s="264"/>
      <c r="DA18" s="1569"/>
      <c r="DJ18" s="264"/>
      <c r="DK18" s="1003"/>
      <c r="DR18" s="264"/>
      <c r="DS18" s="1003"/>
      <c r="EB18" s="264"/>
      <c r="EC18" s="1003"/>
    </row>
    <row r="19" spans="1:133" x14ac:dyDescent="0.3">
      <c r="A19" s="995"/>
      <c r="B19" s="920"/>
      <c r="C19" s="920"/>
      <c r="D19" s="920"/>
      <c r="E19" s="920"/>
      <c r="F19" s="995"/>
      <c r="G19" s="920"/>
      <c r="H19" s="920"/>
      <c r="I19" s="920"/>
      <c r="J19" s="920"/>
      <c r="K19" s="920"/>
      <c r="L19" s="1569"/>
      <c r="Q19" s="116"/>
      <c r="R19" s="116"/>
      <c r="W19" s="116"/>
      <c r="X19" s="116"/>
      <c r="Z19" s="1569"/>
      <c r="AE19" s="116"/>
      <c r="AF19" s="116"/>
      <c r="AI19" s="116"/>
      <c r="AJ19" s="116"/>
      <c r="AL19" s="1569"/>
      <c r="AO19" s="116"/>
      <c r="AP19" s="116"/>
      <c r="AU19" s="116"/>
      <c r="AV19" s="116"/>
      <c r="AX19" s="1569"/>
      <c r="BC19" s="116"/>
      <c r="BD19" s="116"/>
      <c r="BI19" s="116"/>
      <c r="BJ19" s="116"/>
      <c r="BL19" s="1569"/>
      <c r="BQ19" s="116"/>
      <c r="BR19" s="116"/>
      <c r="BW19" s="116"/>
      <c r="BX19" s="116"/>
      <c r="BY19" s="264"/>
      <c r="BZ19" s="1569"/>
      <c r="CI19" s="264"/>
      <c r="CJ19" s="1000"/>
      <c r="CS19" s="264"/>
      <c r="CT19" s="1000"/>
      <c r="CZ19" s="264"/>
      <c r="DA19" s="1569"/>
      <c r="DJ19" s="264"/>
      <c r="DK19" s="1003"/>
      <c r="DR19" s="264"/>
      <c r="DS19" s="1003"/>
      <c r="EB19" s="264"/>
      <c r="EC19" s="1003"/>
    </row>
    <row r="20" spans="1:133" x14ac:dyDescent="0.3">
      <c r="A20" s="995"/>
      <c r="B20" s="920"/>
      <c r="C20" s="920"/>
      <c r="D20" s="920"/>
      <c r="E20" s="920"/>
      <c r="F20" s="995"/>
      <c r="G20" s="920"/>
      <c r="H20" s="920"/>
      <c r="I20" s="920"/>
      <c r="J20" s="920"/>
      <c r="K20" s="920"/>
      <c r="L20" s="1569"/>
      <c r="Q20" s="116"/>
      <c r="R20" s="116"/>
      <c r="W20" s="116"/>
      <c r="X20" s="116"/>
      <c r="Z20" s="1569"/>
      <c r="AE20" s="116"/>
      <c r="AF20" s="116"/>
      <c r="AI20" s="116"/>
      <c r="AJ20" s="116"/>
      <c r="AL20" s="1569"/>
      <c r="AO20" s="116"/>
      <c r="AP20" s="116"/>
      <c r="AU20" s="116"/>
      <c r="AV20" s="116"/>
      <c r="AX20" s="1569"/>
      <c r="BC20" s="116"/>
      <c r="BD20" s="116"/>
      <c r="BI20" s="116"/>
      <c r="BJ20" s="116"/>
      <c r="BL20" s="1569"/>
      <c r="BQ20" s="116"/>
      <c r="BR20" s="116"/>
      <c r="BW20" s="116"/>
      <c r="BX20" s="116"/>
      <c r="BY20" s="264"/>
      <c r="BZ20" s="1569"/>
      <c r="CI20" s="264"/>
      <c r="CJ20" s="1000"/>
      <c r="CS20" s="264"/>
      <c r="CT20" s="1000"/>
      <c r="CZ20" s="264"/>
      <c r="DA20" s="1569"/>
      <c r="DJ20" s="264"/>
      <c r="DK20" s="1003"/>
      <c r="DR20" s="264"/>
      <c r="DS20" s="1003"/>
      <c r="EB20" s="264"/>
      <c r="EC20" s="1003"/>
    </row>
    <row r="21" spans="1:133" x14ac:dyDescent="0.3">
      <c r="A21" s="995"/>
      <c r="B21" s="920"/>
      <c r="C21" s="920"/>
      <c r="D21" s="920"/>
      <c r="E21" s="920"/>
      <c r="F21" s="995"/>
      <c r="G21" s="920"/>
      <c r="H21" s="920"/>
      <c r="I21" s="920"/>
      <c r="J21" s="920"/>
      <c r="K21" s="920"/>
      <c r="L21" s="1569"/>
      <c r="Q21" s="116"/>
      <c r="R21" s="116"/>
      <c r="W21" s="116"/>
      <c r="X21" s="116"/>
      <c r="Z21" s="1569"/>
      <c r="AE21" s="116"/>
      <c r="AF21" s="116"/>
      <c r="AI21" s="116"/>
      <c r="AJ21" s="116"/>
      <c r="AL21" s="1569"/>
      <c r="AO21" s="116"/>
      <c r="AP21" s="116"/>
      <c r="AU21" s="116"/>
      <c r="AV21" s="116"/>
      <c r="AX21" s="1569"/>
      <c r="BC21" s="116"/>
      <c r="BD21" s="116"/>
      <c r="BI21" s="116"/>
      <c r="BJ21" s="116"/>
      <c r="BL21" s="1569"/>
      <c r="BQ21" s="116"/>
      <c r="BR21" s="116"/>
      <c r="BW21" s="116"/>
      <c r="BX21" s="116"/>
      <c r="BY21" s="264"/>
      <c r="BZ21" s="1569"/>
      <c r="CI21" s="264"/>
      <c r="CJ21" s="1000"/>
      <c r="CS21" s="264"/>
      <c r="CT21" s="1000"/>
      <c r="CZ21" s="264"/>
      <c r="DA21" s="1569"/>
      <c r="DJ21" s="264"/>
      <c r="DK21" s="1003"/>
      <c r="DR21" s="264"/>
      <c r="DS21" s="1003"/>
      <c r="EB21" s="264"/>
      <c r="EC21" s="1003"/>
    </row>
    <row r="22" spans="1:133" x14ac:dyDescent="0.3">
      <c r="A22" s="995"/>
      <c r="B22" s="920"/>
      <c r="C22" s="920"/>
      <c r="D22" s="920"/>
      <c r="E22" s="920"/>
      <c r="F22" s="995"/>
      <c r="G22" s="920"/>
      <c r="H22" s="920"/>
      <c r="I22" s="920"/>
      <c r="J22" s="920"/>
      <c r="K22" s="920"/>
      <c r="L22" s="1569"/>
      <c r="Q22" s="116"/>
      <c r="R22" s="116"/>
      <c r="W22" s="116"/>
      <c r="X22" s="116"/>
      <c r="Z22" s="1569"/>
      <c r="AE22" s="116"/>
      <c r="AF22" s="116"/>
      <c r="AI22" s="116"/>
      <c r="AJ22" s="116"/>
      <c r="AL22" s="1569"/>
      <c r="AO22" s="116"/>
      <c r="AP22" s="116"/>
      <c r="AU22" s="116"/>
      <c r="AV22" s="116"/>
      <c r="AX22" s="1569"/>
      <c r="BC22" s="116"/>
      <c r="BD22" s="116"/>
      <c r="BI22" s="116"/>
      <c r="BJ22" s="116"/>
      <c r="BL22" s="1569"/>
      <c r="BQ22" s="116"/>
      <c r="BR22" s="116"/>
      <c r="BW22" s="116"/>
      <c r="BX22" s="116"/>
      <c r="BY22" s="264"/>
      <c r="BZ22" s="1569"/>
      <c r="CI22" s="264"/>
      <c r="CJ22" s="1000"/>
      <c r="CS22" s="264"/>
      <c r="CT22" s="1000"/>
      <c r="CZ22" s="264"/>
      <c r="DA22" s="1569"/>
      <c r="DJ22" s="264"/>
      <c r="DK22" s="1003"/>
      <c r="DR22" s="264"/>
      <c r="DS22" s="1003"/>
      <c r="EB22" s="264"/>
      <c r="EC22" s="1003"/>
    </row>
    <row r="23" spans="1:133" x14ac:dyDescent="0.3">
      <c r="A23" s="995"/>
      <c r="B23" s="920"/>
      <c r="C23" s="920"/>
      <c r="D23" s="920"/>
      <c r="E23" s="920"/>
      <c r="F23" s="995"/>
      <c r="G23" s="920"/>
      <c r="H23" s="920"/>
      <c r="I23" s="920"/>
      <c r="J23" s="920"/>
      <c r="K23" s="920"/>
      <c r="L23" s="1569"/>
      <c r="Q23" s="116"/>
      <c r="R23" s="116"/>
      <c r="W23" s="116"/>
      <c r="X23" s="116"/>
      <c r="Z23" s="1569"/>
      <c r="AE23" s="116"/>
      <c r="AF23" s="116"/>
      <c r="AI23" s="116"/>
      <c r="AJ23" s="116"/>
      <c r="AL23" s="1569"/>
      <c r="AO23" s="116"/>
      <c r="AP23" s="116"/>
      <c r="AU23" s="116"/>
      <c r="AV23" s="116"/>
      <c r="AX23" s="1569"/>
      <c r="BC23" s="116"/>
      <c r="BD23" s="116"/>
      <c r="BI23" s="116"/>
      <c r="BJ23" s="116"/>
      <c r="BL23" s="1569"/>
      <c r="BQ23" s="116"/>
      <c r="BR23" s="116"/>
      <c r="BW23" s="116"/>
      <c r="BX23" s="116"/>
      <c r="BY23" s="264"/>
      <c r="BZ23" s="1569"/>
      <c r="CI23" s="264"/>
      <c r="CJ23" s="1000"/>
      <c r="CS23" s="264"/>
      <c r="CT23" s="1000"/>
      <c r="CZ23" s="264"/>
      <c r="DA23" s="1569"/>
      <c r="DJ23" s="264"/>
      <c r="DK23" s="1003"/>
      <c r="DR23" s="264"/>
      <c r="DS23" s="1003"/>
      <c r="EB23" s="264"/>
      <c r="EC23" s="1003"/>
    </row>
    <row r="24" spans="1:133" x14ac:dyDescent="0.3">
      <c r="A24" s="995"/>
      <c r="B24" s="920"/>
      <c r="C24" s="920"/>
      <c r="D24" s="920"/>
      <c r="E24" s="920"/>
      <c r="F24" s="995"/>
      <c r="G24" s="920"/>
      <c r="H24" s="920"/>
      <c r="I24" s="920"/>
      <c r="J24" s="920"/>
      <c r="K24" s="920"/>
      <c r="L24" s="1569"/>
      <c r="Q24" s="116"/>
      <c r="R24" s="116"/>
      <c r="W24" s="116"/>
      <c r="X24" s="116"/>
      <c r="Z24" s="1569"/>
      <c r="AE24" s="116"/>
      <c r="AF24" s="116"/>
      <c r="AI24" s="116"/>
      <c r="AJ24" s="116"/>
      <c r="AL24" s="1569"/>
      <c r="AO24" s="116"/>
      <c r="AP24" s="116"/>
      <c r="AU24" s="116"/>
      <c r="AV24" s="116"/>
      <c r="AX24" s="1569"/>
      <c r="BC24" s="116"/>
      <c r="BD24" s="116"/>
      <c r="BI24" s="116"/>
      <c r="BJ24" s="116"/>
      <c r="BL24" s="1569"/>
      <c r="BQ24" s="116"/>
      <c r="BR24" s="116"/>
      <c r="BW24" s="116"/>
      <c r="BX24" s="116"/>
      <c r="BY24" s="264"/>
      <c r="BZ24" s="1569"/>
      <c r="CI24" s="264"/>
      <c r="CJ24" s="1000"/>
      <c r="CS24" s="264"/>
      <c r="CT24" s="1000"/>
      <c r="CZ24" s="264"/>
      <c r="DA24" s="1569"/>
      <c r="DJ24" s="264"/>
      <c r="DK24" s="1003"/>
      <c r="DR24" s="264"/>
      <c r="DS24" s="1003"/>
      <c r="EB24" s="264"/>
      <c r="EC24" s="1003"/>
    </row>
    <row r="25" spans="1:133" x14ac:dyDescent="0.3">
      <c r="A25" s="995"/>
      <c r="B25" s="920"/>
      <c r="C25" s="920"/>
      <c r="D25" s="920"/>
      <c r="E25" s="920"/>
      <c r="F25" s="995"/>
      <c r="G25" s="920"/>
      <c r="H25" s="920"/>
      <c r="I25" s="920"/>
      <c r="J25" s="920"/>
      <c r="K25" s="920"/>
      <c r="L25" s="1569"/>
      <c r="Q25" s="116"/>
      <c r="R25" s="116"/>
      <c r="W25" s="116"/>
      <c r="X25" s="116"/>
      <c r="Z25" s="1569"/>
      <c r="AE25" s="116"/>
      <c r="AF25" s="116"/>
      <c r="AI25" s="116"/>
      <c r="AJ25" s="116"/>
      <c r="AL25" s="1569"/>
      <c r="AO25" s="116"/>
      <c r="AP25" s="116"/>
      <c r="AU25" s="116"/>
      <c r="AV25" s="116"/>
      <c r="AX25" s="1569"/>
      <c r="BC25" s="116"/>
      <c r="BD25" s="116"/>
      <c r="BI25" s="116"/>
      <c r="BJ25" s="116"/>
      <c r="BL25" s="1569"/>
      <c r="BQ25" s="116"/>
      <c r="BR25" s="116"/>
      <c r="BW25" s="116"/>
      <c r="BX25" s="116"/>
      <c r="BY25" s="264"/>
      <c r="BZ25" s="1569"/>
      <c r="CI25" s="264"/>
      <c r="CJ25" s="1000"/>
      <c r="CS25" s="264"/>
      <c r="CT25" s="1000"/>
      <c r="CZ25" s="264"/>
      <c r="DA25" s="1569"/>
      <c r="DJ25" s="264"/>
      <c r="DK25" s="1003"/>
      <c r="DR25" s="264"/>
      <c r="DS25" s="1003"/>
      <c r="EB25" s="264"/>
      <c r="EC25" s="1003"/>
    </row>
    <row r="26" spans="1:133" x14ac:dyDescent="0.3">
      <c r="A26" s="995"/>
      <c r="B26" s="920"/>
      <c r="C26" s="920"/>
      <c r="D26" s="920"/>
      <c r="E26" s="920"/>
      <c r="F26" s="995"/>
      <c r="G26" s="920"/>
      <c r="H26" s="920"/>
      <c r="I26" s="920"/>
      <c r="J26" s="920"/>
      <c r="K26" s="920"/>
      <c r="L26" s="1569"/>
      <c r="Q26" s="116"/>
      <c r="R26" s="116"/>
      <c r="W26" s="116"/>
      <c r="X26" s="116"/>
      <c r="Z26" s="1569"/>
      <c r="AE26" s="116"/>
      <c r="AF26" s="116"/>
      <c r="AI26" s="116"/>
      <c r="AJ26" s="116"/>
      <c r="AL26" s="1569"/>
      <c r="AO26" s="116"/>
      <c r="AP26" s="116"/>
      <c r="AU26" s="116"/>
      <c r="AV26" s="116"/>
      <c r="AX26" s="1569"/>
      <c r="BC26" s="116"/>
      <c r="BD26" s="116"/>
      <c r="BI26" s="116"/>
      <c r="BJ26" s="116"/>
      <c r="BL26" s="1569"/>
      <c r="BQ26" s="116"/>
      <c r="BR26" s="116"/>
      <c r="BW26" s="116"/>
      <c r="BX26" s="116"/>
      <c r="BY26" s="264"/>
      <c r="BZ26" s="1569"/>
      <c r="CI26" s="264"/>
      <c r="CJ26" s="1000"/>
      <c r="CS26" s="264"/>
      <c r="CT26" s="1000"/>
      <c r="CZ26" s="264"/>
      <c r="DA26" s="1569"/>
      <c r="DJ26" s="264"/>
      <c r="DK26" s="1003"/>
      <c r="DR26" s="264"/>
      <c r="DS26" s="1003"/>
      <c r="EB26" s="264"/>
      <c r="EC26" s="1003"/>
    </row>
    <row r="27" spans="1:133" x14ac:dyDescent="0.3">
      <c r="A27" s="995"/>
      <c r="B27" s="920"/>
      <c r="C27" s="920"/>
      <c r="D27" s="996"/>
      <c r="E27" s="920"/>
      <c r="F27" s="995"/>
      <c r="G27" s="920"/>
      <c r="H27" s="920"/>
      <c r="I27" s="996"/>
      <c r="J27" s="920"/>
      <c r="K27" s="854"/>
      <c r="L27" s="1569"/>
      <c r="Q27" s="116"/>
      <c r="R27" s="116"/>
      <c r="W27" s="116"/>
      <c r="X27" s="116"/>
      <c r="Z27" s="1569"/>
      <c r="AE27" s="116"/>
      <c r="AF27" s="116"/>
      <c r="AI27" s="116"/>
      <c r="AJ27" s="116"/>
      <c r="AL27" s="1569"/>
      <c r="AO27" s="116"/>
      <c r="AP27" s="116"/>
      <c r="AU27" s="116"/>
      <c r="AV27" s="116"/>
      <c r="AX27" s="1569"/>
      <c r="BC27" s="116"/>
      <c r="BD27" s="116"/>
      <c r="BI27" s="116"/>
      <c r="BJ27" s="116"/>
      <c r="BL27" s="1569"/>
      <c r="BQ27" s="116"/>
      <c r="BR27" s="116"/>
      <c r="BW27" s="116"/>
      <c r="BX27" s="116"/>
      <c r="BY27" s="264"/>
      <c r="BZ27" s="1569"/>
      <c r="CI27" s="264"/>
      <c r="CJ27" s="1000"/>
      <c r="CS27" s="264"/>
      <c r="CT27" s="1000"/>
      <c r="CZ27" s="264"/>
      <c r="DA27" s="1569"/>
      <c r="DJ27" s="264"/>
      <c r="DK27" s="1003"/>
      <c r="DR27" s="264"/>
      <c r="DS27" s="1003"/>
      <c r="EB27" s="264"/>
      <c r="EC27" s="1003"/>
    </row>
    <row r="28" spans="1:133" x14ac:dyDescent="0.3">
      <c r="A28" s="995"/>
      <c r="B28" s="920"/>
      <c r="C28" s="920"/>
      <c r="D28" s="920"/>
      <c r="E28" s="920"/>
      <c r="F28" s="995"/>
      <c r="G28" s="920"/>
      <c r="H28" s="920"/>
      <c r="I28" s="920"/>
      <c r="J28" s="920"/>
      <c r="K28" s="920"/>
      <c r="L28" s="1569"/>
      <c r="Q28" s="116"/>
      <c r="R28" s="116"/>
      <c r="W28" s="116"/>
      <c r="X28" s="116"/>
      <c r="Z28" s="1569"/>
      <c r="AE28" s="116"/>
      <c r="AF28" s="116"/>
      <c r="AI28" s="116"/>
      <c r="AJ28" s="116"/>
      <c r="AL28" s="1569"/>
      <c r="AO28" s="116"/>
      <c r="AP28" s="116"/>
      <c r="AU28" s="116"/>
      <c r="AV28" s="116"/>
      <c r="AX28" s="1569"/>
      <c r="BC28" s="116"/>
      <c r="BD28" s="116"/>
      <c r="BI28" s="116"/>
      <c r="BJ28" s="116"/>
      <c r="BL28" s="1569"/>
      <c r="BQ28" s="116"/>
      <c r="BR28" s="116"/>
      <c r="BW28" s="116"/>
      <c r="BX28" s="116"/>
      <c r="BY28" s="264"/>
      <c r="BZ28" s="1569"/>
      <c r="CI28" s="264"/>
      <c r="CJ28" s="1000"/>
      <c r="CS28" s="264"/>
      <c r="CT28" s="1000"/>
      <c r="CZ28" s="264"/>
      <c r="DA28" s="1569"/>
      <c r="DJ28" s="264"/>
      <c r="DK28" s="1003"/>
      <c r="DR28" s="264"/>
      <c r="DS28" s="1003"/>
      <c r="EB28" s="264"/>
      <c r="EC28" s="1003"/>
    </row>
    <row r="29" spans="1:133" x14ac:dyDescent="0.3">
      <c r="A29" s="995"/>
      <c r="B29" s="920"/>
      <c r="C29" s="920"/>
      <c r="D29" s="920"/>
      <c r="E29" s="920"/>
      <c r="F29" s="995"/>
      <c r="G29" s="920"/>
      <c r="H29" s="920"/>
      <c r="I29" s="920"/>
      <c r="J29" s="920"/>
      <c r="K29" s="920"/>
      <c r="L29" s="1569"/>
      <c r="Q29" s="116"/>
      <c r="R29" s="116"/>
      <c r="W29" s="116"/>
      <c r="X29" s="116"/>
      <c r="Z29" s="1569"/>
      <c r="AE29" s="116"/>
      <c r="AF29" s="116"/>
      <c r="AI29" s="116"/>
      <c r="AJ29" s="116"/>
      <c r="AL29" s="1569"/>
      <c r="AO29" s="116"/>
      <c r="AP29" s="116"/>
      <c r="AU29" s="116"/>
      <c r="AV29" s="116"/>
      <c r="AX29" s="1569"/>
      <c r="BC29" s="116"/>
      <c r="BD29" s="116"/>
      <c r="BI29" s="116"/>
      <c r="BJ29" s="116"/>
      <c r="BL29" s="1569"/>
      <c r="BQ29" s="116"/>
      <c r="BR29" s="116"/>
      <c r="BW29" s="116"/>
      <c r="BX29" s="116"/>
      <c r="BY29" s="264"/>
      <c r="BZ29" s="1569"/>
      <c r="CI29" s="264"/>
      <c r="CJ29" s="1000"/>
      <c r="CS29" s="264"/>
      <c r="CT29" s="1000"/>
      <c r="CZ29" s="264"/>
      <c r="DA29" s="1569"/>
      <c r="DJ29" s="264"/>
      <c r="DK29" s="1003"/>
      <c r="DR29" s="264"/>
      <c r="DS29" s="1003"/>
      <c r="EB29" s="264"/>
      <c r="EC29" s="1003"/>
    </row>
    <row r="30" spans="1:133" x14ac:dyDescent="0.3">
      <c r="A30" s="995"/>
      <c r="B30" s="920"/>
      <c r="C30" s="920"/>
      <c r="D30" s="920"/>
      <c r="E30" s="920"/>
      <c r="F30" s="995"/>
      <c r="G30" s="920"/>
      <c r="H30" s="920"/>
      <c r="I30" s="920"/>
      <c r="J30" s="920"/>
      <c r="K30" s="920"/>
      <c r="L30" s="1569"/>
      <c r="Q30" s="116"/>
      <c r="R30" s="116"/>
      <c r="W30" s="116"/>
      <c r="X30" s="116"/>
      <c r="Z30" s="1569"/>
      <c r="AE30" s="116"/>
      <c r="AF30" s="116"/>
      <c r="AI30" s="116"/>
      <c r="AJ30" s="116"/>
      <c r="AL30" s="1569"/>
      <c r="AO30" s="116"/>
      <c r="AP30" s="116"/>
      <c r="AU30" s="116"/>
      <c r="AV30" s="116"/>
      <c r="AX30" s="1569"/>
      <c r="BC30" s="116"/>
      <c r="BD30" s="116"/>
      <c r="BI30" s="116"/>
      <c r="BJ30" s="116"/>
      <c r="BL30" s="1569"/>
      <c r="BQ30" s="116"/>
      <c r="BR30" s="116"/>
      <c r="BW30" s="116"/>
      <c r="BX30" s="116"/>
      <c r="BY30" s="264"/>
      <c r="BZ30" s="1569"/>
      <c r="CI30" s="264"/>
      <c r="CJ30" s="1000"/>
      <c r="CS30" s="264"/>
      <c r="CT30" s="1000"/>
      <c r="CZ30" s="264"/>
      <c r="DA30" s="1569"/>
      <c r="DJ30" s="264"/>
      <c r="DK30" s="1003"/>
      <c r="DR30" s="264"/>
      <c r="DS30" s="1003"/>
      <c r="EB30" s="264"/>
      <c r="EC30" s="1003"/>
    </row>
    <row r="31" spans="1:133" x14ac:dyDescent="0.3">
      <c r="A31" s="995"/>
      <c r="B31" s="920"/>
      <c r="C31" s="920"/>
      <c r="D31" s="920"/>
      <c r="E31" s="920"/>
      <c r="F31" s="995"/>
      <c r="G31" s="920"/>
      <c r="H31" s="920"/>
      <c r="I31" s="920"/>
      <c r="J31" s="920"/>
      <c r="K31" s="920"/>
      <c r="L31" s="1569"/>
      <c r="Q31" s="116"/>
      <c r="R31" s="116"/>
      <c r="W31" s="116"/>
      <c r="X31" s="116"/>
      <c r="Z31" s="1569"/>
      <c r="AE31" s="116"/>
      <c r="AF31" s="116"/>
      <c r="AI31" s="116"/>
      <c r="AJ31" s="116"/>
      <c r="AL31" s="1569"/>
      <c r="AO31" s="116"/>
      <c r="AP31" s="116"/>
      <c r="AU31" s="116"/>
      <c r="AV31" s="116"/>
      <c r="AX31" s="1569"/>
      <c r="BC31" s="116"/>
      <c r="BD31" s="116"/>
      <c r="BI31" s="116"/>
      <c r="BJ31" s="116"/>
      <c r="BL31" s="1569"/>
      <c r="BZ31" s="1569"/>
      <c r="CJ31" s="1000"/>
      <c r="CT31" s="1000"/>
      <c r="DA31" s="1569"/>
      <c r="DK31" s="1003"/>
      <c r="DS31" s="1003"/>
      <c r="EC31" s="1003"/>
    </row>
    <row r="32" spans="1:133" x14ac:dyDescent="0.3">
      <c r="A32" s="995"/>
      <c r="B32" s="920"/>
      <c r="C32" s="920"/>
      <c r="D32" s="920"/>
      <c r="E32" s="920"/>
      <c r="F32" s="995"/>
      <c r="G32" s="920"/>
      <c r="H32" s="920"/>
      <c r="I32" s="920"/>
      <c r="J32" s="920"/>
      <c r="K32" s="920"/>
      <c r="L32" s="1569"/>
      <c r="Q32" s="116"/>
      <c r="R32" s="116"/>
      <c r="W32" s="116"/>
      <c r="X32" s="116"/>
      <c r="Z32" s="1569"/>
      <c r="AE32" s="116"/>
      <c r="AF32" s="116"/>
      <c r="AI32" s="116"/>
      <c r="AJ32" s="116"/>
      <c r="AL32" s="1569"/>
      <c r="AO32" s="116"/>
      <c r="AP32" s="116"/>
      <c r="AU32" s="116"/>
      <c r="AV32" s="116"/>
      <c r="AX32" s="1569"/>
      <c r="BC32" s="116"/>
      <c r="BD32" s="116"/>
      <c r="BI32" s="116"/>
      <c r="BJ32" s="116"/>
      <c r="BL32" s="1569"/>
      <c r="BZ32" s="1569"/>
      <c r="CJ32" s="1000"/>
      <c r="CT32" s="1000"/>
      <c r="DA32" s="1569"/>
      <c r="DK32" s="1003"/>
      <c r="DS32" s="1003"/>
      <c r="EC32" s="1003"/>
    </row>
    <row r="33" spans="1:133" x14ac:dyDescent="0.3">
      <c r="A33" s="995"/>
      <c r="B33" s="920"/>
      <c r="C33" s="920"/>
      <c r="D33" s="920"/>
      <c r="E33" s="920"/>
      <c r="F33" s="995"/>
      <c r="G33" s="920"/>
      <c r="H33" s="920"/>
      <c r="I33" s="920"/>
      <c r="J33" s="920"/>
      <c r="K33" s="920"/>
      <c r="L33" s="1569"/>
      <c r="Q33" s="116"/>
      <c r="R33" s="116"/>
      <c r="W33" s="116"/>
      <c r="X33" s="116"/>
      <c r="Z33" s="1569"/>
      <c r="AE33" s="116"/>
      <c r="AF33" s="116"/>
      <c r="AI33" s="116"/>
      <c r="AJ33" s="116"/>
      <c r="AL33" s="1569"/>
      <c r="AO33" s="116"/>
      <c r="AP33" s="116"/>
      <c r="AU33" s="116"/>
      <c r="AV33" s="116"/>
      <c r="AX33" s="1569"/>
      <c r="BC33" s="116"/>
      <c r="BD33" s="116"/>
      <c r="BI33" s="116"/>
      <c r="BJ33" s="116"/>
      <c r="BL33" s="1569"/>
      <c r="BZ33" s="1569"/>
      <c r="CJ33" s="1000"/>
      <c r="CT33" s="1000"/>
      <c r="DA33" s="1569"/>
      <c r="DK33" s="1003"/>
      <c r="DS33" s="1003"/>
      <c r="EC33" s="1003"/>
    </row>
    <row r="34" spans="1:133" x14ac:dyDescent="0.3">
      <c r="A34" s="995"/>
      <c r="B34" s="920"/>
      <c r="C34" s="920"/>
      <c r="D34" s="920"/>
      <c r="E34" s="920"/>
      <c r="F34" s="995"/>
      <c r="G34" s="920"/>
      <c r="H34" s="920"/>
      <c r="I34" s="920"/>
      <c r="J34" s="920"/>
      <c r="K34" s="920"/>
      <c r="L34" s="1569"/>
      <c r="Q34" s="116"/>
      <c r="R34" s="116"/>
      <c r="W34" s="116"/>
      <c r="X34" s="116"/>
      <c r="Z34" s="1569"/>
      <c r="AE34" s="116"/>
      <c r="AF34" s="116"/>
      <c r="AI34" s="116"/>
      <c r="AJ34" s="116"/>
      <c r="AL34" s="1569"/>
      <c r="AO34" s="116"/>
      <c r="AP34" s="116"/>
      <c r="AU34" s="116"/>
      <c r="AV34" s="116"/>
      <c r="AX34" s="1569"/>
      <c r="BC34" s="116"/>
      <c r="BD34" s="116"/>
      <c r="BI34" s="116"/>
      <c r="BJ34" s="116"/>
      <c r="BL34" s="1569"/>
      <c r="BZ34" s="1569"/>
      <c r="CJ34" s="1000"/>
      <c r="CT34" s="1000"/>
      <c r="DA34" s="1569"/>
      <c r="DK34" s="1003"/>
      <c r="DS34" s="1003"/>
      <c r="EC34" s="1003"/>
    </row>
    <row r="35" spans="1:133" x14ac:dyDescent="0.3">
      <c r="A35" s="995"/>
      <c r="B35" s="920"/>
      <c r="C35" s="920"/>
      <c r="D35" s="920"/>
      <c r="E35" s="920"/>
      <c r="F35" s="995"/>
      <c r="G35" s="920"/>
      <c r="H35" s="920"/>
      <c r="I35" s="920"/>
      <c r="J35" s="920"/>
      <c r="K35" s="920"/>
      <c r="L35" s="1569"/>
      <c r="Q35" s="116"/>
      <c r="R35" s="116"/>
      <c r="W35" s="116"/>
      <c r="X35" s="116"/>
      <c r="Z35" s="1569"/>
      <c r="AE35" s="116"/>
      <c r="AF35" s="116"/>
      <c r="AI35" s="116"/>
      <c r="AJ35" s="116"/>
      <c r="AL35" s="1569"/>
      <c r="AO35" s="116"/>
      <c r="AP35" s="116"/>
      <c r="AU35" s="116"/>
      <c r="AV35" s="116"/>
      <c r="AX35" s="1569"/>
      <c r="BC35" s="116"/>
      <c r="BD35" s="116"/>
      <c r="BI35" s="116"/>
      <c r="BJ35" s="116"/>
      <c r="BL35" s="1569"/>
      <c r="BZ35" s="1569"/>
      <c r="CJ35" s="1000"/>
      <c r="CT35" s="1000"/>
      <c r="DA35" s="1569"/>
      <c r="DK35" s="1003"/>
      <c r="DS35" s="1003"/>
      <c r="EC35" s="1003"/>
    </row>
    <row r="36" spans="1:133" x14ac:dyDescent="0.3">
      <c r="A36" s="995"/>
      <c r="B36" s="920"/>
      <c r="C36" s="920"/>
      <c r="D36" s="920"/>
      <c r="E36" s="920"/>
      <c r="F36" s="995"/>
      <c r="G36" s="920"/>
      <c r="H36" s="920"/>
      <c r="I36" s="920"/>
      <c r="J36" s="920"/>
      <c r="K36" s="920"/>
      <c r="L36" s="1569"/>
      <c r="Q36" s="116"/>
      <c r="R36" s="116"/>
      <c r="W36" s="116"/>
      <c r="X36" s="116"/>
      <c r="Z36" s="1569"/>
      <c r="AE36" s="116"/>
      <c r="AF36" s="116"/>
      <c r="AI36" s="116"/>
      <c r="AJ36" s="116"/>
      <c r="AL36" s="1569"/>
      <c r="AO36" s="116"/>
      <c r="AP36" s="116"/>
      <c r="AU36" s="116"/>
      <c r="AV36" s="116"/>
      <c r="AX36" s="1569"/>
      <c r="BC36" s="116"/>
      <c r="BD36" s="116"/>
      <c r="BI36" s="116"/>
      <c r="BJ36" s="116"/>
      <c r="BL36" s="1569"/>
      <c r="BZ36" s="1569"/>
      <c r="CJ36" s="1000"/>
      <c r="CT36" s="1000"/>
      <c r="DA36" s="1569"/>
      <c r="DK36" s="1003"/>
      <c r="DS36" s="1003"/>
      <c r="EC36" s="1003"/>
    </row>
    <row r="37" spans="1:133" x14ac:dyDescent="0.3">
      <c r="A37" s="995"/>
      <c r="B37" s="920"/>
      <c r="C37" s="920"/>
      <c r="D37" s="920"/>
      <c r="E37" s="920"/>
      <c r="F37" s="995"/>
      <c r="G37" s="920"/>
      <c r="H37" s="920"/>
      <c r="I37" s="920"/>
      <c r="J37" s="920"/>
      <c r="K37" s="920"/>
      <c r="L37" s="1569"/>
      <c r="Q37" s="116"/>
      <c r="R37" s="116"/>
      <c r="W37" s="116"/>
      <c r="X37" s="116"/>
      <c r="Z37" s="1569"/>
      <c r="AE37" s="116"/>
      <c r="AF37" s="116"/>
      <c r="AI37" s="116"/>
      <c r="AJ37" s="116"/>
      <c r="AL37" s="1569"/>
      <c r="AO37" s="116"/>
      <c r="AP37" s="116"/>
      <c r="AU37" s="116"/>
      <c r="AV37" s="116"/>
      <c r="AX37" s="1569"/>
      <c r="BC37" s="116"/>
      <c r="BD37" s="116"/>
      <c r="BI37" s="116"/>
      <c r="BJ37" s="116"/>
      <c r="BL37" s="1569"/>
      <c r="BZ37" s="1569"/>
      <c r="CJ37" s="1000"/>
      <c r="CT37" s="1000"/>
      <c r="DA37" s="1569"/>
      <c r="DK37" s="1003"/>
      <c r="DS37" s="1003"/>
      <c r="EC37" s="1003"/>
    </row>
    <row r="38" spans="1:133" x14ac:dyDescent="0.3">
      <c r="A38" s="995"/>
      <c r="B38" s="920"/>
      <c r="C38" s="920"/>
      <c r="D38" s="920"/>
      <c r="E38" s="920"/>
      <c r="F38" s="995"/>
      <c r="G38" s="920"/>
      <c r="H38" s="920"/>
      <c r="I38" s="920"/>
      <c r="J38" s="920"/>
      <c r="K38" s="920"/>
      <c r="L38" s="1569"/>
      <c r="Q38" s="116"/>
      <c r="R38" s="116"/>
      <c r="W38" s="116"/>
      <c r="X38" s="116"/>
      <c r="Z38" s="1569"/>
      <c r="AE38" s="116"/>
      <c r="AF38" s="116"/>
      <c r="AI38" s="116"/>
      <c r="AJ38" s="116"/>
      <c r="AL38" s="1569"/>
      <c r="AO38" s="116"/>
      <c r="AP38" s="116"/>
      <c r="AU38" s="116"/>
      <c r="AV38" s="116"/>
      <c r="AX38" s="1569"/>
      <c r="BC38" s="116"/>
      <c r="BD38" s="116"/>
      <c r="BI38" s="116"/>
      <c r="BJ38" s="116"/>
      <c r="BL38" s="1569"/>
      <c r="BZ38" s="1569"/>
      <c r="CJ38" s="1000"/>
      <c r="CT38" s="1000"/>
      <c r="DA38" s="1569"/>
      <c r="DK38" s="1003"/>
      <c r="DS38" s="1003"/>
      <c r="EC38" s="1003"/>
    </row>
    <row r="39" spans="1:133" x14ac:dyDescent="0.3">
      <c r="A39" s="995"/>
      <c r="B39" s="920"/>
      <c r="C39" s="920"/>
      <c r="D39" s="996"/>
      <c r="E39" s="920"/>
      <c r="F39" s="995"/>
      <c r="G39" s="920"/>
      <c r="H39" s="920"/>
      <c r="I39" s="996"/>
      <c r="J39" s="920"/>
      <c r="K39" s="854"/>
      <c r="L39" s="1569"/>
      <c r="Q39" s="116"/>
      <c r="R39" s="116"/>
      <c r="W39" s="116"/>
      <c r="X39" s="116"/>
      <c r="Z39" s="1569"/>
      <c r="AE39" s="116"/>
      <c r="AF39" s="116"/>
      <c r="AI39" s="116"/>
      <c r="AJ39" s="116"/>
      <c r="AL39" s="1569"/>
      <c r="AO39" s="116"/>
      <c r="AP39" s="116"/>
      <c r="AU39" s="116"/>
      <c r="AV39" s="116"/>
      <c r="AX39" s="1569"/>
      <c r="BC39" s="116"/>
      <c r="BD39" s="116"/>
      <c r="BI39" s="116"/>
      <c r="BJ39" s="116"/>
      <c r="BL39" s="1569"/>
      <c r="BZ39" s="1569"/>
      <c r="CJ39" s="1000"/>
      <c r="CT39" s="1000"/>
      <c r="DA39" s="1569"/>
      <c r="DK39" s="1003"/>
      <c r="DS39" s="1003"/>
      <c r="EC39" s="1003"/>
    </row>
    <row r="40" spans="1:133" x14ac:dyDescent="0.3">
      <c r="A40" s="995"/>
      <c r="B40" s="920"/>
      <c r="C40" s="920"/>
      <c r="D40" s="920"/>
      <c r="E40" s="920"/>
      <c r="F40" s="995"/>
      <c r="G40" s="920"/>
      <c r="H40" s="920"/>
      <c r="I40" s="920"/>
      <c r="J40" s="920"/>
      <c r="K40" s="920"/>
      <c r="L40" s="1569"/>
      <c r="Q40" s="116"/>
      <c r="R40" s="116"/>
      <c r="W40" s="116"/>
      <c r="X40" s="116"/>
      <c r="Z40" s="1569"/>
      <c r="AE40" s="116"/>
      <c r="AF40" s="116"/>
      <c r="AI40" s="116"/>
      <c r="AJ40" s="116"/>
      <c r="AL40" s="1569"/>
      <c r="AO40" s="116"/>
      <c r="AP40" s="116"/>
      <c r="AU40" s="116"/>
      <c r="AV40" s="116"/>
      <c r="AX40" s="1569"/>
      <c r="BC40" s="116"/>
      <c r="BD40" s="116"/>
      <c r="BI40" s="116"/>
      <c r="BJ40" s="116"/>
      <c r="BL40" s="1569"/>
      <c r="BZ40" s="1569"/>
      <c r="CJ40" s="1000"/>
      <c r="CT40" s="1000"/>
      <c r="DA40" s="1569"/>
      <c r="DK40" s="1003"/>
      <c r="DS40" s="1003"/>
      <c r="EC40" s="1003"/>
    </row>
    <row r="41" spans="1:133" x14ac:dyDescent="0.3">
      <c r="A41" s="995"/>
      <c r="B41" s="920"/>
      <c r="C41" s="920"/>
      <c r="D41" s="920"/>
      <c r="E41" s="920"/>
      <c r="F41" s="995"/>
      <c r="G41" s="920"/>
      <c r="H41" s="920"/>
      <c r="I41" s="920"/>
      <c r="J41" s="920"/>
      <c r="K41" s="920"/>
      <c r="L41" s="1569"/>
      <c r="Q41" s="116"/>
      <c r="R41" s="116"/>
      <c r="W41" s="116"/>
      <c r="X41" s="116"/>
      <c r="Z41" s="1569"/>
      <c r="AE41" s="116"/>
      <c r="AF41" s="116"/>
      <c r="AI41" s="116"/>
      <c r="AJ41" s="116"/>
      <c r="AL41" s="1569"/>
      <c r="AO41" s="116"/>
      <c r="AP41" s="116"/>
      <c r="AU41" s="116"/>
      <c r="AV41" s="116"/>
      <c r="AX41" s="1569"/>
      <c r="BC41" s="116"/>
      <c r="BD41" s="116"/>
      <c r="BI41" s="116"/>
      <c r="BJ41" s="116"/>
      <c r="BL41" s="1569"/>
      <c r="BZ41" s="1569"/>
      <c r="CJ41" s="1000"/>
      <c r="CT41" s="1000"/>
      <c r="DA41" s="1569"/>
      <c r="DK41" s="1003"/>
      <c r="DS41" s="1003"/>
      <c r="EC41" s="1003"/>
    </row>
    <row r="42" spans="1:133" x14ac:dyDescent="0.3">
      <c r="A42" s="995"/>
      <c r="B42" s="920"/>
      <c r="C42" s="920"/>
      <c r="D42" s="920"/>
      <c r="E42" s="920"/>
      <c r="F42" s="995"/>
      <c r="G42" s="920"/>
      <c r="H42" s="920"/>
      <c r="I42" s="920"/>
      <c r="J42" s="920"/>
      <c r="K42" s="920"/>
      <c r="L42" s="1569"/>
      <c r="Q42" s="116"/>
      <c r="R42" s="116"/>
      <c r="W42" s="116"/>
      <c r="X42" s="116"/>
      <c r="Z42" s="1569"/>
      <c r="AE42" s="116"/>
      <c r="AF42" s="116"/>
      <c r="AI42" s="116"/>
      <c r="AJ42" s="116"/>
      <c r="AL42" s="1569"/>
      <c r="AO42" s="116"/>
      <c r="AP42" s="116"/>
      <c r="AU42" s="116"/>
      <c r="AV42" s="116"/>
      <c r="AX42" s="1569"/>
      <c r="BC42" s="116"/>
      <c r="BD42" s="116"/>
      <c r="BI42" s="116"/>
      <c r="BJ42" s="116"/>
      <c r="BL42" s="1569"/>
      <c r="BZ42" s="1569"/>
      <c r="CJ42" s="1000"/>
      <c r="CT42" s="1000"/>
      <c r="DA42" s="1569"/>
      <c r="DK42" s="1003"/>
      <c r="DS42" s="1003"/>
      <c r="EC42" s="1003"/>
    </row>
    <row r="43" spans="1:133" x14ac:dyDescent="0.3">
      <c r="A43" s="995"/>
      <c r="B43" s="920"/>
      <c r="C43" s="920"/>
      <c r="D43" s="920"/>
      <c r="E43" s="920"/>
      <c r="F43" s="995"/>
      <c r="G43" s="920"/>
      <c r="H43" s="920"/>
      <c r="I43" s="920"/>
      <c r="J43" s="920"/>
      <c r="K43" s="920"/>
      <c r="L43" s="1569"/>
      <c r="Q43" s="116"/>
      <c r="R43" s="116"/>
      <c r="W43" s="116"/>
      <c r="X43" s="116"/>
      <c r="Z43" s="1569"/>
      <c r="AE43" s="116"/>
      <c r="AF43" s="116"/>
      <c r="AI43" s="116"/>
      <c r="AJ43" s="116"/>
      <c r="AL43" s="1569"/>
      <c r="AO43" s="116"/>
      <c r="AP43" s="116"/>
      <c r="AU43" s="116"/>
      <c r="AV43" s="116"/>
      <c r="AX43" s="1569"/>
      <c r="BC43" s="116"/>
      <c r="BD43" s="116"/>
      <c r="BI43" s="116"/>
      <c r="BJ43" s="116"/>
      <c r="BL43" s="1569"/>
      <c r="BZ43" s="1569"/>
      <c r="CJ43" s="1000"/>
      <c r="CT43" s="1000"/>
      <c r="DA43" s="1569"/>
      <c r="DK43" s="1003"/>
      <c r="DS43" s="1003"/>
      <c r="EC43" s="1003"/>
    </row>
    <row r="44" spans="1:133" x14ac:dyDescent="0.3">
      <c r="A44" s="995"/>
      <c r="B44" s="920"/>
      <c r="C44" s="920"/>
      <c r="D44" s="920"/>
      <c r="E44" s="920"/>
      <c r="F44" s="995"/>
      <c r="G44" s="920"/>
      <c r="H44" s="920"/>
      <c r="I44" s="920"/>
      <c r="J44" s="920"/>
      <c r="K44" s="920"/>
      <c r="L44" s="1569"/>
      <c r="Q44" s="116"/>
      <c r="R44" s="116"/>
      <c r="W44" s="116"/>
      <c r="X44" s="116"/>
      <c r="Z44" s="1569"/>
      <c r="AE44" s="116"/>
      <c r="AF44" s="116"/>
      <c r="AI44" s="116"/>
      <c r="AJ44" s="116"/>
      <c r="AL44" s="1569"/>
      <c r="AO44" s="116"/>
      <c r="AP44" s="116"/>
      <c r="AU44" s="116"/>
      <c r="AV44" s="116"/>
      <c r="AX44" s="1569"/>
      <c r="BC44" s="116"/>
      <c r="BD44" s="116"/>
      <c r="BI44" s="116"/>
      <c r="BJ44" s="116"/>
      <c r="BL44" s="1569"/>
      <c r="BZ44" s="1569"/>
      <c r="CJ44" s="1000"/>
      <c r="CT44" s="1000"/>
      <c r="DA44" s="1569"/>
      <c r="DK44" s="1003"/>
      <c r="DS44" s="1003"/>
      <c r="EC44" s="1003"/>
    </row>
    <row r="45" spans="1:133" x14ac:dyDescent="0.3">
      <c r="A45" s="995"/>
      <c r="B45" s="920"/>
      <c r="C45" s="920"/>
      <c r="D45" s="920"/>
      <c r="E45" s="920"/>
      <c r="F45" s="995"/>
      <c r="G45" s="920"/>
      <c r="H45" s="920"/>
      <c r="I45" s="920"/>
      <c r="J45" s="920"/>
      <c r="K45" s="920"/>
      <c r="L45" s="1569"/>
      <c r="Q45" s="116"/>
      <c r="R45" s="116"/>
      <c r="W45" s="116"/>
      <c r="X45" s="116"/>
      <c r="Z45" s="1569"/>
      <c r="AE45" s="116"/>
      <c r="AF45" s="116"/>
      <c r="AI45" s="116"/>
      <c r="AJ45" s="116"/>
      <c r="AL45" s="1569"/>
      <c r="AO45" s="116"/>
      <c r="AP45" s="116"/>
      <c r="AU45" s="116"/>
      <c r="AV45" s="116"/>
      <c r="AX45" s="1569"/>
      <c r="BC45" s="116"/>
      <c r="BD45" s="116"/>
      <c r="BI45" s="116"/>
      <c r="BJ45" s="116"/>
      <c r="BL45" s="1569"/>
      <c r="BZ45" s="1569"/>
      <c r="CJ45" s="1000"/>
      <c r="CT45" s="1000"/>
      <c r="DA45" s="1569"/>
      <c r="DK45" s="1003"/>
      <c r="DS45" s="1003"/>
      <c r="EC45" s="1003"/>
    </row>
    <row r="46" spans="1:133" x14ac:dyDescent="0.3">
      <c r="A46" s="995"/>
      <c r="B46" s="920"/>
      <c r="C46" s="920"/>
      <c r="D46" s="920"/>
      <c r="E46" s="920"/>
      <c r="F46" s="995"/>
      <c r="G46" s="920"/>
      <c r="H46" s="920"/>
      <c r="I46" s="920"/>
      <c r="J46" s="920"/>
      <c r="K46" s="920"/>
      <c r="L46" s="1569"/>
      <c r="Q46" s="116"/>
      <c r="R46" s="116"/>
      <c r="W46" s="116"/>
      <c r="X46" s="116"/>
      <c r="Z46" s="1569"/>
      <c r="AE46" s="116"/>
      <c r="AF46" s="116"/>
      <c r="AI46" s="116"/>
      <c r="AJ46" s="116"/>
      <c r="AL46" s="1569"/>
      <c r="AO46" s="116"/>
      <c r="AP46" s="116"/>
      <c r="AU46" s="116"/>
      <c r="AV46" s="116"/>
      <c r="AX46" s="1569"/>
      <c r="BL46" s="1569"/>
      <c r="BZ46" s="1569"/>
      <c r="CJ46" s="1000"/>
      <c r="CT46" s="1000"/>
      <c r="DA46" s="1569"/>
      <c r="DK46" s="1003"/>
      <c r="DS46" s="1003"/>
      <c r="EC46" s="1003"/>
    </row>
    <row r="47" spans="1:133" x14ac:dyDescent="0.3">
      <c r="A47" s="995"/>
      <c r="B47" s="920"/>
      <c r="C47" s="920"/>
      <c r="D47" s="920"/>
      <c r="E47" s="920"/>
      <c r="F47" s="995"/>
      <c r="G47" s="920"/>
      <c r="H47" s="920"/>
      <c r="I47" s="920"/>
      <c r="J47" s="920"/>
      <c r="K47" s="920"/>
      <c r="L47" s="1569"/>
      <c r="Q47" s="116"/>
      <c r="R47" s="116"/>
      <c r="W47" s="116"/>
      <c r="X47" s="116"/>
      <c r="Z47" s="1569"/>
      <c r="AE47" s="116"/>
      <c r="AF47" s="116"/>
      <c r="AI47" s="116"/>
      <c r="AJ47" s="116"/>
      <c r="AL47" s="1569"/>
      <c r="AO47" s="116"/>
      <c r="AP47" s="116"/>
      <c r="AU47" s="116"/>
      <c r="AV47" s="116"/>
      <c r="AX47" s="1569"/>
      <c r="BL47" s="1569"/>
      <c r="BZ47" s="1569"/>
      <c r="CJ47" s="1000"/>
      <c r="CT47" s="1000"/>
      <c r="DA47" s="1569"/>
      <c r="DK47" s="1003"/>
      <c r="DS47" s="1003"/>
      <c r="EC47" s="1003"/>
    </row>
    <row r="48" spans="1:133" x14ac:dyDescent="0.3">
      <c r="A48" s="995"/>
      <c r="B48" s="920"/>
      <c r="C48" s="920"/>
      <c r="D48" s="920"/>
      <c r="E48" s="920"/>
      <c r="F48" s="995"/>
      <c r="G48" s="920"/>
      <c r="H48" s="920"/>
      <c r="I48" s="920"/>
      <c r="J48" s="920"/>
      <c r="K48" s="920"/>
      <c r="L48" s="1569"/>
      <c r="Q48" s="116"/>
      <c r="R48" s="116"/>
      <c r="W48" s="116"/>
      <c r="X48" s="116"/>
      <c r="Z48" s="1569"/>
      <c r="AE48" s="116"/>
      <c r="AF48" s="116"/>
      <c r="AI48" s="116"/>
      <c r="AJ48" s="116"/>
      <c r="AL48" s="1569"/>
      <c r="AO48" s="116"/>
      <c r="AP48" s="116"/>
      <c r="AU48" s="116"/>
      <c r="AV48" s="116"/>
      <c r="AX48" s="1569"/>
      <c r="BL48" s="1569"/>
      <c r="BZ48" s="1569"/>
      <c r="CJ48" s="1000"/>
      <c r="CT48" s="1000"/>
      <c r="DA48" s="1569"/>
      <c r="DK48" s="1003"/>
      <c r="DS48" s="1003"/>
      <c r="EC48" s="1003"/>
    </row>
    <row r="49" spans="1:133" x14ac:dyDescent="0.3">
      <c r="A49" s="995"/>
      <c r="B49" s="920"/>
      <c r="C49" s="920"/>
      <c r="D49" s="920"/>
      <c r="E49" s="920"/>
      <c r="F49" s="995"/>
      <c r="G49" s="920"/>
      <c r="H49" s="920"/>
      <c r="I49" s="920"/>
      <c r="J49" s="920"/>
      <c r="K49" s="920"/>
      <c r="L49" s="1569"/>
      <c r="Q49" s="116"/>
      <c r="R49" s="116"/>
      <c r="W49" s="116"/>
      <c r="X49" s="116"/>
      <c r="Z49" s="1569"/>
      <c r="AE49" s="116"/>
      <c r="AF49" s="116"/>
      <c r="AI49" s="116"/>
      <c r="AJ49" s="116"/>
      <c r="AL49" s="1569"/>
      <c r="AO49" s="116"/>
      <c r="AP49" s="116"/>
      <c r="AU49" s="116"/>
      <c r="AV49" s="116"/>
      <c r="AX49" s="1569"/>
      <c r="BL49" s="1569"/>
      <c r="BZ49" s="1569"/>
      <c r="CJ49" s="1000"/>
      <c r="CT49" s="1000"/>
      <c r="DA49" s="1569"/>
      <c r="DK49" s="1003"/>
      <c r="DS49" s="1003"/>
      <c r="EC49" s="1003"/>
    </row>
    <row r="50" spans="1:133" x14ac:dyDescent="0.3">
      <c r="A50" s="995"/>
      <c r="B50" s="920"/>
      <c r="C50" s="920"/>
      <c r="D50" s="920"/>
      <c r="E50" s="920"/>
      <c r="F50" s="995"/>
      <c r="G50" s="920"/>
      <c r="H50" s="920"/>
      <c r="I50" s="920"/>
      <c r="J50" s="920"/>
      <c r="K50" s="920"/>
      <c r="L50" s="1569"/>
      <c r="Q50" s="116"/>
      <c r="R50" s="116"/>
      <c r="W50" s="116"/>
      <c r="X50" s="116"/>
      <c r="Z50" s="1569"/>
      <c r="AE50" s="116"/>
      <c r="AF50" s="116"/>
      <c r="AI50" s="116"/>
      <c r="AJ50" s="116"/>
      <c r="AL50" s="1569"/>
      <c r="AO50" s="116"/>
      <c r="AP50" s="116"/>
      <c r="AU50" s="116"/>
      <c r="AV50" s="116"/>
      <c r="AX50" s="1569"/>
      <c r="BL50" s="1569"/>
      <c r="BZ50" s="1569"/>
      <c r="CJ50" s="1000"/>
      <c r="CT50" s="1000"/>
      <c r="DA50" s="1569"/>
      <c r="DK50" s="1003"/>
      <c r="DS50" s="1003"/>
      <c r="EC50" s="1003"/>
    </row>
    <row r="51" spans="1:133" x14ac:dyDescent="0.3">
      <c r="A51" s="995"/>
      <c r="B51" s="920"/>
      <c r="C51" s="920"/>
      <c r="D51" s="996"/>
      <c r="E51" s="920"/>
      <c r="F51" s="995"/>
      <c r="G51" s="920"/>
      <c r="H51" s="920"/>
      <c r="I51" s="996"/>
      <c r="J51" s="920"/>
      <c r="K51" s="854"/>
      <c r="L51" s="1569"/>
      <c r="Q51" s="116"/>
      <c r="R51" s="116"/>
      <c r="W51" s="116"/>
      <c r="X51" s="116"/>
      <c r="AE51" s="116"/>
      <c r="AF51" s="116"/>
      <c r="AI51" s="116"/>
      <c r="AJ51" s="116"/>
      <c r="AL51" s="1569"/>
      <c r="AO51" s="116"/>
      <c r="AP51" s="116"/>
      <c r="AU51" s="116"/>
      <c r="AV51" s="116"/>
    </row>
    <row r="52" spans="1:133" x14ac:dyDescent="0.3">
      <c r="A52" s="995"/>
      <c r="B52" s="920"/>
      <c r="C52" s="920"/>
      <c r="D52" s="920"/>
      <c r="E52" s="920"/>
      <c r="F52" s="995"/>
      <c r="G52" s="920"/>
      <c r="H52" s="920"/>
      <c r="I52" s="920"/>
      <c r="J52" s="920"/>
      <c r="K52" s="920"/>
      <c r="L52" s="1569"/>
      <c r="Q52" s="116"/>
      <c r="R52" s="116"/>
      <c r="W52" s="116"/>
      <c r="X52" s="116"/>
      <c r="AE52" s="116"/>
      <c r="AF52" s="116"/>
      <c r="AI52" s="116"/>
      <c r="AJ52" s="116"/>
      <c r="AL52" s="1569"/>
      <c r="AO52" s="116"/>
      <c r="AP52" s="116"/>
      <c r="AU52" s="116"/>
      <c r="AV52" s="116"/>
    </row>
    <row r="53" spans="1:133" x14ac:dyDescent="0.3">
      <c r="A53" s="995"/>
      <c r="B53" s="920"/>
      <c r="C53" s="920"/>
      <c r="D53" s="920"/>
      <c r="E53" s="920"/>
      <c r="F53" s="995"/>
      <c r="G53" s="920"/>
      <c r="H53" s="920"/>
      <c r="I53" s="920"/>
      <c r="J53" s="920"/>
      <c r="K53" s="920"/>
      <c r="L53" s="1569"/>
      <c r="Q53" s="116"/>
      <c r="R53" s="116"/>
      <c r="W53" s="116"/>
      <c r="X53" s="116"/>
      <c r="AE53" s="116"/>
      <c r="AF53" s="116"/>
      <c r="AI53" s="116"/>
      <c r="AJ53" s="116"/>
      <c r="AL53" s="1569"/>
      <c r="AO53" s="116"/>
      <c r="AP53" s="116"/>
      <c r="AU53" s="116"/>
      <c r="AV53" s="116"/>
    </row>
    <row r="54" spans="1:133" x14ac:dyDescent="0.3">
      <c r="A54" s="995"/>
      <c r="B54" s="920"/>
      <c r="C54" s="997"/>
      <c r="D54" s="997"/>
      <c r="E54" s="997"/>
      <c r="F54" s="995"/>
      <c r="G54" s="920"/>
      <c r="H54" s="99"/>
      <c r="I54" s="99"/>
      <c r="J54" s="99"/>
      <c r="K54" s="99"/>
      <c r="L54" s="1569"/>
      <c r="Q54" s="116"/>
      <c r="R54" s="116"/>
      <c r="W54" s="116"/>
      <c r="X54" s="116"/>
      <c r="AE54" s="116"/>
      <c r="AF54" s="116"/>
      <c r="AI54" s="116"/>
      <c r="AJ54" s="116"/>
      <c r="AL54" s="1569"/>
      <c r="AO54" s="116"/>
      <c r="AP54" s="116"/>
      <c r="AU54" s="116"/>
      <c r="AV54" s="116"/>
    </row>
    <row r="55" spans="1:133" x14ac:dyDescent="0.3">
      <c r="A55" s="995"/>
      <c r="B55" s="920"/>
      <c r="C55" s="997"/>
      <c r="D55" s="997"/>
      <c r="E55" s="997"/>
      <c r="F55" s="995"/>
      <c r="G55" s="920"/>
      <c r="H55" s="99"/>
      <c r="I55" s="99"/>
      <c r="J55" s="99"/>
      <c r="K55" s="99"/>
      <c r="L55" s="1569"/>
      <c r="Q55" s="116"/>
      <c r="R55" s="116"/>
      <c r="W55" s="116"/>
      <c r="X55" s="116"/>
      <c r="AE55" s="116"/>
      <c r="AF55" s="116"/>
      <c r="AI55" s="116"/>
      <c r="AJ55" s="116"/>
      <c r="AL55" s="1569"/>
      <c r="AO55" s="116"/>
      <c r="AP55" s="116"/>
      <c r="AU55" s="116"/>
      <c r="AV55" s="116"/>
    </row>
    <row r="56" spans="1:133" x14ac:dyDescent="0.3">
      <c r="A56" s="995"/>
      <c r="B56" s="920"/>
      <c r="C56" s="998"/>
      <c r="D56" s="998"/>
      <c r="E56" s="998"/>
      <c r="F56" s="995"/>
      <c r="G56" s="920"/>
      <c r="H56" s="998"/>
      <c r="I56" s="998"/>
      <c r="J56" s="998"/>
      <c r="K56" s="99"/>
      <c r="L56" s="1569"/>
      <c r="Q56" s="116"/>
      <c r="R56" s="116"/>
      <c r="W56" s="116"/>
      <c r="X56" s="116"/>
      <c r="AE56" s="116"/>
      <c r="AF56" s="116"/>
      <c r="AI56" s="116"/>
      <c r="AJ56" s="116"/>
      <c r="AL56" s="1569"/>
      <c r="AO56" s="116"/>
      <c r="AP56" s="116"/>
      <c r="AU56" s="116"/>
      <c r="AV56" s="116"/>
    </row>
    <row r="57" spans="1:133" x14ac:dyDescent="0.3">
      <c r="A57" s="995"/>
      <c r="B57" s="920"/>
      <c r="C57" s="998"/>
      <c r="D57" s="998"/>
      <c r="E57" s="998"/>
      <c r="F57" s="995"/>
      <c r="G57" s="920"/>
      <c r="H57" s="998"/>
      <c r="I57" s="998"/>
      <c r="J57" s="998"/>
      <c r="K57" s="998"/>
      <c r="L57" s="1569"/>
      <c r="Q57" s="116"/>
      <c r="R57" s="116"/>
      <c r="W57" s="116"/>
      <c r="X57" s="116"/>
      <c r="AE57" s="116"/>
      <c r="AF57" s="116"/>
      <c r="AI57" s="116"/>
      <c r="AJ57" s="116"/>
      <c r="AL57" s="1569"/>
      <c r="AO57" s="116"/>
      <c r="AP57" s="116"/>
      <c r="AU57" s="116"/>
      <c r="AV57" s="116"/>
    </row>
    <row r="58" spans="1:133" x14ac:dyDescent="0.3">
      <c r="A58" s="995"/>
      <c r="B58" s="920"/>
      <c r="C58" s="998"/>
      <c r="D58" s="998"/>
      <c r="E58" s="998"/>
      <c r="F58" s="995"/>
      <c r="G58" s="920"/>
      <c r="H58" s="998"/>
      <c r="I58" s="998"/>
      <c r="J58" s="998"/>
      <c r="K58" s="998"/>
      <c r="L58" s="1569"/>
      <c r="AL58" s="1569"/>
    </row>
    <row r="59" spans="1:133" x14ac:dyDescent="0.3">
      <c r="A59" s="995"/>
      <c r="B59" s="920"/>
      <c r="C59" s="998"/>
      <c r="D59" s="998"/>
      <c r="E59" s="998"/>
      <c r="F59" s="995"/>
      <c r="G59" s="920"/>
      <c r="H59" s="998"/>
      <c r="I59" s="998"/>
      <c r="J59" s="998"/>
      <c r="K59" s="998"/>
      <c r="L59" s="1569"/>
      <c r="AL59" s="1569"/>
    </row>
    <row r="60" spans="1:133" x14ac:dyDescent="0.3">
      <c r="A60" s="995"/>
      <c r="B60" s="920"/>
      <c r="C60" s="998"/>
      <c r="D60" s="998"/>
      <c r="E60" s="998"/>
      <c r="F60" s="995"/>
      <c r="G60" s="920"/>
      <c r="H60" s="998"/>
      <c r="I60" s="998"/>
      <c r="J60" s="998"/>
      <c r="K60" s="998"/>
      <c r="L60" s="1569"/>
      <c r="AL60" s="1569"/>
    </row>
    <row r="61" spans="1:133" x14ac:dyDescent="0.3">
      <c r="A61" s="995"/>
      <c r="B61" s="920"/>
      <c r="C61" s="998"/>
      <c r="D61" s="998"/>
      <c r="E61" s="998"/>
      <c r="F61" s="995"/>
      <c r="G61" s="920"/>
      <c r="H61" s="998"/>
      <c r="I61" s="998"/>
      <c r="J61" s="998"/>
      <c r="K61" s="998"/>
      <c r="L61" s="1569"/>
      <c r="AL61" s="1569"/>
    </row>
    <row r="62" spans="1:133" x14ac:dyDescent="0.3">
      <c r="A62" s="995"/>
      <c r="B62" s="920"/>
      <c r="C62" s="998"/>
      <c r="D62" s="998"/>
      <c r="E62" s="998"/>
      <c r="F62" s="995"/>
      <c r="G62" s="920"/>
      <c r="H62" s="998"/>
      <c r="I62" s="998"/>
      <c r="J62" s="998"/>
      <c r="K62" s="998"/>
      <c r="L62" s="1569"/>
      <c r="AL62" s="1569"/>
    </row>
    <row r="63" spans="1:133" ht="29.1" customHeight="1" x14ac:dyDescent="0.3">
      <c r="A63" s="116"/>
      <c r="B63" s="116"/>
      <c r="C63" s="116"/>
      <c r="D63" s="116"/>
      <c r="E63" s="116"/>
      <c r="F63" s="987"/>
      <c r="G63" s="116"/>
      <c r="H63" s="116"/>
      <c r="I63" s="116"/>
      <c r="J63" s="116"/>
      <c r="K63" s="116"/>
      <c r="L63" s="1569"/>
      <c r="AL63" s="1569"/>
    </row>
    <row r="64" spans="1:133" x14ac:dyDescent="0.3">
      <c r="A64" s="116"/>
      <c r="B64" s="116"/>
      <c r="C64" s="116"/>
      <c r="D64" s="116"/>
      <c r="E64" s="116"/>
      <c r="F64" s="987"/>
      <c r="G64" s="116"/>
      <c r="H64" s="116"/>
      <c r="I64" s="116"/>
      <c r="J64" s="116"/>
      <c r="K64" s="116"/>
      <c r="L64" s="1569"/>
      <c r="AL64" s="1569"/>
    </row>
    <row r="65" spans="3:38" x14ac:dyDescent="0.3">
      <c r="L65" s="1569"/>
      <c r="AL65" s="1569"/>
    </row>
    <row r="66" spans="3:38" x14ac:dyDescent="0.3">
      <c r="L66" s="1569"/>
      <c r="AL66" s="1569"/>
    </row>
    <row r="67" spans="3:38" x14ac:dyDescent="0.3">
      <c r="L67" s="1569"/>
      <c r="AL67" s="1569"/>
    </row>
    <row r="68" spans="3:38" x14ac:dyDescent="0.3">
      <c r="L68" s="1569"/>
      <c r="AL68" s="1569"/>
    </row>
    <row r="69" spans="3:38" x14ac:dyDescent="0.3">
      <c r="L69" s="1569"/>
      <c r="AL69" s="1569"/>
    </row>
    <row r="70" spans="3:38" x14ac:dyDescent="0.3">
      <c r="L70" s="1569"/>
      <c r="AL70" s="1569"/>
    </row>
    <row r="71" spans="3:38" x14ac:dyDescent="0.3">
      <c r="L71" s="1569"/>
      <c r="AL71" s="1569"/>
    </row>
    <row r="72" spans="3:38" x14ac:dyDescent="0.3">
      <c r="L72" s="1569"/>
      <c r="AL72" s="1569"/>
    </row>
    <row r="73" spans="3:38" x14ac:dyDescent="0.3">
      <c r="L73" s="1569"/>
      <c r="AL73" s="1569"/>
    </row>
    <row r="74" spans="3:38" x14ac:dyDescent="0.3">
      <c r="L74" s="1569"/>
      <c r="AL74" s="1569"/>
    </row>
    <row r="75" spans="3:38" ht="29.1" customHeight="1" x14ac:dyDescent="0.3">
      <c r="L75" s="1569"/>
      <c r="AL75" s="1569"/>
    </row>
    <row r="76" spans="3:38" x14ac:dyDescent="0.3">
      <c r="L76" s="1569"/>
      <c r="AL76" s="1569"/>
    </row>
    <row r="77" spans="3:38" x14ac:dyDescent="0.3">
      <c r="L77" s="1569"/>
      <c r="AL77" s="1569"/>
    </row>
    <row r="78" spans="3:38" x14ac:dyDescent="0.3">
      <c r="L78" s="1569"/>
      <c r="AL78" s="1569"/>
    </row>
    <row r="79" spans="3:38" x14ac:dyDescent="0.3">
      <c r="C79" s="116"/>
      <c r="D79" s="116"/>
      <c r="E79" s="116"/>
      <c r="F79" s="116"/>
      <c r="G79" s="116"/>
      <c r="H79" s="116"/>
      <c r="I79" s="116"/>
      <c r="J79" s="116"/>
      <c r="K79" s="116"/>
      <c r="L79" s="1569"/>
      <c r="AL79" s="1569"/>
    </row>
    <row r="80" spans="3:38" x14ac:dyDescent="0.3">
      <c r="C80" s="116"/>
      <c r="D80" s="116"/>
      <c r="E80" s="116"/>
      <c r="F80" s="116"/>
      <c r="G80" s="116"/>
      <c r="H80" s="116"/>
      <c r="I80" s="116"/>
      <c r="J80" s="116"/>
      <c r="K80" s="116"/>
      <c r="L80" s="1569"/>
      <c r="AL80" s="1569"/>
    </row>
    <row r="81" spans="3:38" x14ac:dyDescent="0.3">
      <c r="C81" s="116"/>
      <c r="D81" s="116"/>
      <c r="E81" s="116"/>
      <c r="F81" s="116"/>
      <c r="G81" s="116"/>
      <c r="H81" s="116"/>
      <c r="I81" s="116"/>
      <c r="J81" s="116"/>
      <c r="K81" s="116"/>
      <c r="L81" s="1569"/>
      <c r="AL81" s="1569"/>
    </row>
    <row r="82" spans="3:38" x14ac:dyDescent="0.3">
      <c r="C82" s="116"/>
      <c r="D82" s="116"/>
      <c r="E82" s="116"/>
      <c r="F82" s="116"/>
      <c r="G82" s="116"/>
      <c r="H82" s="116"/>
      <c r="I82" s="116"/>
      <c r="J82" s="116"/>
      <c r="K82" s="116"/>
      <c r="L82" s="1569"/>
      <c r="AL82" s="1569"/>
    </row>
    <row r="83" spans="3:38" x14ac:dyDescent="0.3">
      <c r="C83" s="116"/>
      <c r="D83" s="116"/>
      <c r="E83" s="116"/>
      <c r="F83" s="116"/>
      <c r="G83" s="116"/>
      <c r="H83" s="116"/>
      <c r="I83" s="116"/>
      <c r="J83" s="116"/>
      <c r="K83" s="116"/>
      <c r="L83" s="1569"/>
      <c r="AL83" s="1569"/>
    </row>
    <row r="84" spans="3:38" x14ac:dyDescent="0.3">
      <c r="C84" s="116"/>
      <c r="D84" s="116"/>
      <c r="E84" s="116"/>
      <c r="F84" s="116"/>
      <c r="G84" s="116"/>
      <c r="H84" s="116"/>
      <c r="I84" s="116"/>
      <c r="J84" s="116"/>
      <c r="K84" s="116"/>
      <c r="L84" s="1569"/>
      <c r="AL84" s="1569"/>
    </row>
    <row r="85" spans="3:38" x14ac:dyDescent="0.3">
      <c r="C85" s="116"/>
      <c r="D85" s="116"/>
      <c r="E85" s="116"/>
      <c r="F85" s="116"/>
      <c r="G85" s="116"/>
      <c r="H85" s="116"/>
      <c r="I85" s="116"/>
      <c r="J85" s="116"/>
      <c r="K85" s="116"/>
      <c r="L85" s="1569"/>
      <c r="AL85" s="1569"/>
    </row>
    <row r="86" spans="3:38" x14ac:dyDescent="0.3">
      <c r="C86" s="116"/>
      <c r="D86" s="116"/>
      <c r="E86" s="116"/>
      <c r="F86" s="116"/>
      <c r="G86" s="116"/>
      <c r="H86" s="116"/>
      <c r="I86" s="116"/>
      <c r="J86" s="116"/>
      <c r="K86" s="116"/>
      <c r="L86" s="1569"/>
      <c r="AL86" s="1569"/>
    </row>
    <row r="87" spans="3:38" x14ac:dyDescent="0.3">
      <c r="C87" s="116"/>
      <c r="D87" s="116"/>
      <c r="E87" s="116"/>
      <c r="F87" s="116"/>
      <c r="G87" s="116"/>
      <c r="H87" s="116"/>
      <c r="I87" s="116"/>
      <c r="J87" s="116"/>
      <c r="K87" s="116"/>
      <c r="L87" s="1569"/>
      <c r="AL87" s="1569"/>
    </row>
    <row r="88" spans="3:38" x14ac:dyDescent="0.3">
      <c r="C88" s="116"/>
      <c r="D88" s="116"/>
      <c r="E88" s="116"/>
      <c r="F88" s="116"/>
      <c r="G88" s="116"/>
      <c r="H88" s="116"/>
      <c r="I88" s="116"/>
      <c r="J88" s="116"/>
      <c r="K88" s="116"/>
      <c r="L88" s="1569"/>
      <c r="AL88" s="1569"/>
    </row>
    <row r="89" spans="3:38" x14ac:dyDescent="0.3">
      <c r="C89" s="116"/>
      <c r="D89" s="116"/>
      <c r="E89" s="116"/>
      <c r="F89" s="116"/>
      <c r="G89" s="116"/>
      <c r="H89" s="116"/>
      <c r="I89" s="116"/>
      <c r="J89" s="116"/>
      <c r="K89" s="116"/>
      <c r="L89" s="1569"/>
      <c r="AL89" s="1569"/>
    </row>
    <row r="90" spans="3:38" x14ac:dyDescent="0.3">
      <c r="C90" s="116"/>
      <c r="D90" s="116"/>
      <c r="E90" s="116"/>
      <c r="F90" s="116"/>
      <c r="G90" s="116"/>
      <c r="H90" s="116"/>
      <c r="I90" s="116"/>
      <c r="J90" s="116"/>
      <c r="K90" s="116"/>
      <c r="L90" s="1569"/>
      <c r="AL90" s="1569"/>
    </row>
    <row r="91" spans="3:38" x14ac:dyDescent="0.3">
      <c r="C91" s="116"/>
      <c r="D91" s="116"/>
      <c r="E91" s="116"/>
      <c r="F91" s="116"/>
      <c r="G91" s="116"/>
      <c r="H91" s="116"/>
      <c r="I91" s="116"/>
      <c r="J91" s="116"/>
      <c r="K91" s="116"/>
      <c r="L91" s="1569"/>
      <c r="AL91" s="1569"/>
    </row>
    <row r="92" spans="3:38" x14ac:dyDescent="0.3">
      <c r="C92" s="116"/>
      <c r="D92" s="116"/>
      <c r="E92" s="116"/>
      <c r="F92" s="116"/>
      <c r="G92" s="116"/>
      <c r="H92" s="116"/>
      <c r="I92" s="116"/>
      <c r="J92" s="116"/>
      <c r="K92" s="116"/>
      <c r="L92" s="1569"/>
      <c r="AL92" s="1569"/>
    </row>
    <row r="93" spans="3:38" x14ac:dyDescent="0.3">
      <c r="C93" s="116"/>
      <c r="D93" s="116"/>
      <c r="E93" s="116"/>
      <c r="F93" s="116"/>
      <c r="G93" s="116"/>
      <c r="H93" s="116"/>
      <c r="I93" s="116"/>
      <c r="J93" s="116"/>
      <c r="K93" s="116"/>
      <c r="L93" s="1569"/>
    </row>
    <row r="94" spans="3:38" x14ac:dyDescent="0.3">
      <c r="C94" s="116"/>
      <c r="D94" s="116"/>
      <c r="E94" s="116"/>
      <c r="F94" s="116"/>
      <c r="G94" s="116"/>
      <c r="H94" s="116"/>
      <c r="I94" s="116"/>
      <c r="J94" s="116"/>
      <c r="K94" s="116"/>
      <c r="L94" s="1569"/>
    </row>
    <row r="95" spans="3:38" x14ac:dyDescent="0.3">
      <c r="C95" s="116"/>
      <c r="D95" s="116"/>
      <c r="E95" s="116"/>
      <c r="F95" s="116"/>
      <c r="G95" s="116"/>
      <c r="H95" s="116"/>
      <c r="I95" s="116"/>
      <c r="J95" s="116"/>
      <c r="K95" s="116"/>
      <c r="L95" s="1569"/>
    </row>
    <row r="96" spans="3:38" x14ac:dyDescent="0.3">
      <c r="C96" s="116"/>
      <c r="D96" s="116"/>
      <c r="E96" s="116"/>
      <c r="F96" s="116"/>
      <c r="G96" s="116"/>
      <c r="H96" s="116"/>
      <c r="I96" s="116"/>
      <c r="J96" s="116"/>
      <c r="K96" s="116"/>
      <c r="L96" s="1569"/>
    </row>
    <row r="97" spans="3:12" x14ac:dyDescent="0.3">
      <c r="C97" s="116"/>
      <c r="D97" s="116"/>
      <c r="E97" s="116"/>
      <c r="F97" s="116"/>
      <c r="G97" s="116"/>
      <c r="H97" s="116"/>
      <c r="I97" s="116"/>
      <c r="J97" s="116"/>
      <c r="K97" s="116"/>
      <c r="L97" s="1569"/>
    </row>
    <row r="98" spans="3:12" x14ac:dyDescent="0.3">
      <c r="C98" s="116"/>
      <c r="D98" s="116"/>
      <c r="E98" s="116"/>
      <c r="F98" s="116"/>
      <c r="G98" s="116"/>
      <c r="H98" s="116"/>
      <c r="I98" s="116"/>
      <c r="J98" s="116"/>
      <c r="K98" s="116"/>
      <c r="L98" s="1569"/>
    </row>
    <row r="99" spans="3:12" x14ac:dyDescent="0.3">
      <c r="C99" s="116"/>
      <c r="D99" s="116"/>
      <c r="E99" s="116"/>
      <c r="F99" s="116"/>
      <c r="G99" s="116"/>
      <c r="H99" s="116"/>
      <c r="I99" s="116"/>
      <c r="J99" s="116"/>
      <c r="K99" s="116"/>
      <c r="L99" s="1569"/>
    </row>
    <row r="100" spans="3:12" x14ac:dyDescent="0.3">
      <c r="C100" s="116"/>
      <c r="D100" s="116"/>
      <c r="E100" s="116"/>
      <c r="F100" s="116"/>
      <c r="G100" s="116"/>
      <c r="H100" s="116"/>
      <c r="I100" s="116"/>
      <c r="J100" s="116"/>
      <c r="K100" s="116"/>
      <c r="L100" s="1569"/>
    </row>
    <row r="101" spans="3:12" x14ac:dyDescent="0.3">
      <c r="C101" s="116"/>
      <c r="D101" s="116"/>
      <c r="E101" s="116"/>
      <c r="F101" s="116"/>
      <c r="G101" s="116"/>
      <c r="H101" s="116"/>
      <c r="I101" s="116"/>
      <c r="J101" s="116"/>
      <c r="K101" s="116"/>
      <c r="L101" s="1569"/>
    </row>
    <row r="102" spans="3:12" x14ac:dyDescent="0.3">
      <c r="C102" s="116"/>
      <c r="D102" s="116"/>
      <c r="E102" s="116"/>
      <c r="F102" s="116"/>
      <c r="G102" s="116"/>
      <c r="H102" s="116"/>
      <c r="I102" s="116"/>
      <c r="J102" s="116"/>
      <c r="K102" s="116"/>
      <c r="L102" s="1569"/>
    </row>
    <row r="103" spans="3:12" x14ac:dyDescent="0.3">
      <c r="C103" s="116"/>
      <c r="D103" s="116"/>
      <c r="E103" s="116"/>
      <c r="F103" s="116"/>
      <c r="G103" s="116"/>
      <c r="H103" s="116"/>
      <c r="I103" s="116"/>
      <c r="J103" s="116"/>
      <c r="K103" s="116"/>
      <c r="L103" s="1569"/>
    </row>
    <row r="104" spans="3:12" x14ac:dyDescent="0.3">
      <c r="C104" s="116"/>
      <c r="D104" s="116"/>
      <c r="E104" s="116"/>
      <c r="F104" s="116"/>
      <c r="G104" s="116"/>
      <c r="H104" s="116"/>
      <c r="I104" s="116"/>
      <c r="J104" s="116"/>
      <c r="K104" s="116"/>
      <c r="L104" s="1569"/>
    </row>
    <row r="105" spans="3:12" x14ac:dyDescent="0.3">
      <c r="C105" s="116"/>
      <c r="D105" s="116"/>
      <c r="E105" s="116"/>
      <c r="F105" s="116"/>
      <c r="G105" s="116"/>
      <c r="H105" s="116"/>
      <c r="I105" s="116"/>
      <c r="J105" s="116"/>
      <c r="K105" s="116"/>
      <c r="L105" s="1569"/>
    </row>
    <row r="106" spans="3:12" x14ac:dyDescent="0.3">
      <c r="C106" s="116"/>
      <c r="D106" s="116"/>
      <c r="E106" s="116"/>
      <c r="F106" s="116"/>
      <c r="G106" s="116"/>
      <c r="H106" s="116"/>
      <c r="I106" s="116"/>
      <c r="J106" s="116"/>
      <c r="K106" s="116"/>
      <c r="L106" s="1569"/>
    </row>
    <row r="107" spans="3:12" x14ac:dyDescent="0.3">
      <c r="C107" s="116"/>
      <c r="D107" s="116"/>
      <c r="E107" s="116"/>
      <c r="F107" s="116"/>
      <c r="G107" s="116"/>
      <c r="H107" s="116"/>
      <c r="I107" s="116"/>
      <c r="J107" s="116"/>
      <c r="K107" s="116"/>
      <c r="L107" s="1569"/>
    </row>
    <row r="108" spans="3:12" x14ac:dyDescent="0.3">
      <c r="C108" s="116"/>
      <c r="D108" s="116"/>
      <c r="E108" s="116"/>
      <c r="F108" s="116"/>
      <c r="G108" s="116"/>
      <c r="H108" s="116"/>
      <c r="I108" s="116"/>
      <c r="J108" s="116"/>
      <c r="K108" s="116"/>
      <c r="L108" s="1569"/>
    </row>
    <row r="109" spans="3:12" x14ac:dyDescent="0.3">
      <c r="C109" s="116"/>
      <c r="D109" s="116"/>
      <c r="E109" s="116"/>
      <c r="F109" s="116"/>
      <c r="G109" s="116"/>
      <c r="H109" s="116"/>
      <c r="I109" s="116"/>
      <c r="J109" s="116"/>
      <c r="K109" s="116"/>
      <c r="L109" s="1569"/>
    </row>
    <row r="110" spans="3:12" x14ac:dyDescent="0.3">
      <c r="C110" s="116"/>
      <c r="D110" s="116"/>
      <c r="E110" s="116"/>
      <c r="F110" s="116"/>
      <c r="G110" s="116"/>
      <c r="H110" s="116"/>
      <c r="I110" s="116"/>
      <c r="J110" s="116"/>
      <c r="K110" s="116"/>
      <c r="L110" s="1569"/>
    </row>
    <row r="111" spans="3:12" x14ac:dyDescent="0.3">
      <c r="C111" s="116"/>
      <c r="D111" s="116"/>
      <c r="E111" s="116"/>
      <c r="F111" s="116"/>
      <c r="G111" s="116"/>
      <c r="H111" s="116"/>
      <c r="I111" s="116"/>
      <c r="J111" s="116"/>
      <c r="K111" s="116"/>
      <c r="L111" s="1569"/>
    </row>
    <row r="112" spans="3:12" x14ac:dyDescent="0.3">
      <c r="C112" s="116"/>
      <c r="D112" s="116"/>
      <c r="E112" s="116"/>
      <c r="F112" s="116"/>
      <c r="G112" s="116"/>
      <c r="H112" s="116"/>
      <c r="I112" s="116"/>
      <c r="J112" s="116"/>
      <c r="K112" s="116"/>
      <c r="L112" s="1569"/>
    </row>
    <row r="113" spans="3:12" x14ac:dyDescent="0.3">
      <c r="C113" s="116"/>
      <c r="D113" s="116"/>
      <c r="E113" s="116"/>
      <c r="F113" s="116"/>
      <c r="G113" s="116"/>
      <c r="H113" s="116"/>
      <c r="I113" s="116"/>
      <c r="J113" s="116"/>
      <c r="K113" s="116"/>
      <c r="L113" s="1569"/>
    </row>
    <row r="114" spans="3:12" x14ac:dyDescent="0.3">
      <c r="C114" s="116"/>
      <c r="D114" s="116"/>
      <c r="E114" s="116"/>
      <c r="F114" s="116"/>
      <c r="G114" s="116"/>
      <c r="H114" s="116"/>
      <c r="I114" s="116"/>
      <c r="J114" s="116"/>
      <c r="K114" s="116"/>
      <c r="L114" s="1569"/>
    </row>
    <row r="115" spans="3:12" x14ac:dyDescent="0.3">
      <c r="C115" s="116"/>
      <c r="D115" s="116"/>
      <c r="E115" s="116"/>
      <c r="F115" s="116"/>
      <c r="G115" s="116"/>
      <c r="H115" s="116"/>
      <c r="I115" s="116"/>
      <c r="J115" s="116"/>
      <c r="K115" s="116"/>
      <c r="L115" s="1569"/>
    </row>
    <row r="116" spans="3:12" x14ac:dyDescent="0.3">
      <c r="C116" s="116"/>
      <c r="D116" s="116"/>
      <c r="E116" s="116"/>
      <c r="F116" s="116"/>
      <c r="G116" s="116"/>
      <c r="H116" s="116"/>
      <c r="I116" s="116"/>
      <c r="J116" s="116"/>
      <c r="K116" s="116"/>
      <c r="L116" s="1569"/>
    </row>
    <row r="117" spans="3:12" x14ac:dyDescent="0.3">
      <c r="C117" s="116"/>
      <c r="D117" s="116"/>
      <c r="E117" s="116"/>
      <c r="F117" s="116"/>
      <c r="G117" s="116"/>
      <c r="H117" s="116"/>
      <c r="I117" s="116"/>
      <c r="J117" s="116"/>
      <c r="K117" s="116"/>
      <c r="L117" s="1569"/>
    </row>
    <row r="118" spans="3:12" x14ac:dyDescent="0.3">
      <c r="C118" s="116"/>
      <c r="D118" s="116"/>
      <c r="E118" s="116"/>
      <c r="F118" s="116"/>
      <c r="G118" s="116"/>
      <c r="H118" s="116"/>
      <c r="I118" s="116"/>
      <c r="J118" s="116"/>
      <c r="K118" s="116"/>
      <c r="L118" s="1569"/>
    </row>
    <row r="119" spans="3:12" x14ac:dyDescent="0.3">
      <c r="C119" s="116"/>
      <c r="D119" s="116"/>
      <c r="E119" s="116"/>
      <c r="F119" s="116"/>
      <c r="G119" s="116"/>
      <c r="H119" s="116"/>
      <c r="I119" s="116"/>
      <c r="J119" s="116"/>
      <c r="K119" s="116"/>
      <c r="L119" s="1569"/>
    </row>
    <row r="120" spans="3:12" x14ac:dyDescent="0.3">
      <c r="C120" s="116"/>
      <c r="D120" s="116"/>
      <c r="E120" s="116"/>
      <c r="F120" s="116"/>
      <c r="G120" s="116"/>
      <c r="H120" s="116"/>
      <c r="I120" s="116"/>
      <c r="J120" s="116"/>
      <c r="K120" s="116"/>
      <c r="L120" s="1569"/>
    </row>
    <row r="121" spans="3:12" x14ac:dyDescent="0.3">
      <c r="C121" s="116"/>
      <c r="D121" s="116"/>
      <c r="E121" s="116"/>
      <c r="F121" s="116"/>
      <c r="G121" s="116"/>
      <c r="H121" s="116"/>
      <c r="I121" s="116"/>
      <c r="J121" s="116"/>
      <c r="K121" s="116"/>
      <c r="L121" s="1569"/>
    </row>
    <row r="122" spans="3:12" x14ac:dyDescent="0.3">
      <c r="C122" s="116"/>
      <c r="D122" s="116"/>
      <c r="E122" s="116"/>
      <c r="F122" s="116"/>
      <c r="G122" s="116"/>
      <c r="H122" s="116"/>
      <c r="I122" s="116"/>
      <c r="J122" s="116"/>
      <c r="K122" s="116"/>
      <c r="L122" s="1569"/>
    </row>
    <row r="123" spans="3:12" x14ac:dyDescent="0.3">
      <c r="C123" s="116"/>
      <c r="D123" s="116"/>
      <c r="E123" s="116"/>
      <c r="F123" s="116"/>
      <c r="G123" s="116"/>
      <c r="H123" s="116"/>
      <c r="I123" s="116"/>
      <c r="J123" s="116"/>
      <c r="K123" s="116"/>
      <c r="L123" s="1569"/>
    </row>
    <row r="124" spans="3:12" x14ac:dyDescent="0.3">
      <c r="C124" s="116"/>
      <c r="D124" s="116"/>
      <c r="E124" s="116"/>
      <c r="F124" s="116"/>
      <c r="G124" s="116"/>
      <c r="H124" s="116"/>
      <c r="I124" s="116"/>
      <c r="J124" s="116"/>
      <c r="K124" s="116"/>
      <c r="L124" s="1569"/>
    </row>
    <row r="125" spans="3:12" x14ac:dyDescent="0.3">
      <c r="C125" s="116"/>
      <c r="D125" s="116"/>
      <c r="E125" s="116"/>
      <c r="F125" s="116"/>
      <c r="G125" s="116"/>
      <c r="H125" s="116"/>
      <c r="I125" s="116"/>
      <c r="J125" s="116"/>
      <c r="K125" s="116"/>
      <c r="L125" s="1569"/>
    </row>
    <row r="126" spans="3:12" x14ac:dyDescent="0.3">
      <c r="C126" s="116"/>
      <c r="D126" s="116"/>
      <c r="E126" s="116"/>
      <c r="F126" s="116"/>
      <c r="G126" s="116"/>
      <c r="H126" s="116"/>
      <c r="I126" s="116"/>
      <c r="J126" s="116"/>
      <c r="K126" s="116"/>
      <c r="L126" s="1569"/>
    </row>
    <row r="127" spans="3:12" x14ac:dyDescent="0.3">
      <c r="C127" s="116"/>
      <c r="D127" s="116"/>
      <c r="E127" s="116"/>
      <c r="F127" s="116"/>
      <c r="G127" s="116"/>
      <c r="H127" s="116"/>
      <c r="I127" s="116"/>
      <c r="J127" s="116"/>
      <c r="K127" s="116"/>
      <c r="L127" s="1569"/>
    </row>
    <row r="128" spans="3:12" x14ac:dyDescent="0.3">
      <c r="C128" s="116"/>
      <c r="D128" s="116"/>
      <c r="E128" s="116"/>
      <c r="F128" s="116"/>
      <c r="G128" s="116"/>
      <c r="H128" s="116"/>
      <c r="I128" s="116"/>
      <c r="J128" s="116"/>
      <c r="K128" s="116"/>
      <c r="L128" s="1569"/>
    </row>
    <row r="129" spans="3:12" x14ac:dyDescent="0.3">
      <c r="C129" s="116"/>
      <c r="D129" s="116"/>
      <c r="E129" s="116"/>
      <c r="F129" s="116"/>
      <c r="G129" s="116"/>
      <c r="H129" s="116"/>
      <c r="I129" s="116"/>
      <c r="J129" s="116"/>
      <c r="K129" s="116"/>
      <c r="L129" s="1569"/>
    </row>
    <row r="130" spans="3:12" x14ac:dyDescent="0.3">
      <c r="L130" s="1569"/>
    </row>
    <row r="131" spans="3:12" x14ac:dyDescent="0.3">
      <c r="L131" s="1569"/>
    </row>
    <row r="132" spans="3:12" x14ac:dyDescent="0.3">
      <c r="L132" s="1569"/>
    </row>
    <row r="133" spans="3:12" x14ac:dyDescent="0.3">
      <c r="L133" s="1569"/>
    </row>
    <row r="134" spans="3:12" x14ac:dyDescent="0.3">
      <c r="L134" s="1569"/>
    </row>
    <row r="135" spans="3:12" x14ac:dyDescent="0.3">
      <c r="L135" s="1569"/>
    </row>
    <row r="136" spans="3:12" x14ac:dyDescent="0.3">
      <c r="L136" s="1569"/>
    </row>
    <row r="137" spans="3:12" x14ac:dyDescent="0.3">
      <c r="L137" s="1569"/>
    </row>
    <row r="138" spans="3:12" x14ac:dyDescent="0.3">
      <c r="L138" s="1569"/>
    </row>
    <row r="139" spans="3:12" x14ac:dyDescent="0.3">
      <c r="L139" s="1569"/>
    </row>
    <row r="140" spans="3:12" x14ac:dyDescent="0.3">
      <c r="L140" s="1569"/>
    </row>
    <row r="141" spans="3:12" x14ac:dyDescent="0.3">
      <c r="L141" s="1569"/>
    </row>
    <row r="142" spans="3:12" x14ac:dyDescent="0.3">
      <c r="L142" s="1569"/>
    </row>
    <row r="143" spans="3:12" x14ac:dyDescent="0.3">
      <c r="L143" s="1569"/>
    </row>
    <row r="144" spans="3:12" x14ac:dyDescent="0.3">
      <c r="L144" s="1569"/>
    </row>
    <row r="145" spans="12:12" x14ac:dyDescent="0.3">
      <c r="L145" s="1569"/>
    </row>
    <row r="146" spans="12:12" x14ac:dyDescent="0.3">
      <c r="L146" s="1569"/>
    </row>
    <row r="147" spans="12:12" x14ac:dyDescent="0.3">
      <c r="L147" s="1569"/>
    </row>
    <row r="148" spans="12:12" x14ac:dyDescent="0.3">
      <c r="L148" s="1569"/>
    </row>
    <row r="149" spans="12:12" x14ac:dyDescent="0.3">
      <c r="L149" s="1569"/>
    </row>
    <row r="150" spans="12:12" x14ac:dyDescent="0.3">
      <c r="L150" s="1569"/>
    </row>
    <row r="151" spans="12:12" x14ac:dyDescent="0.3">
      <c r="L151" s="1569"/>
    </row>
    <row r="152" spans="12:12" x14ac:dyDescent="0.3">
      <c r="L152" s="1569"/>
    </row>
    <row r="153" spans="12:12" x14ac:dyDescent="0.3">
      <c r="L153" s="1569"/>
    </row>
    <row r="154" spans="12:12" x14ac:dyDescent="0.3">
      <c r="L154" s="1569"/>
    </row>
    <row r="155" spans="12:12" x14ac:dyDescent="0.3">
      <c r="L155" s="1569"/>
    </row>
    <row r="156" spans="12:12" x14ac:dyDescent="0.3">
      <c r="L156" s="1569"/>
    </row>
    <row r="157" spans="12:12" x14ac:dyDescent="0.3">
      <c r="L157" s="1569"/>
    </row>
    <row r="158" spans="12:12" x14ac:dyDescent="0.3">
      <c r="L158" s="1569"/>
    </row>
    <row r="159" spans="12:12" x14ac:dyDescent="0.3">
      <c r="L159" s="1569"/>
    </row>
    <row r="160" spans="12:12" x14ac:dyDescent="0.3">
      <c r="L160" s="1569"/>
    </row>
    <row r="161" spans="12:12" x14ac:dyDescent="0.3">
      <c r="L161" s="1569"/>
    </row>
    <row r="162" spans="12:12" x14ac:dyDescent="0.3">
      <c r="L162" s="1569"/>
    </row>
    <row r="163" spans="12:12" x14ac:dyDescent="0.3">
      <c r="L163" s="1569"/>
    </row>
    <row r="164" spans="12:12" x14ac:dyDescent="0.3">
      <c r="L164" s="1569"/>
    </row>
    <row r="165" spans="12:12" x14ac:dyDescent="0.3">
      <c r="L165" s="1569"/>
    </row>
    <row r="166" spans="12:12" x14ac:dyDescent="0.3">
      <c r="L166" s="1569"/>
    </row>
    <row r="167" spans="12:12" x14ac:dyDescent="0.3">
      <c r="L167" s="1569"/>
    </row>
    <row r="168" spans="12:12" x14ac:dyDescent="0.3">
      <c r="L168" s="1569"/>
    </row>
    <row r="169" spans="12:12" x14ac:dyDescent="0.3">
      <c r="L169" s="1569"/>
    </row>
    <row r="170" spans="12:12" x14ac:dyDescent="0.3">
      <c r="L170" s="1569"/>
    </row>
    <row r="171" spans="12:12" x14ac:dyDescent="0.3">
      <c r="L171" s="1569"/>
    </row>
    <row r="172" spans="12:12" x14ac:dyDescent="0.3">
      <c r="L172" s="1569"/>
    </row>
    <row r="173" spans="12:12" x14ac:dyDescent="0.3">
      <c r="L173" s="1569"/>
    </row>
    <row r="174" spans="12:12" x14ac:dyDescent="0.3">
      <c r="L174" s="1569"/>
    </row>
    <row r="175" spans="12:12" x14ac:dyDescent="0.3">
      <c r="L175" s="1569"/>
    </row>
    <row r="176" spans="12:12" x14ac:dyDescent="0.3">
      <c r="L176" s="1569"/>
    </row>
    <row r="177" spans="12:12" x14ac:dyDescent="0.3">
      <c r="L177" s="1569"/>
    </row>
    <row r="178" spans="12:12" x14ac:dyDescent="0.3">
      <c r="L178" s="1569"/>
    </row>
    <row r="179" spans="12:12" x14ac:dyDescent="0.3">
      <c r="L179" s="1569"/>
    </row>
    <row r="180" spans="12:12" x14ac:dyDescent="0.3">
      <c r="L180" s="1569"/>
    </row>
    <row r="181" spans="12:12" x14ac:dyDescent="0.3">
      <c r="L181" s="1569"/>
    </row>
    <row r="182" spans="12:12" x14ac:dyDescent="0.3">
      <c r="L182" s="1569"/>
    </row>
    <row r="183" spans="12:12" x14ac:dyDescent="0.3">
      <c r="L183" s="1569"/>
    </row>
    <row r="184" spans="12:12" x14ac:dyDescent="0.3">
      <c r="L184" s="1569"/>
    </row>
    <row r="185" spans="12:12" x14ac:dyDescent="0.3">
      <c r="L185" s="1569"/>
    </row>
    <row r="186" spans="12:12" x14ac:dyDescent="0.3">
      <c r="L186" s="1569"/>
    </row>
    <row r="187" spans="12:12" x14ac:dyDescent="0.3">
      <c r="L187" s="1569"/>
    </row>
    <row r="188" spans="12:12" x14ac:dyDescent="0.3">
      <c r="L188" s="1569"/>
    </row>
    <row r="189" spans="12:12" x14ac:dyDescent="0.3">
      <c r="L189" s="1569"/>
    </row>
    <row r="190" spans="12:12" x14ac:dyDescent="0.3">
      <c r="L190" s="1569"/>
    </row>
    <row r="191" spans="12:12" x14ac:dyDescent="0.3">
      <c r="L191" s="1569"/>
    </row>
    <row r="192" spans="12:12" x14ac:dyDescent="0.3">
      <c r="L192" s="1569"/>
    </row>
    <row r="193" spans="12:12" x14ac:dyDescent="0.3">
      <c r="L193" s="1569"/>
    </row>
    <row r="194" spans="12:12" x14ac:dyDescent="0.3">
      <c r="L194" s="1569"/>
    </row>
    <row r="195" spans="12:12" x14ac:dyDescent="0.3">
      <c r="L195" s="1569"/>
    </row>
    <row r="196" spans="12:12" x14ac:dyDescent="0.3">
      <c r="L196" s="1569"/>
    </row>
    <row r="197" spans="12:12" x14ac:dyDescent="0.3">
      <c r="L197" s="1569"/>
    </row>
    <row r="198" spans="12:12" x14ac:dyDescent="0.3">
      <c r="L198" s="1569"/>
    </row>
    <row r="199" spans="12:12" x14ac:dyDescent="0.3">
      <c r="L199" s="1569"/>
    </row>
    <row r="200" spans="12:12" x14ac:dyDescent="0.3">
      <c r="L200" s="1569"/>
    </row>
  </sheetData>
  <mergeCells count="27">
    <mergeCell ref="ED1:EL1"/>
    <mergeCell ref="EL3:EL14"/>
    <mergeCell ref="BM1:BZ1"/>
    <mergeCell ref="Z3:Z50"/>
    <mergeCell ref="AX3:AX50"/>
    <mergeCell ref="BL3:BL50"/>
    <mergeCell ref="BZ3:BZ50"/>
    <mergeCell ref="AY1:BL1"/>
    <mergeCell ref="AM1:AX1"/>
    <mergeCell ref="AA1:AL1"/>
    <mergeCell ref="M1:Z1"/>
    <mergeCell ref="DA3:DA50"/>
    <mergeCell ref="AL3:AL92"/>
    <mergeCell ref="EM1:EU1"/>
    <mergeCell ref="EU3:EU14"/>
    <mergeCell ref="EV1:FD1"/>
    <mergeCell ref="FD3:FD14"/>
    <mergeCell ref="FE1:FM1"/>
    <mergeCell ref="FM3:FM14"/>
    <mergeCell ref="L3:L200"/>
    <mergeCell ref="A1:L1"/>
    <mergeCell ref="DL1:DS1"/>
    <mergeCell ref="DT1:EC1"/>
    <mergeCell ref="CK1:CT1"/>
    <mergeCell ref="CU1:DA1"/>
    <mergeCell ref="CA1:CJ1"/>
    <mergeCell ref="DB1:DK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tabColor rgb="FF7030A0"/>
  </sheetPr>
  <dimension ref="A1:A9"/>
  <sheetViews>
    <sheetView workbookViewId="0">
      <selection activeCell="L34" sqref="L34"/>
    </sheetView>
  </sheetViews>
  <sheetFormatPr defaultRowHeight="14.4" x14ac:dyDescent="0.3"/>
  <cols>
    <col min="1" max="1" width="18.44140625" customWidth="1"/>
  </cols>
  <sheetData>
    <row r="1" spans="1:1" x14ac:dyDescent="0.3">
      <c r="A1" t="s">
        <v>9620</v>
      </c>
    </row>
    <row r="2" spans="1:1" x14ac:dyDescent="0.3">
      <c r="A2" t="s">
        <v>9612</v>
      </c>
    </row>
    <row r="3" spans="1:1" x14ac:dyDescent="0.3">
      <c r="A3" t="s">
        <v>9621</v>
      </c>
    </row>
    <row r="4" spans="1:1" x14ac:dyDescent="0.3">
      <c r="A4" t="s">
        <v>9622</v>
      </c>
    </row>
    <row r="5" spans="1:1" x14ac:dyDescent="0.3">
      <c r="A5" t="s">
        <v>9623</v>
      </c>
    </row>
    <row r="6" spans="1:1" x14ac:dyDescent="0.3">
      <c r="A6" t="s">
        <v>9624</v>
      </c>
    </row>
    <row r="7" spans="1:1" x14ac:dyDescent="0.3">
      <c r="A7" t="s">
        <v>9613</v>
      </c>
    </row>
    <row r="8" spans="1:1" x14ac:dyDescent="0.3">
      <c r="A8" t="s">
        <v>9625</v>
      </c>
    </row>
    <row r="9" spans="1:1" x14ac:dyDescent="0.3">
      <c r="A9" t="s">
        <v>9626</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dimension ref="A1:X81"/>
  <sheetViews>
    <sheetView topLeftCell="L1" workbookViewId="0">
      <pane ySplit="2" topLeftCell="A3" activePane="bottomLeft" state="frozen"/>
      <selection pane="bottomLeft" activeCell="L3" sqref="L3:L60"/>
    </sheetView>
  </sheetViews>
  <sheetFormatPr defaultRowHeight="14.4" outlineLevelCol="1" x14ac:dyDescent="0.3"/>
  <cols>
    <col min="1" max="1" width="12.88671875" hidden="1" customWidth="1" outlineLevel="1"/>
    <col min="2" max="5" width="12.88671875" style="264" hidden="1" customWidth="1" outlineLevel="1"/>
    <col min="6" max="6" width="9.33203125" style="768" hidden="1" customWidth="1" outlineLevel="1"/>
    <col min="7" max="7" width="12.88671875" style="264" hidden="1" customWidth="1" outlineLevel="1"/>
    <col min="8" max="11" width="9.33203125" hidden="1" customWidth="1" outlineLevel="1"/>
    <col min="12" max="12" width="46.109375" customWidth="1" collapsed="1"/>
    <col min="13" max="13" width="12.88671875" hidden="1" customWidth="1" outlineLevel="1"/>
    <col min="14" max="17" width="12.88671875" style="264" hidden="1" customWidth="1" outlineLevel="1"/>
    <col min="18" max="18" width="9.33203125" style="768" hidden="1" customWidth="1" outlineLevel="1"/>
    <col min="19" max="19" width="12.88671875" style="264" hidden="1" customWidth="1" outlineLevel="1"/>
    <col min="20" max="23" width="9.33203125" hidden="1" customWidth="1" outlineLevel="1"/>
    <col min="24" max="24" width="33.88671875" customWidth="1" collapsed="1"/>
  </cols>
  <sheetData>
    <row r="1" spans="1:24" x14ac:dyDescent="0.3">
      <c r="A1" s="1478" t="s">
        <v>8681</v>
      </c>
      <c r="B1" s="1479"/>
      <c r="C1" s="1479"/>
      <c r="D1" s="1479"/>
      <c r="E1" s="1479"/>
      <c r="F1" s="1479"/>
      <c r="G1" s="1479"/>
      <c r="H1" s="1479"/>
      <c r="I1" s="1479"/>
      <c r="J1" s="1479"/>
      <c r="K1" s="1479"/>
      <c r="L1" s="1479"/>
      <c r="M1" s="1478" t="s">
        <v>8648</v>
      </c>
      <c r="N1" s="1479"/>
      <c r="O1" s="1479"/>
      <c r="P1" s="1479"/>
      <c r="Q1" s="1479"/>
      <c r="R1" s="1479"/>
      <c r="S1" s="1479"/>
      <c r="T1" s="1479"/>
      <c r="U1" s="1479"/>
      <c r="V1" s="1479"/>
      <c r="W1" s="1479"/>
      <c r="X1" s="1479"/>
    </row>
    <row r="2" spans="1:24" x14ac:dyDescent="0.3">
      <c r="A2" s="792" t="s">
        <v>8374</v>
      </c>
      <c r="B2" s="792" t="s">
        <v>8392</v>
      </c>
      <c r="C2" s="792" t="s">
        <v>8451</v>
      </c>
      <c r="D2" s="792"/>
      <c r="E2" s="792" t="s">
        <v>8547</v>
      </c>
      <c r="F2" s="792" t="s">
        <v>8374</v>
      </c>
      <c r="G2" s="792" t="s">
        <v>8393</v>
      </c>
      <c r="H2" s="792" t="s">
        <v>8546</v>
      </c>
      <c r="I2" s="792"/>
      <c r="J2" s="792" t="s">
        <v>8653</v>
      </c>
      <c r="K2" s="792" t="s">
        <v>8394</v>
      </c>
      <c r="L2" s="986" t="s">
        <v>8675</v>
      </c>
      <c r="M2" s="792" t="s">
        <v>8374</v>
      </c>
      <c r="N2" s="792" t="s">
        <v>8392</v>
      </c>
      <c r="O2" s="792" t="s">
        <v>8451</v>
      </c>
      <c r="P2" s="792"/>
      <c r="Q2" s="792" t="s">
        <v>8547</v>
      </c>
      <c r="R2" s="792" t="s">
        <v>8374</v>
      </c>
      <c r="S2" s="792" t="s">
        <v>8393</v>
      </c>
      <c r="T2" s="792" t="s">
        <v>8546</v>
      </c>
      <c r="U2" s="792"/>
      <c r="V2" s="792" t="s">
        <v>8653</v>
      </c>
      <c r="W2" s="792" t="s">
        <v>8394</v>
      </c>
      <c r="X2" s="992" t="s">
        <v>8675</v>
      </c>
    </row>
    <row r="3" spans="1:24" ht="29.1" customHeight="1" x14ac:dyDescent="0.3">
      <c r="A3" s="988" t="s">
        <v>8654</v>
      </c>
      <c r="B3" s="984" t="e">
        <f>SEARCH(A3,CHALLANGE_draft!$G$3)</f>
        <v>#VALUE!</v>
      </c>
      <c r="C3" s="984">
        <f>MIN(IFERROR(B3,99999),IFERROR(B4,99999),IFERROR(B5,99999),IFERROR(B6,99999),IFERROR(B7,99999),IFERROR(B8,99999),IFERROR(B9,99999),IFERROR(B10,99999),IFERROR(B11,99999),IFERROR(B12,99999),IFERROR(B13,99999),IFERROR(B14,99999))</f>
        <v>99999</v>
      </c>
      <c r="D3" s="870" t="str">
        <f>CHAR(10)</f>
        <v xml:space="preserve">
</v>
      </c>
      <c r="E3" s="334">
        <f>LEN(MID(CHALLANGE_draft!$G$3,1,C3))-LEN(IF(ISERROR(FIND(" ",MID(CHALLANGE_draft!$G$3,1,C3))),MID(CHALLANGE_draft!$G$3,1,C3),RIGHT(MID(CHALLANGE_draft!$G$3,1,C3),LEN(MID(CHALLANGE_draft!$G$3,1,C3))-FIND("~",SUBSTITUTE(MID(CHALLANGE_draft!$G$3,1,C3),D3,"~",LEN(MID(CHALLANGE_draft!$G$3,1,C3))-LEN(SUBSTITUTE(MID(CHALLANGE_draft!$G$3,1,C3),D3,"")))))))+1</f>
        <v>9085</v>
      </c>
      <c r="F3" s="988" t="s">
        <v>8714</v>
      </c>
      <c r="G3" s="984" t="e">
        <f>SEARCH(F3,CHALLANGE_draft!$G$3,C$3)</f>
        <v>#VALUE!</v>
      </c>
      <c r="H3" s="984">
        <f>MIN(IFERROR(G3,99999),IFERROR(G4,99999),IFERROR(G5,99999),IFERROR(G6,99999),IFERROR(G7,99999),IFERROR(G8,99999),IFERROR(G9,99999),IFERROR(G10,99999),IFERROR(G11,99999),IFERROR(G12,99999),IFERROR(G13,99999),IFERROR(G14,99999))</f>
        <v>99999</v>
      </c>
      <c r="I3" s="870" t="str">
        <f>CHAR(10)</f>
        <v xml:space="preserve">
</v>
      </c>
      <c r="J3" s="984" t="e">
        <f>SEARCH(I3,CHALLANGE_draft!$G$3,H3)</f>
        <v>#VALUE!</v>
      </c>
      <c r="K3" s="854" t="e">
        <f>J3-E3</f>
        <v>#VALUE!</v>
      </c>
      <c r="L3" s="1473" t="e">
        <f>MID(CHALLANGE_draft!$G$3,E3,K3)</f>
        <v>#VALUE!</v>
      </c>
      <c r="M3" s="870" t="s">
        <v>8883</v>
      </c>
      <c r="N3" s="994" t="e">
        <f>SEARCH(M3,L$3)</f>
        <v>#VALUE!</v>
      </c>
      <c r="O3" s="994">
        <f>MIN(IFERROR(N3,99999),IFERROR(N4,99999),IFERROR(N5,99999),IFERROR(N6,99999),IFERROR(N7,99999),IFERROR(N8,99999),IFERROR(N9,99999),IFERROR(N10,99999),IFERROR(N11,99999),IFERROR(N12,99999),IFERROR(N13,99999),IFERROR(N14,99999))</f>
        <v>99999</v>
      </c>
      <c r="P3" s="870" t="str">
        <f>CHAR(10)</f>
        <v xml:space="preserve">
</v>
      </c>
      <c r="Q3" s="334">
        <f>LEN(MID(CHALLANGE_draft!$G$3,1,O3))-LEN(IF(ISERROR(FIND(" ",MID(CHALLANGE_draft!$G$3,1,O3))),MID(CHALLANGE_draft!$G$3,1,O3),RIGHT(MID(CHALLANGE_draft!$G$3,1,O3),LEN(MID(CHALLANGE_draft!$G$3,1,O3))-FIND("~",SUBSTITUTE(MID(CHALLANGE_draft!$G$3,1,O3),P3,"~",LEN(MID(CHALLANGE_draft!$G$3,1,O3))-LEN(SUBSTITUTE(MID(CHALLANGE_draft!$G$3,1,O3),P3,"")))))))+1</f>
        <v>9085</v>
      </c>
      <c r="R3" s="993" t="s">
        <v>8513</v>
      </c>
      <c r="S3" s="994" t="e">
        <f>SEARCH(R3,CHALLANGE_draft!$G$3,O$3)</f>
        <v>#VALUE!</v>
      </c>
      <c r="T3" s="994">
        <f>MIN(IFERROR(S3,99999),IFERROR(S4,99999),IFERROR(S5,99999),IFERROR(S6,99999),IFERROR(S7,99999),IFERROR(S8,99999),IFERROR(S9,99999),IFERROR(S10,99999),IFERROR(S11,99999),IFERROR(S12,99999),IFERROR(S13,99999),IFERROR(S14,99999))</f>
        <v>99999</v>
      </c>
      <c r="U3" s="870" t="str">
        <f>CHAR(10)</f>
        <v xml:space="preserve">
</v>
      </c>
      <c r="V3" s="994" t="e">
        <f>SEARCH(U3,CHALLANGE_draft!$G$3,T3)</f>
        <v>#VALUE!</v>
      </c>
      <c r="W3" s="854" t="e">
        <f>V3-Q3</f>
        <v>#VALUE!</v>
      </c>
      <c r="X3" s="1474" t="e">
        <f>MID(CHALLANGE_draft!$G$3,Q3,W3)</f>
        <v>#VALUE!</v>
      </c>
    </row>
    <row r="4" spans="1:24" x14ac:dyDescent="0.3">
      <c r="A4" s="988" t="s">
        <v>8713</v>
      </c>
      <c r="B4" s="994" t="e">
        <f>SEARCH(A4,CHALLANGE_draft!$G$3)</f>
        <v>#VALUE!</v>
      </c>
      <c r="C4" s="984"/>
      <c r="D4" s="920"/>
      <c r="E4" s="920"/>
      <c r="F4" s="988" t="s">
        <v>8715</v>
      </c>
      <c r="G4" s="984" t="e">
        <f>SEARCH(F4,CHALLANGE_draft!$G$3,C$3)</f>
        <v>#VALUE!</v>
      </c>
      <c r="H4" s="984"/>
      <c r="I4" s="984"/>
      <c r="J4" s="984"/>
      <c r="K4" s="984"/>
      <c r="L4" s="1474"/>
      <c r="M4" s="993" t="s">
        <v>8513</v>
      </c>
      <c r="N4" s="1013" t="e">
        <f t="shared" ref="N4:N14" si="0">SEARCH(M4,L$3)</f>
        <v>#VALUE!</v>
      </c>
      <c r="O4" s="994"/>
      <c r="P4" s="920"/>
      <c r="Q4" s="920"/>
      <c r="R4" s="993" t="s">
        <v>8513</v>
      </c>
      <c r="S4" s="994" t="e">
        <f>SEARCH(R4,CHALLANGE_draft!$G$3,O$3)</f>
        <v>#VALUE!</v>
      </c>
      <c r="T4" s="994"/>
      <c r="U4" s="994"/>
      <c r="V4" s="994"/>
      <c r="W4" s="994"/>
      <c r="X4" s="1474"/>
    </row>
    <row r="5" spans="1:24" x14ac:dyDescent="0.3">
      <c r="A5" s="988" t="s">
        <v>8513</v>
      </c>
      <c r="B5" s="994" t="e">
        <f>SEARCH(A5,CHALLANGE_draft!$G$3)</f>
        <v>#VALUE!</v>
      </c>
      <c r="C5" s="984"/>
      <c r="D5" s="920"/>
      <c r="E5" s="920"/>
      <c r="F5" s="988" t="s">
        <v>8513</v>
      </c>
      <c r="G5" s="984" t="e">
        <f>SEARCH(F5,CHALLANGE_draft!$G$3,C$3)</f>
        <v>#VALUE!</v>
      </c>
      <c r="H5" s="984"/>
      <c r="I5" s="984"/>
      <c r="J5" s="984"/>
      <c r="K5" s="984"/>
      <c r="L5" s="1474"/>
      <c r="M5" s="1012" t="s">
        <v>8513</v>
      </c>
      <c r="N5" s="1013" t="e">
        <f t="shared" si="0"/>
        <v>#VALUE!</v>
      </c>
      <c r="O5" s="994"/>
      <c r="P5" s="920"/>
      <c r="Q5" s="920"/>
      <c r="R5" s="993" t="s">
        <v>8513</v>
      </c>
      <c r="S5" s="994" t="e">
        <f>SEARCH(R5,CHALLANGE_draft!$G$3,O$3)</f>
        <v>#VALUE!</v>
      </c>
      <c r="T5" s="994"/>
      <c r="U5" s="994"/>
      <c r="V5" s="994"/>
      <c r="W5" s="994"/>
      <c r="X5" s="1474"/>
    </row>
    <row r="6" spans="1:24" x14ac:dyDescent="0.3">
      <c r="A6" s="988" t="s">
        <v>8513</v>
      </c>
      <c r="B6" s="994" t="e">
        <f>SEARCH(A6,CHALLANGE_draft!$G$3)</f>
        <v>#VALUE!</v>
      </c>
      <c r="C6" s="984"/>
      <c r="D6" s="920"/>
      <c r="E6" s="920"/>
      <c r="F6" s="988" t="s">
        <v>8513</v>
      </c>
      <c r="G6" s="984" t="e">
        <f>SEARCH(F6,CHALLANGE_draft!$G$3,C$3)</f>
        <v>#VALUE!</v>
      </c>
      <c r="H6" s="984"/>
      <c r="I6" s="984"/>
      <c r="J6" s="984"/>
      <c r="K6" s="984"/>
      <c r="L6" s="1474"/>
      <c r="M6" s="993" t="s">
        <v>8513</v>
      </c>
      <c r="N6" s="1013" t="e">
        <f t="shared" si="0"/>
        <v>#VALUE!</v>
      </c>
      <c r="O6" s="994"/>
      <c r="P6" s="920"/>
      <c r="Q6" s="920"/>
      <c r="R6" s="993" t="s">
        <v>8513</v>
      </c>
      <c r="S6" s="994" t="e">
        <f>SEARCH(R6,CHALLANGE_draft!$G$3,O$3)</f>
        <v>#VALUE!</v>
      </c>
      <c r="T6" s="994"/>
      <c r="U6" s="994"/>
      <c r="V6" s="994"/>
      <c r="W6" s="994"/>
      <c r="X6" s="1474"/>
    </row>
    <row r="7" spans="1:24" x14ac:dyDescent="0.3">
      <c r="A7" s="988" t="s">
        <v>8513</v>
      </c>
      <c r="B7" s="994" t="e">
        <f>SEARCH(A7,CHALLANGE_draft!$G$3)</f>
        <v>#VALUE!</v>
      </c>
      <c r="C7" s="984"/>
      <c r="D7" s="920"/>
      <c r="E7" s="920"/>
      <c r="F7" s="988" t="s">
        <v>8513</v>
      </c>
      <c r="G7" s="984" t="e">
        <f>SEARCH(F7,CHALLANGE_draft!$G$3,C$3)</f>
        <v>#VALUE!</v>
      </c>
      <c r="H7" s="984"/>
      <c r="I7" s="984"/>
      <c r="J7" s="984"/>
      <c r="K7" s="984"/>
      <c r="L7" s="1474"/>
      <c r="M7" s="993" t="s">
        <v>8513</v>
      </c>
      <c r="N7" s="1013" t="e">
        <f t="shared" si="0"/>
        <v>#VALUE!</v>
      </c>
      <c r="O7" s="994"/>
      <c r="P7" s="920"/>
      <c r="Q7" s="920"/>
      <c r="R7" s="993" t="s">
        <v>8513</v>
      </c>
      <c r="S7" s="994" t="e">
        <f>SEARCH(R7,CHALLANGE_draft!$G$3,O$3)</f>
        <v>#VALUE!</v>
      </c>
      <c r="T7" s="994"/>
      <c r="U7" s="994"/>
      <c r="V7" s="994"/>
      <c r="W7" s="994"/>
      <c r="X7" s="1474"/>
    </row>
    <row r="8" spans="1:24" x14ac:dyDescent="0.3">
      <c r="A8" s="988" t="s">
        <v>8513</v>
      </c>
      <c r="B8" s="994" t="e">
        <f>SEARCH(A8,CHALLANGE_draft!$G$3)</f>
        <v>#VALUE!</v>
      </c>
      <c r="C8" s="984"/>
      <c r="D8" s="920"/>
      <c r="E8" s="920"/>
      <c r="F8" s="988" t="s">
        <v>8513</v>
      </c>
      <c r="G8" s="984" t="e">
        <f>SEARCH(F8,CHALLANGE_draft!$G$3,C$3)</f>
        <v>#VALUE!</v>
      </c>
      <c r="H8" s="984"/>
      <c r="I8" s="984"/>
      <c r="J8" s="984"/>
      <c r="K8" s="984"/>
      <c r="L8" s="1474"/>
      <c r="M8" s="993" t="s">
        <v>8513</v>
      </c>
      <c r="N8" s="1013" t="e">
        <f t="shared" si="0"/>
        <v>#VALUE!</v>
      </c>
      <c r="O8" s="994"/>
      <c r="P8" s="920"/>
      <c r="Q8" s="920"/>
      <c r="R8" s="993" t="s">
        <v>8513</v>
      </c>
      <c r="S8" s="994" t="e">
        <f>SEARCH(R8,CHALLANGE_draft!$G$3,O$3)</f>
        <v>#VALUE!</v>
      </c>
      <c r="T8" s="994"/>
      <c r="U8" s="994"/>
      <c r="V8" s="994"/>
      <c r="W8" s="994"/>
      <c r="X8" s="1474"/>
    </row>
    <row r="9" spans="1:24" x14ac:dyDescent="0.3">
      <c r="A9" s="988" t="s">
        <v>8513</v>
      </c>
      <c r="B9" s="994" t="e">
        <f>SEARCH(A9,CHALLANGE_draft!$G$3)</f>
        <v>#VALUE!</v>
      </c>
      <c r="C9" s="984"/>
      <c r="D9" s="920"/>
      <c r="E9" s="920"/>
      <c r="F9" s="988" t="s">
        <v>8513</v>
      </c>
      <c r="G9" s="984" t="e">
        <f>SEARCH(F9,CHALLANGE_draft!$G$3,C$3)</f>
        <v>#VALUE!</v>
      </c>
      <c r="H9" s="984"/>
      <c r="I9" s="984"/>
      <c r="J9" s="984"/>
      <c r="K9" s="984"/>
      <c r="L9" s="1474"/>
      <c r="M9" s="993" t="s">
        <v>8513</v>
      </c>
      <c r="N9" s="1013" t="e">
        <f t="shared" si="0"/>
        <v>#VALUE!</v>
      </c>
      <c r="O9" s="994"/>
      <c r="P9" s="920"/>
      <c r="Q9" s="920"/>
      <c r="R9" s="993" t="s">
        <v>8513</v>
      </c>
      <c r="S9" s="994" t="e">
        <f>SEARCH(R9,CHALLANGE_draft!$G$3,O$3)</f>
        <v>#VALUE!</v>
      </c>
      <c r="T9" s="994"/>
      <c r="U9" s="994"/>
      <c r="V9" s="994"/>
      <c r="W9" s="994"/>
      <c r="X9" s="1474"/>
    </row>
    <row r="10" spans="1:24" x14ac:dyDescent="0.3">
      <c r="A10" s="988" t="s">
        <v>8513</v>
      </c>
      <c r="B10" s="994" t="e">
        <f>SEARCH(A10,CHALLANGE_draft!$G$3)</f>
        <v>#VALUE!</v>
      </c>
      <c r="C10" s="984"/>
      <c r="D10" s="920"/>
      <c r="E10" s="920"/>
      <c r="F10" s="988" t="s">
        <v>8513</v>
      </c>
      <c r="G10" s="984" t="e">
        <f>SEARCH(F10,CHALLANGE_draft!$G$3,C$3)</f>
        <v>#VALUE!</v>
      </c>
      <c r="H10" s="984"/>
      <c r="I10" s="984"/>
      <c r="J10" s="984"/>
      <c r="K10" s="984"/>
      <c r="L10" s="1474"/>
      <c r="M10" s="993" t="s">
        <v>8513</v>
      </c>
      <c r="N10" s="1013" t="e">
        <f t="shared" si="0"/>
        <v>#VALUE!</v>
      </c>
      <c r="O10" s="994"/>
      <c r="P10" s="920"/>
      <c r="Q10" s="920"/>
      <c r="R10" s="993" t="s">
        <v>8513</v>
      </c>
      <c r="S10" s="994" t="e">
        <f>SEARCH(R10,CHALLANGE_draft!$G$3,O$3)</f>
        <v>#VALUE!</v>
      </c>
      <c r="T10" s="994"/>
      <c r="U10" s="994"/>
      <c r="V10" s="994"/>
      <c r="W10" s="994"/>
      <c r="X10" s="1474"/>
    </row>
    <row r="11" spans="1:24" x14ac:dyDescent="0.3">
      <c r="A11" s="988" t="s">
        <v>8513</v>
      </c>
      <c r="B11" s="994" t="e">
        <f>SEARCH(A11,CHALLANGE_draft!$G$3)</f>
        <v>#VALUE!</v>
      </c>
      <c r="C11" s="984"/>
      <c r="D11" s="920"/>
      <c r="E11" s="920"/>
      <c r="F11" s="988" t="s">
        <v>8513</v>
      </c>
      <c r="G11" s="984" t="e">
        <f>SEARCH(F11,CHALLANGE_draft!$G$3,C$3)</f>
        <v>#VALUE!</v>
      </c>
      <c r="H11" s="984"/>
      <c r="I11" s="984"/>
      <c r="J11" s="984"/>
      <c r="K11" s="984"/>
      <c r="L11" s="1474"/>
      <c r="M11" s="993" t="s">
        <v>8513</v>
      </c>
      <c r="N11" s="1013" t="e">
        <f t="shared" si="0"/>
        <v>#VALUE!</v>
      </c>
      <c r="O11" s="994"/>
      <c r="P11" s="920"/>
      <c r="Q11" s="920"/>
      <c r="R11" s="993" t="s">
        <v>8513</v>
      </c>
      <c r="S11" s="994" t="e">
        <f>SEARCH(R11,CHALLANGE_draft!$G$3,O$3)</f>
        <v>#VALUE!</v>
      </c>
      <c r="T11" s="994"/>
      <c r="U11" s="994"/>
      <c r="V11" s="994"/>
      <c r="W11" s="994"/>
      <c r="X11" s="1474"/>
    </row>
    <row r="12" spans="1:24" x14ac:dyDescent="0.3">
      <c r="A12" s="988" t="s">
        <v>8513</v>
      </c>
      <c r="B12" s="994" t="e">
        <f>SEARCH(A12,CHALLANGE_draft!$G$3)</f>
        <v>#VALUE!</v>
      </c>
      <c r="C12" s="984"/>
      <c r="D12" s="920"/>
      <c r="E12" s="920"/>
      <c r="F12" s="988" t="s">
        <v>8513</v>
      </c>
      <c r="G12" s="984" t="e">
        <f>SEARCH(F12,CHALLANGE_draft!$G$3,C$3)</f>
        <v>#VALUE!</v>
      </c>
      <c r="H12" s="984"/>
      <c r="I12" s="984"/>
      <c r="J12" s="984"/>
      <c r="K12" s="984"/>
      <c r="L12" s="1474"/>
      <c r="M12" s="993" t="s">
        <v>8513</v>
      </c>
      <c r="N12" s="1013" t="e">
        <f t="shared" si="0"/>
        <v>#VALUE!</v>
      </c>
      <c r="O12" s="994"/>
      <c r="P12" s="920"/>
      <c r="Q12" s="920"/>
      <c r="R12" s="993" t="s">
        <v>8513</v>
      </c>
      <c r="S12" s="994" t="e">
        <f>SEARCH(R12,CHALLANGE_draft!$G$3,O$3)</f>
        <v>#VALUE!</v>
      </c>
      <c r="T12" s="994"/>
      <c r="U12" s="994"/>
      <c r="V12" s="994"/>
      <c r="W12" s="994"/>
      <c r="X12" s="1474"/>
    </row>
    <row r="13" spans="1:24" x14ac:dyDescent="0.3">
      <c r="A13" s="988" t="s">
        <v>8513</v>
      </c>
      <c r="B13" s="994" t="e">
        <f>SEARCH(A13,CHALLANGE_draft!$G$3)</f>
        <v>#VALUE!</v>
      </c>
      <c r="C13" s="984"/>
      <c r="D13" s="920"/>
      <c r="E13" s="920"/>
      <c r="F13" s="988" t="s">
        <v>8513</v>
      </c>
      <c r="G13" s="984" t="e">
        <f>SEARCH(F13,CHALLANGE_draft!$G$3,C$3)</f>
        <v>#VALUE!</v>
      </c>
      <c r="H13" s="984"/>
      <c r="I13" s="984"/>
      <c r="J13" s="984"/>
      <c r="K13" s="984"/>
      <c r="L13" s="1474"/>
      <c r="M13" s="993" t="s">
        <v>8513</v>
      </c>
      <c r="N13" s="1013" t="e">
        <f t="shared" si="0"/>
        <v>#VALUE!</v>
      </c>
      <c r="O13" s="994"/>
      <c r="P13" s="920"/>
      <c r="Q13" s="920"/>
      <c r="R13" s="993" t="s">
        <v>8513</v>
      </c>
      <c r="S13" s="994" t="e">
        <f>SEARCH(R13,CHALLANGE_draft!$G$3,O$3)</f>
        <v>#VALUE!</v>
      </c>
      <c r="T13" s="994"/>
      <c r="U13" s="994"/>
      <c r="V13" s="994"/>
      <c r="W13" s="994"/>
      <c r="X13" s="1474"/>
    </row>
    <row r="14" spans="1:24" x14ac:dyDescent="0.3">
      <c r="A14" s="988" t="s">
        <v>8513</v>
      </c>
      <c r="B14" s="994" t="e">
        <f>SEARCH(A14,CHALLANGE_draft!$G$3)</f>
        <v>#VALUE!</v>
      </c>
      <c r="C14" s="984"/>
      <c r="D14" s="920"/>
      <c r="E14" s="920"/>
      <c r="F14" s="988" t="s">
        <v>8513</v>
      </c>
      <c r="G14" s="984" t="e">
        <f>SEARCH(F14,CHALLANGE_draft!$G$3,C$3)</f>
        <v>#VALUE!</v>
      </c>
      <c r="H14" s="984"/>
      <c r="I14" s="984"/>
      <c r="J14" s="984"/>
      <c r="K14" s="984"/>
      <c r="L14" s="1474"/>
      <c r="M14" s="993" t="s">
        <v>8513</v>
      </c>
      <c r="N14" s="1013" t="e">
        <f t="shared" si="0"/>
        <v>#VALUE!</v>
      </c>
      <c r="O14" s="994"/>
      <c r="P14" s="920"/>
      <c r="Q14" s="920"/>
      <c r="R14" s="993" t="s">
        <v>8513</v>
      </c>
      <c r="S14" s="994" t="e">
        <f>SEARCH(R14,CHALLANGE_draft!$G$3,O$3)</f>
        <v>#VALUE!</v>
      </c>
      <c r="T14" s="994"/>
      <c r="U14" s="994"/>
      <c r="V14" s="994"/>
      <c r="W14" s="994"/>
      <c r="X14" s="1474"/>
    </row>
    <row r="15" spans="1:24" x14ac:dyDescent="0.3">
      <c r="A15" s="116"/>
      <c r="B15" s="116"/>
      <c r="C15" s="116"/>
      <c r="D15" s="116"/>
      <c r="E15" s="116"/>
      <c r="F15" s="987"/>
      <c r="G15" s="116"/>
      <c r="H15" s="116"/>
      <c r="I15" s="116"/>
      <c r="J15" s="116"/>
      <c r="K15" s="116"/>
      <c r="L15" s="1474"/>
      <c r="M15" s="116"/>
      <c r="N15" s="116"/>
      <c r="O15" s="116"/>
      <c r="P15" s="116"/>
      <c r="Q15" s="116"/>
      <c r="R15" s="991"/>
      <c r="S15" s="116"/>
      <c r="T15" s="116"/>
      <c r="U15" s="116"/>
      <c r="V15" s="116"/>
      <c r="W15" s="116"/>
    </row>
    <row r="16" spans="1:24" x14ac:dyDescent="0.3">
      <c r="A16" s="116"/>
      <c r="B16" s="116"/>
      <c r="C16" s="116"/>
      <c r="D16" s="116"/>
      <c r="E16" s="116"/>
      <c r="F16" s="987"/>
      <c r="G16" s="116"/>
      <c r="H16" s="116"/>
      <c r="I16" s="116"/>
      <c r="J16" s="116"/>
      <c r="K16" s="116"/>
      <c r="L16" s="1474"/>
      <c r="M16" s="116"/>
      <c r="N16" s="116"/>
      <c r="O16" s="116"/>
      <c r="P16" s="116"/>
      <c r="Q16" s="116"/>
      <c r="R16" s="991"/>
      <c r="S16" s="116"/>
      <c r="T16" s="116"/>
      <c r="U16" s="116"/>
      <c r="V16" s="116"/>
      <c r="W16" s="116"/>
    </row>
    <row r="17" spans="3:24" x14ac:dyDescent="0.3">
      <c r="L17" s="1474"/>
    </row>
    <row r="18" spans="3:24" x14ac:dyDescent="0.3">
      <c r="L18" s="1474"/>
    </row>
    <row r="19" spans="3:24" x14ac:dyDescent="0.3">
      <c r="L19" s="1474"/>
    </row>
    <row r="20" spans="3:24" x14ac:dyDescent="0.3">
      <c r="L20" s="1474"/>
    </row>
    <row r="21" spans="3:24" x14ac:dyDescent="0.3">
      <c r="L21" s="1474"/>
    </row>
    <row r="22" spans="3:24" x14ac:dyDescent="0.3">
      <c r="L22" s="1474"/>
    </row>
    <row r="23" spans="3:24" x14ac:dyDescent="0.3">
      <c r="L23" s="1474"/>
    </row>
    <row r="24" spans="3:24" x14ac:dyDescent="0.3">
      <c r="L24" s="1474"/>
    </row>
    <row r="25" spans="3:24" x14ac:dyDescent="0.3">
      <c r="L25" s="1474"/>
    </row>
    <row r="26" spans="3:24" x14ac:dyDescent="0.3">
      <c r="L26" s="1474"/>
    </row>
    <row r="27" spans="3:24" x14ac:dyDescent="0.3">
      <c r="L27" s="1474"/>
    </row>
    <row r="28" spans="3:24" x14ac:dyDescent="0.3">
      <c r="L28" s="1474"/>
    </row>
    <row r="29" spans="3:24" x14ac:dyDescent="0.3">
      <c r="L29" s="1474"/>
    </row>
    <row r="30" spans="3:24" x14ac:dyDescent="0.3">
      <c r="L30" s="1474"/>
    </row>
    <row r="31" spans="3:24" x14ac:dyDescent="0.3">
      <c r="C31" s="116"/>
      <c r="D31" s="116"/>
      <c r="E31" s="116"/>
      <c r="F31" s="116"/>
      <c r="G31" s="116"/>
      <c r="H31" s="116"/>
      <c r="I31" s="116"/>
      <c r="J31" s="116"/>
      <c r="K31" s="116"/>
      <c r="L31" s="1474"/>
      <c r="O31" s="116"/>
      <c r="P31" s="116"/>
      <c r="Q31" s="116"/>
      <c r="R31" s="116"/>
      <c r="S31" s="116"/>
      <c r="T31" s="116"/>
      <c r="U31" s="116"/>
      <c r="V31" s="116"/>
      <c r="W31" s="116"/>
      <c r="X31" s="116"/>
    </row>
    <row r="32" spans="3:24" x14ac:dyDescent="0.3">
      <c r="C32" s="116"/>
      <c r="D32" s="116"/>
      <c r="E32" s="116"/>
      <c r="F32" s="116"/>
      <c r="G32" s="116"/>
      <c r="H32" s="116"/>
      <c r="I32" s="116"/>
      <c r="J32" s="116"/>
      <c r="K32" s="116"/>
      <c r="L32" s="1474"/>
      <c r="O32" s="116"/>
      <c r="P32" s="116"/>
      <c r="Q32" s="116"/>
      <c r="R32" s="116"/>
      <c r="S32" s="116"/>
      <c r="T32" s="116"/>
      <c r="U32" s="116"/>
      <c r="V32" s="116"/>
      <c r="W32" s="116"/>
      <c r="X32" s="116"/>
    </row>
    <row r="33" spans="3:24" x14ac:dyDescent="0.3">
      <c r="C33" s="116"/>
      <c r="D33" s="116"/>
      <c r="E33" s="116"/>
      <c r="F33" s="116"/>
      <c r="G33" s="116"/>
      <c r="H33" s="116"/>
      <c r="I33" s="116"/>
      <c r="J33" s="116"/>
      <c r="K33" s="116"/>
      <c r="L33" s="1474"/>
      <c r="O33" s="116"/>
      <c r="P33" s="116"/>
      <c r="Q33" s="116"/>
      <c r="R33" s="116"/>
      <c r="S33" s="116"/>
      <c r="T33" s="116"/>
      <c r="U33" s="116"/>
      <c r="V33" s="116"/>
      <c r="W33" s="116"/>
      <c r="X33" s="116"/>
    </row>
    <row r="34" spans="3:24" x14ac:dyDescent="0.3">
      <c r="C34" s="116"/>
      <c r="D34" s="116"/>
      <c r="E34" s="116"/>
      <c r="F34" s="116"/>
      <c r="G34" s="116"/>
      <c r="H34" s="116"/>
      <c r="I34" s="116"/>
      <c r="J34" s="116"/>
      <c r="K34" s="116"/>
      <c r="L34" s="1474"/>
      <c r="O34" s="116"/>
      <c r="P34" s="116"/>
      <c r="Q34" s="116"/>
      <c r="R34" s="116"/>
      <c r="S34" s="116"/>
      <c r="T34" s="116"/>
      <c r="U34" s="116"/>
      <c r="V34" s="116"/>
      <c r="W34" s="116"/>
      <c r="X34" s="116"/>
    </row>
    <row r="35" spans="3:24" x14ac:dyDescent="0.3">
      <c r="C35" s="116"/>
      <c r="D35" s="116"/>
      <c r="E35" s="116"/>
      <c r="F35" s="116"/>
      <c r="G35" s="116"/>
      <c r="H35" s="116"/>
      <c r="I35" s="116"/>
      <c r="J35" s="116"/>
      <c r="K35" s="116"/>
      <c r="L35" s="1474"/>
      <c r="O35" s="116"/>
      <c r="P35" s="116"/>
      <c r="Q35" s="116"/>
      <c r="R35" s="116"/>
      <c r="S35" s="116"/>
      <c r="T35" s="116"/>
      <c r="U35" s="116"/>
      <c r="V35" s="116"/>
      <c r="W35" s="116"/>
      <c r="X35" s="116"/>
    </row>
    <row r="36" spans="3:24" x14ac:dyDescent="0.3">
      <c r="C36" s="116"/>
      <c r="D36" s="116"/>
      <c r="E36" s="116"/>
      <c r="F36" s="116"/>
      <c r="G36" s="116"/>
      <c r="H36" s="116"/>
      <c r="I36" s="116"/>
      <c r="J36" s="116"/>
      <c r="K36" s="116"/>
      <c r="L36" s="1474"/>
      <c r="O36" s="116"/>
      <c r="P36" s="116"/>
      <c r="Q36" s="116"/>
      <c r="R36" s="116"/>
      <c r="S36" s="116"/>
      <c r="T36" s="116"/>
      <c r="U36" s="116"/>
      <c r="V36" s="116"/>
      <c r="W36" s="116"/>
      <c r="X36" s="116"/>
    </row>
    <row r="37" spans="3:24" x14ac:dyDescent="0.3">
      <c r="C37" s="116"/>
      <c r="D37" s="116"/>
      <c r="E37" s="116"/>
      <c r="F37" s="116"/>
      <c r="G37" s="116"/>
      <c r="H37" s="116"/>
      <c r="I37" s="116"/>
      <c r="J37" s="116"/>
      <c r="K37" s="116"/>
      <c r="L37" s="1474"/>
      <c r="O37" s="116"/>
      <c r="P37" s="116"/>
      <c r="Q37" s="116"/>
      <c r="R37" s="116"/>
      <c r="S37" s="116"/>
      <c r="T37" s="116"/>
      <c r="U37" s="116"/>
      <c r="V37" s="116"/>
      <c r="W37" s="116"/>
      <c r="X37" s="116"/>
    </row>
    <row r="38" spans="3:24" x14ac:dyDescent="0.3">
      <c r="C38" s="116"/>
      <c r="D38" s="116"/>
      <c r="E38" s="116"/>
      <c r="F38" s="116"/>
      <c r="G38" s="116"/>
      <c r="H38" s="116"/>
      <c r="I38" s="116"/>
      <c r="J38" s="116"/>
      <c r="K38" s="116"/>
      <c r="L38" s="1474"/>
      <c r="O38" s="116"/>
      <c r="P38" s="116"/>
      <c r="Q38" s="116"/>
      <c r="R38" s="116"/>
      <c r="S38" s="116"/>
      <c r="T38" s="116"/>
      <c r="U38" s="116"/>
      <c r="V38" s="116"/>
      <c r="W38" s="116"/>
      <c r="X38" s="116"/>
    </row>
    <row r="39" spans="3:24" x14ac:dyDescent="0.3">
      <c r="C39" s="116"/>
      <c r="D39" s="116"/>
      <c r="E39" s="116"/>
      <c r="F39" s="116"/>
      <c r="G39" s="116"/>
      <c r="H39" s="116"/>
      <c r="I39" s="116"/>
      <c r="J39" s="116"/>
      <c r="K39" s="116"/>
      <c r="L39" s="1474"/>
      <c r="O39" s="116"/>
      <c r="P39" s="116"/>
      <c r="Q39" s="116"/>
      <c r="R39" s="116"/>
      <c r="S39" s="116"/>
      <c r="T39" s="116"/>
      <c r="U39" s="116"/>
      <c r="V39" s="116"/>
      <c r="W39" s="116"/>
      <c r="X39" s="116"/>
    </row>
    <row r="40" spans="3:24" x14ac:dyDescent="0.3">
      <c r="C40" s="116"/>
      <c r="D40" s="116"/>
      <c r="E40" s="116"/>
      <c r="F40" s="116"/>
      <c r="G40" s="116"/>
      <c r="H40" s="116"/>
      <c r="I40" s="116"/>
      <c r="J40" s="116"/>
      <c r="K40" s="116"/>
      <c r="L40" s="1474"/>
      <c r="O40" s="116"/>
      <c r="P40" s="116"/>
      <c r="Q40" s="116"/>
      <c r="R40" s="116"/>
      <c r="S40" s="116"/>
      <c r="T40" s="116"/>
      <c r="U40" s="116"/>
      <c r="V40" s="116"/>
      <c r="W40" s="116"/>
      <c r="X40" s="116"/>
    </row>
    <row r="41" spans="3:24" x14ac:dyDescent="0.3">
      <c r="C41" s="116"/>
      <c r="D41" s="116"/>
      <c r="E41" s="116"/>
      <c r="F41" s="116"/>
      <c r="G41" s="116"/>
      <c r="H41" s="116"/>
      <c r="I41" s="116"/>
      <c r="J41" s="116"/>
      <c r="K41" s="116"/>
      <c r="L41" s="1474"/>
      <c r="O41" s="116"/>
      <c r="P41" s="116"/>
      <c r="Q41" s="116"/>
      <c r="R41" s="116"/>
      <c r="S41" s="116"/>
      <c r="T41" s="116"/>
      <c r="U41" s="116"/>
      <c r="V41" s="116"/>
      <c r="W41" s="116"/>
      <c r="X41" s="116"/>
    </row>
    <row r="42" spans="3:24" x14ac:dyDescent="0.3">
      <c r="C42" s="116"/>
      <c r="D42" s="116"/>
      <c r="E42" s="116"/>
      <c r="F42" s="116"/>
      <c r="G42" s="116"/>
      <c r="H42" s="116"/>
      <c r="I42" s="116"/>
      <c r="J42" s="116"/>
      <c r="K42" s="116"/>
      <c r="L42" s="1474"/>
      <c r="O42" s="116"/>
      <c r="P42" s="116"/>
      <c r="Q42" s="116"/>
      <c r="R42" s="116"/>
      <c r="S42" s="116"/>
      <c r="T42" s="116"/>
      <c r="U42" s="116"/>
      <c r="V42" s="116"/>
      <c r="W42" s="116"/>
      <c r="X42" s="116"/>
    </row>
    <row r="43" spans="3:24" x14ac:dyDescent="0.3">
      <c r="C43" s="116"/>
      <c r="D43" s="116"/>
      <c r="E43" s="116"/>
      <c r="F43" s="116"/>
      <c r="G43" s="116"/>
      <c r="H43" s="116"/>
      <c r="I43" s="116"/>
      <c r="J43" s="116"/>
      <c r="K43" s="116"/>
      <c r="L43" s="1474"/>
      <c r="O43" s="116"/>
      <c r="P43" s="116"/>
      <c r="Q43" s="116"/>
      <c r="R43" s="116"/>
      <c r="S43" s="116"/>
      <c r="T43" s="116"/>
      <c r="U43" s="116"/>
      <c r="V43" s="116"/>
      <c r="W43" s="116"/>
      <c r="X43" s="116"/>
    </row>
    <row r="44" spans="3:24" x14ac:dyDescent="0.3">
      <c r="C44" s="116"/>
      <c r="D44" s="116"/>
      <c r="E44" s="116"/>
      <c r="F44" s="116"/>
      <c r="G44" s="116"/>
      <c r="H44" s="116"/>
      <c r="I44" s="116"/>
      <c r="J44" s="116"/>
      <c r="K44" s="116"/>
      <c r="L44" s="1474"/>
      <c r="O44" s="116"/>
      <c r="P44" s="116"/>
      <c r="Q44" s="116"/>
      <c r="R44" s="116"/>
      <c r="S44" s="116"/>
      <c r="T44" s="116"/>
      <c r="U44" s="116"/>
      <c r="V44" s="116"/>
      <c r="W44" s="116"/>
      <c r="X44" s="116"/>
    </row>
    <row r="45" spans="3:24" x14ac:dyDescent="0.3">
      <c r="C45" s="116"/>
      <c r="D45" s="116"/>
      <c r="E45" s="116"/>
      <c r="F45" s="116"/>
      <c r="G45" s="116"/>
      <c r="H45" s="116"/>
      <c r="I45" s="116"/>
      <c r="J45" s="116"/>
      <c r="K45" s="116"/>
      <c r="L45" s="1474"/>
      <c r="O45" s="116"/>
      <c r="P45" s="116"/>
      <c r="Q45" s="116"/>
      <c r="R45" s="116"/>
      <c r="S45" s="116"/>
      <c r="T45" s="116"/>
      <c r="U45" s="116"/>
      <c r="V45" s="116"/>
      <c r="W45" s="116"/>
      <c r="X45" s="116"/>
    </row>
    <row r="46" spans="3:24" x14ac:dyDescent="0.3">
      <c r="C46" s="116"/>
      <c r="D46" s="116"/>
      <c r="E46" s="116"/>
      <c r="F46" s="116"/>
      <c r="G46" s="116"/>
      <c r="H46" s="116"/>
      <c r="I46" s="116"/>
      <c r="J46" s="116"/>
      <c r="K46" s="116"/>
      <c r="L46" s="1474"/>
      <c r="O46" s="116"/>
      <c r="P46" s="116"/>
      <c r="Q46" s="116"/>
      <c r="R46" s="116"/>
      <c r="S46" s="116"/>
      <c r="T46" s="116"/>
      <c r="U46" s="116"/>
      <c r="V46" s="116"/>
      <c r="W46" s="116"/>
      <c r="X46" s="116"/>
    </row>
    <row r="47" spans="3:24" x14ac:dyDescent="0.3">
      <c r="C47" s="116"/>
      <c r="D47" s="116"/>
      <c r="E47" s="116"/>
      <c r="F47" s="116"/>
      <c r="G47" s="116"/>
      <c r="H47" s="116"/>
      <c r="I47" s="116"/>
      <c r="J47" s="116"/>
      <c r="K47" s="116"/>
      <c r="L47" s="1474"/>
      <c r="O47" s="116"/>
      <c r="P47" s="116"/>
      <c r="Q47" s="116"/>
      <c r="R47" s="116"/>
      <c r="S47" s="116"/>
      <c r="T47" s="116"/>
      <c r="U47" s="116"/>
      <c r="V47" s="116"/>
      <c r="W47" s="116"/>
      <c r="X47" s="116"/>
    </row>
    <row r="48" spans="3:24" x14ac:dyDescent="0.3">
      <c r="C48" s="116"/>
      <c r="D48" s="116"/>
      <c r="E48" s="116"/>
      <c r="F48" s="116"/>
      <c r="G48" s="116"/>
      <c r="H48" s="116"/>
      <c r="I48" s="116"/>
      <c r="J48" s="116"/>
      <c r="K48" s="116"/>
      <c r="L48" s="1474"/>
      <c r="O48" s="116"/>
      <c r="P48" s="116"/>
      <c r="Q48" s="116"/>
      <c r="R48" s="116"/>
      <c r="S48" s="116"/>
      <c r="T48" s="116"/>
      <c r="U48" s="116"/>
      <c r="V48" s="116"/>
      <c r="W48" s="116"/>
      <c r="X48" s="116"/>
    </row>
    <row r="49" spans="3:24" x14ac:dyDescent="0.3">
      <c r="C49" s="116"/>
      <c r="D49" s="116"/>
      <c r="E49" s="116"/>
      <c r="F49" s="116"/>
      <c r="G49" s="116"/>
      <c r="H49" s="116"/>
      <c r="I49" s="116"/>
      <c r="J49" s="116"/>
      <c r="K49" s="116"/>
      <c r="L49" s="1474"/>
      <c r="O49" s="116"/>
      <c r="P49" s="116"/>
      <c r="Q49" s="116"/>
      <c r="R49" s="116"/>
      <c r="S49" s="116"/>
      <c r="T49" s="116"/>
      <c r="U49" s="116"/>
      <c r="V49" s="116"/>
      <c r="W49" s="116"/>
      <c r="X49" s="116"/>
    </row>
    <row r="50" spans="3:24" x14ac:dyDescent="0.3">
      <c r="C50" s="116"/>
      <c r="D50" s="116"/>
      <c r="E50" s="116"/>
      <c r="F50" s="116"/>
      <c r="G50" s="116"/>
      <c r="H50" s="116"/>
      <c r="I50" s="116"/>
      <c r="J50" s="116"/>
      <c r="K50" s="116"/>
      <c r="L50" s="1474"/>
      <c r="O50" s="116"/>
      <c r="P50" s="116"/>
      <c r="Q50" s="116"/>
      <c r="R50" s="116"/>
      <c r="S50" s="116"/>
      <c r="T50" s="116"/>
      <c r="U50" s="116"/>
      <c r="V50" s="116"/>
      <c r="W50" s="116"/>
      <c r="X50" s="116"/>
    </row>
    <row r="51" spans="3:24" x14ac:dyDescent="0.3">
      <c r="C51" s="116"/>
      <c r="D51" s="116"/>
      <c r="E51" s="116"/>
      <c r="F51" s="116"/>
      <c r="G51" s="116"/>
      <c r="H51" s="116"/>
      <c r="I51" s="116"/>
      <c r="J51" s="116"/>
      <c r="K51" s="116"/>
      <c r="L51" s="1474"/>
      <c r="O51" s="116"/>
      <c r="P51" s="116"/>
      <c r="Q51" s="116"/>
      <c r="R51" s="116"/>
      <c r="S51" s="116"/>
      <c r="T51" s="116"/>
      <c r="U51" s="116"/>
      <c r="V51" s="116"/>
      <c r="W51" s="116"/>
      <c r="X51" s="116"/>
    </row>
    <row r="52" spans="3:24" x14ac:dyDescent="0.3">
      <c r="C52" s="116"/>
      <c r="D52" s="116"/>
      <c r="E52" s="116"/>
      <c r="F52" s="116"/>
      <c r="G52" s="116"/>
      <c r="H52" s="116"/>
      <c r="I52" s="116"/>
      <c r="J52" s="116"/>
      <c r="K52" s="116"/>
      <c r="L52" s="1474"/>
      <c r="O52" s="116"/>
      <c r="P52" s="116"/>
      <c r="Q52" s="116"/>
      <c r="R52" s="116"/>
      <c r="S52" s="116"/>
      <c r="T52" s="116"/>
      <c r="U52" s="116"/>
      <c r="V52" s="116"/>
      <c r="W52" s="116"/>
      <c r="X52" s="116"/>
    </row>
    <row r="53" spans="3:24" x14ac:dyDescent="0.3">
      <c r="C53" s="116"/>
      <c r="D53" s="116"/>
      <c r="E53" s="116"/>
      <c r="F53" s="116"/>
      <c r="G53" s="116"/>
      <c r="H53" s="116"/>
      <c r="I53" s="116"/>
      <c r="J53" s="116"/>
      <c r="K53" s="116"/>
      <c r="L53" s="1474"/>
      <c r="O53" s="116"/>
      <c r="P53" s="116"/>
      <c r="Q53" s="116"/>
      <c r="R53" s="116"/>
      <c r="S53" s="116"/>
      <c r="T53" s="116"/>
      <c r="U53" s="116"/>
      <c r="V53" s="116"/>
      <c r="W53" s="116"/>
      <c r="X53" s="116"/>
    </row>
    <row r="54" spans="3:24" x14ac:dyDescent="0.3">
      <c r="C54" s="116"/>
      <c r="D54" s="116"/>
      <c r="E54" s="116"/>
      <c r="F54" s="116"/>
      <c r="G54" s="116"/>
      <c r="H54" s="116"/>
      <c r="I54" s="116"/>
      <c r="J54" s="116"/>
      <c r="K54" s="116"/>
      <c r="L54" s="1474"/>
      <c r="O54" s="116"/>
      <c r="P54" s="116"/>
      <c r="Q54" s="116"/>
      <c r="R54" s="116"/>
      <c r="S54" s="116"/>
      <c r="T54" s="116"/>
      <c r="U54" s="116"/>
      <c r="V54" s="116"/>
      <c r="W54" s="116"/>
      <c r="X54" s="116"/>
    </row>
    <row r="55" spans="3:24" x14ac:dyDescent="0.3">
      <c r="C55" s="116"/>
      <c r="D55" s="116"/>
      <c r="E55" s="116"/>
      <c r="F55" s="116"/>
      <c r="G55" s="116"/>
      <c r="H55" s="116"/>
      <c r="I55" s="116"/>
      <c r="J55" s="116"/>
      <c r="K55" s="116"/>
      <c r="L55" s="1474"/>
      <c r="O55" s="116"/>
      <c r="P55" s="116"/>
      <c r="Q55" s="116"/>
      <c r="R55" s="116"/>
      <c r="S55" s="116"/>
      <c r="T55" s="116"/>
      <c r="U55" s="116"/>
      <c r="V55" s="116"/>
      <c r="W55" s="116"/>
      <c r="X55" s="116"/>
    </row>
    <row r="56" spans="3:24" x14ac:dyDescent="0.3">
      <c r="C56" s="116"/>
      <c r="D56" s="116"/>
      <c r="E56" s="116"/>
      <c r="F56" s="116"/>
      <c r="G56" s="116"/>
      <c r="H56" s="116"/>
      <c r="I56" s="116"/>
      <c r="J56" s="116"/>
      <c r="K56" s="116"/>
      <c r="L56" s="1474"/>
      <c r="O56" s="116"/>
      <c r="P56" s="116"/>
      <c r="Q56" s="116"/>
      <c r="R56" s="116"/>
      <c r="S56" s="116"/>
      <c r="T56" s="116"/>
      <c r="U56" s="116"/>
      <c r="V56" s="116"/>
      <c r="W56" s="116"/>
      <c r="X56" s="116"/>
    </row>
    <row r="57" spans="3:24" x14ac:dyDescent="0.3">
      <c r="C57" s="116"/>
      <c r="D57" s="116"/>
      <c r="E57" s="116"/>
      <c r="F57" s="116"/>
      <c r="G57" s="116"/>
      <c r="H57" s="116"/>
      <c r="I57" s="116"/>
      <c r="J57" s="116"/>
      <c r="K57" s="116"/>
      <c r="L57" s="1474"/>
      <c r="O57" s="116"/>
      <c r="P57" s="116"/>
      <c r="Q57" s="116"/>
      <c r="R57" s="116"/>
      <c r="S57" s="116"/>
      <c r="T57" s="116"/>
      <c r="U57" s="116"/>
      <c r="V57" s="116"/>
      <c r="W57" s="116"/>
      <c r="X57" s="116"/>
    </row>
    <row r="58" spans="3:24" x14ac:dyDescent="0.3">
      <c r="C58" s="116"/>
      <c r="D58" s="116"/>
      <c r="E58" s="116"/>
      <c r="F58" s="116"/>
      <c r="G58" s="116"/>
      <c r="H58" s="116"/>
      <c r="I58" s="116"/>
      <c r="J58" s="116"/>
      <c r="K58" s="116"/>
      <c r="L58" s="1474"/>
      <c r="O58" s="116"/>
      <c r="P58" s="116"/>
      <c r="Q58" s="116"/>
      <c r="R58" s="116"/>
      <c r="S58" s="116"/>
      <c r="T58" s="116"/>
      <c r="U58" s="116"/>
      <c r="V58" s="116"/>
      <c r="W58" s="116"/>
      <c r="X58" s="116"/>
    </row>
    <row r="59" spans="3:24" x14ac:dyDescent="0.3">
      <c r="C59" s="116"/>
      <c r="D59" s="116"/>
      <c r="E59" s="116"/>
      <c r="F59" s="116"/>
      <c r="G59" s="116"/>
      <c r="H59" s="116"/>
      <c r="I59" s="116"/>
      <c r="J59" s="116"/>
      <c r="K59" s="116"/>
      <c r="L59" s="1474"/>
      <c r="O59" s="116"/>
      <c r="P59" s="116"/>
      <c r="Q59" s="116"/>
      <c r="R59" s="116"/>
      <c r="S59" s="116"/>
      <c r="T59" s="116"/>
      <c r="U59" s="116"/>
      <c r="V59" s="116"/>
      <c r="W59" s="116"/>
      <c r="X59" s="116"/>
    </row>
    <row r="60" spans="3:24" x14ac:dyDescent="0.3">
      <c r="C60" s="116"/>
      <c r="D60" s="116"/>
      <c r="E60" s="116"/>
      <c r="F60" s="116"/>
      <c r="G60" s="116"/>
      <c r="H60" s="116"/>
      <c r="I60" s="116"/>
      <c r="J60" s="116"/>
      <c r="K60" s="116"/>
      <c r="L60" s="1474"/>
      <c r="O60" s="116"/>
      <c r="P60" s="116"/>
      <c r="Q60" s="116"/>
      <c r="R60" s="116"/>
      <c r="S60" s="116"/>
      <c r="T60" s="116"/>
      <c r="U60" s="116"/>
      <c r="V60" s="116"/>
      <c r="W60" s="116"/>
      <c r="X60" s="116"/>
    </row>
    <row r="61" spans="3:24" x14ac:dyDescent="0.3">
      <c r="C61" s="116"/>
      <c r="D61" s="116"/>
      <c r="E61" s="116"/>
      <c r="F61" s="116"/>
      <c r="G61" s="116"/>
      <c r="H61" s="116"/>
      <c r="I61" s="116"/>
      <c r="J61" s="116"/>
      <c r="K61" s="116"/>
      <c r="L61" s="116"/>
      <c r="O61" s="116"/>
      <c r="P61" s="116"/>
      <c r="Q61" s="116"/>
      <c r="R61" s="116"/>
      <c r="S61" s="116"/>
      <c r="T61" s="116"/>
      <c r="U61" s="116"/>
      <c r="V61" s="116"/>
      <c r="W61" s="116"/>
      <c r="X61" s="116"/>
    </row>
    <row r="62" spans="3:24" x14ac:dyDescent="0.3">
      <c r="C62" s="116"/>
      <c r="D62" s="116"/>
      <c r="E62" s="116"/>
      <c r="F62" s="116"/>
      <c r="G62" s="116"/>
      <c r="H62" s="116"/>
      <c r="I62" s="116"/>
      <c r="J62" s="116"/>
      <c r="K62" s="116"/>
      <c r="L62" s="116"/>
      <c r="O62" s="116"/>
      <c r="P62" s="116"/>
      <c r="Q62" s="116"/>
      <c r="R62" s="116"/>
      <c r="S62" s="116"/>
      <c r="T62" s="116"/>
      <c r="U62" s="116"/>
      <c r="V62" s="116"/>
      <c r="W62" s="116"/>
      <c r="X62" s="116"/>
    </row>
    <row r="63" spans="3:24" x14ac:dyDescent="0.3">
      <c r="C63" s="116"/>
      <c r="D63" s="116"/>
      <c r="E63" s="116"/>
      <c r="F63" s="116"/>
      <c r="G63" s="116"/>
      <c r="H63" s="116"/>
      <c r="I63" s="116"/>
      <c r="J63" s="116"/>
      <c r="K63" s="116"/>
      <c r="L63" s="116"/>
      <c r="O63" s="116"/>
      <c r="P63" s="116"/>
      <c r="Q63" s="116"/>
      <c r="R63" s="116"/>
      <c r="S63" s="116"/>
      <c r="T63" s="116"/>
      <c r="U63" s="116"/>
      <c r="V63" s="116"/>
      <c r="W63" s="116"/>
      <c r="X63" s="116"/>
    </row>
    <row r="64" spans="3:24" x14ac:dyDescent="0.3">
      <c r="C64" s="116"/>
      <c r="D64" s="116"/>
      <c r="E64" s="116"/>
      <c r="F64" s="116"/>
      <c r="G64" s="116"/>
      <c r="H64" s="116"/>
      <c r="I64" s="116"/>
      <c r="J64" s="116"/>
      <c r="K64" s="116"/>
      <c r="L64" s="116"/>
      <c r="O64" s="116"/>
      <c r="P64" s="116"/>
      <c r="Q64" s="116"/>
      <c r="R64" s="116"/>
      <c r="S64" s="116"/>
      <c r="T64" s="116"/>
      <c r="U64" s="116"/>
      <c r="V64" s="116"/>
      <c r="W64" s="116"/>
      <c r="X64" s="116"/>
    </row>
    <row r="65" spans="3:24" x14ac:dyDescent="0.3">
      <c r="C65" s="116"/>
      <c r="D65" s="116"/>
      <c r="E65" s="116"/>
      <c r="F65" s="116"/>
      <c r="G65" s="116"/>
      <c r="H65" s="116"/>
      <c r="I65" s="116"/>
      <c r="J65" s="116"/>
      <c r="K65" s="116"/>
      <c r="L65" s="116"/>
      <c r="O65" s="116"/>
      <c r="P65" s="116"/>
      <c r="Q65" s="116"/>
      <c r="R65" s="116"/>
      <c r="S65" s="116"/>
      <c r="T65" s="116"/>
      <c r="U65" s="116"/>
      <c r="V65" s="116"/>
      <c r="W65" s="116"/>
      <c r="X65" s="116"/>
    </row>
    <row r="66" spans="3:24" x14ac:dyDescent="0.3">
      <c r="C66" s="116"/>
      <c r="D66" s="116"/>
      <c r="E66" s="116"/>
      <c r="F66" s="116"/>
      <c r="G66" s="116"/>
      <c r="H66" s="116"/>
      <c r="I66" s="116"/>
      <c r="J66" s="116"/>
      <c r="K66" s="116"/>
      <c r="L66" s="116"/>
      <c r="O66" s="116"/>
      <c r="P66" s="116"/>
      <c r="Q66" s="116"/>
      <c r="R66" s="116"/>
      <c r="S66" s="116"/>
      <c r="T66" s="116"/>
      <c r="U66" s="116"/>
      <c r="V66" s="116"/>
      <c r="W66" s="116"/>
      <c r="X66" s="116"/>
    </row>
    <row r="67" spans="3:24" x14ac:dyDescent="0.3">
      <c r="C67" s="116"/>
      <c r="D67" s="116"/>
      <c r="E67" s="116"/>
      <c r="F67" s="116"/>
      <c r="G67" s="116"/>
      <c r="H67" s="116"/>
      <c r="I67" s="116"/>
      <c r="J67" s="116"/>
      <c r="K67" s="116"/>
      <c r="L67" s="116"/>
      <c r="O67" s="116"/>
      <c r="P67" s="116"/>
      <c r="Q67" s="116"/>
      <c r="R67" s="116"/>
      <c r="S67" s="116"/>
      <c r="T67" s="116"/>
      <c r="U67" s="116"/>
      <c r="V67" s="116"/>
      <c r="W67" s="116"/>
      <c r="X67" s="116"/>
    </row>
    <row r="68" spans="3:24" x14ac:dyDescent="0.3">
      <c r="C68" s="116"/>
      <c r="D68" s="116"/>
      <c r="E68" s="116"/>
      <c r="F68" s="116"/>
      <c r="G68" s="116"/>
      <c r="H68" s="116"/>
      <c r="I68" s="116"/>
      <c r="J68" s="116"/>
      <c r="K68" s="116"/>
      <c r="L68" s="116"/>
      <c r="O68" s="116"/>
      <c r="P68" s="116"/>
      <c r="Q68" s="116"/>
      <c r="R68" s="116"/>
      <c r="S68" s="116"/>
      <c r="T68" s="116"/>
      <c r="U68" s="116"/>
      <c r="V68" s="116"/>
      <c r="W68" s="116"/>
      <c r="X68" s="116"/>
    </row>
    <row r="69" spans="3:24" x14ac:dyDescent="0.3">
      <c r="C69" s="116"/>
      <c r="D69" s="116"/>
      <c r="E69" s="116"/>
      <c r="F69" s="116"/>
      <c r="G69" s="116"/>
      <c r="H69" s="116"/>
      <c r="I69" s="116"/>
      <c r="J69" s="116"/>
      <c r="K69" s="116"/>
      <c r="L69" s="116"/>
      <c r="O69" s="116"/>
      <c r="P69" s="116"/>
      <c r="Q69" s="116"/>
      <c r="R69" s="116"/>
      <c r="S69" s="116"/>
      <c r="T69" s="116"/>
      <c r="U69" s="116"/>
      <c r="V69" s="116"/>
      <c r="W69" s="116"/>
      <c r="X69" s="116"/>
    </row>
    <row r="70" spans="3:24" x14ac:dyDescent="0.3">
      <c r="C70" s="116"/>
      <c r="D70" s="116"/>
      <c r="E70" s="116"/>
      <c r="F70" s="116"/>
      <c r="G70" s="116"/>
      <c r="H70" s="116"/>
      <c r="I70" s="116"/>
      <c r="J70" s="116"/>
      <c r="K70" s="116"/>
      <c r="L70" s="116"/>
      <c r="O70" s="116"/>
      <c r="P70" s="116"/>
      <c r="Q70" s="116"/>
      <c r="R70" s="116"/>
      <c r="S70" s="116"/>
      <c r="T70" s="116"/>
      <c r="U70" s="116"/>
      <c r="V70" s="116"/>
      <c r="W70" s="116"/>
      <c r="X70" s="116"/>
    </row>
    <row r="71" spans="3:24" x14ac:dyDescent="0.3">
      <c r="C71" s="116"/>
      <c r="D71" s="116"/>
      <c r="E71" s="116"/>
      <c r="F71" s="116"/>
      <c r="G71" s="116"/>
      <c r="H71" s="116"/>
      <c r="I71" s="116"/>
      <c r="J71" s="116"/>
      <c r="K71" s="116"/>
      <c r="L71" s="116"/>
      <c r="O71" s="116"/>
      <c r="P71" s="116"/>
      <c r="Q71" s="116"/>
      <c r="R71" s="116"/>
      <c r="S71" s="116"/>
      <c r="T71" s="116"/>
      <c r="U71" s="116"/>
      <c r="V71" s="116"/>
      <c r="W71" s="116"/>
      <c r="X71" s="116"/>
    </row>
    <row r="72" spans="3:24" x14ac:dyDescent="0.3">
      <c r="C72" s="116"/>
      <c r="D72" s="116"/>
      <c r="E72" s="116"/>
      <c r="F72" s="116"/>
      <c r="G72" s="116"/>
      <c r="H72" s="116"/>
      <c r="I72" s="116"/>
      <c r="J72" s="116"/>
      <c r="K72" s="116"/>
      <c r="L72" s="116"/>
      <c r="O72" s="116"/>
      <c r="P72" s="116"/>
      <c r="Q72" s="116"/>
      <c r="R72" s="116"/>
      <c r="S72" s="116"/>
      <c r="T72" s="116"/>
      <c r="U72" s="116"/>
      <c r="V72" s="116"/>
      <c r="W72" s="116"/>
      <c r="X72" s="116"/>
    </row>
    <row r="73" spans="3:24" x14ac:dyDescent="0.3">
      <c r="C73" s="116"/>
      <c r="D73" s="116"/>
      <c r="E73" s="116"/>
      <c r="F73" s="116"/>
      <c r="G73" s="116"/>
      <c r="H73" s="116"/>
      <c r="I73" s="116"/>
      <c r="J73" s="116"/>
      <c r="K73" s="116"/>
      <c r="L73" s="116"/>
      <c r="O73" s="116"/>
      <c r="P73" s="116"/>
      <c r="Q73" s="116"/>
      <c r="R73" s="116"/>
      <c r="S73" s="116"/>
      <c r="T73" s="116"/>
      <c r="U73" s="116"/>
      <c r="V73" s="116"/>
      <c r="W73" s="116"/>
      <c r="X73" s="116"/>
    </row>
    <row r="74" spans="3:24" x14ac:dyDescent="0.3">
      <c r="C74" s="116"/>
      <c r="D74" s="116"/>
      <c r="E74" s="116"/>
      <c r="F74" s="116"/>
      <c r="G74" s="116"/>
      <c r="H74" s="116"/>
      <c r="I74" s="116"/>
      <c r="J74" s="116"/>
      <c r="K74" s="116"/>
      <c r="L74" s="116"/>
      <c r="O74" s="116"/>
      <c r="P74" s="116"/>
      <c r="Q74" s="116"/>
      <c r="R74" s="116"/>
      <c r="S74" s="116"/>
      <c r="T74" s="116"/>
      <c r="U74" s="116"/>
      <c r="V74" s="116"/>
      <c r="W74" s="116"/>
      <c r="X74" s="116"/>
    </row>
    <row r="75" spans="3:24" x14ac:dyDescent="0.3">
      <c r="C75" s="116"/>
      <c r="D75" s="116"/>
      <c r="E75" s="116"/>
      <c r="F75" s="116"/>
      <c r="G75" s="116"/>
      <c r="H75" s="116"/>
      <c r="I75" s="116"/>
      <c r="J75" s="116"/>
      <c r="K75" s="116"/>
      <c r="L75" s="116"/>
      <c r="O75" s="116"/>
      <c r="P75" s="116"/>
      <c r="Q75" s="116"/>
      <c r="R75" s="116"/>
      <c r="S75" s="116"/>
      <c r="T75" s="116"/>
      <c r="U75" s="116"/>
      <c r="V75" s="116"/>
      <c r="W75" s="116"/>
      <c r="X75" s="116"/>
    </row>
    <row r="76" spans="3:24" x14ac:dyDescent="0.3">
      <c r="C76" s="116"/>
      <c r="D76" s="116"/>
      <c r="E76" s="116"/>
      <c r="F76" s="116"/>
      <c r="G76" s="116"/>
      <c r="H76" s="116"/>
      <c r="I76" s="116"/>
      <c r="J76" s="116"/>
      <c r="K76" s="116"/>
      <c r="L76" s="116"/>
      <c r="O76" s="116"/>
      <c r="P76" s="116"/>
      <c r="Q76" s="116"/>
      <c r="R76" s="116"/>
      <c r="S76" s="116"/>
      <c r="T76" s="116"/>
      <c r="U76" s="116"/>
      <c r="V76" s="116"/>
      <c r="W76" s="116"/>
      <c r="X76" s="116"/>
    </row>
    <row r="77" spans="3:24" x14ac:dyDescent="0.3">
      <c r="C77" s="116"/>
      <c r="D77" s="116"/>
      <c r="E77" s="116"/>
      <c r="F77" s="116"/>
      <c r="G77" s="116"/>
      <c r="H77" s="116"/>
      <c r="I77" s="116"/>
      <c r="J77" s="116"/>
      <c r="K77" s="116"/>
      <c r="L77" s="116"/>
      <c r="O77" s="116"/>
      <c r="P77" s="116"/>
      <c r="Q77" s="116"/>
      <c r="R77" s="116"/>
      <c r="S77" s="116"/>
      <c r="T77" s="116"/>
      <c r="U77" s="116"/>
      <c r="V77" s="116"/>
      <c r="W77" s="116"/>
      <c r="X77" s="116"/>
    </row>
    <row r="78" spans="3:24" x14ac:dyDescent="0.3">
      <c r="C78" s="116"/>
      <c r="D78" s="116"/>
      <c r="E78" s="116"/>
      <c r="F78" s="116"/>
      <c r="G78" s="116"/>
      <c r="H78" s="116"/>
      <c r="I78" s="116"/>
      <c r="J78" s="116"/>
      <c r="K78" s="116"/>
      <c r="L78" s="116"/>
      <c r="O78" s="116"/>
      <c r="P78" s="116"/>
      <c r="Q78" s="116"/>
      <c r="R78" s="116"/>
      <c r="S78" s="116"/>
      <c r="T78" s="116"/>
      <c r="U78" s="116"/>
      <c r="V78" s="116"/>
      <c r="W78" s="116"/>
      <c r="X78" s="116"/>
    </row>
    <row r="79" spans="3:24" x14ac:dyDescent="0.3">
      <c r="C79" s="116"/>
      <c r="D79" s="116"/>
      <c r="E79" s="116"/>
      <c r="F79" s="116"/>
      <c r="G79" s="116"/>
      <c r="H79" s="116"/>
      <c r="I79" s="116"/>
      <c r="J79" s="116"/>
      <c r="K79" s="116"/>
      <c r="L79" s="116"/>
      <c r="O79" s="116"/>
      <c r="P79" s="116"/>
      <c r="Q79" s="116"/>
      <c r="R79" s="116"/>
      <c r="S79" s="116"/>
      <c r="T79" s="116"/>
      <c r="U79" s="116"/>
      <c r="V79" s="116"/>
      <c r="W79" s="116"/>
      <c r="X79" s="116"/>
    </row>
    <row r="80" spans="3:24" x14ac:dyDescent="0.3">
      <c r="C80" s="116"/>
      <c r="D80" s="116"/>
      <c r="E80" s="116"/>
      <c r="F80" s="116"/>
      <c r="G80" s="116"/>
      <c r="H80" s="116"/>
      <c r="I80" s="116"/>
      <c r="J80" s="116"/>
      <c r="K80" s="116"/>
      <c r="L80" s="116"/>
      <c r="O80" s="116"/>
      <c r="P80" s="116"/>
      <c r="Q80" s="116"/>
      <c r="R80" s="116"/>
      <c r="S80" s="116"/>
      <c r="T80" s="116"/>
      <c r="U80" s="116"/>
      <c r="V80" s="116"/>
      <c r="W80" s="116"/>
      <c r="X80" s="116"/>
    </row>
    <row r="81" spans="3:24" x14ac:dyDescent="0.3">
      <c r="C81" s="116"/>
      <c r="D81" s="116"/>
      <c r="E81" s="116"/>
      <c r="F81" s="116"/>
      <c r="G81" s="116"/>
      <c r="H81" s="116"/>
      <c r="I81" s="116"/>
      <c r="J81" s="116"/>
      <c r="K81" s="116"/>
      <c r="L81" s="116"/>
      <c r="O81" s="116"/>
      <c r="P81" s="116"/>
      <c r="Q81" s="116"/>
      <c r="R81" s="116"/>
      <c r="S81" s="116"/>
      <c r="T81" s="116"/>
      <c r="U81" s="116"/>
      <c r="V81" s="116"/>
      <c r="W81" s="116"/>
      <c r="X81" s="116"/>
    </row>
  </sheetData>
  <mergeCells count="4">
    <mergeCell ref="A1:L1"/>
    <mergeCell ref="M1:X1"/>
    <mergeCell ref="X3:X14"/>
    <mergeCell ref="L3:L60"/>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AC100"/>
  <sheetViews>
    <sheetView topLeftCell="L1" workbookViewId="0">
      <selection activeCell="AF9" sqref="AF9"/>
    </sheetView>
  </sheetViews>
  <sheetFormatPr defaultRowHeight="14.4" outlineLevelCol="1" x14ac:dyDescent="0.3"/>
  <cols>
    <col min="1" max="1" width="12.88671875" hidden="1" customWidth="1" outlineLevel="1"/>
    <col min="2" max="5" width="12.88671875" style="264" hidden="1" customWidth="1" outlineLevel="1"/>
    <col min="6" max="6" width="9.33203125" style="768" hidden="1" customWidth="1" outlineLevel="1"/>
    <col min="7" max="7" width="12.88671875" style="264" hidden="1" customWidth="1" outlineLevel="1"/>
    <col min="8" max="11" width="9.33203125" hidden="1" customWidth="1" outlineLevel="1"/>
    <col min="12" max="12" width="39.5546875" customWidth="1" collapsed="1"/>
    <col min="13" max="13" width="12.88671875" hidden="1" customWidth="1" outlineLevel="1"/>
    <col min="14" max="15" width="12.88671875" style="264" hidden="1" customWidth="1" outlineLevel="1"/>
    <col min="16" max="16" width="9.33203125" style="768" hidden="1" customWidth="1" outlineLevel="1"/>
    <col min="17" max="17" width="12.88671875" style="264" hidden="1" customWidth="1" outlineLevel="1"/>
    <col min="18" max="19" width="9.33203125" hidden="1" customWidth="1" outlineLevel="1"/>
    <col min="20" max="20" width="8.44140625" customWidth="1" collapsed="1"/>
    <col min="21" max="21" width="12.88671875" hidden="1" customWidth="1" outlineLevel="1"/>
    <col min="22" max="23" width="12.88671875" style="264" hidden="1" customWidth="1" outlineLevel="1"/>
    <col min="24" max="24" width="9.33203125" style="768" hidden="1" customWidth="1" outlineLevel="1"/>
    <col min="25" max="25" width="12.88671875" style="264" hidden="1" customWidth="1" outlineLevel="1"/>
    <col min="26" max="27" width="9.33203125" hidden="1" customWidth="1" outlineLevel="1"/>
    <col min="28" max="28" width="8.44140625" customWidth="1" collapsed="1"/>
    <col min="29" max="29" width="15.5546875" customWidth="1"/>
  </cols>
  <sheetData>
    <row r="1" spans="1:29" x14ac:dyDescent="0.3">
      <c r="A1" s="1478" t="s">
        <v>8674</v>
      </c>
      <c r="B1" s="1479"/>
      <c r="C1" s="1479"/>
      <c r="D1" s="1479"/>
      <c r="E1" s="1479"/>
      <c r="F1" s="1479"/>
      <c r="G1" s="1479"/>
      <c r="H1" s="1479"/>
      <c r="I1" s="1479"/>
      <c r="J1" s="1479"/>
      <c r="K1" s="1479"/>
      <c r="L1" s="1512" t="s">
        <v>8676</v>
      </c>
      <c r="M1" s="1512"/>
      <c r="N1" s="1512"/>
      <c r="O1" s="1512"/>
      <c r="P1" s="1512"/>
      <c r="Q1" s="1512"/>
      <c r="R1" s="1512"/>
      <c r="S1" s="1512"/>
      <c r="T1" s="1512"/>
      <c r="U1" s="1512"/>
      <c r="V1" s="1512"/>
      <c r="W1" s="1512"/>
      <c r="X1" s="1512"/>
      <c r="Y1" s="1512"/>
      <c r="Z1" s="1512"/>
      <c r="AA1" s="1512"/>
      <c r="AB1" s="1512"/>
      <c r="AC1" s="1512"/>
    </row>
    <row r="2" spans="1:29" x14ac:dyDescent="0.3">
      <c r="A2" s="792" t="s">
        <v>8374</v>
      </c>
      <c r="B2" s="792" t="s">
        <v>8392</v>
      </c>
      <c r="C2" s="792" t="s">
        <v>8451</v>
      </c>
      <c r="D2" s="792"/>
      <c r="E2" s="792" t="s">
        <v>8547</v>
      </c>
      <c r="F2" s="792" t="s">
        <v>8374</v>
      </c>
      <c r="G2" s="792" t="s">
        <v>8393</v>
      </c>
      <c r="H2" s="792" t="s">
        <v>8546</v>
      </c>
      <c r="I2" s="792"/>
      <c r="J2" s="792" t="s">
        <v>8653</v>
      </c>
      <c r="K2" s="792" t="s">
        <v>8394</v>
      </c>
      <c r="L2" s="792" t="s">
        <v>8675</v>
      </c>
      <c r="M2" s="792" t="s">
        <v>8374</v>
      </c>
      <c r="N2" s="792" t="s">
        <v>8392</v>
      </c>
      <c r="O2" s="792" t="s">
        <v>8451</v>
      </c>
      <c r="P2" s="792" t="s">
        <v>8374</v>
      </c>
      <c r="Q2" s="792" t="s">
        <v>8393</v>
      </c>
      <c r="R2" s="792" t="s">
        <v>8546</v>
      </c>
      <c r="S2" s="792" t="s">
        <v>8394</v>
      </c>
      <c r="T2" s="792" t="s">
        <v>8586</v>
      </c>
      <c r="U2" s="792" t="s">
        <v>8374</v>
      </c>
      <c r="V2" s="792" t="s">
        <v>8392</v>
      </c>
      <c r="W2" s="792" t="s">
        <v>8451</v>
      </c>
      <c r="X2" s="792" t="s">
        <v>8374</v>
      </c>
      <c r="Y2" s="792" t="s">
        <v>8393</v>
      </c>
      <c r="Z2" s="792" t="s">
        <v>8546</v>
      </c>
      <c r="AA2" s="792" t="s">
        <v>8394</v>
      </c>
      <c r="AB2" s="792" t="s">
        <v>8712</v>
      </c>
      <c r="AC2" s="792" t="s">
        <v>916</v>
      </c>
    </row>
    <row r="3" spans="1:29" ht="29.1" customHeight="1" x14ac:dyDescent="0.3">
      <c r="A3" s="993" t="s">
        <v>782</v>
      </c>
      <c r="B3" s="994">
        <f>SEARCH(A3,CHALLANGE_draft!$G$3)</f>
        <v>88</v>
      </c>
      <c r="C3" s="994">
        <f>MIN(IFERROR(B3,99999),IFERROR(B4,99999),IFERROR(B5,99999),IFERROR(B6,99999),IFERROR(B7,99999),IFERROR(B8,99999),IFERROR(B9,99999),IFERROR(B10,99999),IFERROR(B11,99999),IFERROR(B12,99999),IFERROR(B13,99999),IFERROR(B14,99999))</f>
        <v>88</v>
      </c>
      <c r="D3" s="870" t="str">
        <f>CHAR(10)</f>
        <v xml:space="preserve">
</v>
      </c>
      <c r="E3" s="334" t="e">
        <f>LEN(MID(CHALLANGE_draft!$G$3,1,C3))-LEN(IF(ISERROR(FIND(" ",MID(CHALLANGE_draft!$G$3,1,C3))),MID(CHALLANGE_draft!$G$3,1,C3),RIGHT(MID(CHALLANGE_draft!$G$3,1,C3),LEN(MID(CHALLANGE_draft!$G$3,1,C3))-FIND("~",SUBSTITUTE(MID(CHALLANGE_draft!$G$3,1,C3),D3,"~",LEN(MID(CHALLANGE_draft!$G$3,1,C3))-LEN(SUBSTITUTE(MID(CHALLANGE_draft!$G$3,1,C3),D3,"")))))))+1</f>
        <v>#VALUE!</v>
      </c>
      <c r="F3" s="993" t="s">
        <v>8655</v>
      </c>
      <c r="G3" s="994" t="e">
        <f>SEARCH(F3,CHALLANGE_draft!$G$3,E$3)</f>
        <v>#VALUE!</v>
      </c>
      <c r="H3" s="994">
        <f>MIN(IFERROR(G3,99999),IFERROR(G4,99999),IFERROR(G5,99999),IFERROR(G6,99999),IFERROR(G7,99999),IFERROR(G8,99999),IFERROR(G9,99999),IFERROR(G10,99999),IFERROR(G11,99999),IFERROR(G12,99999),IFERROR(G13,99999),IFERROR(G14,99999))</f>
        <v>99999</v>
      </c>
      <c r="I3" s="870" t="str">
        <f>CHAR(10)</f>
        <v xml:space="preserve">
</v>
      </c>
      <c r="J3" s="994" t="e">
        <f>SEARCH(I3,CHALLANGE_draft!$G$3,H3)</f>
        <v>#VALUE!</v>
      </c>
      <c r="K3" s="854" t="e">
        <f>J3-E3</f>
        <v>#VALUE!</v>
      </c>
      <c r="L3" s="1568" t="e">
        <f>MID(CHALLANGE_draft!$G$3,E3,K3)</f>
        <v>#VALUE!</v>
      </c>
      <c r="M3" s="988" t="s">
        <v>8677</v>
      </c>
      <c r="N3" s="984" t="e">
        <f>SEARCH(M3,$L$3)+LEN(M3)</f>
        <v>#VALUE!</v>
      </c>
      <c r="O3" s="984">
        <f>MIN(IFERROR(N3,99999),IFERROR(N4,99999),IFERROR(N5,99999),IFERROR(N6,99999),IFERROR(N7,99999),IFERROR(N8,99999),IFERROR(N9,99999),IFERROR(N10,99999),IFERROR(N11,99999),IFERROR(N12,99999),IFERROR(N13,99999),IFERROR(N14,99999))</f>
        <v>99999</v>
      </c>
      <c r="P3" s="988" t="s">
        <v>8431</v>
      </c>
      <c r="Q3" s="984" t="e">
        <f>SEARCH(P3,$L$3,$O$3)</f>
        <v>#VALUE!</v>
      </c>
      <c r="R3" s="984">
        <f>MIN(IFERROR(Q3,99999),IFERROR(Q4,99999),IFERROR(Q5,99999),IFERROR(Q6,99999),IFERROR(Q7,99999),IFERROR(Q8,99999),IFERROR(Q9,99999),IFERROR(Q10,99999),IFERROR(Q11,99999),IFERROR(Q12,99999),IFERROR(Q13,99999),IFERROR(Q14,99999))</f>
        <v>99999</v>
      </c>
      <c r="S3" s="854">
        <f>R3-O3</f>
        <v>0</v>
      </c>
      <c r="T3" s="990" t="e">
        <f>MID(L3,O3,S3)</f>
        <v>#VALUE!</v>
      </c>
      <c r="U3" s="988" t="s">
        <v>149</v>
      </c>
      <c r="V3" s="984" t="e">
        <f>SEARCH(U3,$L$3,$R$3+1)+LEN(U3)</f>
        <v>#VALUE!</v>
      </c>
      <c r="W3" s="984">
        <f>MIN(IFERROR(V3,99999),IFERROR(V4,99999),IFERROR(V5,99999),IFERROR(V6,99999),IFERROR(V7,99999),IFERROR(V8,99999),IFERROR(V9,99999),IFERROR(V10,99999),IFERROR(V11,99999),IFERROR(V12,99999),IFERROR(V13,99999),IFERROR(V14,99999))</f>
        <v>99999</v>
      </c>
      <c r="X3" s="988" t="s">
        <v>8432</v>
      </c>
      <c r="Y3" s="984" t="e">
        <f>SEARCH(X3,$L$3,$O$3)+1</f>
        <v>#VALUE!</v>
      </c>
      <c r="Z3" s="984">
        <f>MIN(IFERROR(Y3,99999),IFERROR(Y4,99999),IFERROR(Y5,99999),IFERROR(Y6,99999),IFERROR(Y7,99999),IFERROR(Y8,99999),IFERROR(Y9,99999),IFERROR(Y10,99999),IFERROR(Y11,99999),IFERROR(Y12,99999),IFERROR(Y13,99999),IFERROR(Y14,99999))</f>
        <v>99999</v>
      </c>
      <c r="AA3" s="854">
        <f>Z3-W3</f>
        <v>0</v>
      </c>
      <c r="AB3" s="990" t="e">
        <f>MID($L$3,W3,AA3)</f>
        <v>#VALUE!</v>
      </c>
      <c r="AC3" s="1015" t="e">
        <f>VALUE(CONCATENATE(T3,",",AB3))</f>
        <v>#VALUE!</v>
      </c>
    </row>
    <row r="4" spans="1:29" x14ac:dyDescent="0.3">
      <c r="A4" s="993" t="s">
        <v>8513</v>
      </c>
      <c r="B4" s="994" t="e">
        <f>SEARCH(A4,CHALLANGE_draft!$G$3)</f>
        <v>#VALUE!</v>
      </c>
      <c r="C4" s="994"/>
      <c r="D4" s="920"/>
      <c r="E4" s="920"/>
      <c r="F4" s="993" t="s">
        <v>8673</v>
      </c>
      <c r="G4" s="994" t="e">
        <f>SEARCH(F4,CHALLANGE_draft!$G$3,E$3)</f>
        <v>#VALUE!</v>
      </c>
      <c r="H4" s="994"/>
      <c r="I4" s="994"/>
      <c r="J4" s="994"/>
      <c r="K4" s="994"/>
      <c r="L4" s="1569"/>
      <c r="M4" s="988" t="s">
        <v>8513</v>
      </c>
      <c r="N4" s="984" t="e">
        <f t="shared" ref="N4:N14" si="0">SEARCH(M4,$L$3)+LEN(M4)</f>
        <v>#VALUE!</v>
      </c>
      <c r="O4" s="984"/>
      <c r="P4" s="988" t="str">
        <f>CHAR(10)</f>
        <v xml:space="preserve">
</v>
      </c>
      <c r="Q4" s="984" t="e">
        <f t="shared" ref="Q4:Q14" si="1">SEARCH(P4,$L$3,$O$3)</f>
        <v>#VALUE!</v>
      </c>
      <c r="R4" s="984"/>
      <c r="S4" s="984"/>
      <c r="T4" s="979"/>
      <c r="U4" s="988" t="s">
        <v>8513</v>
      </c>
      <c r="V4" s="984" t="e">
        <f t="shared" ref="V4:V14" si="2">SEARCH(U4,$L$3,$R$3+1)+LEN(U4)</f>
        <v>#VALUE!</v>
      </c>
      <c r="W4" s="984"/>
      <c r="X4" s="988" t="str">
        <f>CHAR(10)</f>
        <v xml:space="preserve">
</v>
      </c>
      <c r="Y4" s="984" t="e">
        <f t="shared" ref="Y4:Y14" si="3">SEARCH(X4,$L$3,$O$3)</f>
        <v>#VALUE!</v>
      </c>
      <c r="Z4" s="984"/>
      <c r="AA4" s="984"/>
      <c r="AB4" s="979"/>
    </row>
    <row r="5" spans="1:29" x14ac:dyDescent="0.3">
      <c r="A5" s="993" t="s">
        <v>8513</v>
      </c>
      <c r="B5" s="994" t="e">
        <f>SEARCH(A5,CHALLANGE_draft!$G$3)</f>
        <v>#VALUE!</v>
      </c>
      <c r="C5" s="994"/>
      <c r="D5" s="920"/>
      <c r="E5" s="920"/>
      <c r="F5" s="993" t="s">
        <v>8513</v>
      </c>
      <c r="G5" s="994" t="e">
        <f>SEARCH(F5,CHALLANGE_draft!$G$3,E$3)</f>
        <v>#VALUE!</v>
      </c>
      <c r="H5" s="994"/>
      <c r="I5" s="994"/>
      <c r="J5" s="994"/>
      <c r="K5" s="994"/>
      <c r="L5" s="1569"/>
      <c r="M5" s="988" t="s">
        <v>8513</v>
      </c>
      <c r="N5" s="984" t="e">
        <f t="shared" si="0"/>
        <v>#VALUE!</v>
      </c>
      <c r="O5" s="984"/>
      <c r="P5" s="988" t="s">
        <v>8236</v>
      </c>
      <c r="Q5" s="984" t="e">
        <f t="shared" si="1"/>
        <v>#VALUE!</v>
      </c>
      <c r="R5" s="984"/>
      <c r="S5" s="984"/>
      <c r="T5" s="979"/>
      <c r="U5" s="988" t="s">
        <v>8513</v>
      </c>
      <c r="V5" s="984" t="e">
        <f t="shared" si="2"/>
        <v>#VALUE!</v>
      </c>
      <c r="W5" s="984"/>
      <c r="X5" s="988" t="s">
        <v>8236</v>
      </c>
      <c r="Y5" s="984" t="e">
        <f t="shared" si="3"/>
        <v>#VALUE!</v>
      </c>
      <c r="Z5" s="984"/>
      <c r="AA5" s="984"/>
      <c r="AB5" s="979"/>
    </row>
    <row r="6" spans="1:29" x14ac:dyDescent="0.3">
      <c r="A6" s="993" t="s">
        <v>8513</v>
      </c>
      <c r="B6" s="994" t="e">
        <f>SEARCH(A6,CHALLANGE_draft!$G$3)</f>
        <v>#VALUE!</v>
      </c>
      <c r="C6" s="994"/>
      <c r="D6" s="920"/>
      <c r="E6" s="920"/>
      <c r="F6" s="993" t="s">
        <v>8513</v>
      </c>
      <c r="G6" s="994" t="e">
        <f>SEARCH(F6,CHALLANGE_draft!$G$3,E$3)</f>
        <v>#VALUE!</v>
      </c>
      <c r="H6" s="994"/>
      <c r="I6" s="994"/>
      <c r="J6" s="994"/>
      <c r="K6" s="994"/>
      <c r="L6" s="1569"/>
      <c r="M6" s="988" t="s">
        <v>8513</v>
      </c>
      <c r="N6" s="984" t="e">
        <f t="shared" si="0"/>
        <v>#VALUE!</v>
      </c>
      <c r="O6" s="984"/>
      <c r="P6" s="988" t="s">
        <v>8513</v>
      </c>
      <c r="Q6" s="984" t="e">
        <f t="shared" si="1"/>
        <v>#VALUE!</v>
      </c>
      <c r="R6" s="984"/>
      <c r="S6" s="984"/>
      <c r="T6" s="979"/>
      <c r="U6" s="988" t="s">
        <v>8513</v>
      </c>
      <c r="V6" s="984" t="e">
        <f t="shared" si="2"/>
        <v>#VALUE!</v>
      </c>
      <c r="W6" s="984"/>
      <c r="X6" s="988" t="s">
        <v>8513</v>
      </c>
      <c r="Y6" s="984" t="e">
        <f t="shared" si="3"/>
        <v>#VALUE!</v>
      </c>
      <c r="Z6" s="984"/>
      <c r="AA6" s="984"/>
      <c r="AB6" s="979"/>
    </row>
    <row r="7" spans="1:29" x14ac:dyDescent="0.3">
      <c r="A7" s="993" t="s">
        <v>8513</v>
      </c>
      <c r="B7" s="994" t="e">
        <f>SEARCH(A7,CHALLANGE_draft!$G$3)</f>
        <v>#VALUE!</v>
      </c>
      <c r="C7" s="994"/>
      <c r="D7" s="920"/>
      <c r="E7" s="920"/>
      <c r="F7" s="993" t="s">
        <v>8513</v>
      </c>
      <c r="G7" s="994" t="e">
        <f>SEARCH(F7,CHALLANGE_draft!$G$3,E$3)</f>
        <v>#VALUE!</v>
      </c>
      <c r="H7" s="994"/>
      <c r="I7" s="994"/>
      <c r="J7" s="994"/>
      <c r="K7" s="994"/>
      <c r="L7" s="1569"/>
      <c r="M7" s="988" t="s">
        <v>8513</v>
      </c>
      <c r="N7" s="984" t="e">
        <f t="shared" si="0"/>
        <v>#VALUE!</v>
      </c>
      <c r="O7" s="984"/>
      <c r="P7" s="988" t="s">
        <v>8513</v>
      </c>
      <c r="Q7" s="984" t="e">
        <f t="shared" si="1"/>
        <v>#VALUE!</v>
      </c>
      <c r="R7" s="984"/>
      <c r="S7" s="984"/>
      <c r="T7" s="979"/>
      <c r="U7" s="988" t="s">
        <v>8513</v>
      </c>
      <c r="V7" s="984" t="e">
        <f t="shared" si="2"/>
        <v>#VALUE!</v>
      </c>
      <c r="W7" s="984"/>
      <c r="X7" s="988" t="s">
        <v>8513</v>
      </c>
      <c r="Y7" s="984" t="e">
        <f t="shared" si="3"/>
        <v>#VALUE!</v>
      </c>
      <c r="Z7" s="984"/>
      <c r="AA7" s="984"/>
      <c r="AB7" s="979"/>
    </row>
    <row r="8" spans="1:29" x14ac:dyDescent="0.3">
      <c r="A8" s="993" t="s">
        <v>8513</v>
      </c>
      <c r="B8" s="994" t="e">
        <f>SEARCH(A8,CHALLANGE_draft!$G$3)</f>
        <v>#VALUE!</v>
      </c>
      <c r="C8" s="994"/>
      <c r="D8" s="920"/>
      <c r="E8" s="920"/>
      <c r="F8" s="993" t="s">
        <v>8513</v>
      </c>
      <c r="G8" s="994" t="e">
        <f>SEARCH(F8,CHALLANGE_draft!$G$3,E$3)</f>
        <v>#VALUE!</v>
      </c>
      <c r="H8" s="994"/>
      <c r="I8" s="994"/>
      <c r="J8" s="994"/>
      <c r="K8" s="994"/>
      <c r="L8" s="1569"/>
      <c r="M8" s="988" t="s">
        <v>8513</v>
      </c>
      <c r="N8" s="984" t="e">
        <f t="shared" si="0"/>
        <v>#VALUE!</v>
      </c>
      <c r="O8" s="984"/>
      <c r="P8" s="988" t="s">
        <v>8513</v>
      </c>
      <c r="Q8" s="984" t="e">
        <f t="shared" si="1"/>
        <v>#VALUE!</v>
      </c>
      <c r="R8" s="984"/>
      <c r="S8" s="984"/>
      <c r="T8" s="979"/>
      <c r="U8" s="988" t="s">
        <v>8513</v>
      </c>
      <c r="V8" s="984" t="e">
        <f t="shared" si="2"/>
        <v>#VALUE!</v>
      </c>
      <c r="W8" s="984"/>
      <c r="X8" s="988" t="s">
        <v>8513</v>
      </c>
      <c r="Y8" s="984" t="e">
        <f t="shared" si="3"/>
        <v>#VALUE!</v>
      </c>
      <c r="Z8" s="984"/>
      <c r="AA8" s="984"/>
      <c r="AB8" s="979"/>
    </row>
    <row r="9" spans="1:29" x14ac:dyDescent="0.3">
      <c r="A9" s="993" t="s">
        <v>8513</v>
      </c>
      <c r="B9" s="994" t="e">
        <f>SEARCH(A9,CHALLANGE_draft!$G$3)</f>
        <v>#VALUE!</v>
      </c>
      <c r="C9" s="994"/>
      <c r="D9" s="920"/>
      <c r="E9" s="920"/>
      <c r="F9" s="993" t="s">
        <v>8513</v>
      </c>
      <c r="G9" s="994" t="e">
        <f>SEARCH(F9,CHALLANGE_draft!$G$3,E$3)</f>
        <v>#VALUE!</v>
      </c>
      <c r="H9" s="994"/>
      <c r="I9" s="994"/>
      <c r="J9" s="994"/>
      <c r="K9" s="994"/>
      <c r="L9" s="1569"/>
      <c r="M9" s="988" t="s">
        <v>8513</v>
      </c>
      <c r="N9" s="984" t="e">
        <f t="shared" si="0"/>
        <v>#VALUE!</v>
      </c>
      <c r="O9" s="984"/>
      <c r="P9" s="988" t="s">
        <v>8513</v>
      </c>
      <c r="Q9" s="984" t="e">
        <f t="shared" si="1"/>
        <v>#VALUE!</v>
      </c>
      <c r="R9" s="984"/>
      <c r="S9" s="984"/>
      <c r="T9" s="979"/>
      <c r="U9" s="988" t="s">
        <v>8513</v>
      </c>
      <c r="V9" s="984" t="e">
        <f t="shared" si="2"/>
        <v>#VALUE!</v>
      </c>
      <c r="W9" s="984"/>
      <c r="X9" s="988" t="s">
        <v>8513</v>
      </c>
      <c r="Y9" s="984" t="e">
        <f t="shared" si="3"/>
        <v>#VALUE!</v>
      </c>
      <c r="Z9" s="984"/>
      <c r="AA9" s="984"/>
      <c r="AB9" s="979"/>
    </row>
    <row r="10" spans="1:29" x14ac:dyDescent="0.3">
      <c r="A10" s="993" t="s">
        <v>8513</v>
      </c>
      <c r="B10" s="994" t="e">
        <f>SEARCH(A10,CHALLANGE_draft!$G$3)</f>
        <v>#VALUE!</v>
      </c>
      <c r="C10" s="994"/>
      <c r="D10" s="920"/>
      <c r="E10" s="920"/>
      <c r="F10" s="993" t="s">
        <v>8513</v>
      </c>
      <c r="G10" s="994" t="e">
        <f>SEARCH(F10,CHALLANGE_draft!$G$3,E$3)</f>
        <v>#VALUE!</v>
      </c>
      <c r="H10" s="994"/>
      <c r="I10" s="994"/>
      <c r="J10" s="994"/>
      <c r="K10" s="994"/>
      <c r="L10" s="1569"/>
      <c r="M10" s="988" t="s">
        <v>8513</v>
      </c>
      <c r="N10" s="984" t="e">
        <f t="shared" si="0"/>
        <v>#VALUE!</v>
      </c>
      <c r="O10" s="984"/>
      <c r="P10" s="988" t="s">
        <v>8513</v>
      </c>
      <c r="Q10" s="984" t="e">
        <f t="shared" si="1"/>
        <v>#VALUE!</v>
      </c>
      <c r="R10" s="984"/>
      <c r="S10" s="984"/>
      <c r="T10" s="979"/>
      <c r="U10" s="988" t="s">
        <v>8513</v>
      </c>
      <c r="V10" s="984" t="e">
        <f t="shared" si="2"/>
        <v>#VALUE!</v>
      </c>
      <c r="W10" s="984"/>
      <c r="X10" s="988" t="s">
        <v>8513</v>
      </c>
      <c r="Y10" s="984" t="e">
        <f t="shared" si="3"/>
        <v>#VALUE!</v>
      </c>
      <c r="Z10" s="984"/>
      <c r="AA10" s="984"/>
      <c r="AB10" s="979"/>
    </row>
    <row r="11" spans="1:29" x14ac:dyDescent="0.3">
      <c r="A11" s="993" t="s">
        <v>8513</v>
      </c>
      <c r="B11" s="994" t="e">
        <f>SEARCH(A11,CHALLANGE_draft!$G$3)</f>
        <v>#VALUE!</v>
      </c>
      <c r="C11" s="994"/>
      <c r="D11" s="920"/>
      <c r="E11" s="920"/>
      <c r="F11" s="993" t="s">
        <v>8513</v>
      </c>
      <c r="G11" s="994" t="e">
        <f>SEARCH(F11,CHALLANGE_draft!$G$3,E$3)</f>
        <v>#VALUE!</v>
      </c>
      <c r="H11" s="994"/>
      <c r="I11" s="994"/>
      <c r="J11" s="994"/>
      <c r="K11" s="994"/>
      <c r="L11" s="1569"/>
      <c r="M11" s="988" t="s">
        <v>8513</v>
      </c>
      <c r="N11" s="984" t="e">
        <f t="shared" si="0"/>
        <v>#VALUE!</v>
      </c>
      <c r="O11" s="984"/>
      <c r="P11" s="988" t="s">
        <v>8513</v>
      </c>
      <c r="Q11" s="984" t="e">
        <f t="shared" si="1"/>
        <v>#VALUE!</v>
      </c>
      <c r="R11" s="984"/>
      <c r="S11" s="984"/>
      <c r="T11" s="979"/>
      <c r="U11" s="988" t="s">
        <v>8513</v>
      </c>
      <c r="V11" s="984" t="e">
        <f t="shared" si="2"/>
        <v>#VALUE!</v>
      </c>
      <c r="W11" s="984"/>
      <c r="X11" s="988" t="s">
        <v>8513</v>
      </c>
      <c r="Y11" s="984" t="e">
        <f t="shared" si="3"/>
        <v>#VALUE!</v>
      </c>
      <c r="Z11" s="984"/>
      <c r="AA11" s="984"/>
      <c r="AB11" s="979"/>
    </row>
    <row r="12" spans="1:29" x14ac:dyDescent="0.3">
      <c r="A12" s="993" t="s">
        <v>8513</v>
      </c>
      <c r="B12" s="994" t="e">
        <f>SEARCH(A12,CHALLANGE_draft!$G$3)</f>
        <v>#VALUE!</v>
      </c>
      <c r="C12" s="994"/>
      <c r="D12" s="920"/>
      <c r="E12" s="920"/>
      <c r="F12" s="993" t="s">
        <v>8513</v>
      </c>
      <c r="G12" s="994" t="e">
        <f>SEARCH(F12,CHALLANGE_draft!$G$3,E$3)</f>
        <v>#VALUE!</v>
      </c>
      <c r="H12" s="994"/>
      <c r="I12" s="994"/>
      <c r="J12" s="994"/>
      <c r="K12" s="994"/>
      <c r="L12" s="1569"/>
      <c r="M12" s="988" t="s">
        <v>8513</v>
      </c>
      <c r="N12" s="984" t="e">
        <f t="shared" si="0"/>
        <v>#VALUE!</v>
      </c>
      <c r="O12" s="984"/>
      <c r="P12" s="988" t="s">
        <v>8513</v>
      </c>
      <c r="Q12" s="984" t="e">
        <f t="shared" si="1"/>
        <v>#VALUE!</v>
      </c>
      <c r="R12" s="984"/>
      <c r="S12" s="984"/>
      <c r="T12" s="979"/>
      <c r="U12" s="988" t="s">
        <v>8513</v>
      </c>
      <c r="V12" s="984" t="e">
        <f t="shared" si="2"/>
        <v>#VALUE!</v>
      </c>
      <c r="W12" s="984"/>
      <c r="X12" s="988" t="s">
        <v>8513</v>
      </c>
      <c r="Y12" s="984" t="e">
        <f t="shared" si="3"/>
        <v>#VALUE!</v>
      </c>
      <c r="Z12" s="984"/>
      <c r="AA12" s="984"/>
      <c r="AB12" s="979"/>
    </row>
    <row r="13" spans="1:29" x14ac:dyDescent="0.3">
      <c r="A13" s="993" t="s">
        <v>8513</v>
      </c>
      <c r="B13" s="994" t="e">
        <f>SEARCH(A13,CHALLANGE_draft!$G$3)</f>
        <v>#VALUE!</v>
      </c>
      <c r="C13" s="994"/>
      <c r="D13" s="920"/>
      <c r="E13" s="920"/>
      <c r="F13" s="993" t="s">
        <v>8513</v>
      </c>
      <c r="G13" s="994" t="e">
        <f>SEARCH(F13,CHALLANGE_draft!$G$3,E$3)</f>
        <v>#VALUE!</v>
      </c>
      <c r="H13" s="994"/>
      <c r="I13" s="994"/>
      <c r="J13" s="994"/>
      <c r="K13" s="994"/>
      <c r="L13" s="1569"/>
      <c r="M13" s="988" t="s">
        <v>8513</v>
      </c>
      <c r="N13" s="984" t="e">
        <f t="shared" si="0"/>
        <v>#VALUE!</v>
      </c>
      <c r="O13" s="984"/>
      <c r="P13" s="988" t="s">
        <v>8513</v>
      </c>
      <c r="Q13" s="984" t="e">
        <f t="shared" si="1"/>
        <v>#VALUE!</v>
      </c>
      <c r="R13" s="984"/>
      <c r="S13" s="984"/>
      <c r="T13" s="979"/>
      <c r="U13" s="988" t="s">
        <v>8513</v>
      </c>
      <c r="V13" s="984" t="e">
        <f t="shared" si="2"/>
        <v>#VALUE!</v>
      </c>
      <c r="W13" s="984"/>
      <c r="X13" s="988" t="s">
        <v>8513</v>
      </c>
      <c r="Y13" s="984" t="e">
        <f t="shared" si="3"/>
        <v>#VALUE!</v>
      </c>
      <c r="Z13" s="984"/>
      <c r="AA13" s="984"/>
      <c r="AB13" s="979"/>
    </row>
    <row r="14" spans="1:29" x14ac:dyDescent="0.3">
      <c r="A14" s="993" t="s">
        <v>8513</v>
      </c>
      <c r="B14" s="994" t="e">
        <f>SEARCH(A14,CHALLANGE_draft!$G$3)</f>
        <v>#VALUE!</v>
      </c>
      <c r="C14" s="994"/>
      <c r="D14" s="920"/>
      <c r="E14" s="920"/>
      <c r="F14" s="993" t="s">
        <v>8513</v>
      </c>
      <c r="G14" s="994" t="e">
        <f>SEARCH(F14,CHALLANGE_draft!$G$3,E$3)</f>
        <v>#VALUE!</v>
      </c>
      <c r="H14" s="994"/>
      <c r="I14" s="994"/>
      <c r="J14" s="994"/>
      <c r="K14" s="994"/>
      <c r="L14" s="1569"/>
      <c r="M14" s="988" t="s">
        <v>8513</v>
      </c>
      <c r="N14" s="984" t="e">
        <f t="shared" si="0"/>
        <v>#VALUE!</v>
      </c>
      <c r="O14" s="984"/>
      <c r="P14" s="988" t="s">
        <v>8513</v>
      </c>
      <c r="Q14" s="984" t="e">
        <f t="shared" si="1"/>
        <v>#VALUE!</v>
      </c>
      <c r="R14" s="984"/>
      <c r="S14" s="984"/>
      <c r="T14" s="979"/>
      <c r="U14" s="988" t="s">
        <v>8513</v>
      </c>
      <c r="V14" s="984" t="e">
        <f t="shared" si="2"/>
        <v>#VALUE!</v>
      </c>
      <c r="W14" s="984"/>
      <c r="X14" s="988" t="s">
        <v>8513</v>
      </c>
      <c r="Y14" s="984" t="e">
        <f t="shared" si="3"/>
        <v>#VALUE!</v>
      </c>
      <c r="Z14" s="984"/>
      <c r="AA14" s="984"/>
      <c r="AB14" s="979"/>
    </row>
    <row r="15" spans="1:29" x14ac:dyDescent="0.3">
      <c r="A15" s="116"/>
      <c r="B15" s="116"/>
      <c r="C15" s="116"/>
      <c r="D15" s="116"/>
      <c r="E15" s="116"/>
      <c r="F15" s="991"/>
      <c r="G15" s="116"/>
      <c r="H15" s="116"/>
      <c r="I15" s="116"/>
      <c r="J15" s="116"/>
      <c r="K15" s="116"/>
      <c r="L15" s="1569"/>
      <c r="M15" s="116"/>
      <c r="N15" s="116"/>
      <c r="O15" s="116"/>
      <c r="P15" s="987"/>
      <c r="Q15" s="116"/>
      <c r="R15" s="116"/>
      <c r="S15" s="116"/>
      <c r="U15" s="116"/>
      <c r="V15" s="116"/>
      <c r="W15" s="116"/>
      <c r="X15" s="987"/>
      <c r="Y15" s="116"/>
      <c r="Z15" s="116"/>
      <c r="AA15" s="116"/>
    </row>
    <row r="16" spans="1:29" x14ac:dyDescent="0.3">
      <c r="A16" s="116"/>
      <c r="B16" s="116"/>
      <c r="C16" s="116"/>
      <c r="D16" s="116"/>
      <c r="E16" s="116"/>
      <c r="F16" s="991"/>
      <c r="G16" s="116"/>
      <c r="H16" s="116"/>
      <c r="I16" s="116"/>
      <c r="J16" s="116"/>
      <c r="K16" s="116"/>
      <c r="L16" s="1569"/>
      <c r="M16" s="116"/>
      <c r="N16" s="116"/>
      <c r="O16" s="116"/>
      <c r="P16" s="987"/>
      <c r="Q16" s="116"/>
      <c r="R16" s="116"/>
      <c r="S16" s="116"/>
      <c r="U16" s="116"/>
      <c r="V16" s="116"/>
      <c r="W16" s="116"/>
      <c r="X16" s="987"/>
      <c r="Y16" s="116"/>
      <c r="Z16" s="116"/>
      <c r="AA16" s="116"/>
    </row>
    <row r="17" spans="3:28" x14ac:dyDescent="0.3">
      <c r="L17" s="1569"/>
    </row>
    <row r="18" spans="3:28" x14ac:dyDescent="0.3">
      <c r="L18" s="1569"/>
    </row>
    <row r="19" spans="3:28" x14ac:dyDescent="0.3">
      <c r="L19" s="1569"/>
    </row>
    <row r="20" spans="3:28" x14ac:dyDescent="0.3">
      <c r="L20" s="1569"/>
    </row>
    <row r="21" spans="3:28" x14ac:dyDescent="0.3">
      <c r="L21" s="1569"/>
    </row>
    <row r="22" spans="3:28" x14ac:dyDescent="0.3">
      <c r="L22" s="1569"/>
    </row>
    <row r="23" spans="3:28" x14ac:dyDescent="0.3">
      <c r="L23" s="1569"/>
    </row>
    <row r="24" spans="3:28" x14ac:dyDescent="0.3">
      <c r="L24" s="1569"/>
    </row>
    <row r="25" spans="3:28" x14ac:dyDescent="0.3">
      <c r="L25" s="1569"/>
    </row>
    <row r="26" spans="3:28" x14ac:dyDescent="0.3">
      <c r="L26" s="1569"/>
    </row>
    <row r="27" spans="3:28" x14ac:dyDescent="0.3">
      <c r="L27" s="1569"/>
    </row>
    <row r="28" spans="3:28" x14ac:dyDescent="0.3">
      <c r="L28" s="1569"/>
    </row>
    <row r="29" spans="3:28" x14ac:dyDescent="0.3">
      <c r="L29" s="1569"/>
    </row>
    <row r="30" spans="3:28" x14ac:dyDescent="0.3">
      <c r="L30" s="1569"/>
    </row>
    <row r="31" spans="3:28" x14ac:dyDescent="0.3">
      <c r="C31" s="116"/>
      <c r="D31" s="116"/>
      <c r="E31" s="116"/>
      <c r="F31" s="116"/>
      <c r="G31" s="116"/>
      <c r="H31" s="116"/>
      <c r="I31" s="116"/>
      <c r="J31" s="116"/>
      <c r="K31" s="116"/>
      <c r="L31" s="1569"/>
      <c r="O31" s="116"/>
      <c r="P31" s="116"/>
      <c r="Q31" s="116"/>
      <c r="R31" s="116"/>
      <c r="S31" s="116"/>
      <c r="T31" s="116"/>
      <c r="W31" s="116"/>
      <c r="X31" s="116"/>
      <c r="Y31" s="116"/>
      <c r="Z31" s="116"/>
      <c r="AA31" s="116"/>
      <c r="AB31" s="116"/>
    </row>
    <row r="32" spans="3:28" x14ac:dyDescent="0.3">
      <c r="C32" s="116"/>
      <c r="D32" s="116"/>
      <c r="E32" s="116"/>
      <c r="F32" s="116"/>
      <c r="G32" s="116"/>
      <c r="H32" s="116"/>
      <c r="I32" s="116"/>
      <c r="J32" s="116"/>
      <c r="K32" s="116"/>
      <c r="L32" s="1569"/>
      <c r="O32" s="116"/>
      <c r="P32" s="116"/>
      <c r="Q32" s="116"/>
      <c r="R32" s="116"/>
      <c r="S32" s="116"/>
      <c r="T32" s="116"/>
      <c r="W32" s="116"/>
      <c r="X32" s="116"/>
      <c r="Y32" s="116"/>
      <c r="Z32" s="116"/>
      <c r="AA32" s="116"/>
      <c r="AB32" s="116"/>
    </row>
    <row r="33" spans="3:28" x14ac:dyDescent="0.3">
      <c r="C33" s="116"/>
      <c r="D33" s="116"/>
      <c r="E33" s="116"/>
      <c r="F33" s="116"/>
      <c r="G33" s="116"/>
      <c r="H33" s="116"/>
      <c r="I33" s="116"/>
      <c r="J33" s="116"/>
      <c r="K33" s="116"/>
      <c r="L33" s="1569"/>
      <c r="O33" s="116"/>
      <c r="P33" s="116"/>
      <c r="Q33" s="116"/>
      <c r="R33" s="116"/>
      <c r="S33" s="116"/>
      <c r="T33" s="116"/>
      <c r="W33" s="116"/>
      <c r="X33" s="116"/>
      <c r="Y33" s="116"/>
      <c r="Z33" s="116"/>
      <c r="AA33" s="116"/>
      <c r="AB33" s="116"/>
    </row>
    <row r="34" spans="3:28" x14ac:dyDescent="0.3">
      <c r="C34" s="116"/>
      <c r="D34" s="116"/>
      <c r="E34" s="116"/>
      <c r="F34" s="116"/>
      <c r="G34" s="116"/>
      <c r="H34" s="116"/>
      <c r="I34" s="116"/>
      <c r="J34" s="116"/>
      <c r="K34" s="116"/>
      <c r="L34" s="1569"/>
      <c r="O34" s="116"/>
      <c r="P34" s="116"/>
      <c r="Q34" s="116"/>
      <c r="R34" s="116"/>
      <c r="S34" s="116"/>
      <c r="T34" s="116"/>
      <c r="W34" s="116"/>
      <c r="X34" s="116"/>
      <c r="Y34" s="116"/>
      <c r="Z34" s="116"/>
      <c r="AA34" s="116"/>
      <c r="AB34" s="116"/>
    </row>
    <row r="35" spans="3:28" x14ac:dyDescent="0.3">
      <c r="C35" s="116"/>
      <c r="D35" s="116"/>
      <c r="E35" s="116"/>
      <c r="F35" s="116"/>
      <c r="G35" s="116"/>
      <c r="H35" s="116"/>
      <c r="I35" s="116"/>
      <c r="J35" s="116"/>
      <c r="K35" s="116"/>
      <c r="L35" s="1569"/>
      <c r="O35" s="116"/>
      <c r="P35" s="116"/>
      <c r="Q35" s="116"/>
      <c r="R35" s="116"/>
      <c r="S35" s="116"/>
      <c r="T35" s="116"/>
      <c r="W35" s="116"/>
      <c r="X35" s="116"/>
      <c r="Y35" s="116"/>
      <c r="Z35" s="116"/>
      <c r="AA35" s="116"/>
      <c r="AB35" s="116"/>
    </row>
    <row r="36" spans="3:28" x14ac:dyDescent="0.3">
      <c r="C36" s="116"/>
      <c r="D36" s="116"/>
      <c r="E36" s="116"/>
      <c r="F36" s="116"/>
      <c r="G36" s="116"/>
      <c r="H36" s="116"/>
      <c r="I36" s="116"/>
      <c r="J36" s="116"/>
      <c r="K36" s="116"/>
      <c r="L36" s="1569"/>
      <c r="O36" s="116"/>
      <c r="P36" s="116"/>
      <c r="Q36" s="116"/>
      <c r="R36" s="116"/>
      <c r="S36" s="116"/>
      <c r="T36" s="116"/>
      <c r="W36" s="116"/>
      <c r="X36" s="116"/>
      <c r="Y36" s="116"/>
      <c r="Z36" s="116"/>
      <c r="AA36" s="116"/>
      <c r="AB36" s="116"/>
    </row>
    <row r="37" spans="3:28" x14ac:dyDescent="0.3">
      <c r="C37" s="116"/>
      <c r="D37" s="116"/>
      <c r="E37" s="116"/>
      <c r="F37" s="116"/>
      <c r="G37" s="116"/>
      <c r="H37" s="116"/>
      <c r="I37" s="116"/>
      <c r="J37" s="116"/>
      <c r="K37" s="116"/>
      <c r="L37" s="1569"/>
      <c r="O37" s="116"/>
      <c r="P37" s="116"/>
      <c r="Q37" s="116"/>
      <c r="R37" s="116"/>
      <c r="S37" s="116"/>
      <c r="T37" s="116"/>
      <c r="W37" s="116"/>
      <c r="X37" s="116"/>
      <c r="Y37" s="116"/>
      <c r="Z37" s="116"/>
      <c r="AA37" s="116"/>
      <c r="AB37" s="116"/>
    </row>
    <row r="38" spans="3:28" x14ac:dyDescent="0.3">
      <c r="C38" s="116"/>
      <c r="D38" s="116"/>
      <c r="E38" s="116"/>
      <c r="F38" s="116"/>
      <c r="G38" s="116"/>
      <c r="H38" s="116"/>
      <c r="I38" s="116"/>
      <c r="J38" s="116"/>
      <c r="K38" s="116"/>
      <c r="L38" s="1569"/>
      <c r="O38" s="116"/>
      <c r="P38" s="116"/>
      <c r="Q38" s="116"/>
      <c r="R38" s="116"/>
      <c r="S38" s="116"/>
      <c r="T38" s="116"/>
      <c r="W38" s="116"/>
      <c r="X38" s="116"/>
      <c r="Y38" s="116"/>
      <c r="Z38" s="116"/>
      <c r="AA38" s="116"/>
      <c r="AB38" s="116"/>
    </row>
    <row r="39" spans="3:28" x14ac:dyDescent="0.3">
      <c r="C39" s="116"/>
      <c r="D39" s="116"/>
      <c r="E39" s="116"/>
      <c r="F39" s="116"/>
      <c r="G39" s="116"/>
      <c r="H39" s="116"/>
      <c r="I39" s="116"/>
      <c r="J39" s="116"/>
      <c r="K39" s="116"/>
      <c r="L39" s="1569"/>
      <c r="O39" s="116"/>
      <c r="P39" s="116"/>
      <c r="Q39" s="116"/>
      <c r="R39" s="116"/>
      <c r="S39" s="116"/>
      <c r="T39" s="116"/>
      <c r="W39" s="116"/>
      <c r="X39" s="116"/>
      <c r="Y39" s="116"/>
      <c r="Z39" s="116"/>
      <c r="AA39" s="116"/>
      <c r="AB39" s="116"/>
    </row>
    <row r="40" spans="3:28" x14ac:dyDescent="0.3">
      <c r="C40" s="116"/>
      <c r="D40" s="116"/>
      <c r="E40" s="116"/>
      <c r="F40" s="116"/>
      <c r="G40" s="116"/>
      <c r="H40" s="116"/>
      <c r="I40" s="116"/>
      <c r="J40" s="116"/>
      <c r="K40" s="116"/>
      <c r="L40" s="1569"/>
      <c r="O40" s="116"/>
      <c r="P40" s="116"/>
      <c r="Q40" s="116"/>
      <c r="R40" s="116"/>
      <c r="S40" s="116"/>
      <c r="T40" s="116"/>
      <c r="W40" s="116"/>
      <c r="X40" s="116"/>
      <c r="Y40" s="116"/>
      <c r="Z40" s="116"/>
      <c r="AA40" s="116"/>
      <c r="AB40" s="116"/>
    </row>
    <row r="41" spans="3:28" x14ac:dyDescent="0.3">
      <c r="C41" s="116"/>
      <c r="D41" s="116"/>
      <c r="E41" s="116"/>
      <c r="F41" s="116"/>
      <c r="G41" s="116"/>
      <c r="H41" s="116"/>
      <c r="I41" s="116"/>
      <c r="J41" s="116"/>
      <c r="K41" s="116"/>
      <c r="L41" s="1569"/>
      <c r="O41" s="116"/>
      <c r="P41" s="116"/>
      <c r="Q41" s="116"/>
      <c r="R41" s="116"/>
      <c r="S41" s="116"/>
      <c r="T41" s="116"/>
      <c r="W41" s="116"/>
      <c r="X41" s="116"/>
      <c r="Y41" s="116"/>
      <c r="Z41" s="116"/>
      <c r="AA41" s="116"/>
      <c r="AB41" s="116"/>
    </row>
    <row r="42" spans="3:28" x14ac:dyDescent="0.3">
      <c r="C42" s="116"/>
      <c r="D42" s="116"/>
      <c r="E42" s="116"/>
      <c r="F42" s="116"/>
      <c r="G42" s="116"/>
      <c r="H42" s="116"/>
      <c r="I42" s="116"/>
      <c r="J42" s="116"/>
      <c r="K42" s="116"/>
      <c r="L42" s="1569"/>
      <c r="O42" s="116"/>
      <c r="P42" s="116"/>
      <c r="Q42" s="116"/>
      <c r="R42" s="116"/>
      <c r="S42" s="116"/>
      <c r="T42" s="116"/>
      <c r="W42" s="116"/>
      <c r="X42" s="116"/>
      <c r="Y42" s="116"/>
      <c r="Z42" s="116"/>
      <c r="AA42" s="116"/>
      <c r="AB42" s="116"/>
    </row>
    <row r="43" spans="3:28" x14ac:dyDescent="0.3">
      <c r="C43" s="116"/>
      <c r="D43" s="116"/>
      <c r="E43" s="116"/>
      <c r="F43" s="116"/>
      <c r="G43" s="116"/>
      <c r="H43" s="116"/>
      <c r="I43" s="116"/>
      <c r="J43" s="116"/>
      <c r="K43" s="116"/>
      <c r="L43" s="1569"/>
      <c r="O43" s="116"/>
      <c r="P43" s="116"/>
      <c r="Q43" s="116"/>
      <c r="R43" s="116"/>
      <c r="S43" s="116"/>
      <c r="T43" s="116"/>
      <c r="W43" s="116"/>
      <c r="X43" s="116"/>
      <c r="Y43" s="116"/>
      <c r="Z43" s="116"/>
      <c r="AA43" s="116"/>
      <c r="AB43" s="116"/>
    </row>
    <row r="44" spans="3:28" x14ac:dyDescent="0.3">
      <c r="C44" s="116"/>
      <c r="D44" s="116"/>
      <c r="E44" s="116"/>
      <c r="F44" s="116"/>
      <c r="G44" s="116"/>
      <c r="H44" s="116"/>
      <c r="I44" s="116"/>
      <c r="J44" s="116"/>
      <c r="K44" s="116"/>
      <c r="L44" s="1569"/>
      <c r="O44" s="116"/>
      <c r="P44" s="116"/>
      <c r="Q44" s="116"/>
      <c r="R44" s="116"/>
      <c r="S44" s="116"/>
      <c r="T44" s="116"/>
      <c r="W44" s="116"/>
      <c r="X44" s="116"/>
      <c r="Y44" s="116"/>
      <c r="Z44" s="116"/>
      <c r="AA44" s="116"/>
      <c r="AB44" s="116"/>
    </row>
    <row r="45" spans="3:28" x14ac:dyDescent="0.3">
      <c r="C45" s="116"/>
      <c r="D45" s="116"/>
      <c r="E45" s="116"/>
      <c r="F45" s="116"/>
      <c r="G45" s="116"/>
      <c r="H45" s="116"/>
      <c r="I45" s="116"/>
      <c r="J45" s="116"/>
      <c r="K45" s="116"/>
      <c r="L45" s="1569"/>
      <c r="O45" s="116"/>
      <c r="P45" s="116"/>
      <c r="Q45" s="116"/>
      <c r="R45" s="116"/>
      <c r="S45" s="116"/>
      <c r="T45" s="116"/>
      <c r="W45" s="116"/>
      <c r="X45" s="116"/>
      <c r="Y45" s="116"/>
      <c r="Z45" s="116"/>
      <c r="AA45" s="116"/>
      <c r="AB45" s="116"/>
    </row>
    <row r="46" spans="3:28" x14ac:dyDescent="0.3">
      <c r="C46" s="116"/>
      <c r="D46" s="116"/>
      <c r="E46" s="116"/>
      <c r="F46" s="116"/>
      <c r="G46" s="116"/>
      <c r="H46" s="116"/>
      <c r="I46" s="116"/>
      <c r="J46" s="116"/>
      <c r="K46" s="116"/>
      <c r="L46" s="1569"/>
      <c r="O46" s="116"/>
      <c r="P46" s="116"/>
      <c r="Q46" s="116"/>
      <c r="R46" s="116"/>
      <c r="S46" s="116"/>
      <c r="T46" s="116"/>
      <c r="W46" s="116"/>
      <c r="X46" s="116"/>
      <c r="Y46" s="116"/>
      <c r="Z46" s="116"/>
      <c r="AA46" s="116"/>
      <c r="AB46" s="116"/>
    </row>
    <row r="47" spans="3:28" x14ac:dyDescent="0.3">
      <c r="C47" s="116"/>
      <c r="D47" s="116"/>
      <c r="E47" s="116"/>
      <c r="F47" s="116"/>
      <c r="G47" s="116"/>
      <c r="H47" s="116"/>
      <c r="I47" s="116"/>
      <c r="J47" s="116"/>
      <c r="K47" s="116"/>
      <c r="L47" s="1569"/>
      <c r="O47" s="116"/>
      <c r="P47" s="116"/>
      <c r="Q47" s="116"/>
      <c r="R47" s="116"/>
      <c r="S47" s="116"/>
      <c r="T47" s="116"/>
      <c r="W47" s="116"/>
      <c r="X47" s="116"/>
      <c r="Y47" s="116"/>
      <c r="Z47" s="116"/>
      <c r="AA47" s="116"/>
      <c r="AB47" s="116"/>
    </row>
    <row r="48" spans="3:28" x14ac:dyDescent="0.3">
      <c r="C48" s="116"/>
      <c r="D48" s="116"/>
      <c r="E48" s="116"/>
      <c r="F48" s="116"/>
      <c r="G48" s="116"/>
      <c r="H48" s="116"/>
      <c r="I48" s="116"/>
      <c r="J48" s="116"/>
      <c r="K48" s="116"/>
      <c r="L48" s="1569"/>
      <c r="O48" s="116"/>
      <c r="P48" s="116"/>
      <c r="Q48" s="116"/>
      <c r="R48" s="116"/>
      <c r="S48" s="116"/>
      <c r="T48" s="116"/>
      <c r="W48" s="116"/>
      <c r="X48" s="116"/>
      <c r="Y48" s="116"/>
      <c r="Z48" s="116"/>
      <c r="AA48" s="116"/>
      <c r="AB48" s="116"/>
    </row>
    <row r="49" spans="3:28" x14ac:dyDescent="0.3">
      <c r="C49" s="116"/>
      <c r="D49" s="116"/>
      <c r="E49" s="116"/>
      <c r="F49" s="116"/>
      <c r="G49" s="116"/>
      <c r="H49" s="116"/>
      <c r="I49" s="116"/>
      <c r="J49" s="116"/>
      <c r="K49" s="116"/>
      <c r="L49" s="1569"/>
      <c r="O49" s="116"/>
      <c r="P49" s="116"/>
      <c r="Q49" s="116"/>
      <c r="R49" s="116"/>
      <c r="S49" s="116"/>
      <c r="T49" s="116"/>
      <c r="W49" s="116"/>
      <c r="X49" s="116"/>
      <c r="Y49" s="116"/>
      <c r="Z49" s="116"/>
      <c r="AA49" s="116"/>
      <c r="AB49" s="116"/>
    </row>
    <row r="50" spans="3:28" x14ac:dyDescent="0.3">
      <c r="C50" s="116"/>
      <c r="D50" s="116"/>
      <c r="E50" s="116"/>
      <c r="F50" s="116"/>
      <c r="G50" s="116"/>
      <c r="H50" s="116"/>
      <c r="I50" s="116"/>
      <c r="J50" s="116"/>
      <c r="K50" s="116"/>
      <c r="L50" s="1569"/>
      <c r="O50" s="116"/>
      <c r="P50" s="116"/>
      <c r="Q50" s="116"/>
      <c r="R50" s="116"/>
      <c r="S50" s="116"/>
      <c r="T50" s="116"/>
      <c r="W50" s="116"/>
      <c r="X50" s="116"/>
      <c r="Y50" s="116"/>
      <c r="Z50" s="116"/>
      <c r="AA50" s="116"/>
      <c r="AB50" s="116"/>
    </row>
    <row r="51" spans="3:28" x14ac:dyDescent="0.3">
      <c r="C51" s="116"/>
      <c r="D51" s="116"/>
      <c r="E51" s="116"/>
      <c r="F51" s="116"/>
      <c r="G51" s="116"/>
      <c r="H51" s="116"/>
      <c r="I51" s="116"/>
      <c r="J51" s="116"/>
      <c r="K51" s="116"/>
      <c r="L51" s="1569"/>
      <c r="O51" s="116"/>
      <c r="P51" s="116"/>
      <c r="Q51" s="116"/>
      <c r="R51" s="116"/>
      <c r="S51" s="116"/>
      <c r="T51" s="116"/>
      <c r="W51" s="116"/>
      <c r="X51" s="116"/>
      <c r="Y51" s="116"/>
      <c r="Z51" s="116"/>
      <c r="AA51" s="116"/>
      <c r="AB51" s="116"/>
    </row>
    <row r="52" spans="3:28" x14ac:dyDescent="0.3">
      <c r="C52" s="116"/>
      <c r="D52" s="116"/>
      <c r="E52" s="116"/>
      <c r="F52" s="116"/>
      <c r="G52" s="116"/>
      <c r="H52" s="116"/>
      <c r="I52" s="116"/>
      <c r="J52" s="116"/>
      <c r="K52" s="116"/>
      <c r="L52" s="1569"/>
      <c r="O52" s="116"/>
      <c r="P52" s="116"/>
      <c r="Q52" s="116"/>
      <c r="R52" s="116"/>
      <c r="S52" s="116"/>
      <c r="T52" s="116"/>
      <c r="W52" s="116"/>
      <c r="X52" s="116"/>
      <c r="Y52" s="116"/>
      <c r="Z52" s="116"/>
      <c r="AA52" s="116"/>
      <c r="AB52" s="116"/>
    </row>
    <row r="53" spans="3:28" x14ac:dyDescent="0.3">
      <c r="C53" s="116"/>
      <c r="D53" s="116"/>
      <c r="E53" s="116"/>
      <c r="F53" s="116"/>
      <c r="G53" s="116"/>
      <c r="H53" s="116"/>
      <c r="I53" s="116"/>
      <c r="J53" s="116"/>
      <c r="K53" s="116"/>
      <c r="L53" s="1569"/>
      <c r="O53" s="116"/>
      <c r="P53" s="116"/>
      <c r="Q53" s="116"/>
      <c r="R53" s="116"/>
      <c r="S53" s="116"/>
      <c r="T53" s="116"/>
      <c r="W53" s="116"/>
      <c r="X53" s="116"/>
      <c r="Y53" s="116"/>
      <c r="Z53" s="116"/>
      <c r="AA53" s="116"/>
      <c r="AB53" s="116"/>
    </row>
    <row r="54" spans="3:28" x14ac:dyDescent="0.3">
      <c r="C54" s="116"/>
      <c r="D54" s="116"/>
      <c r="E54" s="116"/>
      <c r="F54" s="116"/>
      <c r="G54" s="116"/>
      <c r="H54" s="116"/>
      <c r="I54" s="116"/>
      <c r="J54" s="116"/>
      <c r="K54" s="116"/>
      <c r="L54" s="1569"/>
      <c r="O54" s="116"/>
      <c r="P54" s="116"/>
      <c r="Q54" s="116"/>
      <c r="R54" s="116"/>
      <c r="S54" s="116"/>
      <c r="T54" s="116"/>
      <c r="W54" s="116"/>
      <c r="X54" s="116"/>
      <c r="Y54" s="116"/>
      <c r="Z54" s="116"/>
      <c r="AA54" s="116"/>
      <c r="AB54" s="116"/>
    </row>
    <row r="55" spans="3:28" x14ac:dyDescent="0.3">
      <c r="C55" s="116"/>
      <c r="D55" s="116"/>
      <c r="E55" s="116"/>
      <c r="F55" s="116"/>
      <c r="G55" s="116"/>
      <c r="H55" s="116"/>
      <c r="I55" s="116"/>
      <c r="J55" s="116"/>
      <c r="K55" s="116"/>
      <c r="L55" s="1569"/>
      <c r="O55" s="116"/>
      <c r="P55" s="116"/>
      <c r="Q55" s="116"/>
      <c r="R55" s="116"/>
      <c r="S55" s="116"/>
      <c r="T55" s="116"/>
      <c r="W55" s="116"/>
      <c r="X55" s="116"/>
      <c r="Y55" s="116"/>
      <c r="Z55" s="116"/>
      <c r="AA55" s="116"/>
      <c r="AB55" s="116"/>
    </row>
    <row r="56" spans="3:28" x14ac:dyDescent="0.3">
      <c r="C56" s="116"/>
      <c r="D56" s="116"/>
      <c r="E56" s="116"/>
      <c r="F56" s="116"/>
      <c r="G56" s="116"/>
      <c r="H56" s="116"/>
      <c r="I56" s="116"/>
      <c r="J56" s="116"/>
      <c r="K56" s="116"/>
      <c r="L56" s="1569"/>
      <c r="O56" s="116"/>
      <c r="P56" s="116"/>
      <c r="Q56" s="116"/>
      <c r="R56" s="116"/>
      <c r="S56" s="116"/>
      <c r="T56" s="116"/>
      <c r="W56" s="116"/>
      <c r="X56" s="116"/>
      <c r="Y56" s="116"/>
      <c r="Z56" s="116"/>
      <c r="AA56" s="116"/>
      <c r="AB56" s="116"/>
    </row>
    <row r="57" spans="3:28" x14ac:dyDescent="0.3">
      <c r="C57" s="116"/>
      <c r="D57" s="116"/>
      <c r="E57" s="116"/>
      <c r="F57" s="116"/>
      <c r="G57" s="116"/>
      <c r="H57" s="116"/>
      <c r="I57" s="116"/>
      <c r="J57" s="116"/>
      <c r="K57" s="116"/>
      <c r="L57" s="1569"/>
      <c r="O57" s="116"/>
      <c r="P57" s="116"/>
      <c r="Q57" s="116"/>
      <c r="R57" s="116"/>
      <c r="S57" s="116"/>
      <c r="T57" s="116"/>
      <c r="W57" s="116"/>
      <c r="X57" s="116"/>
      <c r="Y57" s="116"/>
      <c r="Z57" s="116"/>
      <c r="AA57" s="116"/>
      <c r="AB57" s="116"/>
    </row>
    <row r="58" spans="3:28" x14ac:dyDescent="0.3">
      <c r="C58" s="116"/>
      <c r="D58" s="116"/>
      <c r="E58" s="116"/>
      <c r="F58" s="116"/>
      <c r="G58" s="116"/>
      <c r="H58" s="116"/>
      <c r="I58" s="116"/>
      <c r="J58" s="116"/>
      <c r="K58" s="116"/>
      <c r="L58" s="1569"/>
      <c r="O58" s="116"/>
      <c r="P58" s="116"/>
      <c r="Q58" s="116"/>
      <c r="R58" s="116"/>
      <c r="S58" s="116"/>
      <c r="T58" s="116"/>
      <c r="W58" s="116"/>
      <c r="X58" s="116"/>
      <c r="Y58" s="116"/>
      <c r="Z58" s="116"/>
      <c r="AA58" s="116"/>
      <c r="AB58" s="116"/>
    </row>
    <row r="59" spans="3:28" x14ac:dyDescent="0.3">
      <c r="C59" s="116"/>
      <c r="D59" s="116"/>
      <c r="E59" s="116"/>
      <c r="F59" s="116"/>
      <c r="G59" s="116"/>
      <c r="H59" s="116"/>
      <c r="I59" s="116"/>
      <c r="J59" s="116"/>
      <c r="K59" s="116"/>
      <c r="L59" s="1569"/>
      <c r="O59" s="116"/>
      <c r="P59" s="116"/>
      <c r="Q59" s="116"/>
      <c r="R59" s="116"/>
      <c r="S59" s="116"/>
      <c r="T59" s="116"/>
      <c r="W59" s="116"/>
      <c r="X59" s="116"/>
      <c r="Y59" s="116"/>
      <c r="Z59" s="116"/>
      <c r="AA59" s="116"/>
      <c r="AB59" s="116"/>
    </row>
    <row r="60" spans="3:28" x14ac:dyDescent="0.3">
      <c r="C60" s="116"/>
      <c r="D60" s="116"/>
      <c r="E60" s="116"/>
      <c r="F60" s="116"/>
      <c r="G60" s="116"/>
      <c r="H60" s="116"/>
      <c r="I60" s="116"/>
      <c r="J60" s="116"/>
      <c r="K60" s="116"/>
      <c r="L60" s="1569"/>
      <c r="O60" s="116"/>
      <c r="P60" s="116"/>
      <c r="Q60" s="116"/>
      <c r="R60" s="116"/>
      <c r="S60" s="116"/>
      <c r="T60" s="116"/>
      <c r="W60" s="116"/>
      <c r="X60" s="116"/>
      <c r="Y60" s="116"/>
      <c r="Z60" s="116"/>
      <c r="AA60" s="116"/>
      <c r="AB60" s="116"/>
    </row>
    <row r="61" spans="3:28" x14ac:dyDescent="0.3">
      <c r="C61" s="116"/>
      <c r="D61" s="116"/>
      <c r="E61" s="116"/>
      <c r="F61" s="116"/>
      <c r="G61" s="116"/>
      <c r="H61" s="116"/>
      <c r="I61" s="116"/>
      <c r="J61" s="116"/>
      <c r="K61" s="116"/>
      <c r="L61" s="1569"/>
      <c r="O61" s="116"/>
      <c r="P61" s="116"/>
      <c r="Q61" s="116"/>
      <c r="R61" s="116"/>
      <c r="S61" s="116"/>
      <c r="T61" s="116"/>
      <c r="W61" s="116"/>
      <c r="X61" s="116"/>
      <c r="Y61" s="116"/>
      <c r="Z61" s="116"/>
      <c r="AA61" s="116"/>
      <c r="AB61" s="116"/>
    </row>
    <row r="62" spans="3:28" x14ac:dyDescent="0.3">
      <c r="C62" s="116"/>
      <c r="D62" s="116"/>
      <c r="E62" s="116"/>
      <c r="F62" s="116"/>
      <c r="G62" s="116"/>
      <c r="H62" s="116"/>
      <c r="I62" s="116"/>
      <c r="J62" s="116"/>
      <c r="K62" s="116"/>
      <c r="L62" s="1569"/>
      <c r="O62" s="116"/>
      <c r="P62" s="116"/>
      <c r="Q62" s="116"/>
      <c r="R62" s="116"/>
      <c r="S62" s="116"/>
      <c r="T62" s="116"/>
      <c r="W62" s="116"/>
      <c r="X62" s="116"/>
      <c r="Y62" s="116"/>
      <c r="Z62" s="116"/>
      <c r="AA62" s="116"/>
      <c r="AB62" s="116"/>
    </row>
    <row r="63" spans="3:28" x14ac:dyDescent="0.3">
      <c r="C63" s="116"/>
      <c r="D63" s="116"/>
      <c r="E63" s="116"/>
      <c r="F63" s="116"/>
      <c r="G63" s="116"/>
      <c r="H63" s="116"/>
      <c r="I63" s="116"/>
      <c r="J63" s="116"/>
      <c r="K63" s="116"/>
      <c r="L63" s="1569"/>
      <c r="O63" s="116"/>
      <c r="P63" s="116"/>
      <c r="Q63" s="116"/>
      <c r="R63" s="116"/>
      <c r="S63" s="116"/>
      <c r="T63" s="116"/>
      <c r="W63" s="116"/>
      <c r="X63" s="116"/>
      <c r="Y63" s="116"/>
      <c r="Z63" s="116"/>
      <c r="AA63" s="116"/>
      <c r="AB63" s="116"/>
    </row>
    <row r="64" spans="3:28" x14ac:dyDescent="0.3">
      <c r="C64" s="116"/>
      <c r="D64" s="116"/>
      <c r="E64" s="116"/>
      <c r="F64" s="116"/>
      <c r="G64" s="116"/>
      <c r="H64" s="116"/>
      <c r="I64" s="116"/>
      <c r="J64" s="116"/>
      <c r="K64" s="116"/>
      <c r="L64" s="1569"/>
      <c r="O64" s="116"/>
      <c r="P64" s="116"/>
      <c r="Q64" s="116"/>
      <c r="R64" s="116"/>
      <c r="S64" s="116"/>
      <c r="T64" s="116"/>
      <c r="W64" s="116"/>
      <c r="X64" s="116"/>
      <c r="Y64" s="116"/>
      <c r="Z64" s="116"/>
      <c r="AA64" s="116"/>
      <c r="AB64" s="116"/>
    </row>
    <row r="65" spans="3:28" x14ac:dyDescent="0.3">
      <c r="C65" s="116"/>
      <c r="D65" s="116"/>
      <c r="E65" s="116"/>
      <c r="F65" s="116"/>
      <c r="G65" s="116"/>
      <c r="H65" s="116"/>
      <c r="I65" s="116"/>
      <c r="J65" s="116"/>
      <c r="K65" s="116"/>
      <c r="L65" s="1569"/>
      <c r="O65" s="116"/>
      <c r="P65" s="116"/>
      <c r="Q65" s="116"/>
      <c r="R65" s="116"/>
      <c r="S65" s="116"/>
      <c r="T65" s="116"/>
      <c r="W65" s="116"/>
      <c r="X65" s="116"/>
      <c r="Y65" s="116"/>
      <c r="Z65" s="116"/>
      <c r="AA65" s="116"/>
      <c r="AB65" s="116"/>
    </row>
    <row r="66" spans="3:28" x14ac:dyDescent="0.3">
      <c r="C66" s="116"/>
      <c r="D66" s="116"/>
      <c r="E66" s="116"/>
      <c r="F66" s="116"/>
      <c r="G66" s="116"/>
      <c r="H66" s="116"/>
      <c r="I66" s="116"/>
      <c r="J66" s="116"/>
      <c r="K66" s="116"/>
      <c r="L66" s="1569"/>
      <c r="O66" s="116"/>
      <c r="P66" s="116"/>
      <c r="Q66" s="116"/>
      <c r="R66" s="116"/>
      <c r="S66" s="116"/>
      <c r="T66" s="116"/>
      <c r="W66" s="116"/>
      <c r="X66" s="116"/>
      <c r="Y66" s="116"/>
      <c r="Z66" s="116"/>
      <c r="AA66" s="116"/>
      <c r="AB66" s="116"/>
    </row>
    <row r="67" spans="3:28" x14ac:dyDescent="0.3">
      <c r="C67" s="116"/>
      <c r="D67" s="116"/>
      <c r="E67" s="116"/>
      <c r="F67" s="116"/>
      <c r="G67" s="116"/>
      <c r="H67" s="116"/>
      <c r="I67" s="116"/>
      <c r="J67" s="116"/>
      <c r="K67" s="116"/>
      <c r="L67" s="1569"/>
      <c r="O67" s="116"/>
      <c r="P67" s="116"/>
      <c r="Q67" s="116"/>
      <c r="R67" s="116"/>
      <c r="S67" s="116"/>
      <c r="T67" s="116"/>
      <c r="W67" s="116"/>
      <c r="X67" s="116"/>
      <c r="Y67" s="116"/>
      <c r="Z67" s="116"/>
      <c r="AA67" s="116"/>
      <c r="AB67" s="116"/>
    </row>
    <row r="68" spans="3:28" x14ac:dyDescent="0.3">
      <c r="C68" s="116"/>
      <c r="D68" s="116"/>
      <c r="E68" s="116"/>
      <c r="F68" s="116"/>
      <c r="G68" s="116"/>
      <c r="H68" s="116"/>
      <c r="I68" s="116"/>
      <c r="J68" s="116"/>
      <c r="K68" s="116"/>
      <c r="L68" s="1569"/>
      <c r="O68" s="116"/>
      <c r="P68" s="116"/>
      <c r="Q68" s="116"/>
      <c r="R68" s="116"/>
      <c r="S68" s="116"/>
      <c r="T68" s="116"/>
      <c r="W68" s="116"/>
      <c r="X68" s="116"/>
      <c r="Y68" s="116"/>
      <c r="Z68" s="116"/>
      <c r="AA68" s="116"/>
      <c r="AB68" s="116"/>
    </row>
    <row r="69" spans="3:28" x14ac:dyDescent="0.3">
      <c r="C69" s="116"/>
      <c r="D69" s="116"/>
      <c r="E69" s="116"/>
      <c r="F69" s="116"/>
      <c r="G69" s="116"/>
      <c r="H69" s="116"/>
      <c r="I69" s="116"/>
      <c r="J69" s="116"/>
      <c r="K69" s="116"/>
      <c r="L69" s="1569"/>
      <c r="O69" s="116"/>
      <c r="P69" s="116"/>
      <c r="Q69" s="116"/>
      <c r="R69" s="116"/>
      <c r="S69" s="116"/>
      <c r="T69" s="116"/>
      <c r="W69" s="116"/>
      <c r="X69" s="116"/>
      <c r="Y69" s="116"/>
      <c r="Z69" s="116"/>
      <c r="AA69" s="116"/>
      <c r="AB69" s="116"/>
    </row>
    <row r="70" spans="3:28" x14ac:dyDescent="0.3">
      <c r="C70" s="116"/>
      <c r="D70" s="116"/>
      <c r="E70" s="116"/>
      <c r="F70" s="116"/>
      <c r="G70" s="116"/>
      <c r="H70" s="116"/>
      <c r="I70" s="116"/>
      <c r="J70" s="116"/>
      <c r="K70" s="116"/>
      <c r="L70" s="1569"/>
      <c r="O70" s="116"/>
      <c r="P70" s="116"/>
      <c r="Q70" s="116"/>
      <c r="R70" s="116"/>
      <c r="S70" s="116"/>
      <c r="T70" s="116"/>
      <c r="W70" s="116"/>
      <c r="X70" s="116"/>
      <c r="Y70" s="116"/>
      <c r="Z70" s="116"/>
      <c r="AA70" s="116"/>
      <c r="AB70" s="116"/>
    </row>
    <row r="71" spans="3:28" x14ac:dyDescent="0.3">
      <c r="C71" s="116"/>
      <c r="D71" s="116"/>
      <c r="E71" s="116"/>
      <c r="F71" s="116"/>
      <c r="G71" s="116"/>
      <c r="H71" s="116"/>
      <c r="I71" s="116"/>
      <c r="J71" s="116"/>
      <c r="K71" s="116"/>
      <c r="L71" s="1569"/>
      <c r="O71" s="116"/>
      <c r="P71" s="116"/>
      <c r="Q71" s="116"/>
      <c r="R71" s="116"/>
      <c r="S71" s="116"/>
      <c r="T71" s="116"/>
      <c r="W71" s="116"/>
      <c r="X71" s="116"/>
      <c r="Y71" s="116"/>
      <c r="Z71" s="116"/>
      <c r="AA71" s="116"/>
      <c r="AB71" s="116"/>
    </row>
    <row r="72" spans="3:28" x14ac:dyDescent="0.3">
      <c r="C72" s="116"/>
      <c r="D72" s="116"/>
      <c r="E72" s="116"/>
      <c r="F72" s="116"/>
      <c r="G72" s="116"/>
      <c r="H72" s="116"/>
      <c r="I72" s="116"/>
      <c r="J72" s="116"/>
      <c r="K72" s="116"/>
      <c r="L72" s="1569"/>
      <c r="O72" s="116"/>
      <c r="P72" s="116"/>
      <c r="Q72" s="116"/>
      <c r="R72" s="116"/>
      <c r="S72" s="116"/>
      <c r="T72" s="116"/>
      <c r="W72" s="116"/>
      <c r="X72" s="116"/>
      <c r="Y72" s="116"/>
      <c r="Z72" s="116"/>
      <c r="AA72" s="116"/>
      <c r="AB72" s="116"/>
    </row>
    <row r="73" spans="3:28" x14ac:dyDescent="0.3">
      <c r="C73" s="116"/>
      <c r="D73" s="116"/>
      <c r="E73" s="116"/>
      <c r="F73" s="116"/>
      <c r="G73" s="116"/>
      <c r="H73" s="116"/>
      <c r="I73" s="116"/>
      <c r="J73" s="116"/>
      <c r="K73" s="116"/>
      <c r="L73" s="1569"/>
      <c r="O73" s="116"/>
      <c r="P73" s="116"/>
      <c r="Q73" s="116"/>
      <c r="R73" s="116"/>
      <c r="S73" s="116"/>
      <c r="T73" s="116"/>
      <c r="W73" s="116"/>
      <c r="X73" s="116"/>
      <c r="Y73" s="116"/>
      <c r="Z73" s="116"/>
      <c r="AA73" s="116"/>
      <c r="AB73" s="116"/>
    </row>
    <row r="74" spans="3:28" x14ac:dyDescent="0.3">
      <c r="C74" s="116"/>
      <c r="D74" s="116"/>
      <c r="E74" s="116"/>
      <c r="F74" s="116"/>
      <c r="G74" s="116"/>
      <c r="H74" s="116"/>
      <c r="I74" s="116"/>
      <c r="J74" s="116"/>
      <c r="K74" s="116"/>
      <c r="L74" s="1569"/>
      <c r="O74" s="116"/>
      <c r="P74" s="116"/>
      <c r="Q74" s="116"/>
      <c r="R74" s="116"/>
      <c r="S74" s="116"/>
      <c r="T74" s="116"/>
      <c r="W74" s="116"/>
      <c r="X74" s="116"/>
      <c r="Y74" s="116"/>
      <c r="Z74" s="116"/>
      <c r="AA74" s="116"/>
      <c r="AB74" s="116"/>
    </row>
    <row r="75" spans="3:28" x14ac:dyDescent="0.3">
      <c r="C75" s="116"/>
      <c r="D75" s="116"/>
      <c r="E75" s="116"/>
      <c r="F75" s="116"/>
      <c r="G75" s="116"/>
      <c r="H75" s="116"/>
      <c r="I75" s="116"/>
      <c r="J75" s="116"/>
      <c r="K75" s="116"/>
      <c r="L75" s="1569"/>
      <c r="O75" s="116"/>
      <c r="P75" s="116"/>
      <c r="Q75" s="116"/>
      <c r="R75" s="116"/>
      <c r="S75" s="116"/>
      <c r="T75" s="116"/>
      <c r="W75" s="116"/>
      <c r="X75" s="116"/>
      <c r="Y75" s="116"/>
      <c r="Z75" s="116"/>
      <c r="AA75" s="116"/>
      <c r="AB75" s="116"/>
    </row>
    <row r="76" spans="3:28" x14ac:dyDescent="0.3">
      <c r="C76" s="116"/>
      <c r="D76" s="116"/>
      <c r="E76" s="116"/>
      <c r="F76" s="116"/>
      <c r="G76" s="116"/>
      <c r="H76" s="116"/>
      <c r="I76" s="116"/>
      <c r="J76" s="116"/>
      <c r="K76" s="116"/>
      <c r="L76" s="1569"/>
      <c r="O76" s="116"/>
      <c r="P76" s="116"/>
      <c r="Q76" s="116"/>
      <c r="R76" s="116"/>
      <c r="S76" s="116"/>
      <c r="T76" s="116"/>
      <c r="W76" s="116"/>
      <c r="X76" s="116"/>
      <c r="Y76" s="116"/>
      <c r="Z76" s="116"/>
      <c r="AA76" s="116"/>
      <c r="AB76" s="116"/>
    </row>
    <row r="77" spans="3:28" x14ac:dyDescent="0.3">
      <c r="C77" s="116"/>
      <c r="D77" s="116"/>
      <c r="E77" s="116"/>
      <c r="F77" s="116"/>
      <c r="G77" s="116"/>
      <c r="H77" s="116"/>
      <c r="I77" s="116"/>
      <c r="J77" s="116"/>
      <c r="K77" s="116"/>
      <c r="L77" s="1569"/>
      <c r="O77" s="116"/>
      <c r="P77" s="116"/>
      <c r="Q77" s="116"/>
      <c r="R77" s="116"/>
      <c r="S77" s="116"/>
      <c r="T77" s="116"/>
      <c r="W77" s="116"/>
      <c r="X77" s="116"/>
      <c r="Y77" s="116"/>
      <c r="Z77" s="116"/>
      <c r="AA77" s="116"/>
      <c r="AB77" s="116"/>
    </row>
    <row r="78" spans="3:28" x14ac:dyDescent="0.3">
      <c r="C78" s="116"/>
      <c r="D78" s="116"/>
      <c r="E78" s="116"/>
      <c r="F78" s="116"/>
      <c r="G78" s="116"/>
      <c r="H78" s="116"/>
      <c r="I78" s="116"/>
      <c r="J78" s="116"/>
      <c r="K78" s="116"/>
      <c r="L78" s="1569"/>
      <c r="O78" s="116"/>
      <c r="P78" s="116"/>
      <c r="Q78" s="116"/>
      <c r="R78" s="116"/>
      <c r="S78" s="116"/>
      <c r="T78" s="116"/>
      <c r="W78" s="116"/>
      <c r="X78" s="116"/>
      <c r="Y78" s="116"/>
      <c r="Z78" s="116"/>
      <c r="AA78" s="116"/>
      <c r="AB78" s="116"/>
    </row>
    <row r="79" spans="3:28" x14ac:dyDescent="0.3">
      <c r="C79" s="116"/>
      <c r="D79" s="116"/>
      <c r="E79" s="116"/>
      <c r="F79" s="116"/>
      <c r="G79" s="116"/>
      <c r="H79" s="116"/>
      <c r="I79" s="116"/>
      <c r="J79" s="116"/>
      <c r="K79" s="116"/>
      <c r="L79" s="1569"/>
      <c r="O79" s="116"/>
      <c r="P79" s="116"/>
      <c r="Q79" s="116"/>
      <c r="R79" s="116"/>
      <c r="S79" s="116"/>
      <c r="T79" s="116"/>
      <c r="W79" s="116"/>
      <c r="X79" s="116"/>
      <c r="Y79" s="116"/>
      <c r="Z79" s="116"/>
      <c r="AA79" s="116"/>
      <c r="AB79" s="116"/>
    </row>
    <row r="80" spans="3:28" x14ac:dyDescent="0.3">
      <c r="C80" s="116"/>
      <c r="D80" s="116"/>
      <c r="E80" s="116"/>
      <c r="F80" s="116"/>
      <c r="G80" s="116"/>
      <c r="H80" s="116"/>
      <c r="I80" s="116"/>
      <c r="J80" s="116"/>
      <c r="K80" s="116"/>
      <c r="L80" s="1569"/>
      <c r="O80" s="116"/>
      <c r="P80" s="116"/>
      <c r="Q80" s="116"/>
      <c r="R80" s="116"/>
      <c r="S80" s="116"/>
      <c r="T80" s="116"/>
      <c r="W80" s="116"/>
      <c r="X80" s="116"/>
      <c r="Y80" s="116"/>
      <c r="Z80" s="116"/>
      <c r="AA80" s="116"/>
      <c r="AB80" s="116"/>
    </row>
    <row r="81" spans="3:28" x14ac:dyDescent="0.3">
      <c r="C81" s="116"/>
      <c r="D81" s="116"/>
      <c r="E81" s="116"/>
      <c r="F81" s="116"/>
      <c r="G81" s="116"/>
      <c r="H81" s="116"/>
      <c r="I81" s="116"/>
      <c r="J81" s="116"/>
      <c r="K81" s="116"/>
      <c r="L81" s="1569"/>
      <c r="O81" s="116"/>
      <c r="P81" s="116"/>
      <c r="Q81" s="116"/>
      <c r="R81" s="116"/>
      <c r="S81" s="116"/>
      <c r="T81" s="116"/>
      <c r="W81" s="116"/>
      <c r="X81" s="116"/>
      <c r="Y81" s="116"/>
      <c r="Z81" s="116"/>
      <c r="AA81" s="116"/>
      <c r="AB81" s="116"/>
    </row>
    <row r="82" spans="3:28" x14ac:dyDescent="0.3">
      <c r="L82" s="1569"/>
    </row>
    <row r="83" spans="3:28" x14ac:dyDescent="0.3">
      <c r="L83" s="1569"/>
    </row>
    <row r="84" spans="3:28" x14ac:dyDescent="0.3">
      <c r="L84" s="1569"/>
    </row>
    <row r="85" spans="3:28" x14ac:dyDescent="0.3">
      <c r="L85" s="1569"/>
    </row>
    <row r="86" spans="3:28" x14ac:dyDescent="0.3">
      <c r="L86" s="1569"/>
    </row>
    <row r="87" spans="3:28" x14ac:dyDescent="0.3">
      <c r="L87" s="1569"/>
    </row>
    <row r="88" spans="3:28" x14ac:dyDescent="0.3">
      <c r="L88" s="1569"/>
    </row>
    <row r="89" spans="3:28" x14ac:dyDescent="0.3">
      <c r="L89" s="1569"/>
    </row>
    <row r="90" spans="3:28" x14ac:dyDescent="0.3">
      <c r="L90" s="1569"/>
    </row>
    <row r="91" spans="3:28" x14ac:dyDescent="0.3">
      <c r="L91" s="1569"/>
    </row>
    <row r="92" spans="3:28" x14ac:dyDescent="0.3">
      <c r="L92" s="1569"/>
    </row>
    <row r="93" spans="3:28" x14ac:dyDescent="0.3">
      <c r="L93" s="1569"/>
    </row>
    <row r="94" spans="3:28" x14ac:dyDescent="0.3">
      <c r="L94" s="1569"/>
    </row>
    <row r="95" spans="3:28" x14ac:dyDescent="0.3">
      <c r="L95" s="1569"/>
    </row>
    <row r="96" spans="3:28" x14ac:dyDescent="0.3">
      <c r="L96" s="1569"/>
    </row>
    <row r="97" spans="12:12" x14ac:dyDescent="0.3">
      <c r="L97" s="1569"/>
    </row>
    <row r="98" spans="12:12" x14ac:dyDescent="0.3">
      <c r="L98" s="1569"/>
    </row>
    <row r="99" spans="12:12" x14ac:dyDescent="0.3">
      <c r="L99" s="1569"/>
    </row>
    <row r="100" spans="12:12" x14ac:dyDescent="0.3">
      <c r="L100" s="1569"/>
    </row>
  </sheetData>
  <mergeCells count="3">
    <mergeCell ref="L1:AC1"/>
    <mergeCell ref="A1:K1"/>
    <mergeCell ref="L3:L100"/>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nalyse"/>
  <dimension ref="A1:AO101"/>
  <sheetViews>
    <sheetView topLeftCell="E1" workbookViewId="0">
      <selection activeCell="K8" sqref="K8"/>
    </sheetView>
  </sheetViews>
  <sheetFormatPr defaultRowHeight="14.4" outlineLevelCol="1" x14ac:dyDescent="0.3"/>
  <cols>
    <col min="1" max="1" width="13.44140625" hidden="1" customWidth="1" outlineLevel="1" collapsed="1"/>
    <col min="2" max="2" width="13.88671875" style="324" hidden="1" customWidth="1" outlineLevel="1"/>
    <col min="3" max="4" width="11.109375" style="896" hidden="1" customWidth="1" outlineLevel="1"/>
    <col min="5" max="5" width="25.88671875" customWidth="1" collapsed="1"/>
    <col min="6" max="6" width="11.33203125" style="896" customWidth="1"/>
    <col min="7" max="7" width="14.109375" hidden="1" customWidth="1" outlineLevel="1"/>
    <col min="8" max="8" width="12" style="324" hidden="1" customWidth="1" outlineLevel="1"/>
    <col min="9" max="9" width="11.109375" hidden="1" customWidth="1" outlineLevel="1"/>
    <col min="10" max="10" width="12.33203125" hidden="1" customWidth="1" outlineLevel="1"/>
    <col min="11" max="11" width="25.44140625" customWidth="1" collapsed="1"/>
    <col min="12" max="12" width="11.33203125" style="896" customWidth="1"/>
    <col min="13" max="13" width="14.109375" hidden="1" customWidth="1" outlineLevel="1"/>
    <col min="14" max="14" width="12" style="324" hidden="1" customWidth="1" outlineLevel="1"/>
    <col min="15" max="15" width="11.109375" hidden="1" customWidth="1" outlineLevel="1"/>
    <col min="16" max="16" width="12.33203125" hidden="1" customWidth="1" outlineLevel="1"/>
    <col min="17" max="17" width="25.44140625" customWidth="1" collapsed="1"/>
    <col min="18" max="18" width="11.33203125" style="896" customWidth="1"/>
    <col min="19" max="19" width="16.109375" hidden="1" customWidth="1" outlineLevel="1"/>
    <col min="20" max="20" width="12" style="324" hidden="1" customWidth="1" outlineLevel="1"/>
    <col min="21" max="21" width="11.109375" hidden="1" customWidth="1" outlineLevel="1"/>
    <col min="22" max="22" width="12.33203125" hidden="1" customWidth="1" outlineLevel="1"/>
    <col min="23" max="23" width="28.44140625" customWidth="1" collapsed="1"/>
    <col min="24" max="24" width="11.33203125" style="896" customWidth="1"/>
    <col min="25" max="25" width="16.109375" hidden="1" customWidth="1" outlineLevel="1"/>
    <col min="26" max="26" width="12" style="324" hidden="1" customWidth="1" outlineLevel="1"/>
    <col min="27" max="27" width="11.109375" hidden="1" customWidth="1" outlineLevel="1"/>
    <col min="28" max="28" width="12.33203125" hidden="1" customWidth="1" outlineLevel="1"/>
    <col min="29" max="29" width="28.44140625" customWidth="1" collapsed="1"/>
    <col min="30" max="30" width="11.33203125" style="896" customWidth="1"/>
    <col min="31" max="31" width="16.109375" hidden="1" customWidth="1" outlineLevel="1"/>
    <col min="32" max="32" width="12" style="324" hidden="1" customWidth="1" outlineLevel="1"/>
    <col min="33" max="33" width="11.109375" hidden="1" customWidth="1" outlineLevel="1"/>
    <col min="34" max="34" width="12.33203125" hidden="1" customWidth="1" outlineLevel="1"/>
    <col min="35" max="35" width="28.44140625" customWidth="1" collapsed="1"/>
    <col min="36" max="36" width="11.33203125" style="896" customWidth="1"/>
    <col min="37" max="37" width="14.109375" style="768" hidden="1" customWidth="1" outlineLevel="1"/>
    <col min="38" max="38" width="12" style="324" hidden="1" customWidth="1" outlineLevel="1"/>
    <col min="39" max="39" width="11.109375" hidden="1" customWidth="1" outlineLevel="1"/>
    <col min="40" max="40" width="12.33203125" hidden="1" customWidth="1" outlineLevel="1"/>
    <col min="41" max="41" width="25.44140625" customWidth="1" collapsed="1"/>
  </cols>
  <sheetData>
    <row r="1" spans="1:41" x14ac:dyDescent="0.3">
      <c r="A1" s="1483" t="s">
        <v>1</v>
      </c>
      <c r="B1" s="1483"/>
      <c r="C1" s="1483"/>
      <c r="D1" s="1483"/>
      <c r="E1" s="1483"/>
      <c r="F1" s="1483" t="s">
        <v>8534</v>
      </c>
      <c r="G1" s="1483"/>
      <c r="H1" s="1483"/>
      <c r="I1" s="1483"/>
      <c r="J1" s="1483"/>
      <c r="K1" s="1483"/>
      <c r="L1" s="1483" t="s">
        <v>8536</v>
      </c>
      <c r="M1" s="1483"/>
      <c r="N1" s="1483"/>
      <c r="O1" s="1483"/>
      <c r="P1" s="1483"/>
      <c r="Q1" s="1483"/>
      <c r="R1" s="1483" t="s">
        <v>8539</v>
      </c>
      <c r="S1" s="1483"/>
      <c r="T1" s="1483"/>
      <c r="U1" s="1483"/>
      <c r="V1" s="1483"/>
      <c r="W1" s="1483"/>
      <c r="X1" s="1483" t="s">
        <v>8540</v>
      </c>
      <c r="Y1" s="1483"/>
      <c r="Z1" s="1483"/>
      <c r="AA1" s="1483"/>
      <c r="AB1" s="1483"/>
      <c r="AC1" s="1483"/>
      <c r="AD1" s="1483" t="s">
        <v>8541</v>
      </c>
      <c r="AE1" s="1483"/>
      <c r="AF1" s="1483"/>
      <c r="AG1" s="1483"/>
      <c r="AH1" s="1483"/>
      <c r="AI1" s="1483"/>
      <c r="AJ1" s="1483" t="s">
        <v>8537</v>
      </c>
      <c r="AK1" s="1483"/>
      <c r="AL1" s="1483"/>
      <c r="AM1" s="1483"/>
      <c r="AN1" s="1483"/>
      <c r="AO1" s="1483"/>
    </row>
    <row r="2" spans="1:41" x14ac:dyDescent="0.3">
      <c r="A2" s="822" t="s">
        <v>8531</v>
      </c>
      <c r="B2" s="888" t="s">
        <v>8532</v>
      </c>
      <c r="C2" s="892" t="s">
        <v>601</v>
      </c>
      <c r="D2" s="892" t="s">
        <v>8533</v>
      </c>
      <c r="E2" s="822" t="s">
        <v>8360</v>
      </c>
      <c r="F2" s="892" t="s">
        <v>8535</v>
      </c>
      <c r="G2" s="822" t="s">
        <v>8531</v>
      </c>
      <c r="H2" s="888" t="s">
        <v>8532</v>
      </c>
      <c r="I2" s="892" t="s">
        <v>601</v>
      </c>
      <c r="J2" s="892" t="s">
        <v>8533</v>
      </c>
      <c r="K2" s="822" t="s">
        <v>8360</v>
      </c>
      <c r="L2" s="892" t="s">
        <v>8535</v>
      </c>
      <c r="M2" s="822" t="s">
        <v>8531</v>
      </c>
      <c r="N2" s="888" t="s">
        <v>8532</v>
      </c>
      <c r="O2" s="892" t="s">
        <v>601</v>
      </c>
      <c r="P2" s="892" t="s">
        <v>8533</v>
      </c>
      <c r="Q2" s="822" t="s">
        <v>8360</v>
      </c>
      <c r="R2" s="892" t="s">
        <v>8535</v>
      </c>
      <c r="S2" s="822" t="s">
        <v>8531</v>
      </c>
      <c r="T2" s="888" t="s">
        <v>8532</v>
      </c>
      <c r="U2" s="892" t="s">
        <v>601</v>
      </c>
      <c r="V2" s="892" t="s">
        <v>8533</v>
      </c>
      <c r="W2" s="822" t="s">
        <v>8360</v>
      </c>
      <c r="X2" s="892" t="s">
        <v>8535</v>
      </c>
      <c r="Y2" s="822" t="s">
        <v>8531</v>
      </c>
      <c r="Z2" s="888" t="s">
        <v>8532</v>
      </c>
      <c r="AA2" s="892" t="s">
        <v>601</v>
      </c>
      <c r="AB2" s="892" t="s">
        <v>8533</v>
      </c>
      <c r="AC2" s="822" t="s">
        <v>8360</v>
      </c>
      <c r="AD2" s="892" t="s">
        <v>8535</v>
      </c>
      <c r="AE2" s="822" t="s">
        <v>8531</v>
      </c>
      <c r="AF2" s="888" t="s">
        <v>8532</v>
      </c>
      <c r="AG2" s="892" t="s">
        <v>601</v>
      </c>
      <c r="AH2" s="892" t="s">
        <v>8533</v>
      </c>
      <c r="AI2" s="822" t="s">
        <v>8360</v>
      </c>
      <c r="AJ2" s="892" t="s">
        <v>8535</v>
      </c>
      <c r="AK2" s="822" t="s">
        <v>8531</v>
      </c>
      <c r="AL2" s="888" t="s">
        <v>8532</v>
      </c>
      <c r="AM2" s="892" t="s">
        <v>601</v>
      </c>
      <c r="AN2" s="892" t="s">
        <v>8533</v>
      </c>
      <c r="AO2" s="822" t="s">
        <v>8360</v>
      </c>
    </row>
    <row r="3" spans="1:41" x14ac:dyDescent="0.3">
      <c r="A3" s="842" t="str">
        <f>CHALLANGE_draft!EC3</f>
        <v>Неустойка</v>
      </c>
      <c r="B3" s="889">
        <f>CHALLANGE_draft!EC9</f>
        <v>100000</v>
      </c>
      <c r="C3" s="893" t="str">
        <f>CHALLANGE_draft!EC4</f>
        <v/>
      </c>
      <c r="D3" s="893" t="str">
        <f>CHALLANGE_draft!EC5</f>
        <v/>
      </c>
      <c r="E3" s="842" t="str">
        <f>CHALLANGE_draft!ED3</f>
        <v>1. Неустойка 100 000,00₽</v>
      </c>
      <c r="F3" s="898">
        <f>IF(CHALLANGE_draft!XY3="","01.01.1900",CHALLANGE_draft!XY3)</f>
        <v>43679</v>
      </c>
      <c r="G3" s="844" t="str">
        <f>CHALLANGE_draft!YN3</f>
        <v>Ущерб</v>
      </c>
      <c r="H3" s="899" t="str">
        <f>CHALLANGE_draft!YN9</f>
        <v/>
      </c>
      <c r="I3" s="897" t="str">
        <f>CHALLANGE_draft!YN4</f>
        <v/>
      </c>
      <c r="J3" s="897" t="str">
        <f>CHALLANGE_draft!YN5</f>
        <v/>
      </c>
      <c r="K3" s="844" t="str">
        <f>CHALLANGE_draft!YO3</f>
        <v xml:space="preserve">1. Ущерб </v>
      </c>
      <c r="L3" s="898" t="str">
        <f>IF(CHALLANGE_draft!XY4="","01.01.1900",CHALLANGE_draft!XY4)</f>
        <v>01.01.1900</v>
      </c>
      <c r="M3" s="844" t="str">
        <f>CHALLANGE_draft!YZ3</f>
        <v/>
      </c>
      <c r="N3" s="899" t="str">
        <f>CHALLANGE_draft!YZ9</f>
        <v/>
      </c>
      <c r="O3" s="897" t="str">
        <f>CHALLANGE_draft!YZ4</f>
        <v/>
      </c>
      <c r="P3" s="897" t="str">
        <f>CHALLANGE_draft!YZ5</f>
        <v/>
      </c>
      <c r="Q3" s="844" t="str">
        <f>CHALLANGE_draft!ZA3</f>
        <v/>
      </c>
      <c r="R3" s="898" t="str">
        <f>IF(CHALLANGE_draft!XY5="","01.01.1900",CHALLANGE_draft!XY5)</f>
        <v>01.01.1900</v>
      </c>
      <c r="S3" s="844" t="str">
        <f>CHALLANGE_draft!ZL3</f>
        <v/>
      </c>
      <c r="T3" s="899" t="str">
        <f>CHALLANGE_draft!ZL9</f>
        <v/>
      </c>
      <c r="U3" s="897" t="str">
        <f>CHALLANGE_draft!ZL4</f>
        <v/>
      </c>
      <c r="V3" s="897" t="str">
        <f>CHALLANGE_draft!ZL5</f>
        <v/>
      </c>
      <c r="W3" s="844" t="str">
        <f>CHALLANGE_draft!ZM3</f>
        <v/>
      </c>
      <c r="X3" s="898">
        <f>IF(CHALLANGE_draft!XY6="","01.01.1900",CHALLANGE_draft!XY6)</f>
        <v>44123</v>
      </c>
      <c r="Y3" s="844" t="str">
        <f>CHALLANGE_draft!ZX3</f>
        <v>Неустойка</v>
      </c>
      <c r="Z3" s="899">
        <f>CHALLANGE_draft!ZX9</f>
        <v>100000</v>
      </c>
      <c r="AA3" s="897">
        <f>CHALLANGE_draft!ZX4</f>
        <v>43838</v>
      </c>
      <c r="AB3" s="897">
        <f>CHALLANGE_draft!ZX5</f>
        <v>43881</v>
      </c>
      <c r="AC3" s="844" t="str">
        <f>CHALLANGE_draft!ZY3</f>
        <v>1. Неустойка 100 000,00₽</v>
      </c>
      <c r="AD3" s="898" t="str">
        <f>IF(CHALLANGE_draft!XY7="","01.01.1900",CHALLANGE_draft!XY7)</f>
        <v>01.01.1900</v>
      </c>
      <c r="AE3" s="844" t="str">
        <f>CHALLANGE_draft!AAJ3</f>
        <v/>
      </c>
      <c r="AF3" s="899" t="str">
        <f>CHALLANGE_draft!AAJ9</f>
        <v/>
      </c>
      <c r="AG3" s="897" t="str">
        <f>CHALLANGE_draft!AAJ4</f>
        <v/>
      </c>
      <c r="AH3" s="897" t="str">
        <f>CHALLANGE_draft!AAJ5</f>
        <v/>
      </c>
      <c r="AI3" s="844" t="str">
        <f>CHALLANGE_draft!AAK3</f>
        <v/>
      </c>
      <c r="AJ3" s="898">
        <v>43617</v>
      </c>
      <c r="AK3" s="900" t="str">
        <f>DATES!O2</f>
        <v>Ущерб</v>
      </c>
      <c r="AL3" s="899"/>
      <c r="AM3" s="897"/>
      <c r="AN3" s="897"/>
      <c r="AO3" s="844" t="str">
        <f>AK3</f>
        <v>Ущерб</v>
      </c>
    </row>
    <row r="4" spans="1:41" x14ac:dyDescent="0.3">
      <c r="A4" s="842" t="str">
        <f>CHALLANGE_draft!EC10</f>
        <v/>
      </c>
      <c r="B4" s="889" t="str">
        <f>CHALLANGE_draft!EC16</f>
        <v/>
      </c>
      <c r="C4" s="893" t="str">
        <f>CHALLANGE_draft!EC11</f>
        <v/>
      </c>
      <c r="D4" s="893" t="str">
        <f>CHALLANGE_draft!EC12</f>
        <v/>
      </c>
      <c r="E4" s="842" t="str">
        <f>CHALLANGE_draft!ED4</f>
        <v/>
      </c>
      <c r="G4" s="844" t="str">
        <f>CHALLANGE_draft!YN10</f>
        <v>Неустойка</v>
      </c>
      <c r="H4" s="899" t="str">
        <f>CHALLANGE_draft!YN16</f>
        <v/>
      </c>
      <c r="I4" s="897" t="str">
        <f>CHALLANGE_draft!YN11</f>
        <v/>
      </c>
      <c r="J4" s="897" t="str">
        <f>CHALLANGE_draft!YN12</f>
        <v/>
      </c>
      <c r="K4" s="844" t="str">
        <f>CHALLANGE_draft!YO4</f>
        <v xml:space="preserve">2. Неустойка </v>
      </c>
      <c r="M4" s="844" t="str">
        <f>CHALLANGE_draft!YZ10</f>
        <v/>
      </c>
      <c r="N4" s="899" t="str">
        <f>CHALLANGE_draft!YZ16</f>
        <v/>
      </c>
      <c r="O4" s="897" t="str">
        <f>CHALLANGE_draft!YZ11</f>
        <v/>
      </c>
      <c r="P4" s="897" t="str">
        <f>CHALLANGE_draft!YZ12</f>
        <v/>
      </c>
      <c r="Q4" s="844" t="str">
        <f>CHALLANGE_draft!ZA4</f>
        <v/>
      </c>
      <c r="S4" s="844" t="str">
        <f>CHALLANGE_draft!ZL10</f>
        <v/>
      </c>
      <c r="T4" s="899" t="str">
        <f>CHALLANGE_draft!ZL16</f>
        <v/>
      </c>
      <c r="U4" s="897" t="str">
        <f>CHALLANGE_draft!ZL11</f>
        <v/>
      </c>
      <c r="V4" s="897" t="str">
        <f>CHALLANGE_draft!ZL12</f>
        <v/>
      </c>
      <c r="W4" s="844" t="str">
        <f>CHALLANGE_draft!ZM4</f>
        <v/>
      </c>
      <c r="Y4" s="844" t="str">
        <f>CHALLANGE_draft!ZX10</f>
        <v/>
      </c>
      <c r="Z4" s="899" t="str">
        <f>CHALLANGE_draft!ZX16</f>
        <v/>
      </c>
      <c r="AA4" s="897" t="str">
        <f>CHALLANGE_draft!ZX11</f>
        <v/>
      </c>
      <c r="AB4" s="897" t="str">
        <f>CHALLANGE_draft!ZX12</f>
        <v/>
      </c>
      <c r="AC4" s="844" t="str">
        <f>CHALLANGE_draft!ZY4</f>
        <v/>
      </c>
      <c r="AE4" s="844" t="str">
        <f>CHALLANGE_draft!AAJ10</f>
        <v/>
      </c>
      <c r="AF4" s="899" t="str">
        <f>CHALLANGE_draft!AAJ16</f>
        <v/>
      </c>
      <c r="AG4" s="897" t="str">
        <f>CHALLANGE_draft!AAJ11</f>
        <v/>
      </c>
      <c r="AH4" s="897" t="str">
        <f>CHALLANGE_draft!AAJ12</f>
        <v/>
      </c>
      <c r="AI4" s="844" t="str">
        <f>CHALLANGE_draft!AAK4</f>
        <v/>
      </c>
      <c r="AK4" s="900" t="str">
        <f>DATES!O3</f>
        <v>Неустойка</v>
      </c>
      <c r="AL4" s="899"/>
      <c r="AM4" s="897"/>
      <c r="AN4" s="897"/>
      <c r="AO4" s="844" t="str">
        <f t="shared" ref="AO4:AO17" si="0">AK4</f>
        <v>Неустойка</v>
      </c>
    </row>
    <row r="5" spans="1:41" x14ac:dyDescent="0.3">
      <c r="A5" s="842" t="str">
        <f>CHALLANGE_draft!EC17</f>
        <v/>
      </c>
      <c r="B5" s="889" t="str">
        <f>CHALLANGE_draft!EC23</f>
        <v/>
      </c>
      <c r="C5" s="893" t="str">
        <f>CHALLANGE_draft!EC18</f>
        <v/>
      </c>
      <c r="D5" s="893" t="str">
        <f>CHALLANGE_draft!EC19</f>
        <v/>
      </c>
      <c r="E5" s="842" t="str">
        <f>CHALLANGE_draft!ED5</f>
        <v/>
      </c>
      <c r="G5" s="844" t="str">
        <f>CHALLANGE_draft!YN17</f>
        <v/>
      </c>
      <c r="H5" s="899" t="str">
        <f>CHALLANGE_draft!YN23</f>
        <v/>
      </c>
      <c r="I5" s="897" t="str">
        <f>CHALLANGE_draft!YN18</f>
        <v/>
      </c>
      <c r="J5" s="897" t="str">
        <f>CHALLANGE_draft!YN19</f>
        <v/>
      </c>
      <c r="K5" s="844" t="str">
        <f>CHALLANGE_draft!YO5</f>
        <v/>
      </c>
      <c r="M5" s="844" t="str">
        <f>CHALLANGE_draft!YZ17</f>
        <v/>
      </c>
      <c r="N5" s="899" t="str">
        <f>CHALLANGE_draft!YZ23</f>
        <v/>
      </c>
      <c r="O5" s="897" t="str">
        <f>CHALLANGE_draft!YZ18</f>
        <v/>
      </c>
      <c r="P5" s="897" t="str">
        <f>CHALLANGE_draft!YZ19</f>
        <v/>
      </c>
      <c r="Q5" s="844" t="str">
        <f>CHALLANGE_draft!ZA5</f>
        <v/>
      </c>
      <c r="S5" s="844" t="str">
        <f>CHALLANGE_draft!ZL17</f>
        <v/>
      </c>
      <c r="T5" s="899" t="str">
        <f>CHALLANGE_draft!ZL23</f>
        <v/>
      </c>
      <c r="U5" s="897" t="str">
        <f>CHALLANGE_draft!ZL18</f>
        <v/>
      </c>
      <c r="V5" s="897" t="str">
        <f>CHALLANGE_draft!ZL19</f>
        <v/>
      </c>
      <c r="W5" s="844" t="str">
        <f>CHALLANGE_draft!ZM5</f>
        <v/>
      </c>
      <c r="Y5" s="844" t="str">
        <f>CHALLANGE_draft!ZX17</f>
        <v/>
      </c>
      <c r="Z5" s="899" t="str">
        <f>CHALLANGE_draft!ZX23</f>
        <v/>
      </c>
      <c r="AA5" s="897" t="str">
        <f>CHALLANGE_draft!ZX18</f>
        <v/>
      </c>
      <c r="AB5" s="897" t="str">
        <f>CHALLANGE_draft!ZX19</f>
        <v/>
      </c>
      <c r="AC5" s="844" t="str">
        <f>CHALLANGE_draft!ZY5</f>
        <v/>
      </c>
      <c r="AE5" s="844" t="str">
        <f>CHALLANGE_draft!AAJ17</f>
        <v/>
      </c>
      <c r="AF5" s="899" t="str">
        <f>CHALLANGE_draft!AAJ23</f>
        <v/>
      </c>
      <c r="AG5" s="897" t="str">
        <f>CHALLANGE_draft!AAJ18</f>
        <v/>
      </c>
      <c r="AH5" s="897" t="str">
        <f>CHALLANGE_draft!AAJ19</f>
        <v/>
      </c>
      <c r="AI5" s="844" t="str">
        <f>CHALLANGE_draft!AAK5</f>
        <v/>
      </c>
      <c r="AK5" s="900">
        <f>DATES!O4</f>
        <v>0</v>
      </c>
      <c r="AL5" s="899"/>
      <c r="AM5" s="897"/>
      <c r="AN5" s="897"/>
      <c r="AO5" s="844">
        <f t="shared" si="0"/>
        <v>0</v>
      </c>
    </row>
    <row r="6" spans="1:41" x14ac:dyDescent="0.3">
      <c r="A6" s="842" t="str">
        <f>CHALLANGE_draft!EC24</f>
        <v/>
      </c>
      <c r="B6" s="889" t="str">
        <f>CHALLANGE_draft!EC30</f>
        <v/>
      </c>
      <c r="C6" s="893" t="str">
        <f>CHALLANGE_draft!EC25</f>
        <v/>
      </c>
      <c r="D6" s="893" t="str">
        <f>CHALLANGE_draft!EC26</f>
        <v/>
      </c>
      <c r="E6" s="842" t="str">
        <f>CHALLANGE_draft!ED6</f>
        <v/>
      </c>
      <c r="G6" s="844" t="str">
        <f>CHALLANGE_draft!YN24</f>
        <v/>
      </c>
      <c r="H6" s="899" t="str">
        <f>CHALLANGE_draft!YN30</f>
        <v/>
      </c>
      <c r="I6" s="897" t="str">
        <f>CHALLANGE_draft!YN25</f>
        <v/>
      </c>
      <c r="J6" s="897" t="str">
        <f>CHALLANGE_draft!YN26</f>
        <v/>
      </c>
      <c r="K6" s="844" t="str">
        <f>CHALLANGE_draft!YO6</f>
        <v/>
      </c>
      <c r="M6" s="844" t="str">
        <f>CHALLANGE_draft!YZ24</f>
        <v/>
      </c>
      <c r="N6" s="899" t="str">
        <f>CHALLANGE_draft!YZ30</f>
        <v/>
      </c>
      <c r="O6" s="897" t="str">
        <f>CHALLANGE_draft!YZ25</f>
        <v/>
      </c>
      <c r="P6" s="897" t="str">
        <f>CHALLANGE_draft!YZ26</f>
        <v/>
      </c>
      <c r="Q6" s="844" t="str">
        <f>CHALLANGE_draft!ZA6</f>
        <v/>
      </c>
      <c r="S6" s="844" t="str">
        <f>CHALLANGE_draft!ZL24</f>
        <v/>
      </c>
      <c r="T6" s="899" t="str">
        <f>CHALLANGE_draft!ZL30</f>
        <v/>
      </c>
      <c r="U6" s="897" t="str">
        <f>CHALLANGE_draft!ZL25</f>
        <v/>
      </c>
      <c r="V6" s="897" t="str">
        <f>CHALLANGE_draft!ZL26</f>
        <v/>
      </c>
      <c r="W6" s="844" t="str">
        <f>CHALLANGE_draft!ZM6</f>
        <v/>
      </c>
      <c r="Y6" s="844" t="str">
        <f>CHALLANGE_draft!ZX24</f>
        <v/>
      </c>
      <c r="Z6" s="899" t="str">
        <f>CHALLANGE_draft!ZX30</f>
        <v/>
      </c>
      <c r="AA6" s="897" t="str">
        <f>CHALLANGE_draft!ZX25</f>
        <v/>
      </c>
      <c r="AB6" s="897" t="str">
        <f>CHALLANGE_draft!ZX26</f>
        <v/>
      </c>
      <c r="AC6" s="844" t="str">
        <f>CHALLANGE_draft!ZY6</f>
        <v/>
      </c>
      <c r="AE6" s="844" t="str">
        <f>CHALLANGE_draft!AAJ24</f>
        <v/>
      </c>
      <c r="AF6" s="899" t="str">
        <f>CHALLANGE_draft!AAJ30</f>
        <v/>
      </c>
      <c r="AG6" s="897" t="str">
        <f>CHALLANGE_draft!AAJ25</f>
        <v/>
      </c>
      <c r="AH6" s="897" t="str">
        <f>CHALLANGE_draft!AAJ26</f>
        <v/>
      </c>
      <c r="AI6" s="844" t="str">
        <f>CHALLANGE_draft!AAK6</f>
        <v/>
      </c>
      <c r="AK6" s="900">
        <f>DATES!O5</f>
        <v>0</v>
      </c>
      <c r="AL6" s="899"/>
      <c r="AM6" s="897"/>
      <c r="AN6" s="897"/>
      <c r="AO6" s="844">
        <f t="shared" si="0"/>
        <v>0</v>
      </c>
    </row>
    <row r="7" spans="1:41" x14ac:dyDescent="0.3">
      <c r="A7" s="842" t="str">
        <f>CHALLANGE_draft!EC31</f>
        <v/>
      </c>
      <c r="B7" s="889" t="str">
        <f>CHALLANGE_draft!EC37</f>
        <v/>
      </c>
      <c r="C7" s="893" t="str">
        <f>CHALLANGE_draft!EC32</f>
        <v/>
      </c>
      <c r="D7" s="893" t="str">
        <f>CHALLANGE_draft!EC33</f>
        <v/>
      </c>
      <c r="E7" s="842" t="str">
        <f>CHALLANGE_draft!ED7</f>
        <v/>
      </c>
      <c r="G7" s="844" t="str">
        <f>CHALLANGE_draft!YN31</f>
        <v/>
      </c>
      <c r="H7" s="899" t="str">
        <f>CHALLANGE_draft!YN37</f>
        <v/>
      </c>
      <c r="I7" s="897" t="str">
        <f>CHALLANGE_draft!YN32</f>
        <v/>
      </c>
      <c r="J7" s="897" t="str">
        <f>CHALLANGE_draft!YN33</f>
        <v/>
      </c>
      <c r="K7" s="844" t="str">
        <f>CHALLANGE_draft!YO7</f>
        <v/>
      </c>
      <c r="M7" s="844" t="str">
        <f>CHALLANGE_draft!YZ31</f>
        <v/>
      </c>
      <c r="N7" s="899" t="str">
        <f>CHALLANGE_draft!YZ37</f>
        <v/>
      </c>
      <c r="O7" s="897" t="str">
        <f>CHALLANGE_draft!YZ32</f>
        <v/>
      </c>
      <c r="P7" s="897" t="str">
        <f>CHALLANGE_draft!YZ33</f>
        <v/>
      </c>
      <c r="Q7" s="844" t="str">
        <f>CHALLANGE_draft!ZA7</f>
        <v/>
      </c>
      <c r="S7" s="844" t="str">
        <f>CHALLANGE_draft!ZL31</f>
        <v/>
      </c>
      <c r="T7" s="899" t="str">
        <f>CHALLANGE_draft!ZL37</f>
        <v/>
      </c>
      <c r="U7" s="897" t="str">
        <f>CHALLANGE_draft!ZL32</f>
        <v/>
      </c>
      <c r="V7" s="897" t="str">
        <f>CHALLANGE_draft!ZL33</f>
        <v/>
      </c>
      <c r="W7" s="844" t="str">
        <f>CHALLANGE_draft!ZM7</f>
        <v/>
      </c>
      <c r="Y7" s="844" t="str">
        <f>CHALLANGE_draft!ZX31</f>
        <v/>
      </c>
      <c r="Z7" s="899" t="str">
        <f>CHALLANGE_draft!ZX37</f>
        <v/>
      </c>
      <c r="AA7" s="897" t="str">
        <f>CHALLANGE_draft!ZX32</f>
        <v/>
      </c>
      <c r="AB7" s="897" t="str">
        <f>CHALLANGE_draft!ZX33</f>
        <v/>
      </c>
      <c r="AC7" s="844" t="str">
        <f>CHALLANGE_draft!ZY7</f>
        <v/>
      </c>
      <c r="AE7" s="844" t="str">
        <f>CHALLANGE_draft!AAJ31</f>
        <v/>
      </c>
      <c r="AF7" s="899" t="str">
        <f>CHALLANGE_draft!AAJ37</f>
        <v/>
      </c>
      <c r="AG7" s="897" t="str">
        <f>CHALLANGE_draft!AAJ32</f>
        <v/>
      </c>
      <c r="AH7" s="897" t="str">
        <f>CHALLANGE_draft!AAJ33</f>
        <v/>
      </c>
      <c r="AI7" s="844" t="str">
        <f>CHALLANGE_draft!AAK7</f>
        <v/>
      </c>
      <c r="AK7" s="900">
        <f>DATES!O6</f>
        <v>0</v>
      </c>
      <c r="AL7" s="899"/>
      <c r="AM7" s="897"/>
      <c r="AN7" s="897"/>
      <c r="AO7" s="844">
        <f t="shared" si="0"/>
        <v>0</v>
      </c>
    </row>
    <row r="8" spans="1:41" x14ac:dyDescent="0.3">
      <c r="A8" s="842" t="str">
        <f>CHALLANGE_draft!EC38</f>
        <v/>
      </c>
      <c r="B8" s="889" t="str">
        <f>CHALLANGE_draft!EC44</f>
        <v/>
      </c>
      <c r="C8" s="893" t="str">
        <f>CHALLANGE_draft!EC39</f>
        <v/>
      </c>
      <c r="D8" s="893" t="str">
        <f>CHALLANGE_draft!EC40</f>
        <v/>
      </c>
      <c r="E8" s="842" t="str">
        <f>CHALLANGE_draft!ED8</f>
        <v/>
      </c>
      <c r="G8" s="844" t="str">
        <f>CHALLANGE_draft!YN38</f>
        <v/>
      </c>
      <c r="H8" s="899" t="str">
        <f>CHALLANGE_draft!YN44</f>
        <v/>
      </c>
      <c r="I8" s="897" t="str">
        <f>CHALLANGE_draft!YN39</f>
        <v/>
      </c>
      <c r="J8" s="897" t="str">
        <f>CHALLANGE_draft!YN40</f>
        <v/>
      </c>
      <c r="K8" s="844" t="str">
        <f>CHALLANGE_draft!YO8</f>
        <v/>
      </c>
      <c r="M8" s="844" t="str">
        <f>CHALLANGE_draft!YZ38</f>
        <v/>
      </c>
      <c r="N8" s="899" t="str">
        <f>CHALLANGE_draft!YZ44</f>
        <v/>
      </c>
      <c r="O8" s="897" t="str">
        <f>CHALLANGE_draft!YZ39</f>
        <v/>
      </c>
      <c r="P8" s="897" t="str">
        <f>CHALLANGE_draft!YZ40</f>
        <v/>
      </c>
      <c r="Q8" s="844" t="str">
        <f>CHALLANGE_draft!ZA8</f>
        <v/>
      </c>
      <c r="S8" s="844" t="str">
        <f>CHALLANGE_draft!ZL38</f>
        <v/>
      </c>
      <c r="T8" s="899" t="str">
        <f>CHALLANGE_draft!ZL44</f>
        <v/>
      </c>
      <c r="U8" s="897" t="str">
        <f>CHALLANGE_draft!ZL39</f>
        <v/>
      </c>
      <c r="V8" s="897" t="str">
        <f>CHALLANGE_draft!ZL40</f>
        <v/>
      </c>
      <c r="W8" s="844" t="str">
        <f>CHALLANGE_draft!ZM8</f>
        <v/>
      </c>
      <c r="Y8" s="844" t="str">
        <f>CHALLANGE_draft!ZX38</f>
        <v/>
      </c>
      <c r="Z8" s="899" t="str">
        <f>CHALLANGE_draft!ZX44</f>
        <v/>
      </c>
      <c r="AA8" s="897" t="str">
        <f>CHALLANGE_draft!ZX39</f>
        <v/>
      </c>
      <c r="AB8" s="897" t="str">
        <f>CHALLANGE_draft!ZX40</f>
        <v/>
      </c>
      <c r="AC8" s="844" t="str">
        <f>CHALLANGE_draft!ZY8</f>
        <v/>
      </c>
      <c r="AE8" s="844" t="str">
        <f>CHALLANGE_draft!AAJ38</f>
        <v/>
      </c>
      <c r="AF8" s="899" t="str">
        <f>CHALLANGE_draft!AAJ44</f>
        <v/>
      </c>
      <c r="AG8" s="897" t="str">
        <f>CHALLANGE_draft!AAJ39</f>
        <v/>
      </c>
      <c r="AH8" s="897" t="str">
        <f>CHALLANGE_draft!AAJ40</f>
        <v/>
      </c>
      <c r="AI8" s="844" t="str">
        <f>CHALLANGE_draft!AAK8</f>
        <v/>
      </c>
      <c r="AK8" s="900">
        <f>DATES!O7</f>
        <v>0</v>
      </c>
      <c r="AL8" s="899"/>
      <c r="AM8" s="897"/>
      <c r="AN8" s="897"/>
      <c r="AO8" s="844">
        <f t="shared" si="0"/>
        <v>0</v>
      </c>
    </row>
    <row r="9" spans="1:41" x14ac:dyDescent="0.3">
      <c r="A9" s="842" t="str">
        <f>CHALLANGE_draft!EC45</f>
        <v/>
      </c>
      <c r="B9" s="889" t="str">
        <f>CHALLANGE_draft!EC51</f>
        <v/>
      </c>
      <c r="C9" s="893" t="str">
        <f>CHALLANGE_draft!EC46</f>
        <v/>
      </c>
      <c r="D9" s="893" t="str">
        <f>CHALLANGE_draft!EC47</f>
        <v/>
      </c>
      <c r="E9" s="842" t="str">
        <f>CHALLANGE_draft!ED9</f>
        <v/>
      </c>
      <c r="G9" s="844" t="str">
        <f>CHALLANGE_draft!YN45</f>
        <v/>
      </c>
      <c r="H9" s="899" t="str">
        <f>CHALLANGE_draft!YN51</f>
        <v/>
      </c>
      <c r="I9" s="897" t="str">
        <f>CHALLANGE_draft!YN46</f>
        <v/>
      </c>
      <c r="J9" s="897" t="str">
        <f>CHALLANGE_draft!YN47</f>
        <v/>
      </c>
      <c r="K9" s="844" t="str">
        <f>CHALLANGE_draft!YO9</f>
        <v/>
      </c>
      <c r="M9" s="844" t="str">
        <f>CHALLANGE_draft!YZ45</f>
        <v/>
      </c>
      <c r="N9" s="899" t="str">
        <f>CHALLANGE_draft!YZ51</f>
        <v/>
      </c>
      <c r="O9" s="897" t="str">
        <f>CHALLANGE_draft!YZ46</f>
        <v/>
      </c>
      <c r="P9" s="897" t="str">
        <f>CHALLANGE_draft!YZ47</f>
        <v/>
      </c>
      <c r="Q9" s="844" t="str">
        <f>CHALLANGE_draft!ZA9</f>
        <v/>
      </c>
      <c r="S9" s="844" t="str">
        <f>CHALLANGE_draft!ZL45</f>
        <v/>
      </c>
      <c r="T9" s="899" t="str">
        <f>CHALLANGE_draft!ZL51</f>
        <v/>
      </c>
      <c r="U9" s="897" t="str">
        <f>CHALLANGE_draft!ZL46</f>
        <v/>
      </c>
      <c r="V9" s="897" t="str">
        <f>CHALLANGE_draft!ZL47</f>
        <v/>
      </c>
      <c r="W9" s="844" t="str">
        <f>CHALLANGE_draft!ZM9</f>
        <v/>
      </c>
      <c r="Y9" s="844" t="str">
        <f>CHALLANGE_draft!ZX45</f>
        <v/>
      </c>
      <c r="Z9" s="899" t="str">
        <f>CHALLANGE_draft!ZX51</f>
        <v/>
      </c>
      <c r="AA9" s="897" t="str">
        <f>CHALLANGE_draft!ZX46</f>
        <v/>
      </c>
      <c r="AB9" s="897" t="str">
        <f>CHALLANGE_draft!ZX47</f>
        <v/>
      </c>
      <c r="AC9" s="844" t="str">
        <f>CHALLANGE_draft!ZY9</f>
        <v/>
      </c>
      <c r="AE9" s="844" t="str">
        <f>CHALLANGE_draft!AAJ45</f>
        <v/>
      </c>
      <c r="AF9" s="899" t="str">
        <f>CHALLANGE_draft!AAJ51</f>
        <v/>
      </c>
      <c r="AG9" s="897" t="str">
        <f>CHALLANGE_draft!AAJ46</f>
        <v/>
      </c>
      <c r="AH9" s="897" t="str">
        <f>CHALLANGE_draft!AAJ47</f>
        <v/>
      </c>
      <c r="AI9" s="844" t="str">
        <f>CHALLANGE_draft!AAK9</f>
        <v/>
      </c>
      <c r="AK9" s="900">
        <f>DATES!O8</f>
        <v>0</v>
      </c>
      <c r="AL9" s="899"/>
      <c r="AM9" s="897"/>
      <c r="AN9" s="897"/>
      <c r="AO9" s="844">
        <f t="shared" si="0"/>
        <v>0</v>
      </c>
    </row>
    <row r="10" spans="1:41" x14ac:dyDescent="0.3">
      <c r="A10" s="842" t="str">
        <f>CHALLANGE_draft!EC52</f>
        <v/>
      </c>
      <c r="B10" s="889" t="str">
        <f>CHALLANGE_draft!EC58</f>
        <v/>
      </c>
      <c r="C10" s="893" t="str">
        <f>CHALLANGE_draft!EC53</f>
        <v/>
      </c>
      <c r="D10" s="893" t="str">
        <f>CHALLANGE_draft!EC54</f>
        <v/>
      </c>
      <c r="E10" s="842" t="str">
        <f>CHALLANGE_draft!ED10</f>
        <v/>
      </c>
      <c r="G10" s="844" t="str">
        <f>CHALLANGE_draft!YN52</f>
        <v/>
      </c>
      <c r="H10" s="899" t="str">
        <f>CHALLANGE_draft!YN58</f>
        <v/>
      </c>
      <c r="I10" s="897" t="str">
        <f>CHALLANGE_draft!YN53</f>
        <v/>
      </c>
      <c r="J10" s="897" t="str">
        <f>CHALLANGE_draft!YN54</f>
        <v/>
      </c>
      <c r="K10" s="844" t="str">
        <f>CHALLANGE_draft!YO10</f>
        <v/>
      </c>
      <c r="M10" s="844" t="str">
        <f>CHALLANGE_draft!YZ52</f>
        <v/>
      </c>
      <c r="N10" s="899" t="str">
        <f>CHALLANGE_draft!YZ58</f>
        <v/>
      </c>
      <c r="O10" s="897" t="str">
        <f>CHALLANGE_draft!YZ53</f>
        <v/>
      </c>
      <c r="P10" s="897" t="str">
        <f>CHALLANGE_draft!YZ54</f>
        <v/>
      </c>
      <c r="Q10" s="844" t="str">
        <f>CHALLANGE_draft!ZA10</f>
        <v/>
      </c>
      <c r="S10" s="844" t="str">
        <f>CHALLANGE_draft!ZL52</f>
        <v/>
      </c>
      <c r="T10" s="899" t="str">
        <f>CHALLANGE_draft!ZL58</f>
        <v/>
      </c>
      <c r="U10" s="897" t="str">
        <f>CHALLANGE_draft!ZL53</f>
        <v/>
      </c>
      <c r="V10" s="897" t="str">
        <f>CHALLANGE_draft!ZL54</f>
        <v/>
      </c>
      <c r="W10" s="844" t="str">
        <f>CHALLANGE_draft!ZM10</f>
        <v/>
      </c>
      <c r="Y10" s="844" t="str">
        <f>CHALLANGE_draft!ZX52</f>
        <v/>
      </c>
      <c r="Z10" s="899" t="str">
        <f>CHALLANGE_draft!ZX58</f>
        <v/>
      </c>
      <c r="AA10" s="897" t="str">
        <f>CHALLANGE_draft!ZX53</f>
        <v/>
      </c>
      <c r="AB10" s="897" t="str">
        <f>CHALLANGE_draft!ZX54</f>
        <v/>
      </c>
      <c r="AC10" s="844" t="str">
        <f>CHALLANGE_draft!ZY10</f>
        <v/>
      </c>
      <c r="AE10" s="844" t="str">
        <f>CHALLANGE_draft!AAJ52</f>
        <v/>
      </c>
      <c r="AF10" s="899" t="str">
        <f>CHALLANGE_draft!AAJ58</f>
        <v/>
      </c>
      <c r="AG10" s="897" t="str">
        <f>CHALLANGE_draft!AAJ53</f>
        <v/>
      </c>
      <c r="AH10" s="897" t="str">
        <f>CHALLANGE_draft!AAJ54</f>
        <v/>
      </c>
      <c r="AI10" s="844" t="str">
        <f>CHALLANGE_draft!AAK10</f>
        <v/>
      </c>
      <c r="AK10" s="900">
        <f>DATES!O9</f>
        <v>0</v>
      </c>
      <c r="AL10" s="899"/>
      <c r="AM10" s="897"/>
      <c r="AN10" s="897"/>
      <c r="AO10" s="844">
        <f t="shared" si="0"/>
        <v>0</v>
      </c>
    </row>
    <row r="11" spans="1:41" x14ac:dyDescent="0.3">
      <c r="A11" s="842" t="str">
        <f>CHALLANGE_draft!EC59</f>
        <v/>
      </c>
      <c r="B11" s="889" t="str">
        <f>CHALLANGE_draft!EC65</f>
        <v/>
      </c>
      <c r="C11" s="893" t="str">
        <f>CHALLANGE_draft!EC60</f>
        <v/>
      </c>
      <c r="D11" s="893" t="str">
        <f>CHALLANGE_draft!EC61</f>
        <v/>
      </c>
      <c r="E11" s="842" t="str">
        <f>CHALLANGE_draft!ED11</f>
        <v/>
      </c>
      <c r="G11" s="844" t="str">
        <f>CHALLANGE_draft!YN59</f>
        <v/>
      </c>
      <c r="H11" s="899" t="str">
        <f>CHALLANGE_draft!YN65</f>
        <v/>
      </c>
      <c r="I11" s="897" t="str">
        <f>CHALLANGE_draft!YN60</f>
        <v/>
      </c>
      <c r="J11" s="897" t="str">
        <f>CHALLANGE_draft!YN61</f>
        <v/>
      </c>
      <c r="K11" s="844" t="str">
        <f>CHALLANGE_draft!YO11</f>
        <v/>
      </c>
      <c r="M11" s="844" t="str">
        <f>CHALLANGE_draft!YZ59</f>
        <v/>
      </c>
      <c r="N11" s="899" t="str">
        <f>CHALLANGE_draft!YZ65</f>
        <v/>
      </c>
      <c r="O11" s="897" t="str">
        <f>CHALLANGE_draft!YZ60</f>
        <v/>
      </c>
      <c r="P11" s="897" t="str">
        <f>CHALLANGE_draft!YZ61</f>
        <v/>
      </c>
      <c r="Q11" s="844" t="str">
        <f>CHALLANGE_draft!ZA11</f>
        <v/>
      </c>
      <c r="S11" s="844" t="str">
        <f>CHALLANGE_draft!ZL59</f>
        <v/>
      </c>
      <c r="T11" s="899" t="str">
        <f>CHALLANGE_draft!ZL65</f>
        <v/>
      </c>
      <c r="U11" s="897" t="str">
        <f>CHALLANGE_draft!ZL60</f>
        <v/>
      </c>
      <c r="V11" s="897" t="str">
        <f>CHALLANGE_draft!ZL61</f>
        <v/>
      </c>
      <c r="W11" s="844" t="str">
        <f>CHALLANGE_draft!ZM11</f>
        <v/>
      </c>
      <c r="Y11" s="844" t="str">
        <f>CHALLANGE_draft!ZX59</f>
        <v/>
      </c>
      <c r="Z11" s="899" t="str">
        <f>CHALLANGE_draft!ZX65</f>
        <v/>
      </c>
      <c r="AA11" s="897" t="str">
        <f>CHALLANGE_draft!ZX60</f>
        <v/>
      </c>
      <c r="AB11" s="897" t="str">
        <f>CHALLANGE_draft!ZX61</f>
        <v/>
      </c>
      <c r="AC11" s="844" t="str">
        <f>CHALLANGE_draft!ZY11</f>
        <v/>
      </c>
      <c r="AE11" s="844" t="str">
        <f>CHALLANGE_draft!AAJ59</f>
        <v/>
      </c>
      <c r="AF11" s="899" t="str">
        <f>CHALLANGE_draft!AAJ65</f>
        <v/>
      </c>
      <c r="AG11" s="897" t="str">
        <f>CHALLANGE_draft!AAJ60</f>
        <v/>
      </c>
      <c r="AH11" s="897" t="str">
        <f>CHALLANGE_draft!AAJ61</f>
        <v/>
      </c>
      <c r="AI11" s="844" t="str">
        <f>CHALLANGE_draft!AAK11</f>
        <v/>
      </c>
      <c r="AK11" s="900">
        <f>DATES!O10</f>
        <v>0</v>
      </c>
      <c r="AL11" s="899"/>
      <c r="AM11" s="897"/>
      <c r="AN11" s="897"/>
      <c r="AO11" s="844">
        <f t="shared" si="0"/>
        <v>0</v>
      </c>
    </row>
    <row r="12" spans="1:41" x14ac:dyDescent="0.3">
      <c r="A12" s="842" t="str">
        <f>CHALLANGE_draft!EC66</f>
        <v/>
      </c>
      <c r="B12" s="889" t="str">
        <f>CHALLANGE_draft!EC72</f>
        <v/>
      </c>
      <c r="C12" s="893" t="str">
        <f>CHALLANGE_draft!EC67</f>
        <v/>
      </c>
      <c r="D12" s="893" t="str">
        <f>CHALLANGE_draft!EC68</f>
        <v/>
      </c>
      <c r="E12" s="842" t="str">
        <f>CHALLANGE_draft!ED12</f>
        <v/>
      </c>
      <c r="G12" s="844" t="str">
        <f>CHALLANGE_draft!YN66</f>
        <v/>
      </c>
      <c r="H12" s="899" t="str">
        <f>CHALLANGE_draft!YN72</f>
        <v/>
      </c>
      <c r="I12" s="897" t="str">
        <f>CHALLANGE_draft!YN67</f>
        <v/>
      </c>
      <c r="J12" s="897" t="str">
        <f>CHALLANGE_draft!YN68</f>
        <v/>
      </c>
      <c r="K12" s="844" t="str">
        <f>CHALLANGE_draft!YO12</f>
        <v/>
      </c>
      <c r="M12" s="844" t="str">
        <f>CHALLANGE_draft!YZ66</f>
        <v/>
      </c>
      <c r="N12" s="899" t="str">
        <f>CHALLANGE_draft!YZ72</f>
        <v/>
      </c>
      <c r="O12" s="897" t="str">
        <f>CHALLANGE_draft!YZ67</f>
        <v/>
      </c>
      <c r="P12" s="897" t="str">
        <f>CHALLANGE_draft!YZ68</f>
        <v/>
      </c>
      <c r="Q12" s="844" t="str">
        <f>CHALLANGE_draft!ZA12</f>
        <v/>
      </c>
      <c r="S12" s="844" t="str">
        <f>CHALLANGE_draft!ZL66</f>
        <v/>
      </c>
      <c r="T12" s="899" t="str">
        <f>CHALLANGE_draft!ZL72</f>
        <v/>
      </c>
      <c r="U12" s="897" t="str">
        <f>CHALLANGE_draft!ZL67</f>
        <v/>
      </c>
      <c r="V12" s="897" t="str">
        <f>CHALLANGE_draft!ZL68</f>
        <v/>
      </c>
      <c r="W12" s="844" t="str">
        <f>CHALLANGE_draft!ZM12</f>
        <v/>
      </c>
      <c r="Y12" s="844" t="str">
        <f>CHALLANGE_draft!ZX66</f>
        <v/>
      </c>
      <c r="Z12" s="899" t="str">
        <f>CHALLANGE_draft!ZX72</f>
        <v/>
      </c>
      <c r="AA12" s="897" t="str">
        <f>CHALLANGE_draft!ZX67</f>
        <v/>
      </c>
      <c r="AB12" s="897" t="str">
        <f>CHALLANGE_draft!ZX68</f>
        <v/>
      </c>
      <c r="AC12" s="844" t="str">
        <f>CHALLANGE_draft!ZY12</f>
        <v/>
      </c>
      <c r="AE12" s="844" t="str">
        <f>CHALLANGE_draft!AAJ66</f>
        <v/>
      </c>
      <c r="AF12" s="899" t="str">
        <f>CHALLANGE_draft!AAJ72</f>
        <v/>
      </c>
      <c r="AG12" s="897" t="str">
        <f>CHALLANGE_draft!AAJ67</f>
        <v/>
      </c>
      <c r="AH12" s="897" t="str">
        <f>CHALLANGE_draft!AAJ68</f>
        <v/>
      </c>
      <c r="AI12" s="844" t="str">
        <f>CHALLANGE_draft!AAK12</f>
        <v/>
      </c>
      <c r="AK12" s="900">
        <f>DATES!O11</f>
        <v>0</v>
      </c>
      <c r="AL12" s="899"/>
      <c r="AM12" s="897"/>
      <c r="AN12" s="897"/>
      <c r="AO12" s="844">
        <f t="shared" si="0"/>
        <v>0</v>
      </c>
    </row>
    <row r="13" spans="1:41" x14ac:dyDescent="0.3">
      <c r="A13" s="842" t="str">
        <f>CHALLANGE_draft!EC73</f>
        <v/>
      </c>
      <c r="B13" s="889" t="str">
        <f>CHALLANGE_draft!EC79</f>
        <v/>
      </c>
      <c r="C13" s="893" t="str">
        <f>CHALLANGE_draft!EC74</f>
        <v/>
      </c>
      <c r="D13" s="893" t="str">
        <f>CHALLANGE_draft!EC75</f>
        <v/>
      </c>
      <c r="E13" s="842" t="str">
        <f>CHALLANGE_draft!ED13</f>
        <v/>
      </c>
      <c r="G13" s="844" t="str">
        <f>CHALLANGE_draft!YN73</f>
        <v/>
      </c>
      <c r="H13" s="899" t="str">
        <f>CHALLANGE_draft!YN79</f>
        <v/>
      </c>
      <c r="I13" s="897" t="str">
        <f>CHALLANGE_draft!YN74</f>
        <v/>
      </c>
      <c r="J13" s="897" t="str">
        <f>CHALLANGE_draft!YN75</f>
        <v/>
      </c>
      <c r="K13" s="844" t="str">
        <f>CHALLANGE_draft!YO13</f>
        <v/>
      </c>
      <c r="M13" s="844" t="str">
        <f>CHALLANGE_draft!YZ73</f>
        <v/>
      </c>
      <c r="N13" s="899" t="str">
        <f>CHALLANGE_draft!YZ79</f>
        <v/>
      </c>
      <c r="O13" s="897" t="str">
        <f>CHALLANGE_draft!YZ74</f>
        <v/>
      </c>
      <c r="P13" s="897" t="str">
        <f>CHALLANGE_draft!YZ75</f>
        <v/>
      </c>
      <c r="Q13" s="844" t="str">
        <f>CHALLANGE_draft!ZA13</f>
        <v/>
      </c>
      <c r="S13" s="844" t="str">
        <f>CHALLANGE_draft!ZL73</f>
        <v/>
      </c>
      <c r="T13" s="899" t="str">
        <f>CHALLANGE_draft!ZL79</f>
        <v/>
      </c>
      <c r="U13" s="897" t="str">
        <f>CHALLANGE_draft!ZL74</f>
        <v/>
      </c>
      <c r="V13" s="897" t="str">
        <f>CHALLANGE_draft!ZL75</f>
        <v/>
      </c>
      <c r="W13" s="844" t="str">
        <f>CHALLANGE_draft!ZM13</f>
        <v/>
      </c>
      <c r="Y13" s="844" t="str">
        <f>CHALLANGE_draft!ZX73</f>
        <v/>
      </c>
      <c r="Z13" s="899" t="str">
        <f>CHALLANGE_draft!ZX79</f>
        <v/>
      </c>
      <c r="AA13" s="897" t="str">
        <f>CHALLANGE_draft!ZX74</f>
        <v/>
      </c>
      <c r="AB13" s="897" t="str">
        <f>CHALLANGE_draft!ZX75</f>
        <v/>
      </c>
      <c r="AC13" s="844" t="str">
        <f>CHALLANGE_draft!ZY13</f>
        <v/>
      </c>
      <c r="AE13" s="844" t="str">
        <f>CHALLANGE_draft!AAJ73</f>
        <v/>
      </c>
      <c r="AF13" s="899" t="str">
        <f>CHALLANGE_draft!AAJ79</f>
        <v/>
      </c>
      <c r="AG13" s="897" t="str">
        <f>CHALLANGE_draft!AAJ74</f>
        <v/>
      </c>
      <c r="AH13" s="897" t="str">
        <f>CHALLANGE_draft!AAJ75</f>
        <v/>
      </c>
      <c r="AI13" s="844" t="str">
        <f>CHALLANGE_draft!AAK13</f>
        <v/>
      </c>
      <c r="AK13" s="900">
        <f>DATES!O12</f>
        <v>0</v>
      </c>
      <c r="AL13" s="899"/>
      <c r="AM13" s="897"/>
      <c r="AN13" s="897"/>
      <c r="AO13" s="844">
        <f t="shared" si="0"/>
        <v>0</v>
      </c>
    </row>
    <row r="14" spans="1:41" x14ac:dyDescent="0.3">
      <c r="A14" s="842" t="str">
        <f>CHALLANGE_draft!EC80</f>
        <v/>
      </c>
      <c r="B14" s="889" t="str">
        <f>CHALLANGE_draft!EC86</f>
        <v/>
      </c>
      <c r="C14" s="893" t="str">
        <f>CHALLANGE_draft!EC81</f>
        <v/>
      </c>
      <c r="D14" s="893" t="str">
        <f>CHALLANGE_draft!EC82</f>
        <v/>
      </c>
      <c r="E14" s="842" t="str">
        <f>CHALLANGE_draft!ED14</f>
        <v/>
      </c>
      <c r="G14" s="844" t="str">
        <f>CHALLANGE_draft!YN80</f>
        <v/>
      </c>
      <c r="H14" s="899" t="str">
        <f>CHALLANGE_draft!YN86</f>
        <v/>
      </c>
      <c r="I14" s="897" t="str">
        <f>CHALLANGE_draft!YN81</f>
        <v/>
      </c>
      <c r="J14" s="897" t="str">
        <f>CHALLANGE_draft!YN82</f>
        <v/>
      </c>
      <c r="K14" s="844" t="str">
        <f>CHALLANGE_draft!YO14</f>
        <v/>
      </c>
      <c r="M14" s="844" t="str">
        <f>CHALLANGE_draft!YZ80</f>
        <v/>
      </c>
      <c r="N14" s="899" t="str">
        <f>CHALLANGE_draft!YZ86</f>
        <v/>
      </c>
      <c r="O14" s="897" t="str">
        <f>CHALLANGE_draft!YZ81</f>
        <v/>
      </c>
      <c r="P14" s="897" t="str">
        <f>CHALLANGE_draft!YZ82</f>
        <v/>
      </c>
      <c r="Q14" s="844" t="str">
        <f>CHALLANGE_draft!ZA14</f>
        <v/>
      </c>
      <c r="S14" s="844" t="str">
        <f>CHALLANGE_draft!ZL80</f>
        <v/>
      </c>
      <c r="T14" s="899" t="str">
        <f>CHALLANGE_draft!ZL86</f>
        <v/>
      </c>
      <c r="U14" s="897" t="str">
        <f>CHALLANGE_draft!ZL81</f>
        <v/>
      </c>
      <c r="V14" s="897" t="str">
        <f>CHALLANGE_draft!ZL82</f>
        <v/>
      </c>
      <c r="W14" s="844" t="str">
        <f>CHALLANGE_draft!ZM14</f>
        <v/>
      </c>
      <c r="Y14" s="844" t="str">
        <f>CHALLANGE_draft!ZX80</f>
        <v/>
      </c>
      <c r="Z14" s="899" t="str">
        <f>CHALLANGE_draft!ZX86</f>
        <v/>
      </c>
      <c r="AA14" s="897" t="str">
        <f>CHALLANGE_draft!ZX81</f>
        <v/>
      </c>
      <c r="AB14" s="897" t="str">
        <f>CHALLANGE_draft!ZX82</f>
        <v/>
      </c>
      <c r="AC14" s="844" t="str">
        <f>CHALLANGE_draft!ZY14</f>
        <v/>
      </c>
      <c r="AE14" s="844" t="str">
        <f>CHALLANGE_draft!AAJ80</f>
        <v/>
      </c>
      <c r="AF14" s="899" t="str">
        <f>CHALLANGE_draft!AAJ86</f>
        <v/>
      </c>
      <c r="AG14" s="897" t="str">
        <f>CHALLANGE_draft!AAJ81</f>
        <v/>
      </c>
      <c r="AH14" s="897" t="str">
        <f>CHALLANGE_draft!AAJ82</f>
        <v/>
      </c>
      <c r="AI14" s="844" t="str">
        <f>CHALLANGE_draft!AAK14</f>
        <v/>
      </c>
      <c r="AK14" s="900">
        <f>DATES!O13</f>
        <v>0</v>
      </c>
      <c r="AL14" s="899"/>
      <c r="AM14" s="897"/>
      <c r="AN14" s="897"/>
      <c r="AO14" s="844">
        <f t="shared" si="0"/>
        <v>0</v>
      </c>
    </row>
    <row r="15" spans="1:41" x14ac:dyDescent="0.3">
      <c r="A15" s="842" t="str">
        <f>CHALLANGE_draft!EC87</f>
        <v/>
      </c>
      <c r="B15" s="889" t="str">
        <f>CHALLANGE_draft!EC93</f>
        <v/>
      </c>
      <c r="C15" s="893" t="str">
        <f>CHALLANGE_draft!EC88</f>
        <v/>
      </c>
      <c r="D15" s="893" t="str">
        <f>CHALLANGE_draft!EC89</f>
        <v/>
      </c>
      <c r="E15" s="842" t="str">
        <f>CHALLANGE_draft!ED15</f>
        <v/>
      </c>
      <c r="G15" s="844" t="str">
        <f>CHALLANGE_draft!YN87</f>
        <v/>
      </c>
      <c r="H15" s="899" t="str">
        <f>CHALLANGE_draft!YN93</f>
        <v/>
      </c>
      <c r="I15" s="897" t="str">
        <f>CHALLANGE_draft!YN88</f>
        <v/>
      </c>
      <c r="J15" s="897" t="str">
        <f>CHALLANGE_draft!YN89</f>
        <v/>
      </c>
      <c r="K15" s="844" t="str">
        <f>CHALLANGE_draft!YO15</f>
        <v/>
      </c>
      <c r="M15" s="844" t="str">
        <f>CHALLANGE_draft!YZ87</f>
        <v/>
      </c>
      <c r="N15" s="899" t="str">
        <f>CHALLANGE_draft!YZ93</f>
        <v/>
      </c>
      <c r="O15" s="897" t="str">
        <f>CHALLANGE_draft!YZ88</f>
        <v/>
      </c>
      <c r="P15" s="897" t="str">
        <f>CHALLANGE_draft!YZ89</f>
        <v/>
      </c>
      <c r="Q15" s="844" t="str">
        <f>CHALLANGE_draft!ZA15</f>
        <v/>
      </c>
      <c r="S15" s="844" t="str">
        <f>CHALLANGE_draft!ZL87</f>
        <v/>
      </c>
      <c r="T15" s="899" t="str">
        <f>CHALLANGE_draft!ZL93</f>
        <v/>
      </c>
      <c r="U15" s="897" t="str">
        <f>CHALLANGE_draft!ZL88</f>
        <v/>
      </c>
      <c r="V15" s="897" t="str">
        <f>CHALLANGE_draft!ZL89</f>
        <v/>
      </c>
      <c r="W15" s="844" t="str">
        <f>CHALLANGE_draft!ZM15</f>
        <v/>
      </c>
      <c r="Y15" s="844" t="str">
        <f>CHALLANGE_draft!ZX87</f>
        <v/>
      </c>
      <c r="Z15" s="899" t="str">
        <f>CHALLANGE_draft!ZX93</f>
        <v/>
      </c>
      <c r="AA15" s="897" t="str">
        <f>CHALLANGE_draft!ZX88</f>
        <v/>
      </c>
      <c r="AB15" s="897" t="str">
        <f>CHALLANGE_draft!ZX89</f>
        <v/>
      </c>
      <c r="AC15" s="844" t="str">
        <f>CHALLANGE_draft!ZY15</f>
        <v/>
      </c>
      <c r="AE15" s="844" t="str">
        <f>CHALLANGE_draft!AAJ87</f>
        <v/>
      </c>
      <c r="AF15" s="899" t="str">
        <f>CHALLANGE_draft!AAJ93</f>
        <v/>
      </c>
      <c r="AG15" s="897" t="str">
        <f>CHALLANGE_draft!AAJ88</f>
        <v/>
      </c>
      <c r="AH15" s="897" t="str">
        <f>CHALLANGE_draft!AAJ89</f>
        <v/>
      </c>
      <c r="AI15" s="844" t="str">
        <f>CHALLANGE_draft!AAK15</f>
        <v/>
      </c>
      <c r="AK15" s="900">
        <f>DATES!O14</f>
        <v>0</v>
      </c>
      <c r="AL15" s="899"/>
      <c r="AM15" s="897"/>
      <c r="AN15" s="897"/>
      <c r="AO15" s="844">
        <f t="shared" si="0"/>
        <v>0</v>
      </c>
    </row>
    <row r="16" spans="1:41" x14ac:dyDescent="0.3">
      <c r="A16" s="842" t="str">
        <f>CHALLANGE_draft!EC94</f>
        <v/>
      </c>
      <c r="B16" s="889" t="str">
        <f>CHALLANGE_draft!EC100</f>
        <v/>
      </c>
      <c r="C16" s="893" t="str">
        <f>CHALLANGE_draft!EC95</f>
        <v/>
      </c>
      <c r="D16" s="893" t="str">
        <f>CHALLANGE_draft!EC96</f>
        <v/>
      </c>
      <c r="E16" s="842" t="str">
        <f>CHALLANGE_draft!ED16</f>
        <v/>
      </c>
      <c r="G16" s="844" t="str">
        <f>CHALLANGE_draft!YN94</f>
        <v/>
      </c>
      <c r="H16" s="899" t="str">
        <f>CHALLANGE_draft!YN100</f>
        <v/>
      </c>
      <c r="I16" s="897" t="str">
        <f>CHALLANGE_draft!YN95</f>
        <v/>
      </c>
      <c r="J16" s="897" t="str">
        <f>CHALLANGE_draft!YN96</f>
        <v/>
      </c>
      <c r="K16" s="844" t="str">
        <f>CHALLANGE_draft!YO16</f>
        <v/>
      </c>
      <c r="M16" s="844" t="str">
        <f>CHALLANGE_draft!YZ94</f>
        <v/>
      </c>
      <c r="N16" s="899" t="str">
        <f>CHALLANGE_draft!YZ100</f>
        <v/>
      </c>
      <c r="O16" s="897" t="str">
        <f>CHALLANGE_draft!YZ95</f>
        <v/>
      </c>
      <c r="P16" s="897" t="str">
        <f>CHALLANGE_draft!YZ96</f>
        <v/>
      </c>
      <c r="Q16" s="844" t="str">
        <f>CHALLANGE_draft!ZA16</f>
        <v/>
      </c>
      <c r="S16" s="844" t="str">
        <f>CHALLANGE_draft!ZL94</f>
        <v/>
      </c>
      <c r="T16" s="899" t="str">
        <f>CHALLANGE_draft!ZL100</f>
        <v/>
      </c>
      <c r="U16" s="897" t="str">
        <f>CHALLANGE_draft!ZL95</f>
        <v/>
      </c>
      <c r="V16" s="897" t="str">
        <f>CHALLANGE_draft!ZL96</f>
        <v/>
      </c>
      <c r="W16" s="844" t="str">
        <f>CHALLANGE_draft!ZM16</f>
        <v/>
      </c>
      <c r="Y16" s="844" t="str">
        <f>CHALLANGE_draft!ZX94</f>
        <v/>
      </c>
      <c r="Z16" s="899" t="str">
        <f>CHALLANGE_draft!ZX100</f>
        <v/>
      </c>
      <c r="AA16" s="897" t="str">
        <f>CHALLANGE_draft!ZX95</f>
        <v/>
      </c>
      <c r="AB16" s="897" t="str">
        <f>CHALLANGE_draft!ZX96</f>
        <v/>
      </c>
      <c r="AC16" s="844" t="str">
        <f>CHALLANGE_draft!ZY16</f>
        <v/>
      </c>
      <c r="AE16" s="844" t="str">
        <f>CHALLANGE_draft!AAJ94</f>
        <v/>
      </c>
      <c r="AF16" s="899" t="str">
        <f>CHALLANGE_draft!AAJ100</f>
        <v/>
      </c>
      <c r="AG16" s="897" t="str">
        <f>CHALLANGE_draft!AAJ95</f>
        <v/>
      </c>
      <c r="AH16" s="897" t="str">
        <f>CHALLANGE_draft!AAJ96</f>
        <v/>
      </c>
      <c r="AI16" s="844" t="str">
        <f>CHALLANGE_draft!AAK16</f>
        <v/>
      </c>
      <c r="AK16" s="900">
        <f>DATES!O15</f>
        <v>0</v>
      </c>
      <c r="AL16" s="899"/>
      <c r="AM16" s="897"/>
      <c r="AN16" s="897"/>
      <c r="AO16" s="844">
        <f t="shared" si="0"/>
        <v>0</v>
      </c>
    </row>
    <row r="17" spans="1:41" x14ac:dyDescent="0.3">
      <c r="A17" s="842" t="str">
        <f>CHALLANGE_draft!EC101</f>
        <v/>
      </c>
      <c r="B17" s="889" t="str">
        <f>CHALLANGE_draft!EC107</f>
        <v/>
      </c>
      <c r="C17" s="893" t="str">
        <f>CHALLANGE_draft!EC102</f>
        <v/>
      </c>
      <c r="D17" s="893" t="str">
        <f>CHALLANGE_draft!EC103</f>
        <v/>
      </c>
      <c r="E17" s="842" t="str">
        <f>CHALLANGE_draft!ED17</f>
        <v/>
      </c>
      <c r="G17" s="844" t="str">
        <f>CHALLANGE_draft!YN101</f>
        <v/>
      </c>
      <c r="H17" s="899" t="str">
        <f>CHALLANGE_draft!YN107</f>
        <v/>
      </c>
      <c r="I17" s="897" t="str">
        <f>CHALLANGE_draft!YN102</f>
        <v/>
      </c>
      <c r="J17" s="897" t="str">
        <f>CHALLANGE_draft!YN103</f>
        <v/>
      </c>
      <c r="K17" s="844" t="str">
        <f>CHALLANGE_draft!YO17</f>
        <v/>
      </c>
      <c r="M17" s="844" t="str">
        <f>CHALLANGE_draft!YZ101</f>
        <v/>
      </c>
      <c r="N17" s="899" t="str">
        <f>CHALLANGE_draft!YZ107</f>
        <v/>
      </c>
      <c r="O17" s="897" t="str">
        <f>CHALLANGE_draft!YZ102</f>
        <v/>
      </c>
      <c r="P17" s="897" t="str">
        <f>CHALLANGE_draft!YZ103</f>
        <v/>
      </c>
      <c r="Q17" s="844" t="str">
        <f>CHALLANGE_draft!ZA17</f>
        <v/>
      </c>
      <c r="S17" s="844" t="str">
        <f>CHALLANGE_draft!ZL101</f>
        <v/>
      </c>
      <c r="T17" s="899" t="str">
        <f>CHALLANGE_draft!ZL107</f>
        <v/>
      </c>
      <c r="U17" s="897" t="str">
        <f>CHALLANGE_draft!ZL102</f>
        <v/>
      </c>
      <c r="V17" s="897" t="str">
        <f>CHALLANGE_draft!ZL103</f>
        <v/>
      </c>
      <c r="W17" s="844" t="str">
        <f>CHALLANGE_draft!ZM17</f>
        <v/>
      </c>
      <c r="Y17" s="844" t="str">
        <f>CHALLANGE_draft!ZX101</f>
        <v/>
      </c>
      <c r="Z17" s="899" t="str">
        <f>CHALLANGE_draft!ZX107</f>
        <v/>
      </c>
      <c r="AA17" s="897" t="str">
        <f>CHALLANGE_draft!ZX102</f>
        <v/>
      </c>
      <c r="AB17" s="897" t="str">
        <f>CHALLANGE_draft!ZX103</f>
        <v/>
      </c>
      <c r="AC17" s="844" t="str">
        <f>CHALLANGE_draft!ZY17</f>
        <v/>
      </c>
      <c r="AE17" s="844" t="str">
        <f>CHALLANGE_draft!AAJ101</f>
        <v/>
      </c>
      <c r="AF17" s="899" t="str">
        <f>CHALLANGE_draft!AAJ107</f>
        <v/>
      </c>
      <c r="AG17" s="897" t="str">
        <f>CHALLANGE_draft!AAJ102</f>
        <v/>
      </c>
      <c r="AH17" s="897" t="str">
        <f>CHALLANGE_draft!AAJ103</f>
        <v/>
      </c>
      <c r="AI17" s="844" t="str">
        <f>CHALLANGE_draft!AAK17</f>
        <v/>
      </c>
      <c r="AK17" s="900">
        <f>DATES!O16</f>
        <v>0</v>
      </c>
      <c r="AL17" s="899"/>
      <c r="AM17" s="897"/>
      <c r="AN17" s="897"/>
      <c r="AO17" s="844">
        <f t="shared" si="0"/>
        <v>0</v>
      </c>
    </row>
    <row r="18" spans="1:41" x14ac:dyDescent="0.3">
      <c r="A18" s="116"/>
      <c r="B18" s="890"/>
      <c r="C18" s="894"/>
      <c r="D18" s="894"/>
      <c r="E18" s="116"/>
    </row>
    <row r="19" spans="1:41" x14ac:dyDescent="0.3">
      <c r="A19" s="116"/>
      <c r="B19" s="890"/>
      <c r="C19" s="894"/>
      <c r="D19" s="894"/>
      <c r="E19" s="116"/>
    </row>
    <row r="20" spans="1:41" x14ac:dyDescent="0.3">
      <c r="A20" s="116"/>
      <c r="B20" s="890"/>
      <c r="C20" s="894"/>
      <c r="D20" s="894"/>
      <c r="E20" s="116"/>
    </row>
    <row r="21" spans="1:41" x14ac:dyDescent="0.3">
      <c r="A21" s="116"/>
      <c r="B21" s="890"/>
      <c r="C21" s="894"/>
      <c r="D21" s="894"/>
      <c r="E21" s="116"/>
    </row>
    <row r="22" spans="1:41" x14ac:dyDescent="0.3">
      <c r="A22" s="116"/>
      <c r="B22" s="890"/>
      <c r="C22" s="894"/>
      <c r="D22" s="894"/>
      <c r="E22" s="116"/>
    </row>
    <row r="23" spans="1:41" x14ac:dyDescent="0.3">
      <c r="A23" s="116"/>
      <c r="B23" s="890"/>
      <c r="C23" s="894"/>
      <c r="D23" s="894"/>
      <c r="E23" s="116"/>
    </row>
    <row r="24" spans="1:41" x14ac:dyDescent="0.3">
      <c r="A24" s="754"/>
      <c r="B24" s="891"/>
      <c r="C24" s="895"/>
      <c r="D24" s="895"/>
      <c r="E24" s="754"/>
    </row>
    <row r="25" spans="1:41" x14ac:dyDescent="0.3">
      <c r="A25" s="754"/>
      <c r="B25" s="891"/>
      <c r="C25" s="895"/>
      <c r="D25" s="895"/>
      <c r="E25" s="754"/>
    </row>
    <row r="26" spans="1:41" x14ac:dyDescent="0.3">
      <c r="A26" s="754"/>
      <c r="B26" s="891"/>
      <c r="C26" s="895"/>
      <c r="D26" s="895"/>
      <c r="E26" s="754"/>
    </row>
    <row r="27" spans="1:41" x14ac:dyDescent="0.3">
      <c r="A27" s="754"/>
      <c r="B27" s="891"/>
      <c r="C27" s="895"/>
      <c r="D27" s="895"/>
      <c r="E27" s="754"/>
    </row>
    <row r="31" spans="1:41" x14ac:dyDescent="0.3">
      <c r="A31" s="754"/>
      <c r="B31" s="891"/>
      <c r="C31" s="895"/>
      <c r="D31" s="895"/>
      <c r="E31" s="754"/>
    </row>
    <row r="38" spans="1:5" x14ac:dyDescent="0.3">
      <c r="A38" s="754"/>
      <c r="B38" s="891"/>
      <c r="C38" s="895"/>
      <c r="D38" s="895"/>
      <c r="E38" s="754"/>
    </row>
    <row r="45" spans="1:5" x14ac:dyDescent="0.3">
      <c r="A45" s="754"/>
      <c r="B45" s="891"/>
      <c r="C45" s="895"/>
      <c r="D45" s="895"/>
      <c r="E45" s="754"/>
    </row>
    <row r="52" spans="1:5" x14ac:dyDescent="0.3">
      <c r="A52" s="754"/>
      <c r="B52" s="891"/>
      <c r="C52" s="895"/>
      <c r="D52" s="895"/>
      <c r="E52" s="754"/>
    </row>
    <row r="59" spans="1:5" x14ac:dyDescent="0.3">
      <c r="A59" s="754"/>
      <c r="B59" s="891"/>
      <c r="C59" s="895"/>
      <c r="D59" s="895"/>
      <c r="E59" s="754"/>
    </row>
    <row r="66" spans="1:5" x14ac:dyDescent="0.3">
      <c r="A66" s="754"/>
      <c r="B66" s="891"/>
      <c r="C66" s="895"/>
      <c r="D66" s="895"/>
      <c r="E66" s="754"/>
    </row>
    <row r="73" spans="1:5" x14ac:dyDescent="0.3">
      <c r="A73" s="754"/>
      <c r="B73" s="891"/>
      <c r="C73" s="895"/>
      <c r="D73" s="895"/>
      <c r="E73" s="754"/>
    </row>
    <row r="80" spans="1:5" x14ac:dyDescent="0.3">
      <c r="A80" s="754"/>
      <c r="B80" s="891"/>
      <c r="C80" s="895"/>
      <c r="D80" s="895"/>
      <c r="E80" s="754"/>
    </row>
    <row r="87" spans="1:5" x14ac:dyDescent="0.3">
      <c r="A87" s="754"/>
      <c r="B87" s="891"/>
      <c r="C87" s="895"/>
      <c r="D87" s="895"/>
      <c r="E87" s="754"/>
    </row>
    <row r="94" spans="1:5" x14ac:dyDescent="0.3">
      <c r="A94" s="754"/>
      <c r="B94" s="891"/>
      <c r="C94" s="895"/>
      <c r="D94" s="895"/>
      <c r="E94" s="754"/>
    </row>
    <row r="101" spans="1:5" x14ac:dyDescent="0.3">
      <c r="A101" s="754"/>
      <c r="B101" s="891"/>
      <c r="C101" s="895"/>
      <c r="D101" s="895"/>
      <c r="E101" s="754"/>
    </row>
  </sheetData>
  <mergeCells count="7">
    <mergeCell ref="A1:E1"/>
    <mergeCell ref="F1:K1"/>
    <mergeCell ref="L1:Q1"/>
    <mergeCell ref="AJ1:AO1"/>
    <mergeCell ref="R1:W1"/>
    <mergeCell ref="X1:AC1"/>
    <mergeCell ref="AD1:AI1"/>
  </mergeCells>
  <pageMargins left="0.7" right="0.7" top="0.75" bottom="0.75" header="0.3" footer="0.3"/>
  <pageSetup paperSize="9" orientation="portrait"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enalty"/>
  <dimension ref="A1:AT22"/>
  <sheetViews>
    <sheetView workbookViewId="0">
      <selection activeCell="J25" sqref="J25"/>
    </sheetView>
  </sheetViews>
  <sheetFormatPr defaultRowHeight="14.4" x14ac:dyDescent="0.3"/>
  <cols>
    <col min="1" max="2" width="12" customWidth="1"/>
    <col min="3" max="3" width="12" style="264" customWidth="1"/>
    <col min="4" max="4" width="12" style="266" customWidth="1"/>
    <col min="5" max="5" width="12" style="324" customWidth="1"/>
    <col min="6" max="6" width="12" customWidth="1"/>
    <col min="7" max="7" width="11.33203125" style="896" customWidth="1"/>
    <col min="8" max="8" width="14.109375" customWidth="1"/>
    <col min="9" max="9" width="14.44140625" style="324" customWidth="1"/>
    <col min="10" max="10" width="11.33203125" style="896" customWidth="1"/>
    <col min="11" max="11" width="14.109375" customWidth="1"/>
    <col min="12" max="12" width="12" style="324" customWidth="1"/>
    <col min="13" max="13" width="11.33203125" style="896" customWidth="1"/>
    <col min="14" max="14" width="16.109375" customWidth="1"/>
    <col min="15" max="15" width="13.5546875" style="324" customWidth="1"/>
    <col min="16" max="16" width="11.33203125" style="896" customWidth="1"/>
    <col min="17" max="17" width="16.109375" customWidth="1"/>
    <col min="18" max="18" width="12" style="324" customWidth="1"/>
    <col min="19" max="19" width="11.33203125" style="896" customWidth="1"/>
    <col min="20" max="20" width="16.109375" customWidth="1"/>
    <col min="21" max="21" width="12" style="324" customWidth="1"/>
    <col min="22" max="22" width="11.33203125" customWidth="1"/>
    <col min="23" max="23" width="16.109375" customWidth="1"/>
    <col min="24" max="25" width="16.109375" style="958" customWidth="1"/>
    <col min="26" max="26" width="12" customWidth="1"/>
    <col min="27" max="27" width="11.33203125" customWidth="1"/>
    <col min="28" max="30" width="16.109375" customWidth="1"/>
    <col min="31" max="31" width="12" customWidth="1"/>
    <col min="32" max="32" width="11.33203125" customWidth="1"/>
    <col min="33" max="35" width="16.109375" customWidth="1"/>
    <col min="36" max="36" width="12" customWidth="1"/>
    <col min="37" max="37" width="11.33203125" customWidth="1"/>
    <col min="38" max="40" width="16.109375" customWidth="1"/>
    <col min="41" max="41" width="12" customWidth="1"/>
    <col min="42" max="42" width="11.33203125" customWidth="1"/>
    <col min="43" max="45" width="16.109375" customWidth="1"/>
    <col min="46" max="46" width="12" customWidth="1"/>
  </cols>
  <sheetData>
    <row r="1" spans="1:46" x14ac:dyDescent="0.3">
      <c r="A1" s="1570" t="s">
        <v>8568</v>
      </c>
      <c r="B1" s="1570"/>
      <c r="C1" s="1570" t="s">
        <v>8572</v>
      </c>
      <c r="D1" s="1570"/>
      <c r="E1" s="1570"/>
      <c r="F1" s="1570"/>
      <c r="G1" s="1483" t="s">
        <v>8524</v>
      </c>
      <c r="H1" s="1483"/>
      <c r="I1" s="1483"/>
      <c r="J1" s="1483" t="s">
        <v>8527</v>
      </c>
      <c r="K1" s="1483"/>
      <c r="L1" s="1483"/>
      <c r="M1" s="1483" t="s">
        <v>8528</v>
      </c>
      <c r="N1" s="1483"/>
      <c r="O1" s="1483"/>
      <c r="P1" s="1483" t="s">
        <v>8551</v>
      </c>
      <c r="Q1" s="1483"/>
      <c r="R1" s="1483"/>
      <c r="S1" s="1483" t="s">
        <v>8552</v>
      </c>
      <c r="T1" s="1483"/>
      <c r="U1" s="1483"/>
      <c r="V1" s="1483" t="s">
        <v>713</v>
      </c>
      <c r="W1" s="1483"/>
      <c r="X1" s="1483"/>
      <c r="Y1" s="1483"/>
      <c r="Z1" s="1483"/>
      <c r="AA1" s="1483" t="s">
        <v>712</v>
      </c>
      <c r="AB1" s="1483"/>
      <c r="AC1" s="1483"/>
      <c r="AD1" s="1483"/>
      <c r="AE1" s="1483"/>
      <c r="AF1" s="1483" t="s">
        <v>8635</v>
      </c>
      <c r="AG1" s="1483"/>
      <c r="AH1" s="1483"/>
      <c r="AI1" s="1483"/>
      <c r="AJ1" s="1483"/>
      <c r="AK1" s="1483" t="s">
        <v>8636</v>
      </c>
      <c r="AL1" s="1483"/>
      <c r="AM1" s="1483"/>
      <c r="AN1" s="1483"/>
      <c r="AO1" s="1483"/>
      <c r="AP1" s="1483" t="s">
        <v>8637</v>
      </c>
      <c r="AQ1" s="1483"/>
      <c r="AR1" s="1483"/>
      <c r="AS1" s="1483"/>
      <c r="AT1" s="1483"/>
    </row>
    <row r="2" spans="1:46" x14ac:dyDescent="0.3">
      <c r="A2" s="1570"/>
      <c r="B2" s="1570"/>
      <c r="C2" s="892" t="s">
        <v>8535</v>
      </c>
      <c r="D2" s="939" t="s">
        <v>8531</v>
      </c>
      <c r="E2" s="888" t="s">
        <v>8532</v>
      </c>
      <c r="F2" s="892"/>
      <c r="G2" s="892" t="s">
        <v>8535</v>
      </c>
      <c r="H2" s="822" t="s">
        <v>8531</v>
      </c>
      <c r="I2" s="888" t="s">
        <v>8532</v>
      </c>
      <c r="J2" s="892" t="s">
        <v>8535</v>
      </c>
      <c r="K2" s="822" t="s">
        <v>8531</v>
      </c>
      <c r="L2" s="888" t="s">
        <v>8532</v>
      </c>
      <c r="M2" s="892" t="s">
        <v>8535</v>
      </c>
      <c r="N2" s="822" t="s">
        <v>8531</v>
      </c>
      <c r="O2" s="888" t="s">
        <v>8532</v>
      </c>
      <c r="P2" s="892" t="s">
        <v>8535</v>
      </c>
      <c r="Q2" s="822" t="s">
        <v>8531</v>
      </c>
      <c r="R2" s="888" t="s">
        <v>8532</v>
      </c>
      <c r="S2" s="892" t="s">
        <v>8535</v>
      </c>
      <c r="T2" s="822" t="s">
        <v>8531</v>
      </c>
      <c r="U2" s="888" t="s">
        <v>8532</v>
      </c>
      <c r="V2" s="892" t="s">
        <v>8535</v>
      </c>
      <c r="W2" s="822" t="s">
        <v>8531</v>
      </c>
      <c r="X2" s="822" t="s">
        <v>601</v>
      </c>
      <c r="Y2" s="822" t="s">
        <v>8533</v>
      </c>
      <c r="Z2" s="888" t="s">
        <v>8532</v>
      </c>
      <c r="AA2" s="892" t="s">
        <v>8535</v>
      </c>
      <c r="AB2" s="822" t="s">
        <v>8531</v>
      </c>
      <c r="AC2" s="822" t="s">
        <v>601</v>
      </c>
      <c r="AD2" s="822" t="s">
        <v>8533</v>
      </c>
      <c r="AE2" s="888" t="s">
        <v>8532</v>
      </c>
      <c r="AF2" s="892" t="s">
        <v>8535</v>
      </c>
      <c r="AG2" s="822" t="s">
        <v>8531</v>
      </c>
      <c r="AH2" s="822" t="s">
        <v>601</v>
      </c>
      <c r="AI2" s="822" t="s">
        <v>8533</v>
      </c>
      <c r="AJ2" s="888" t="s">
        <v>8532</v>
      </c>
      <c r="AK2" s="892" t="s">
        <v>8535</v>
      </c>
      <c r="AL2" s="822" t="s">
        <v>8531</v>
      </c>
      <c r="AM2" s="822" t="s">
        <v>601</v>
      </c>
      <c r="AN2" s="822" t="s">
        <v>8533</v>
      </c>
      <c r="AO2" s="888" t="s">
        <v>8532</v>
      </c>
      <c r="AP2" s="892" t="s">
        <v>8535</v>
      </c>
      <c r="AQ2" s="822" t="s">
        <v>8531</v>
      </c>
      <c r="AR2" s="822" t="s">
        <v>601</v>
      </c>
      <c r="AS2" s="822" t="s">
        <v>8533</v>
      </c>
      <c r="AT2" s="888" t="s">
        <v>8532</v>
      </c>
    </row>
    <row r="3" spans="1:46" x14ac:dyDescent="0.3">
      <c r="A3" s="930" t="s">
        <v>213</v>
      </c>
      <c r="B3" s="932">
        <f>IF(ISBLANK(DATES!B16),"",DATES!B16)</f>
        <v>43560</v>
      </c>
      <c r="C3" s="898">
        <v>43976</v>
      </c>
      <c r="D3" s="844" t="s">
        <v>1246</v>
      </c>
      <c r="E3" s="899">
        <v>400000</v>
      </c>
      <c r="F3" s="932"/>
      <c r="G3" s="898" t="str">
        <f>CHALLANGE_draft!SU3</f>
        <v/>
      </c>
      <c r="H3" s="844" t="str">
        <f>IF(CHALLANGE_draft!TF3="",CHALLANGE_draft!TR5,CHALLANGE_draft!TF3)</f>
        <v/>
      </c>
      <c r="I3" s="899" t="str">
        <f>IF(CHALLANGE_draft!TF9="",CHALLANGE_draft!TR8,CHALLANGE_draft!TF9)</f>
        <v/>
      </c>
      <c r="J3" s="898" t="str">
        <f>CHALLANGE_draft!SU4</f>
        <v/>
      </c>
      <c r="K3" s="844" t="str">
        <f>IF(CHALLANGE_draft!UD3="",CHALLANGE_draft!UP5,CHALLANGE_draft!UD3)</f>
        <v/>
      </c>
      <c r="L3" s="899" t="str">
        <f>IF(CHALLANGE_draft!UD9="",CHALLANGE_draft!UP8,CHALLANGE_draft!UD9)</f>
        <v/>
      </c>
      <c r="M3" s="898" t="str">
        <f>CHALLANGE_draft!SU5</f>
        <v/>
      </c>
      <c r="N3" s="844" t="str">
        <f>IF(CHALLANGE_draft!VB3="",CHALLANGE_draft!VN5,CHALLANGE_draft!VB3)</f>
        <v/>
      </c>
      <c r="O3" s="899" t="str">
        <f>IF(CHALLANGE_draft!VB9="",CHALLANGE_draft!VN8,CHALLANGE_draft!VB9)</f>
        <v/>
      </c>
      <c r="P3" s="898" t="str">
        <f>CHALLANGE_draft!SU6</f>
        <v/>
      </c>
      <c r="Q3" s="844" t="str">
        <f>CHALLANGE_draft!VZ3</f>
        <v/>
      </c>
      <c r="R3" s="899" t="str">
        <f>CHALLANGE_draft!VZ9</f>
        <v/>
      </c>
      <c r="S3" s="898" t="str">
        <f>CHALLANGE_draft!SU7</f>
        <v/>
      </c>
      <c r="T3" s="844" t="str">
        <f>CHALLANGE_draft!WX3</f>
        <v/>
      </c>
      <c r="U3" s="899" t="str">
        <f>CHALLANGE_draft!WX9</f>
        <v/>
      </c>
      <c r="V3" s="898">
        <f>CHALLANGE_draft!AEL3</f>
        <v>43976</v>
      </c>
      <c r="W3" s="844" t="str">
        <f>CHALLANGE_draft!AFL3</f>
        <v>Ущерб</v>
      </c>
      <c r="X3" s="932" t="str">
        <f>CHALLANGE_draft!AFL4</f>
        <v/>
      </c>
      <c r="Y3" s="932" t="str">
        <f>CHALLANGE_draft!AFL5</f>
        <v/>
      </c>
      <c r="Z3" s="899">
        <f>CHALLANGE_draft!AFL9</f>
        <v>400000</v>
      </c>
      <c r="AA3" s="898" t="str">
        <f>CHALLANGE_draft!AEL4</f>
        <v/>
      </c>
      <c r="AB3" s="844" t="str">
        <f>CHALLANGE_draft!AFX3</f>
        <v/>
      </c>
      <c r="AC3" s="897" t="str">
        <f>CHALLANGE_draft!AFX4</f>
        <v/>
      </c>
      <c r="AD3" s="897" t="str">
        <f>CHALLANGE_draft!AFX5</f>
        <v/>
      </c>
      <c r="AE3" s="899" t="str">
        <f>CHALLANGE_draft!AFX9</f>
        <v/>
      </c>
      <c r="AF3" s="898" t="str">
        <f>CHALLANGE_draft!AEL5</f>
        <v/>
      </c>
      <c r="AG3" s="844" t="str">
        <f>CHALLANGE_draft!AGJ3</f>
        <v/>
      </c>
      <c r="AH3" s="897" t="str">
        <f>CHALLANGE_draft!AGJ4</f>
        <v/>
      </c>
      <c r="AI3" s="897" t="str">
        <f>CHALLANGE_draft!AGJ5</f>
        <v/>
      </c>
      <c r="AJ3" s="899" t="str">
        <f>CHALLANGE_draft!AGJ9</f>
        <v/>
      </c>
      <c r="AK3" s="898" t="str">
        <f>CHALLANGE_draft!AEL6</f>
        <v/>
      </c>
      <c r="AL3" s="844" t="str">
        <f>CHALLANGE_draft!AGV3</f>
        <v/>
      </c>
      <c r="AM3" s="897" t="str">
        <f>CHALLANGE_draft!AGV4</f>
        <v/>
      </c>
      <c r="AN3" s="897" t="str">
        <f>CHALLANGE_draft!AGV5</f>
        <v/>
      </c>
      <c r="AO3" s="899" t="str">
        <f>CHALLANGE_draft!AGV9</f>
        <v/>
      </c>
      <c r="AP3" s="898" t="str">
        <f>CHALLANGE_draft!AEL7</f>
        <v/>
      </c>
      <c r="AQ3" s="844" t="str">
        <f>CHALLANGE_draft!AHH3</f>
        <v/>
      </c>
      <c r="AR3" s="897" t="str">
        <f>CHALLANGE_draft!AHH4</f>
        <v/>
      </c>
      <c r="AS3" s="897" t="str">
        <f>CHALLANGE_draft!AHH5</f>
        <v/>
      </c>
      <c r="AT3" s="899" t="str">
        <f>CHALLANGE_draft!AHH9</f>
        <v/>
      </c>
    </row>
    <row r="4" spans="1:46" x14ac:dyDescent="0.3">
      <c r="A4" s="930" t="s">
        <v>2188</v>
      </c>
      <c r="B4" s="932">
        <f>IF(ISBLANK(DATES!B15),"",DATES!B15)</f>
        <v>43626</v>
      </c>
      <c r="C4" s="898"/>
      <c r="D4" s="844"/>
      <c r="E4" s="899"/>
      <c r="F4" s="932"/>
      <c r="H4" s="844" t="str">
        <f>IF(CHALLANGE_draft!TF10="",CHALLANGE_draft!TR9,CHALLANGE_draft!TF10)</f>
        <v/>
      </c>
      <c r="I4" s="899" t="str">
        <f>IF(CHALLANGE_draft!TF16="",CHALLANGE_draft!TR12,CHALLANGE_draft!TF16)</f>
        <v/>
      </c>
      <c r="K4" s="844" t="str">
        <f>IF(CHALLANGE_draft!UD10="",CHALLANGE_draft!UP9,CHALLANGE_draft!UD10)</f>
        <v/>
      </c>
      <c r="L4" s="899" t="str">
        <f>IF(CHALLANGE_draft!UD16="",CHALLANGE_draft!UP12,CHALLANGE_draft!UD16)</f>
        <v/>
      </c>
      <c r="N4" s="844" t="str">
        <f>IF(CHALLANGE_draft!VB10="",CHALLANGE_draft!VN9,CHALLANGE_draft!VB10)</f>
        <v/>
      </c>
      <c r="O4" s="899" t="str">
        <f>IF(CHALLANGE_draft!VB16="",CHALLANGE_draft!VN12,CHALLANGE_draft!VB16)</f>
        <v/>
      </c>
      <c r="Q4" s="844" t="str">
        <f>CHALLANGE_draft!VZ10</f>
        <v/>
      </c>
      <c r="R4" s="899" t="str">
        <f>CHALLANGE_draft!VZ16</f>
        <v/>
      </c>
      <c r="T4" s="844" t="str">
        <f>CHALLANGE_draft!WX10</f>
        <v/>
      </c>
      <c r="U4" s="899" t="str">
        <f>CHALLANGE_draft!WX16</f>
        <v/>
      </c>
      <c r="V4" s="896"/>
      <c r="W4" s="844" t="str">
        <f>CHALLANGE_draft!AFL10</f>
        <v>Неустойка</v>
      </c>
      <c r="X4" s="932">
        <f>CHALLANGE_draft!AFL11</f>
        <v>43648</v>
      </c>
      <c r="Y4" s="932">
        <f>CHALLANGE_draft!AFL12</f>
        <v>43829</v>
      </c>
      <c r="Z4" s="899">
        <f>CHALLANGE_draft!AFL16</f>
        <v>300000</v>
      </c>
      <c r="AA4" s="896"/>
      <c r="AB4" s="844" t="str">
        <f>CHALLANGE_draft!AFX10</f>
        <v/>
      </c>
      <c r="AC4" s="897" t="str">
        <f>CHALLANGE_draft!AFX11</f>
        <v/>
      </c>
      <c r="AD4" s="897" t="str">
        <f>CHALLANGE_draft!AFX12</f>
        <v/>
      </c>
      <c r="AE4" s="899" t="str">
        <f>CHALLANGE_draft!AFX16</f>
        <v/>
      </c>
      <c r="AF4" s="896"/>
      <c r="AG4" s="844" t="str">
        <f>CHALLANGE_draft!AGJ10</f>
        <v/>
      </c>
      <c r="AH4" s="897" t="str">
        <f>CHALLANGE_draft!AGJ11</f>
        <v/>
      </c>
      <c r="AI4" s="897" t="str">
        <f>CHALLANGE_draft!AGJ12</f>
        <v/>
      </c>
      <c r="AJ4" s="899" t="str">
        <f>CHALLANGE_draft!AGJ16</f>
        <v/>
      </c>
      <c r="AK4" s="896"/>
      <c r="AL4" s="844" t="str">
        <f>CHALLANGE_draft!AGV10</f>
        <v/>
      </c>
      <c r="AM4" s="897" t="str">
        <f>CHALLANGE_draft!AGV11</f>
        <v/>
      </c>
      <c r="AN4" s="897" t="str">
        <f>CHALLANGE_draft!AGV12</f>
        <v/>
      </c>
      <c r="AO4" s="899" t="str">
        <f>CHALLANGE_draft!AGV16</f>
        <v/>
      </c>
      <c r="AP4" s="896"/>
      <c r="AQ4" s="844" t="str">
        <f>CHALLANGE_draft!AHH10</f>
        <v/>
      </c>
      <c r="AR4" s="897" t="str">
        <f>CHALLANGE_draft!AHH11</f>
        <v/>
      </c>
      <c r="AS4" s="897" t="str">
        <f>CHALLANGE_draft!AHH12</f>
        <v/>
      </c>
      <c r="AT4" s="899" t="str">
        <f>CHALLANGE_draft!AHH16</f>
        <v/>
      </c>
    </row>
    <row r="5" spans="1:46" x14ac:dyDescent="0.3">
      <c r="A5" s="931" t="s">
        <v>606</v>
      </c>
      <c r="B5" s="932">
        <f>IF(ISBLANK(DATES!B17),"",DATES!B17)</f>
        <v>43627</v>
      </c>
      <c r="C5" s="898"/>
      <c r="D5" s="844"/>
      <c r="E5" s="899"/>
      <c r="F5" s="932"/>
      <c r="H5" s="844" t="str">
        <f>IF(CHALLANGE_draft!TF17="",CHALLANGE_draft!TR13,CHALLANGE_draft!TF17)</f>
        <v/>
      </c>
      <c r="I5" s="899" t="str">
        <f>IF(CHALLANGE_draft!TF23="",CHALLANGE_draft!TR16,CHALLANGE_draft!TF23)</f>
        <v/>
      </c>
      <c r="K5" s="844" t="str">
        <f>IF(CHALLANGE_draft!UD17="",CHALLANGE_draft!UP13,CHALLANGE_draft!UD17)</f>
        <v/>
      </c>
      <c r="L5" s="899" t="str">
        <f>IF(CHALLANGE_draft!UD23="",CHALLANGE_draft!UP16,CHALLANGE_draft!UD23)</f>
        <v/>
      </c>
      <c r="N5" s="844" t="str">
        <f>IF(CHALLANGE_draft!VB17="",CHALLANGE_draft!VN13,CHALLANGE_draft!VB17)</f>
        <v/>
      </c>
      <c r="O5" s="899" t="str">
        <f>IF(CHALLANGE_draft!VB23="",CHALLANGE_draft!VN16,CHALLANGE_draft!VB23)</f>
        <v/>
      </c>
      <c r="Q5" s="844" t="str">
        <f>CHALLANGE_draft!VZ17</f>
        <v/>
      </c>
      <c r="R5" s="899" t="str">
        <f>CHALLANGE_draft!VZ23</f>
        <v/>
      </c>
      <c r="T5" s="844" t="str">
        <f>CHALLANGE_draft!WX17</f>
        <v/>
      </c>
      <c r="U5" s="899" t="str">
        <f>CHALLANGE_draft!WX23</f>
        <v/>
      </c>
      <c r="V5" s="896"/>
      <c r="W5" s="844" t="str">
        <f>CHALLANGE_draft!AFL17</f>
        <v/>
      </c>
      <c r="X5" s="932" t="str">
        <f>CHALLANGE_draft!AFL18</f>
        <v/>
      </c>
      <c r="Y5" s="932" t="str">
        <f>CHALLANGE_draft!AFL19</f>
        <v/>
      </c>
      <c r="Z5" s="899">
        <f>CHALLANGE_draft!AFL23</f>
        <v>7000</v>
      </c>
      <c r="AA5" s="896"/>
      <c r="AB5" s="844" t="str">
        <f>CHALLANGE_draft!AFX17</f>
        <v/>
      </c>
      <c r="AC5" s="897" t="str">
        <f>CHALLANGE_draft!AFX18</f>
        <v/>
      </c>
      <c r="AD5" s="897" t="str">
        <f>CHALLANGE_draft!AFX19</f>
        <v/>
      </c>
      <c r="AE5" s="899" t="str">
        <f>CHALLANGE_draft!AFX23</f>
        <v/>
      </c>
      <c r="AF5" s="896"/>
      <c r="AG5" s="844" t="str">
        <f>CHALLANGE_draft!AGJ17</f>
        <v/>
      </c>
      <c r="AH5" s="897" t="str">
        <f>CHALLANGE_draft!AGJ18</f>
        <v/>
      </c>
      <c r="AI5" s="897" t="str">
        <f>CHALLANGE_draft!AGJ19</f>
        <v/>
      </c>
      <c r="AJ5" s="899" t="str">
        <f>CHALLANGE_draft!AGJ23</f>
        <v/>
      </c>
      <c r="AK5" s="896"/>
      <c r="AL5" s="844" t="str">
        <f>CHALLANGE_draft!AGV17</f>
        <v/>
      </c>
      <c r="AM5" s="897" t="str">
        <f>CHALLANGE_draft!AGV18</f>
        <v/>
      </c>
      <c r="AN5" s="897" t="str">
        <f>CHALLANGE_draft!AGV19</f>
        <v/>
      </c>
      <c r="AO5" s="899" t="str">
        <f>CHALLANGE_draft!AGV23</f>
        <v/>
      </c>
      <c r="AP5" s="896"/>
      <c r="AQ5" s="844" t="str">
        <f>CHALLANGE_draft!AHH17</f>
        <v/>
      </c>
      <c r="AR5" s="897" t="str">
        <f>CHALLANGE_draft!AHH18</f>
        <v/>
      </c>
      <c r="AS5" s="897" t="str">
        <f>CHALLANGE_draft!AHH19</f>
        <v/>
      </c>
      <c r="AT5" s="899" t="str">
        <f>CHALLANGE_draft!AHH23</f>
        <v/>
      </c>
    </row>
    <row r="6" spans="1:46" x14ac:dyDescent="0.3">
      <c r="A6" s="931" t="s">
        <v>8569</v>
      </c>
      <c r="B6" s="932">
        <f>IFERROR(B7-1,"")</f>
        <v>43648</v>
      </c>
      <c r="C6" s="898"/>
      <c r="D6" s="844"/>
      <c r="E6" s="899"/>
      <c r="F6" s="932"/>
      <c r="H6" s="844" t="str">
        <f>IF(CHALLANGE_draft!TF24="",CHALLANGE_draft!TR17,CHALLANGE_draft!TF24)</f>
        <v/>
      </c>
      <c r="I6" s="899" t="str">
        <f>IF(CHALLANGE_draft!TF30="",CHALLANGE_draft!TR20,CHALLANGE_draft!TF30)</f>
        <v/>
      </c>
      <c r="K6" s="844" t="str">
        <f>IF(CHALLANGE_draft!UD24="",CHALLANGE_draft!UP17,CHALLANGE_draft!UD24)</f>
        <v/>
      </c>
      <c r="L6" s="899" t="str">
        <f>IF(CHALLANGE_draft!UD30="",CHALLANGE_draft!UP20,CHALLANGE_draft!UD30)</f>
        <v/>
      </c>
      <c r="N6" s="844" t="str">
        <f>IF(CHALLANGE_draft!VB24="",CHALLANGE_draft!VN17,CHALLANGE_draft!VB24)</f>
        <v/>
      </c>
      <c r="O6" s="899" t="str">
        <f>IF(CHALLANGE_draft!VB30="",CHALLANGE_draft!VN20,CHALLANGE_draft!VB30)</f>
        <v/>
      </c>
      <c r="Q6" s="844" t="str">
        <f>CHALLANGE_draft!VZ24</f>
        <v/>
      </c>
      <c r="R6" s="899" t="str">
        <f>CHALLANGE_draft!VZ30</f>
        <v/>
      </c>
      <c r="T6" s="844" t="str">
        <f>CHALLANGE_draft!WX24</f>
        <v/>
      </c>
      <c r="U6" s="899" t="str">
        <f>CHALLANGE_draft!WX30</f>
        <v/>
      </c>
      <c r="V6" s="896"/>
      <c r="W6" s="844" t="str">
        <f>CHALLANGE_draft!AFL24</f>
        <v/>
      </c>
      <c r="X6" s="932" t="str">
        <f>CHALLANGE_draft!AFL25</f>
        <v/>
      </c>
      <c r="Y6" s="932" t="str">
        <f>CHALLANGE_draft!AFL26</f>
        <v/>
      </c>
      <c r="Z6" s="899" t="str">
        <f>CHALLANGE_draft!AFL30</f>
        <v/>
      </c>
      <c r="AA6" s="896"/>
      <c r="AB6" s="844" t="str">
        <f>CHALLANGE_draft!AFX24</f>
        <v/>
      </c>
      <c r="AC6" s="897" t="str">
        <f>CHALLANGE_draft!AFX25</f>
        <v/>
      </c>
      <c r="AD6" s="897" t="str">
        <f>CHALLANGE_draft!AFX26</f>
        <v/>
      </c>
      <c r="AE6" s="899" t="str">
        <f>CHALLANGE_draft!AFX30</f>
        <v/>
      </c>
      <c r="AF6" s="896"/>
      <c r="AG6" s="844" t="str">
        <f>CHALLANGE_draft!AGJ24</f>
        <v/>
      </c>
      <c r="AH6" s="897" t="str">
        <f>CHALLANGE_draft!AGJ25</f>
        <v/>
      </c>
      <c r="AI6" s="897" t="str">
        <f>CHALLANGE_draft!AGJ26</f>
        <v/>
      </c>
      <c r="AJ6" s="899" t="str">
        <f>CHALLANGE_draft!AGJ30</f>
        <v/>
      </c>
      <c r="AK6" s="896"/>
      <c r="AL6" s="844" t="str">
        <f>CHALLANGE_draft!AGV24</f>
        <v/>
      </c>
      <c r="AM6" s="897" t="str">
        <f>CHALLANGE_draft!AGV25</f>
        <v/>
      </c>
      <c r="AN6" s="897" t="str">
        <f>CHALLANGE_draft!AGV26</f>
        <v/>
      </c>
      <c r="AO6" s="899" t="str">
        <f>CHALLANGE_draft!AGV30</f>
        <v/>
      </c>
      <c r="AP6" s="896"/>
      <c r="AQ6" s="844" t="str">
        <f>CHALLANGE_draft!AHH24</f>
        <v/>
      </c>
      <c r="AR6" s="897" t="str">
        <f>CHALLANGE_draft!AHH25</f>
        <v/>
      </c>
      <c r="AS6" s="897" t="str">
        <f>CHALLANGE_draft!AHH26</f>
        <v/>
      </c>
      <c r="AT6" s="899" t="str">
        <f>CHALLANGE_draft!AHH30</f>
        <v/>
      </c>
    </row>
    <row r="7" spans="1:46" x14ac:dyDescent="0.3">
      <c r="A7" s="931" t="s">
        <v>5575</v>
      </c>
      <c r="B7" s="932">
        <f>IF(ISBLANK(DATES!B18),"",DATES!B18)</f>
        <v>43649</v>
      </c>
      <c r="C7" s="966"/>
      <c r="D7" s="844"/>
      <c r="E7" s="899"/>
      <c r="F7" s="932"/>
      <c r="H7" s="844" t="str">
        <f>IF(CHALLANGE_draft!TF31="",CHALLANGE_draft!TR21,CHALLANGE_draft!TF31)</f>
        <v/>
      </c>
      <c r="I7" s="899" t="str">
        <f>IF(CHALLANGE_draft!TF37="",CHALLANGE_draft!TR24,CHALLANGE_draft!TF37)</f>
        <v/>
      </c>
      <c r="K7" s="844" t="str">
        <f>IF(CHALLANGE_draft!UD31="",CHALLANGE_draft!UP21,CHALLANGE_draft!UD31)</f>
        <v/>
      </c>
      <c r="L7" s="899" t="str">
        <f>IF(CHALLANGE_draft!UD37="",CHALLANGE_draft!UP24,CHALLANGE_draft!UD37)</f>
        <v/>
      </c>
      <c r="N7" s="844" t="str">
        <f>IF(CHALLANGE_draft!VB31="",CHALLANGE_draft!VN21,CHALLANGE_draft!VB31)</f>
        <v/>
      </c>
      <c r="O7" s="899" t="str">
        <f>IF(CHALLANGE_draft!VB37="",CHALLANGE_draft!VN24,CHALLANGE_draft!VB37)</f>
        <v/>
      </c>
      <c r="Q7" s="844" t="str">
        <f>CHALLANGE_draft!VZ31</f>
        <v/>
      </c>
      <c r="R7" s="899" t="str">
        <f>CHALLANGE_draft!VZ37</f>
        <v/>
      </c>
      <c r="T7" s="844" t="str">
        <f>CHALLANGE_draft!WX31</f>
        <v/>
      </c>
      <c r="U7" s="899" t="str">
        <f>CHALLANGE_draft!WX37</f>
        <v/>
      </c>
      <c r="V7" s="896"/>
      <c r="W7" s="844" t="str">
        <f>CHALLANGE_draft!AFL31</f>
        <v/>
      </c>
      <c r="X7" s="932" t="str">
        <f>CHALLANGE_draft!AFL32</f>
        <v/>
      </c>
      <c r="Y7" s="932" t="str">
        <f>CHALLANGE_draft!AFL33</f>
        <v/>
      </c>
      <c r="Z7" s="899" t="str">
        <f>CHALLANGE_draft!AFL37</f>
        <v/>
      </c>
      <c r="AA7" s="896"/>
      <c r="AB7" s="844" t="str">
        <f>CHALLANGE_draft!AFX31</f>
        <v/>
      </c>
      <c r="AC7" s="897" t="str">
        <f>CHALLANGE_draft!AFX32</f>
        <v/>
      </c>
      <c r="AD7" s="897" t="str">
        <f>CHALLANGE_draft!AFX33</f>
        <v/>
      </c>
      <c r="AE7" s="899" t="str">
        <f>CHALLANGE_draft!AFX37</f>
        <v/>
      </c>
      <c r="AF7" s="896"/>
      <c r="AG7" s="844" t="str">
        <f>CHALLANGE_draft!AGJ31</f>
        <v/>
      </c>
      <c r="AH7" s="897" t="str">
        <f>CHALLANGE_draft!AGJ32</f>
        <v/>
      </c>
      <c r="AI7" s="897" t="str">
        <f>CHALLANGE_draft!AGJ33</f>
        <v/>
      </c>
      <c r="AJ7" s="899" t="str">
        <f>CHALLANGE_draft!AGJ37</f>
        <v/>
      </c>
      <c r="AK7" s="896"/>
      <c r="AL7" s="844" t="str">
        <f>CHALLANGE_draft!AGV31</f>
        <v/>
      </c>
      <c r="AM7" s="897" t="str">
        <f>CHALLANGE_draft!AGV32</f>
        <v/>
      </c>
      <c r="AN7" s="897" t="str">
        <f>CHALLANGE_draft!AGV33</f>
        <v/>
      </c>
      <c r="AO7" s="899" t="str">
        <f>CHALLANGE_draft!AGV37</f>
        <v/>
      </c>
      <c r="AP7" s="896"/>
      <c r="AQ7" s="844" t="str">
        <f>CHALLANGE_draft!AHH31</f>
        <v/>
      </c>
      <c r="AR7" s="897" t="str">
        <f>CHALLANGE_draft!AHH32</f>
        <v/>
      </c>
      <c r="AS7" s="897" t="str">
        <f>CHALLANGE_draft!AHH33</f>
        <v/>
      </c>
      <c r="AT7" s="899" t="str">
        <f>CHALLANGE_draft!AHH37</f>
        <v/>
      </c>
    </row>
    <row r="8" spans="1:46" x14ac:dyDescent="0.3">
      <c r="A8" s="931" t="s">
        <v>604</v>
      </c>
      <c r="B8" s="932" t="str">
        <f>IF(ISBLANK(DATES!B19),"",DATES!B19)</f>
        <v/>
      </c>
      <c r="C8" s="966"/>
      <c r="D8" s="844"/>
      <c r="E8" s="899"/>
      <c r="F8" s="932"/>
      <c r="H8" s="844" t="str">
        <f>IF(CHALLANGE_draft!TF38="",CHALLANGE_draft!TR25,CHALLANGE_draft!TF38)</f>
        <v/>
      </c>
      <c r="I8" s="899" t="str">
        <f>IF(CHALLANGE_draft!TF44="",CHALLANGE_draft!TR28,CHALLANGE_draft!TF44)</f>
        <v/>
      </c>
      <c r="K8" s="844" t="str">
        <f>IF(CHALLANGE_draft!UD38="",CHALLANGE_draft!UP25,CHALLANGE_draft!UD38)</f>
        <v/>
      </c>
      <c r="L8" s="899" t="str">
        <f>IF(CHALLANGE_draft!UD44="",CHALLANGE_draft!UP28,CHALLANGE_draft!UD44)</f>
        <v/>
      </c>
      <c r="N8" s="844" t="str">
        <f>IF(CHALLANGE_draft!VB38="",CHALLANGE_draft!VN25,CHALLANGE_draft!VB38)</f>
        <v/>
      </c>
      <c r="O8" s="899" t="str">
        <f>IF(CHALLANGE_draft!VB44="",CHALLANGE_draft!VN28,CHALLANGE_draft!VB44)</f>
        <v/>
      </c>
      <c r="Q8" s="844" t="str">
        <f>CHALLANGE_draft!VZ38</f>
        <v/>
      </c>
      <c r="R8" s="899" t="str">
        <f>CHALLANGE_draft!VZ44</f>
        <v/>
      </c>
      <c r="T8" s="844" t="str">
        <f>CHALLANGE_draft!WX38</f>
        <v/>
      </c>
      <c r="U8" s="899" t="str">
        <f>CHALLANGE_draft!WX44</f>
        <v/>
      </c>
      <c r="V8" s="896"/>
      <c r="W8" s="844" t="str">
        <f>CHALLANGE_draft!AFL38</f>
        <v/>
      </c>
      <c r="X8" s="932" t="str">
        <f>CHALLANGE_draft!AFL39</f>
        <v/>
      </c>
      <c r="Y8" s="932" t="str">
        <f>CHALLANGE_draft!AFL40</f>
        <v/>
      </c>
      <c r="Z8" s="899" t="str">
        <f>CHALLANGE_draft!AFL44</f>
        <v/>
      </c>
      <c r="AA8" s="896"/>
      <c r="AB8" s="844" t="str">
        <f>CHALLANGE_draft!AFX38</f>
        <v/>
      </c>
      <c r="AC8" s="897" t="str">
        <f>CHALLANGE_draft!AFX39</f>
        <v/>
      </c>
      <c r="AD8" s="897" t="str">
        <f>CHALLANGE_draft!AFX40</f>
        <v/>
      </c>
      <c r="AE8" s="899" t="str">
        <f>CHALLANGE_draft!AFX44</f>
        <v/>
      </c>
      <c r="AF8" s="896"/>
      <c r="AG8" s="844" t="str">
        <f>CHALLANGE_draft!AGJ38</f>
        <v/>
      </c>
      <c r="AH8" s="897" t="str">
        <f>CHALLANGE_draft!AGJ39</f>
        <v/>
      </c>
      <c r="AI8" s="897" t="str">
        <f>CHALLANGE_draft!AGJ40</f>
        <v/>
      </c>
      <c r="AJ8" s="899" t="str">
        <f>CHALLANGE_draft!AGJ44</f>
        <v/>
      </c>
      <c r="AK8" s="896"/>
      <c r="AL8" s="844" t="str">
        <f>CHALLANGE_draft!AGV38</f>
        <v/>
      </c>
      <c r="AM8" s="897" t="str">
        <f>CHALLANGE_draft!AGV39</f>
        <v/>
      </c>
      <c r="AN8" s="897" t="str">
        <f>CHALLANGE_draft!AGV40</f>
        <v/>
      </c>
      <c r="AO8" s="899" t="str">
        <f>CHALLANGE_draft!AGV44</f>
        <v/>
      </c>
      <c r="AP8" s="896"/>
      <c r="AQ8" s="844" t="str">
        <f>CHALLANGE_draft!AHH38</f>
        <v/>
      </c>
      <c r="AR8" s="897" t="str">
        <f>CHALLANGE_draft!AHH39</f>
        <v/>
      </c>
      <c r="AS8" s="897" t="str">
        <f>CHALLANGE_draft!AHH40</f>
        <v/>
      </c>
      <c r="AT8" s="899" t="str">
        <f>CHALLANGE_draft!AHH44</f>
        <v/>
      </c>
    </row>
    <row r="9" spans="1:46" x14ac:dyDescent="0.3">
      <c r="A9" s="931" t="s">
        <v>8569</v>
      </c>
      <c r="B9" s="932">
        <f>IFERROR(B10-1,"")</f>
        <v>20</v>
      </c>
      <c r="C9" s="966"/>
      <c r="D9" s="844"/>
      <c r="E9" s="899"/>
      <c r="F9" s="932"/>
      <c r="H9" s="844" t="str">
        <f>IF(CHALLANGE_draft!TF45="",CHALLANGE_draft!TR29,CHALLANGE_draft!TF45)</f>
        <v/>
      </c>
      <c r="I9" s="899" t="str">
        <f>IF(CHALLANGE_draft!TF51="",CHALLANGE_draft!TR32,CHALLANGE_draft!TF51)</f>
        <v/>
      </c>
      <c r="K9" s="844" t="str">
        <f>IF(CHALLANGE_draft!UD45="",CHALLANGE_draft!UP29,CHALLANGE_draft!UD45)</f>
        <v/>
      </c>
      <c r="L9" s="899" t="str">
        <f>IF(CHALLANGE_draft!UD51="",CHALLANGE_draft!UP32,CHALLANGE_draft!UD51)</f>
        <v/>
      </c>
      <c r="N9" s="844" t="str">
        <f>IF(CHALLANGE_draft!VB45="",CHALLANGE_draft!VN29,CHALLANGE_draft!VB45)</f>
        <v/>
      </c>
      <c r="O9" s="899" t="str">
        <f>IF(CHALLANGE_draft!VB51="",CHALLANGE_draft!VN32,CHALLANGE_draft!VB51)</f>
        <v/>
      </c>
      <c r="Q9" s="844" t="str">
        <f>CHALLANGE_draft!VZ45</f>
        <v/>
      </c>
      <c r="R9" s="899" t="str">
        <f>CHALLANGE_draft!VZ51</f>
        <v/>
      </c>
      <c r="T9" s="844" t="str">
        <f>CHALLANGE_draft!WX45</f>
        <v/>
      </c>
      <c r="U9" s="899" t="str">
        <f>CHALLANGE_draft!WX51</f>
        <v/>
      </c>
      <c r="V9" s="896"/>
      <c r="W9" s="844" t="str">
        <f>CHALLANGE_draft!AFL45</f>
        <v/>
      </c>
      <c r="X9" s="932" t="str">
        <f>CHALLANGE_draft!AFL46</f>
        <v/>
      </c>
      <c r="Y9" s="932" t="str">
        <f>CHALLANGE_draft!AFL47</f>
        <v/>
      </c>
      <c r="Z9" s="899" t="str">
        <f>CHALLANGE_draft!AFL51</f>
        <v/>
      </c>
      <c r="AA9" s="896"/>
      <c r="AB9" s="844" t="str">
        <f>CHALLANGE_draft!AFX45</f>
        <v/>
      </c>
      <c r="AC9" s="897" t="str">
        <f>CHALLANGE_draft!AFX46</f>
        <v/>
      </c>
      <c r="AD9" s="897" t="str">
        <f>CHALLANGE_draft!AFX47</f>
        <v/>
      </c>
      <c r="AE9" s="899" t="str">
        <f>CHALLANGE_draft!AFX51</f>
        <v/>
      </c>
      <c r="AF9" s="896"/>
      <c r="AG9" s="844" t="str">
        <f>CHALLANGE_draft!AGJ45</f>
        <v/>
      </c>
      <c r="AH9" s="897" t="str">
        <f>CHALLANGE_draft!AGJ46</f>
        <v/>
      </c>
      <c r="AI9" s="897" t="str">
        <f>CHALLANGE_draft!AGJ47</f>
        <v/>
      </c>
      <c r="AJ9" s="899" t="str">
        <f>CHALLANGE_draft!AGJ51</f>
        <v/>
      </c>
      <c r="AK9" s="896"/>
      <c r="AL9" s="844" t="str">
        <f>CHALLANGE_draft!AGV45</f>
        <v/>
      </c>
      <c r="AM9" s="897" t="str">
        <f>CHALLANGE_draft!AGV46</f>
        <v/>
      </c>
      <c r="AN9" s="897" t="str">
        <f>CHALLANGE_draft!AGV47</f>
        <v/>
      </c>
      <c r="AO9" s="899" t="str">
        <f>CHALLANGE_draft!AGV51</f>
        <v/>
      </c>
      <c r="AP9" s="896"/>
      <c r="AQ9" s="844" t="str">
        <f>CHALLANGE_draft!AHH45</f>
        <v/>
      </c>
      <c r="AR9" s="897" t="str">
        <f>CHALLANGE_draft!AHH46</f>
        <v/>
      </c>
      <c r="AS9" s="897" t="str">
        <f>CHALLANGE_draft!AHH47</f>
        <v/>
      </c>
      <c r="AT9" s="899" t="str">
        <f>CHALLANGE_draft!AHH51</f>
        <v/>
      </c>
    </row>
    <row r="10" spans="1:46" x14ac:dyDescent="0.3">
      <c r="A10" s="931" t="s">
        <v>5575</v>
      </c>
      <c r="B10" s="932">
        <f>IF(ISBLANK(DATES!B20),"",DATES!B20)</f>
        <v>21</v>
      </c>
      <c r="C10" s="966"/>
      <c r="D10" s="844"/>
      <c r="E10" s="899"/>
      <c r="F10" s="932"/>
      <c r="H10" s="844" t="str">
        <f>IF(CHALLANGE_draft!TF52="",CHALLANGE_draft!TR33,CHALLANGE_draft!TF52)</f>
        <v/>
      </c>
      <c r="I10" s="899" t="str">
        <f>IF(CHALLANGE_draft!TF58="",CHALLANGE_draft!TR36,CHALLANGE_draft!TF58)</f>
        <v/>
      </c>
      <c r="K10" s="844" t="str">
        <f>IF(CHALLANGE_draft!UD52="",CHALLANGE_draft!UP33,CHALLANGE_draft!UD52)</f>
        <v/>
      </c>
      <c r="L10" s="899" t="str">
        <f>IF(CHALLANGE_draft!UD58="",CHALLANGE_draft!UP36,CHALLANGE_draft!UD58)</f>
        <v/>
      </c>
      <c r="N10" s="844" t="str">
        <f>IF(CHALLANGE_draft!VB52="",CHALLANGE_draft!VN33,CHALLANGE_draft!VB52)</f>
        <v/>
      </c>
      <c r="O10" s="899" t="str">
        <f>IF(CHALLANGE_draft!VB58="",CHALLANGE_draft!VN36,CHALLANGE_draft!VB58)</f>
        <v/>
      </c>
      <c r="Q10" s="844" t="str">
        <f>CHALLANGE_draft!VZ52</f>
        <v/>
      </c>
      <c r="R10" s="899" t="str">
        <f>CHALLANGE_draft!VZ58</f>
        <v/>
      </c>
      <c r="T10" s="844" t="str">
        <f>CHALLANGE_draft!WX52</f>
        <v/>
      </c>
      <c r="U10" s="899" t="str">
        <f>CHALLANGE_draft!WX58</f>
        <v/>
      </c>
      <c r="V10" s="896"/>
      <c r="W10" s="844" t="str">
        <f>CHALLANGE_draft!AFL52</f>
        <v/>
      </c>
      <c r="X10" s="932" t="str">
        <f>CHALLANGE_draft!AFL53</f>
        <v/>
      </c>
      <c r="Y10" s="932" t="str">
        <f>CHALLANGE_draft!AFL54</f>
        <v/>
      </c>
      <c r="Z10" s="899" t="str">
        <f>CHALLANGE_draft!AFL58</f>
        <v/>
      </c>
      <c r="AA10" s="896"/>
      <c r="AB10" s="844" t="str">
        <f>CHALLANGE_draft!AFX52</f>
        <v/>
      </c>
      <c r="AC10" s="897" t="str">
        <f>CHALLANGE_draft!AFX53</f>
        <v/>
      </c>
      <c r="AD10" s="897" t="str">
        <f>CHALLANGE_draft!AFX54</f>
        <v/>
      </c>
      <c r="AE10" s="899" t="str">
        <f>CHALLANGE_draft!AFX58</f>
        <v/>
      </c>
      <c r="AF10" s="896"/>
      <c r="AG10" s="844" t="str">
        <f>CHALLANGE_draft!AGJ52</f>
        <v/>
      </c>
      <c r="AH10" s="897" t="str">
        <f>CHALLANGE_draft!AGJ53</f>
        <v/>
      </c>
      <c r="AI10" s="897" t="str">
        <f>CHALLANGE_draft!AGJ54</f>
        <v/>
      </c>
      <c r="AJ10" s="899" t="str">
        <f>CHALLANGE_draft!AGJ58</f>
        <v/>
      </c>
      <c r="AK10" s="896"/>
      <c r="AL10" s="844" t="str">
        <f>CHALLANGE_draft!AGV52</f>
        <v/>
      </c>
      <c r="AM10" s="897" t="str">
        <f>CHALLANGE_draft!AGV53</f>
        <v/>
      </c>
      <c r="AN10" s="897" t="str">
        <f>CHALLANGE_draft!AGV54</f>
        <v/>
      </c>
      <c r="AO10" s="899" t="str">
        <f>CHALLANGE_draft!AGV58</f>
        <v/>
      </c>
      <c r="AP10" s="896"/>
      <c r="AQ10" s="844" t="str">
        <f>CHALLANGE_draft!AHH52</f>
        <v/>
      </c>
      <c r="AR10" s="897" t="str">
        <f>CHALLANGE_draft!AHH53</f>
        <v/>
      </c>
      <c r="AS10" s="897" t="str">
        <f>CHALLANGE_draft!AHH54</f>
        <v/>
      </c>
      <c r="AT10" s="899" t="str">
        <f>CHALLANGE_draft!AHH58</f>
        <v/>
      </c>
    </row>
    <row r="11" spans="1:46" x14ac:dyDescent="0.3">
      <c r="A11" s="931" t="s">
        <v>1117</v>
      </c>
      <c r="B11" s="932" t="str">
        <f>IF(ISBLANK(DATES!B21),"",DATES!B21)</f>
        <v/>
      </c>
      <c r="C11" s="966"/>
      <c r="D11" s="844"/>
      <c r="E11" s="899"/>
      <c r="F11" s="932"/>
      <c r="H11" s="844" t="str">
        <f>IF(CHALLANGE_draft!TF59="",CHALLANGE_draft!TR37,CHALLANGE_draft!TF59)</f>
        <v/>
      </c>
      <c r="I11" s="899" t="str">
        <f>IF(CHALLANGE_draft!TF65="",CHALLANGE_draft!TR40,CHALLANGE_draft!TF65)</f>
        <v/>
      </c>
      <c r="K11" s="844" t="str">
        <f>IF(CHALLANGE_draft!UD59="",CHALLANGE_draft!UP37,CHALLANGE_draft!UD59)</f>
        <v/>
      </c>
      <c r="L11" s="899" t="str">
        <f>IF(CHALLANGE_draft!UD65="",CHALLANGE_draft!UP40,CHALLANGE_draft!UD65)</f>
        <v/>
      </c>
      <c r="N11" s="844" t="str">
        <f>IF(CHALLANGE_draft!VB59="",CHALLANGE_draft!VN37,CHALLANGE_draft!VB59)</f>
        <v/>
      </c>
      <c r="O11" s="899" t="str">
        <f>IF(CHALLANGE_draft!VB65="",CHALLANGE_draft!VN40,CHALLANGE_draft!VB65)</f>
        <v/>
      </c>
      <c r="Q11" s="844" t="str">
        <f>CHALLANGE_draft!VZ59</f>
        <v/>
      </c>
      <c r="R11" s="899" t="str">
        <f>CHALLANGE_draft!VZ65</f>
        <v/>
      </c>
      <c r="T11" s="844" t="str">
        <f>CHALLANGE_draft!WX59</f>
        <v/>
      </c>
      <c r="U11" s="899" t="str">
        <f>CHALLANGE_draft!WX65</f>
        <v/>
      </c>
      <c r="V11" s="896"/>
      <c r="W11" s="844" t="str">
        <f>CHALLANGE_draft!AFL59</f>
        <v/>
      </c>
      <c r="X11" s="932" t="str">
        <f>CHALLANGE_draft!AFL60</f>
        <v/>
      </c>
      <c r="Y11" s="932" t="str">
        <f>CHALLANGE_draft!AFL61</f>
        <v/>
      </c>
      <c r="Z11" s="899" t="str">
        <f>CHALLANGE_draft!AFL65</f>
        <v/>
      </c>
      <c r="AA11" s="896"/>
      <c r="AB11" s="844" t="str">
        <f>CHALLANGE_draft!AFX59</f>
        <v/>
      </c>
      <c r="AC11" s="897" t="str">
        <f>CHALLANGE_draft!AFX60</f>
        <v/>
      </c>
      <c r="AD11" s="897" t="str">
        <f>CHALLANGE_draft!AFX61</f>
        <v/>
      </c>
      <c r="AE11" s="899" t="str">
        <f>CHALLANGE_draft!AFX65</f>
        <v/>
      </c>
      <c r="AF11" s="896"/>
      <c r="AG11" s="844" t="str">
        <f>CHALLANGE_draft!AGJ59</f>
        <v/>
      </c>
      <c r="AH11" s="897" t="str">
        <f>CHALLANGE_draft!AGJ60</f>
        <v/>
      </c>
      <c r="AI11" s="897" t="str">
        <f>CHALLANGE_draft!AGJ61</f>
        <v/>
      </c>
      <c r="AJ11" s="899" t="str">
        <f>CHALLANGE_draft!AGJ65</f>
        <v/>
      </c>
      <c r="AK11" s="896"/>
      <c r="AL11" s="844" t="str">
        <f>CHALLANGE_draft!AGV59</f>
        <v/>
      </c>
      <c r="AM11" s="897" t="str">
        <f>CHALLANGE_draft!AGV60</f>
        <v/>
      </c>
      <c r="AN11" s="897" t="str">
        <f>CHALLANGE_draft!AGV61</f>
        <v/>
      </c>
      <c r="AO11" s="899" t="str">
        <f>CHALLANGE_draft!AGV65</f>
        <v/>
      </c>
      <c r="AP11" s="896"/>
      <c r="AQ11" s="844" t="str">
        <f>CHALLANGE_draft!AHH59</f>
        <v/>
      </c>
      <c r="AR11" s="897" t="str">
        <f>CHALLANGE_draft!AHH60</f>
        <v/>
      </c>
      <c r="AS11" s="897" t="str">
        <f>CHALLANGE_draft!AHH61</f>
        <v/>
      </c>
      <c r="AT11" s="899" t="str">
        <f>CHALLANGE_draft!AHH65</f>
        <v/>
      </c>
    </row>
    <row r="12" spans="1:46" x14ac:dyDescent="0.3">
      <c r="A12" s="931" t="s">
        <v>8569</v>
      </c>
      <c r="B12" s="932">
        <f>IFERROR(B13-1,"")</f>
        <v>20</v>
      </c>
      <c r="C12" s="966"/>
      <c r="D12" s="844"/>
      <c r="E12" s="899"/>
      <c r="F12" s="932"/>
      <c r="H12" s="844" t="str">
        <f>IF(CHALLANGE_draft!TF66="",CHALLANGE_draft!TR41,CHALLANGE_draft!TF66)</f>
        <v/>
      </c>
      <c r="I12" s="899" t="str">
        <f>IF(CHALLANGE_draft!TF72="",CHALLANGE_draft!TR44,CHALLANGE_draft!TF72)</f>
        <v/>
      </c>
      <c r="K12" s="844" t="str">
        <f>IF(CHALLANGE_draft!UD66="",CHALLANGE_draft!UP41,CHALLANGE_draft!UD66)</f>
        <v/>
      </c>
      <c r="L12" s="899" t="str">
        <f>IF(CHALLANGE_draft!UD72="",CHALLANGE_draft!UP44,CHALLANGE_draft!UD72)</f>
        <v/>
      </c>
      <c r="N12" s="844" t="str">
        <f>IF(CHALLANGE_draft!VB66="",CHALLANGE_draft!VN41,CHALLANGE_draft!VB66)</f>
        <v/>
      </c>
      <c r="O12" s="899" t="str">
        <f>IF(CHALLANGE_draft!VB72="",CHALLANGE_draft!VN44,CHALLANGE_draft!VB72)</f>
        <v/>
      </c>
      <c r="Q12" s="844" t="str">
        <f>CHALLANGE_draft!VZ66</f>
        <v/>
      </c>
      <c r="R12" s="899" t="str">
        <f>CHALLANGE_draft!VZ72</f>
        <v/>
      </c>
      <c r="T12" s="844" t="str">
        <f>CHALLANGE_draft!WX66</f>
        <v/>
      </c>
      <c r="U12" s="899" t="str">
        <f>CHALLANGE_draft!WX72</f>
        <v/>
      </c>
      <c r="V12" s="896"/>
      <c r="W12" s="844" t="str">
        <f>CHALLANGE_draft!AFL66</f>
        <v/>
      </c>
      <c r="X12" s="932" t="str">
        <f>CHALLANGE_draft!AFL67</f>
        <v/>
      </c>
      <c r="Y12" s="932" t="str">
        <f>CHALLANGE_draft!AFL68</f>
        <v/>
      </c>
      <c r="Z12" s="899" t="str">
        <f>CHALLANGE_draft!AFL72</f>
        <v/>
      </c>
      <c r="AA12" s="896"/>
      <c r="AB12" s="844" t="str">
        <f>CHALLANGE_draft!AFX66</f>
        <v/>
      </c>
      <c r="AC12" s="897" t="str">
        <f>CHALLANGE_draft!AFX67</f>
        <v/>
      </c>
      <c r="AD12" s="897" t="str">
        <f>CHALLANGE_draft!AFX68</f>
        <v/>
      </c>
      <c r="AE12" s="899" t="str">
        <f>CHALLANGE_draft!AFX72</f>
        <v/>
      </c>
      <c r="AF12" s="896"/>
      <c r="AG12" s="844" t="str">
        <f>CHALLANGE_draft!AGJ66</f>
        <v/>
      </c>
      <c r="AH12" s="897" t="str">
        <f>CHALLANGE_draft!AGJ67</f>
        <v/>
      </c>
      <c r="AI12" s="897" t="str">
        <f>CHALLANGE_draft!AGJ68</f>
        <v/>
      </c>
      <c r="AJ12" s="899" t="str">
        <f>CHALLANGE_draft!AGJ72</f>
        <v/>
      </c>
      <c r="AK12" s="896"/>
      <c r="AL12" s="844" t="str">
        <f>CHALLANGE_draft!AGV66</f>
        <v/>
      </c>
      <c r="AM12" s="897" t="str">
        <f>CHALLANGE_draft!AGV67</f>
        <v/>
      </c>
      <c r="AN12" s="897" t="str">
        <f>CHALLANGE_draft!AGV68</f>
        <v/>
      </c>
      <c r="AO12" s="899" t="str">
        <f>CHALLANGE_draft!AGV72</f>
        <v/>
      </c>
      <c r="AP12" s="896"/>
      <c r="AQ12" s="844" t="str">
        <f>CHALLANGE_draft!AHH66</f>
        <v/>
      </c>
      <c r="AR12" s="897" t="str">
        <f>CHALLANGE_draft!AHH67</f>
        <v/>
      </c>
      <c r="AS12" s="897" t="str">
        <f>CHALLANGE_draft!AHH68</f>
        <v/>
      </c>
      <c r="AT12" s="899" t="str">
        <f>CHALLANGE_draft!AHH72</f>
        <v/>
      </c>
    </row>
    <row r="13" spans="1:46" x14ac:dyDescent="0.3">
      <c r="A13" s="931" t="s">
        <v>5575</v>
      </c>
      <c r="B13" s="932">
        <f>DATES!B22</f>
        <v>21</v>
      </c>
      <c r="C13" s="966"/>
      <c r="D13" s="844"/>
      <c r="E13" s="899"/>
      <c r="F13" s="932"/>
      <c r="H13" s="844" t="str">
        <f>IF(CHALLANGE_draft!TF73="",CHALLANGE_draft!TR45,CHALLANGE_draft!TF73)</f>
        <v/>
      </c>
      <c r="I13" s="899" t="str">
        <f>IF(CHALLANGE_draft!TF79="",CHALLANGE_draft!TR48,CHALLANGE_draft!TF79)</f>
        <v/>
      </c>
      <c r="K13" s="844" t="str">
        <f>IF(CHALLANGE_draft!UD73="",CHALLANGE_draft!UP45,CHALLANGE_draft!UD73)</f>
        <v/>
      </c>
      <c r="L13" s="899" t="str">
        <f>IF(CHALLANGE_draft!UD79="",CHALLANGE_draft!UP48,CHALLANGE_draft!UD79)</f>
        <v/>
      </c>
      <c r="N13" s="844" t="str">
        <f>IF(CHALLANGE_draft!VB73="",CHALLANGE_draft!VN45,CHALLANGE_draft!VB73)</f>
        <v/>
      </c>
      <c r="O13" s="899" t="str">
        <f>IF(CHALLANGE_draft!VB79="",CHALLANGE_draft!VN48,CHALLANGE_draft!VB79)</f>
        <v/>
      </c>
      <c r="Q13" s="844" t="str">
        <f>CHALLANGE_draft!VZ73</f>
        <v/>
      </c>
      <c r="R13" s="899" t="str">
        <f>CHALLANGE_draft!VZ79</f>
        <v/>
      </c>
      <c r="T13" s="844" t="str">
        <f>CHALLANGE_draft!WX73</f>
        <v/>
      </c>
      <c r="U13" s="899" t="str">
        <f>CHALLANGE_draft!WX79</f>
        <v/>
      </c>
      <c r="V13" s="896"/>
      <c r="W13" s="844" t="str">
        <f>CHALLANGE_draft!AFL73</f>
        <v/>
      </c>
      <c r="X13" s="932" t="str">
        <f>CHALLANGE_draft!AFL74</f>
        <v/>
      </c>
      <c r="Y13" s="932" t="str">
        <f>CHALLANGE_draft!AFL75</f>
        <v/>
      </c>
      <c r="Z13" s="899" t="str">
        <f>CHALLANGE_draft!AFL79</f>
        <v/>
      </c>
      <c r="AA13" s="896"/>
      <c r="AB13" s="844" t="str">
        <f>CHALLANGE_draft!AFX73</f>
        <v/>
      </c>
      <c r="AC13" s="897" t="str">
        <f>CHALLANGE_draft!AFX74</f>
        <v/>
      </c>
      <c r="AD13" s="897" t="str">
        <f>CHALLANGE_draft!AFX75</f>
        <v/>
      </c>
      <c r="AE13" s="899" t="str">
        <f>CHALLANGE_draft!AFX79</f>
        <v/>
      </c>
      <c r="AF13" s="896"/>
      <c r="AG13" s="844" t="str">
        <f>CHALLANGE_draft!AGJ73</f>
        <v/>
      </c>
      <c r="AH13" s="897" t="str">
        <f>CHALLANGE_draft!AGJ74</f>
        <v/>
      </c>
      <c r="AI13" s="897" t="str">
        <f>CHALLANGE_draft!AGJ75</f>
        <v/>
      </c>
      <c r="AJ13" s="899" t="str">
        <f>CHALLANGE_draft!AGJ79</f>
        <v/>
      </c>
      <c r="AK13" s="896"/>
      <c r="AL13" s="844" t="str">
        <f>CHALLANGE_draft!AGV73</f>
        <v/>
      </c>
      <c r="AM13" s="897" t="str">
        <f>CHALLANGE_draft!AGV74</f>
        <v/>
      </c>
      <c r="AN13" s="897" t="str">
        <f>CHALLANGE_draft!AGV75</f>
        <v/>
      </c>
      <c r="AO13" s="899" t="str">
        <f>CHALLANGE_draft!AGV79</f>
        <v/>
      </c>
      <c r="AP13" s="896"/>
      <c r="AQ13" s="844" t="str">
        <f>CHALLANGE_draft!AHH73</f>
        <v/>
      </c>
      <c r="AR13" s="897" t="str">
        <f>CHALLANGE_draft!AHH74</f>
        <v/>
      </c>
      <c r="AS13" s="897" t="str">
        <f>CHALLANGE_draft!AHH75</f>
        <v/>
      </c>
      <c r="AT13" s="899" t="str">
        <f>CHALLANGE_draft!AHH79</f>
        <v/>
      </c>
    </row>
    <row r="14" spans="1:46" x14ac:dyDescent="0.3">
      <c r="A14" s="931" t="s">
        <v>4951</v>
      </c>
      <c r="B14" s="932" t="str">
        <f>IF(ISBLANK(DATES!B23),"",DATES!B23)</f>
        <v/>
      </c>
      <c r="C14" s="966"/>
      <c r="D14" s="844"/>
      <c r="E14" s="899"/>
      <c r="F14" s="932"/>
      <c r="H14" s="844" t="str">
        <f>IF(CHALLANGE_draft!TF80="",CHALLANGE_draft!TR49,CHALLANGE_draft!TF80)</f>
        <v/>
      </c>
      <c r="I14" s="899" t="str">
        <f>IF(CHALLANGE_draft!TF86="",CHALLANGE_draft!TR52,CHALLANGE_draft!TF86)</f>
        <v/>
      </c>
      <c r="K14" s="844" t="str">
        <f>IF(CHALLANGE_draft!UD80="",CHALLANGE_draft!UP49,CHALLANGE_draft!UD80)</f>
        <v/>
      </c>
      <c r="L14" s="899" t="str">
        <f>IF(CHALLANGE_draft!UD86="",CHALLANGE_draft!UP52,CHALLANGE_draft!UD86)</f>
        <v/>
      </c>
      <c r="N14" s="844" t="str">
        <f>IF(CHALLANGE_draft!VB80="",CHALLANGE_draft!VN49,CHALLANGE_draft!VB80)</f>
        <v/>
      </c>
      <c r="O14" s="899" t="str">
        <f>IF(CHALLANGE_draft!VB86="",CHALLANGE_draft!VN52,CHALLANGE_draft!VB86)</f>
        <v/>
      </c>
      <c r="Q14" s="844" t="str">
        <f>CHALLANGE_draft!VZ80</f>
        <v/>
      </c>
      <c r="R14" s="899" t="str">
        <f>CHALLANGE_draft!VZ86</f>
        <v/>
      </c>
      <c r="T14" s="844" t="str">
        <f>CHALLANGE_draft!WX80</f>
        <v/>
      </c>
      <c r="U14" s="899" t="str">
        <f>CHALLANGE_draft!WX86</f>
        <v/>
      </c>
      <c r="V14" s="896"/>
      <c r="W14" s="844" t="str">
        <f>CHALLANGE_draft!AFL80</f>
        <v/>
      </c>
      <c r="X14" s="932" t="str">
        <f>CHALLANGE_draft!AFL81</f>
        <v/>
      </c>
      <c r="Y14" s="932" t="str">
        <f>CHALLANGE_draft!AFL82</f>
        <v/>
      </c>
      <c r="Z14" s="899" t="str">
        <f>CHALLANGE_draft!AFL86</f>
        <v/>
      </c>
      <c r="AA14" s="896"/>
      <c r="AB14" s="844" t="str">
        <f>CHALLANGE_draft!AFX80</f>
        <v/>
      </c>
      <c r="AC14" s="897" t="str">
        <f>CHALLANGE_draft!AFX81</f>
        <v/>
      </c>
      <c r="AD14" s="897" t="str">
        <f>CHALLANGE_draft!AFX82</f>
        <v/>
      </c>
      <c r="AE14" s="899" t="str">
        <f>CHALLANGE_draft!AFX86</f>
        <v/>
      </c>
      <c r="AF14" s="896"/>
      <c r="AG14" s="844" t="str">
        <f>CHALLANGE_draft!AGJ80</f>
        <v/>
      </c>
      <c r="AH14" s="897" t="str">
        <f>CHALLANGE_draft!AGJ81</f>
        <v/>
      </c>
      <c r="AI14" s="897" t="str">
        <f>CHALLANGE_draft!AGJ82</f>
        <v/>
      </c>
      <c r="AJ14" s="899" t="str">
        <f>CHALLANGE_draft!AGJ86</f>
        <v/>
      </c>
      <c r="AK14" s="896"/>
      <c r="AL14" s="844" t="str">
        <f>CHALLANGE_draft!AGV80</f>
        <v/>
      </c>
      <c r="AM14" s="897" t="str">
        <f>CHALLANGE_draft!AGV81</f>
        <v/>
      </c>
      <c r="AN14" s="897" t="str">
        <f>CHALLANGE_draft!AGV82</f>
        <v/>
      </c>
      <c r="AO14" s="899" t="str">
        <f>CHALLANGE_draft!AGV86</f>
        <v/>
      </c>
      <c r="AP14" s="896"/>
      <c r="AQ14" s="844" t="str">
        <f>CHALLANGE_draft!AHH80</f>
        <v/>
      </c>
      <c r="AR14" s="897" t="str">
        <f>CHALLANGE_draft!AHH81</f>
        <v/>
      </c>
      <c r="AS14" s="897" t="str">
        <f>CHALLANGE_draft!AHH82</f>
        <v/>
      </c>
      <c r="AT14" s="899" t="str">
        <f>CHALLANGE_draft!AHH86</f>
        <v/>
      </c>
    </row>
    <row r="15" spans="1:46" x14ac:dyDescent="0.3">
      <c r="A15" s="931" t="s">
        <v>8569</v>
      </c>
      <c r="B15" s="932" t="str">
        <f>IFERROR(B16-1,"")</f>
        <v/>
      </c>
      <c r="C15" s="966"/>
      <c r="D15" s="844"/>
      <c r="E15" s="899"/>
      <c r="F15" s="932"/>
      <c r="H15" s="844" t="str">
        <f>IF(CHALLANGE_draft!TF87="",CHALLANGE_draft!TR53,CHALLANGE_draft!TF87)</f>
        <v/>
      </c>
      <c r="I15" s="899" t="str">
        <f>IF(CHALLANGE_draft!TF93="",CHALLANGE_draft!TR56,CHALLANGE_draft!TF93)</f>
        <v/>
      </c>
      <c r="K15" s="844" t="str">
        <f>IF(CHALLANGE_draft!UD87="",CHALLANGE_draft!UP53,CHALLANGE_draft!UD87)</f>
        <v/>
      </c>
      <c r="L15" s="899" t="str">
        <f>IF(CHALLANGE_draft!UD93="",CHALLANGE_draft!UP56,CHALLANGE_draft!UD93)</f>
        <v/>
      </c>
      <c r="N15" s="844" t="str">
        <f>IF(CHALLANGE_draft!VB87="",CHALLANGE_draft!VN53,CHALLANGE_draft!VB87)</f>
        <v/>
      </c>
      <c r="O15" s="899" t="str">
        <f>IF(CHALLANGE_draft!VB93="",CHALLANGE_draft!VN56,CHALLANGE_draft!VB93)</f>
        <v/>
      </c>
      <c r="Q15" s="844" t="str">
        <f>CHALLANGE_draft!VZ87</f>
        <v/>
      </c>
      <c r="R15" s="899" t="str">
        <f>CHALLANGE_draft!VZ93</f>
        <v/>
      </c>
      <c r="T15" s="844" t="str">
        <f>CHALLANGE_draft!WX87</f>
        <v/>
      </c>
      <c r="U15" s="899" t="str">
        <f>CHALLANGE_draft!WX93</f>
        <v/>
      </c>
      <c r="V15" s="896"/>
      <c r="W15" s="844" t="str">
        <f>CHALLANGE_draft!AFL87</f>
        <v/>
      </c>
      <c r="X15" s="932" t="str">
        <f>CHALLANGE_draft!AFL88</f>
        <v/>
      </c>
      <c r="Y15" s="932" t="str">
        <f>CHALLANGE_draft!AFL89</f>
        <v/>
      </c>
      <c r="Z15" s="899" t="str">
        <f>CHALLANGE_draft!AFL93</f>
        <v/>
      </c>
      <c r="AA15" s="896"/>
      <c r="AB15" s="844" t="str">
        <f>CHALLANGE_draft!AFX87</f>
        <v/>
      </c>
      <c r="AC15" s="897" t="str">
        <f>CHALLANGE_draft!AFX88</f>
        <v/>
      </c>
      <c r="AD15" s="897" t="str">
        <f>CHALLANGE_draft!AFX89</f>
        <v/>
      </c>
      <c r="AE15" s="899" t="str">
        <f>CHALLANGE_draft!AFX93</f>
        <v/>
      </c>
      <c r="AF15" s="896"/>
      <c r="AG15" s="844" t="str">
        <f>CHALLANGE_draft!AGJ87</f>
        <v/>
      </c>
      <c r="AH15" s="897" t="str">
        <f>CHALLANGE_draft!AGJ88</f>
        <v/>
      </c>
      <c r="AI15" s="897" t="str">
        <f>CHALLANGE_draft!AGJ89</f>
        <v/>
      </c>
      <c r="AJ15" s="899" t="str">
        <f>CHALLANGE_draft!AGJ93</f>
        <v/>
      </c>
      <c r="AK15" s="896"/>
      <c r="AL15" s="844" t="str">
        <f>CHALLANGE_draft!AGV87</f>
        <v/>
      </c>
      <c r="AM15" s="897" t="str">
        <f>CHALLANGE_draft!AGV88</f>
        <v/>
      </c>
      <c r="AN15" s="897" t="str">
        <f>CHALLANGE_draft!AGV89</f>
        <v/>
      </c>
      <c r="AO15" s="899" t="str">
        <f>CHALLANGE_draft!AGV93</f>
        <v/>
      </c>
      <c r="AP15" s="896"/>
      <c r="AQ15" s="844" t="str">
        <f>CHALLANGE_draft!AHH87</f>
        <v/>
      </c>
      <c r="AR15" s="897" t="str">
        <f>CHALLANGE_draft!AHH88</f>
        <v/>
      </c>
      <c r="AS15" s="897" t="str">
        <f>CHALLANGE_draft!AHH89</f>
        <v/>
      </c>
      <c r="AT15" s="899" t="str">
        <f>CHALLANGE_draft!AHH93</f>
        <v/>
      </c>
    </row>
    <row r="16" spans="1:46" x14ac:dyDescent="0.3">
      <c r="A16" s="931" t="s">
        <v>5575</v>
      </c>
      <c r="B16" s="932" t="str">
        <f>DATES!B24</f>
        <v/>
      </c>
      <c r="C16" s="966"/>
      <c r="D16" s="844"/>
      <c r="E16" s="899"/>
      <c r="F16" s="932"/>
      <c r="H16" s="844" t="str">
        <f>IF(CHALLANGE_draft!TF94="",CHALLANGE_draft!TR57,CHALLANGE_draft!TF94)</f>
        <v/>
      </c>
      <c r="I16" s="899" t="str">
        <f>IF(CHALLANGE_draft!TF100="",CHALLANGE_draft!TR60,CHALLANGE_draft!TF100)</f>
        <v/>
      </c>
      <c r="K16" s="844" t="str">
        <f>IF(CHALLANGE_draft!UD94="",CHALLANGE_draft!UP57,CHALLANGE_draft!UD94)</f>
        <v/>
      </c>
      <c r="L16" s="899" t="str">
        <f>IF(CHALLANGE_draft!UD100="",CHALLANGE_draft!UP60,CHALLANGE_draft!UD100)</f>
        <v/>
      </c>
      <c r="N16" s="844" t="str">
        <f>IF(CHALLANGE_draft!VB94="",CHALLANGE_draft!VN57,CHALLANGE_draft!VB94)</f>
        <v/>
      </c>
      <c r="O16" s="899" t="str">
        <f>IF(CHALLANGE_draft!VB100="",CHALLANGE_draft!VN60,CHALLANGE_draft!VB100)</f>
        <v/>
      </c>
      <c r="Q16" s="844" t="str">
        <f>CHALLANGE_draft!VZ94</f>
        <v/>
      </c>
      <c r="R16" s="899" t="str">
        <f>CHALLANGE_draft!VZ100</f>
        <v/>
      </c>
      <c r="T16" s="844" t="str">
        <f>CHALLANGE_draft!WX94</f>
        <v/>
      </c>
      <c r="U16" s="899" t="str">
        <f>CHALLANGE_draft!WX100</f>
        <v/>
      </c>
      <c r="V16" s="896"/>
      <c r="W16" s="844" t="str">
        <f>CHALLANGE_draft!AFL94</f>
        <v/>
      </c>
      <c r="X16" s="932" t="str">
        <f>CHALLANGE_draft!AFL95</f>
        <v/>
      </c>
      <c r="Y16" s="932" t="str">
        <f>CHALLANGE_draft!AFL96</f>
        <v/>
      </c>
      <c r="Z16" s="899" t="str">
        <f>CHALLANGE_draft!AFL100</f>
        <v/>
      </c>
      <c r="AA16" s="896"/>
      <c r="AB16" s="844" t="str">
        <f>CHALLANGE_draft!AFX94</f>
        <v/>
      </c>
      <c r="AC16" s="897" t="str">
        <f>CHALLANGE_draft!AFX95</f>
        <v/>
      </c>
      <c r="AD16" s="897" t="str">
        <f>CHALLANGE_draft!AFX96</f>
        <v/>
      </c>
      <c r="AE16" s="899" t="str">
        <f>CHALLANGE_draft!AFX100</f>
        <v/>
      </c>
      <c r="AF16" s="896"/>
      <c r="AG16" s="844" t="str">
        <f>CHALLANGE_draft!AGJ94</f>
        <v/>
      </c>
      <c r="AH16" s="897" t="str">
        <f>CHALLANGE_draft!AGJ95</f>
        <v/>
      </c>
      <c r="AI16" s="897" t="str">
        <f>CHALLANGE_draft!AGJ96</f>
        <v/>
      </c>
      <c r="AJ16" s="899" t="str">
        <f>CHALLANGE_draft!AGJ100</f>
        <v/>
      </c>
      <c r="AK16" s="896"/>
      <c r="AL16" s="844" t="str">
        <f>CHALLANGE_draft!AGV94</f>
        <v/>
      </c>
      <c r="AM16" s="897" t="str">
        <f>CHALLANGE_draft!AGV95</f>
        <v/>
      </c>
      <c r="AN16" s="897" t="str">
        <f>CHALLANGE_draft!AGV96</f>
        <v/>
      </c>
      <c r="AO16" s="899" t="str">
        <f>CHALLANGE_draft!AGV100</f>
        <v/>
      </c>
      <c r="AP16" s="896"/>
      <c r="AQ16" s="844" t="str">
        <f>CHALLANGE_draft!AHH94</f>
        <v/>
      </c>
      <c r="AR16" s="897" t="str">
        <f>CHALLANGE_draft!AHH95</f>
        <v/>
      </c>
      <c r="AS16" s="897" t="str">
        <f>CHALLANGE_draft!AHH96</f>
        <v/>
      </c>
      <c r="AT16" s="899" t="str">
        <f>CHALLANGE_draft!AHH100</f>
        <v/>
      </c>
    </row>
    <row r="17" spans="1:46" x14ac:dyDescent="0.3">
      <c r="A17" s="931" t="s">
        <v>5567</v>
      </c>
      <c r="B17" s="932" t="str">
        <f>IF(ISBLANK(DATES!B25),"",DATES!B25)</f>
        <v/>
      </c>
      <c r="C17" s="966"/>
      <c r="D17" s="844"/>
      <c r="E17" s="899"/>
      <c r="F17" s="932"/>
      <c r="H17" s="844" t="str">
        <f>IF(CHALLANGE_draft!TF101="",CHALLANGE_draft!TR61,CHALLANGE_draft!TF101)</f>
        <v/>
      </c>
      <c r="I17" s="899" t="str">
        <f>IF(CHALLANGE_draft!TF107="",CHALLANGE_draft!TR64,CHALLANGE_draft!TF107)</f>
        <v/>
      </c>
      <c r="K17" s="844" t="str">
        <f>IF(CHALLANGE_draft!UD101="",CHALLANGE_draft!UP61,CHALLANGE_draft!UD101)</f>
        <v/>
      </c>
      <c r="L17" s="899" t="str">
        <f>IF(CHALLANGE_draft!UD107="",CHALLANGE_draft!UP64,CHALLANGE_draft!UD7)</f>
        <v/>
      </c>
      <c r="N17" s="844" t="str">
        <f>IF(CHALLANGE_draft!VB101="",CHALLANGE_draft!VN61,CHALLANGE_draft!VB101)</f>
        <v/>
      </c>
      <c r="O17" s="899" t="str">
        <f>IF(CHALLANGE_draft!VB107="",CHALLANGE_draft!VN64,CHALLANGE_draft!VB107)</f>
        <v/>
      </c>
      <c r="Q17" s="844" t="str">
        <f>CHALLANGE_draft!VZ101</f>
        <v/>
      </c>
      <c r="R17" s="899" t="str">
        <f>CHALLANGE_draft!VZ107</f>
        <v/>
      </c>
      <c r="T17" s="844" t="str">
        <f>CHALLANGE_draft!WX101</f>
        <v/>
      </c>
      <c r="U17" s="899" t="str">
        <f>CHALLANGE_draft!WX107</f>
        <v/>
      </c>
      <c r="V17" s="896"/>
      <c r="W17" s="844" t="str">
        <f>CHALLANGE_draft!AFL101</f>
        <v/>
      </c>
      <c r="X17" s="932" t="str">
        <f>CHALLANGE_draft!AFL102</f>
        <v/>
      </c>
      <c r="Y17" s="932" t="str">
        <f>CHALLANGE_draft!AFL103</f>
        <v/>
      </c>
      <c r="Z17" s="899" t="str">
        <f>CHALLANGE_draft!AFL107</f>
        <v/>
      </c>
      <c r="AA17" s="896"/>
      <c r="AB17" s="844" t="str">
        <f>CHALLANGE_draft!AFX101</f>
        <v/>
      </c>
      <c r="AC17" s="897" t="str">
        <f>CHALLANGE_draft!AFX102</f>
        <v/>
      </c>
      <c r="AD17" s="897" t="str">
        <f>CHALLANGE_draft!AFX103</f>
        <v/>
      </c>
      <c r="AE17" s="899" t="str">
        <f>CHALLANGE_draft!AFX107</f>
        <v/>
      </c>
      <c r="AF17" s="896"/>
      <c r="AG17" s="844" t="str">
        <f>CHALLANGE_draft!AGJ101</f>
        <v/>
      </c>
      <c r="AH17" s="897" t="str">
        <f>CHALLANGE_draft!AGJ102</f>
        <v/>
      </c>
      <c r="AI17" s="897" t="str">
        <f>CHALLANGE_draft!AGJ103</f>
        <v/>
      </c>
      <c r="AJ17" s="899" t="str">
        <f>CHALLANGE_draft!AGJ107</f>
        <v/>
      </c>
      <c r="AK17" s="896"/>
      <c r="AL17" s="844" t="str">
        <f>CHALLANGE_draft!AGV101</f>
        <v/>
      </c>
      <c r="AM17" s="897" t="str">
        <f>CHALLANGE_draft!AGV102</f>
        <v/>
      </c>
      <c r="AN17" s="897" t="str">
        <f>CHALLANGE_draft!AGV103</f>
        <v/>
      </c>
      <c r="AO17" s="899" t="str">
        <f>CHALLANGE_draft!AGV107</f>
        <v/>
      </c>
      <c r="AP17" s="896"/>
      <c r="AQ17" s="844" t="str">
        <f>CHALLANGE_draft!AHH101</f>
        <v/>
      </c>
      <c r="AR17" s="897" t="str">
        <f>CHALLANGE_draft!AHH102</f>
        <v/>
      </c>
      <c r="AS17" s="897" t="str">
        <f>CHALLANGE_draft!AHH103</f>
        <v/>
      </c>
      <c r="AT17" s="899" t="str">
        <f>CHALLANGE_draft!AHH107</f>
        <v/>
      </c>
    </row>
    <row r="18" spans="1:46" x14ac:dyDescent="0.3">
      <c r="A18" s="931" t="s">
        <v>5568</v>
      </c>
      <c r="B18" s="932" t="str">
        <f>IF(ISBLANK(DATES!B27),"",DATES!B27)</f>
        <v/>
      </c>
      <c r="C18" s="966"/>
      <c r="D18" s="844"/>
      <c r="E18" s="899"/>
      <c r="F18" s="932"/>
    </row>
    <row r="19" spans="1:46" x14ac:dyDescent="0.3">
      <c r="A19" s="931" t="s">
        <v>663</v>
      </c>
      <c r="B19" s="932" t="str">
        <f>IF(ISBLANK(DATES!B32),"",DATES!B32)</f>
        <v/>
      </c>
      <c r="C19" s="966"/>
      <c r="D19" s="844"/>
      <c r="E19" s="899"/>
      <c r="F19" s="932"/>
    </row>
    <row r="20" spans="1:46" x14ac:dyDescent="0.3">
      <c r="A20" s="931" t="s">
        <v>5572</v>
      </c>
      <c r="B20" s="932" t="str">
        <f>IF(ISBLANK(DATES!B33),"",DATES!B33)</f>
        <v/>
      </c>
      <c r="C20" s="966"/>
      <c r="D20" s="844"/>
      <c r="E20" s="899"/>
      <c r="F20" s="932"/>
    </row>
    <row r="21" spans="1:46" x14ac:dyDescent="0.3">
      <c r="A21" s="931" t="s">
        <v>8570</v>
      </c>
      <c r="B21" s="932"/>
      <c r="C21" s="966"/>
      <c r="D21" s="844"/>
      <c r="E21" s="899"/>
      <c r="F21" s="932"/>
    </row>
    <row r="22" spans="1:46" x14ac:dyDescent="0.3">
      <c r="A22" s="931" t="s">
        <v>8571</v>
      </c>
      <c r="B22" s="932"/>
      <c r="C22" s="966"/>
      <c r="D22" s="844"/>
      <c r="E22" s="899"/>
      <c r="F22" s="932"/>
    </row>
  </sheetData>
  <mergeCells count="12">
    <mergeCell ref="V1:Z1"/>
    <mergeCell ref="AA1:AE1"/>
    <mergeCell ref="AF1:AJ1"/>
    <mergeCell ref="AK1:AO1"/>
    <mergeCell ref="AP1:AT1"/>
    <mergeCell ref="P1:R1"/>
    <mergeCell ref="S1:U1"/>
    <mergeCell ref="A1:B2"/>
    <mergeCell ref="C1:F1"/>
    <mergeCell ref="G1:I1"/>
    <mergeCell ref="J1:L1"/>
    <mergeCell ref="M1:O1"/>
  </mergeCells>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R121"/>
  <sheetViews>
    <sheetView workbookViewId="0">
      <pane xSplit="1" ySplit="1" topLeftCell="B74" activePane="bottomRight" state="frozen"/>
      <selection pane="topRight" activeCell="B1" sqref="B1"/>
      <selection pane="bottomLeft" activeCell="A2" sqref="A2"/>
      <selection pane="bottomRight" activeCell="L101" sqref="L101"/>
    </sheetView>
  </sheetViews>
  <sheetFormatPr defaultRowHeight="14.4" x14ac:dyDescent="0.3"/>
  <cols>
    <col min="1" max="1" width="9.88671875" bestFit="1" customWidth="1"/>
    <col min="2" max="2" width="13.44140625" customWidth="1"/>
    <col min="3" max="3" width="11.109375" customWidth="1"/>
    <col min="4" max="4" width="12.5546875" customWidth="1"/>
    <col min="5" max="5" width="10.6640625" customWidth="1"/>
    <col min="6" max="6" width="13.5546875" customWidth="1"/>
    <col min="7" max="9" width="15.33203125" customWidth="1"/>
    <col min="10" max="10" width="8.6640625" style="7"/>
    <col min="15" max="15" width="9.109375" customWidth="1"/>
  </cols>
  <sheetData>
    <row r="1" spans="1:18" ht="45.6" customHeight="1" thickTop="1" thickBot="1" x14ac:dyDescent="0.35">
      <c r="B1" s="352" t="s">
        <v>2076</v>
      </c>
      <c r="C1" s="353" t="s">
        <v>2037</v>
      </c>
      <c r="D1" s="356" t="s">
        <v>2142</v>
      </c>
      <c r="E1" s="355" t="s">
        <v>2109</v>
      </c>
      <c r="F1" s="359" t="s">
        <v>2383</v>
      </c>
      <c r="G1" s="354" t="s">
        <v>2417</v>
      </c>
      <c r="H1" s="354" t="s">
        <v>5193</v>
      </c>
      <c r="I1" s="371" t="s">
        <v>4039</v>
      </c>
      <c r="J1" s="344" t="s">
        <v>45</v>
      </c>
      <c r="K1" s="364">
        <f t="shared" ref="K1:P1" si="0">SUM(B:B)</f>
        <v>471</v>
      </c>
      <c r="L1" s="365">
        <f t="shared" si="0"/>
        <v>443</v>
      </c>
      <c r="M1" s="362">
        <f t="shared" si="0"/>
        <v>517</v>
      </c>
      <c r="N1" s="368">
        <f t="shared" si="0"/>
        <v>451</v>
      </c>
      <c r="O1" s="360">
        <f t="shared" si="0"/>
        <v>43</v>
      </c>
      <c r="P1" s="357">
        <f t="shared" si="0"/>
        <v>367</v>
      </c>
      <c r="Q1" s="372">
        <f>SUM(I:I)</f>
        <v>10</v>
      </c>
      <c r="R1" s="625">
        <f>AVERAGE(J7:J84)</f>
        <v>19.384615384615383</v>
      </c>
    </row>
    <row r="2" spans="1:18" ht="15" thickTop="1" x14ac:dyDescent="0.3">
      <c r="A2" s="6">
        <v>43808</v>
      </c>
      <c r="B2" s="7">
        <f>COUNTIFS(STATUS!$Q:$Q,B$1,STATUS!$K:$K,"РЕШ УВ DONE",STATUS!$D:$D,$A2)</f>
        <v>4</v>
      </c>
      <c r="C2" s="7">
        <f>COUNTIFS(STATUS!$Q:$Q,C$1,STATUS!$K:$K,"РЕШ УВ DONE",STATUS!$D:$D,$A2)</f>
        <v>4</v>
      </c>
      <c r="D2" s="7">
        <f>COUNTIFS(STATUS!$Q:$Q,D$1,STATUS!$K:$K,"РЕШ УВ DONE",STATUS!$D:$D,$A2)</f>
        <v>4</v>
      </c>
      <c r="E2" s="7">
        <f>COUNTIFS(STATUS!$Q:$Q,E$1,STATUS!$K:$K,"РЕШ УВ DONE",STATUS!$D:$D,$A2)</f>
        <v>3</v>
      </c>
      <c r="F2" s="7">
        <f>COUNTIFS(STATUS!$Q:$Q,F$1,STATUS!$K:$K,"РЕШ УВ DONE",STATUS!$D:$D,$A2)</f>
        <v>0</v>
      </c>
      <c r="G2" s="7">
        <f>COUNTIFS(STATUS!$Q:$Q,G$1,STATUS!$K:$K,"РЕШ УВ DONE",STATUS!$D:$D,$A2)</f>
        <v>0</v>
      </c>
      <c r="H2" s="7">
        <f>COUNTIFS(STATUS!$Q:$Q,H$1,STATUS!$K:$K,"РЕШ УВ DONE",STATUS!$D:$D,$A2)</f>
        <v>0</v>
      </c>
      <c r="I2" s="7">
        <f>COUNTIFS(STATUS!$Q:$Q,I$1,STATUS!$K:$K,"РЕШ УВ DONE",STATUS!$D:$D,$A2)</f>
        <v>0</v>
      </c>
      <c r="J2" s="7">
        <f t="shared" ref="J2:J6" si="1">SUM(B2:I2)</f>
        <v>15</v>
      </c>
      <c r="K2" s="366">
        <f>AVERAGE(B7:B43,B44:B47,B48:B57)</f>
        <v>3.8823529411764706</v>
      </c>
      <c r="L2" s="367">
        <f>AVERAGE(C7,C13:C43,C44:C47,C48:C57)</f>
        <v>3.9565217391304346</v>
      </c>
      <c r="M2" s="363">
        <f>AVERAGE(D7:D43,D44:D47,D48:D57)</f>
        <v>4</v>
      </c>
      <c r="N2" s="369">
        <f>AVERAGE(E7:E43,E48:E57)</f>
        <v>3.8936170212765959</v>
      </c>
      <c r="O2" s="361">
        <f>AVERAGE(F7:F20)</f>
        <v>3.0714285714285716</v>
      </c>
      <c r="P2" s="358">
        <f>AVERAGE(G7:G18,G20:G43,G44:G47,G48:G53)</f>
        <v>3.3043478260869565</v>
      </c>
      <c r="Q2" s="373">
        <f>AVERAGE(I41:I42)</f>
        <v>3</v>
      </c>
    </row>
    <row r="3" spans="1:18" x14ac:dyDescent="0.3">
      <c r="A3" s="6">
        <v>43809</v>
      </c>
      <c r="B3" s="7">
        <f>COUNTIFS(STATUS!$Q:$Q,B$1,STATUS!$K:$K,"РЕШ УВ DONE",STATUS!$D:$D,$A3)</f>
        <v>2</v>
      </c>
      <c r="C3" s="7">
        <f>COUNTIFS(STATUS!$Q:$Q,C$1,STATUS!$K:$K,"РЕШ УВ DONE",STATUS!$D:$D,$A3)</f>
        <v>2</v>
      </c>
      <c r="D3" s="7">
        <f>COUNTIFS(STATUS!$Q:$Q,D$1,STATUS!$K:$K,"РЕШ УВ DONE",STATUS!$D:$D,$A3)</f>
        <v>4</v>
      </c>
      <c r="E3" s="7">
        <f>COUNTIFS(STATUS!$Q:$Q,E$1,STATUS!$K:$K,"РЕШ УВ DONE",STATUS!$D:$D,$A3)</f>
        <v>1</v>
      </c>
      <c r="F3" s="7">
        <f>COUNTIFS(STATUS!$Q:$Q,F$1,STATUS!$K:$K,"РЕШ УВ DONE",STATUS!$D:$D,$A3)</f>
        <v>0</v>
      </c>
      <c r="G3" s="7">
        <f>COUNTIFS(STATUS!$Q:$Q,G$1,STATUS!$K:$K,"РЕШ УВ DONE",STATUS!$D:$D,$A3)</f>
        <v>0</v>
      </c>
      <c r="H3" s="7">
        <f>COUNTIFS(STATUS!$Q:$Q,H$1,STATUS!$K:$K,"РЕШ УВ DONE",STATUS!$D:$D,$A3)</f>
        <v>0</v>
      </c>
      <c r="I3" s="7">
        <f>COUNTIFS(STATUS!$Q:$Q,I$1,STATUS!$K:$K,"РЕШ УВ DONE",STATUS!$D:$D,$A3)</f>
        <v>0</v>
      </c>
      <c r="J3" s="7">
        <f t="shared" si="1"/>
        <v>9</v>
      </c>
    </row>
    <row r="4" spans="1:18" x14ac:dyDescent="0.3">
      <c r="A4" s="6">
        <v>43810</v>
      </c>
      <c r="B4" s="7">
        <f>COUNTIFS(STATUS!$Q:$Q,B$1,STATUS!$K:$K,"РЕШ УВ DONE",STATUS!$D:$D,$A4)</f>
        <v>2</v>
      </c>
      <c r="C4" s="7">
        <f>COUNTIFS(STATUS!$Q:$Q,C$1,STATUS!$K:$K,"РЕШ УВ DONE",STATUS!$D:$D,$A4)</f>
        <v>2</v>
      </c>
      <c r="D4" s="7">
        <f>COUNTIFS(STATUS!$Q:$Q,D$1,STATUS!$K:$K,"РЕШ УВ DONE",STATUS!$D:$D,$A4)</f>
        <v>3</v>
      </c>
      <c r="E4" s="7">
        <f>COUNTIFS(STATUS!$Q:$Q,E$1,STATUS!$K:$K,"РЕШ УВ DONE",STATUS!$D:$D,$A4)</f>
        <v>4</v>
      </c>
      <c r="F4" s="7">
        <f>COUNTIFS(STATUS!$Q:$Q,F$1,STATUS!$K:$K,"РЕШ УВ DONE",STATUS!$D:$D,$A4)</f>
        <v>0</v>
      </c>
      <c r="G4" s="7">
        <f>COUNTIFS(STATUS!$Q:$Q,G$1,STATUS!$K:$K,"РЕШ УВ DONE",STATUS!$D:$D,$A4)</f>
        <v>0</v>
      </c>
      <c r="H4" s="7">
        <f>COUNTIFS(STATUS!$Q:$Q,H$1,STATUS!$K:$K,"РЕШ УВ DONE",STATUS!$D:$D,$A4)</f>
        <v>0</v>
      </c>
      <c r="I4" s="7">
        <f>COUNTIFS(STATUS!$Q:$Q,I$1,STATUS!$K:$K,"РЕШ УВ DONE",STATUS!$D:$D,$A4)</f>
        <v>0</v>
      </c>
      <c r="J4" s="7">
        <f t="shared" si="1"/>
        <v>11</v>
      </c>
    </row>
    <row r="5" spans="1:18" x14ac:dyDescent="0.3">
      <c r="A5" s="6">
        <v>43811</v>
      </c>
      <c r="B5" s="7">
        <f>COUNTIFS(STATUS!$Q:$Q,B$1,STATUS!$K:$K,"РЕШ УВ DONE",STATUS!$D:$D,$A5)</f>
        <v>4</v>
      </c>
      <c r="C5" s="7">
        <f>COUNTIFS(STATUS!$Q:$Q,C$1,STATUS!$K:$K,"РЕШ УВ DONE",STATUS!$D:$D,$A5)</f>
        <v>2</v>
      </c>
      <c r="D5" s="7">
        <f>COUNTIFS(STATUS!$Q:$Q,D$1,STATUS!$K:$K,"РЕШ УВ DONE",STATUS!$D:$D,$A5)</f>
        <v>5</v>
      </c>
      <c r="E5" s="7">
        <f>COUNTIFS(STATUS!$Q:$Q,E$1,STATUS!$K:$K,"РЕШ УВ DONE",STATUS!$D:$D,$A5)</f>
        <v>3</v>
      </c>
      <c r="F5" s="7">
        <f>COUNTIFS(STATUS!$Q:$Q,F$1,STATUS!$K:$K,"РЕШ УВ DONE",STATUS!$D:$D,$A5)</f>
        <v>0</v>
      </c>
      <c r="G5" s="7">
        <f>COUNTIFS(STATUS!$Q:$Q,G$1,STATUS!$K:$K,"РЕШ УВ DONE",STATUS!$D:$D,$A5)</f>
        <v>0</v>
      </c>
      <c r="H5" s="7">
        <f>COUNTIFS(STATUS!$Q:$Q,H$1,STATUS!$K:$K,"РЕШ УВ DONE",STATUS!$D:$D,$A5)</f>
        <v>0</v>
      </c>
      <c r="I5" s="7">
        <f>COUNTIFS(STATUS!$Q:$Q,I$1,STATUS!$K:$K,"РЕШ УВ DONE",STATUS!$D:$D,$A5)</f>
        <v>0</v>
      </c>
      <c r="J5" s="7">
        <f t="shared" si="1"/>
        <v>14</v>
      </c>
    </row>
    <row r="6" spans="1:18" x14ac:dyDescent="0.3">
      <c r="A6" s="6">
        <v>43812</v>
      </c>
      <c r="B6" s="7">
        <f>COUNTIFS(STATUS!$Q:$Q,B$1,STATUS!$K:$K,"РЕШ УВ DONE",STATUS!$D:$D,$A6)</f>
        <v>3</v>
      </c>
      <c r="C6" s="7">
        <f>COUNTIFS(STATUS!$Q:$Q,C$1,STATUS!$K:$K,"РЕШ УВ DONE",STATUS!$D:$D,$A6)</f>
        <v>0</v>
      </c>
      <c r="D6" s="7">
        <f>COUNTIFS(STATUS!$Q:$Q,D$1,STATUS!$K:$K,"РЕШ УВ DONE",STATUS!$D:$D,$A6)</f>
        <v>3</v>
      </c>
      <c r="E6" s="7">
        <f>COUNTIFS(STATUS!$Q:$Q,E$1,STATUS!$K:$K,"РЕШ УВ DONE",STATUS!$D:$D,$A6)</f>
        <v>3</v>
      </c>
      <c r="F6" s="7">
        <f>COUNTIFS(STATUS!$Q:$Q,F$1,STATUS!$K:$K,"РЕШ УВ DONE",STATUS!$D:$D,$A6)</f>
        <v>0</v>
      </c>
      <c r="G6" s="7">
        <f>COUNTIFS(STATUS!$Q:$Q,G$1,STATUS!$K:$K,"РЕШ УВ DONE",STATUS!$D:$D,$A6)</f>
        <v>0</v>
      </c>
      <c r="H6" s="7">
        <f>COUNTIFS(STATUS!$Q:$Q,H$1,STATUS!$K:$K,"РЕШ УВ DONE",STATUS!$D:$D,$A6)</f>
        <v>0</v>
      </c>
      <c r="I6" s="7">
        <f>COUNTIFS(STATUS!$Q:$Q,I$1,STATUS!$K:$K,"РЕШ УВ DONE",STATUS!$D:$D,$A6)</f>
        <v>0</v>
      </c>
      <c r="J6" s="7">
        <f t="shared" si="1"/>
        <v>9</v>
      </c>
    </row>
    <row r="7" spans="1:18" x14ac:dyDescent="0.3">
      <c r="A7" s="6">
        <v>43815</v>
      </c>
      <c r="B7" s="7">
        <f>COUNTIFS(STATUS!$Q:$Q,B$1,STATUS!$K:$K,"РЕШ УВ DONE",STATUS!$D:$D,$A7)</f>
        <v>3</v>
      </c>
      <c r="C7" s="7">
        <f>COUNTIFS(STATUS!$Q:$Q,C$1,STATUS!$K:$K,"РЕШ УВ DONE",STATUS!$D:$D,$A7)</f>
        <v>5</v>
      </c>
      <c r="D7" s="7">
        <f>COUNTIFS(STATUS!$Q:$Q,D$1,STATUS!$K:$K,"РЕШ УВ DONE",STATUS!$D:$D,$A7)</f>
        <v>4</v>
      </c>
      <c r="E7" s="7">
        <f>COUNTIFS(STATUS!$Q:$Q,E$1,STATUS!$K:$K,"РЕШ УВ DONE",STATUS!$D:$D,$A7)</f>
        <v>3</v>
      </c>
      <c r="F7" s="7">
        <f>COUNTIFS(STATUS!$Q:$Q,F$1,STATUS!$K:$K,"РЕШ УВ DONE",STATUS!$D:$D,$A7)</f>
        <v>2</v>
      </c>
      <c r="G7" s="7">
        <f>COUNTIFS(STATUS!$Q:$Q,G$1,STATUS!$K:$K,"РЕШ УВ DONE",STATUS!$D:$D,$A7)</f>
        <v>2</v>
      </c>
      <c r="H7" s="7">
        <f>COUNTIFS(STATUS!$Q:$Q,H$1,STATUS!$K:$K,"РЕШ УВ DONE",STATUS!$D:$D,$A7)</f>
        <v>0</v>
      </c>
      <c r="I7" s="7">
        <f>COUNTIFS(STATUS!$Q:$Q,I$1,STATUS!$K:$K,"РЕШ УВ DONE",STATUS!$D:$D,$A7)</f>
        <v>0</v>
      </c>
      <c r="J7" s="7">
        <f>SUM(B7:I7)</f>
        <v>19</v>
      </c>
    </row>
    <row r="8" spans="1:18" x14ac:dyDescent="0.3">
      <c r="A8" s="6">
        <v>43816</v>
      </c>
      <c r="B8" s="7">
        <f>COUNTIFS(STATUS!$Q:$Q,B$1,STATUS!$K:$K,"РЕШ УВ DONE",STATUS!$D:$D,$A8)</f>
        <v>5</v>
      </c>
      <c r="C8" s="7">
        <f>COUNTIFS(STATUS!$Q:$Q,C$1,STATUS!$K:$K,"РЕШ УВ DONE",STATUS!$D:$D,$A8)</f>
        <v>0</v>
      </c>
      <c r="D8" s="7">
        <f>COUNTIFS(STATUS!$Q:$Q,D$1,STATUS!$K:$K,"РЕШ УВ DONE",STATUS!$D:$D,$A8)</f>
        <v>5</v>
      </c>
      <c r="E8" s="7">
        <f>COUNTIFS(STATUS!$Q:$Q,E$1,STATUS!$K:$K,"РЕШ УВ DONE",STATUS!$D:$D,$A8)</f>
        <v>4</v>
      </c>
      <c r="F8" s="7">
        <f>COUNTIFS(STATUS!$Q:$Q,F$1,STATUS!$K:$K,"РЕШ УВ DONE",STATUS!$D:$D,$A8)</f>
        <v>3</v>
      </c>
      <c r="G8" s="7">
        <f>COUNTIFS(STATUS!$Q:$Q,G$1,STATUS!$K:$K,"РЕШ УВ DONE",STATUS!$D:$D,$A8)</f>
        <v>3</v>
      </c>
      <c r="H8" s="7">
        <f>COUNTIFS(STATUS!$Q:$Q,H$1,STATUS!$K:$K,"РЕШ УВ DONE",STATUS!$D:$D,$A8)</f>
        <v>0</v>
      </c>
      <c r="I8" s="7">
        <f>COUNTIFS(STATUS!$Q:$Q,I$1,STATUS!$K:$K,"РЕШ УВ DONE",STATUS!$D:$D,$A8)</f>
        <v>0</v>
      </c>
      <c r="J8" s="7">
        <f t="shared" ref="J8:J55" si="2">SUM(B8:I8)</f>
        <v>20</v>
      </c>
    </row>
    <row r="9" spans="1:18" x14ac:dyDescent="0.3">
      <c r="A9" s="6">
        <v>43817</v>
      </c>
      <c r="B9" s="7">
        <f>COUNTIFS(STATUS!$Q:$Q,B$1,STATUS!$K:$K,"РЕШ УВ DONE",STATUS!$D:$D,$A9)</f>
        <v>4</v>
      </c>
      <c r="C9" s="7">
        <f>COUNTIFS(STATUS!$Q:$Q,C$1,STATUS!$K:$K,"РЕШ УВ DONE",STATUS!$D:$D,$A9)</f>
        <v>0</v>
      </c>
      <c r="D9" s="7">
        <f>COUNTIFS(STATUS!$Q:$Q,D$1,STATUS!$K:$K,"РЕШ УВ DONE",STATUS!$D:$D,$A9)</f>
        <v>3</v>
      </c>
      <c r="E9" s="7">
        <f>COUNTIFS(STATUS!$Q:$Q,E$1,STATUS!$K:$K,"РЕШ УВ DONE",STATUS!$D:$D,$A9)</f>
        <v>4</v>
      </c>
      <c r="F9" s="7">
        <f>COUNTIFS(STATUS!$Q:$Q,F$1,STATUS!$K:$K,"РЕШ УВ DONE",STATUS!$D:$D,$A9)</f>
        <v>2</v>
      </c>
      <c r="G9" s="7">
        <f>COUNTIFS(STATUS!$Q:$Q,G$1,STATUS!$K:$K,"РЕШ УВ DONE",STATUS!$D:$D,$A9)</f>
        <v>5</v>
      </c>
      <c r="H9" s="7">
        <f>COUNTIFS(STATUS!$Q:$Q,H$1,STATUS!$K:$K,"РЕШ УВ DONE",STATUS!$D:$D,$A9)</f>
        <v>0</v>
      </c>
      <c r="I9" s="7">
        <f>COUNTIFS(STATUS!$Q:$Q,I$1,STATUS!$K:$K,"РЕШ УВ DONE",STATUS!$D:$D,$A9)</f>
        <v>0</v>
      </c>
      <c r="J9" s="7">
        <f t="shared" si="2"/>
        <v>18</v>
      </c>
    </row>
    <row r="10" spans="1:18" x14ac:dyDescent="0.3">
      <c r="A10" s="6">
        <v>43818</v>
      </c>
      <c r="B10" s="7">
        <f>COUNTIFS(STATUS!$Q:$Q,B$1,STATUS!$K:$K,"РЕШ УВ DONE",STATUS!$D:$D,$A10)</f>
        <v>3</v>
      </c>
      <c r="C10" s="7">
        <f>COUNTIFS(STATUS!$Q:$Q,C$1,STATUS!$K:$K,"РЕШ УВ DONE",STATUS!$D:$D,$A10)</f>
        <v>0</v>
      </c>
      <c r="D10" s="7">
        <f>COUNTIFS(STATUS!$Q:$Q,D$1,STATUS!$K:$K,"РЕШ УВ DONE",STATUS!$D:$D,$A10)</f>
        <v>6</v>
      </c>
      <c r="E10" s="7">
        <f>COUNTIFS(STATUS!$Q:$Q,E$1,STATUS!$K:$K,"РЕШ УВ DONE",STATUS!$D:$D,$A10)</f>
        <v>3</v>
      </c>
      <c r="F10" s="7">
        <f>COUNTIFS(STATUS!$Q:$Q,F$1,STATUS!$K:$K,"РЕШ УВ DONE",STATUS!$D:$D,$A10)</f>
        <v>3</v>
      </c>
      <c r="G10" s="7">
        <f>COUNTIFS(STATUS!$Q:$Q,G$1,STATUS!$K:$K,"РЕШ УВ DONE",STATUS!$D:$D,$A10)</f>
        <v>5</v>
      </c>
      <c r="H10" s="7">
        <f>COUNTIFS(STATUS!$Q:$Q,H$1,STATUS!$K:$K,"РЕШ УВ DONE",STATUS!$D:$D,$A10)</f>
        <v>0</v>
      </c>
      <c r="I10" s="7">
        <f>COUNTIFS(STATUS!$Q:$Q,I$1,STATUS!$K:$K,"РЕШ УВ DONE",STATUS!$D:$D,$A10)</f>
        <v>0</v>
      </c>
      <c r="J10" s="7">
        <f t="shared" si="2"/>
        <v>20</v>
      </c>
    </row>
    <row r="11" spans="1:18" x14ac:dyDescent="0.3">
      <c r="A11" s="6">
        <v>43819</v>
      </c>
      <c r="B11" s="7">
        <f>COUNTIFS(STATUS!$Q:$Q,B$1,STATUS!$K:$K,"РЕШ УВ DONE",STATUS!$D:$D,$A11)</f>
        <v>3</v>
      </c>
      <c r="C11" s="7">
        <f>COUNTIFS(STATUS!$Q:$Q,C$1,STATUS!$K:$K,"РЕШ УВ DONE",STATUS!$D:$D,$A11)</f>
        <v>0</v>
      </c>
      <c r="D11" s="7">
        <f>COUNTIFS(STATUS!$Q:$Q,D$1,STATUS!$K:$K,"РЕШ УВ DONE",STATUS!$D:$D,$A11)</f>
        <v>2</v>
      </c>
      <c r="E11" s="7">
        <f>COUNTIFS(STATUS!$Q:$Q,E$1,STATUS!$K:$K,"РЕШ УВ DONE",STATUS!$D:$D,$A11)</f>
        <v>2</v>
      </c>
      <c r="F11" s="7">
        <f>COUNTIFS(STATUS!$Q:$Q,F$1,STATUS!$K:$K,"РЕШ УВ DONE",STATUS!$D:$D,$A11)</f>
        <v>3</v>
      </c>
      <c r="G11" s="7">
        <f>COUNTIFS(STATUS!$Q:$Q,G$1,STATUS!$K:$K,"РЕШ УВ DONE",STATUS!$D:$D,$A11)</f>
        <v>3</v>
      </c>
      <c r="H11" s="7">
        <f>COUNTIFS(STATUS!$Q:$Q,H$1,STATUS!$K:$K,"РЕШ УВ DONE",STATUS!$D:$D,$A11)</f>
        <v>0</v>
      </c>
      <c r="I11" s="7">
        <f>COUNTIFS(STATUS!$Q:$Q,I$1,STATUS!$K:$K,"РЕШ УВ DONE",STATUS!$D:$D,$A11)</f>
        <v>0</v>
      </c>
      <c r="J11" s="7">
        <f t="shared" si="2"/>
        <v>13</v>
      </c>
    </row>
    <row r="12" spans="1:18" x14ac:dyDescent="0.3">
      <c r="A12" s="6">
        <v>43822</v>
      </c>
      <c r="B12" s="7">
        <f>COUNTIFS(STATUS!$Q:$Q,B$1,STATUS!$K:$K,"РЕШ УВ DONE",STATUS!$D:$D,$A12)</f>
        <v>3</v>
      </c>
      <c r="C12" s="7">
        <f>COUNTIFS(STATUS!$Q:$Q,C$1,STATUS!$K:$K,"РЕШ УВ DONE",STATUS!$D:$D,$A12)</f>
        <v>0</v>
      </c>
      <c r="D12" s="7">
        <f>COUNTIFS(STATUS!$Q:$Q,D$1,STATUS!$K:$K,"РЕШ УВ DONE",STATUS!$D:$D,$A12)</f>
        <v>3</v>
      </c>
      <c r="E12" s="7">
        <f>COUNTIFS(STATUS!$Q:$Q,E$1,STATUS!$K:$K,"РЕШ УВ DONE",STATUS!$D:$D,$A12)</f>
        <v>3</v>
      </c>
      <c r="F12" s="7">
        <f>COUNTIFS(STATUS!$Q:$Q,F$1,STATUS!$K:$K,"РЕШ УВ DONE",STATUS!$D:$D,$A12)</f>
        <v>3</v>
      </c>
      <c r="G12" s="7">
        <f>COUNTIFS(STATUS!$Q:$Q,G$1,STATUS!$K:$K,"РЕШ УВ DONE",STATUS!$D:$D,$A12)</f>
        <v>1</v>
      </c>
      <c r="H12" s="7">
        <f>COUNTIFS(STATUS!$Q:$Q,H$1,STATUS!$K:$K,"РЕШ УВ DONE",STATUS!$D:$D,$A12)</f>
        <v>0</v>
      </c>
      <c r="I12" s="7">
        <f>COUNTIFS(STATUS!$Q:$Q,I$1,STATUS!$K:$K,"РЕШ УВ DONE",STATUS!$D:$D,$A12)</f>
        <v>0</v>
      </c>
      <c r="J12" s="7">
        <f t="shared" si="2"/>
        <v>13</v>
      </c>
    </row>
    <row r="13" spans="1:18" x14ac:dyDescent="0.3">
      <c r="A13" s="6">
        <v>43823</v>
      </c>
      <c r="B13" s="7">
        <f>COUNTIFS(STATUS!$Q:$Q,B$1,STATUS!$K:$K,"РЕШ УВ DONE",STATUS!$D:$D,$A13)</f>
        <v>7</v>
      </c>
      <c r="C13" s="7">
        <f>COUNTIFS(STATUS!$Q:$Q,C$1,STATUS!$K:$K,"РЕШ УВ DONE",STATUS!$D:$D,$A13)</f>
        <v>5</v>
      </c>
      <c r="D13" s="7">
        <f>COUNTIFS(STATUS!$Q:$Q,D$1,STATUS!$K:$K,"РЕШ УВ DONE",STATUS!$D:$D,$A13)</f>
        <v>4</v>
      </c>
      <c r="E13" s="7">
        <f>COUNTIFS(STATUS!$Q:$Q,E$1,STATUS!$K:$K,"РЕШ УВ DONE",STATUS!$D:$D,$A13)</f>
        <v>7</v>
      </c>
      <c r="F13" s="7">
        <f>COUNTIFS(STATUS!$Q:$Q,F$1,STATUS!$K:$K,"РЕШ УВ DONE",STATUS!$D:$D,$A13)</f>
        <v>3</v>
      </c>
      <c r="G13" s="7">
        <f>COUNTIFS(STATUS!$Q:$Q,G$1,STATUS!$K:$K,"РЕШ УВ DONE",STATUS!$D:$D,$A13)</f>
        <v>4</v>
      </c>
      <c r="H13" s="7">
        <f>COUNTIFS(STATUS!$Q:$Q,H$1,STATUS!$K:$K,"РЕШ УВ DONE",STATUS!$D:$D,$A13)</f>
        <v>0</v>
      </c>
      <c r="I13" s="7">
        <f>COUNTIFS(STATUS!$Q:$Q,I$1,STATUS!$K:$K,"РЕШ УВ DONE",STATUS!$D:$D,$A13)</f>
        <v>0</v>
      </c>
      <c r="J13" s="7">
        <f t="shared" si="2"/>
        <v>30</v>
      </c>
    </row>
    <row r="14" spans="1:18" x14ac:dyDescent="0.3">
      <c r="A14" s="6">
        <v>43824</v>
      </c>
      <c r="B14" s="7">
        <f>COUNTIFS(STATUS!$Q:$Q,B$1,STATUS!$K:$K,"РЕШ УВ DONE",STATUS!$D:$D,$A14)</f>
        <v>4</v>
      </c>
      <c r="C14" s="7">
        <f>COUNTIFS(STATUS!$Q:$Q,C$1,STATUS!$K:$K,"РЕШ УВ DONE",STATUS!$D:$D,$A14)</f>
        <v>4</v>
      </c>
      <c r="D14" s="7">
        <f>COUNTIFS(STATUS!$Q:$Q,D$1,STATUS!$K:$K,"РЕШ УВ DONE",STATUS!$D:$D,$A14)</f>
        <v>4</v>
      </c>
      <c r="E14" s="7">
        <f>COUNTIFS(STATUS!$Q:$Q,E$1,STATUS!$K:$K,"РЕШ УВ DONE",STATUS!$D:$D,$A14)</f>
        <v>3</v>
      </c>
      <c r="F14" s="7">
        <f>COUNTIFS(STATUS!$Q:$Q,F$1,STATUS!$K:$K,"РЕШ УВ DONE",STATUS!$D:$D,$A14)</f>
        <v>4</v>
      </c>
      <c r="G14" s="7">
        <f>COUNTIFS(STATUS!$Q:$Q,G$1,STATUS!$K:$K,"РЕШ УВ DONE",STATUS!$D:$D,$A14)</f>
        <v>3</v>
      </c>
      <c r="H14" s="7">
        <f>COUNTIFS(STATUS!$Q:$Q,H$1,STATUS!$K:$K,"РЕШ УВ DONE",STATUS!$D:$D,$A14)</f>
        <v>0</v>
      </c>
      <c r="I14" s="7">
        <f>COUNTIFS(STATUS!$Q:$Q,I$1,STATUS!$K:$K,"РЕШ УВ DONE",STATUS!$D:$D,$A14)</f>
        <v>0</v>
      </c>
      <c r="J14" s="7">
        <f t="shared" si="2"/>
        <v>22</v>
      </c>
    </row>
    <row r="15" spans="1:18" x14ac:dyDescent="0.3">
      <c r="A15" s="6">
        <v>43825</v>
      </c>
      <c r="B15" s="7">
        <f>COUNTIFS(STATUS!$Q:$Q,B$1,STATUS!$K:$K,"РЕШ УВ DONE",STATUS!$D:$D,$A15)</f>
        <v>3</v>
      </c>
      <c r="C15" s="7">
        <f>COUNTIFS(STATUS!$Q:$Q,C$1,STATUS!$K:$K,"РЕШ УВ DONE",STATUS!$D:$D,$A15)</f>
        <v>4</v>
      </c>
      <c r="D15" s="7">
        <f>COUNTIFS(STATUS!$Q:$Q,D$1,STATUS!$K:$K,"РЕШ УВ DONE",STATUS!$D:$D,$A15)</f>
        <v>6</v>
      </c>
      <c r="E15" s="7">
        <f>COUNTIFS(STATUS!$Q:$Q,E$1,STATUS!$K:$K,"РЕШ УВ DONE",STATUS!$D:$D,$A15)</f>
        <v>5</v>
      </c>
      <c r="F15" s="7">
        <f>COUNTIFS(STATUS!$Q:$Q,F$1,STATUS!$K:$K,"РЕШ УВ DONE",STATUS!$D:$D,$A15)</f>
        <v>4</v>
      </c>
      <c r="G15" s="7">
        <f>COUNTIFS(STATUS!$Q:$Q,G$1,STATUS!$K:$K,"РЕШ УВ DONE",STATUS!$D:$D,$A15)</f>
        <v>4</v>
      </c>
      <c r="H15" s="7">
        <f>COUNTIFS(STATUS!$Q:$Q,H$1,STATUS!$K:$K,"РЕШ УВ DONE",STATUS!$D:$D,$A15)</f>
        <v>0</v>
      </c>
      <c r="I15" s="7">
        <f>COUNTIFS(STATUS!$Q:$Q,I$1,STATUS!$K:$K,"РЕШ УВ DONE",STATUS!$D:$D,$A15)</f>
        <v>0</v>
      </c>
      <c r="J15" s="7">
        <f t="shared" si="2"/>
        <v>26</v>
      </c>
    </row>
    <row r="16" spans="1:18" x14ac:dyDescent="0.3">
      <c r="A16" s="6">
        <v>43826</v>
      </c>
      <c r="B16" s="7">
        <f>COUNTIFS(STATUS!$Q:$Q,B$1,STATUS!$K:$K,"РЕШ УВ DONE",STATUS!$D:$D,$A16)</f>
        <v>4</v>
      </c>
      <c r="C16" s="7">
        <f>COUNTIFS(STATUS!$Q:$Q,C$1,STATUS!$K:$K,"РЕШ УВ DONE",STATUS!$D:$D,$A16)</f>
        <v>3</v>
      </c>
      <c r="D16" s="7">
        <f>COUNTIFS(STATUS!$Q:$Q,D$1,STATUS!$K:$K,"РЕШ УВ DONE",STATUS!$D:$D,$A16)</f>
        <v>3</v>
      </c>
      <c r="E16" s="7">
        <f>COUNTIFS(STATUS!$Q:$Q,E$1,STATUS!$K:$K,"РЕШ УВ DONE",STATUS!$D:$D,$A16)</f>
        <v>1</v>
      </c>
      <c r="F16" s="7">
        <f>COUNTIFS(STATUS!$Q:$Q,F$1,STATUS!$K:$K,"РЕШ УВ DONE",STATUS!$D:$D,$A16)</f>
        <v>4</v>
      </c>
      <c r="G16" s="7">
        <f>COUNTIFS(STATUS!$Q:$Q,G$1,STATUS!$K:$K,"РЕШ УВ DONE",STATUS!$D:$D,$A16)</f>
        <v>2</v>
      </c>
      <c r="H16" s="7">
        <f>COUNTIFS(STATUS!$Q:$Q,H$1,STATUS!$K:$K,"РЕШ УВ DONE",STATUS!$D:$D,$A16)</f>
        <v>0</v>
      </c>
      <c r="I16" s="7">
        <f>COUNTIFS(STATUS!$Q:$Q,I$1,STATUS!$K:$K,"РЕШ УВ DONE",STATUS!$D:$D,$A16)</f>
        <v>0</v>
      </c>
      <c r="J16" s="7">
        <f t="shared" si="2"/>
        <v>17</v>
      </c>
    </row>
    <row r="17" spans="1:10" x14ac:dyDescent="0.3">
      <c r="A17" s="6">
        <v>43829</v>
      </c>
      <c r="B17" s="7">
        <f>COUNTIFS(STATUS!$Q:$Q,B$1,STATUS!$K:$K,"РЕШ УВ DONE",STATUS!$D:$D,$A17)</f>
        <v>4</v>
      </c>
      <c r="C17" s="7">
        <f>COUNTIFS(STATUS!$Q:$Q,C$1,STATUS!$K:$K,"РЕШ УВ DONE",STATUS!$D:$D,$A17)</f>
        <v>5</v>
      </c>
      <c r="D17" s="7">
        <f>COUNTIFS(STATUS!$Q:$Q,D$1,STATUS!$K:$K,"РЕШ УВ DONE",STATUS!$D:$D,$A17)</f>
        <v>6</v>
      </c>
      <c r="E17" s="7">
        <f>COUNTIFS(STATUS!$Q:$Q,E$1,STATUS!$K:$K,"РЕШ УВ DONE",STATUS!$D:$D,$A17)</f>
        <v>2</v>
      </c>
      <c r="F17" s="7">
        <f>COUNTIFS(STATUS!$Q:$Q,F$1,STATUS!$K:$K,"РЕШ УВ DONE",STATUS!$D:$D,$A17)</f>
        <v>2</v>
      </c>
      <c r="G17" s="7">
        <f>COUNTIFS(STATUS!$Q:$Q,G$1,STATUS!$K:$K,"РЕШ УВ DONE",STATUS!$D:$D,$A17)</f>
        <v>2</v>
      </c>
      <c r="H17" s="7">
        <f>COUNTIFS(STATUS!$Q:$Q,H$1,STATUS!$K:$K,"РЕШ УВ DONE",STATUS!$D:$D,$A17)</f>
        <v>0</v>
      </c>
      <c r="I17" s="7">
        <f>COUNTIFS(STATUS!$Q:$Q,I$1,STATUS!$K:$K,"РЕШ УВ DONE",STATUS!$D:$D,$A17)</f>
        <v>0</v>
      </c>
      <c r="J17" s="7">
        <f t="shared" si="2"/>
        <v>21</v>
      </c>
    </row>
    <row r="18" spans="1:10" x14ac:dyDescent="0.3">
      <c r="A18" s="6">
        <v>43830</v>
      </c>
      <c r="B18" s="7">
        <f>COUNTIFS(STATUS!$Q:$Q,B$1,STATUS!$K:$K,"РЕШ УВ DONE",STATUS!$D:$D,$A18)</f>
        <v>4</v>
      </c>
      <c r="C18" s="7">
        <f>COUNTIFS(STATUS!$Q:$Q,C$1,STATUS!$K:$K,"РЕШ УВ DONE",STATUS!$D:$D,$A18)</f>
        <v>7</v>
      </c>
      <c r="D18" s="7">
        <f>COUNTIFS(STATUS!$Q:$Q,D$1,STATUS!$K:$K,"РЕШ УВ DONE",STATUS!$D:$D,$A18)</f>
        <v>7</v>
      </c>
      <c r="E18" s="7">
        <f>COUNTIFS(STATUS!$Q:$Q,E$1,STATUS!$K:$K,"РЕШ УВ DONE",STATUS!$D:$D,$A18)</f>
        <v>6</v>
      </c>
      <c r="F18" s="7">
        <f>COUNTIFS(STATUS!$Q:$Q,F$1,STATUS!$K:$K,"РЕШ УВ DONE",STATUS!$D:$D,$A18)</f>
        <v>5</v>
      </c>
      <c r="G18" s="7">
        <f>COUNTIFS(STATUS!$Q:$Q,G$1,STATUS!$K:$K,"РЕШ УВ DONE",STATUS!$D:$D,$A18)</f>
        <v>3</v>
      </c>
      <c r="H18" s="7">
        <f>COUNTIFS(STATUS!$Q:$Q,H$1,STATUS!$K:$K,"РЕШ УВ DONE",STATUS!$D:$D,$A18)</f>
        <v>0</v>
      </c>
      <c r="I18" s="7">
        <f>COUNTIFS(STATUS!$Q:$Q,I$1,STATUS!$K:$K,"РЕШ УВ DONE",STATUS!$D:$D,$A18)</f>
        <v>0</v>
      </c>
      <c r="J18" s="7">
        <f t="shared" si="2"/>
        <v>32</v>
      </c>
    </row>
    <row r="19" spans="1:10" x14ac:dyDescent="0.3">
      <c r="A19" s="6">
        <v>43839</v>
      </c>
      <c r="B19" s="7">
        <f>COUNTIFS(STATUS!$Q:$Q,B$1,STATUS!$K:$K,"РЕШ УВ DONE",STATUS!$D:$D,$A19)</f>
        <v>5</v>
      </c>
      <c r="C19" s="7">
        <f>COUNTIFS(STATUS!$Q:$Q,C$1,STATUS!$K:$K,"РЕШ УВ DONE",STATUS!$D:$D,$A19)</f>
        <v>5</v>
      </c>
      <c r="D19" s="7">
        <f>COUNTIFS(STATUS!$Q:$Q,D$1,STATUS!$K:$K,"РЕШ УВ DONE",STATUS!$D:$D,$A19)</f>
        <v>6</v>
      </c>
      <c r="E19" s="7">
        <f>COUNTIFS(STATUS!$Q:$Q,E$1,STATUS!$K:$K,"РЕШ УВ DONE",STATUS!$D:$D,$A19)</f>
        <v>4</v>
      </c>
      <c r="F19" s="7">
        <f>COUNTIFS(STATUS!$Q:$Q,F$1,STATUS!$K:$K,"РЕШ УВ DONE",STATUS!$D:$D,$A19)</f>
        <v>3</v>
      </c>
      <c r="G19" s="7">
        <f>COUNTIFS(STATUS!$Q:$Q,G$1,STATUS!$K:$K,"РЕШ УВ DONE",STATUS!$D:$D,$A19)</f>
        <v>0</v>
      </c>
      <c r="H19" s="7">
        <f>COUNTIFS(STATUS!$Q:$Q,H$1,STATUS!$K:$K,"РЕШ УВ DONE",STATUS!$D:$D,$A19)</f>
        <v>0</v>
      </c>
      <c r="I19" s="7">
        <f>COUNTIFS(STATUS!$Q:$Q,I$1,STATUS!$K:$K,"РЕШ УВ DONE",STATUS!$D:$D,$A19)</f>
        <v>0</v>
      </c>
      <c r="J19" s="7">
        <f t="shared" si="2"/>
        <v>23</v>
      </c>
    </row>
    <row r="20" spans="1:10" x14ac:dyDescent="0.3">
      <c r="A20" s="6">
        <v>43840</v>
      </c>
      <c r="B20" s="7">
        <f>COUNTIFS(STATUS!$Q:$Q,B$1,STATUS!$K:$K,"РЕШ УВ DONE",STATUS!$D:$D,$A20)</f>
        <v>3</v>
      </c>
      <c r="C20" s="7">
        <f>COUNTIFS(STATUS!$Q:$Q,C$1,STATUS!$K:$K,"РЕШ УВ DONE",STATUS!$D:$D,$A20)</f>
        <v>3</v>
      </c>
      <c r="D20" s="7">
        <f>COUNTIFS(STATUS!$Q:$Q,D$1,STATUS!$K:$K,"РЕШ УВ DONE",STATUS!$D:$D,$A20)</f>
        <v>2</v>
      </c>
      <c r="E20" s="7">
        <f>COUNTIFS(STATUS!$Q:$Q,E$1,STATUS!$K:$K,"РЕШ УВ DONE",STATUS!$D:$D,$A20)</f>
        <v>5</v>
      </c>
      <c r="F20" s="7">
        <f>COUNTIFS(STATUS!$Q:$Q,F$1,STATUS!$K:$K,"РЕШ УВ DONE",STATUS!$D:$D,$A20)</f>
        <v>2</v>
      </c>
      <c r="G20" s="7">
        <f>COUNTIFS(STATUS!$Q:$Q,G$1,STATUS!$K:$K,"РЕШ УВ DONE",STATUS!$D:$D,$A20)</f>
        <v>2</v>
      </c>
      <c r="H20" s="7">
        <f>COUNTIFS(STATUS!$Q:$Q,H$1,STATUS!$K:$K,"РЕШ УВ DONE",STATUS!$D:$D,$A20)</f>
        <v>0</v>
      </c>
      <c r="I20" s="7">
        <f>COUNTIFS(STATUS!$Q:$Q,I$1,STATUS!$K:$K,"РЕШ УВ DONE",STATUS!$D:$D,$A20)</f>
        <v>0</v>
      </c>
      <c r="J20" s="7">
        <f t="shared" si="2"/>
        <v>17</v>
      </c>
    </row>
    <row r="21" spans="1:10" x14ac:dyDescent="0.3">
      <c r="A21" s="6">
        <v>43843</v>
      </c>
      <c r="B21" s="7">
        <f>COUNTIFS(STATUS!$Q:$Q,B$1,STATUS!$K:$K,"РЕШ УВ DONE",STATUS!$D:$D,$A21)</f>
        <v>3</v>
      </c>
      <c r="C21" s="7">
        <f>COUNTIFS(STATUS!$Q:$Q,C$1,STATUS!$K:$K,"РЕШ УВ DONE",STATUS!$D:$D,$A21)</f>
        <v>2</v>
      </c>
      <c r="D21" s="7">
        <f>COUNTIFS(STATUS!$Q:$Q,D$1,STATUS!$K:$K,"РЕШ УВ DONE",STATUS!$D:$D,$A21)</f>
        <v>4</v>
      </c>
      <c r="E21" s="7">
        <f>COUNTIFS(STATUS!$Q:$Q,E$1,STATUS!$K:$K,"РЕШ УВ DONE",STATUS!$D:$D,$A21)</f>
        <v>4</v>
      </c>
      <c r="F21" s="7">
        <f>COUNTIFS(STATUS!$Q:$Q,F$1,STATUS!$K:$K,"РЕШ УВ DONE",STATUS!$D:$D,$A21)</f>
        <v>0</v>
      </c>
      <c r="G21" s="7">
        <f>COUNTIFS(STATUS!$Q:$Q,G$1,STATUS!$K:$K,"РЕШ УВ DONE",STATUS!$D:$D,$A21)</f>
        <v>2</v>
      </c>
      <c r="H21" s="7">
        <f>COUNTIFS(STATUS!$Q:$Q,H$1,STATUS!$K:$K,"РЕШ УВ DONE",STATUS!$D:$D,$A21)</f>
        <v>0</v>
      </c>
      <c r="I21" s="7">
        <f>COUNTIFS(STATUS!$Q:$Q,I$1,STATUS!$K:$K,"РЕШ УВ DONE",STATUS!$D:$D,$A21)</f>
        <v>0</v>
      </c>
      <c r="J21" s="7">
        <f t="shared" si="2"/>
        <v>15</v>
      </c>
    </row>
    <row r="22" spans="1:10" x14ac:dyDescent="0.3">
      <c r="A22" s="6">
        <v>43844</v>
      </c>
      <c r="B22" s="7">
        <f>COUNTIFS(STATUS!$Q:$Q,B$1,STATUS!$K:$K,"РЕШ УВ DONE",STATUS!$D:$D,$A22)</f>
        <v>3</v>
      </c>
      <c r="C22" s="7">
        <f>COUNTIFS(STATUS!$Q:$Q,C$1,STATUS!$K:$K,"РЕШ УВ DONE",STATUS!$D:$D,$A22)</f>
        <v>3</v>
      </c>
      <c r="D22" s="7">
        <f>COUNTIFS(STATUS!$Q:$Q,D$1,STATUS!$K:$K,"РЕШ УВ DONE",STATUS!$D:$D,$A22)</f>
        <v>2</v>
      </c>
      <c r="E22" s="7">
        <f>COUNTIFS(STATUS!$Q:$Q,E$1,STATUS!$K:$K,"РЕШ УВ DONE",STATUS!$D:$D,$A22)</f>
        <v>3</v>
      </c>
      <c r="F22" s="7">
        <f>COUNTIFS(STATUS!$Q:$Q,F$1,STATUS!$K:$K,"РЕШ УВ DONE",STATUS!$D:$D,$A22)</f>
        <v>0</v>
      </c>
      <c r="G22" s="7">
        <f>COUNTIFS(STATUS!$Q:$Q,G$1,STATUS!$K:$K,"РЕШ УВ DONE",STATUS!$D:$D,$A22)</f>
        <v>3</v>
      </c>
      <c r="H22" s="7">
        <f>COUNTIFS(STATUS!$Q:$Q,H$1,STATUS!$K:$K,"РЕШ УВ DONE",STATUS!$D:$D,$A22)</f>
        <v>0</v>
      </c>
      <c r="I22" s="7">
        <f>COUNTIFS(STATUS!$Q:$Q,I$1,STATUS!$K:$K,"РЕШ УВ DONE",STATUS!$D:$D,$A22)</f>
        <v>0</v>
      </c>
      <c r="J22" s="7">
        <f t="shared" si="2"/>
        <v>14</v>
      </c>
    </row>
    <row r="23" spans="1:10" x14ac:dyDescent="0.3">
      <c r="A23" s="6">
        <v>43845</v>
      </c>
      <c r="B23" s="7">
        <f>COUNTIFS(STATUS!$Q:$Q,B$1,STATUS!$K:$K,"РЕШ УВ DONE",STATUS!$D:$D,$A23)</f>
        <v>5</v>
      </c>
      <c r="C23" s="7">
        <f>COUNTIFS(STATUS!$Q:$Q,C$1,STATUS!$K:$K,"РЕШ УВ DONE",STATUS!$D:$D,$A23)</f>
        <v>6</v>
      </c>
      <c r="D23" s="7">
        <f>COUNTIFS(STATUS!$Q:$Q,D$1,STATUS!$K:$K,"РЕШ УВ DONE",STATUS!$D:$D,$A23)</f>
        <v>8</v>
      </c>
      <c r="E23" s="7">
        <f>COUNTIFS(STATUS!$Q:$Q,E$1,STATUS!$K:$K,"РЕШ УВ DONE",STATUS!$D:$D,$A23)</f>
        <v>3</v>
      </c>
      <c r="F23" s="7">
        <f>COUNTIFS(STATUS!$Q:$Q,F$1,STATUS!$K:$K,"РЕШ УВ DONE",STATUS!$D:$D,$A23)</f>
        <v>0</v>
      </c>
      <c r="G23" s="7">
        <f>COUNTIFS(STATUS!$Q:$Q,G$1,STATUS!$K:$K,"РЕШ УВ DONE",STATUS!$D:$D,$A23)</f>
        <v>4</v>
      </c>
      <c r="H23" s="7">
        <f>COUNTIFS(STATUS!$Q:$Q,H$1,STATUS!$K:$K,"РЕШ УВ DONE",STATUS!$D:$D,$A23)</f>
        <v>0</v>
      </c>
      <c r="I23" s="7">
        <f>COUNTIFS(STATUS!$Q:$Q,I$1,STATUS!$K:$K,"РЕШ УВ DONE",STATUS!$D:$D,$A23)</f>
        <v>0</v>
      </c>
      <c r="J23" s="7">
        <f t="shared" si="2"/>
        <v>26</v>
      </c>
    </row>
    <row r="24" spans="1:10" x14ac:dyDescent="0.3">
      <c r="A24" s="6">
        <v>43846</v>
      </c>
      <c r="B24" s="7">
        <f>COUNTIFS(STATUS!$Q:$Q,B$1,STATUS!$K:$K,"РЕШ УВ DONE",STATUS!$D:$D,$A24)</f>
        <v>4</v>
      </c>
      <c r="C24" s="7">
        <f>COUNTIFS(STATUS!$Q:$Q,C$1,STATUS!$K:$K,"РЕШ УВ DONE",STATUS!$D:$D,$A24)</f>
        <v>5</v>
      </c>
      <c r="D24" s="7">
        <f>COUNTIFS(STATUS!$Q:$Q,D$1,STATUS!$K:$K,"РЕШ УВ DONE",STATUS!$D:$D,$A24)</f>
        <v>3</v>
      </c>
      <c r="E24" s="7">
        <f>COUNTIFS(STATUS!$Q:$Q,E$1,STATUS!$K:$K,"РЕШ УВ DONE",STATUS!$D:$D,$A24)</f>
        <v>7</v>
      </c>
      <c r="F24" s="7">
        <f>COUNTIFS(STATUS!$Q:$Q,F$1,STATUS!$K:$K,"РЕШ УВ DONE",STATUS!$D:$D,$A24)</f>
        <v>0</v>
      </c>
      <c r="G24" s="7">
        <f>COUNTIFS(STATUS!$Q:$Q,G$1,STATUS!$K:$K,"РЕШ УВ DONE",STATUS!$D:$D,$A24)</f>
        <v>3</v>
      </c>
      <c r="H24" s="7">
        <f>COUNTIFS(STATUS!$Q:$Q,H$1,STATUS!$K:$K,"РЕШ УВ DONE",STATUS!$D:$D,$A24)</f>
        <v>0</v>
      </c>
      <c r="I24" s="7">
        <f>COUNTIFS(STATUS!$Q:$Q,I$1,STATUS!$K:$K,"РЕШ УВ DONE",STATUS!$D:$D,$A24)</f>
        <v>0</v>
      </c>
      <c r="J24" s="7">
        <f t="shared" si="2"/>
        <v>22</v>
      </c>
    </row>
    <row r="25" spans="1:10" x14ac:dyDescent="0.3">
      <c r="A25" s="6">
        <v>43847</v>
      </c>
      <c r="B25" s="7">
        <f>COUNTIFS(STATUS!$Q:$Q,B$1,STATUS!$K:$K,"РЕШ УВ DONE",STATUS!$D:$D,$A25)</f>
        <v>6</v>
      </c>
      <c r="C25" s="7">
        <f>COUNTIFS(STATUS!$Q:$Q,C$1,STATUS!$K:$K,"РЕШ УВ DONE",STATUS!$D:$D,$A25)</f>
        <v>4</v>
      </c>
      <c r="D25" s="7">
        <f>COUNTIFS(STATUS!$Q:$Q,D$1,STATUS!$K:$K,"РЕШ УВ DONE",STATUS!$D:$D,$A25)</f>
        <v>5</v>
      </c>
      <c r="E25" s="7">
        <f>COUNTIFS(STATUS!$Q:$Q,E$1,STATUS!$K:$K,"РЕШ УВ DONE",STATUS!$D:$D,$A25)</f>
        <v>3</v>
      </c>
      <c r="F25" s="7">
        <f>COUNTIFS(STATUS!$Q:$Q,F$1,STATUS!$K:$K,"РЕШ УВ DONE",STATUS!$D:$D,$A25)</f>
        <v>0</v>
      </c>
      <c r="G25" s="7">
        <f>COUNTIFS(STATUS!$Q:$Q,G$1,STATUS!$K:$K,"РЕШ УВ DONE",STATUS!$D:$D,$A25)</f>
        <v>3</v>
      </c>
      <c r="H25" s="7">
        <f>COUNTIFS(STATUS!$Q:$Q,H$1,STATUS!$K:$K,"РЕШ УВ DONE",STATUS!$D:$D,$A25)</f>
        <v>0</v>
      </c>
      <c r="I25" s="7">
        <f>COUNTIFS(STATUS!$Q:$Q,I$1,STATUS!$K:$K,"РЕШ УВ DONE",STATUS!$D:$D,$A25)</f>
        <v>0</v>
      </c>
      <c r="J25" s="7">
        <f t="shared" si="2"/>
        <v>21</v>
      </c>
    </row>
    <row r="26" spans="1:10" x14ac:dyDescent="0.3">
      <c r="A26" s="6">
        <v>43850</v>
      </c>
      <c r="B26" s="7">
        <f>COUNTIFS(STATUS!$Q:$Q,B$1,STATUS!$K:$K,"РЕШ УВ DONE",STATUS!$D:$D,$A26)</f>
        <v>4</v>
      </c>
      <c r="C26" s="7">
        <f>COUNTIFS(STATUS!$Q:$Q,C$1,STATUS!$K:$K,"РЕШ УВ DONE",STATUS!$D:$D,$A26)</f>
        <v>2</v>
      </c>
      <c r="D26" s="7">
        <f>COUNTIFS(STATUS!$Q:$Q,D$1,STATUS!$K:$K,"РЕШ УВ DONE",STATUS!$D:$D,$A26)</f>
        <v>3</v>
      </c>
      <c r="E26" s="7">
        <f>COUNTIFS(STATUS!$Q:$Q,E$1,STATUS!$K:$K,"РЕШ УВ DONE",STATUS!$D:$D,$A26)</f>
        <v>4</v>
      </c>
      <c r="F26" s="7">
        <f>COUNTIFS(STATUS!$Q:$Q,F$1,STATUS!$K:$K,"РЕШ УВ DONE",STATUS!$D:$D,$A26)</f>
        <v>0</v>
      </c>
      <c r="G26" s="7">
        <f>COUNTIFS(STATUS!$Q:$Q,G$1,STATUS!$K:$K,"РЕШ УВ DONE",STATUS!$D:$D,$A26)</f>
        <v>3</v>
      </c>
      <c r="H26" s="7">
        <f>COUNTIFS(STATUS!$Q:$Q,H$1,STATUS!$K:$K,"РЕШ УВ DONE",STATUS!$D:$D,$A26)</f>
        <v>0</v>
      </c>
      <c r="I26" s="7">
        <f>COUNTIFS(STATUS!$Q:$Q,I$1,STATUS!$K:$K,"РЕШ УВ DONE",STATUS!$D:$D,$A26)</f>
        <v>0</v>
      </c>
      <c r="J26" s="7">
        <f t="shared" si="2"/>
        <v>16</v>
      </c>
    </row>
    <row r="27" spans="1:10" x14ac:dyDescent="0.3">
      <c r="A27" s="6">
        <v>43851</v>
      </c>
      <c r="B27" s="7">
        <f>COUNTIFS(STATUS!$Q:$Q,B$1,STATUS!$K:$K,"РЕШ УВ DONE",STATUS!$D:$D,$A27)</f>
        <v>2</v>
      </c>
      <c r="C27" s="7">
        <f>COUNTIFS(STATUS!$Q:$Q,C$1,STATUS!$K:$K,"РЕШ УВ DONE",STATUS!$D:$D,$A27)</f>
        <v>5</v>
      </c>
      <c r="D27" s="7">
        <f>COUNTIFS(STATUS!$Q:$Q,D$1,STATUS!$K:$K,"РЕШ УВ DONE",STATUS!$D:$D,$A27)</f>
        <v>3</v>
      </c>
      <c r="E27" s="7">
        <f>COUNTIFS(STATUS!$Q:$Q,E$1,STATUS!$K:$K,"РЕШ УВ DONE",STATUS!$D:$D,$A27)</f>
        <v>5</v>
      </c>
      <c r="F27" s="7">
        <f>COUNTIFS(STATUS!$Q:$Q,F$1,STATUS!$K:$K,"РЕШ УВ DONE",STATUS!$D:$D,$A27)</f>
        <v>0</v>
      </c>
      <c r="G27" s="7">
        <f>COUNTIFS(STATUS!$Q:$Q,G$1,STATUS!$K:$K,"РЕШ УВ DONE",STATUS!$D:$D,$A27)</f>
        <v>4</v>
      </c>
      <c r="H27" s="7">
        <f>COUNTIFS(STATUS!$Q:$Q,H$1,STATUS!$K:$K,"РЕШ УВ DONE",STATUS!$D:$D,$A27)</f>
        <v>0</v>
      </c>
      <c r="I27" s="7">
        <f>COUNTIFS(STATUS!$Q:$Q,I$1,STATUS!$K:$K,"РЕШ УВ DONE",STATUS!$D:$D,$A27)</f>
        <v>0</v>
      </c>
      <c r="J27" s="7">
        <f t="shared" si="2"/>
        <v>19</v>
      </c>
    </row>
    <row r="28" spans="1:10" x14ac:dyDescent="0.3">
      <c r="A28" s="6">
        <v>43852</v>
      </c>
      <c r="B28" s="7">
        <f>COUNTIFS(STATUS!$Q:$Q,B$1,STATUS!$K:$K,"РЕШ УВ DONE",STATUS!$D:$D,$A28)</f>
        <v>4</v>
      </c>
      <c r="C28" s="7">
        <f>COUNTIFS(STATUS!$Q:$Q,C$1,STATUS!$K:$K,"РЕШ УВ DONE",STATUS!$D:$D,$A28)</f>
        <v>6</v>
      </c>
      <c r="D28" s="7">
        <f>COUNTIFS(STATUS!$Q:$Q,D$1,STATUS!$K:$K,"РЕШ УВ DONE",STATUS!$D:$D,$A28)</f>
        <v>5</v>
      </c>
      <c r="E28" s="7">
        <f>COUNTIFS(STATUS!$Q:$Q,E$1,STATUS!$K:$K,"РЕШ УВ DONE",STATUS!$D:$D,$A28)</f>
        <v>6</v>
      </c>
      <c r="F28" s="7">
        <f>COUNTIFS(STATUS!$Q:$Q,F$1,STATUS!$K:$K,"РЕШ УВ DONE",STATUS!$D:$D,$A28)</f>
        <v>0</v>
      </c>
      <c r="G28" s="7">
        <f>COUNTIFS(STATUS!$Q:$Q,G$1,STATUS!$K:$K,"РЕШ УВ DONE",STATUS!$D:$D,$A28)</f>
        <v>2</v>
      </c>
      <c r="H28" s="7">
        <f>COUNTIFS(STATUS!$Q:$Q,H$1,STATUS!$K:$K,"РЕШ УВ DONE",STATUS!$D:$D,$A28)</f>
        <v>0</v>
      </c>
      <c r="I28" s="7">
        <f>COUNTIFS(STATUS!$Q:$Q,I$1,STATUS!$K:$K,"РЕШ УВ DONE",STATUS!$D:$D,$A28)</f>
        <v>0</v>
      </c>
      <c r="J28" s="7">
        <f t="shared" si="2"/>
        <v>23</v>
      </c>
    </row>
    <row r="29" spans="1:10" x14ac:dyDescent="0.3">
      <c r="A29" s="6">
        <v>43853</v>
      </c>
      <c r="B29" s="7">
        <f>COUNTIFS(STATUS!$Q:$Q,B$1,STATUS!$K:$K,"РЕШ УВ DONE",STATUS!$D:$D,$A29)</f>
        <v>2</v>
      </c>
      <c r="C29" s="7">
        <f>COUNTIFS(STATUS!$Q:$Q,C$1,STATUS!$K:$K,"РЕШ УВ DONE",STATUS!$D:$D,$A29)</f>
        <v>4</v>
      </c>
      <c r="D29" s="7">
        <f>COUNTIFS(STATUS!$Q:$Q,D$1,STATUS!$K:$K,"РЕШ УВ DONE",STATUS!$D:$D,$A29)</f>
        <v>2</v>
      </c>
      <c r="E29" s="7">
        <f>COUNTIFS(STATUS!$Q:$Q,E$1,STATUS!$K:$K,"РЕШ УВ DONE",STATUS!$D:$D,$A29)</f>
        <v>3</v>
      </c>
      <c r="F29" s="7">
        <f>COUNTIFS(STATUS!$Q:$Q,F$1,STATUS!$K:$K,"РЕШ УВ DONE",STATUS!$D:$D,$A29)</f>
        <v>0</v>
      </c>
      <c r="G29" s="7">
        <f>COUNTIFS(STATUS!$Q:$Q,G$1,STATUS!$K:$K,"РЕШ УВ DONE",STATUS!$D:$D,$A29)</f>
        <v>4</v>
      </c>
      <c r="H29" s="7">
        <f>COUNTIFS(STATUS!$Q:$Q,H$1,STATUS!$K:$K,"РЕШ УВ DONE",STATUS!$D:$D,$A29)</f>
        <v>0</v>
      </c>
      <c r="I29" s="7">
        <f>COUNTIFS(STATUS!$Q:$Q,I$1,STATUS!$K:$K,"РЕШ УВ DONE",STATUS!$D:$D,$A29)</f>
        <v>0</v>
      </c>
      <c r="J29" s="7">
        <f t="shared" si="2"/>
        <v>15</v>
      </c>
    </row>
    <row r="30" spans="1:10" x14ac:dyDescent="0.3">
      <c r="A30" s="6">
        <v>43854</v>
      </c>
      <c r="B30" s="7">
        <f>COUNTIFS(STATUS!$Q:$Q,B$1,STATUS!$K:$K,"РЕШ УВ DONE",STATUS!$D:$D,$A30)</f>
        <v>1</v>
      </c>
      <c r="C30" s="7">
        <f>COUNTIFS(STATUS!$Q:$Q,C$1,STATUS!$K:$K,"РЕШ УВ DONE",STATUS!$D:$D,$A30)</f>
        <v>4</v>
      </c>
      <c r="D30" s="7">
        <f>COUNTIFS(STATUS!$Q:$Q,D$1,STATUS!$K:$K,"РЕШ УВ DONE",STATUS!$D:$D,$A30)</f>
        <v>3</v>
      </c>
      <c r="E30" s="7">
        <f>COUNTIFS(STATUS!$Q:$Q,E$1,STATUS!$K:$K,"РЕШ УВ DONE",STATUS!$D:$D,$A30)</f>
        <v>2</v>
      </c>
      <c r="F30" s="7">
        <f>COUNTIFS(STATUS!$Q:$Q,F$1,STATUS!$K:$K,"РЕШ УВ DONE",STATUS!$D:$D,$A30)</f>
        <v>0</v>
      </c>
      <c r="G30" s="7">
        <f>COUNTIFS(STATUS!$Q:$Q,G$1,STATUS!$K:$K,"РЕШ УВ DONE",STATUS!$D:$D,$A30)</f>
        <v>3</v>
      </c>
      <c r="H30" s="7">
        <f>COUNTIFS(STATUS!$Q:$Q,H$1,STATUS!$K:$K,"РЕШ УВ DONE",STATUS!$D:$D,$A30)</f>
        <v>0</v>
      </c>
      <c r="I30" s="7">
        <f>COUNTIFS(STATUS!$Q:$Q,I$1,STATUS!$K:$K,"РЕШ УВ DONE",STATUS!$D:$D,$A30)</f>
        <v>0</v>
      </c>
      <c r="J30" s="7">
        <f t="shared" si="2"/>
        <v>13</v>
      </c>
    </row>
    <row r="31" spans="1:10" x14ac:dyDescent="0.3">
      <c r="A31" s="6">
        <v>43857</v>
      </c>
      <c r="B31" s="7">
        <f>COUNTIFS(STATUS!$Q:$Q,B$1,STATUS!$K:$K,"РЕШ УВ DONE",STATUS!$D:$D,$A31)</f>
        <v>4</v>
      </c>
      <c r="C31" s="7">
        <f>COUNTIFS(STATUS!$Q:$Q,C$1,STATUS!$K:$K,"РЕШ УВ DONE",STATUS!$D:$D,$A31)</f>
        <v>3</v>
      </c>
      <c r="D31" s="7">
        <f>COUNTIFS(STATUS!$Q:$Q,D$1,STATUS!$K:$K,"РЕШ УВ DONE",STATUS!$D:$D,$A31)</f>
        <v>5</v>
      </c>
      <c r="E31" s="7">
        <f>COUNTIFS(STATUS!$Q:$Q,E$1,STATUS!$K:$K,"РЕШ УВ DONE",STATUS!$D:$D,$A31)</f>
        <v>2</v>
      </c>
      <c r="F31" s="7">
        <f>COUNTIFS(STATUS!$Q:$Q,F$1,STATUS!$K:$K,"РЕШ УВ DONE",STATUS!$D:$D,$A31)</f>
        <v>0</v>
      </c>
      <c r="G31" s="7">
        <f>COUNTIFS(STATUS!$Q:$Q,G$1,STATUS!$K:$K,"РЕШ УВ DONE",STATUS!$D:$D,$A31)</f>
        <v>4</v>
      </c>
      <c r="H31" s="7">
        <f>COUNTIFS(STATUS!$Q:$Q,H$1,STATUS!$K:$K,"РЕШ УВ DONE",STATUS!$D:$D,$A31)</f>
        <v>0</v>
      </c>
      <c r="I31" s="7">
        <f>COUNTIFS(STATUS!$Q:$Q,I$1,STATUS!$K:$K,"РЕШ УВ DONE",STATUS!$D:$D,$A31)</f>
        <v>0</v>
      </c>
      <c r="J31" s="7">
        <f t="shared" si="2"/>
        <v>18</v>
      </c>
    </row>
    <row r="32" spans="1:10" x14ac:dyDescent="0.3">
      <c r="A32" s="6">
        <v>43858</v>
      </c>
      <c r="B32" s="7">
        <f>COUNTIFS(STATUS!$Q:$Q,B$1,STATUS!$K:$K,"РЕШ УВ DONE",STATUS!$D:$D,$A32)</f>
        <v>5</v>
      </c>
      <c r="C32" s="7">
        <f>COUNTIFS(STATUS!$Q:$Q,C$1,STATUS!$K:$K,"РЕШ УВ DONE",STATUS!$D:$D,$A32)</f>
        <v>4</v>
      </c>
      <c r="D32" s="7">
        <f>COUNTIFS(STATUS!$Q:$Q,D$1,STATUS!$K:$K,"РЕШ УВ DONE",STATUS!$D:$D,$A32)</f>
        <v>4</v>
      </c>
      <c r="E32" s="7">
        <f>COUNTIFS(STATUS!$Q:$Q,E$1,STATUS!$K:$K,"РЕШ УВ DONE",STATUS!$D:$D,$A32)</f>
        <v>4</v>
      </c>
      <c r="F32" s="7">
        <f>COUNTIFS(STATUS!$Q:$Q,F$1,STATUS!$K:$K,"РЕШ УВ DONE",STATUS!$D:$D,$A32)</f>
        <v>0</v>
      </c>
      <c r="G32" s="7">
        <f>COUNTIFS(STATUS!$Q:$Q,G$1,STATUS!$K:$K,"РЕШ УВ DONE",STATUS!$D:$D,$A32)</f>
        <v>4</v>
      </c>
      <c r="H32" s="7">
        <f>COUNTIFS(STATUS!$Q:$Q,H$1,STATUS!$K:$K,"РЕШ УВ DONE",STATUS!$D:$D,$A32)</f>
        <v>0</v>
      </c>
      <c r="I32" s="7">
        <f>COUNTIFS(STATUS!$Q:$Q,I$1,STATUS!$K:$K,"РЕШ УВ DONE",STATUS!$D:$D,$A32)</f>
        <v>0</v>
      </c>
      <c r="J32" s="7">
        <f t="shared" si="2"/>
        <v>21</v>
      </c>
    </row>
    <row r="33" spans="1:10" x14ac:dyDescent="0.3">
      <c r="A33" s="6">
        <v>43859</v>
      </c>
      <c r="B33" s="7">
        <f>COUNTIFS(STATUS!$Q:$Q,B$1,STATUS!$K:$K,"РЕШ УВ DONE",STATUS!$D:$D,$A33)</f>
        <v>4</v>
      </c>
      <c r="C33" s="7">
        <f>COUNTIFS(STATUS!$Q:$Q,C$1,STATUS!$K:$K,"РЕШ УВ DONE",STATUS!$D:$D,$A33)</f>
        <v>4</v>
      </c>
      <c r="D33" s="7">
        <f>COUNTIFS(STATUS!$Q:$Q,D$1,STATUS!$K:$K,"РЕШ УВ DONE",STATUS!$D:$D,$A33)</f>
        <v>2</v>
      </c>
      <c r="E33" s="7">
        <f>COUNTIFS(STATUS!$Q:$Q,E$1,STATUS!$K:$K,"РЕШ УВ DONE",STATUS!$D:$D,$A33)</f>
        <v>3</v>
      </c>
      <c r="F33" s="7">
        <f>COUNTIFS(STATUS!$Q:$Q,F$1,STATUS!$K:$K,"РЕШ УВ DONE",STATUS!$D:$D,$A33)</f>
        <v>0</v>
      </c>
      <c r="G33" s="7">
        <f>COUNTIFS(STATUS!$Q:$Q,G$1,STATUS!$K:$K,"РЕШ УВ DONE",STATUS!$D:$D,$A33)</f>
        <v>4</v>
      </c>
      <c r="H33" s="7">
        <f>COUNTIFS(STATUS!$Q:$Q,H$1,STATUS!$K:$K,"РЕШ УВ DONE",STATUS!$D:$D,$A33)</f>
        <v>0</v>
      </c>
      <c r="I33" s="7">
        <f>COUNTIFS(STATUS!$Q:$Q,I$1,STATUS!$K:$K,"РЕШ УВ DONE",STATUS!$D:$D,$A33)</f>
        <v>0</v>
      </c>
      <c r="J33" s="7">
        <f t="shared" si="2"/>
        <v>17</v>
      </c>
    </row>
    <row r="34" spans="1:10" x14ac:dyDescent="0.3">
      <c r="A34" s="6">
        <v>43860</v>
      </c>
      <c r="B34" s="7">
        <f>COUNTIFS(STATUS!$Q:$Q,B$1,STATUS!$K:$K,"РЕШ УВ DONE",STATUS!$D:$D,$A34)</f>
        <v>3</v>
      </c>
      <c r="C34" s="7">
        <f>COUNTIFS(STATUS!$Q:$Q,C$1,STATUS!$K:$K,"РЕШ УВ DONE",STATUS!$D:$D,$A34)</f>
        <v>3</v>
      </c>
      <c r="D34" s="7">
        <f>COUNTIFS(STATUS!$Q:$Q,D$1,STATUS!$K:$K,"РЕШ УВ DONE",STATUS!$D:$D,$A34)</f>
        <v>3</v>
      </c>
      <c r="E34" s="7">
        <f>COUNTIFS(STATUS!$Q:$Q,E$1,STATUS!$K:$K,"РЕШ УВ DONE",STATUS!$D:$D,$A34)</f>
        <v>2</v>
      </c>
      <c r="F34" s="7">
        <f>COUNTIFS(STATUS!$Q:$Q,F$1,STATUS!$K:$K,"РЕШ УВ DONE",STATUS!$D:$D,$A34)</f>
        <v>0</v>
      </c>
      <c r="G34" s="7">
        <f>COUNTIFS(STATUS!$Q:$Q,G$1,STATUS!$K:$K,"РЕШ УВ DONE",STATUS!$D:$D,$A34)</f>
        <v>3</v>
      </c>
      <c r="H34" s="7">
        <f>COUNTIFS(STATUS!$Q:$Q,H$1,STATUS!$K:$K,"РЕШ УВ DONE",STATUS!$D:$D,$A34)</f>
        <v>0</v>
      </c>
      <c r="I34" s="7">
        <f>COUNTIFS(STATUS!$Q:$Q,I$1,STATUS!$K:$K,"РЕШ УВ DONE",STATUS!$D:$D,$A34)</f>
        <v>0</v>
      </c>
      <c r="J34" s="7">
        <f t="shared" si="2"/>
        <v>14</v>
      </c>
    </row>
    <row r="35" spans="1:10" x14ac:dyDescent="0.3">
      <c r="A35" s="6">
        <v>43861</v>
      </c>
      <c r="B35" s="7">
        <f>COUNTIFS(STATUS!$Q:$Q,B$1,STATUS!$K:$K,"РЕШ УВ DONE",STATUS!$D:$D,$A35)</f>
        <v>4</v>
      </c>
      <c r="C35" s="7">
        <f>COUNTIFS(STATUS!$Q:$Q,C$1,STATUS!$K:$K,"РЕШ УВ DONE",STATUS!$D:$D,$A35)</f>
        <v>4</v>
      </c>
      <c r="D35" s="7">
        <f>COUNTIFS(STATUS!$Q:$Q,D$1,STATUS!$K:$K,"РЕШ УВ DONE",STATUS!$D:$D,$A35)</f>
        <v>3</v>
      </c>
      <c r="E35" s="7">
        <f>COUNTIFS(STATUS!$Q:$Q,E$1,STATUS!$K:$K,"РЕШ УВ DONE",STATUS!$D:$D,$A35)</f>
        <v>5</v>
      </c>
      <c r="F35" s="7">
        <f>COUNTIFS(STATUS!$Q:$Q,F$1,STATUS!$K:$K,"РЕШ УВ DONE",STATUS!$D:$D,$A35)</f>
        <v>0</v>
      </c>
      <c r="G35" s="7">
        <f>COUNTIFS(STATUS!$Q:$Q,G$1,STATUS!$K:$K,"РЕШ УВ DONE",STATUS!$D:$D,$A35)</f>
        <v>3</v>
      </c>
      <c r="H35" s="7">
        <f>COUNTIFS(STATUS!$Q:$Q,H$1,STATUS!$K:$K,"РЕШ УВ DONE",STATUS!$D:$D,$A35)</f>
        <v>0</v>
      </c>
      <c r="I35" s="7">
        <f>COUNTIFS(STATUS!$Q:$Q,I$1,STATUS!$K:$K,"РЕШ УВ DONE",STATUS!$D:$D,$A35)</f>
        <v>0</v>
      </c>
      <c r="J35" s="7">
        <f t="shared" si="2"/>
        <v>19</v>
      </c>
    </row>
    <row r="36" spans="1:10" x14ac:dyDescent="0.3">
      <c r="A36" s="6">
        <v>43864</v>
      </c>
      <c r="B36" s="7">
        <f>COUNTIFS(STATUS!$Q:$Q,B$1,STATUS!$K:$K,"РЕШ УВ DONE",STATUS!$D:$D,$A36)</f>
        <v>4</v>
      </c>
      <c r="C36" s="7">
        <f>COUNTIFS(STATUS!$Q:$Q,C$1,STATUS!$K:$K,"РЕШ УВ DONE",STATUS!$D:$D,$A36)</f>
        <v>3</v>
      </c>
      <c r="D36" s="7">
        <f>COUNTIFS(STATUS!$Q:$Q,D$1,STATUS!$K:$K,"РЕШ УВ DONE",STATUS!$D:$D,$A36)</f>
        <v>6</v>
      </c>
      <c r="E36" s="7">
        <f>COUNTIFS(STATUS!$Q:$Q,E$1,STATUS!$K:$K,"РЕШ УВ DONE",STATUS!$D:$D,$A36)</f>
        <v>6</v>
      </c>
      <c r="F36" s="7">
        <f>COUNTIFS(STATUS!$Q:$Q,F$1,STATUS!$K:$K,"РЕШ УВ DONE",STATUS!$D:$D,$A36)</f>
        <v>0</v>
      </c>
      <c r="G36" s="7">
        <f>COUNTIFS(STATUS!$Q:$Q,G$1,STATUS!$K:$K,"РЕШ УВ DONE",STATUS!$D:$D,$A36)</f>
        <v>4</v>
      </c>
      <c r="H36" s="7">
        <f>COUNTIFS(STATUS!$Q:$Q,H$1,STATUS!$K:$K,"РЕШ УВ DONE",STATUS!$D:$D,$A36)</f>
        <v>0</v>
      </c>
      <c r="I36" s="7">
        <f>COUNTIFS(STATUS!$Q:$Q,I$1,STATUS!$K:$K,"РЕШ УВ DONE",STATUS!$D:$D,$A36)</f>
        <v>0</v>
      </c>
      <c r="J36" s="7">
        <f t="shared" si="2"/>
        <v>23</v>
      </c>
    </row>
    <row r="37" spans="1:10" x14ac:dyDescent="0.3">
      <c r="A37" s="6">
        <v>43865</v>
      </c>
      <c r="B37" s="7">
        <f>COUNTIFS(STATUS!$Q:$Q,B$1,STATUS!$K:$K,"РЕШ УВ DONE",STATUS!$D:$D,$A37)</f>
        <v>4</v>
      </c>
      <c r="C37" s="7">
        <f>COUNTIFS(STATUS!$Q:$Q,C$1,STATUS!$K:$K,"РЕШ УВ DONE",STATUS!$D:$D,$A37)</f>
        <v>3</v>
      </c>
      <c r="D37" s="7">
        <f>COUNTIFS(STATUS!$Q:$Q,D$1,STATUS!$K:$K,"РЕШ УВ DONE",STATUS!$D:$D,$A37)</f>
        <v>4</v>
      </c>
      <c r="E37" s="7">
        <f>COUNTIFS(STATUS!$Q:$Q,E$1,STATUS!$K:$K,"РЕШ УВ DONE",STATUS!$D:$D,$A37)</f>
        <v>3</v>
      </c>
      <c r="F37" s="7">
        <f>COUNTIFS(STATUS!$Q:$Q,F$1,STATUS!$K:$K,"РЕШ УВ DONE",STATUS!$D:$D,$A37)</f>
        <v>0</v>
      </c>
      <c r="G37" s="7">
        <f>COUNTIFS(STATUS!$Q:$Q,G$1,STATUS!$K:$K,"РЕШ УВ DONE",STATUS!$D:$D,$A37)</f>
        <v>2</v>
      </c>
      <c r="H37" s="7">
        <f>COUNTIFS(STATUS!$Q:$Q,H$1,STATUS!$K:$K,"РЕШ УВ DONE",STATUS!$D:$D,$A37)</f>
        <v>0</v>
      </c>
      <c r="I37" s="7">
        <f>COUNTIFS(STATUS!$Q:$Q,I$1,STATUS!$K:$K,"РЕШ УВ DONE",STATUS!$D:$D,$A37)</f>
        <v>0</v>
      </c>
      <c r="J37" s="7">
        <f t="shared" si="2"/>
        <v>16</v>
      </c>
    </row>
    <row r="38" spans="1:10" x14ac:dyDescent="0.3">
      <c r="A38" s="6">
        <v>43866</v>
      </c>
      <c r="B38" s="7">
        <f>COUNTIFS(STATUS!$Q:$Q,B$1,STATUS!$K:$K,"РЕШ УВ DONE",STATUS!$D:$D,$A38)</f>
        <v>8</v>
      </c>
      <c r="C38" s="7">
        <f>COUNTIFS(STATUS!$Q:$Q,C$1,STATUS!$K:$K,"РЕШ УВ DONE",STATUS!$D:$D,$A38)</f>
        <v>3</v>
      </c>
      <c r="D38" s="7">
        <f>COUNTIFS(STATUS!$Q:$Q,D$1,STATUS!$K:$K,"РЕШ УВ DONE",STATUS!$D:$D,$A38)</f>
        <v>5</v>
      </c>
      <c r="E38" s="7">
        <f>COUNTIFS(STATUS!$Q:$Q,E$1,STATUS!$K:$K,"РЕШ УВ DONE",STATUS!$D:$D,$A38)</f>
        <v>2</v>
      </c>
      <c r="F38" s="7">
        <f>COUNTIFS(STATUS!$Q:$Q,F$1,STATUS!$K:$K,"РЕШ УВ DONE",STATUS!$D:$D,$A38)</f>
        <v>0</v>
      </c>
      <c r="G38" s="7">
        <f>COUNTIFS(STATUS!$Q:$Q,G$1,STATUS!$K:$K,"РЕШ УВ DONE",STATUS!$D:$D,$A38)</f>
        <v>5</v>
      </c>
      <c r="H38" s="7">
        <f>COUNTIFS(STATUS!$Q:$Q,H$1,STATUS!$K:$K,"РЕШ УВ DONE",STATUS!$D:$D,$A38)</f>
        <v>0</v>
      </c>
      <c r="I38" s="7">
        <f>COUNTIFS(STATUS!$Q:$Q,I$1,STATUS!$K:$K,"РЕШ УВ DONE",STATUS!$D:$D,$A38)</f>
        <v>0</v>
      </c>
      <c r="J38" s="7">
        <f t="shared" si="2"/>
        <v>23</v>
      </c>
    </row>
    <row r="39" spans="1:10" x14ac:dyDescent="0.3">
      <c r="A39" s="6">
        <v>43867</v>
      </c>
      <c r="B39" s="7">
        <f>COUNTIFS(STATUS!$Q:$Q,B$1,STATUS!$K:$K,"РЕШ УВ DONE",STATUS!$D:$D,$A39)</f>
        <v>3</v>
      </c>
      <c r="C39" s="7">
        <f>COUNTIFS(STATUS!$Q:$Q,C$1,STATUS!$K:$K,"РЕШ УВ DONE",STATUS!$D:$D,$A39)</f>
        <v>2</v>
      </c>
      <c r="D39" s="7">
        <f>COUNTIFS(STATUS!$Q:$Q,D$1,STATUS!$K:$K,"РЕШ УВ DONE",STATUS!$D:$D,$A39)</f>
        <v>2</v>
      </c>
      <c r="E39" s="7">
        <f>COUNTIFS(STATUS!$Q:$Q,E$1,STATUS!$K:$K,"РЕШ УВ DONE",STATUS!$D:$D,$A39)</f>
        <v>5</v>
      </c>
      <c r="F39" s="7">
        <f>COUNTIFS(STATUS!$Q:$Q,F$1,STATUS!$K:$K,"РЕШ УВ DONE",STATUS!$D:$D,$A39)</f>
        <v>0</v>
      </c>
      <c r="G39" s="7">
        <f>COUNTIFS(STATUS!$Q:$Q,G$1,STATUS!$K:$K,"РЕШ УВ DONE",STATUS!$D:$D,$A39)</f>
        <v>3</v>
      </c>
      <c r="H39" s="7">
        <f>COUNTIFS(STATUS!$Q:$Q,H$1,STATUS!$K:$K,"РЕШ УВ DONE",STATUS!$D:$D,$A39)</f>
        <v>0</v>
      </c>
      <c r="I39" s="7">
        <f>COUNTIFS(STATUS!$Q:$Q,I$1,STATUS!$K:$K,"РЕШ УВ DONE",STATUS!$D:$D,$A39)</f>
        <v>0</v>
      </c>
      <c r="J39" s="7">
        <f t="shared" si="2"/>
        <v>15</v>
      </c>
    </row>
    <row r="40" spans="1:10" x14ac:dyDescent="0.3">
      <c r="A40" s="6">
        <v>43868</v>
      </c>
      <c r="B40" s="7">
        <f>COUNTIFS(STATUS!$Q:$Q,B$1,STATUS!$K:$K,"РЕШ УВ DONE",STATUS!$D:$D,$A40)</f>
        <v>3</v>
      </c>
      <c r="C40" s="7">
        <f>COUNTIFS(STATUS!$Q:$Q,C$1,STATUS!$K:$K,"РЕШ УВ DONE",STATUS!$D:$D,$A40)</f>
        <v>1</v>
      </c>
      <c r="D40" s="7">
        <f>COUNTIFS(STATUS!$Q:$Q,D$1,STATUS!$K:$K,"РЕШ УВ DONE",STATUS!$D:$D,$A40)</f>
        <v>2</v>
      </c>
      <c r="E40" s="7">
        <f>COUNTIFS(STATUS!$Q:$Q,E$1,STATUS!$K:$K,"РЕШ УВ DONE",STATUS!$D:$D,$A40)</f>
        <v>4</v>
      </c>
      <c r="F40" s="7">
        <f>COUNTIFS(STATUS!$Q:$Q,F$1,STATUS!$K:$K,"РЕШ УВ DONE",STATUS!$D:$D,$A40)</f>
        <v>0</v>
      </c>
      <c r="G40" s="7">
        <f>COUNTIFS(STATUS!$Q:$Q,G$1,STATUS!$K:$K,"РЕШ УВ DONE",STATUS!$D:$D,$A40)</f>
        <v>1</v>
      </c>
      <c r="H40" s="7">
        <f>COUNTIFS(STATUS!$Q:$Q,H$1,STATUS!$K:$K,"РЕШ УВ DONE",STATUS!$D:$D,$A40)</f>
        <v>0</v>
      </c>
      <c r="I40" s="7">
        <f>COUNTIFS(STATUS!$Q:$Q,I$1,STATUS!$K:$K,"РЕШ УВ DONE",STATUS!$D:$D,$A40)</f>
        <v>0</v>
      </c>
      <c r="J40" s="7">
        <f t="shared" si="2"/>
        <v>11</v>
      </c>
    </row>
    <row r="41" spans="1:10" x14ac:dyDescent="0.3">
      <c r="A41" s="6">
        <v>43871</v>
      </c>
      <c r="B41" s="7">
        <f>COUNTIFS(STATUS!$Q:$Q,B$1,STATUS!$K:$K,"РЕШ УВ DONE",STATUS!$D:$D,$A41)</f>
        <v>3</v>
      </c>
      <c r="C41" s="7">
        <f>COUNTIFS(STATUS!$Q:$Q,C$1,STATUS!$K:$K,"РЕШ УВ DONE",STATUS!$D:$D,$A41)</f>
        <v>3</v>
      </c>
      <c r="D41" s="7">
        <f>COUNTIFS(STATUS!$Q:$Q,D$1,STATUS!$K:$K,"РЕШ УВ DONE",STATUS!$D:$D,$A41)</f>
        <v>2</v>
      </c>
      <c r="E41" s="7">
        <f>COUNTIFS(STATUS!$Q:$Q,E$1,STATUS!$K:$K,"РЕШ УВ DONE",STATUS!$D:$D,$A41)</f>
        <v>5</v>
      </c>
      <c r="F41" s="7">
        <f>COUNTIFS(STATUS!$Q:$Q,F$1,STATUS!$K:$K,"РЕШ УВ DONE",STATUS!$D:$D,$A41)</f>
        <v>0</v>
      </c>
      <c r="G41" s="7">
        <f>COUNTIFS(STATUS!$Q:$Q,G$1,STATUS!$K:$K,"РЕШ УВ DONE",STATUS!$D:$D,$A41)</f>
        <v>4</v>
      </c>
      <c r="H41" s="7">
        <f>COUNTIFS(STATUS!$Q:$Q,H$1,STATUS!$K:$K,"РЕШ УВ DONE",STATUS!$D:$D,$A41)</f>
        <v>0</v>
      </c>
      <c r="I41" s="7">
        <f>COUNTIFS(STATUS!$Q:$Q,I$1,STATUS!$K:$K,"РЕШ УВ DONE",STATUS!$D:$D,$A41)</f>
        <v>1</v>
      </c>
      <c r="J41" s="7">
        <f t="shared" si="2"/>
        <v>18</v>
      </c>
    </row>
    <row r="42" spans="1:10" x14ac:dyDescent="0.3">
      <c r="A42" s="6">
        <v>43872</v>
      </c>
      <c r="B42" s="7">
        <f>COUNTIFS(STATUS!$Q:$Q,B$1,STATUS!$K:$K,"РЕШ УВ DONE",STATUS!$D:$D,$A42)</f>
        <v>5</v>
      </c>
      <c r="C42" s="7">
        <f>COUNTIFS(STATUS!$Q:$Q,C$1,STATUS!$K:$K,"РЕШ УВ DONE",STATUS!$D:$D,$A42)</f>
        <v>5</v>
      </c>
      <c r="D42" s="7">
        <f>COUNTIFS(STATUS!$Q:$Q,D$1,STATUS!$K:$K,"РЕШ УВ DONE",STATUS!$D:$D,$A42)</f>
        <v>5</v>
      </c>
      <c r="E42" s="7">
        <f>COUNTIFS(STATUS!$Q:$Q,E$1,STATUS!$K:$K,"РЕШ УВ DONE",STATUS!$D:$D,$A42)</f>
        <v>5</v>
      </c>
      <c r="F42" s="7">
        <f>COUNTIFS(STATUS!$Q:$Q,F$1,STATUS!$K:$K,"РЕШ УВ DONE",STATUS!$D:$D,$A42)</f>
        <v>0</v>
      </c>
      <c r="G42" s="7">
        <f>COUNTIFS(STATUS!$Q:$Q,G$1,STATUS!$K:$K,"РЕШ УВ DONE",STATUS!$D:$D,$A42)</f>
        <v>7</v>
      </c>
      <c r="H42" s="7">
        <f>COUNTIFS(STATUS!$Q:$Q,H$1,STATUS!$K:$K,"РЕШ УВ DONE",STATUS!$D:$D,$A42)</f>
        <v>0</v>
      </c>
      <c r="I42" s="7">
        <f>COUNTIFS(STATUS!$Q:$Q,I$1,STATUS!$K:$K,"РЕШ УВ DONE",STATUS!$D:$D,$A42)</f>
        <v>5</v>
      </c>
      <c r="J42" s="7">
        <f t="shared" si="2"/>
        <v>32</v>
      </c>
    </row>
    <row r="43" spans="1:10" x14ac:dyDescent="0.3">
      <c r="A43" s="6">
        <v>43873</v>
      </c>
      <c r="B43" s="7">
        <f>COUNTIFS(STATUS!$Q:$Q,B$1,STATUS!$K:$K,"РЕШ УВ DONE",STATUS!$D:$D,$A43)</f>
        <v>3</v>
      </c>
      <c r="C43" s="7">
        <f>COUNTIFS(STATUS!$Q:$Q,C$1,STATUS!$K:$K,"РЕШ УВ DONE",STATUS!$D:$D,$A43)</f>
        <v>3</v>
      </c>
      <c r="D43" s="7">
        <f>COUNTIFS(STATUS!$Q:$Q,D$1,STATUS!$K:$K,"РЕШ УВ DONE",STATUS!$D:$D,$A43)</f>
        <v>4</v>
      </c>
      <c r="E43" s="7">
        <f>COUNTIFS(STATUS!$Q:$Q,E$1,STATUS!$K:$K,"РЕШ УВ DONE",STATUS!$D:$D,$A43)</f>
        <v>6</v>
      </c>
      <c r="F43" s="7">
        <f>COUNTIFS(STATUS!$Q:$Q,F$1,STATUS!$K:$K,"РЕШ УВ DONE",STATUS!$D:$D,$A43)</f>
        <v>0</v>
      </c>
      <c r="G43" s="7">
        <f>COUNTIFS(STATUS!$Q:$Q,G$1,STATUS!$K:$K,"РЕШ УВ DONE",STATUS!$D:$D,$A43)</f>
        <v>3</v>
      </c>
      <c r="H43" s="7">
        <f>COUNTIFS(STATUS!$Q:$Q,H$1,STATUS!$K:$K,"РЕШ УВ DONE",STATUS!$D:$D,$A43)</f>
        <v>0</v>
      </c>
      <c r="I43" s="7">
        <f>COUNTIFS(STATUS!$Q:$Q,I$1,STATUS!$K:$K,"РЕШ УВ DONE",STATUS!$D:$D,$A43)</f>
        <v>4</v>
      </c>
      <c r="J43" s="7">
        <f t="shared" si="2"/>
        <v>23</v>
      </c>
    </row>
    <row r="44" spans="1:10" x14ac:dyDescent="0.3">
      <c r="A44" s="6">
        <v>43879</v>
      </c>
      <c r="B44" s="7">
        <f>COUNTIFS(STATUS!$Q:$Q,B$1,STATUS!$K:$K,"РЕШ УВ DONE",STATUS!$D:$D,$A44)</f>
        <v>4</v>
      </c>
      <c r="C44" s="7">
        <f>COUNTIFS(STATUS!$Q:$Q,C$1,STATUS!$K:$K,"РЕШ УВ DONE",STATUS!$D:$D,$A44)</f>
        <v>5</v>
      </c>
      <c r="D44" s="7">
        <f>COUNTIFS(STATUS!$Q:$Q,D$1,STATUS!$K:$K,"РЕШ УВ DONE",STATUS!$D:$D,$A44)</f>
        <v>3</v>
      </c>
      <c r="E44" s="7">
        <f>COUNTIFS(STATUS!$Q:$Q,E$1,STATUS!$K:$K,"РЕШ УВ DONE",STATUS!$D:$D,$A44)</f>
        <v>4</v>
      </c>
      <c r="F44" s="7">
        <f>COUNTIFS(STATUS!$Q:$Q,F$1,STATUS!$K:$K,"РЕШ УВ DONE",STATUS!$D:$D,$A44)</f>
        <v>0</v>
      </c>
      <c r="G44" s="7">
        <f>COUNTIFS(STATUS!$Q:$Q,G$1,STATUS!$K:$K,"РЕШ УВ DONE",STATUS!$D:$D,$A44)</f>
        <v>3</v>
      </c>
      <c r="H44" s="7">
        <f>COUNTIFS(STATUS!$Q:$Q,H$1,STATUS!$K:$K,"РЕШ УВ DONE",STATUS!$D:$D,$A44)</f>
        <v>0</v>
      </c>
      <c r="I44" s="7">
        <f>COUNTIFS(STATUS!$Q:$Q,I$1,STATUS!$K:$K,"РЕШ УВ DONE",STATUS!$D:$D,$A44)</f>
        <v>0</v>
      </c>
      <c r="J44" s="7">
        <f t="shared" si="2"/>
        <v>19</v>
      </c>
    </row>
    <row r="45" spans="1:10" x14ac:dyDescent="0.3">
      <c r="A45" s="6">
        <v>43880</v>
      </c>
      <c r="B45" s="7">
        <f>COUNTIFS(STATUS!$Q:$Q,B$1,STATUS!$K:$K,"РЕШ УВ DONE",STATUS!$D:$D,$A45)</f>
        <v>3</v>
      </c>
      <c r="C45" s="7">
        <f>COUNTIFS(STATUS!$Q:$Q,C$1,STATUS!$K:$K,"РЕШ УВ DONE",STATUS!$D:$D,$A45)</f>
        <v>5</v>
      </c>
      <c r="D45" s="7">
        <f>COUNTIFS(STATUS!$Q:$Q,D$1,STATUS!$K:$K,"РЕШ УВ DONE",STATUS!$D:$D,$A45)</f>
        <v>3</v>
      </c>
      <c r="E45" s="7">
        <f>COUNTIFS(STATUS!$Q:$Q,E$1,STATUS!$K:$K,"РЕШ УВ DONE",STATUS!$D:$D,$A45)</f>
        <v>4</v>
      </c>
      <c r="F45" s="7">
        <f>COUNTIFS(STATUS!$Q:$Q,F$1,STATUS!$K:$K,"РЕШ УВ DONE",STATUS!$D:$D,$A45)</f>
        <v>0</v>
      </c>
      <c r="G45" s="7">
        <f>COUNTIFS(STATUS!$Q:$Q,G$1,STATUS!$K:$K,"РЕШ УВ DONE",STATUS!$D:$D,$A45)</f>
        <v>3</v>
      </c>
      <c r="H45" s="7">
        <f>COUNTIFS(STATUS!$Q:$Q,H$1,STATUS!$K:$K,"РЕШ УВ DONE",STATUS!$D:$D,$A45)</f>
        <v>0</v>
      </c>
      <c r="I45" s="7">
        <f>COUNTIFS(STATUS!$Q:$Q,I$1,STATUS!$K:$K,"РЕШ УВ DONE",STATUS!$D:$D,$A45)</f>
        <v>0</v>
      </c>
      <c r="J45" s="7">
        <f t="shared" si="2"/>
        <v>18</v>
      </c>
    </row>
    <row r="46" spans="1:10" x14ac:dyDescent="0.3">
      <c r="A46" s="6">
        <v>43881</v>
      </c>
      <c r="B46" s="7">
        <f>COUNTIFS(STATUS!$Q:$Q,B$1,STATUS!$K:$K,"РЕШ УВ DONE",STATUS!$D:$D,$A46)</f>
        <v>3</v>
      </c>
      <c r="C46" s="7">
        <f>COUNTIFS(STATUS!$Q:$Q,C$1,STATUS!$K:$K,"РЕШ УВ DONE",STATUS!$D:$D,$A46)</f>
        <v>3</v>
      </c>
      <c r="D46" s="7">
        <f>COUNTIFS(STATUS!$Q:$Q,D$1,STATUS!$K:$K,"РЕШ УВ DONE",STATUS!$D:$D,$A46)</f>
        <v>6</v>
      </c>
      <c r="E46" s="7">
        <f>COUNTIFS(STATUS!$Q:$Q,E$1,STATUS!$K:$K,"РЕШ УВ DONE",STATUS!$D:$D,$A46)</f>
        <v>3</v>
      </c>
      <c r="F46" s="7">
        <f>COUNTIFS(STATUS!$Q:$Q,F$1,STATUS!$K:$K,"РЕШ УВ DONE",STATUS!$D:$D,$A46)</f>
        <v>0</v>
      </c>
      <c r="G46" s="7">
        <f>COUNTIFS(STATUS!$Q:$Q,G$1,STATUS!$K:$K,"РЕШ УВ DONE",STATUS!$D:$D,$A46)</f>
        <v>3</v>
      </c>
      <c r="H46" s="7">
        <f>COUNTIFS(STATUS!$Q:$Q,H$1,STATUS!$K:$K,"РЕШ УВ DONE",STATUS!$D:$D,$A46)</f>
        <v>0</v>
      </c>
      <c r="I46" s="7">
        <f>COUNTIFS(STATUS!$Q:$Q,I$1,STATUS!$K:$K,"РЕШ УВ DONE",STATUS!$D:$D,$A46)</f>
        <v>0</v>
      </c>
      <c r="J46" s="7">
        <f t="shared" si="2"/>
        <v>18</v>
      </c>
    </row>
    <row r="47" spans="1:10" x14ac:dyDescent="0.3">
      <c r="A47" s="6">
        <v>43882</v>
      </c>
      <c r="B47" s="7">
        <f>COUNTIFS(STATUS!$Q:$Q,B$1,STATUS!$K:$K,"РЕШ УВ DONE",STATUS!$D:$D,$A47)</f>
        <v>3</v>
      </c>
      <c r="C47" s="7">
        <f>COUNTIFS(STATUS!$Q:$Q,C$1,STATUS!$K:$K,"РЕШ УВ DONE",STATUS!$D:$D,$A47)</f>
        <v>3</v>
      </c>
      <c r="D47" s="7">
        <f>COUNTIFS(STATUS!$Q:$Q,D$1,STATUS!$K:$K,"РЕШ УВ DONE",STATUS!$D:$D,$A47)</f>
        <v>6</v>
      </c>
      <c r="E47" s="7">
        <f>COUNTIFS(STATUS!$Q:$Q,E$1,STATUS!$K:$K,"РЕШ УВ DONE",STATUS!$D:$D,$A47)</f>
        <v>2</v>
      </c>
      <c r="F47" s="7">
        <f>COUNTIFS(STATUS!$Q:$Q,F$1,STATUS!$K:$K,"РЕШ УВ DONE",STATUS!$D:$D,$A47)</f>
        <v>0</v>
      </c>
      <c r="G47" s="7">
        <f>COUNTIFS(STATUS!$Q:$Q,G$1,STATUS!$K:$K,"РЕШ УВ DONE",STATUS!$D:$D,$A47)</f>
        <v>3</v>
      </c>
      <c r="H47" s="7">
        <f>COUNTIFS(STATUS!$Q:$Q,H$1,STATUS!$K:$K,"РЕШ УВ DONE",STATUS!$D:$D,$A47)</f>
        <v>0</v>
      </c>
      <c r="I47" s="7">
        <f>COUNTIFS(STATUS!$Q:$Q,I$1,STATUS!$K:$K,"РЕШ УВ DONE",STATUS!$D:$D,$A47)</f>
        <v>0</v>
      </c>
      <c r="J47" s="7">
        <f t="shared" si="2"/>
        <v>17</v>
      </c>
    </row>
    <row r="48" spans="1:10" x14ac:dyDescent="0.3">
      <c r="A48" s="6">
        <v>43886</v>
      </c>
      <c r="B48" s="7">
        <f>COUNTIFS(STATUS!$Q:$Q,B$1,STATUS!$K:$K,"РЕШ УВ DONE",STATUS!$D:$D,$A48)</f>
        <v>6</v>
      </c>
      <c r="C48" s="7">
        <f>COUNTIFS(STATUS!$Q:$Q,C$1,STATUS!$K:$K,"РЕШ УВ DONE",STATUS!$D:$D,$A48)</f>
        <v>4</v>
      </c>
      <c r="D48" s="7">
        <f>COUNTIFS(STATUS!$Q:$Q,D$1,STATUS!$K:$K,"РЕШ УВ DONE",STATUS!$D:$D,$A48)</f>
        <v>5</v>
      </c>
      <c r="E48" s="7">
        <f>COUNTIFS(STATUS!$Q:$Q,E$1,STATUS!$K:$K,"РЕШ УВ DONE",STATUS!$D:$D,$A48)</f>
        <v>3</v>
      </c>
      <c r="F48" s="7">
        <f>COUNTIFS(STATUS!$Q:$Q,F$1,STATUS!$K:$K,"РЕШ УВ DONE",STATUS!$D:$D,$A48)</f>
        <v>0</v>
      </c>
      <c r="G48" s="7">
        <f>COUNTIFS(STATUS!$Q:$Q,G$1,STATUS!$K:$K,"РЕШ УВ DONE",STATUS!$D:$D,$A48)</f>
        <v>2</v>
      </c>
      <c r="H48" s="7">
        <f>COUNTIFS(STATUS!$Q:$Q,H$1,STATUS!$K:$K,"РЕШ УВ DONE",STATUS!$D:$D,$A48)</f>
        <v>0</v>
      </c>
      <c r="I48" s="7">
        <f>COUNTIFS(STATUS!$Q:$Q,I$1,STATUS!$K:$K,"РЕШ УВ DONE",STATUS!$D:$D,$A48)</f>
        <v>0</v>
      </c>
      <c r="J48" s="7">
        <f t="shared" si="2"/>
        <v>20</v>
      </c>
    </row>
    <row r="49" spans="1:10" x14ac:dyDescent="0.3">
      <c r="A49" s="6">
        <v>43887</v>
      </c>
      <c r="B49" s="7">
        <f>COUNTIFS(STATUS!$Q:$Q,B$1,STATUS!$K:$K,"РЕШ УВ DONE",STATUS!$D:$D,$A49)</f>
        <v>5</v>
      </c>
      <c r="C49" s="7">
        <f>COUNTIFS(STATUS!$Q:$Q,C$1,STATUS!$K:$K,"РЕШ УВ DONE",STATUS!$D:$D,$A49)</f>
        <v>4</v>
      </c>
      <c r="D49" s="7">
        <f>COUNTIFS(STATUS!$Q:$Q,D$1,STATUS!$K:$K,"РЕШ УВ DONE",STATUS!$D:$D,$A49)</f>
        <v>4</v>
      </c>
      <c r="E49" s="7">
        <f>COUNTIFS(STATUS!$Q:$Q,E$1,STATUS!$K:$K,"РЕШ УВ DONE",STATUS!$D:$D,$A49)</f>
        <v>7</v>
      </c>
      <c r="F49" s="7">
        <f>COUNTIFS(STATUS!$Q:$Q,F$1,STATUS!$K:$K,"РЕШ УВ DONE",STATUS!$D:$D,$A49)</f>
        <v>0</v>
      </c>
      <c r="G49" s="7">
        <f>COUNTIFS(STATUS!$Q:$Q,G$1,STATUS!$K:$K,"РЕШ УВ DONE",STATUS!$D:$D,$A49)</f>
        <v>4</v>
      </c>
      <c r="H49" s="7">
        <f>COUNTIFS(STATUS!$Q:$Q,H$1,STATUS!$K:$K,"РЕШ УВ DONE",STATUS!$D:$D,$A49)</f>
        <v>0</v>
      </c>
      <c r="I49" s="7">
        <f>COUNTIFS(STATUS!$Q:$Q,I$1,STATUS!$K:$K,"РЕШ УВ DONE",STATUS!$D:$D,$A49)</f>
        <v>0</v>
      </c>
      <c r="J49" s="7">
        <f t="shared" si="2"/>
        <v>24</v>
      </c>
    </row>
    <row r="50" spans="1:10" x14ac:dyDescent="0.3">
      <c r="A50" s="6">
        <v>43888</v>
      </c>
      <c r="B50" s="7">
        <f>COUNTIFS(STATUS!$Q:$Q,B$1,STATUS!$K:$K,"РЕШ УВ DONE",STATUS!$D:$D,$A50)</f>
        <v>5</v>
      </c>
      <c r="C50" s="7">
        <f>COUNTIFS(STATUS!$Q:$Q,C$1,STATUS!$K:$K,"РЕШ УВ DONE",STATUS!$D:$D,$A50)</f>
        <v>5</v>
      </c>
      <c r="D50" s="7">
        <f>COUNTIFS(STATUS!$Q:$Q,D$1,STATUS!$K:$K,"РЕШ УВ DONE",STATUS!$D:$D,$A50)</f>
        <v>5</v>
      </c>
      <c r="E50" s="7">
        <f>COUNTIFS(STATUS!$Q:$Q,E$1,STATUS!$K:$K,"РЕШ УВ DONE",STATUS!$D:$D,$A50)</f>
        <v>3</v>
      </c>
      <c r="F50" s="7">
        <f>COUNTIFS(STATUS!$Q:$Q,F$1,STATUS!$K:$K,"РЕШ УВ DONE",STATUS!$D:$D,$A50)</f>
        <v>0</v>
      </c>
      <c r="G50" s="7">
        <f>COUNTIFS(STATUS!$Q:$Q,G$1,STATUS!$K:$K,"РЕШ УВ DONE",STATUS!$D:$D,$A50)</f>
        <v>5</v>
      </c>
      <c r="H50" s="7">
        <f>COUNTIFS(STATUS!$Q:$Q,H$1,STATUS!$K:$K,"РЕШ УВ DONE",STATUS!$D:$D,$A50)</f>
        <v>0</v>
      </c>
      <c r="I50" s="7">
        <f>COUNTIFS(STATUS!$Q:$Q,I$1,STATUS!$K:$K,"РЕШ УВ DONE",STATUS!$D:$D,$A50)</f>
        <v>0</v>
      </c>
      <c r="J50" s="7">
        <f t="shared" si="2"/>
        <v>23</v>
      </c>
    </row>
    <row r="51" spans="1:10" x14ac:dyDescent="0.3">
      <c r="A51" s="6">
        <v>43889</v>
      </c>
      <c r="B51" s="7">
        <f>COUNTIFS(STATUS!$Q:$Q,B$1,STATUS!$K:$K,"РЕШ УВ DONE",STATUS!$D:$D,$A51)</f>
        <v>2</v>
      </c>
      <c r="C51" s="7">
        <f>COUNTIFS(STATUS!$Q:$Q,C$1,STATUS!$K:$K,"РЕШ УВ DONE",STATUS!$D:$D,$A51)</f>
        <v>4</v>
      </c>
      <c r="D51" s="7">
        <f>COUNTIFS(STATUS!$Q:$Q,D$1,STATUS!$K:$K,"РЕШ УВ DONE",STATUS!$D:$D,$A51)</f>
        <v>3</v>
      </c>
      <c r="E51" s="7">
        <f>COUNTIFS(STATUS!$Q:$Q,E$1,STATUS!$K:$K,"РЕШ УВ DONE",STATUS!$D:$D,$A51)</f>
        <v>2</v>
      </c>
      <c r="F51" s="7">
        <f>COUNTIFS(STATUS!$Q:$Q,F$1,STATUS!$K:$K,"РЕШ УВ DONE",STATUS!$D:$D,$A51)</f>
        <v>0</v>
      </c>
      <c r="G51" s="7">
        <f>COUNTIFS(STATUS!$Q:$Q,G$1,STATUS!$K:$K,"РЕШ УВ DONE",STATUS!$D:$D,$A51)</f>
        <v>5</v>
      </c>
      <c r="H51" s="7">
        <f>COUNTIFS(STATUS!$Q:$Q,H$1,STATUS!$K:$K,"РЕШ УВ DONE",STATUS!$D:$D,$A51)</f>
        <v>0</v>
      </c>
      <c r="I51" s="7">
        <f>COUNTIFS(STATUS!$Q:$Q,I$1,STATUS!$K:$K,"РЕШ УВ DONE",STATUS!$D:$D,$A51)</f>
        <v>0</v>
      </c>
      <c r="J51" s="7">
        <f t="shared" si="2"/>
        <v>16</v>
      </c>
    </row>
    <row r="52" spans="1:10" x14ac:dyDescent="0.3">
      <c r="A52" s="6">
        <v>43892</v>
      </c>
      <c r="B52" s="7">
        <f>COUNTIFS(STATUS!$Q:$Q,B$1,STATUS!$K:$K,"РЕШ УВ DONE",STATUS!$D:$D,$A52)</f>
        <v>4</v>
      </c>
      <c r="C52" s="7">
        <f>COUNTIFS(STATUS!$Q:$Q,C$1,STATUS!$K:$K,"РЕШ УВ DONE",STATUS!$D:$D,$A52)</f>
        <v>5</v>
      </c>
      <c r="D52" s="7">
        <f>COUNTIFS(STATUS!$Q:$Q,D$1,STATUS!$K:$K,"РЕШ УВ DONE",STATUS!$D:$D,$A52)</f>
        <v>3</v>
      </c>
      <c r="E52" s="7">
        <f>COUNTIFS(STATUS!$Q:$Q,E$1,STATUS!$K:$K,"РЕШ УВ DONE",STATUS!$D:$D,$A52)</f>
        <v>3</v>
      </c>
      <c r="F52" s="7">
        <f>COUNTIFS(STATUS!$Q:$Q,F$1,STATUS!$K:$K,"РЕШ УВ DONE",STATUS!$D:$D,$A52)</f>
        <v>0</v>
      </c>
      <c r="G52" s="7">
        <f>COUNTIFS(STATUS!$Q:$Q,G$1,STATUS!$K:$K,"РЕШ УВ DONE",STATUS!$D:$D,$A52)</f>
        <v>4</v>
      </c>
      <c r="H52" s="7">
        <f>COUNTIFS(STATUS!$Q:$Q,H$1,STATUS!$K:$K,"РЕШ УВ DONE",STATUS!$D:$D,$A52)</f>
        <v>0</v>
      </c>
      <c r="I52" s="7">
        <f>COUNTIFS(STATUS!$Q:$Q,I$1,STATUS!$K:$K,"РЕШ УВ DONE",STATUS!$D:$D,$A52)</f>
        <v>0</v>
      </c>
      <c r="J52" s="7">
        <f t="shared" si="2"/>
        <v>19</v>
      </c>
    </row>
    <row r="53" spans="1:10" x14ac:dyDescent="0.3">
      <c r="A53" s="6">
        <v>43893</v>
      </c>
      <c r="B53" s="7">
        <f>COUNTIFS(STATUS!$Q:$Q,B$1,STATUS!$K:$K,"РЕШ УВ DONE",STATUS!$D:$D,$A53)</f>
        <v>4</v>
      </c>
      <c r="C53" s="7">
        <f>COUNTIFS(STATUS!$Q:$Q,C$1,STATUS!$K:$K,"РЕШ УВ DONE",STATUS!$D:$D,$A53)</f>
        <v>2</v>
      </c>
      <c r="D53" s="7">
        <f>COUNTIFS(STATUS!$Q:$Q,D$1,STATUS!$K:$K,"РЕШ УВ DONE",STATUS!$D:$D,$A53)</f>
        <v>4</v>
      </c>
      <c r="E53" s="7">
        <f>COUNTIFS(STATUS!$Q:$Q,E$1,STATUS!$K:$K,"РЕШ УВ DONE",STATUS!$D:$D,$A53)</f>
        <v>5</v>
      </c>
      <c r="F53" s="7">
        <f>COUNTIFS(STATUS!$Q:$Q,F$1,STATUS!$K:$K,"РЕШ УВ DONE",STATUS!$D:$D,$A53)</f>
        <v>0</v>
      </c>
      <c r="G53" s="7">
        <f>COUNTIFS(STATUS!$Q:$Q,G$1,STATUS!$K:$K,"РЕШ УВ DONE",STATUS!$D:$D,$A53)</f>
        <v>3</v>
      </c>
      <c r="H53" s="7">
        <f>COUNTIFS(STATUS!$Q:$Q,H$1,STATUS!$K:$K,"РЕШ УВ DONE",STATUS!$D:$D,$A53)</f>
        <v>0</v>
      </c>
      <c r="I53" s="7">
        <f>COUNTIFS(STATUS!$Q:$Q,I$1,STATUS!$K:$K,"РЕШ УВ DONE",STATUS!$D:$D,$A53)</f>
        <v>0</v>
      </c>
      <c r="J53" s="7">
        <f t="shared" si="2"/>
        <v>18</v>
      </c>
    </row>
    <row r="54" spans="1:10" x14ac:dyDescent="0.3">
      <c r="A54" s="6">
        <v>43894</v>
      </c>
      <c r="B54" s="7">
        <f>COUNTIFS(STATUS!$Q:$Q,B$1,STATUS!$K:$K,"РЕШ УВ DONE",STATUS!$D:$D,$A54)</f>
        <v>4</v>
      </c>
      <c r="C54" s="7">
        <f>COUNTIFS(STATUS!$Q:$Q,C$1,STATUS!$K:$K,"РЕШ УВ DONE",STATUS!$D:$D,$A54)</f>
        <v>5</v>
      </c>
      <c r="D54" s="7">
        <f>COUNTIFS(STATUS!$Q:$Q,D$1,STATUS!$K:$K,"РЕШ УВ DONE",STATUS!$D:$D,$A54)</f>
        <v>4</v>
      </c>
      <c r="E54" s="7">
        <f>COUNTIFS(STATUS!$Q:$Q,E$1,STATUS!$K:$K,"РЕШ УВ DONE",STATUS!$D:$D,$A54)</f>
        <v>5</v>
      </c>
      <c r="F54" s="7">
        <f>COUNTIFS(STATUS!$Q:$Q,F$1,STATUS!$K:$K,"РЕШ УВ DONE",STATUS!$D:$D,$A54)</f>
        <v>0</v>
      </c>
      <c r="G54" s="7">
        <f>COUNTIFS(STATUS!$Q:$Q,G$1,STATUS!$K:$K,"РЕШ УВ DONE",STATUS!$D:$D,$A54)</f>
        <v>0</v>
      </c>
      <c r="H54" s="7">
        <f>COUNTIFS(STATUS!$Q:$Q,H$1,STATUS!$K:$K,"РЕШ УВ DONE",STATUS!$D:$D,$A54)</f>
        <v>0</v>
      </c>
      <c r="I54" s="7">
        <f>COUNTIFS(STATUS!$Q:$Q,I$1,STATUS!$K:$K,"РЕШ УВ DONE",STATUS!$D:$D,$A54)</f>
        <v>0</v>
      </c>
      <c r="J54" s="7">
        <f t="shared" si="2"/>
        <v>18</v>
      </c>
    </row>
    <row r="55" spans="1:10" x14ac:dyDescent="0.3">
      <c r="A55" s="6">
        <v>43895</v>
      </c>
      <c r="B55" s="7">
        <f>COUNTIFS(STATUS!$Q:$Q,B$1,STATUS!$K:$K,"РЕШ УВ DONE",STATUS!$D:$D,$A55)</f>
        <v>5</v>
      </c>
      <c r="C55" s="7">
        <f>COUNTIFS(STATUS!$Q:$Q,C$1,STATUS!$K:$K,"РЕШ УВ DONE",STATUS!$D:$D,$A55)</f>
        <v>5</v>
      </c>
      <c r="D55" s="7">
        <f>COUNTIFS(STATUS!$Q:$Q,D$1,STATUS!$K:$K,"РЕШ УВ DONE",STATUS!$D:$D,$A55)</f>
        <v>5</v>
      </c>
      <c r="E55" s="7">
        <f>COUNTIFS(STATUS!$Q:$Q,E$1,STATUS!$K:$K,"РЕШ УВ DONE",STATUS!$D:$D,$A55)</f>
        <v>3</v>
      </c>
      <c r="F55" s="7">
        <f>COUNTIFS(STATUS!$Q:$Q,F$1,STATUS!$K:$K,"РЕШ УВ DONE",STATUS!$D:$D,$A55)</f>
        <v>0</v>
      </c>
      <c r="G55" s="7">
        <f>COUNTIFS(STATUS!$Q:$Q,G$1,STATUS!$K:$K,"РЕШ УВ DONE",STATUS!$D:$D,$A55)</f>
        <v>0</v>
      </c>
      <c r="H55" s="7">
        <f>COUNTIFS(STATUS!$Q:$Q,H$1,STATUS!$K:$K,"РЕШ УВ DONE",STATUS!$D:$D,$A55)</f>
        <v>0</v>
      </c>
      <c r="I55" s="7">
        <f>COUNTIFS(STATUS!$Q:$Q,I$1,STATUS!$K:$K,"РЕШ УВ DONE",STATUS!$D:$D,$A55)</f>
        <v>0</v>
      </c>
      <c r="J55" s="7">
        <f t="shared" si="2"/>
        <v>18</v>
      </c>
    </row>
    <row r="56" spans="1:10" x14ac:dyDescent="0.3">
      <c r="A56" s="6">
        <v>43896</v>
      </c>
      <c r="B56" s="7">
        <f>COUNTIFS(STATUS!$Q:$Q,B$1,STATUS!$K:$K,"РЕШ УВ DONE",STATUS!$D:$D,$A56)</f>
        <v>4</v>
      </c>
      <c r="C56" s="7">
        <f>COUNTIFS(STATUS!$Q:$Q,C$1,STATUS!$K:$K,"РЕШ УВ DONE",STATUS!$D:$D,$A56)</f>
        <v>6</v>
      </c>
      <c r="D56" s="7">
        <f>COUNTIFS(STATUS!$Q:$Q,D$1,STATUS!$K:$K,"РЕШ УВ DONE",STATUS!$D:$D,$A56)</f>
        <v>3</v>
      </c>
      <c r="E56" s="7">
        <f>COUNTIFS(STATUS!$Q:$Q,E$1,STATUS!$K:$K,"РЕШ УВ DONE",STATUS!$D:$D,$A56)</f>
        <v>6</v>
      </c>
      <c r="F56" s="7">
        <f>COUNTIFS(STATUS!$Q:$Q,F$1,STATUS!$K:$K,"РЕШ УВ DONE",STATUS!$D:$D,$A56)</f>
        <v>0</v>
      </c>
      <c r="G56" s="7">
        <f>COUNTIFS(STATUS!$Q:$Q,G$1,STATUS!$K:$K,"РЕШ УВ DONE",STATUS!$D:$D,$A56)</f>
        <v>0</v>
      </c>
      <c r="H56" s="7">
        <f>COUNTIFS(STATUS!$Q:$Q,H$1,STATUS!$K:$K,"РЕШ УВ DONE",STATUS!$D:$D,$A56)</f>
        <v>0</v>
      </c>
      <c r="I56" s="7">
        <f>COUNTIFS(STATUS!$Q:$Q,I$1,STATUS!$K:$K,"РЕШ УВ DONE",STATUS!$D:$D,$A56)</f>
        <v>0</v>
      </c>
      <c r="J56" s="7">
        <f t="shared" ref="J56:J73" si="3">SUM(B56:I56)</f>
        <v>19</v>
      </c>
    </row>
    <row r="57" spans="1:10" x14ac:dyDescent="0.3">
      <c r="A57" s="6">
        <v>43900</v>
      </c>
      <c r="B57" s="7">
        <f>COUNTIFS(STATUS!$Q:$Q,B$1,STATUS!$K:$K,"РЕШ УВ DONE",STATUS!$D:$D,$A57)</f>
        <v>4</v>
      </c>
      <c r="C57" s="7">
        <f>COUNTIFS(STATUS!$Q:$Q,C$1,STATUS!$K:$K,"РЕШ УВ DONE",STATUS!$D:$D,$A57)</f>
        <v>3</v>
      </c>
      <c r="D57" s="7">
        <f>COUNTIFS(STATUS!$Q:$Q,D$1,STATUS!$K:$K,"РЕШ УВ DONE",STATUS!$D:$D,$A57)</f>
        <v>4</v>
      </c>
      <c r="E57" s="7">
        <f>COUNTIFS(STATUS!$Q:$Q,E$1,STATUS!$K:$K,"РЕШ УВ DONE",STATUS!$D:$D,$A57)</f>
        <v>2</v>
      </c>
      <c r="F57" s="7">
        <f>COUNTIFS(STATUS!$Q:$Q,F$1,STATUS!$K:$K,"РЕШ УВ DONE",STATUS!$D:$D,$A57)</f>
        <v>0</v>
      </c>
      <c r="G57" s="7">
        <f>COUNTIFS(STATUS!$Q:$Q,G$1,STATUS!$K:$K,"РЕШ УВ DONE",STATUS!$D:$D,$A57)</f>
        <v>0</v>
      </c>
      <c r="H57" s="7">
        <f>COUNTIFS(STATUS!$Q:$Q,H$1,STATUS!$K:$K,"РЕШ УВ DONE",STATUS!$D:$D,$A57)</f>
        <v>0</v>
      </c>
      <c r="I57" s="7">
        <f>COUNTIFS(STATUS!$Q:$Q,I$1,STATUS!$K:$K,"РЕШ УВ DONE",STATUS!$D:$D,$A57)</f>
        <v>0</v>
      </c>
      <c r="J57" s="7">
        <f t="shared" si="3"/>
        <v>13</v>
      </c>
    </row>
    <row r="58" spans="1:10" x14ac:dyDescent="0.3">
      <c r="A58" s="6">
        <v>43901</v>
      </c>
      <c r="B58" s="7">
        <f>COUNTIFS(STATUS!$Q:$Q,B$1,STATUS!$K:$K,"РЕШ УВ DONE",STATUS!$D:$D,$A58)</f>
        <v>4</v>
      </c>
      <c r="C58" s="7">
        <f>COUNTIFS(STATUS!$Q:$Q,C$1,STATUS!$K:$K,"РЕШ УВ DONE",STATUS!$D:$D,$A58)</f>
        <v>5</v>
      </c>
      <c r="D58" s="7">
        <f>COUNTIFS(STATUS!$Q:$Q,D$1,STATUS!$K:$K,"РЕШ УВ DONE",STATUS!$D:$D,$A58)</f>
        <v>3</v>
      </c>
      <c r="E58" s="7">
        <f>COUNTIFS(STATUS!$Q:$Q,E$1,STATUS!$K:$K,"РЕШ УВ DONE",STATUS!$D:$D,$A58)</f>
        <v>6</v>
      </c>
      <c r="F58" s="7">
        <f>COUNTIFS(STATUS!$Q:$Q,F$1,STATUS!$K:$K,"РЕШ УВ DONE",STATUS!$D:$D,$A58)</f>
        <v>0</v>
      </c>
      <c r="G58" s="7">
        <f>COUNTIFS(STATUS!$Q:$Q,G$1,STATUS!$K:$K,"РЕШ УВ DONE",STATUS!$D:$D,$A58)</f>
        <v>0</v>
      </c>
      <c r="H58" s="7">
        <f>COUNTIFS(STATUS!$Q:$Q,H$1,STATUS!$K:$K,"РЕШ УВ DONE",STATUS!$D:$D,$A58)</f>
        <v>0</v>
      </c>
      <c r="I58" s="7">
        <f>COUNTIFS(STATUS!$Q:$Q,I$1,STATUS!$K:$K,"РЕШ УВ DONE",STATUS!$D:$D,$A58)</f>
        <v>0</v>
      </c>
      <c r="J58" s="7">
        <f t="shared" si="3"/>
        <v>18</v>
      </c>
    </row>
    <row r="59" spans="1:10" x14ac:dyDescent="0.3">
      <c r="A59" s="6">
        <v>43902</v>
      </c>
      <c r="B59" s="7">
        <f>COUNTIFS(STATUS!$Q:$Q,B$1,STATUS!$K:$K,"РЕШ УВ DONE",STATUS!$D:$D,$A59)</f>
        <v>4</v>
      </c>
      <c r="C59" s="7">
        <f>COUNTIFS(STATUS!$Q:$Q,C$1,STATUS!$K:$K,"РЕШ УВ DONE",STATUS!$D:$D,$A59)</f>
        <v>5</v>
      </c>
      <c r="D59" s="7">
        <f>COUNTIFS(STATUS!$Q:$Q,D$1,STATUS!$K:$K,"РЕШ УВ DONE",STATUS!$D:$D,$A59)</f>
        <v>3</v>
      </c>
      <c r="E59" s="7">
        <f>COUNTIFS(STATUS!$Q:$Q,E$1,STATUS!$K:$K,"РЕШ УВ DONE",STATUS!$D:$D,$A59)</f>
        <v>4</v>
      </c>
      <c r="F59" s="7">
        <f>COUNTIFS(STATUS!$Q:$Q,F$1,STATUS!$K:$K,"РЕШ УВ DONE",STATUS!$D:$D,$A59)</f>
        <v>0</v>
      </c>
      <c r="G59" s="7">
        <f>COUNTIFS(STATUS!$Q:$Q,G$1,STATUS!$K:$K,"РЕШ УВ DONE",STATUS!$D:$D,$A59)</f>
        <v>0</v>
      </c>
      <c r="H59" s="7">
        <f>COUNTIFS(STATUS!$Q:$Q,H$1,STATUS!$K:$K,"РЕШ УВ DONE",STATUS!$D:$D,$A59)</f>
        <v>0</v>
      </c>
      <c r="I59" s="7">
        <f>COUNTIFS(STATUS!$Q:$Q,I$1,STATUS!$K:$K,"РЕШ УВ DONE",STATUS!$D:$D,$A59)</f>
        <v>0</v>
      </c>
      <c r="J59" s="7">
        <f t="shared" si="3"/>
        <v>16</v>
      </c>
    </row>
    <row r="60" spans="1:10" x14ac:dyDescent="0.3">
      <c r="A60" s="6">
        <v>43903</v>
      </c>
      <c r="B60" s="7">
        <f>COUNTIFS(STATUS!$Q:$Q,B$1,STATUS!$K:$K,"РЕШ УВ DONE",STATUS!$D:$D,$A60)</f>
        <v>3</v>
      </c>
      <c r="C60" s="7">
        <f>COUNTIFS(STATUS!$Q:$Q,C$1,STATUS!$K:$K,"РЕШ УВ DONE",STATUS!$D:$D,$A60)</f>
        <v>6</v>
      </c>
      <c r="D60" s="7">
        <f>COUNTIFS(STATUS!$Q:$Q,D$1,STATUS!$K:$K,"РЕШ УВ DONE",STATUS!$D:$D,$A60)</f>
        <v>5</v>
      </c>
      <c r="E60" s="7">
        <f>COUNTIFS(STATUS!$Q:$Q,E$1,STATUS!$K:$K,"РЕШ УВ DONE",STATUS!$D:$D,$A60)</f>
        <v>3</v>
      </c>
      <c r="F60" s="7">
        <f>COUNTIFS(STATUS!$Q:$Q,F$1,STATUS!$K:$K,"РЕШ УВ DONE",STATUS!$D:$D,$A60)</f>
        <v>0</v>
      </c>
      <c r="G60" s="7">
        <f>COUNTIFS(STATUS!$Q:$Q,G$1,STATUS!$K:$K,"РЕШ УВ DONE",STATUS!$D:$D,$A60)</f>
        <v>0</v>
      </c>
      <c r="H60" s="7">
        <f>COUNTIFS(STATUS!$Q:$Q,H$1,STATUS!$K:$K,"РЕШ УВ DONE",STATUS!$D:$D,$A60)</f>
        <v>0</v>
      </c>
      <c r="I60" s="7">
        <f>COUNTIFS(STATUS!$Q:$Q,I$1,STATUS!$K:$K,"РЕШ УВ DONE",STATUS!$D:$D,$A60)</f>
        <v>0</v>
      </c>
      <c r="J60" s="7">
        <f t="shared" si="3"/>
        <v>17</v>
      </c>
    </row>
    <row r="61" spans="1:10" x14ac:dyDescent="0.3">
      <c r="A61" s="6">
        <v>43906</v>
      </c>
      <c r="B61" s="7">
        <f>COUNTIFS(STATUS!$Q:$Q,B$1,STATUS!$K:$K,"РЕШ УВ DONE",STATUS!$D:$D,$A61)</f>
        <v>4</v>
      </c>
      <c r="C61" s="7">
        <f>COUNTIFS(STATUS!$Q:$Q,C$1,STATUS!$K:$K,"РЕШ УВ DONE",STATUS!$D:$D,$A61)</f>
        <v>4</v>
      </c>
      <c r="D61" s="7">
        <f>COUNTIFS(STATUS!$Q:$Q,D$1,STATUS!$K:$K,"РЕШ УВ DONE",STATUS!$D:$D,$A61)</f>
        <v>3</v>
      </c>
      <c r="E61" s="7">
        <f>COUNTIFS(STATUS!$Q:$Q,E$1,STATUS!$K:$K,"РЕШ УВ DONE",STATUS!$D:$D,$A61)</f>
        <v>4</v>
      </c>
      <c r="F61" s="7">
        <f>COUNTIFS(STATUS!$Q:$Q,F$1,STATUS!$K:$K,"РЕШ УВ DONE",STATUS!$D:$D,$A61)</f>
        <v>0</v>
      </c>
      <c r="G61" s="7">
        <f>COUNTIFS(STATUS!$Q:$Q,G$1,STATUS!$K:$K,"РЕШ УВ DONE",STATUS!$D:$D,$A61)</f>
        <v>0</v>
      </c>
      <c r="H61" s="7">
        <f>COUNTIFS(STATUS!$Q:$Q,H$1,STATUS!$K:$K,"РЕШ УВ DONE",STATUS!$D:$D,$A61)</f>
        <v>0</v>
      </c>
      <c r="I61" s="7">
        <f>COUNTIFS(STATUS!$Q:$Q,I$1,STATUS!$K:$K,"РЕШ УВ DONE",STATUS!$D:$D,$A61)</f>
        <v>0</v>
      </c>
      <c r="J61" s="7">
        <f t="shared" si="3"/>
        <v>15</v>
      </c>
    </row>
    <row r="62" spans="1:10" x14ac:dyDescent="0.3">
      <c r="A62" s="6">
        <v>43907</v>
      </c>
      <c r="B62" s="7">
        <f>COUNTIFS(STATUS!$Q:$Q,B$1,STATUS!$K:$K,"РЕШ УВ DONE",STATUS!$D:$D,$A62)</f>
        <v>3</v>
      </c>
      <c r="C62" s="7">
        <f>COUNTIFS(STATUS!$Q:$Q,C$1,STATUS!$K:$K,"РЕШ УВ DONE",STATUS!$D:$D,$A62)</f>
        <v>6</v>
      </c>
      <c r="D62" s="7">
        <f>COUNTIFS(STATUS!$Q:$Q,D$1,STATUS!$K:$K,"РЕШ УВ DONE",STATUS!$D:$D,$A62)</f>
        <v>3</v>
      </c>
      <c r="E62" s="7">
        <f>COUNTIFS(STATUS!$Q:$Q,E$1,STATUS!$K:$K,"РЕШ УВ DONE",STATUS!$D:$D,$A62)</f>
        <v>4</v>
      </c>
      <c r="F62" s="7">
        <f>COUNTIFS(STATUS!$Q:$Q,F$1,STATUS!$K:$K,"РЕШ УВ DONE",STATUS!$D:$D,$A62)</f>
        <v>0</v>
      </c>
      <c r="G62" s="7">
        <f>COUNTIFS(STATUS!$Q:$Q,G$1,STATUS!$K:$K,"РЕШ УВ DONE",STATUS!$D:$D,$A62)</f>
        <v>0</v>
      </c>
      <c r="H62" s="7">
        <f>COUNTIFS(STATUS!$Q:$Q,H$1,STATUS!$K:$K,"РЕШ УВ DONE",STATUS!$D:$D,$A62)</f>
        <v>0</v>
      </c>
      <c r="I62" s="7">
        <f>COUNTIFS(STATUS!$Q:$Q,I$1,STATUS!$K:$K,"РЕШ УВ DONE",STATUS!$D:$D,$A62)</f>
        <v>0</v>
      </c>
      <c r="J62" s="7">
        <f t="shared" si="3"/>
        <v>16</v>
      </c>
    </row>
    <row r="63" spans="1:10" x14ac:dyDescent="0.3">
      <c r="A63" s="6">
        <v>43908</v>
      </c>
      <c r="B63" s="7">
        <f>COUNTIFS(STATUS!$Q:$Q,B$1,STATUS!$K:$K,"РЕШ УВ DONE",STATUS!$D:$D,$A63)</f>
        <v>4</v>
      </c>
      <c r="C63" s="7">
        <f>COUNTIFS(STATUS!$Q:$Q,C$1,STATUS!$K:$K,"РЕШ УВ DONE",STATUS!$D:$D,$A63)</f>
        <v>5</v>
      </c>
      <c r="D63" s="7">
        <f>COUNTIFS(STATUS!$Q:$Q,D$1,STATUS!$K:$K,"РЕШ УВ DONE",STATUS!$D:$D,$A63)</f>
        <v>4</v>
      </c>
      <c r="E63" s="7">
        <f>COUNTIFS(STATUS!$Q:$Q,E$1,STATUS!$K:$K,"РЕШ УВ DONE",STATUS!$D:$D,$A63)</f>
        <v>5</v>
      </c>
      <c r="F63" s="7">
        <f>COUNTIFS(STATUS!$Q:$Q,F$1,STATUS!$K:$K,"РЕШ УВ DONE",STATUS!$D:$D,$A63)</f>
        <v>0</v>
      </c>
      <c r="G63" s="7">
        <f>COUNTIFS(STATUS!$Q:$Q,G$1,STATUS!$K:$K,"РЕШ УВ DONE",STATUS!$D:$D,$A63)</f>
        <v>0</v>
      </c>
      <c r="H63" s="7">
        <f>COUNTIFS(STATUS!$Q:$Q,H$1,STATUS!$K:$K,"РЕШ УВ DONE",STATUS!$D:$D,$A63)</f>
        <v>0</v>
      </c>
      <c r="I63" s="7">
        <f>COUNTIFS(STATUS!$Q:$Q,I$1,STATUS!$K:$K,"РЕШ УВ DONE",STATUS!$D:$D,$A63)</f>
        <v>0</v>
      </c>
      <c r="J63" s="7">
        <f t="shared" si="3"/>
        <v>18</v>
      </c>
    </row>
    <row r="64" spans="1:10" x14ac:dyDescent="0.3">
      <c r="A64" s="6">
        <v>43909</v>
      </c>
      <c r="B64" s="7">
        <f>COUNTIFS(STATUS!$Q:$Q,B$1,STATUS!$K:$K,"РЕШ УВ DONE",STATUS!$D:$D,$A64)</f>
        <v>4</v>
      </c>
      <c r="C64" s="7">
        <f>COUNTIFS(STATUS!$Q:$Q,C$1,STATUS!$K:$K,"РЕШ УВ DONE",STATUS!$D:$D,$A64)</f>
        <v>5</v>
      </c>
      <c r="D64" s="7">
        <f>COUNTIFS(STATUS!$Q:$Q,D$1,STATUS!$K:$K,"РЕШ УВ DONE",STATUS!$D:$D,$A64)</f>
        <v>6</v>
      </c>
      <c r="E64" s="7">
        <f>COUNTIFS(STATUS!$Q:$Q,E$1,STATUS!$K:$K,"РЕШ УВ DONE",STATUS!$D:$D,$A64)</f>
        <v>4</v>
      </c>
      <c r="F64" s="7">
        <f>COUNTIFS(STATUS!$Q:$Q,F$1,STATUS!$K:$K,"РЕШ УВ DONE",STATUS!$D:$D,$A64)</f>
        <v>0</v>
      </c>
      <c r="G64" s="7">
        <f>COUNTIFS(STATUS!$Q:$Q,G$1,STATUS!$K:$K,"РЕШ УВ DONE",STATUS!$D:$D,$A64)</f>
        <v>0</v>
      </c>
      <c r="H64" s="7">
        <f>COUNTIFS(STATUS!$Q:$Q,H$1,STATUS!$K:$K,"РЕШ УВ DONE",STATUS!$D:$D,$A64)</f>
        <v>0</v>
      </c>
      <c r="I64" s="7">
        <f>COUNTIFS(STATUS!$Q:$Q,I$1,STATUS!$K:$K,"РЕШ УВ DONE",STATUS!$D:$D,$A64)</f>
        <v>0</v>
      </c>
      <c r="J64" s="7">
        <f t="shared" si="3"/>
        <v>19</v>
      </c>
    </row>
    <row r="65" spans="1:10" x14ac:dyDescent="0.3">
      <c r="A65" s="6">
        <v>43910</v>
      </c>
      <c r="B65" s="7">
        <f>COUNTIFS(STATUS!$Q:$Q,B$1,STATUS!$K:$K,"РЕШ УВ DONE",STATUS!$D:$D,$A65)</f>
        <v>2</v>
      </c>
      <c r="C65" s="7">
        <f>COUNTIFS(STATUS!$Q:$Q,C$1,STATUS!$K:$K,"РЕШ УВ DONE",STATUS!$D:$D,$A65)</f>
        <v>4</v>
      </c>
      <c r="D65" s="7">
        <f>COUNTIFS(STATUS!$Q:$Q,D$1,STATUS!$K:$K,"РЕШ УВ DONE",STATUS!$D:$D,$A65)</f>
        <v>2</v>
      </c>
      <c r="E65" s="7">
        <f>COUNTIFS(STATUS!$Q:$Q,E$1,STATUS!$K:$K,"РЕШ УВ DONE",STATUS!$D:$D,$A65)</f>
        <v>2</v>
      </c>
      <c r="F65" s="7">
        <f>COUNTIFS(STATUS!$Q:$Q,F$1,STATUS!$K:$K,"РЕШ УВ DONE",STATUS!$D:$D,$A65)</f>
        <v>0</v>
      </c>
      <c r="G65" s="7">
        <f>COUNTIFS(STATUS!$Q:$Q,G$1,STATUS!$K:$K,"РЕШ УВ DONE",STATUS!$D:$D,$A65)</f>
        <v>0</v>
      </c>
      <c r="H65" s="7">
        <f>COUNTIFS(STATUS!$Q:$Q,H$1,STATUS!$K:$K,"РЕШ УВ DONE",STATUS!$D:$D,$A65)</f>
        <v>0</v>
      </c>
      <c r="I65" s="7">
        <f>COUNTIFS(STATUS!$Q:$Q,I$1,STATUS!$K:$K,"РЕШ УВ DONE",STATUS!$D:$D,$A65)</f>
        <v>0</v>
      </c>
      <c r="J65" s="7">
        <f t="shared" si="3"/>
        <v>10</v>
      </c>
    </row>
    <row r="66" spans="1:10" x14ac:dyDescent="0.3">
      <c r="A66" s="6">
        <v>43913</v>
      </c>
      <c r="B66" s="7">
        <f>COUNTIFS(STATUS!$Q:$Q,B$1,STATUS!$K:$K,"РЕШ УВ DONE",STATUS!$D:$D,$A66)</f>
        <v>5</v>
      </c>
      <c r="C66" s="7">
        <f>COUNTIFS(STATUS!$Q:$Q,C$1,STATUS!$K:$K,"РЕШ УВ DONE",STATUS!$D:$D,$A66)</f>
        <v>4</v>
      </c>
      <c r="D66" s="7">
        <f>COUNTIFS(STATUS!$Q:$Q,D$1,STATUS!$K:$K,"РЕШ УВ DONE",STATUS!$D:$D,$A66)</f>
        <v>6</v>
      </c>
      <c r="E66" s="7">
        <f>COUNTIFS(STATUS!$Q:$Q,E$1,STATUS!$K:$K,"РЕШ УВ DONE",STATUS!$D:$D,$A66)</f>
        <v>4</v>
      </c>
      <c r="F66" s="7">
        <f>COUNTIFS(STATUS!$Q:$Q,F$1,STATUS!$K:$K,"РЕШ УВ DONE",STATUS!$D:$D,$A66)</f>
        <v>0</v>
      </c>
      <c r="G66" s="7">
        <f>COUNTIFS(STATUS!$Q:$Q,G$1,STATUS!$K:$K,"РЕШ УВ DONE",STATUS!$D:$D,$A66)</f>
        <v>0</v>
      </c>
      <c r="H66" s="7">
        <f>COUNTIFS(STATUS!$Q:$Q,H$1,STATUS!$K:$K,"РЕШ УВ DONE",STATUS!$D:$D,$A66)</f>
        <v>7</v>
      </c>
      <c r="I66" s="7">
        <f>COUNTIFS(STATUS!$Q:$Q,I$1,STATUS!$K:$K,"РЕШ УВ DONE",STATUS!$D:$D,$A66)</f>
        <v>0</v>
      </c>
      <c r="J66" s="7">
        <f t="shared" si="3"/>
        <v>26</v>
      </c>
    </row>
    <row r="67" spans="1:10" x14ac:dyDescent="0.3">
      <c r="A67" s="6">
        <v>43914</v>
      </c>
      <c r="B67" s="7">
        <f>COUNTIFS(STATUS!$Q:$Q,B$1,STATUS!$K:$K,"РЕШ УВ DONE",STATUS!$D:$D,$A67)</f>
        <v>4</v>
      </c>
      <c r="C67" s="7">
        <f>COUNTIFS(STATUS!$Q:$Q,C$1,STATUS!$K:$K,"РЕШ УВ DONE",STATUS!$D:$D,$A67)</f>
        <v>3</v>
      </c>
      <c r="D67" s="7">
        <f>COUNTIFS(STATUS!$Q:$Q,D$1,STATUS!$K:$K,"РЕШ УВ DONE",STATUS!$D:$D,$A67)</f>
        <v>3</v>
      </c>
      <c r="E67" s="7">
        <f>COUNTIFS(STATUS!$Q:$Q,E$1,STATUS!$K:$K,"РЕШ УВ DONE",STATUS!$D:$D,$A67)</f>
        <v>2</v>
      </c>
      <c r="F67" s="7">
        <f>COUNTIFS(STATUS!$Q:$Q,F$1,STATUS!$K:$K,"РЕШ УВ DONE",STATUS!$D:$D,$A67)</f>
        <v>0</v>
      </c>
      <c r="G67" s="7">
        <f>COUNTIFS(STATUS!$Q:$Q,G$1,STATUS!$K:$K,"РЕШ УВ DONE",STATUS!$D:$D,$A67)</f>
        <v>0</v>
      </c>
      <c r="H67" s="7">
        <f>COUNTIFS(STATUS!$Q:$Q,H$1,STATUS!$K:$K,"РЕШ УВ DONE",STATUS!$D:$D,$A67)</f>
        <v>3</v>
      </c>
      <c r="I67" s="7">
        <f>COUNTIFS(STATUS!$Q:$Q,I$1,STATUS!$K:$K,"РЕШ УВ DONE",STATUS!$D:$D,$A67)</f>
        <v>0</v>
      </c>
      <c r="J67" s="7">
        <f t="shared" si="3"/>
        <v>15</v>
      </c>
    </row>
    <row r="68" spans="1:10" x14ac:dyDescent="0.3">
      <c r="A68" s="6">
        <v>43915</v>
      </c>
      <c r="B68" s="7">
        <f>COUNTIFS(STATUS!$Q:$Q,B$1,STATUS!$K:$K,"РЕШ УВ DONE",STATUS!$D:$D,$A68)</f>
        <v>3</v>
      </c>
      <c r="C68" s="7">
        <f>COUNTIFS(STATUS!$Q:$Q,C$1,STATUS!$K:$K,"РЕШ УВ DONE",STATUS!$D:$D,$A68)</f>
        <v>5</v>
      </c>
      <c r="D68" s="7">
        <f>COUNTIFS(STATUS!$Q:$Q,D$1,STATUS!$K:$K,"РЕШ УВ DONE",STATUS!$D:$D,$A68)</f>
        <v>4</v>
      </c>
      <c r="E68" s="7">
        <f>COUNTIFS(STATUS!$Q:$Q,E$1,STATUS!$K:$K,"РЕШ УВ DONE",STATUS!$D:$D,$A68)</f>
        <v>5</v>
      </c>
      <c r="F68" s="7">
        <f>COUNTIFS(STATUS!$Q:$Q,F$1,STATUS!$K:$K,"РЕШ УВ DONE",STATUS!$D:$D,$A68)</f>
        <v>0</v>
      </c>
      <c r="G68" s="7">
        <f>COUNTIFS(STATUS!$Q:$Q,G$1,STATUS!$K:$K,"РЕШ УВ DONE",STATUS!$D:$D,$A68)</f>
        <v>0</v>
      </c>
      <c r="H68" s="7">
        <f>COUNTIFS(STATUS!$Q:$Q,H$1,STATUS!$K:$K,"РЕШ УВ DONE",STATUS!$D:$D,$A68)</f>
        <v>6</v>
      </c>
      <c r="I68" s="7">
        <f>COUNTIFS(STATUS!$Q:$Q,I$1,STATUS!$K:$K,"РЕШ УВ DONE",STATUS!$D:$D,$A68)</f>
        <v>0</v>
      </c>
      <c r="J68" s="7">
        <f t="shared" si="3"/>
        <v>23</v>
      </c>
    </row>
    <row r="69" spans="1:10" x14ac:dyDescent="0.3">
      <c r="A69" s="6">
        <v>43916</v>
      </c>
      <c r="B69" s="7">
        <f>COUNTIFS(STATUS!$Q:$Q,B$1,STATUS!$K:$K,"РЕШ УВ DONE",STATUS!$D:$D,$A69)</f>
        <v>3</v>
      </c>
      <c r="C69" s="7">
        <f>COUNTIFS(STATUS!$Q:$Q,C$1,STATUS!$K:$K,"РЕШ УВ DONE",STATUS!$D:$D,$A69)</f>
        <v>5</v>
      </c>
      <c r="D69" s="7">
        <f>COUNTIFS(STATUS!$Q:$Q,D$1,STATUS!$K:$K,"РЕШ УВ DONE",STATUS!$D:$D,$A69)</f>
        <v>4</v>
      </c>
      <c r="E69" s="7">
        <f>COUNTIFS(STATUS!$Q:$Q,E$1,STATUS!$K:$K,"РЕШ УВ DONE",STATUS!$D:$D,$A69)</f>
        <v>4</v>
      </c>
      <c r="F69" s="7">
        <f>COUNTIFS(STATUS!$Q:$Q,F$1,STATUS!$K:$K,"РЕШ УВ DONE",STATUS!$D:$D,$A69)</f>
        <v>0</v>
      </c>
      <c r="G69" s="7">
        <f>COUNTIFS(STATUS!$Q:$Q,G$1,STATUS!$K:$K,"РЕШ УВ DONE",STATUS!$D:$D,$A69)</f>
        <v>0</v>
      </c>
      <c r="H69" s="7">
        <f>COUNTIFS(STATUS!$Q:$Q,H$1,STATUS!$K:$K,"РЕШ УВ DONE",STATUS!$D:$D,$A69)</f>
        <v>4</v>
      </c>
      <c r="I69" s="7">
        <f>COUNTIFS(STATUS!$Q:$Q,I$1,STATUS!$K:$K,"РЕШ УВ DONE",STATUS!$D:$D,$A69)</f>
        <v>0</v>
      </c>
      <c r="J69" s="7">
        <f t="shared" si="3"/>
        <v>20</v>
      </c>
    </row>
    <row r="70" spans="1:10" x14ac:dyDescent="0.3">
      <c r="A70" s="6">
        <v>43917</v>
      </c>
      <c r="B70" s="7">
        <f>COUNTIFS(STATUS!$Q:$Q,B$1,STATUS!$K:$K,"РЕШ УВ DONE",STATUS!$D:$D,$A70)</f>
        <v>2</v>
      </c>
      <c r="C70" s="7">
        <f>COUNTIFS(STATUS!$Q:$Q,C$1,STATUS!$K:$K,"РЕШ УВ DONE",STATUS!$D:$D,$A70)</f>
        <v>5</v>
      </c>
      <c r="D70" s="7">
        <f>COUNTIFS(STATUS!$Q:$Q,D$1,STATUS!$K:$K,"РЕШ УВ DONE",STATUS!$D:$D,$A70)</f>
        <v>5</v>
      </c>
      <c r="E70" s="7">
        <f>COUNTIFS(STATUS!$Q:$Q,E$1,STATUS!$K:$K,"РЕШ УВ DONE",STATUS!$D:$D,$A70)</f>
        <v>2</v>
      </c>
      <c r="F70" s="7">
        <f>COUNTIFS(STATUS!$Q:$Q,F$1,STATUS!$K:$K,"РЕШ УВ DONE",STATUS!$D:$D,$A70)</f>
        <v>0</v>
      </c>
      <c r="G70" s="7">
        <f>COUNTIFS(STATUS!$Q:$Q,G$1,STATUS!$K:$K,"РЕШ УВ DONE",STATUS!$D:$D,$A70)</f>
        <v>0</v>
      </c>
      <c r="H70" s="7">
        <f>COUNTIFS(STATUS!$Q:$Q,H$1,STATUS!$K:$K,"РЕШ УВ DONE",STATUS!$D:$D,$A70)</f>
        <v>2</v>
      </c>
      <c r="I70" s="7">
        <f>COUNTIFS(STATUS!$Q:$Q,I$1,STATUS!$K:$K,"РЕШ УВ DONE",STATUS!$D:$D,$A70)</f>
        <v>0</v>
      </c>
      <c r="J70" s="7">
        <f t="shared" si="3"/>
        <v>16</v>
      </c>
    </row>
    <row r="71" spans="1:10" x14ac:dyDescent="0.3">
      <c r="A71" s="6">
        <v>43927</v>
      </c>
      <c r="B71" s="7">
        <f>COUNTIFS(STATUS!$Q:$Q,B$1,STATUS!$K:$K,"РЕШ УВ DONE",STATUS!$D:$D,$A71)</f>
        <v>4</v>
      </c>
      <c r="C71" s="7">
        <f>COUNTIFS(STATUS!$Q:$Q,C$1,STATUS!$K:$K,"РЕШ УВ DONE",STATUS!$D:$D,$A71)</f>
        <v>4</v>
      </c>
      <c r="D71" s="7">
        <f>COUNTIFS(STATUS!$Q:$Q,D$1,STATUS!$K:$K,"РЕШ УВ DONE",STATUS!$D:$D,$A71)</f>
        <v>4</v>
      </c>
      <c r="E71" s="7">
        <f>COUNTIFS(STATUS!$Q:$Q,E$1,STATUS!$K:$K,"РЕШ УВ DONE",STATUS!$D:$D,$A71)</f>
        <v>3</v>
      </c>
      <c r="F71" s="7">
        <f>COUNTIFS(STATUS!$Q:$Q,F$1,STATUS!$K:$K,"РЕШ УВ DONE",STATUS!$D:$D,$A71)</f>
        <v>0</v>
      </c>
      <c r="G71" s="7">
        <f>COUNTIFS(STATUS!$Q:$Q,G$1,STATUS!$K:$K,"РЕШ УВ DONE",STATUS!$D:$D,$A71)</f>
        <v>7</v>
      </c>
      <c r="H71" s="7">
        <f>COUNTIFS(STATUS!$Q:$Q,H$1,STATUS!$K:$K,"РЕШ УВ DONE",STATUS!$D:$D,$A71)</f>
        <v>4</v>
      </c>
      <c r="I71" s="7">
        <f>COUNTIFS(STATUS!$Q:$Q,I$1,STATUS!$K:$K,"РЕШ УВ DONE",STATUS!$D:$D,$A71)</f>
        <v>0</v>
      </c>
      <c r="J71" s="7">
        <f t="shared" si="3"/>
        <v>26</v>
      </c>
    </row>
    <row r="72" spans="1:10" x14ac:dyDescent="0.3">
      <c r="A72" s="6">
        <v>43928</v>
      </c>
      <c r="B72" s="7">
        <f>COUNTIFS(STATUS!$Q:$Q,B$1,STATUS!$K:$K,"РЕШ УВ DONE",STATUS!$D:$D,$A72)</f>
        <v>3</v>
      </c>
      <c r="C72" s="7">
        <f>COUNTIFS(STATUS!$Q:$Q,C$1,STATUS!$K:$K,"РЕШ УВ DONE",STATUS!$D:$D,$A72)</f>
        <v>2</v>
      </c>
      <c r="D72" s="7">
        <f>COUNTIFS(STATUS!$Q:$Q,D$1,STATUS!$K:$K,"РЕШ УВ DONE",STATUS!$D:$D,$A72)</f>
        <v>6</v>
      </c>
      <c r="E72" s="7">
        <f>COUNTIFS(STATUS!$Q:$Q,E$1,STATUS!$K:$K,"РЕШ УВ DONE",STATUS!$D:$D,$A72)</f>
        <v>4</v>
      </c>
      <c r="F72" s="7">
        <f>COUNTIFS(STATUS!$Q:$Q,F$1,STATUS!$K:$K,"РЕШ УВ DONE",STATUS!$D:$D,$A72)</f>
        <v>0</v>
      </c>
      <c r="G72" s="7">
        <f>COUNTIFS(STATUS!$Q:$Q,G$1,STATUS!$K:$K,"РЕШ УВ DONE",STATUS!$D:$D,$A72)</f>
        <v>2</v>
      </c>
      <c r="H72" s="7">
        <f>COUNTIFS(STATUS!$Q:$Q,H$1,STATUS!$K:$K,"РЕШ УВ DONE",STATUS!$D:$D,$A72)</f>
        <v>5</v>
      </c>
      <c r="I72" s="7">
        <f>COUNTIFS(STATUS!$Q:$Q,I$1,STATUS!$K:$K,"РЕШ УВ DONE",STATUS!$D:$D,$A72)</f>
        <v>0</v>
      </c>
      <c r="J72" s="7">
        <f t="shared" si="3"/>
        <v>22</v>
      </c>
    </row>
    <row r="73" spans="1:10" x14ac:dyDescent="0.3">
      <c r="A73" s="6">
        <v>43929</v>
      </c>
      <c r="B73" s="7">
        <f>COUNTIFS(STATUS!$Q:$Q,B$1,STATUS!$K:$K,"РЕШ УВ DONE",STATUS!$D:$D,$A73)</f>
        <v>0</v>
      </c>
      <c r="C73" s="7">
        <f>COUNTIFS(STATUS!$Q:$Q,C$1,STATUS!$K:$K,"РЕШ УВ DONE",STATUS!$D:$D,$A73)</f>
        <v>6</v>
      </c>
      <c r="D73" s="7">
        <f>COUNTIFS(STATUS!$Q:$Q,D$1,STATUS!$K:$K,"РЕШ УВ DONE",STATUS!$D:$D,$A73)</f>
        <v>6</v>
      </c>
      <c r="E73" s="7">
        <f>COUNTIFS(STATUS!$Q:$Q,E$1,STATUS!$K:$K,"РЕШ УВ DONE",STATUS!$D:$D,$A73)</f>
        <v>1</v>
      </c>
      <c r="F73" s="7">
        <f>COUNTIFS(STATUS!$Q:$Q,F$1,STATUS!$K:$K,"РЕШ УВ DONE",STATUS!$D:$D,$A73)</f>
        <v>0</v>
      </c>
      <c r="G73" s="7">
        <f>COUNTIFS(STATUS!$Q:$Q,G$1,STATUS!$K:$K,"РЕШ УВ DONE",STATUS!$D:$D,$A73)</f>
        <v>4</v>
      </c>
      <c r="H73" s="7">
        <f>COUNTIFS(STATUS!$Q:$Q,H$1,STATUS!$K:$K,"РЕШ УВ DONE",STATUS!$D:$D,$A73)</f>
        <v>2</v>
      </c>
      <c r="I73" s="7">
        <f>COUNTIFS(STATUS!$Q:$Q,I$1,STATUS!$K:$K,"РЕШ УВ DONE",STATUS!$D:$D,$A73)</f>
        <v>0</v>
      </c>
      <c r="J73" s="7">
        <f t="shared" si="3"/>
        <v>19</v>
      </c>
    </row>
    <row r="74" spans="1:10" x14ac:dyDescent="0.3">
      <c r="A74" s="6">
        <v>43963</v>
      </c>
      <c r="B74" s="7">
        <f>COUNTIFS(STATUS!$Q:$Q,B$1,STATUS!$K:$K,"РЕШ УВ DONE",STATUS!$D:$D,$A74)</f>
        <v>5</v>
      </c>
      <c r="C74" s="7">
        <f>COUNTIFS(STATUS!$Q:$Q,C$1,STATUS!$K:$K,"РЕШ УВ DONE",STATUS!$D:$D,$A74)</f>
        <v>3</v>
      </c>
      <c r="D74" s="7">
        <f>COUNTIFS(STATUS!$Q:$Q,D$1,STATUS!$K:$K,"РЕШ УВ DONE",STATUS!$D:$D,$A74)</f>
        <v>5</v>
      </c>
      <c r="E74" s="7">
        <f>COUNTIFS(STATUS!$Q:$Q,E$1,STATUS!$K:$K,"РЕШ УВ DONE",STATUS!$D:$D,$A74)</f>
        <v>3</v>
      </c>
      <c r="F74" s="7">
        <f>COUNTIFS(STATUS!$Q:$Q,F$1,STATUS!$K:$K,"РЕШ УВ DONE",STATUS!$D:$D,$A74)</f>
        <v>0</v>
      </c>
      <c r="G74" s="7">
        <f>COUNTIFS(STATUS!$Q:$Q,G$1,STATUS!$K:$K,"РЕШ УВ DONE",STATUS!$D:$D,$A74)</f>
        <v>5</v>
      </c>
      <c r="H74" s="7">
        <f>COUNTIFS(STATUS!$Q:$Q,H$1,STATUS!$K:$K,"РЕШ УВ DONE",STATUS!$D:$D,$A74)</f>
        <v>0</v>
      </c>
      <c r="I74" s="7">
        <f>COUNTIFS(STATUS!$Q:$Q,I$1,STATUS!$K:$K,"РЕШ УВ DONE",STATUS!$D:$D,$A74)</f>
        <v>0</v>
      </c>
      <c r="J74" s="7">
        <f t="shared" ref="J74:J85" si="4">SUM(B74:I74)</f>
        <v>21</v>
      </c>
    </row>
    <row r="75" spans="1:10" x14ac:dyDescent="0.3">
      <c r="A75" s="6">
        <v>43964</v>
      </c>
      <c r="B75" s="7">
        <f>COUNTIFS(STATUS!$Q:$Q,B$1,STATUS!$K:$K,"РЕШ УВ DONE",STATUS!$D:$D,$A75)</f>
        <v>2</v>
      </c>
      <c r="C75" s="7">
        <f>COUNTIFS(STATUS!$Q:$Q,C$1,STATUS!$K:$K,"РЕШ УВ DONE",STATUS!$D:$D,$A75)</f>
        <v>6</v>
      </c>
      <c r="D75" s="7">
        <f>COUNTIFS(STATUS!$Q:$Q,D$1,STATUS!$K:$K,"РЕШ УВ DONE",STATUS!$D:$D,$A75)</f>
        <v>7</v>
      </c>
      <c r="E75" s="7">
        <f>COUNTIFS(STATUS!$Q:$Q,E$1,STATUS!$K:$K,"РЕШ УВ DONE",STATUS!$D:$D,$A75)</f>
        <v>6</v>
      </c>
      <c r="F75" s="7">
        <f>COUNTIFS(STATUS!$Q:$Q,F$1,STATUS!$K:$K,"РЕШ УВ DONE",STATUS!$D:$D,$A75)</f>
        <v>0</v>
      </c>
      <c r="G75" s="7">
        <f>COUNTIFS(STATUS!$Q:$Q,G$1,STATUS!$K:$K,"РЕШ УВ DONE",STATUS!$D:$D,$A75)</f>
        <v>5</v>
      </c>
      <c r="H75" s="7">
        <f>COUNTIFS(STATUS!$Q:$Q,H$1,STATUS!$K:$K,"РЕШ УВ DONE",STATUS!$D:$D,$A75)</f>
        <v>0</v>
      </c>
      <c r="I75" s="7">
        <f>COUNTIFS(STATUS!$Q:$Q,I$1,STATUS!$K:$K,"РЕШ УВ DONE",STATUS!$D:$D,$A75)</f>
        <v>0</v>
      </c>
      <c r="J75" s="7">
        <f t="shared" si="4"/>
        <v>26</v>
      </c>
    </row>
    <row r="76" spans="1:10" x14ac:dyDescent="0.3">
      <c r="A76" s="6">
        <v>43965</v>
      </c>
      <c r="B76" s="7">
        <f>COUNTIFS(STATUS!$Q:$Q,B$1,STATUS!$K:$K,"РЕШ УВ DONE",STATUS!$D:$D,$A76)</f>
        <v>4</v>
      </c>
      <c r="C76" s="7">
        <f>COUNTIFS(STATUS!$Q:$Q,C$1,STATUS!$K:$K,"РЕШ УВ DONE",STATUS!$D:$D,$A76)</f>
        <v>3</v>
      </c>
      <c r="D76" s="7">
        <f>COUNTIFS(STATUS!$Q:$Q,D$1,STATUS!$K:$K,"РЕШ УВ DONE",STATUS!$D:$D,$A76)</f>
        <v>5</v>
      </c>
      <c r="E76" s="7">
        <f>COUNTIFS(STATUS!$Q:$Q,E$1,STATUS!$K:$K,"РЕШ УВ DONE",STATUS!$D:$D,$A76)</f>
        <v>4</v>
      </c>
      <c r="F76" s="7">
        <f>COUNTIFS(STATUS!$Q:$Q,F$1,STATUS!$K:$K,"РЕШ УВ DONE",STATUS!$D:$D,$A76)</f>
        <v>0</v>
      </c>
      <c r="G76" s="7">
        <f>COUNTIFS(STATUS!$Q:$Q,G$1,STATUS!$K:$K,"РЕШ УВ DONE",STATUS!$D:$D,$A76)</f>
        <v>2</v>
      </c>
      <c r="H76" s="7">
        <f>COUNTIFS(STATUS!$Q:$Q,H$1,STATUS!$K:$K,"РЕШ УВ DONE",STATUS!$D:$D,$A76)</f>
        <v>0</v>
      </c>
      <c r="I76" s="7">
        <f>COUNTIFS(STATUS!$Q:$Q,I$1,STATUS!$K:$K,"РЕШ УВ DONE",STATUS!$D:$D,$A76)</f>
        <v>0</v>
      </c>
      <c r="J76" s="7">
        <f t="shared" si="4"/>
        <v>18</v>
      </c>
    </row>
    <row r="77" spans="1:10" x14ac:dyDescent="0.3">
      <c r="A77" s="6">
        <v>43966</v>
      </c>
      <c r="B77" s="7">
        <f>COUNTIFS(STATUS!$Q:$Q,B$1,STATUS!$K:$K,"РЕШ УВ DONE",STATUS!$D:$D,$A77)</f>
        <v>4</v>
      </c>
      <c r="C77" s="7">
        <f>COUNTIFS(STATUS!$Q:$Q,C$1,STATUS!$K:$K,"РЕШ УВ DONE",STATUS!$D:$D,$A77)</f>
        <v>3</v>
      </c>
      <c r="D77" s="7">
        <f>COUNTIFS(STATUS!$Q:$Q,D$1,STATUS!$K:$K,"РЕШ УВ DONE",STATUS!$D:$D,$A77)</f>
        <v>3</v>
      </c>
      <c r="E77" s="7">
        <f>COUNTIFS(STATUS!$Q:$Q,E$1,STATUS!$K:$K,"РЕШ УВ DONE",STATUS!$D:$D,$A77)</f>
        <v>3</v>
      </c>
      <c r="F77" s="7">
        <f>COUNTIFS(STATUS!$Q:$Q,F$1,STATUS!$K:$K,"РЕШ УВ DONE",STATUS!$D:$D,$A77)</f>
        <v>0</v>
      </c>
      <c r="G77" s="7">
        <f>COUNTIFS(STATUS!$Q:$Q,G$1,STATUS!$K:$K,"РЕШ УВ DONE",STATUS!$D:$D,$A77)</f>
        <v>3</v>
      </c>
      <c r="H77" s="7">
        <f>COUNTIFS(STATUS!$Q:$Q,H$1,STATUS!$K:$K,"РЕШ УВ DONE",STATUS!$D:$D,$A77)</f>
        <v>0</v>
      </c>
      <c r="I77" s="7">
        <f>COUNTIFS(STATUS!$Q:$Q,I$1,STATUS!$K:$K,"РЕШ УВ DONE",STATUS!$D:$D,$A77)</f>
        <v>0</v>
      </c>
      <c r="J77" s="7">
        <f t="shared" si="4"/>
        <v>16</v>
      </c>
    </row>
    <row r="78" spans="1:10" x14ac:dyDescent="0.3">
      <c r="A78" s="6">
        <v>43969</v>
      </c>
      <c r="B78" s="7">
        <f>COUNTIFS(STATUS!$Q:$Q,B$1,STATUS!$K:$K,"РЕШ УВ DONE",STATUS!$D:$D,$A78)</f>
        <v>3</v>
      </c>
      <c r="C78" s="7">
        <f>COUNTIFS(STATUS!$Q:$Q,C$1,STATUS!$K:$K,"РЕШ УВ DONE",STATUS!$D:$D,$A78)</f>
        <v>5</v>
      </c>
      <c r="D78" s="7">
        <f>COUNTIFS(STATUS!$Q:$Q,D$1,STATUS!$K:$K,"РЕШ УВ DONE",STATUS!$D:$D,$A78)</f>
        <v>6</v>
      </c>
      <c r="E78" s="7">
        <f>COUNTIFS(STATUS!$Q:$Q,E$1,STATUS!$K:$K,"РЕШ УВ DONE",STATUS!$D:$D,$A78)</f>
        <v>6</v>
      </c>
      <c r="F78" s="7">
        <f>COUNTIFS(STATUS!$Q:$Q,F$1,STATUS!$K:$K,"РЕШ УВ DONE",STATUS!$D:$D,$A78)</f>
        <v>0</v>
      </c>
      <c r="G78" s="7">
        <f>COUNTIFS(STATUS!$Q:$Q,G$1,STATUS!$K:$K,"РЕШ УВ DONE",STATUS!$D:$D,$A78)</f>
        <v>5</v>
      </c>
      <c r="H78" s="7">
        <f>COUNTIFS(STATUS!$Q:$Q,H$1,STATUS!$K:$K,"РЕШ УВ DONE",STATUS!$D:$D,$A78)</f>
        <v>0</v>
      </c>
      <c r="I78" s="7">
        <f>COUNTIFS(STATUS!$Q:$Q,I$1,STATUS!$K:$K,"РЕШ УВ DONE",STATUS!$D:$D,$A78)</f>
        <v>0</v>
      </c>
      <c r="J78" s="7">
        <f t="shared" si="4"/>
        <v>25</v>
      </c>
    </row>
    <row r="79" spans="1:10" x14ac:dyDescent="0.3">
      <c r="A79" s="6">
        <v>43970</v>
      </c>
      <c r="B79" s="7">
        <f>COUNTIFS(STATUS!$Q:$Q,B$1,STATUS!$K:$K,"РЕШ УВ DONE",STATUS!$D:$D,$A79)</f>
        <v>5</v>
      </c>
      <c r="C79" s="7">
        <f>COUNTIFS(STATUS!$Q:$Q,C$1,STATUS!$K:$K,"РЕШ УВ DONE",STATUS!$D:$D,$A79)</f>
        <v>5</v>
      </c>
      <c r="D79" s="7">
        <f>COUNTIFS(STATUS!$Q:$Q,D$1,STATUS!$K:$K,"РЕШ УВ DONE",STATUS!$D:$D,$A79)</f>
        <v>7</v>
      </c>
      <c r="E79" s="7">
        <f>COUNTIFS(STATUS!$Q:$Q,E$1,STATUS!$K:$K,"РЕШ УВ DONE",STATUS!$D:$D,$A79)</f>
        <v>5</v>
      </c>
      <c r="F79" s="7">
        <f>COUNTIFS(STATUS!$Q:$Q,F$1,STATUS!$K:$K,"РЕШ УВ DONE",STATUS!$D:$D,$A79)</f>
        <v>0</v>
      </c>
      <c r="G79" s="7">
        <f>COUNTIFS(STATUS!$Q:$Q,G$1,STATUS!$K:$K,"РЕШ УВ DONE",STATUS!$D:$D,$A79)</f>
        <v>4</v>
      </c>
      <c r="H79" s="7">
        <f>COUNTIFS(STATUS!$Q:$Q,H$1,STATUS!$K:$K,"РЕШ УВ DONE",STATUS!$D:$D,$A79)</f>
        <v>0</v>
      </c>
      <c r="I79" s="7">
        <f>COUNTIFS(STATUS!$Q:$Q,I$1,STATUS!$K:$K,"РЕШ УВ DONE",STATUS!$D:$D,$A79)</f>
        <v>0</v>
      </c>
      <c r="J79" s="7">
        <f t="shared" si="4"/>
        <v>26</v>
      </c>
    </row>
    <row r="80" spans="1:10" x14ac:dyDescent="0.3">
      <c r="A80" s="6">
        <v>43971</v>
      </c>
      <c r="B80" s="7">
        <f>COUNTIFS(STATUS!$Q:$Q,B$1,STATUS!$K:$K,"РЕШ УВ DONE",STATUS!$D:$D,$A80)</f>
        <v>6</v>
      </c>
      <c r="C80" s="7">
        <f>COUNTIFS(STATUS!$Q:$Q,C$1,STATUS!$K:$K,"РЕШ УВ DONE",STATUS!$D:$D,$A80)</f>
        <v>5</v>
      </c>
      <c r="D80" s="7">
        <f>COUNTIFS(STATUS!$Q:$Q,D$1,STATUS!$K:$K,"РЕШ УВ DONE",STATUS!$D:$D,$A80)</f>
        <v>5</v>
      </c>
      <c r="E80" s="7">
        <f>COUNTIFS(STATUS!$Q:$Q,E$1,STATUS!$K:$K,"РЕШ УВ DONE",STATUS!$D:$D,$A80)</f>
        <v>3</v>
      </c>
      <c r="F80" s="7">
        <f>COUNTIFS(STATUS!$Q:$Q,F$1,STATUS!$K:$K,"РЕШ УВ DONE",STATUS!$D:$D,$A80)</f>
        <v>0</v>
      </c>
      <c r="G80" s="7">
        <f>COUNTIFS(STATUS!$Q:$Q,G$1,STATUS!$K:$K,"РЕШ УВ DONE",STATUS!$D:$D,$A80)</f>
        <v>4</v>
      </c>
      <c r="H80" s="7">
        <f>COUNTIFS(STATUS!$Q:$Q,H$1,STATUS!$K:$K,"РЕШ УВ DONE",STATUS!$D:$D,$A80)</f>
        <v>0</v>
      </c>
      <c r="I80" s="7">
        <f>COUNTIFS(STATUS!$Q:$Q,I$1,STATUS!$K:$K,"РЕШ УВ DONE",STATUS!$D:$D,$A80)</f>
        <v>0</v>
      </c>
      <c r="J80" s="7">
        <f t="shared" si="4"/>
        <v>23</v>
      </c>
    </row>
    <row r="81" spans="1:10" x14ac:dyDescent="0.3">
      <c r="A81" s="6">
        <v>43972</v>
      </c>
      <c r="B81" s="7">
        <f>COUNTIFS(STATUS!$Q:$Q,B$1,STATUS!$K:$K,"РЕШ УВ DONE",STATUS!$D:$D,$A81)</f>
        <v>5</v>
      </c>
      <c r="C81" s="7">
        <f>COUNTIFS(STATUS!$Q:$Q,C$1,STATUS!$K:$K,"РЕШ УВ DONE",STATUS!$D:$D,$A81)</f>
        <v>5</v>
      </c>
      <c r="D81" s="7">
        <f>COUNTIFS(STATUS!$Q:$Q,D$1,STATUS!$K:$K,"РЕШ УВ DONE",STATUS!$D:$D,$A81)</f>
        <v>6</v>
      </c>
      <c r="E81" s="7">
        <f>COUNTIFS(STATUS!$Q:$Q,E$1,STATUS!$K:$K,"РЕШ УВ DONE",STATUS!$D:$D,$A81)</f>
        <v>4</v>
      </c>
      <c r="F81" s="7">
        <f>COUNTIFS(STATUS!$Q:$Q,F$1,STATUS!$K:$K,"РЕШ УВ DONE",STATUS!$D:$D,$A81)</f>
        <v>0</v>
      </c>
      <c r="G81" s="7">
        <f>COUNTIFS(STATUS!$Q:$Q,G$1,STATUS!$K:$K,"РЕШ УВ DONE",STATUS!$D:$D,$A81)</f>
        <v>2</v>
      </c>
      <c r="H81" s="7">
        <f>COUNTIFS(STATUS!$Q:$Q,H$1,STATUS!$K:$K,"РЕШ УВ DONE",STATUS!$D:$D,$A81)</f>
        <v>0</v>
      </c>
      <c r="I81" s="7">
        <f>COUNTIFS(STATUS!$Q:$Q,I$1,STATUS!$K:$K,"РЕШ УВ DONE",STATUS!$D:$D,$A81)</f>
        <v>0</v>
      </c>
      <c r="J81" s="7">
        <f t="shared" si="4"/>
        <v>22</v>
      </c>
    </row>
    <row r="82" spans="1:10" x14ac:dyDescent="0.3">
      <c r="A82" s="6">
        <v>43973</v>
      </c>
      <c r="B82" s="7">
        <f>COUNTIFS(STATUS!$Q:$Q,B$1,STATUS!$K:$K,"РЕШ УВ DONE",STATUS!$D:$D,$A82)</f>
        <v>5</v>
      </c>
      <c r="C82" s="7">
        <f>COUNTIFS(STATUS!$Q:$Q,C$1,STATUS!$K:$K,"РЕШ УВ DONE",STATUS!$D:$D,$A82)</f>
        <v>4</v>
      </c>
      <c r="D82" s="7">
        <f>COUNTIFS(STATUS!$Q:$Q,D$1,STATUS!$K:$K,"РЕШ УВ DONE",STATUS!$D:$D,$A82)</f>
        <v>4</v>
      </c>
      <c r="E82" s="7">
        <f>COUNTIFS(STATUS!$Q:$Q,E$1,STATUS!$K:$K,"РЕШ УВ DONE",STATUS!$D:$D,$A82)</f>
        <v>4</v>
      </c>
      <c r="F82" s="7">
        <f>COUNTIFS(STATUS!$Q:$Q,F$1,STATUS!$K:$K,"РЕШ УВ DONE",STATUS!$D:$D,$A82)</f>
        <v>0</v>
      </c>
      <c r="G82" s="7">
        <f>COUNTIFS(STATUS!$Q:$Q,G$1,STATUS!$K:$K,"РЕШ УВ DONE",STATUS!$D:$D,$A82)</f>
        <v>3</v>
      </c>
      <c r="H82" s="7">
        <f>COUNTIFS(STATUS!$Q:$Q,H$1,STATUS!$K:$K,"РЕШ УВ DONE",STATUS!$D:$D,$A82)</f>
        <v>0</v>
      </c>
      <c r="I82" s="7">
        <f>COUNTIFS(STATUS!$Q:$Q,I$1,STATUS!$K:$K,"РЕШ УВ DONE",STATUS!$D:$D,$A82)</f>
        <v>0</v>
      </c>
      <c r="J82" s="7">
        <f t="shared" si="4"/>
        <v>20</v>
      </c>
    </row>
    <row r="83" spans="1:10" x14ac:dyDescent="0.3">
      <c r="A83" s="6">
        <v>43976</v>
      </c>
      <c r="B83" s="7">
        <f>COUNTIFS(STATUS!$Q:$Q,B$1,STATUS!$K:$K,"РЕШ УВ DONE",STATUS!$D:$D,$A83)</f>
        <v>6</v>
      </c>
      <c r="C83" s="7">
        <f>COUNTIFS(STATUS!$Q:$Q,C$1,STATUS!$K:$K,"РЕШ УВ DONE",STATUS!$D:$D,$A83)</f>
        <v>3</v>
      </c>
      <c r="D83" s="7">
        <f>COUNTIFS(STATUS!$Q:$Q,D$1,STATUS!$K:$K,"РЕШ УВ DONE",STATUS!$D:$D,$A83)</f>
        <v>3</v>
      </c>
      <c r="E83" s="7">
        <f>COUNTIFS(STATUS!$Q:$Q,E$1,STATUS!$K:$K,"РЕШ УВ DONE",STATUS!$D:$D,$A83)</f>
        <v>1</v>
      </c>
      <c r="F83" s="7">
        <f>COUNTIFS(STATUS!$Q:$Q,F$1,STATUS!$K:$K,"РЕШ УВ DONE",STATUS!$D:$D,$A83)</f>
        <v>0</v>
      </c>
      <c r="G83" s="7">
        <f>COUNTIFS(STATUS!$Q:$Q,G$1,STATUS!$K:$K,"РЕШ УВ DONE",STATUS!$D:$D,$A83)</f>
        <v>6</v>
      </c>
      <c r="H83" s="7">
        <f>COUNTIFS(STATUS!$Q:$Q,H$1,STATUS!$K:$K,"РЕШ УВ DONE",STATUS!$D:$D,$A83)</f>
        <v>0</v>
      </c>
      <c r="I83" s="7">
        <f>COUNTIFS(STATUS!$Q:$Q,I$1,STATUS!$K:$K,"РЕШ УВ DONE",STATUS!$D:$D,$A83)</f>
        <v>0</v>
      </c>
      <c r="J83" s="7">
        <f t="shared" si="4"/>
        <v>19</v>
      </c>
    </row>
    <row r="84" spans="1:10" x14ac:dyDescent="0.3">
      <c r="A84" s="6">
        <v>43977</v>
      </c>
      <c r="B84" s="7">
        <f>COUNTIFS(STATUS!$Q:$Q,B$1,STATUS!$K:$K,"РЕШ УВ DONE",STATUS!$D:$D,$A84)</f>
        <v>2</v>
      </c>
      <c r="C84" s="7">
        <f>COUNTIFS(STATUS!$Q:$Q,C$1,STATUS!$K:$K,"РЕШ УВ DONE",STATUS!$D:$D,$A84)</f>
        <v>3</v>
      </c>
      <c r="D84" s="7">
        <f>COUNTIFS(STATUS!$Q:$Q,D$1,STATUS!$K:$K,"РЕШ УВ DONE",STATUS!$D:$D,$A84)</f>
        <v>3</v>
      </c>
      <c r="E84" s="7">
        <f>COUNTIFS(STATUS!$Q:$Q,E$1,STATUS!$K:$K,"РЕШ УВ DONE",STATUS!$D:$D,$A84)</f>
        <v>5</v>
      </c>
      <c r="F84" s="7">
        <f>COUNTIFS(STATUS!$Q:$Q,F$1,STATUS!$K:$K,"РЕШ УВ DONE",STATUS!$D:$D,$A84)</f>
        <v>0</v>
      </c>
      <c r="G84" s="7">
        <f>COUNTIFS(STATUS!$Q:$Q,G$1,STATUS!$K:$K,"РЕШ УВ DONE",STATUS!$D:$D,$A84)</f>
        <v>2</v>
      </c>
      <c r="H84" s="7">
        <f>COUNTIFS(STATUS!$Q:$Q,H$1,STATUS!$K:$K,"РЕШ УВ DONE",STATUS!$D:$D,$A84)</f>
        <v>0</v>
      </c>
      <c r="I84" s="7">
        <f>COUNTIFS(STATUS!$Q:$Q,I$1,STATUS!$K:$K,"РЕШ УВ DONE",STATUS!$D:$D,$A84)</f>
        <v>0</v>
      </c>
      <c r="J84" s="7">
        <f t="shared" si="4"/>
        <v>15</v>
      </c>
    </row>
    <row r="85" spans="1:10" x14ac:dyDescent="0.3">
      <c r="A85" s="6">
        <v>43978</v>
      </c>
      <c r="B85" s="7">
        <f>COUNTIFS(STATUS!$Q:$Q,B$1,STATUS!$K:$K,"РЕШ УВ DONE",STATUS!$D:$D,$A85)</f>
        <v>17</v>
      </c>
      <c r="C85" s="7">
        <f>COUNTIFS(STATUS!$Q:$Q,C$1,STATUS!$K:$K,"РЕШ УВ DONE",STATUS!$D:$D,$A85)</f>
        <v>11</v>
      </c>
      <c r="D85" s="7">
        <f>COUNTIFS(STATUS!$Q:$Q,D$1,STATUS!$K:$K,"РЕШ УВ DONE",STATUS!$D:$D,$A85)</f>
        <v>12</v>
      </c>
      <c r="E85" s="7">
        <f>COUNTIFS(STATUS!$Q:$Q,E$1,STATUS!$K:$K,"РЕШ УВ DONE",STATUS!$D:$D,$A85)</f>
        <v>4</v>
      </c>
      <c r="F85" s="7">
        <f>COUNTIFS(STATUS!$Q:$Q,F$1,STATUS!$K:$K,"РЕШ УВ DONE",STATUS!$D:$D,$A85)</f>
        <v>0</v>
      </c>
      <c r="G85" s="7">
        <f>COUNTIFS(STATUS!$Q:$Q,G$1,STATUS!$K:$K,"РЕШ УВ DONE",STATUS!$D:$D,$A85)</f>
        <v>0</v>
      </c>
      <c r="H85" s="7">
        <f>COUNTIFS(STATUS!$Q:$Q,H$1,STATUS!$K:$K,"РЕШ УВ DONE",STATUS!$D:$D,$A85)</f>
        <v>0</v>
      </c>
      <c r="I85" s="7">
        <f>COUNTIFS(STATUS!$Q:$Q,I$1,STATUS!$K:$K,"РЕШ УВ DONE",STATUS!$D:$D,$A85)</f>
        <v>0</v>
      </c>
      <c r="J85" s="7">
        <f t="shared" si="4"/>
        <v>44</v>
      </c>
    </row>
    <row r="86" spans="1:10" x14ac:dyDescent="0.3">
      <c r="A86" s="6">
        <v>43983</v>
      </c>
      <c r="B86" s="7">
        <f>COUNTIFS(STATUS!$Q:$Q,B$1,STATUS!$K:$K,"РЕШ УВ DONE",STATUS!$D:$D,$A86)</f>
        <v>15</v>
      </c>
      <c r="C86" s="7">
        <f>COUNTIFS(STATUS!$Q:$Q,C$1,STATUS!$K:$K,"РЕШ УВ DONE",STATUS!$D:$D,$A86)</f>
        <v>17</v>
      </c>
      <c r="D86" s="7">
        <f>COUNTIFS(STATUS!$Q:$Q,D$1,STATUS!$K:$K,"РЕШ УВ DONE",STATUS!$D:$D,$A86)</f>
        <v>21</v>
      </c>
      <c r="E86" s="7">
        <f>COUNTIFS(STATUS!$Q:$Q,E$1,STATUS!$K:$K,"РЕШ УВ DONE",STATUS!$D:$D,$A86)</f>
        <v>16</v>
      </c>
      <c r="F86" s="7">
        <f>COUNTIFS(STATUS!$Q:$Q,F$1,STATUS!$K:$K,"РЕШ УВ DONE",STATUS!$D:$D,$A86)</f>
        <v>0</v>
      </c>
      <c r="G86" s="7">
        <f>COUNTIFS(STATUS!$Q:$Q,G$1,STATUS!$K:$K,"РЕШ УВ DONE",STATUS!$D:$D,$A86)</f>
        <v>15</v>
      </c>
      <c r="H86" s="7">
        <f>COUNTIFS(STATUS!$Q:$Q,H$1,STATUS!$K:$K,"РЕШ УВ DONE",STATUS!$D:$D,$A86)</f>
        <v>0</v>
      </c>
      <c r="I86" s="7">
        <f>COUNTIFS(STATUS!$Q:$Q,I$1,STATUS!$K:$K,"РЕШ УВ DONE",STATUS!$D:$D,$A86)</f>
        <v>0</v>
      </c>
      <c r="J86" s="7">
        <f t="shared" ref="J86:J90" si="5">SUM(B86:I86)</f>
        <v>84</v>
      </c>
    </row>
    <row r="87" spans="1:10" x14ac:dyDescent="0.3">
      <c r="A87" s="6">
        <v>43984</v>
      </c>
      <c r="B87" s="7">
        <f>COUNTIFS(STATUS!$Q:$Q,B$1,STATUS!$K:$K,"РЕШ УВ DONE",STATUS!$D:$D,$A87)</f>
        <v>5</v>
      </c>
      <c r="C87" s="7">
        <f>COUNTIFS(STATUS!$Q:$Q,C$1,STATUS!$K:$K,"РЕШ УВ DONE",STATUS!$D:$D,$A87)</f>
        <v>2</v>
      </c>
      <c r="D87" s="7">
        <f>COUNTIFS(STATUS!$Q:$Q,D$1,STATUS!$K:$K,"РЕШ УВ DONE",STATUS!$D:$D,$A87)</f>
        <v>1</v>
      </c>
      <c r="E87" s="7">
        <f>COUNTIFS(STATUS!$Q:$Q,E$1,STATUS!$K:$K,"РЕШ УВ DONE",STATUS!$D:$D,$A87)</f>
        <v>4</v>
      </c>
      <c r="F87" s="7">
        <f>COUNTIFS(STATUS!$Q:$Q,F$1,STATUS!$K:$K,"РЕШ УВ DONE",STATUS!$D:$D,$A87)</f>
        <v>0</v>
      </c>
      <c r="G87" s="7">
        <f>COUNTIFS(STATUS!$Q:$Q,G$1,STATUS!$K:$K,"РЕШ УВ DONE",STATUS!$D:$D,$A87)</f>
        <v>3</v>
      </c>
      <c r="H87" s="7">
        <f>COUNTIFS(STATUS!$Q:$Q,H$1,STATUS!$K:$K,"РЕШ УВ DONE",STATUS!$D:$D,$A87)</f>
        <v>0</v>
      </c>
      <c r="I87" s="7">
        <f>COUNTIFS(STATUS!$Q:$Q,I$1,STATUS!$K:$K,"РЕШ УВ DONE",STATUS!$D:$D,$A87)</f>
        <v>0</v>
      </c>
      <c r="J87" s="7">
        <f t="shared" si="5"/>
        <v>15</v>
      </c>
    </row>
    <row r="88" spans="1:10" x14ac:dyDescent="0.3">
      <c r="A88" s="6">
        <v>43985</v>
      </c>
      <c r="B88" s="7">
        <f>COUNTIFS(STATUS!$Q:$Q,B$1,STATUS!$K:$K,"РЕШ УВ DONE",STATUS!$D:$D,$A88)</f>
        <v>5</v>
      </c>
      <c r="C88" s="7">
        <f>COUNTIFS(STATUS!$Q:$Q,C$1,STATUS!$K:$K,"РЕШ УВ DONE",STATUS!$D:$D,$A88)</f>
        <v>1</v>
      </c>
      <c r="D88" s="7">
        <f>COUNTIFS(STATUS!$Q:$Q,D$1,STATUS!$K:$K,"РЕШ УВ DONE",STATUS!$D:$D,$A88)</f>
        <v>2</v>
      </c>
      <c r="E88" s="7">
        <f>COUNTIFS(STATUS!$Q:$Q,E$1,STATUS!$K:$K,"РЕШ УВ DONE",STATUS!$D:$D,$A88)</f>
        <v>1</v>
      </c>
      <c r="F88" s="7">
        <f>COUNTIFS(STATUS!$Q:$Q,F$1,STATUS!$K:$K,"РЕШ УВ DONE",STATUS!$D:$D,$A88)</f>
        <v>0</v>
      </c>
      <c r="G88" s="7">
        <f>COUNTIFS(STATUS!$Q:$Q,G$1,STATUS!$K:$K,"РЕШ УВ DONE",STATUS!$D:$D,$A88)</f>
        <v>2</v>
      </c>
      <c r="H88" s="7">
        <f>COUNTIFS(STATUS!$Q:$Q,H$1,STATUS!$K:$K,"РЕШ УВ DONE",STATUS!$D:$D,$A88)</f>
        <v>0</v>
      </c>
      <c r="I88" s="7">
        <f>COUNTIFS(STATUS!$Q:$Q,I$1,STATUS!$K:$K,"РЕШ УВ DONE",STATUS!$D:$D,$A88)</f>
        <v>0</v>
      </c>
      <c r="J88" s="7">
        <f t="shared" si="5"/>
        <v>11</v>
      </c>
    </row>
    <row r="89" spans="1:10" x14ac:dyDescent="0.3">
      <c r="A89" s="6">
        <v>43986</v>
      </c>
      <c r="B89" s="7">
        <f>COUNTIFS(STATUS!$Q:$Q,B$1,STATUS!$K:$K,"РЕШ УВ DONE",STATUS!$D:$D,$A89)</f>
        <v>3</v>
      </c>
      <c r="C89" s="7">
        <f>COUNTIFS(STATUS!$Q:$Q,C$1,STATUS!$K:$K,"РЕШ УВ DONE",STATUS!$D:$D,$A89)</f>
        <v>3</v>
      </c>
      <c r="D89" s="7">
        <f>COUNTIFS(STATUS!$Q:$Q,D$1,STATUS!$K:$K,"РЕШ УВ DONE",STATUS!$D:$D,$A89)</f>
        <v>4</v>
      </c>
      <c r="E89" s="7">
        <f>COUNTIFS(STATUS!$Q:$Q,E$1,STATUS!$K:$K,"РЕШ УВ DONE",STATUS!$D:$D,$A89)</f>
        <v>3</v>
      </c>
      <c r="F89" s="7">
        <f>COUNTIFS(STATUS!$Q:$Q,F$1,STATUS!$K:$K,"РЕШ УВ DONE",STATUS!$D:$D,$A89)</f>
        <v>0</v>
      </c>
      <c r="G89" s="7">
        <f>COUNTIFS(STATUS!$Q:$Q,G$1,STATUS!$K:$K,"РЕШ УВ DONE",STATUS!$D:$D,$A89)</f>
        <v>5</v>
      </c>
      <c r="H89" s="7">
        <f>COUNTIFS(STATUS!$Q:$Q,H$1,STATUS!$K:$K,"РЕШ УВ DONE",STATUS!$D:$D,$A89)</f>
        <v>0</v>
      </c>
      <c r="I89" s="7">
        <f>COUNTIFS(STATUS!$Q:$Q,I$1,STATUS!$K:$K,"РЕШ УВ DONE",STATUS!$D:$D,$A89)</f>
        <v>0</v>
      </c>
      <c r="J89" s="7">
        <f t="shared" si="5"/>
        <v>18</v>
      </c>
    </row>
    <row r="90" spans="1:10" x14ac:dyDescent="0.3">
      <c r="A90" s="6">
        <v>43987</v>
      </c>
      <c r="B90" s="7">
        <f>COUNTIFS(STATUS!$Q:$Q,B$1,STATUS!$K:$K,"РЕШ УВ DONE",STATUS!$D:$D,$A90)</f>
        <v>3</v>
      </c>
      <c r="C90" s="7">
        <f>COUNTIFS(STATUS!$Q:$Q,C$1,STATUS!$K:$K,"РЕШ УВ DONE",STATUS!$D:$D,$A90)</f>
        <v>3</v>
      </c>
      <c r="D90" s="7">
        <f>COUNTIFS(STATUS!$Q:$Q,D$1,STATUS!$K:$K,"РЕШ УВ DONE",STATUS!$D:$D,$A90)</f>
        <v>3</v>
      </c>
      <c r="E90" s="7">
        <f>COUNTIFS(STATUS!$Q:$Q,E$1,STATUS!$K:$K,"РЕШ УВ DONE",STATUS!$D:$D,$A90)</f>
        <v>2</v>
      </c>
      <c r="F90" s="7">
        <f>COUNTIFS(STATUS!$Q:$Q,F$1,STATUS!$K:$K,"РЕШ УВ DONE",STATUS!$D:$D,$A90)</f>
        <v>0</v>
      </c>
      <c r="G90" s="7">
        <f>COUNTIFS(STATUS!$Q:$Q,G$1,STATUS!$K:$K,"РЕШ УВ DONE",STATUS!$D:$D,$A90)</f>
        <v>3</v>
      </c>
      <c r="H90" s="7">
        <f>COUNTIFS(STATUS!$Q:$Q,H$1,STATUS!$K:$K,"РЕШ УВ DONE",STATUS!$D:$D,$A90)</f>
        <v>0</v>
      </c>
      <c r="I90" s="7">
        <f>COUNTIFS(STATUS!$Q:$Q,I$1,STATUS!$K:$K,"РЕШ УВ DONE",STATUS!$D:$D,$A90)</f>
        <v>0</v>
      </c>
      <c r="J90" s="7">
        <f t="shared" si="5"/>
        <v>14</v>
      </c>
    </row>
    <row r="91" spans="1:10" x14ac:dyDescent="0.3">
      <c r="A91" s="6">
        <v>43990</v>
      </c>
      <c r="B91" s="7">
        <f>COUNTIFS(STATUS!$Q:$Q,B$1,STATUS!$K:$K,"РЕШ УВ DONE",STATUS!$D:$D,$A91)</f>
        <v>1</v>
      </c>
      <c r="C91" s="7">
        <f>COUNTIFS(STATUS!$Q:$Q,C$1,STATUS!$K:$K,"РЕШ УВ DONE",STATUS!$D:$D,$A91)</f>
        <v>3</v>
      </c>
      <c r="D91" s="7">
        <f>COUNTIFS(STATUS!$Q:$Q,D$1,STATUS!$K:$K,"РЕШ УВ DONE",STATUS!$D:$D,$A91)</f>
        <v>7</v>
      </c>
      <c r="E91" s="7">
        <f>COUNTIFS(STATUS!$Q:$Q,E$1,STATUS!$K:$K,"РЕШ УВ DONE",STATUS!$D:$D,$A91)</f>
        <v>5</v>
      </c>
      <c r="F91" s="7">
        <f>COUNTIFS(STATUS!$Q:$Q,F$1,STATUS!$K:$K,"РЕШ УВ DONE",STATUS!$D:$D,$A91)</f>
        <v>0</v>
      </c>
      <c r="G91" s="7">
        <f>COUNTIFS(STATUS!$Q:$Q,G$1,STATUS!$K:$K,"РЕШ УВ DONE",STATUS!$D:$D,$A91)</f>
        <v>5</v>
      </c>
      <c r="H91" s="7">
        <f>COUNTIFS(STATUS!$Q:$Q,H$1,STATUS!$K:$K,"РЕШ УВ DONE",STATUS!$D:$D,$A91)</f>
        <v>0</v>
      </c>
      <c r="I91" s="7">
        <f>COUNTIFS(STATUS!$Q:$Q,I$1,STATUS!$K:$K,"РЕШ УВ DONE",STATUS!$D:$D,$A91)</f>
        <v>0</v>
      </c>
      <c r="J91" s="7">
        <f t="shared" ref="J91:J102" si="6">SUM(B91:I91)</f>
        <v>21</v>
      </c>
    </row>
    <row r="92" spans="1:10" x14ac:dyDescent="0.3">
      <c r="A92" s="6">
        <v>43991</v>
      </c>
      <c r="B92" s="7">
        <f>COUNTIFS(STATUS!$Q:$Q,B$1,STATUS!$K:$K,"РЕШ УВ DONE",STATUS!$D:$D,$A92)</f>
        <v>5</v>
      </c>
      <c r="C92" s="7">
        <f>COUNTIFS(STATUS!$Q:$Q,C$1,STATUS!$K:$K,"РЕШ УВ DONE",STATUS!$D:$D,$A92)</f>
        <v>5</v>
      </c>
      <c r="D92" s="7">
        <f>COUNTIFS(STATUS!$Q:$Q,D$1,STATUS!$K:$K,"РЕШ УВ DONE",STATUS!$D:$D,$A92)</f>
        <v>3</v>
      </c>
      <c r="E92" s="7">
        <f>COUNTIFS(STATUS!$Q:$Q,E$1,STATUS!$K:$K,"РЕШ УВ DONE",STATUS!$D:$D,$A92)</f>
        <v>3</v>
      </c>
      <c r="F92" s="7">
        <f>COUNTIFS(STATUS!$Q:$Q,F$1,STATUS!$K:$K,"РЕШ УВ DONE",STATUS!$D:$D,$A92)</f>
        <v>0</v>
      </c>
      <c r="G92" s="7">
        <f>COUNTIFS(STATUS!$Q:$Q,G$1,STATUS!$K:$K,"РЕШ УВ DONE",STATUS!$D:$D,$A92)</f>
        <v>2</v>
      </c>
      <c r="H92" s="7">
        <f>COUNTIFS(STATUS!$Q:$Q,H$1,STATUS!$K:$K,"РЕШ УВ DONE",STATUS!$D:$D,$A92)</f>
        <v>0</v>
      </c>
      <c r="I92" s="7">
        <f>COUNTIFS(STATUS!$Q:$Q,I$1,STATUS!$K:$K,"РЕШ УВ DONE",STATUS!$D:$D,$A92)</f>
        <v>0</v>
      </c>
      <c r="J92" s="7">
        <f t="shared" si="6"/>
        <v>18</v>
      </c>
    </row>
    <row r="93" spans="1:10" x14ac:dyDescent="0.3">
      <c r="A93" s="6">
        <v>43992</v>
      </c>
      <c r="B93" s="7">
        <f>COUNTIFS(STATUS!$Q:$Q,B$1,STATUS!$K:$K,"РЕШ УВ DONE",STATUS!$D:$D,$A93)</f>
        <v>5</v>
      </c>
      <c r="C93" s="7">
        <f>COUNTIFS(STATUS!$Q:$Q,C$1,STATUS!$K:$K,"РЕШ УВ DONE",STATUS!$D:$D,$A93)</f>
        <v>3</v>
      </c>
      <c r="D93" s="7">
        <f>COUNTIFS(STATUS!$Q:$Q,D$1,STATUS!$K:$K,"РЕШ УВ DONE",STATUS!$D:$D,$A93)</f>
        <v>3</v>
      </c>
      <c r="E93" s="7">
        <f>COUNTIFS(STATUS!$Q:$Q,E$1,STATUS!$K:$K,"РЕШ УВ DONE",STATUS!$D:$D,$A93)</f>
        <v>3</v>
      </c>
      <c r="F93" s="7">
        <f>COUNTIFS(STATUS!$Q:$Q,F$1,STATUS!$K:$K,"РЕШ УВ DONE",STATUS!$D:$D,$A93)</f>
        <v>0</v>
      </c>
      <c r="G93" s="7">
        <f>COUNTIFS(STATUS!$Q:$Q,G$1,STATUS!$K:$K,"РЕШ УВ DONE",STATUS!$D:$D,$A93)</f>
        <v>4</v>
      </c>
      <c r="H93" s="7">
        <f>COUNTIFS(STATUS!$Q:$Q,H$1,STATUS!$K:$K,"РЕШ УВ DONE",STATUS!$D:$D,$A93)</f>
        <v>0</v>
      </c>
      <c r="I93" s="7">
        <f>COUNTIFS(STATUS!$Q:$Q,I$1,STATUS!$K:$K,"РЕШ УВ DONE",STATUS!$D:$D,$A93)</f>
        <v>0</v>
      </c>
      <c r="J93" s="7">
        <f t="shared" si="6"/>
        <v>18</v>
      </c>
    </row>
    <row r="94" spans="1:10" x14ac:dyDescent="0.3">
      <c r="A94" s="6">
        <v>43993</v>
      </c>
      <c r="B94" s="7">
        <f>COUNTIFS(STATUS!$Q:$Q,B$1,STATUS!$K:$K,"РЕШ УВ DONE",STATUS!$D:$D,$A94)</f>
        <v>4</v>
      </c>
      <c r="C94" s="7">
        <f>COUNTIFS(STATUS!$Q:$Q,C$1,STATUS!$K:$K,"РЕШ УВ DONE",STATUS!$D:$D,$A94)</f>
        <v>4</v>
      </c>
      <c r="D94" s="7">
        <f>COUNTIFS(STATUS!$Q:$Q,D$1,STATUS!$K:$K,"РЕШ УВ DONE",STATUS!$D:$D,$A94)</f>
        <v>2</v>
      </c>
      <c r="E94" s="7">
        <f>COUNTIFS(STATUS!$Q:$Q,E$1,STATUS!$K:$K,"РЕШ УВ DONE",STATUS!$D:$D,$A94)</f>
        <v>2</v>
      </c>
      <c r="F94" s="7">
        <f>COUNTIFS(STATUS!$Q:$Q,F$1,STATUS!$K:$K,"РЕШ УВ DONE",STATUS!$D:$D,$A94)</f>
        <v>0</v>
      </c>
      <c r="G94" s="7">
        <f>COUNTIFS(STATUS!$Q:$Q,G$1,STATUS!$K:$K,"РЕШ УВ DONE",STATUS!$D:$D,$A94)</f>
        <v>3</v>
      </c>
      <c r="H94" s="7">
        <f>COUNTIFS(STATUS!$Q:$Q,H$1,STATUS!$K:$K,"РЕШ УВ DONE",STATUS!$D:$D,$A94)</f>
        <v>0</v>
      </c>
      <c r="I94" s="7">
        <f>COUNTIFS(STATUS!$Q:$Q,I$1,STATUS!$K:$K,"РЕШ УВ DONE",STATUS!$D:$D,$A94)</f>
        <v>0</v>
      </c>
      <c r="J94" s="7">
        <f t="shared" si="6"/>
        <v>15</v>
      </c>
    </row>
    <row r="95" spans="1:10" x14ac:dyDescent="0.3">
      <c r="A95" s="6">
        <v>43997</v>
      </c>
      <c r="B95" s="7">
        <f>COUNTIFS(STATUS!$Q:$Q,B$1,STATUS!$K:$K,"РЕШ УВ DONE",STATUS!$D:$D,$A95)</f>
        <v>3</v>
      </c>
      <c r="C95" s="7">
        <f>COUNTIFS(STATUS!$Q:$Q,C$1,STATUS!$K:$K,"РЕШ УВ DONE",STATUS!$D:$D,$A95)</f>
        <v>2</v>
      </c>
      <c r="D95" s="7">
        <f>COUNTIFS(STATUS!$Q:$Q,D$1,STATUS!$K:$K,"РЕШ УВ DONE",STATUS!$D:$D,$A95)</f>
        <v>3</v>
      </c>
      <c r="E95" s="7">
        <f>COUNTIFS(STATUS!$Q:$Q,E$1,STATUS!$K:$K,"РЕШ УВ DONE",STATUS!$D:$D,$A95)</f>
        <v>3</v>
      </c>
      <c r="F95" s="7">
        <f>COUNTIFS(STATUS!$Q:$Q,F$1,STATUS!$K:$K,"РЕШ УВ DONE",STATUS!$D:$D,$A95)</f>
        <v>0</v>
      </c>
      <c r="G95" s="7">
        <f>COUNTIFS(STATUS!$Q:$Q,G$1,STATUS!$K:$K,"РЕШ УВ DONE",STATUS!$D:$D,$A95)</f>
        <v>3</v>
      </c>
      <c r="H95" s="7">
        <f>COUNTIFS(STATUS!$Q:$Q,H$1,STATUS!$K:$K,"РЕШ УВ DONE",STATUS!$D:$D,$A95)</f>
        <v>0</v>
      </c>
      <c r="I95" s="7">
        <f>COUNTIFS(STATUS!$Q:$Q,I$1,STATUS!$K:$K,"РЕШ УВ DONE",STATUS!$D:$D,$A95)</f>
        <v>0</v>
      </c>
      <c r="J95" s="7">
        <f t="shared" si="6"/>
        <v>14</v>
      </c>
    </row>
    <row r="96" spans="1:10" x14ac:dyDescent="0.3">
      <c r="A96" s="6">
        <v>43998</v>
      </c>
      <c r="B96" s="7">
        <f>COUNTIFS(STATUS!$Q:$Q,B$1,STATUS!$K:$K,"РЕШ УВ DONE",STATUS!$D:$D,$A96)</f>
        <v>37</v>
      </c>
      <c r="C96" s="7">
        <f>COUNTIFS(STATUS!$Q:$Q,C$1,STATUS!$K:$K,"РЕШ УВ DONE",STATUS!$D:$D,$A96)</f>
        <v>42</v>
      </c>
      <c r="D96" s="7">
        <f>COUNTIFS(STATUS!$Q:$Q,D$1,STATUS!$K:$K,"РЕШ УВ DONE",STATUS!$D:$D,$A96)</f>
        <v>41</v>
      </c>
      <c r="E96" s="7">
        <f>COUNTIFS(STATUS!$Q:$Q,E$1,STATUS!$K:$K,"РЕШ УВ DONE",STATUS!$D:$D,$A96)</f>
        <v>41</v>
      </c>
      <c r="F96" s="7">
        <f>COUNTIFS(STATUS!$Q:$Q,F$1,STATUS!$K:$K,"РЕШ УВ DONE",STATUS!$D:$D,$A96)</f>
        <v>0</v>
      </c>
      <c r="G96" s="7">
        <f>COUNTIFS(STATUS!$Q:$Q,G$1,STATUS!$K:$K,"РЕШ УВ DONE",STATUS!$D:$D,$A96)</f>
        <v>49</v>
      </c>
      <c r="H96" s="7">
        <f>COUNTIFS(STATUS!$Q:$Q,H$1,STATUS!$K:$K,"РЕШ УВ DONE",STATUS!$D:$D,$A96)</f>
        <v>0</v>
      </c>
      <c r="I96" s="7">
        <f>COUNTIFS(STATUS!$Q:$Q,I$1,STATUS!$K:$K,"РЕШ УВ DONE",STATUS!$D:$D,$A96)</f>
        <v>0</v>
      </c>
      <c r="J96" s="7">
        <f t="shared" si="6"/>
        <v>210</v>
      </c>
    </row>
    <row r="97" spans="1:10" x14ac:dyDescent="0.3">
      <c r="A97" s="6">
        <v>43999</v>
      </c>
      <c r="B97" s="7">
        <f>COUNTIFS(STATUS!$Q:$Q,B$1,STATUS!$K:$K,"РЕШ УВ DONE",STATUS!$D:$D,$A97)</f>
        <v>2</v>
      </c>
      <c r="C97" s="7">
        <f>COUNTIFS(STATUS!$Q:$Q,C$1,STATUS!$K:$K,"РЕШ УВ DONE",STATUS!$D:$D,$A97)</f>
        <v>3</v>
      </c>
      <c r="D97" s="7">
        <f>COUNTIFS(STATUS!$Q:$Q,D$1,STATUS!$K:$K,"РЕШ УВ DONE",STATUS!$D:$D,$A97)</f>
        <v>3</v>
      </c>
      <c r="E97" s="7">
        <f>COUNTIFS(STATUS!$Q:$Q,E$1,STATUS!$K:$K,"РЕШ УВ DONE",STATUS!$D:$D,$A97)</f>
        <v>1</v>
      </c>
      <c r="F97" s="7">
        <f>COUNTIFS(STATUS!$Q:$Q,F$1,STATUS!$K:$K,"РЕШ УВ DONE",STATUS!$D:$D,$A97)</f>
        <v>0</v>
      </c>
      <c r="G97" s="7">
        <f>COUNTIFS(STATUS!$Q:$Q,G$1,STATUS!$K:$K,"РЕШ УВ DONE",STATUS!$D:$D,$A97)</f>
        <v>4</v>
      </c>
      <c r="H97" s="7">
        <f>COUNTIFS(STATUS!$Q:$Q,H$1,STATUS!$K:$K,"РЕШ УВ DONE",STATUS!$D:$D,$A97)</f>
        <v>0</v>
      </c>
      <c r="I97" s="7">
        <f>COUNTIFS(STATUS!$Q:$Q,I$1,STATUS!$K:$K,"РЕШ УВ DONE",STATUS!$D:$D,$A97)</f>
        <v>0</v>
      </c>
      <c r="J97" s="7">
        <f t="shared" si="6"/>
        <v>13</v>
      </c>
    </row>
    <row r="98" spans="1:10" x14ac:dyDescent="0.3">
      <c r="A98" s="6">
        <v>44000</v>
      </c>
      <c r="B98" s="7">
        <f>COUNTIFS(STATUS!$Q:$Q,B$1,STATUS!$K:$K,"РЕШ УВ DONE",STATUS!$D:$D,$A98)</f>
        <v>3</v>
      </c>
      <c r="C98" s="7">
        <f>COUNTIFS(STATUS!$Q:$Q,C$1,STATUS!$K:$K,"РЕШ УВ DONE",STATUS!$D:$D,$A98)</f>
        <v>2</v>
      </c>
      <c r="D98" s="7">
        <f>COUNTIFS(STATUS!$Q:$Q,D$1,STATUS!$K:$K,"РЕШ УВ DONE",STATUS!$D:$D,$A98)</f>
        <v>1</v>
      </c>
      <c r="E98" s="7">
        <f>COUNTIFS(STATUS!$Q:$Q,E$1,STATUS!$K:$K,"РЕШ УВ DONE",STATUS!$D:$D,$A98)</f>
        <v>2</v>
      </c>
      <c r="F98" s="7">
        <f>COUNTIFS(STATUS!$Q:$Q,F$1,STATUS!$K:$K,"РЕШ УВ DONE",STATUS!$D:$D,$A98)</f>
        <v>0</v>
      </c>
      <c r="G98" s="7">
        <f>COUNTIFS(STATUS!$Q:$Q,G$1,STATUS!$K:$K,"РЕШ УВ DONE",STATUS!$D:$D,$A98)</f>
        <v>4</v>
      </c>
      <c r="H98" s="7">
        <f>COUNTIFS(STATUS!$Q:$Q,H$1,STATUS!$K:$K,"РЕШ УВ DONE",STATUS!$D:$D,$A98)</f>
        <v>0</v>
      </c>
      <c r="I98" s="7">
        <f>COUNTIFS(STATUS!$Q:$Q,I$1,STATUS!$K:$K,"РЕШ УВ DONE",STATUS!$D:$D,$A98)</f>
        <v>0</v>
      </c>
      <c r="J98" s="7">
        <f t="shared" si="6"/>
        <v>12</v>
      </c>
    </row>
    <row r="99" spans="1:10" x14ac:dyDescent="0.3">
      <c r="A99" s="6">
        <v>44001</v>
      </c>
      <c r="B99" s="7">
        <f>COUNTIFS(STATUS!$Q:$Q,B$1,STATUS!$K:$K,"РЕШ УВ DONE",STATUS!$D:$D,$A99)</f>
        <v>1</v>
      </c>
      <c r="C99" s="7">
        <f>COUNTIFS(STATUS!$Q:$Q,C$1,STATUS!$K:$K,"РЕШ УВ DONE",STATUS!$D:$D,$A99)</f>
        <v>4</v>
      </c>
      <c r="D99" s="7">
        <f>COUNTIFS(STATUS!$Q:$Q,D$1,STATUS!$K:$K,"РЕШ УВ DONE",STATUS!$D:$D,$A99)</f>
        <v>4</v>
      </c>
      <c r="E99" s="7">
        <f>COUNTIFS(STATUS!$Q:$Q,E$1,STATUS!$K:$K,"РЕШ УВ DONE",STATUS!$D:$D,$A99)</f>
        <v>4</v>
      </c>
      <c r="F99" s="7">
        <f>COUNTIFS(STATUS!$Q:$Q,F$1,STATUS!$K:$K,"РЕШ УВ DONE",STATUS!$D:$D,$A99)</f>
        <v>0</v>
      </c>
      <c r="G99" s="7">
        <f>COUNTIFS(STATUS!$Q:$Q,G$1,STATUS!$K:$K,"РЕШ УВ DONE",STATUS!$D:$D,$A99)</f>
        <v>3</v>
      </c>
      <c r="H99" s="7">
        <f>COUNTIFS(STATUS!$Q:$Q,H$1,STATUS!$K:$K,"РЕШ УВ DONE",STATUS!$D:$D,$A99)</f>
        <v>0</v>
      </c>
      <c r="I99" s="7">
        <f>COUNTIFS(STATUS!$Q:$Q,I$1,STATUS!$K:$K,"РЕШ УВ DONE",STATUS!$D:$D,$A99)</f>
        <v>0</v>
      </c>
      <c r="J99" s="7">
        <f t="shared" si="6"/>
        <v>16</v>
      </c>
    </row>
    <row r="100" spans="1:10" x14ac:dyDescent="0.3">
      <c r="A100" s="6">
        <v>44004</v>
      </c>
      <c r="B100" s="7">
        <f>COUNTIFS(STATUS!$Q:$Q,B$1,STATUS!$K:$K,"РЕШ УВ DONE",STATUS!$D:$D,$A100)</f>
        <v>2</v>
      </c>
      <c r="C100" s="7">
        <f>COUNTIFS(STATUS!$Q:$Q,C$1,STATUS!$K:$K,"РЕШ УВ DONE",STATUS!$D:$D,$A100)</f>
        <v>3</v>
      </c>
      <c r="D100" s="7">
        <f>COUNTIFS(STATUS!$Q:$Q,D$1,STATUS!$K:$K,"РЕШ УВ DONE",STATUS!$D:$D,$A100)</f>
        <v>3</v>
      </c>
      <c r="E100" s="7">
        <f>COUNTIFS(STATUS!$Q:$Q,E$1,STATUS!$K:$K,"РЕШ УВ DONE",STATUS!$D:$D,$A100)</f>
        <v>2</v>
      </c>
      <c r="F100" s="7">
        <f>COUNTIFS(STATUS!$Q:$Q,F$1,STATUS!$K:$K,"РЕШ УВ DONE",STATUS!$D:$D,$A100)</f>
        <v>0</v>
      </c>
      <c r="G100" s="7">
        <f>COUNTIFS(STATUS!$Q:$Q,G$1,STATUS!$K:$K,"РЕШ УВ DONE",STATUS!$D:$D,$A100)</f>
        <v>4</v>
      </c>
      <c r="H100" s="7">
        <f>COUNTIFS(STATUS!$Q:$Q,H$1,STATUS!$K:$K,"РЕШ УВ DONE",STATUS!$D:$D,$A100)</f>
        <v>0</v>
      </c>
      <c r="I100" s="7">
        <f>COUNTIFS(STATUS!$Q:$Q,I$1,STATUS!$K:$K,"РЕШ УВ DONE",STATUS!$D:$D,$A100)</f>
        <v>0</v>
      </c>
      <c r="J100" s="7">
        <f t="shared" si="6"/>
        <v>14</v>
      </c>
    </row>
    <row r="101" spans="1:10" x14ac:dyDescent="0.3">
      <c r="A101" s="6">
        <v>44005</v>
      </c>
      <c r="B101" s="7">
        <f>COUNTIFS(STATUS!$Q:$Q,B$1,STATUS!$K:$K,"РЕШ УВ DONE",STATUS!$D:$D,$A101)</f>
        <v>3</v>
      </c>
      <c r="C101" s="7">
        <f>COUNTIFS(STATUS!$Q:$Q,C$1,STATUS!$K:$K,"РЕШ УВ DONE",STATUS!$D:$D,$A101)</f>
        <v>7</v>
      </c>
      <c r="D101" s="7">
        <f>COUNTIFS(STATUS!$Q:$Q,D$1,STATUS!$K:$K,"РЕШ УВ DONE",STATUS!$D:$D,$A101)</f>
        <v>10</v>
      </c>
      <c r="E101" s="7">
        <f>COUNTIFS(STATUS!$Q:$Q,E$1,STATUS!$K:$K,"РЕШ УВ DONE",STATUS!$D:$D,$A101)</f>
        <v>4</v>
      </c>
      <c r="F101" s="7">
        <f>COUNTIFS(STATUS!$Q:$Q,F$1,STATUS!$K:$K,"РЕШ УВ DONE",STATUS!$D:$D,$A101)</f>
        <v>0</v>
      </c>
      <c r="G101" s="7">
        <f>COUNTIFS(STATUS!$Q:$Q,G$1,STATUS!$K:$K,"РЕШ УВ DONE",STATUS!$D:$D,$A101)</f>
        <v>7</v>
      </c>
      <c r="H101" s="7">
        <f>COUNTIFS(STATUS!$Q:$Q,H$1,STATUS!$K:$K,"РЕШ УВ DONE",STATUS!$D:$D,$A101)</f>
        <v>0</v>
      </c>
      <c r="I101" s="7">
        <f>COUNTIFS(STATUS!$Q:$Q,I$1,STATUS!$K:$K,"РЕШ УВ DONE",STATUS!$D:$D,$A101)</f>
        <v>0</v>
      </c>
      <c r="J101" s="7">
        <f t="shared" si="6"/>
        <v>31</v>
      </c>
    </row>
    <row r="102" spans="1:10" x14ac:dyDescent="0.3">
      <c r="A102" s="6">
        <v>44007</v>
      </c>
      <c r="B102" s="7">
        <f>COUNTIFS(STATUS!$Q:$Q,B$1,STATUS!$K:$K,"РЕШ УВ DONE",STATUS!$D:$D,$A102)</f>
        <v>6</v>
      </c>
      <c r="C102" s="7">
        <f>COUNTIFS(STATUS!$Q:$Q,C$1,STATUS!$K:$K,"РЕШ УВ DONE",STATUS!$D:$D,$A102)</f>
        <v>7</v>
      </c>
      <c r="D102" s="7">
        <f>COUNTIFS(STATUS!$Q:$Q,D$1,STATUS!$K:$K,"РЕШ УВ DONE",STATUS!$D:$D,$A102)</f>
        <v>7</v>
      </c>
      <c r="E102" s="7">
        <f>COUNTIFS(STATUS!$Q:$Q,E$1,STATUS!$K:$K,"РЕШ УВ DONE",STATUS!$D:$D,$A102)</f>
        <v>6</v>
      </c>
      <c r="F102" s="7">
        <f>COUNTIFS(STATUS!$Q:$Q,F$1,STATUS!$K:$K,"РЕШ УВ DONE",STATUS!$D:$D,$A102)</f>
        <v>0</v>
      </c>
      <c r="G102" s="7">
        <f>COUNTIFS(STATUS!$Q:$Q,G$1,STATUS!$K:$K,"РЕШ УВ DONE",STATUS!$D:$D,$A102)</f>
        <v>5</v>
      </c>
      <c r="H102" s="7">
        <f>COUNTIFS(STATUS!$Q:$Q,H$1,STATUS!$K:$K,"РЕШ УВ DONE",STATUS!$D:$D,$A102)</f>
        <v>0</v>
      </c>
      <c r="I102" s="7">
        <f>COUNTIFS(STATUS!$Q:$Q,I$1,STATUS!$K:$K,"РЕШ УВ DONE",STATUS!$D:$D,$A102)</f>
        <v>0</v>
      </c>
      <c r="J102" s="7">
        <f t="shared" si="6"/>
        <v>31</v>
      </c>
    </row>
    <row r="103" spans="1:10" x14ac:dyDescent="0.3">
      <c r="A103" s="6">
        <v>44008</v>
      </c>
      <c r="B103" s="7">
        <f>COUNTIFS(STATUS!$Q:$Q,B$1,STATUS!$K:$K,"РЕШ УВ DONE",STATUS!$D:$D,$A103)</f>
        <v>4</v>
      </c>
      <c r="C103" s="7">
        <f>COUNTIFS(STATUS!$Q:$Q,C$1,STATUS!$K:$K,"РЕШ УВ DONE",STATUS!$D:$D,$A103)</f>
        <v>2</v>
      </c>
      <c r="D103" s="7">
        <f>COUNTIFS(STATUS!$Q:$Q,D$1,STATUS!$K:$K,"РЕШ УВ DONE",STATUS!$D:$D,$A103)</f>
        <v>4</v>
      </c>
      <c r="E103" s="7">
        <f>COUNTIFS(STATUS!$Q:$Q,E$1,STATUS!$K:$K,"РЕШ УВ DONE",STATUS!$D:$D,$A103)</f>
        <v>4</v>
      </c>
      <c r="F103" s="7">
        <f>COUNTIFS(STATUS!$Q:$Q,F$1,STATUS!$K:$K,"РЕШ УВ DONE",STATUS!$D:$D,$A103)</f>
        <v>0</v>
      </c>
      <c r="G103" s="7">
        <f>COUNTIFS(STATUS!$Q:$Q,G$1,STATUS!$K:$K,"РЕШ УВ DONE",STATUS!$D:$D,$A103)</f>
        <v>1</v>
      </c>
      <c r="H103" s="7">
        <f>COUNTIFS(STATUS!$Q:$Q,H$1,STATUS!$K:$K,"РЕШ УВ DONE",STATUS!$D:$D,$A103)</f>
        <v>0</v>
      </c>
      <c r="I103" s="7">
        <f>COUNTIFS(STATUS!$Q:$Q,I$1,STATUS!$K:$K,"РЕШ УВ DONE",STATUS!$D:$D,$A103)</f>
        <v>0</v>
      </c>
      <c r="J103" s="7">
        <f t="shared" ref="J103:J121" si="7">SUM(B103:I103)</f>
        <v>15</v>
      </c>
    </row>
    <row r="104" spans="1:10" x14ac:dyDescent="0.3">
      <c r="A104" s="6">
        <v>44009</v>
      </c>
      <c r="B104" s="7">
        <f>COUNTIFS(STATUS!$Q:$Q,B$1,STATUS!$K:$K,"РЕШ УВ DONE",STATUS!$D:$D,$A104)</f>
        <v>0</v>
      </c>
      <c r="C104" s="7">
        <f>COUNTIFS(STATUS!$Q:$Q,C$1,STATUS!$K:$K,"РЕШ УВ DONE",STATUS!$D:$D,$A104)</f>
        <v>0</v>
      </c>
      <c r="D104" s="7">
        <f>COUNTIFS(STATUS!$Q:$Q,D$1,STATUS!$K:$K,"РЕШ УВ DONE",STATUS!$D:$D,$A104)</f>
        <v>0</v>
      </c>
      <c r="E104" s="7">
        <f>COUNTIFS(STATUS!$Q:$Q,E$1,STATUS!$K:$K,"РЕШ УВ DONE",STATUS!$D:$D,$A104)</f>
        <v>0</v>
      </c>
      <c r="F104" s="7">
        <f>COUNTIFS(STATUS!$Q:$Q,F$1,STATUS!$K:$K,"РЕШ УВ DONE",STATUS!$D:$D,$A104)</f>
        <v>0</v>
      </c>
      <c r="G104" s="7">
        <f>COUNTIFS(STATUS!$Q:$Q,G$1,STATUS!$K:$K,"РЕШ УВ DONE",STATUS!$D:$D,$A104)</f>
        <v>0</v>
      </c>
      <c r="H104" s="7">
        <f>COUNTIFS(STATUS!$Q:$Q,H$1,STATUS!$K:$K,"РЕШ УВ DONE",STATUS!$D:$D,$A104)</f>
        <v>0</v>
      </c>
      <c r="I104" s="7">
        <f>COUNTIFS(STATUS!$Q:$Q,I$1,STATUS!$K:$K,"РЕШ УВ DONE",STATUS!$D:$D,$A104)</f>
        <v>0</v>
      </c>
      <c r="J104" s="7">
        <f t="shared" si="7"/>
        <v>0</v>
      </c>
    </row>
    <row r="105" spans="1:10" x14ac:dyDescent="0.3">
      <c r="A105" s="6">
        <v>44010</v>
      </c>
      <c r="B105" s="7">
        <f>COUNTIFS(STATUS!$Q:$Q,B$1,STATUS!$K:$K,"РЕШ УВ DONE",STATUS!$D:$D,$A105)</f>
        <v>0</v>
      </c>
      <c r="C105" s="7">
        <f>COUNTIFS(STATUS!$Q:$Q,C$1,STATUS!$K:$K,"РЕШ УВ DONE",STATUS!$D:$D,$A105)</f>
        <v>0</v>
      </c>
      <c r="D105" s="7">
        <f>COUNTIFS(STATUS!$Q:$Q,D$1,STATUS!$K:$K,"РЕШ УВ DONE",STATUS!$D:$D,$A105)</f>
        <v>0</v>
      </c>
      <c r="E105" s="7">
        <f>COUNTIFS(STATUS!$Q:$Q,E$1,STATUS!$K:$K,"РЕШ УВ DONE",STATUS!$D:$D,$A105)</f>
        <v>0</v>
      </c>
      <c r="F105" s="7">
        <f>COUNTIFS(STATUS!$Q:$Q,F$1,STATUS!$K:$K,"РЕШ УВ DONE",STATUS!$D:$D,$A105)</f>
        <v>0</v>
      </c>
      <c r="G105" s="7">
        <f>COUNTIFS(STATUS!$Q:$Q,G$1,STATUS!$K:$K,"РЕШ УВ DONE",STATUS!$D:$D,$A105)</f>
        <v>0</v>
      </c>
      <c r="H105" s="7">
        <f>COUNTIFS(STATUS!$Q:$Q,H$1,STATUS!$K:$K,"РЕШ УВ DONE",STATUS!$D:$D,$A105)</f>
        <v>0</v>
      </c>
      <c r="I105" s="7">
        <f>COUNTIFS(STATUS!$Q:$Q,I$1,STATUS!$K:$K,"РЕШ УВ DONE",STATUS!$D:$D,$A105)</f>
        <v>0</v>
      </c>
      <c r="J105" s="7">
        <f t="shared" si="7"/>
        <v>0</v>
      </c>
    </row>
    <row r="106" spans="1:10" x14ac:dyDescent="0.3">
      <c r="A106" s="6">
        <v>44011</v>
      </c>
      <c r="B106" s="7">
        <f>COUNTIFS(STATUS!$Q:$Q,B$1,STATUS!$K:$K,"РЕШ УВ DONE",STATUS!$D:$D,$A106)</f>
        <v>2</v>
      </c>
      <c r="C106" s="7">
        <f>COUNTIFS(STATUS!$Q:$Q,C$1,STATUS!$K:$K,"РЕШ УВ DONE",STATUS!$D:$D,$A106)</f>
        <v>5</v>
      </c>
      <c r="D106" s="7">
        <f>COUNTIFS(STATUS!$Q:$Q,D$1,STATUS!$K:$K,"РЕШ УВ DONE",STATUS!$D:$D,$A106)</f>
        <v>2</v>
      </c>
      <c r="E106" s="7">
        <f>COUNTIFS(STATUS!$Q:$Q,E$1,STATUS!$K:$K,"РЕШ УВ DONE",STATUS!$D:$D,$A106)</f>
        <v>3</v>
      </c>
      <c r="F106" s="7">
        <f>COUNTIFS(STATUS!$Q:$Q,F$1,STATUS!$K:$K,"РЕШ УВ DONE",STATUS!$D:$D,$A106)</f>
        <v>0</v>
      </c>
      <c r="G106" s="7">
        <f>COUNTIFS(STATUS!$Q:$Q,G$1,STATUS!$K:$K,"РЕШ УВ DONE",STATUS!$D:$D,$A106)</f>
        <v>4</v>
      </c>
      <c r="H106" s="7">
        <f>COUNTIFS(STATUS!$Q:$Q,H$1,STATUS!$K:$K,"РЕШ УВ DONE",STATUS!$D:$D,$A106)</f>
        <v>0</v>
      </c>
      <c r="I106" s="7">
        <f>COUNTIFS(STATUS!$Q:$Q,I$1,STATUS!$K:$K,"РЕШ УВ DONE",STATUS!$D:$D,$A106)</f>
        <v>0</v>
      </c>
      <c r="J106" s="7">
        <f t="shared" si="7"/>
        <v>16</v>
      </c>
    </row>
    <row r="107" spans="1:10" x14ac:dyDescent="0.3">
      <c r="A107" s="6">
        <v>44012</v>
      </c>
      <c r="B107" s="7">
        <f>COUNTIFS(STATUS!$Q:$Q,B$1,STATUS!$K:$K,"РЕШ УВ DONE",STATUS!$D:$D,$A107)</f>
        <v>2</v>
      </c>
      <c r="C107" s="7">
        <f>COUNTIFS(STATUS!$Q:$Q,C$1,STATUS!$K:$K,"РЕШ УВ DONE",STATUS!$D:$D,$A107)</f>
        <v>0</v>
      </c>
      <c r="D107" s="7">
        <f>COUNTIFS(STATUS!$Q:$Q,D$1,STATUS!$K:$K,"РЕШ УВ DONE",STATUS!$D:$D,$A107)</f>
        <v>4</v>
      </c>
      <c r="E107" s="7">
        <f>COUNTIFS(STATUS!$Q:$Q,E$1,STATUS!$K:$K,"РЕШ УВ DONE",STATUS!$D:$D,$A107)</f>
        <v>2</v>
      </c>
      <c r="F107" s="7">
        <f>COUNTIFS(STATUS!$Q:$Q,F$1,STATUS!$K:$K,"РЕШ УВ DONE",STATUS!$D:$D,$A107)</f>
        <v>0</v>
      </c>
      <c r="G107" s="7">
        <f>COUNTIFS(STATUS!$Q:$Q,G$1,STATUS!$K:$K,"РЕШ УВ DONE",STATUS!$D:$D,$A107)</f>
        <v>2</v>
      </c>
      <c r="H107" s="7">
        <f>COUNTIFS(STATUS!$Q:$Q,H$1,STATUS!$K:$K,"РЕШ УВ DONE",STATUS!$D:$D,$A107)</f>
        <v>0</v>
      </c>
      <c r="I107" s="7">
        <f>COUNTIFS(STATUS!$Q:$Q,I$1,STATUS!$K:$K,"РЕШ УВ DONE",STATUS!$D:$D,$A107)</f>
        <v>0</v>
      </c>
      <c r="J107" s="7">
        <f t="shared" si="7"/>
        <v>10</v>
      </c>
    </row>
    <row r="108" spans="1:10" x14ac:dyDescent="0.3">
      <c r="A108" s="6">
        <v>44013</v>
      </c>
      <c r="B108" s="7">
        <f>COUNTIFS(STATUS!$Q:$Q,B$1,STATUS!$K:$K,"РЕШ УВ DONE",STATUS!$D:$D,$A108)</f>
        <v>0</v>
      </c>
      <c r="C108" s="7">
        <f>COUNTIFS(STATUS!$Q:$Q,C$1,STATUS!$K:$K,"РЕШ УВ DONE",STATUS!$D:$D,$A108)</f>
        <v>0</v>
      </c>
      <c r="D108" s="7">
        <f>COUNTIFS(STATUS!$Q:$Q,D$1,STATUS!$K:$K,"РЕШ УВ DONE",STATUS!$D:$D,$A108)</f>
        <v>0</v>
      </c>
      <c r="E108" s="7">
        <f>COUNTIFS(STATUS!$Q:$Q,E$1,STATUS!$K:$K,"РЕШ УВ DONE",STATUS!$D:$D,$A108)</f>
        <v>0</v>
      </c>
      <c r="F108" s="7">
        <f>COUNTIFS(STATUS!$Q:$Q,F$1,STATUS!$K:$K,"РЕШ УВ DONE",STATUS!$D:$D,$A108)</f>
        <v>0</v>
      </c>
      <c r="G108" s="7">
        <f>COUNTIFS(STATUS!$Q:$Q,G$1,STATUS!$K:$K,"РЕШ УВ DONE",STATUS!$D:$D,$A108)</f>
        <v>0</v>
      </c>
      <c r="H108" s="7">
        <f>COUNTIFS(STATUS!$Q:$Q,H$1,STATUS!$K:$K,"РЕШ УВ DONE",STATUS!$D:$D,$A108)</f>
        <v>0</v>
      </c>
      <c r="I108" s="7">
        <f>COUNTIFS(STATUS!$Q:$Q,I$1,STATUS!$K:$K,"РЕШ УВ DONE",STATUS!$D:$D,$A108)</f>
        <v>0</v>
      </c>
      <c r="J108" s="7">
        <f t="shared" si="7"/>
        <v>0</v>
      </c>
    </row>
    <row r="109" spans="1:10" x14ac:dyDescent="0.3">
      <c r="A109" s="6">
        <v>44014</v>
      </c>
      <c r="B109" s="7">
        <f>COUNTIFS(STATUS!$Q:$Q,B$1,STATUS!$K:$K,"РЕШ УВ DONE",STATUS!$D:$D,$A109)</f>
        <v>6</v>
      </c>
      <c r="C109" s="7">
        <f>COUNTIFS(STATUS!$Q:$Q,C$1,STATUS!$K:$K,"РЕШ УВ DONE",STATUS!$D:$D,$A109)</f>
        <v>0</v>
      </c>
      <c r="D109" s="7">
        <f>COUNTIFS(STATUS!$Q:$Q,D$1,STATUS!$K:$K,"РЕШ УВ DONE",STATUS!$D:$D,$A109)</f>
        <v>8</v>
      </c>
      <c r="E109" s="7">
        <f>COUNTIFS(STATUS!$Q:$Q,E$1,STATUS!$K:$K,"РЕШ УВ DONE",STATUS!$D:$D,$A109)</f>
        <v>5</v>
      </c>
      <c r="F109" s="7">
        <f>COUNTIFS(STATUS!$Q:$Q,F$1,STATUS!$K:$K,"РЕШ УВ DONE",STATUS!$D:$D,$A109)</f>
        <v>0</v>
      </c>
      <c r="G109" s="7">
        <f>COUNTIFS(STATUS!$Q:$Q,G$1,STATUS!$K:$K,"РЕШ УВ DONE",STATUS!$D:$D,$A109)</f>
        <v>6</v>
      </c>
      <c r="H109" s="7">
        <f>COUNTIFS(STATUS!$Q:$Q,H$1,STATUS!$K:$K,"РЕШ УВ DONE",STATUS!$D:$D,$A109)</f>
        <v>0</v>
      </c>
      <c r="I109" s="7">
        <f>COUNTIFS(STATUS!$Q:$Q,I$1,STATUS!$K:$K,"РЕШ УВ DONE",STATUS!$D:$D,$A109)</f>
        <v>0</v>
      </c>
      <c r="J109" s="7">
        <f t="shared" si="7"/>
        <v>25</v>
      </c>
    </row>
    <row r="110" spans="1:10" x14ac:dyDescent="0.3">
      <c r="A110" s="6">
        <v>44015</v>
      </c>
      <c r="B110" s="7">
        <f>COUNTIFS(STATUS!$Q:$Q,B$1,STATUS!$K:$K,"РЕШ УВ DONE",STATUS!$D:$D,$A110)</f>
        <v>2</v>
      </c>
      <c r="C110" s="7">
        <f>COUNTIFS(STATUS!$Q:$Q,C$1,STATUS!$K:$K,"РЕШ УВ DONE",STATUS!$D:$D,$A110)</f>
        <v>0</v>
      </c>
      <c r="D110" s="7">
        <f>COUNTIFS(STATUS!$Q:$Q,D$1,STATUS!$K:$K,"РЕШ УВ DONE",STATUS!$D:$D,$A110)</f>
        <v>4</v>
      </c>
      <c r="E110" s="7">
        <f>COUNTIFS(STATUS!$Q:$Q,E$1,STATUS!$K:$K,"РЕШ УВ DONE",STATUS!$D:$D,$A110)</f>
        <v>4</v>
      </c>
      <c r="F110" s="7">
        <f>COUNTIFS(STATUS!$Q:$Q,F$1,STATUS!$K:$K,"РЕШ УВ DONE",STATUS!$D:$D,$A110)</f>
        <v>0</v>
      </c>
      <c r="G110" s="7">
        <f>COUNTIFS(STATUS!$Q:$Q,G$1,STATUS!$K:$K,"РЕШ УВ DONE",STATUS!$D:$D,$A110)</f>
        <v>3</v>
      </c>
      <c r="H110" s="7">
        <f>COUNTIFS(STATUS!$Q:$Q,H$1,STATUS!$K:$K,"РЕШ УВ DONE",STATUS!$D:$D,$A110)</f>
        <v>0</v>
      </c>
      <c r="I110" s="7">
        <f>COUNTIFS(STATUS!$Q:$Q,I$1,STATUS!$K:$K,"РЕШ УВ DONE",STATUS!$D:$D,$A110)</f>
        <v>0</v>
      </c>
      <c r="J110" s="7">
        <f t="shared" si="7"/>
        <v>13</v>
      </c>
    </row>
    <row r="111" spans="1:10" x14ac:dyDescent="0.3">
      <c r="A111" s="6">
        <v>44016</v>
      </c>
      <c r="B111" s="7">
        <f>COUNTIFS(STATUS!$Q:$Q,B$1,STATUS!$K:$K,"РЕШ УВ DONE",STATUS!$D:$D,$A111)</f>
        <v>0</v>
      </c>
      <c r="C111" s="7">
        <f>COUNTIFS(STATUS!$Q:$Q,C$1,STATUS!$K:$K,"РЕШ УВ DONE",STATUS!$D:$D,$A111)</f>
        <v>0</v>
      </c>
      <c r="D111" s="7">
        <f>COUNTIFS(STATUS!$Q:$Q,D$1,STATUS!$K:$K,"РЕШ УВ DONE",STATUS!$D:$D,$A111)</f>
        <v>0</v>
      </c>
      <c r="E111" s="7">
        <f>COUNTIFS(STATUS!$Q:$Q,E$1,STATUS!$K:$K,"РЕШ УВ DONE",STATUS!$D:$D,$A111)</f>
        <v>0</v>
      </c>
      <c r="F111" s="7">
        <f>COUNTIFS(STATUS!$Q:$Q,F$1,STATUS!$K:$K,"РЕШ УВ DONE",STATUS!$D:$D,$A111)</f>
        <v>0</v>
      </c>
      <c r="G111" s="7">
        <f>COUNTIFS(STATUS!$Q:$Q,G$1,STATUS!$K:$K,"РЕШ УВ DONE",STATUS!$D:$D,$A111)</f>
        <v>0</v>
      </c>
      <c r="H111" s="7">
        <f>COUNTIFS(STATUS!$Q:$Q,H$1,STATUS!$K:$K,"РЕШ УВ DONE",STATUS!$D:$D,$A111)</f>
        <v>0</v>
      </c>
      <c r="I111" s="7">
        <f>COUNTIFS(STATUS!$Q:$Q,I$1,STATUS!$K:$K,"РЕШ УВ DONE",STATUS!$D:$D,$A111)</f>
        <v>0</v>
      </c>
      <c r="J111" s="7">
        <f t="shared" si="7"/>
        <v>0</v>
      </c>
    </row>
    <row r="112" spans="1:10" x14ac:dyDescent="0.3">
      <c r="A112" s="6">
        <v>44017</v>
      </c>
      <c r="B112" s="7">
        <f>COUNTIFS(STATUS!$Q:$Q,B$1,STATUS!$K:$K,"РЕШ УВ DONE",STATUS!$D:$D,$A112)</f>
        <v>0</v>
      </c>
      <c r="C112" s="7">
        <f>COUNTIFS(STATUS!$Q:$Q,C$1,STATUS!$K:$K,"РЕШ УВ DONE",STATUS!$D:$D,$A112)</f>
        <v>0</v>
      </c>
      <c r="D112" s="7">
        <f>COUNTIFS(STATUS!$Q:$Q,D$1,STATUS!$K:$K,"РЕШ УВ DONE",STATUS!$D:$D,$A112)</f>
        <v>0</v>
      </c>
      <c r="E112" s="7">
        <f>COUNTIFS(STATUS!$Q:$Q,E$1,STATUS!$K:$K,"РЕШ УВ DONE",STATUS!$D:$D,$A112)</f>
        <v>0</v>
      </c>
      <c r="F112" s="7">
        <f>COUNTIFS(STATUS!$Q:$Q,F$1,STATUS!$K:$K,"РЕШ УВ DONE",STATUS!$D:$D,$A112)</f>
        <v>0</v>
      </c>
      <c r="G112" s="7">
        <f>COUNTIFS(STATUS!$Q:$Q,G$1,STATUS!$K:$K,"РЕШ УВ DONE",STATUS!$D:$D,$A112)</f>
        <v>0</v>
      </c>
      <c r="H112" s="7">
        <f>COUNTIFS(STATUS!$Q:$Q,H$1,STATUS!$K:$K,"РЕШ УВ DONE",STATUS!$D:$D,$A112)</f>
        <v>0</v>
      </c>
      <c r="I112" s="7">
        <f>COUNTIFS(STATUS!$Q:$Q,I$1,STATUS!$K:$K,"РЕШ УВ DONE",STATUS!$D:$D,$A112)</f>
        <v>0</v>
      </c>
      <c r="J112" s="7">
        <f t="shared" si="7"/>
        <v>0</v>
      </c>
    </row>
    <row r="113" spans="1:10" x14ac:dyDescent="0.3">
      <c r="A113" s="6">
        <v>44018</v>
      </c>
      <c r="B113" s="7">
        <f>COUNTIFS(STATUS!$Q:$Q,B$1,STATUS!$K:$K,"РЕШ УВ DONE",STATUS!$D:$D,$A113)</f>
        <v>3</v>
      </c>
      <c r="C113" s="7">
        <f>COUNTIFS(STATUS!$Q:$Q,C$1,STATUS!$K:$K,"РЕШ УВ DONE",STATUS!$D:$D,$A113)</f>
        <v>0</v>
      </c>
      <c r="D113" s="7">
        <f>COUNTIFS(STATUS!$Q:$Q,D$1,STATUS!$K:$K,"РЕШ УВ DONE",STATUS!$D:$D,$A113)</f>
        <v>4</v>
      </c>
      <c r="E113" s="7">
        <f>COUNTIFS(STATUS!$Q:$Q,E$1,STATUS!$K:$K,"РЕШ УВ DONE",STATUS!$D:$D,$A113)</f>
        <v>2</v>
      </c>
      <c r="F113" s="7">
        <f>COUNTIFS(STATUS!$Q:$Q,F$1,STATUS!$K:$K,"РЕШ УВ DONE",STATUS!$D:$D,$A113)</f>
        <v>0</v>
      </c>
      <c r="G113" s="7">
        <f>COUNTIFS(STATUS!$Q:$Q,G$1,STATUS!$K:$K,"РЕШ УВ DONE",STATUS!$D:$D,$A113)</f>
        <v>2</v>
      </c>
      <c r="H113" s="7">
        <f>COUNTIFS(STATUS!$Q:$Q,H$1,STATUS!$K:$K,"РЕШ УВ DONE",STATUS!$D:$D,$A113)</f>
        <v>0</v>
      </c>
      <c r="I113" s="7">
        <f>COUNTIFS(STATUS!$Q:$Q,I$1,STATUS!$K:$K,"РЕШ УВ DONE",STATUS!$D:$D,$A113)</f>
        <v>0</v>
      </c>
      <c r="J113" s="7">
        <f t="shared" si="7"/>
        <v>11</v>
      </c>
    </row>
    <row r="114" spans="1:10" x14ac:dyDescent="0.3">
      <c r="A114" s="6">
        <v>44019</v>
      </c>
      <c r="B114" s="7">
        <f>COUNTIFS(STATUS!$Q:$Q,B$1,STATUS!$K:$K,"РЕШ УВ DONE",STATUS!$D:$D,$A114)</f>
        <v>2</v>
      </c>
      <c r="C114" s="7">
        <f>COUNTIFS(STATUS!$Q:$Q,C$1,STATUS!$K:$K,"РЕШ УВ DONE",STATUS!$D:$D,$A114)</f>
        <v>0</v>
      </c>
      <c r="D114" s="7">
        <f>COUNTIFS(STATUS!$Q:$Q,D$1,STATUS!$K:$K,"РЕШ УВ DONE",STATUS!$D:$D,$A114)</f>
        <v>2</v>
      </c>
      <c r="E114" s="7">
        <f>COUNTIFS(STATUS!$Q:$Q,E$1,STATUS!$K:$K,"РЕШ УВ DONE",STATUS!$D:$D,$A114)</f>
        <v>1</v>
      </c>
      <c r="F114" s="7">
        <f>COUNTIFS(STATUS!$Q:$Q,F$1,STATUS!$K:$K,"РЕШ УВ DONE",STATUS!$D:$D,$A114)</f>
        <v>0</v>
      </c>
      <c r="G114" s="7">
        <f>COUNTIFS(STATUS!$Q:$Q,G$1,STATUS!$K:$K,"РЕШ УВ DONE",STATUS!$D:$D,$A114)</f>
        <v>4</v>
      </c>
      <c r="H114" s="7">
        <f>COUNTIFS(STATUS!$Q:$Q,H$1,STATUS!$K:$K,"РЕШ УВ DONE",STATUS!$D:$D,$A114)</f>
        <v>0</v>
      </c>
      <c r="I114" s="7">
        <f>COUNTIFS(STATUS!$Q:$Q,I$1,STATUS!$K:$K,"РЕШ УВ DONE",STATUS!$D:$D,$A114)</f>
        <v>0</v>
      </c>
      <c r="J114" s="7">
        <f t="shared" si="7"/>
        <v>9</v>
      </c>
    </row>
    <row r="115" spans="1:10" x14ac:dyDescent="0.3">
      <c r="A115" s="6">
        <v>44020</v>
      </c>
      <c r="B115" s="7">
        <f>COUNTIFS(STATUS!$Q:$Q,B$1,STATUS!$K:$K,"РЕШ УВ DONE",STATUS!$D:$D,$A115)</f>
        <v>2</v>
      </c>
      <c r="C115" s="7">
        <f>COUNTIFS(STATUS!$Q:$Q,C$1,STATUS!$K:$K,"РЕШ УВ DONE",STATUS!$D:$D,$A115)</f>
        <v>0</v>
      </c>
      <c r="D115" s="7">
        <f>COUNTIFS(STATUS!$Q:$Q,D$1,STATUS!$K:$K,"РЕШ УВ DONE",STATUS!$D:$D,$A115)</f>
        <v>2</v>
      </c>
      <c r="E115" s="7">
        <f>COUNTIFS(STATUS!$Q:$Q,E$1,STATUS!$K:$K,"РЕШ УВ DONE",STATUS!$D:$D,$A115)</f>
        <v>3</v>
      </c>
      <c r="F115" s="7">
        <f>COUNTIFS(STATUS!$Q:$Q,F$1,STATUS!$K:$K,"РЕШ УВ DONE",STATUS!$D:$D,$A115)</f>
        <v>0</v>
      </c>
      <c r="G115" s="7">
        <f>COUNTIFS(STATUS!$Q:$Q,G$1,STATUS!$K:$K,"РЕШ УВ DONE",STATUS!$D:$D,$A115)</f>
        <v>3</v>
      </c>
      <c r="H115" s="7">
        <f>COUNTIFS(STATUS!$Q:$Q,H$1,STATUS!$K:$K,"РЕШ УВ DONE",STATUS!$D:$D,$A115)</f>
        <v>0</v>
      </c>
      <c r="I115" s="7">
        <f>COUNTIFS(STATUS!$Q:$Q,I$1,STATUS!$K:$K,"РЕШ УВ DONE",STATUS!$D:$D,$A115)</f>
        <v>0</v>
      </c>
      <c r="J115" s="7">
        <f t="shared" si="7"/>
        <v>10</v>
      </c>
    </row>
    <row r="116" spans="1:10" x14ac:dyDescent="0.3">
      <c r="A116" s="6">
        <v>44021</v>
      </c>
      <c r="B116" s="7">
        <f>COUNTIFS(STATUS!$Q:$Q,B$1,STATUS!$K:$K,"РЕШ УВ DONE",STATUS!$D:$D,$A116)</f>
        <v>6</v>
      </c>
      <c r="C116" s="7">
        <f>COUNTIFS(STATUS!$Q:$Q,C$1,STATUS!$K:$K,"РЕШ УВ DONE",STATUS!$D:$D,$A116)</f>
        <v>0</v>
      </c>
      <c r="D116" s="7">
        <f>COUNTIFS(STATUS!$Q:$Q,D$1,STATUS!$K:$K,"РЕШ УВ DONE",STATUS!$D:$D,$A116)</f>
        <v>6</v>
      </c>
      <c r="E116" s="7">
        <f>COUNTIFS(STATUS!$Q:$Q,E$1,STATUS!$K:$K,"РЕШ УВ DONE",STATUS!$D:$D,$A116)</f>
        <v>4</v>
      </c>
      <c r="F116" s="7">
        <f>COUNTIFS(STATUS!$Q:$Q,F$1,STATUS!$K:$K,"РЕШ УВ DONE",STATUS!$D:$D,$A116)</f>
        <v>0</v>
      </c>
      <c r="G116" s="7">
        <f>COUNTIFS(STATUS!$Q:$Q,G$1,STATUS!$K:$K,"РЕШ УВ DONE",STATUS!$D:$D,$A116)</f>
        <v>4</v>
      </c>
      <c r="H116" s="7">
        <f>COUNTIFS(STATUS!$Q:$Q,H$1,STATUS!$K:$K,"РЕШ УВ DONE",STATUS!$D:$D,$A116)</f>
        <v>0</v>
      </c>
      <c r="I116" s="7">
        <f>COUNTIFS(STATUS!$Q:$Q,I$1,STATUS!$K:$K,"РЕШ УВ DONE",STATUS!$D:$D,$A116)</f>
        <v>0</v>
      </c>
      <c r="J116" s="7">
        <f t="shared" si="7"/>
        <v>20</v>
      </c>
    </row>
    <row r="117" spans="1:10" x14ac:dyDescent="0.3">
      <c r="A117" s="6">
        <v>44022</v>
      </c>
      <c r="B117" s="7">
        <f>COUNTIFS(STATUS!$Q:$Q,B$1,STATUS!$K:$K,"РЕШ УВ DONE",STATUS!$D:$D,$A117)</f>
        <v>6</v>
      </c>
      <c r="C117" s="7">
        <f>COUNTIFS(STATUS!$Q:$Q,C$1,STATUS!$K:$K,"РЕШ УВ DONE",STATUS!$D:$D,$A117)</f>
        <v>0</v>
      </c>
      <c r="D117" s="7">
        <f>COUNTIFS(STATUS!$Q:$Q,D$1,STATUS!$K:$K,"РЕШ УВ DONE",STATUS!$D:$D,$A117)</f>
        <v>4</v>
      </c>
      <c r="E117" s="7">
        <f>COUNTIFS(STATUS!$Q:$Q,E$1,STATUS!$K:$K,"РЕШ УВ DONE",STATUS!$D:$D,$A117)</f>
        <v>4</v>
      </c>
      <c r="F117" s="7">
        <f>COUNTIFS(STATUS!$Q:$Q,F$1,STATUS!$K:$K,"РЕШ УВ DONE",STATUS!$D:$D,$A117)</f>
        <v>0</v>
      </c>
      <c r="G117" s="7">
        <f>COUNTIFS(STATUS!$Q:$Q,G$1,STATUS!$K:$K,"РЕШ УВ DONE",STATUS!$D:$D,$A117)</f>
        <v>6</v>
      </c>
      <c r="H117" s="7">
        <f>COUNTIFS(STATUS!$Q:$Q,H$1,STATUS!$K:$K,"РЕШ УВ DONE",STATUS!$D:$D,$A117)</f>
        <v>0</v>
      </c>
      <c r="I117" s="7">
        <f>COUNTIFS(STATUS!$Q:$Q,I$1,STATUS!$K:$K,"РЕШ УВ DONE",STATUS!$D:$D,$A117)</f>
        <v>0</v>
      </c>
      <c r="J117" s="7">
        <f t="shared" si="7"/>
        <v>20</v>
      </c>
    </row>
    <row r="118" spans="1:10" x14ac:dyDescent="0.3">
      <c r="A118" s="6">
        <v>44023</v>
      </c>
      <c r="B118" s="7">
        <f>COUNTIFS(STATUS!$Q:$Q,B$1,STATUS!$K:$K,"РЕШ УВ DONE",STATUS!$D:$D,$A118)</f>
        <v>0</v>
      </c>
      <c r="C118" s="7">
        <f>COUNTIFS(STATUS!$Q:$Q,C$1,STATUS!$K:$K,"РЕШ УВ DONE",STATUS!$D:$D,$A118)</f>
        <v>0</v>
      </c>
      <c r="D118" s="7">
        <f>COUNTIFS(STATUS!$Q:$Q,D$1,STATUS!$K:$K,"РЕШ УВ DONE",STATUS!$D:$D,$A118)</f>
        <v>0</v>
      </c>
      <c r="E118" s="7">
        <f>COUNTIFS(STATUS!$Q:$Q,E$1,STATUS!$K:$K,"РЕШ УВ DONE",STATUS!$D:$D,$A118)</f>
        <v>0</v>
      </c>
      <c r="F118" s="7">
        <f>COUNTIFS(STATUS!$Q:$Q,F$1,STATUS!$K:$K,"РЕШ УВ DONE",STATUS!$D:$D,$A118)</f>
        <v>0</v>
      </c>
      <c r="G118" s="7">
        <f>COUNTIFS(STATUS!$Q:$Q,G$1,STATUS!$K:$K,"РЕШ УВ DONE",STATUS!$D:$D,$A118)</f>
        <v>0</v>
      </c>
      <c r="H118" s="7">
        <f>COUNTIFS(STATUS!$Q:$Q,H$1,STATUS!$K:$K,"РЕШ УВ DONE",STATUS!$D:$D,$A118)</f>
        <v>0</v>
      </c>
      <c r="I118" s="7">
        <f>COUNTIFS(STATUS!$Q:$Q,I$1,STATUS!$K:$K,"РЕШ УВ DONE",STATUS!$D:$D,$A118)</f>
        <v>0</v>
      </c>
      <c r="J118" s="7">
        <f t="shared" si="7"/>
        <v>0</v>
      </c>
    </row>
    <row r="119" spans="1:10" x14ac:dyDescent="0.3">
      <c r="A119" s="6">
        <v>44024</v>
      </c>
      <c r="B119" s="7">
        <f>COUNTIFS(STATUS!$Q:$Q,B$1,STATUS!$K:$K,"РЕШ УВ DONE",STATUS!$D:$D,$A119)</f>
        <v>0</v>
      </c>
      <c r="C119" s="7">
        <f>COUNTIFS(STATUS!$Q:$Q,C$1,STATUS!$K:$K,"РЕШ УВ DONE",STATUS!$D:$D,$A119)</f>
        <v>0</v>
      </c>
      <c r="D119" s="7">
        <f>COUNTIFS(STATUS!$Q:$Q,D$1,STATUS!$K:$K,"РЕШ УВ DONE",STATUS!$D:$D,$A119)</f>
        <v>0</v>
      </c>
      <c r="E119" s="7">
        <f>COUNTIFS(STATUS!$Q:$Q,E$1,STATUS!$K:$K,"РЕШ УВ DONE",STATUS!$D:$D,$A119)</f>
        <v>0</v>
      </c>
      <c r="F119" s="7">
        <f>COUNTIFS(STATUS!$Q:$Q,F$1,STATUS!$K:$K,"РЕШ УВ DONE",STATUS!$D:$D,$A119)</f>
        <v>0</v>
      </c>
      <c r="G119" s="7">
        <f>COUNTIFS(STATUS!$Q:$Q,G$1,STATUS!$K:$K,"РЕШ УВ DONE",STATUS!$D:$D,$A119)</f>
        <v>0</v>
      </c>
      <c r="H119" s="7">
        <f>COUNTIFS(STATUS!$Q:$Q,H$1,STATUS!$K:$K,"РЕШ УВ DONE",STATUS!$D:$D,$A119)</f>
        <v>0</v>
      </c>
      <c r="I119" s="7">
        <f>COUNTIFS(STATUS!$Q:$Q,I$1,STATUS!$K:$K,"РЕШ УВ DONE",STATUS!$D:$D,$A119)</f>
        <v>0</v>
      </c>
      <c r="J119" s="7">
        <f t="shared" si="7"/>
        <v>0</v>
      </c>
    </row>
    <row r="120" spans="1:10" x14ac:dyDescent="0.3">
      <c r="A120" s="6">
        <v>44025</v>
      </c>
      <c r="B120" s="7">
        <f>COUNTIFS(STATUS!$Q:$Q,B$1,STATUS!$K:$K,"РЕШ УВ DONE",STATUS!$D:$D,$A120)</f>
        <v>1</v>
      </c>
      <c r="C120" s="7">
        <f>COUNTIFS(STATUS!$Q:$Q,C$1,STATUS!$K:$K,"РЕШ УВ DONE",STATUS!$D:$D,$A120)</f>
        <v>3</v>
      </c>
      <c r="D120" s="7">
        <f>COUNTIFS(STATUS!$Q:$Q,D$1,STATUS!$K:$K,"РЕШ УВ DONE",STATUS!$D:$D,$A120)</f>
        <v>1</v>
      </c>
      <c r="E120" s="7">
        <f>COUNTIFS(STATUS!$Q:$Q,E$1,STATUS!$K:$K,"РЕШ УВ DONE",STATUS!$D:$D,$A120)</f>
        <v>1</v>
      </c>
      <c r="F120" s="7">
        <f>COUNTIFS(STATUS!$Q:$Q,F$1,STATUS!$K:$K,"РЕШ УВ DONE",STATUS!$D:$D,$A120)</f>
        <v>0</v>
      </c>
      <c r="G120" s="7">
        <f>COUNTIFS(STATUS!$Q:$Q,G$1,STATUS!$K:$K,"РЕШ УВ DONE",STATUS!$D:$D,$A120)</f>
        <v>4</v>
      </c>
      <c r="H120" s="7">
        <f>COUNTIFS(STATUS!$Q:$Q,H$1,STATUS!$K:$K,"РЕШ УВ DONE",STATUS!$D:$D,$A120)</f>
        <v>0</v>
      </c>
      <c r="I120" s="7">
        <f>COUNTIFS(STATUS!$Q:$Q,I$1,STATUS!$K:$K,"РЕШ УВ DONE",STATUS!$D:$D,$A120)</f>
        <v>0</v>
      </c>
      <c r="J120" s="7">
        <f t="shared" si="7"/>
        <v>10</v>
      </c>
    </row>
    <row r="121" spans="1:10" x14ac:dyDescent="0.3">
      <c r="A121" s="6">
        <v>44026</v>
      </c>
      <c r="B121" s="7">
        <f>COUNTIFS(STATUS!$Q:$Q,B$1,STATUS!$K:$K,"РЕШ УВ DONE",STATUS!$D:$D,$A121)</f>
        <v>3</v>
      </c>
      <c r="C121" s="7">
        <f>COUNTIFS(STATUS!$Q:$Q,C$1,STATUS!$K:$K,"РЕШ УВ DONE",STATUS!$D:$D,$A121)</f>
        <v>0</v>
      </c>
      <c r="D121" s="7">
        <f>COUNTIFS(STATUS!$Q:$Q,D$1,STATUS!$K:$K,"РЕШ УВ DONE",STATUS!$D:$D,$A121)</f>
        <v>2</v>
      </c>
      <c r="E121" s="7">
        <f>COUNTIFS(STATUS!$Q:$Q,E$1,STATUS!$K:$K,"РЕШ УВ DONE",STATUS!$D:$D,$A121)</f>
        <v>1</v>
      </c>
      <c r="F121" s="7">
        <f>COUNTIFS(STATUS!$Q:$Q,F$1,STATUS!$K:$K,"РЕШ УВ DONE",STATUS!$D:$D,$A121)</f>
        <v>0</v>
      </c>
      <c r="G121" s="7">
        <f>COUNTIFS(STATUS!$Q:$Q,G$1,STATUS!$K:$K,"РЕШ УВ DONE",STATUS!$D:$D,$A121)</f>
        <v>1</v>
      </c>
      <c r="H121" s="7">
        <f>COUNTIFS(STATUS!$Q:$Q,H$1,STATUS!$K:$K,"РЕШ УВ DONE",STATUS!$D:$D,$A121)</f>
        <v>0</v>
      </c>
      <c r="I121" s="7">
        <f>COUNTIFS(STATUS!$Q:$Q,I$1,STATUS!$K:$K,"РЕШ УВ DONE",STATUS!$D:$D,$A121)</f>
        <v>0</v>
      </c>
      <c r="J121" s="7">
        <f t="shared" si="7"/>
        <v>7</v>
      </c>
    </row>
  </sheetData>
  <conditionalFormatting sqref="J1:J1048576">
    <cfRule type="colorScale" priority="3">
      <colorScale>
        <cfvo type="min"/>
        <cfvo type="percentile" val="50"/>
        <cfvo type="max"/>
        <color rgb="FF63BE7B"/>
        <color rgb="FFFFEB84"/>
        <color rgb="FFF8696B"/>
      </colorScale>
    </cfRule>
  </conditionalFormatting>
  <conditionalFormatting sqref="A1:A1048576">
    <cfRule type="timePeriod" dxfId="1" priority="1" timePeriod="today">
      <formula>FLOOR(A1,1)=TODAY()</formula>
    </cfRule>
  </conditionalFormatting>
  <conditionalFormatting sqref="B2:I121">
    <cfRule type="colorScale" priority="30389">
      <colorScale>
        <cfvo type="min"/>
        <cfvo type="percentile" val="50"/>
        <cfvo type="max"/>
        <color rgb="FF63BE7B"/>
        <color rgb="FFFFEB84"/>
        <color rgb="FFF8696B"/>
      </colorScale>
    </cfRule>
  </conditionalFormatting>
  <pageMargins left="0.7" right="0.7" top="0.75" bottom="0.75" header="0.3" footer="0.3"/>
  <pageSetup paperSize="9" orientation="portrait" horizontalDpi="300" verticalDpi="30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Q171"/>
  <sheetViews>
    <sheetView topLeftCell="A112" workbookViewId="0">
      <selection activeCell="L121" sqref="L121"/>
    </sheetView>
  </sheetViews>
  <sheetFormatPr defaultRowHeight="14.4" x14ac:dyDescent="0.3"/>
  <cols>
    <col min="1" max="1" width="9.88671875" bestFit="1" customWidth="1"/>
    <col min="2" max="2" width="13.44140625" customWidth="1"/>
    <col min="3" max="3" width="11.109375" customWidth="1"/>
    <col min="4" max="4" width="12.5546875" customWidth="1"/>
    <col min="5" max="5" width="10.6640625" customWidth="1"/>
    <col min="6" max="6" width="13.5546875" customWidth="1"/>
    <col min="7" max="9" width="15.33203125" customWidth="1"/>
    <col min="10" max="10" width="8.6640625" style="7"/>
  </cols>
  <sheetData>
    <row r="1" spans="1:17" ht="45.6" customHeight="1" thickTop="1" thickBot="1" x14ac:dyDescent="0.35">
      <c r="B1" s="332" t="s">
        <v>2076</v>
      </c>
      <c r="C1" s="331" t="s">
        <v>2037</v>
      </c>
      <c r="D1" s="335" t="s">
        <v>2142</v>
      </c>
      <c r="E1" s="337" t="s">
        <v>2109</v>
      </c>
      <c r="F1" s="338" t="s">
        <v>2383</v>
      </c>
      <c r="G1" s="339" t="s">
        <v>2417</v>
      </c>
      <c r="H1" s="339" t="s">
        <v>5193</v>
      </c>
      <c r="I1" s="371" t="s">
        <v>4039</v>
      </c>
      <c r="J1" s="344" t="s">
        <v>45</v>
      </c>
      <c r="K1" s="333">
        <f t="shared" ref="K1:P1" si="0">SUM(B:B)</f>
        <v>495</v>
      </c>
      <c r="L1" s="334">
        <f t="shared" si="0"/>
        <v>502</v>
      </c>
      <c r="M1" s="336">
        <f t="shared" si="0"/>
        <v>623</v>
      </c>
      <c r="N1" s="340">
        <f t="shared" si="0"/>
        <v>504</v>
      </c>
      <c r="O1" s="341">
        <f t="shared" si="0"/>
        <v>43</v>
      </c>
      <c r="P1" s="342">
        <f t="shared" si="0"/>
        <v>378</v>
      </c>
      <c r="Q1" s="343">
        <f>AVERAGE(J2:J73)</f>
        <v>18.597222222222221</v>
      </c>
    </row>
    <row r="2" spans="1:17" ht="15" thickTop="1" x14ac:dyDescent="0.3">
      <c r="A2" s="6">
        <v>43808</v>
      </c>
      <c r="B2" s="7">
        <f>COUNTIFS(STATUS!$Q:$Q,B$1,STATUS!$D:$D,$A2)</f>
        <v>4</v>
      </c>
      <c r="C2" s="7">
        <f>COUNTIFS(STATUS!$Q:$Q,C$1,STATUS!$D:$D,$A2)</f>
        <v>4</v>
      </c>
      <c r="D2" s="7">
        <f>COUNTIFS(STATUS!$Q:$Q,D$1,STATUS!$D:$D,$A2)</f>
        <v>4</v>
      </c>
      <c r="E2" s="7">
        <f>COUNTIFS(STATUS!$Q:$Q,E$1,STATUS!$D:$D,$A2)</f>
        <v>3</v>
      </c>
      <c r="F2" s="7">
        <f>COUNTIFS(STATUS!$Q:$Q,F$1,STATUS!$D:$D,$A2)</f>
        <v>0</v>
      </c>
      <c r="G2" s="7">
        <f>COUNTIFS(STATUS!$Q:$Q,G$1,STATUS!$D:$D,$A2)</f>
        <v>0</v>
      </c>
      <c r="H2" s="7">
        <f>COUNTIFS(STATUS!$Q:$Q,H$1,STATUS!$D:$D,$A2)</f>
        <v>0</v>
      </c>
      <c r="I2" s="7">
        <f>COUNTIFS(STATUS!$Q:$Q,I$1,STATUS!$D:$D,$A2)</f>
        <v>0</v>
      </c>
      <c r="J2" s="7">
        <f>SUM(B2:I2)</f>
        <v>15</v>
      </c>
    </row>
    <row r="3" spans="1:17" x14ac:dyDescent="0.3">
      <c r="A3" s="6">
        <v>43809</v>
      </c>
      <c r="B3" s="7">
        <f>COUNTIFS(STATUS!$Q:$Q,B$1,STATUS!$D:$D,$A3)</f>
        <v>2</v>
      </c>
      <c r="C3" s="7">
        <f>COUNTIFS(STATUS!$Q:$Q,C$1,STATUS!$D:$D,$A3)</f>
        <v>2</v>
      </c>
      <c r="D3" s="7">
        <f>COUNTIFS(STATUS!$Q:$Q,D$1,STATUS!$D:$D,$A3)</f>
        <v>4</v>
      </c>
      <c r="E3" s="7">
        <f>COUNTIFS(STATUS!$Q:$Q,E$1,STATUS!$D:$D,$A3)</f>
        <v>1</v>
      </c>
      <c r="F3" s="7">
        <f>COUNTIFS(STATUS!$Q:$Q,F$1,STATUS!$D:$D,$A3)</f>
        <v>0</v>
      </c>
      <c r="G3" s="7">
        <f>COUNTIFS(STATUS!$Q:$Q,G$1,STATUS!$D:$D,$A3)</f>
        <v>0</v>
      </c>
      <c r="H3" s="7">
        <f>COUNTIFS(STATUS!$Q:$Q,H$1,STATUS!$D:$D,$A3)</f>
        <v>0</v>
      </c>
      <c r="I3" s="7">
        <f>COUNTIFS(STATUS!$Q:$Q,I$1,STATUS!$D:$D,$A3)</f>
        <v>0</v>
      </c>
      <c r="J3" s="7">
        <f t="shared" ref="J3:J47" si="1">SUM(B3:I3)</f>
        <v>9</v>
      </c>
    </row>
    <row r="4" spans="1:17" x14ac:dyDescent="0.3">
      <c r="A4" s="6">
        <v>43810</v>
      </c>
      <c r="B4" s="7">
        <f>COUNTIFS(STATUS!$Q:$Q,B$1,STATUS!$D:$D,$A4)</f>
        <v>2</v>
      </c>
      <c r="C4" s="7">
        <f>COUNTIFS(STATUS!$Q:$Q,C$1,STATUS!$D:$D,$A4)</f>
        <v>2</v>
      </c>
      <c r="D4" s="7">
        <f>COUNTIFS(STATUS!$Q:$Q,D$1,STATUS!$D:$D,$A4)</f>
        <v>3</v>
      </c>
      <c r="E4" s="7">
        <f>COUNTIFS(STATUS!$Q:$Q,E$1,STATUS!$D:$D,$A4)</f>
        <v>4</v>
      </c>
      <c r="F4" s="7">
        <f>COUNTIFS(STATUS!$Q:$Q,F$1,STATUS!$D:$D,$A4)</f>
        <v>0</v>
      </c>
      <c r="G4" s="7">
        <f>COUNTIFS(STATUS!$Q:$Q,G$1,STATUS!$D:$D,$A4)</f>
        <v>0</v>
      </c>
      <c r="H4" s="7">
        <f>COUNTIFS(STATUS!$Q:$Q,H$1,STATUS!$D:$D,$A4)</f>
        <v>0</v>
      </c>
      <c r="I4" s="7">
        <f>COUNTIFS(STATUS!$Q:$Q,I$1,STATUS!$D:$D,$A4)</f>
        <v>0</v>
      </c>
      <c r="J4" s="7">
        <f t="shared" si="1"/>
        <v>11</v>
      </c>
    </row>
    <row r="5" spans="1:17" x14ac:dyDescent="0.3">
      <c r="A5" s="6">
        <v>43811</v>
      </c>
      <c r="B5" s="7">
        <f>COUNTIFS(STATUS!$Q:$Q,B$1,STATUS!$D:$D,$A5)</f>
        <v>4</v>
      </c>
      <c r="C5" s="7">
        <f>COUNTIFS(STATUS!$Q:$Q,C$1,STATUS!$D:$D,$A5)</f>
        <v>2</v>
      </c>
      <c r="D5" s="7">
        <f>COUNTIFS(STATUS!$Q:$Q,D$1,STATUS!$D:$D,$A5)</f>
        <v>5</v>
      </c>
      <c r="E5" s="7">
        <f>COUNTIFS(STATUS!$Q:$Q,E$1,STATUS!$D:$D,$A5)</f>
        <v>3</v>
      </c>
      <c r="F5" s="7">
        <f>COUNTIFS(STATUS!$Q:$Q,F$1,STATUS!$D:$D,$A5)</f>
        <v>0</v>
      </c>
      <c r="G5" s="7">
        <f>COUNTIFS(STATUS!$Q:$Q,G$1,STATUS!$D:$D,$A5)</f>
        <v>0</v>
      </c>
      <c r="H5" s="7">
        <f>COUNTIFS(STATUS!$Q:$Q,H$1,STATUS!$D:$D,$A5)</f>
        <v>0</v>
      </c>
      <c r="I5" s="7">
        <f>COUNTIFS(STATUS!$Q:$Q,I$1,STATUS!$D:$D,$A5)</f>
        <v>0</v>
      </c>
      <c r="J5" s="7">
        <f t="shared" si="1"/>
        <v>14</v>
      </c>
    </row>
    <row r="6" spans="1:17" x14ac:dyDescent="0.3">
      <c r="A6" s="6">
        <v>43812</v>
      </c>
      <c r="B6" s="7">
        <f>COUNTIFS(STATUS!$Q:$Q,B$1,STATUS!$D:$D,$A6)</f>
        <v>3</v>
      </c>
      <c r="C6" s="7">
        <f>COUNTIFS(STATUS!$Q:$Q,C$1,STATUS!$D:$D,$A6)</f>
        <v>0</v>
      </c>
      <c r="D6" s="7">
        <f>COUNTIFS(STATUS!$Q:$Q,D$1,STATUS!$D:$D,$A6)</f>
        <v>3</v>
      </c>
      <c r="E6" s="7">
        <f>COUNTIFS(STATUS!$Q:$Q,E$1,STATUS!$D:$D,$A6)</f>
        <v>3</v>
      </c>
      <c r="F6" s="7">
        <f>COUNTIFS(STATUS!$Q:$Q,F$1,STATUS!$D:$D,$A6)</f>
        <v>0</v>
      </c>
      <c r="G6" s="7">
        <f>COUNTIFS(STATUS!$Q:$Q,G$1,STATUS!$D:$D,$A6)</f>
        <v>0</v>
      </c>
      <c r="H6" s="7">
        <f>COUNTIFS(STATUS!$Q:$Q,H$1,STATUS!$D:$D,$A6)</f>
        <v>0</v>
      </c>
      <c r="I6" s="7">
        <f>COUNTIFS(STATUS!$Q:$Q,I$1,STATUS!$D:$D,$A6)</f>
        <v>0</v>
      </c>
      <c r="J6" s="7">
        <f t="shared" si="1"/>
        <v>9</v>
      </c>
    </row>
    <row r="7" spans="1:17" x14ac:dyDescent="0.3">
      <c r="A7" s="6">
        <v>43815</v>
      </c>
      <c r="B7" s="7">
        <f>COUNTIFS(STATUS!$Q:$Q,B$1,STATUS!$D:$D,$A7)</f>
        <v>3</v>
      </c>
      <c r="C7" s="7">
        <f>COUNTIFS(STATUS!$Q:$Q,C$1,STATUS!$D:$D,$A7)</f>
        <v>5</v>
      </c>
      <c r="D7" s="7">
        <f>COUNTIFS(STATUS!$Q:$Q,D$1,STATUS!$D:$D,$A7)</f>
        <v>4</v>
      </c>
      <c r="E7" s="7">
        <f>COUNTIFS(STATUS!$Q:$Q,E$1,STATUS!$D:$D,$A7)</f>
        <v>3</v>
      </c>
      <c r="F7" s="7">
        <f>COUNTIFS(STATUS!$Q:$Q,F$1,STATUS!$D:$D,$A7)</f>
        <v>2</v>
      </c>
      <c r="G7" s="7">
        <f>COUNTIFS(STATUS!$Q:$Q,G$1,STATUS!$D:$D,$A7)</f>
        <v>2</v>
      </c>
      <c r="H7" s="7">
        <f>COUNTIFS(STATUS!$Q:$Q,H$1,STATUS!$D:$D,$A7)</f>
        <v>0</v>
      </c>
      <c r="I7" s="7">
        <f>COUNTIFS(STATUS!$Q:$Q,I$1,STATUS!$D:$D,$A7)</f>
        <v>0</v>
      </c>
      <c r="J7" s="7">
        <f t="shared" si="1"/>
        <v>19</v>
      </c>
    </row>
    <row r="8" spans="1:17" x14ac:dyDescent="0.3">
      <c r="A8" s="6">
        <v>43816</v>
      </c>
      <c r="B8" s="7">
        <f>COUNTIFS(STATUS!$Q:$Q,B$1,STATUS!$D:$D,$A8)</f>
        <v>5</v>
      </c>
      <c r="C8" s="7">
        <f>COUNTIFS(STATUS!$Q:$Q,C$1,STATUS!$D:$D,$A8)</f>
        <v>0</v>
      </c>
      <c r="D8" s="7">
        <f>COUNTIFS(STATUS!$Q:$Q,D$1,STATUS!$D:$D,$A8)</f>
        <v>5</v>
      </c>
      <c r="E8" s="7">
        <f>COUNTIFS(STATUS!$Q:$Q,E$1,STATUS!$D:$D,$A8)</f>
        <v>4</v>
      </c>
      <c r="F8" s="7">
        <f>COUNTIFS(STATUS!$Q:$Q,F$1,STATUS!$D:$D,$A8)</f>
        <v>3</v>
      </c>
      <c r="G8" s="7">
        <f>COUNTIFS(STATUS!$Q:$Q,G$1,STATUS!$D:$D,$A8)</f>
        <v>3</v>
      </c>
      <c r="H8" s="7">
        <f>COUNTIFS(STATUS!$Q:$Q,H$1,STATUS!$D:$D,$A8)</f>
        <v>0</v>
      </c>
      <c r="I8" s="7">
        <f>COUNTIFS(STATUS!$Q:$Q,I$1,STATUS!$D:$D,$A8)</f>
        <v>0</v>
      </c>
      <c r="J8" s="7">
        <f t="shared" si="1"/>
        <v>20</v>
      </c>
    </row>
    <row r="9" spans="1:17" x14ac:dyDescent="0.3">
      <c r="A9" s="6">
        <v>43817</v>
      </c>
      <c r="B9" s="7">
        <f>COUNTIFS(STATUS!$Q:$Q,B$1,STATUS!$D:$D,$A9)</f>
        <v>4</v>
      </c>
      <c r="C9" s="7">
        <f>COUNTIFS(STATUS!$Q:$Q,C$1,STATUS!$D:$D,$A9)</f>
        <v>0</v>
      </c>
      <c r="D9" s="7">
        <f>COUNTIFS(STATUS!$Q:$Q,D$1,STATUS!$D:$D,$A9)</f>
        <v>3</v>
      </c>
      <c r="E9" s="7">
        <f>COUNTIFS(STATUS!$Q:$Q,E$1,STATUS!$D:$D,$A9)</f>
        <v>4</v>
      </c>
      <c r="F9" s="7">
        <f>COUNTIFS(STATUS!$Q:$Q,F$1,STATUS!$D:$D,$A9)</f>
        <v>2</v>
      </c>
      <c r="G9" s="7">
        <f>COUNTIFS(STATUS!$Q:$Q,G$1,STATUS!$D:$D,$A9)</f>
        <v>5</v>
      </c>
      <c r="H9" s="7">
        <f>COUNTIFS(STATUS!$Q:$Q,H$1,STATUS!$D:$D,$A9)</f>
        <v>0</v>
      </c>
      <c r="I9" s="7">
        <f>COUNTIFS(STATUS!$Q:$Q,I$1,STATUS!$D:$D,$A9)</f>
        <v>0</v>
      </c>
      <c r="J9" s="7">
        <f t="shared" si="1"/>
        <v>18</v>
      </c>
    </row>
    <row r="10" spans="1:17" x14ac:dyDescent="0.3">
      <c r="A10" s="6">
        <v>43818</v>
      </c>
      <c r="B10" s="7">
        <f>COUNTIFS(STATUS!$Q:$Q,B$1,STATUS!$D:$D,$A10)</f>
        <v>3</v>
      </c>
      <c r="C10" s="7">
        <f>COUNTIFS(STATUS!$Q:$Q,C$1,STATUS!$D:$D,$A10)</f>
        <v>0</v>
      </c>
      <c r="D10" s="7">
        <f>COUNTIFS(STATUS!$Q:$Q,D$1,STATUS!$D:$D,$A10)</f>
        <v>6</v>
      </c>
      <c r="E10" s="7">
        <f>COUNTIFS(STATUS!$Q:$Q,E$1,STATUS!$D:$D,$A10)</f>
        <v>3</v>
      </c>
      <c r="F10" s="7">
        <f>COUNTIFS(STATUS!$Q:$Q,F$1,STATUS!$D:$D,$A10)</f>
        <v>3</v>
      </c>
      <c r="G10" s="7">
        <f>COUNTIFS(STATUS!$Q:$Q,G$1,STATUS!$D:$D,$A10)</f>
        <v>5</v>
      </c>
      <c r="H10" s="7">
        <f>COUNTIFS(STATUS!$Q:$Q,H$1,STATUS!$D:$D,$A10)</f>
        <v>0</v>
      </c>
      <c r="I10" s="7">
        <f>COUNTIFS(STATUS!$Q:$Q,I$1,STATUS!$D:$D,$A10)</f>
        <v>0</v>
      </c>
      <c r="J10" s="7">
        <f t="shared" si="1"/>
        <v>20</v>
      </c>
    </row>
    <row r="11" spans="1:17" x14ac:dyDescent="0.3">
      <c r="A11" s="6">
        <v>43819</v>
      </c>
      <c r="B11" s="7">
        <f>COUNTIFS(STATUS!$Q:$Q,B$1,STATUS!$D:$D,$A11)</f>
        <v>3</v>
      </c>
      <c r="C11" s="7">
        <f>COUNTIFS(STATUS!$Q:$Q,C$1,STATUS!$D:$D,$A11)</f>
        <v>0</v>
      </c>
      <c r="D11" s="7">
        <f>COUNTIFS(STATUS!$Q:$Q,D$1,STATUS!$D:$D,$A11)</f>
        <v>2</v>
      </c>
      <c r="E11" s="7">
        <f>COUNTIFS(STATUS!$Q:$Q,E$1,STATUS!$D:$D,$A11)</f>
        <v>2</v>
      </c>
      <c r="F11" s="7">
        <f>COUNTIFS(STATUS!$Q:$Q,F$1,STATUS!$D:$D,$A11)</f>
        <v>3</v>
      </c>
      <c r="G11" s="7">
        <f>COUNTIFS(STATUS!$Q:$Q,G$1,STATUS!$D:$D,$A11)</f>
        <v>3</v>
      </c>
      <c r="H11" s="7">
        <f>COUNTIFS(STATUS!$Q:$Q,H$1,STATUS!$D:$D,$A11)</f>
        <v>0</v>
      </c>
      <c r="I11" s="7">
        <f>COUNTIFS(STATUS!$Q:$Q,I$1,STATUS!$D:$D,$A11)</f>
        <v>0</v>
      </c>
      <c r="J11" s="7">
        <f t="shared" si="1"/>
        <v>13</v>
      </c>
    </row>
    <row r="12" spans="1:17" x14ac:dyDescent="0.3">
      <c r="A12" s="6">
        <v>43822</v>
      </c>
      <c r="B12" s="7">
        <f>COUNTIFS(STATUS!$Q:$Q,B$1,STATUS!$D:$D,$A12)</f>
        <v>3</v>
      </c>
      <c r="C12" s="7">
        <f>COUNTIFS(STATUS!$Q:$Q,C$1,STATUS!$D:$D,$A12)</f>
        <v>0</v>
      </c>
      <c r="D12" s="7">
        <f>COUNTIFS(STATUS!$Q:$Q,D$1,STATUS!$D:$D,$A12)</f>
        <v>3</v>
      </c>
      <c r="E12" s="7">
        <f>COUNTIFS(STATUS!$Q:$Q,E$1,STATUS!$D:$D,$A12)</f>
        <v>3</v>
      </c>
      <c r="F12" s="7">
        <f>COUNTIFS(STATUS!$Q:$Q,F$1,STATUS!$D:$D,$A12)</f>
        <v>3</v>
      </c>
      <c r="G12" s="7">
        <f>COUNTIFS(STATUS!$Q:$Q,G$1,STATUS!$D:$D,$A12)</f>
        <v>1</v>
      </c>
      <c r="H12" s="7">
        <f>COUNTIFS(STATUS!$Q:$Q,H$1,STATUS!$D:$D,$A12)</f>
        <v>0</v>
      </c>
      <c r="I12" s="7">
        <f>COUNTIFS(STATUS!$Q:$Q,I$1,STATUS!$D:$D,$A12)</f>
        <v>0</v>
      </c>
      <c r="J12" s="7">
        <f t="shared" si="1"/>
        <v>13</v>
      </c>
    </row>
    <row r="13" spans="1:17" x14ac:dyDescent="0.3">
      <c r="A13" s="6">
        <v>43823</v>
      </c>
      <c r="B13" s="7">
        <f>COUNTIFS(STATUS!$Q:$Q,B$1,STATUS!$D:$D,$A13)</f>
        <v>7</v>
      </c>
      <c r="C13" s="7">
        <f>COUNTIFS(STATUS!$Q:$Q,C$1,STATUS!$D:$D,$A13)</f>
        <v>5</v>
      </c>
      <c r="D13" s="7">
        <f>COUNTIFS(STATUS!$Q:$Q,D$1,STATUS!$D:$D,$A13)</f>
        <v>4</v>
      </c>
      <c r="E13" s="7">
        <f>COUNTIFS(STATUS!$Q:$Q,E$1,STATUS!$D:$D,$A13)</f>
        <v>7</v>
      </c>
      <c r="F13" s="7">
        <f>COUNTIFS(STATUS!$Q:$Q,F$1,STATUS!$D:$D,$A13)</f>
        <v>3</v>
      </c>
      <c r="G13" s="7">
        <f>COUNTIFS(STATUS!$Q:$Q,G$1,STATUS!$D:$D,$A13)</f>
        <v>4</v>
      </c>
      <c r="H13" s="7">
        <f>COUNTIFS(STATUS!$Q:$Q,H$1,STATUS!$D:$D,$A13)</f>
        <v>0</v>
      </c>
      <c r="I13" s="7">
        <f>COUNTIFS(STATUS!$Q:$Q,I$1,STATUS!$D:$D,$A13)</f>
        <v>0</v>
      </c>
      <c r="J13" s="7">
        <f t="shared" si="1"/>
        <v>30</v>
      </c>
    </row>
    <row r="14" spans="1:17" x14ac:dyDescent="0.3">
      <c r="A14" s="6">
        <v>43824</v>
      </c>
      <c r="B14" s="7">
        <f>COUNTIFS(STATUS!$Q:$Q,B$1,STATUS!$D:$D,$A14)</f>
        <v>4</v>
      </c>
      <c r="C14" s="7">
        <f>COUNTIFS(STATUS!$Q:$Q,C$1,STATUS!$D:$D,$A14)</f>
        <v>4</v>
      </c>
      <c r="D14" s="7">
        <f>COUNTIFS(STATUS!$Q:$Q,D$1,STATUS!$D:$D,$A14)</f>
        <v>4</v>
      </c>
      <c r="E14" s="7">
        <f>COUNTIFS(STATUS!$Q:$Q,E$1,STATUS!$D:$D,$A14)</f>
        <v>3</v>
      </c>
      <c r="F14" s="7">
        <f>COUNTIFS(STATUS!$Q:$Q,F$1,STATUS!$D:$D,$A14)</f>
        <v>4</v>
      </c>
      <c r="G14" s="7">
        <f>COUNTIFS(STATUS!$Q:$Q,G$1,STATUS!$D:$D,$A14)</f>
        <v>3</v>
      </c>
      <c r="H14" s="7">
        <f>COUNTIFS(STATUS!$Q:$Q,H$1,STATUS!$D:$D,$A14)</f>
        <v>0</v>
      </c>
      <c r="I14" s="7">
        <f>COUNTIFS(STATUS!$Q:$Q,I$1,STATUS!$D:$D,$A14)</f>
        <v>0</v>
      </c>
      <c r="J14" s="7">
        <f t="shared" si="1"/>
        <v>22</v>
      </c>
    </row>
    <row r="15" spans="1:17" x14ac:dyDescent="0.3">
      <c r="A15" s="6">
        <v>43825</v>
      </c>
      <c r="B15" s="7">
        <f>COUNTIFS(STATUS!$Q:$Q,B$1,STATUS!$D:$D,$A15)</f>
        <v>3</v>
      </c>
      <c r="C15" s="7">
        <f>COUNTIFS(STATUS!$Q:$Q,C$1,STATUS!$D:$D,$A15)</f>
        <v>4</v>
      </c>
      <c r="D15" s="7">
        <f>COUNTIFS(STATUS!$Q:$Q,D$1,STATUS!$D:$D,$A15)</f>
        <v>6</v>
      </c>
      <c r="E15" s="7">
        <f>COUNTIFS(STATUS!$Q:$Q,E$1,STATUS!$D:$D,$A15)</f>
        <v>5</v>
      </c>
      <c r="F15" s="7">
        <f>COUNTIFS(STATUS!$Q:$Q,F$1,STATUS!$D:$D,$A15)</f>
        <v>4</v>
      </c>
      <c r="G15" s="7">
        <f>COUNTIFS(STATUS!$Q:$Q,G$1,STATUS!$D:$D,$A15)</f>
        <v>4</v>
      </c>
      <c r="H15" s="7">
        <f>COUNTIFS(STATUS!$Q:$Q,H$1,STATUS!$D:$D,$A15)</f>
        <v>0</v>
      </c>
      <c r="I15" s="7">
        <f>COUNTIFS(STATUS!$Q:$Q,I$1,STATUS!$D:$D,$A15)</f>
        <v>0</v>
      </c>
      <c r="J15" s="7">
        <f t="shared" si="1"/>
        <v>26</v>
      </c>
    </row>
    <row r="16" spans="1:17" x14ac:dyDescent="0.3">
      <c r="A16" s="6">
        <v>43826</v>
      </c>
      <c r="B16" s="7">
        <f>COUNTIFS(STATUS!$Q:$Q,B$1,STATUS!$D:$D,$A16)</f>
        <v>4</v>
      </c>
      <c r="C16" s="7">
        <f>COUNTIFS(STATUS!$Q:$Q,C$1,STATUS!$D:$D,$A16)</f>
        <v>3</v>
      </c>
      <c r="D16" s="7">
        <f>COUNTIFS(STATUS!$Q:$Q,D$1,STATUS!$D:$D,$A16)</f>
        <v>3</v>
      </c>
      <c r="E16" s="7">
        <f>COUNTIFS(STATUS!$Q:$Q,E$1,STATUS!$D:$D,$A16)</f>
        <v>1</v>
      </c>
      <c r="F16" s="7">
        <f>COUNTIFS(STATUS!$Q:$Q,F$1,STATUS!$D:$D,$A16)</f>
        <v>4</v>
      </c>
      <c r="G16" s="7">
        <f>COUNTIFS(STATUS!$Q:$Q,G$1,STATUS!$D:$D,$A16)</f>
        <v>2</v>
      </c>
      <c r="H16" s="7">
        <f>COUNTIFS(STATUS!$Q:$Q,H$1,STATUS!$D:$D,$A16)</f>
        <v>0</v>
      </c>
      <c r="I16" s="7">
        <f>COUNTIFS(STATUS!$Q:$Q,I$1,STATUS!$D:$D,$A16)</f>
        <v>0</v>
      </c>
      <c r="J16" s="7">
        <f t="shared" si="1"/>
        <v>17</v>
      </c>
    </row>
    <row r="17" spans="1:10" x14ac:dyDescent="0.3">
      <c r="A17" s="6">
        <v>43829</v>
      </c>
      <c r="B17" s="7">
        <f>COUNTIFS(STATUS!$Q:$Q,B$1,STATUS!$D:$D,$A17)</f>
        <v>4</v>
      </c>
      <c r="C17" s="7">
        <f>COUNTIFS(STATUS!$Q:$Q,C$1,STATUS!$D:$D,$A17)</f>
        <v>5</v>
      </c>
      <c r="D17" s="7">
        <f>COUNTIFS(STATUS!$Q:$Q,D$1,STATUS!$D:$D,$A17)</f>
        <v>6</v>
      </c>
      <c r="E17" s="7">
        <f>COUNTIFS(STATUS!$Q:$Q,E$1,STATUS!$D:$D,$A17)</f>
        <v>2</v>
      </c>
      <c r="F17" s="7">
        <f>COUNTIFS(STATUS!$Q:$Q,F$1,STATUS!$D:$D,$A17)</f>
        <v>2</v>
      </c>
      <c r="G17" s="7">
        <f>COUNTIFS(STATUS!$Q:$Q,G$1,STATUS!$D:$D,$A17)</f>
        <v>2</v>
      </c>
      <c r="H17" s="7">
        <f>COUNTIFS(STATUS!$Q:$Q,H$1,STATUS!$D:$D,$A17)</f>
        <v>0</v>
      </c>
      <c r="I17" s="7">
        <f>COUNTIFS(STATUS!$Q:$Q,I$1,STATUS!$D:$D,$A17)</f>
        <v>0</v>
      </c>
      <c r="J17" s="7">
        <f t="shared" si="1"/>
        <v>21</v>
      </c>
    </row>
    <row r="18" spans="1:10" x14ac:dyDescent="0.3">
      <c r="A18" s="6">
        <v>43830</v>
      </c>
      <c r="B18" s="7">
        <f>COUNTIFS(STATUS!$Q:$Q,B$1,STATUS!$D:$D,$A18)</f>
        <v>4</v>
      </c>
      <c r="C18" s="7">
        <f>COUNTIFS(STATUS!$Q:$Q,C$1,STATUS!$D:$D,$A18)</f>
        <v>7</v>
      </c>
      <c r="D18" s="7">
        <f>COUNTIFS(STATUS!$Q:$Q,D$1,STATUS!$D:$D,$A18)</f>
        <v>7</v>
      </c>
      <c r="E18" s="7">
        <f>COUNTIFS(STATUS!$Q:$Q,E$1,STATUS!$D:$D,$A18)</f>
        <v>6</v>
      </c>
      <c r="F18" s="7">
        <f>COUNTIFS(STATUS!$Q:$Q,F$1,STATUS!$D:$D,$A18)</f>
        <v>5</v>
      </c>
      <c r="G18" s="7">
        <f>COUNTIFS(STATUS!$Q:$Q,G$1,STATUS!$D:$D,$A18)</f>
        <v>3</v>
      </c>
      <c r="H18" s="7">
        <f>COUNTIFS(STATUS!$Q:$Q,H$1,STATUS!$D:$D,$A18)</f>
        <v>0</v>
      </c>
      <c r="I18" s="7">
        <f>COUNTIFS(STATUS!$Q:$Q,I$1,STATUS!$D:$D,$A18)</f>
        <v>0</v>
      </c>
      <c r="J18" s="7">
        <f t="shared" si="1"/>
        <v>32</v>
      </c>
    </row>
    <row r="19" spans="1:10" x14ac:dyDescent="0.3">
      <c r="A19" s="345">
        <v>43839</v>
      </c>
      <c r="B19" s="7">
        <f>COUNTIFS(STATUS!$Q:$Q,B$1,STATUS!$D:$D,$A19)</f>
        <v>5</v>
      </c>
      <c r="C19" s="7">
        <f>COUNTIFS(STATUS!$Q:$Q,C$1,STATUS!$D:$D,$A19)</f>
        <v>5</v>
      </c>
      <c r="D19" s="7">
        <f>COUNTIFS(STATUS!$Q:$Q,D$1,STATUS!$D:$D,$A19)</f>
        <v>6</v>
      </c>
      <c r="E19" s="7">
        <f>COUNTIFS(STATUS!$Q:$Q,E$1,STATUS!$D:$D,$A19)</f>
        <v>4</v>
      </c>
      <c r="F19" s="7">
        <f>COUNTIFS(STATUS!$Q:$Q,F$1,STATUS!$D:$D,$A19)</f>
        <v>3</v>
      </c>
      <c r="G19" s="7">
        <f>COUNTIFS(STATUS!$Q:$Q,G$1,STATUS!$D:$D,$A19)</f>
        <v>0</v>
      </c>
      <c r="H19" s="7">
        <f>COUNTIFS(STATUS!$Q:$Q,H$1,STATUS!$D:$D,$A19)</f>
        <v>0</v>
      </c>
      <c r="I19" s="7">
        <f>COUNTIFS(STATUS!$Q:$Q,I$1,STATUS!$D:$D,$A19)</f>
        <v>0</v>
      </c>
      <c r="J19" s="7">
        <f t="shared" si="1"/>
        <v>23</v>
      </c>
    </row>
    <row r="20" spans="1:10" x14ac:dyDescent="0.3">
      <c r="A20" s="6">
        <v>43840</v>
      </c>
      <c r="B20" s="7">
        <f>COUNTIFS(STATUS!$Q:$Q,B$1,STATUS!$D:$D,$A20)</f>
        <v>3</v>
      </c>
      <c r="C20" s="7">
        <f>COUNTIFS(STATUS!$Q:$Q,C$1,STATUS!$D:$D,$A20)</f>
        <v>3</v>
      </c>
      <c r="D20" s="7">
        <f>COUNTIFS(STATUS!$Q:$Q,D$1,STATUS!$D:$D,$A20)</f>
        <v>2</v>
      </c>
      <c r="E20" s="7">
        <f>COUNTIFS(STATUS!$Q:$Q,E$1,STATUS!$D:$D,$A20)</f>
        <v>5</v>
      </c>
      <c r="F20" s="7">
        <f>COUNTIFS(STATUS!$Q:$Q,F$1,STATUS!$D:$D,$A20)</f>
        <v>2</v>
      </c>
      <c r="G20" s="7">
        <f>COUNTIFS(STATUS!$Q:$Q,G$1,STATUS!$D:$D,$A20)</f>
        <v>2</v>
      </c>
      <c r="H20" s="7">
        <f>COUNTIFS(STATUS!$Q:$Q,H$1,STATUS!$D:$D,$A20)</f>
        <v>0</v>
      </c>
      <c r="I20" s="7">
        <f>COUNTIFS(STATUS!$Q:$Q,I$1,STATUS!$D:$D,$A20)</f>
        <v>0</v>
      </c>
      <c r="J20" s="7">
        <f t="shared" si="1"/>
        <v>17</v>
      </c>
    </row>
    <row r="21" spans="1:10" x14ac:dyDescent="0.3">
      <c r="A21" s="6">
        <v>43843</v>
      </c>
      <c r="B21" s="7">
        <f>COUNTIFS(STATUS!$Q:$Q,B$1,STATUS!$D:$D,$A21)</f>
        <v>3</v>
      </c>
      <c r="C21" s="7">
        <f>COUNTIFS(STATUS!$Q:$Q,C$1,STATUS!$D:$D,$A21)</f>
        <v>2</v>
      </c>
      <c r="D21" s="7">
        <f>COUNTIFS(STATUS!$Q:$Q,D$1,STATUS!$D:$D,$A21)</f>
        <v>4</v>
      </c>
      <c r="E21" s="7">
        <f>COUNTIFS(STATUS!$Q:$Q,E$1,STATUS!$D:$D,$A21)</f>
        <v>4</v>
      </c>
      <c r="F21" s="7">
        <f>COUNTIFS(STATUS!$Q:$Q,F$1,STATUS!$D:$D,$A21)</f>
        <v>0</v>
      </c>
      <c r="G21" s="7">
        <f>COUNTIFS(STATUS!$Q:$Q,G$1,STATUS!$D:$D,$A21)</f>
        <v>2</v>
      </c>
      <c r="H21" s="7">
        <f>COUNTIFS(STATUS!$Q:$Q,H$1,STATUS!$D:$D,$A21)</f>
        <v>0</v>
      </c>
      <c r="I21" s="7">
        <f>COUNTIFS(STATUS!$Q:$Q,I$1,STATUS!$D:$D,$A21)</f>
        <v>0</v>
      </c>
      <c r="J21" s="7">
        <f t="shared" si="1"/>
        <v>15</v>
      </c>
    </row>
    <row r="22" spans="1:10" x14ac:dyDescent="0.3">
      <c r="A22" s="6">
        <v>43844</v>
      </c>
      <c r="B22" s="7">
        <f>COUNTIFS(STATUS!$Q:$Q,B$1,STATUS!$D:$D,$A22)</f>
        <v>3</v>
      </c>
      <c r="C22" s="7">
        <f>COUNTIFS(STATUS!$Q:$Q,C$1,STATUS!$D:$D,$A22)</f>
        <v>3</v>
      </c>
      <c r="D22" s="7">
        <f>COUNTIFS(STATUS!$Q:$Q,D$1,STATUS!$D:$D,$A22)</f>
        <v>2</v>
      </c>
      <c r="E22" s="7">
        <f>COUNTIFS(STATUS!$Q:$Q,E$1,STATUS!$D:$D,$A22)</f>
        <v>3</v>
      </c>
      <c r="F22" s="7">
        <f>COUNTIFS(STATUS!$Q:$Q,F$1,STATUS!$D:$D,$A22)</f>
        <v>0</v>
      </c>
      <c r="G22" s="7">
        <f>COUNTIFS(STATUS!$Q:$Q,G$1,STATUS!$D:$D,$A22)</f>
        <v>3</v>
      </c>
      <c r="H22" s="7">
        <f>COUNTIFS(STATUS!$Q:$Q,H$1,STATUS!$D:$D,$A22)</f>
        <v>0</v>
      </c>
      <c r="I22" s="7">
        <f>COUNTIFS(STATUS!$Q:$Q,I$1,STATUS!$D:$D,$A22)</f>
        <v>0</v>
      </c>
      <c r="J22" s="7">
        <f t="shared" si="1"/>
        <v>14</v>
      </c>
    </row>
    <row r="23" spans="1:10" x14ac:dyDescent="0.3">
      <c r="A23" s="6">
        <v>43845</v>
      </c>
      <c r="B23" s="7">
        <f>COUNTIFS(STATUS!$Q:$Q,B$1,STATUS!$D:$D,$A23)</f>
        <v>5</v>
      </c>
      <c r="C23" s="7">
        <f>COUNTIFS(STATUS!$Q:$Q,C$1,STATUS!$D:$D,$A23)</f>
        <v>6</v>
      </c>
      <c r="D23" s="7">
        <f>COUNTIFS(STATUS!$Q:$Q,D$1,STATUS!$D:$D,$A23)</f>
        <v>8</v>
      </c>
      <c r="E23" s="7">
        <f>COUNTIFS(STATUS!$Q:$Q,E$1,STATUS!$D:$D,$A23)</f>
        <v>3</v>
      </c>
      <c r="F23" s="7">
        <f>COUNTIFS(STATUS!$Q:$Q,F$1,STATUS!$D:$D,$A23)</f>
        <v>0</v>
      </c>
      <c r="G23" s="7">
        <f>COUNTIFS(STATUS!$Q:$Q,G$1,STATUS!$D:$D,$A23)</f>
        <v>4</v>
      </c>
      <c r="H23" s="7">
        <f>COUNTIFS(STATUS!$Q:$Q,H$1,STATUS!$D:$D,$A23)</f>
        <v>0</v>
      </c>
      <c r="I23" s="7">
        <f>COUNTIFS(STATUS!$Q:$Q,I$1,STATUS!$D:$D,$A23)</f>
        <v>0</v>
      </c>
      <c r="J23" s="7">
        <f t="shared" si="1"/>
        <v>26</v>
      </c>
    </row>
    <row r="24" spans="1:10" x14ac:dyDescent="0.3">
      <c r="A24" s="6">
        <v>43846</v>
      </c>
      <c r="B24" s="7">
        <f>COUNTIFS(STATUS!$Q:$Q,B$1,STATUS!$D:$D,$A24)</f>
        <v>4</v>
      </c>
      <c r="C24" s="7">
        <f>COUNTIFS(STATUS!$Q:$Q,C$1,STATUS!$D:$D,$A24)</f>
        <v>5</v>
      </c>
      <c r="D24" s="7">
        <f>COUNTIFS(STATUS!$Q:$Q,D$1,STATUS!$D:$D,$A24)</f>
        <v>3</v>
      </c>
      <c r="E24" s="7">
        <f>COUNTIFS(STATUS!$Q:$Q,E$1,STATUS!$D:$D,$A24)</f>
        <v>7</v>
      </c>
      <c r="F24" s="7">
        <f>COUNTIFS(STATUS!$Q:$Q,F$1,STATUS!$D:$D,$A24)</f>
        <v>0</v>
      </c>
      <c r="G24" s="7">
        <f>COUNTIFS(STATUS!$Q:$Q,G$1,STATUS!$D:$D,$A24)</f>
        <v>3</v>
      </c>
      <c r="H24" s="7">
        <f>COUNTIFS(STATUS!$Q:$Q,H$1,STATUS!$D:$D,$A24)</f>
        <v>0</v>
      </c>
      <c r="I24" s="7">
        <f>COUNTIFS(STATUS!$Q:$Q,I$1,STATUS!$D:$D,$A24)</f>
        <v>0</v>
      </c>
      <c r="J24" s="7">
        <f t="shared" si="1"/>
        <v>22</v>
      </c>
    </row>
    <row r="25" spans="1:10" x14ac:dyDescent="0.3">
      <c r="A25" s="6">
        <v>43847</v>
      </c>
      <c r="B25" s="7">
        <f>COUNTIFS(STATUS!$Q:$Q,B$1,STATUS!$D:$D,$A25)</f>
        <v>6</v>
      </c>
      <c r="C25" s="7">
        <f>COUNTIFS(STATUS!$Q:$Q,C$1,STATUS!$D:$D,$A25)</f>
        <v>4</v>
      </c>
      <c r="D25" s="7">
        <f>COUNTIFS(STATUS!$Q:$Q,D$1,STATUS!$D:$D,$A25)</f>
        <v>5</v>
      </c>
      <c r="E25" s="7">
        <f>COUNTIFS(STATUS!$Q:$Q,E$1,STATUS!$D:$D,$A25)</f>
        <v>3</v>
      </c>
      <c r="F25" s="7">
        <f>COUNTIFS(STATUS!$Q:$Q,F$1,STATUS!$D:$D,$A25)</f>
        <v>0</v>
      </c>
      <c r="G25" s="7">
        <f>COUNTIFS(STATUS!$Q:$Q,G$1,STATUS!$D:$D,$A25)</f>
        <v>3</v>
      </c>
      <c r="H25" s="7">
        <f>COUNTIFS(STATUS!$Q:$Q,H$1,STATUS!$D:$D,$A25)</f>
        <v>0</v>
      </c>
      <c r="I25" s="7">
        <f>COUNTIFS(STATUS!$Q:$Q,I$1,STATUS!$D:$D,$A25)</f>
        <v>0</v>
      </c>
      <c r="J25" s="7">
        <f t="shared" si="1"/>
        <v>21</v>
      </c>
    </row>
    <row r="26" spans="1:10" x14ac:dyDescent="0.3">
      <c r="A26" s="6">
        <v>43850</v>
      </c>
      <c r="B26" s="7">
        <f>COUNTIFS(STATUS!$Q:$Q,B$1,STATUS!$D:$D,$A26)</f>
        <v>4</v>
      </c>
      <c r="C26" s="7">
        <f>COUNTIFS(STATUS!$Q:$Q,C$1,STATUS!$D:$D,$A26)</f>
        <v>2</v>
      </c>
      <c r="D26" s="7">
        <f>COUNTIFS(STATUS!$Q:$Q,D$1,STATUS!$D:$D,$A26)</f>
        <v>3</v>
      </c>
      <c r="E26" s="7">
        <f>COUNTIFS(STATUS!$Q:$Q,E$1,STATUS!$D:$D,$A26)</f>
        <v>4</v>
      </c>
      <c r="F26" s="7">
        <f>COUNTIFS(STATUS!$Q:$Q,F$1,STATUS!$D:$D,$A26)</f>
        <v>0</v>
      </c>
      <c r="G26" s="7">
        <f>COUNTIFS(STATUS!$Q:$Q,G$1,STATUS!$D:$D,$A26)</f>
        <v>3</v>
      </c>
      <c r="H26" s="7">
        <f>COUNTIFS(STATUS!$Q:$Q,H$1,STATUS!$D:$D,$A26)</f>
        <v>0</v>
      </c>
      <c r="I26" s="7">
        <f>COUNTIFS(STATUS!$Q:$Q,I$1,STATUS!$D:$D,$A26)</f>
        <v>0</v>
      </c>
      <c r="J26" s="7">
        <f t="shared" si="1"/>
        <v>16</v>
      </c>
    </row>
    <row r="27" spans="1:10" x14ac:dyDescent="0.3">
      <c r="A27" s="6">
        <v>43851</v>
      </c>
      <c r="B27" s="7">
        <f>COUNTIFS(STATUS!$Q:$Q,B$1,STATUS!$D:$D,$A27)</f>
        <v>2</v>
      </c>
      <c r="C27" s="7">
        <f>COUNTIFS(STATUS!$Q:$Q,C$1,STATUS!$D:$D,$A27)</f>
        <v>5</v>
      </c>
      <c r="D27" s="7">
        <f>COUNTIFS(STATUS!$Q:$Q,D$1,STATUS!$D:$D,$A27)</f>
        <v>3</v>
      </c>
      <c r="E27" s="7">
        <f>COUNTIFS(STATUS!$Q:$Q,E$1,STATUS!$D:$D,$A27)</f>
        <v>5</v>
      </c>
      <c r="F27" s="7">
        <f>COUNTIFS(STATUS!$Q:$Q,F$1,STATUS!$D:$D,$A27)</f>
        <v>0</v>
      </c>
      <c r="G27" s="7">
        <f>COUNTIFS(STATUS!$Q:$Q,G$1,STATUS!$D:$D,$A27)</f>
        <v>4</v>
      </c>
      <c r="H27" s="7">
        <f>COUNTIFS(STATUS!$Q:$Q,H$1,STATUS!$D:$D,$A27)</f>
        <v>0</v>
      </c>
      <c r="I27" s="7">
        <f>COUNTIFS(STATUS!$Q:$Q,I$1,STATUS!$D:$D,$A27)</f>
        <v>0</v>
      </c>
      <c r="J27" s="7">
        <f t="shared" si="1"/>
        <v>19</v>
      </c>
    </row>
    <row r="28" spans="1:10" x14ac:dyDescent="0.3">
      <c r="A28" s="6">
        <v>43852</v>
      </c>
      <c r="B28" s="7">
        <f>COUNTIFS(STATUS!$Q:$Q,B$1,STATUS!$D:$D,$A28)</f>
        <v>4</v>
      </c>
      <c r="C28" s="7">
        <f>COUNTIFS(STATUS!$Q:$Q,C$1,STATUS!$D:$D,$A28)</f>
        <v>6</v>
      </c>
      <c r="D28" s="7">
        <f>COUNTIFS(STATUS!$Q:$Q,D$1,STATUS!$D:$D,$A28)</f>
        <v>5</v>
      </c>
      <c r="E28" s="7">
        <f>COUNTIFS(STATUS!$Q:$Q,E$1,STATUS!$D:$D,$A28)</f>
        <v>6</v>
      </c>
      <c r="F28" s="7">
        <f>COUNTIFS(STATUS!$Q:$Q,F$1,STATUS!$D:$D,$A28)</f>
        <v>0</v>
      </c>
      <c r="G28" s="7">
        <f>COUNTIFS(STATUS!$Q:$Q,G$1,STATUS!$D:$D,$A28)</f>
        <v>2</v>
      </c>
      <c r="H28" s="7">
        <f>COUNTIFS(STATUS!$Q:$Q,H$1,STATUS!$D:$D,$A28)</f>
        <v>0</v>
      </c>
      <c r="I28" s="7">
        <f>COUNTIFS(STATUS!$Q:$Q,I$1,STATUS!$D:$D,$A28)</f>
        <v>0</v>
      </c>
      <c r="J28" s="7">
        <f t="shared" si="1"/>
        <v>23</v>
      </c>
    </row>
    <row r="29" spans="1:10" x14ac:dyDescent="0.3">
      <c r="A29" s="6">
        <v>43853</v>
      </c>
      <c r="B29" s="7">
        <f>COUNTIFS(STATUS!$Q:$Q,B$1,STATUS!$D:$D,$A29)</f>
        <v>2</v>
      </c>
      <c r="C29" s="7">
        <f>COUNTIFS(STATUS!$Q:$Q,C$1,STATUS!$D:$D,$A29)</f>
        <v>4</v>
      </c>
      <c r="D29" s="7">
        <f>COUNTIFS(STATUS!$Q:$Q,D$1,STATUS!$D:$D,$A29)</f>
        <v>2</v>
      </c>
      <c r="E29" s="7">
        <f>COUNTIFS(STATUS!$Q:$Q,E$1,STATUS!$D:$D,$A29)</f>
        <v>3</v>
      </c>
      <c r="F29" s="7">
        <f>COUNTIFS(STATUS!$Q:$Q,F$1,STATUS!$D:$D,$A29)</f>
        <v>0</v>
      </c>
      <c r="G29" s="7">
        <f>COUNTIFS(STATUS!$Q:$Q,G$1,STATUS!$D:$D,$A29)</f>
        <v>4</v>
      </c>
      <c r="H29" s="7">
        <f>COUNTIFS(STATUS!$Q:$Q,H$1,STATUS!$D:$D,$A29)</f>
        <v>0</v>
      </c>
      <c r="I29" s="7">
        <f>COUNTIFS(STATUS!$Q:$Q,I$1,STATUS!$D:$D,$A29)</f>
        <v>0</v>
      </c>
      <c r="J29" s="7">
        <f t="shared" si="1"/>
        <v>15</v>
      </c>
    </row>
    <row r="30" spans="1:10" x14ac:dyDescent="0.3">
      <c r="A30" s="6">
        <v>43854</v>
      </c>
      <c r="B30" s="7">
        <f>COUNTIFS(STATUS!$Q:$Q,B$1,STATUS!$D:$D,$A30)</f>
        <v>1</v>
      </c>
      <c r="C30" s="7">
        <f>COUNTIFS(STATUS!$Q:$Q,C$1,STATUS!$D:$D,$A30)</f>
        <v>4</v>
      </c>
      <c r="D30" s="7">
        <f>COUNTIFS(STATUS!$Q:$Q,D$1,STATUS!$D:$D,$A30)</f>
        <v>3</v>
      </c>
      <c r="E30" s="7">
        <f>COUNTIFS(STATUS!$Q:$Q,E$1,STATUS!$D:$D,$A30)</f>
        <v>2</v>
      </c>
      <c r="F30" s="7">
        <f>COUNTIFS(STATUS!$Q:$Q,F$1,STATUS!$D:$D,$A30)</f>
        <v>0</v>
      </c>
      <c r="G30" s="7">
        <f>COUNTIFS(STATUS!$Q:$Q,G$1,STATUS!$D:$D,$A30)</f>
        <v>3</v>
      </c>
      <c r="H30" s="7">
        <f>COUNTIFS(STATUS!$Q:$Q,H$1,STATUS!$D:$D,$A30)</f>
        <v>0</v>
      </c>
      <c r="I30" s="7">
        <f>COUNTIFS(STATUS!$Q:$Q,I$1,STATUS!$D:$D,$A30)</f>
        <v>0</v>
      </c>
      <c r="J30" s="7">
        <f t="shared" si="1"/>
        <v>13</v>
      </c>
    </row>
    <row r="31" spans="1:10" x14ac:dyDescent="0.3">
      <c r="A31" s="6">
        <v>43857</v>
      </c>
      <c r="B31" s="7">
        <f>COUNTIFS(STATUS!$Q:$Q,B$1,STATUS!$D:$D,$A31)</f>
        <v>4</v>
      </c>
      <c r="C31" s="7">
        <f>COUNTIFS(STATUS!$Q:$Q,C$1,STATUS!$D:$D,$A31)</f>
        <v>3</v>
      </c>
      <c r="D31" s="7">
        <f>COUNTIFS(STATUS!$Q:$Q,D$1,STATUS!$D:$D,$A31)</f>
        <v>5</v>
      </c>
      <c r="E31" s="7">
        <f>COUNTIFS(STATUS!$Q:$Q,E$1,STATUS!$D:$D,$A31)</f>
        <v>2</v>
      </c>
      <c r="F31" s="7">
        <f>COUNTIFS(STATUS!$Q:$Q,F$1,STATUS!$D:$D,$A31)</f>
        <v>0</v>
      </c>
      <c r="G31" s="7">
        <f>COUNTIFS(STATUS!$Q:$Q,G$1,STATUS!$D:$D,$A31)</f>
        <v>4</v>
      </c>
      <c r="H31" s="7">
        <f>COUNTIFS(STATUS!$Q:$Q,H$1,STATUS!$D:$D,$A31)</f>
        <v>0</v>
      </c>
      <c r="I31" s="7">
        <f>COUNTIFS(STATUS!$Q:$Q,I$1,STATUS!$D:$D,$A31)</f>
        <v>0</v>
      </c>
      <c r="J31" s="7">
        <f t="shared" si="1"/>
        <v>18</v>
      </c>
    </row>
    <row r="32" spans="1:10" x14ac:dyDescent="0.3">
      <c r="A32" s="6">
        <v>43858</v>
      </c>
      <c r="B32" s="7">
        <f>COUNTIFS(STATUS!$Q:$Q,B$1,STATUS!$D:$D,$A32)</f>
        <v>5</v>
      </c>
      <c r="C32" s="7">
        <f>COUNTIFS(STATUS!$Q:$Q,C$1,STATUS!$D:$D,$A32)</f>
        <v>4</v>
      </c>
      <c r="D32" s="7">
        <f>COUNTIFS(STATUS!$Q:$Q,D$1,STATUS!$D:$D,$A32)</f>
        <v>4</v>
      </c>
      <c r="E32" s="7">
        <f>COUNTIFS(STATUS!$Q:$Q,E$1,STATUS!$D:$D,$A32)</f>
        <v>4</v>
      </c>
      <c r="F32" s="7">
        <f>COUNTIFS(STATUS!$Q:$Q,F$1,STATUS!$D:$D,$A32)</f>
        <v>0</v>
      </c>
      <c r="G32" s="7">
        <f>COUNTIFS(STATUS!$Q:$Q,G$1,STATUS!$D:$D,$A32)</f>
        <v>4</v>
      </c>
      <c r="H32" s="7">
        <f>COUNTIFS(STATUS!$Q:$Q,H$1,STATUS!$D:$D,$A32)</f>
        <v>0</v>
      </c>
      <c r="I32" s="7">
        <f>COUNTIFS(STATUS!$Q:$Q,I$1,STATUS!$D:$D,$A32)</f>
        <v>0</v>
      </c>
      <c r="J32" s="7">
        <f t="shared" si="1"/>
        <v>21</v>
      </c>
    </row>
    <row r="33" spans="1:10" x14ac:dyDescent="0.3">
      <c r="A33" s="6">
        <v>43859</v>
      </c>
      <c r="B33" s="7">
        <f>COUNTIFS(STATUS!$Q:$Q,B$1,STATUS!$D:$D,$A33)</f>
        <v>4</v>
      </c>
      <c r="C33" s="7">
        <f>COUNTIFS(STATUS!$Q:$Q,C$1,STATUS!$D:$D,$A33)</f>
        <v>4</v>
      </c>
      <c r="D33" s="7">
        <f>COUNTIFS(STATUS!$Q:$Q,D$1,STATUS!$D:$D,$A33)</f>
        <v>2</v>
      </c>
      <c r="E33" s="7">
        <f>COUNTIFS(STATUS!$Q:$Q,E$1,STATUS!$D:$D,$A33)</f>
        <v>3</v>
      </c>
      <c r="F33" s="7">
        <f>COUNTIFS(STATUS!$Q:$Q,F$1,STATUS!$D:$D,$A33)</f>
        <v>0</v>
      </c>
      <c r="G33" s="7">
        <f>COUNTIFS(STATUS!$Q:$Q,G$1,STATUS!$D:$D,$A33)</f>
        <v>4</v>
      </c>
      <c r="H33" s="7">
        <f>COUNTIFS(STATUS!$Q:$Q,H$1,STATUS!$D:$D,$A33)</f>
        <v>0</v>
      </c>
      <c r="I33" s="7">
        <f>COUNTIFS(STATUS!$Q:$Q,I$1,STATUS!$D:$D,$A33)</f>
        <v>0</v>
      </c>
      <c r="J33" s="7">
        <f t="shared" si="1"/>
        <v>17</v>
      </c>
    </row>
    <row r="34" spans="1:10" x14ac:dyDescent="0.3">
      <c r="A34" s="6">
        <v>43860</v>
      </c>
      <c r="B34" s="7">
        <f>COUNTIFS(STATUS!$Q:$Q,B$1,STATUS!$D:$D,$A34)</f>
        <v>3</v>
      </c>
      <c r="C34" s="7">
        <f>COUNTIFS(STATUS!$Q:$Q,C$1,STATUS!$D:$D,$A34)</f>
        <v>3</v>
      </c>
      <c r="D34" s="7">
        <f>COUNTIFS(STATUS!$Q:$Q,D$1,STATUS!$D:$D,$A34)</f>
        <v>3</v>
      </c>
      <c r="E34" s="7">
        <f>COUNTIFS(STATUS!$Q:$Q,E$1,STATUS!$D:$D,$A34)</f>
        <v>2</v>
      </c>
      <c r="F34" s="7">
        <f>COUNTIFS(STATUS!$Q:$Q,F$1,STATUS!$D:$D,$A34)</f>
        <v>0</v>
      </c>
      <c r="G34" s="7">
        <f>COUNTIFS(STATUS!$Q:$Q,G$1,STATUS!$D:$D,$A34)</f>
        <v>3</v>
      </c>
      <c r="H34" s="7">
        <f>COUNTIFS(STATUS!$Q:$Q,H$1,STATUS!$D:$D,$A34)</f>
        <v>0</v>
      </c>
      <c r="I34" s="7">
        <f>COUNTIFS(STATUS!$Q:$Q,I$1,STATUS!$D:$D,$A34)</f>
        <v>0</v>
      </c>
      <c r="J34" s="7">
        <f t="shared" si="1"/>
        <v>14</v>
      </c>
    </row>
    <row r="35" spans="1:10" x14ac:dyDescent="0.3">
      <c r="A35" s="6">
        <v>43861</v>
      </c>
      <c r="B35" s="7">
        <f>COUNTIFS(STATUS!$Q:$Q,B$1,STATUS!$D:$D,$A35)</f>
        <v>4</v>
      </c>
      <c r="C35" s="7">
        <f>COUNTIFS(STATUS!$Q:$Q,C$1,STATUS!$D:$D,$A35)</f>
        <v>4</v>
      </c>
      <c r="D35" s="7">
        <f>COUNTIFS(STATUS!$Q:$Q,D$1,STATUS!$D:$D,$A35)</f>
        <v>3</v>
      </c>
      <c r="E35" s="7">
        <f>COUNTIFS(STATUS!$Q:$Q,E$1,STATUS!$D:$D,$A35)</f>
        <v>5</v>
      </c>
      <c r="F35" s="7">
        <f>COUNTIFS(STATUS!$Q:$Q,F$1,STATUS!$D:$D,$A35)</f>
        <v>0</v>
      </c>
      <c r="G35" s="7">
        <f>COUNTIFS(STATUS!$Q:$Q,G$1,STATUS!$D:$D,$A35)</f>
        <v>3</v>
      </c>
      <c r="H35" s="7">
        <f>COUNTIFS(STATUS!$Q:$Q,H$1,STATUS!$D:$D,$A35)</f>
        <v>0</v>
      </c>
      <c r="I35" s="7">
        <f>COUNTIFS(STATUS!$Q:$Q,I$1,STATUS!$D:$D,$A35)</f>
        <v>0</v>
      </c>
      <c r="J35" s="7">
        <f t="shared" si="1"/>
        <v>19</v>
      </c>
    </row>
    <row r="36" spans="1:10" x14ac:dyDescent="0.3">
      <c r="A36" s="6">
        <v>43864</v>
      </c>
      <c r="B36" s="7">
        <f>COUNTIFS(STATUS!$Q:$Q,B$1,STATUS!$D:$D,$A36)</f>
        <v>4</v>
      </c>
      <c r="C36" s="7">
        <f>COUNTIFS(STATUS!$Q:$Q,C$1,STATUS!$D:$D,$A36)</f>
        <v>3</v>
      </c>
      <c r="D36" s="7">
        <f>COUNTIFS(STATUS!$Q:$Q,D$1,STATUS!$D:$D,$A36)</f>
        <v>6</v>
      </c>
      <c r="E36" s="7">
        <f>COUNTIFS(STATUS!$Q:$Q,E$1,STATUS!$D:$D,$A36)</f>
        <v>6</v>
      </c>
      <c r="F36" s="7">
        <f>COUNTIFS(STATUS!$Q:$Q,F$1,STATUS!$D:$D,$A36)</f>
        <v>0</v>
      </c>
      <c r="G36" s="7">
        <f>COUNTIFS(STATUS!$Q:$Q,G$1,STATUS!$D:$D,$A36)</f>
        <v>4</v>
      </c>
      <c r="H36" s="7">
        <f>COUNTIFS(STATUS!$Q:$Q,H$1,STATUS!$D:$D,$A36)</f>
        <v>0</v>
      </c>
      <c r="I36" s="7">
        <f>COUNTIFS(STATUS!$Q:$Q,I$1,STATUS!$D:$D,$A36)</f>
        <v>0</v>
      </c>
      <c r="J36" s="7">
        <f t="shared" si="1"/>
        <v>23</v>
      </c>
    </row>
    <row r="37" spans="1:10" x14ac:dyDescent="0.3">
      <c r="A37" s="6">
        <v>43865</v>
      </c>
      <c r="B37" s="7">
        <f>COUNTIFS(STATUS!$Q:$Q,B$1,STATUS!$D:$D,$A37)</f>
        <v>4</v>
      </c>
      <c r="C37" s="7">
        <f>COUNTIFS(STATUS!$Q:$Q,C$1,STATUS!$D:$D,$A37)</f>
        <v>3</v>
      </c>
      <c r="D37" s="7">
        <f>COUNTIFS(STATUS!$Q:$Q,D$1,STATUS!$D:$D,$A37)</f>
        <v>4</v>
      </c>
      <c r="E37" s="7">
        <f>COUNTIFS(STATUS!$Q:$Q,E$1,STATUS!$D:$D,$A37)</f>
        <v>3</v>
      </c>
      <c r="F37" s="7">
        <f>COUNTIFS(STATUS!$Q:$Q,F$1,STATUS!$D:$D,$A37)</f>
        <v>0</v>
      </c>
      <c r="G37" s="7">
        <f>COUNTIFS(STATUS!$Q:$Q,G$1,STATUS!$D:$D,$A37)</f>
        <v>2</v>
      </c>
      <c r="H37" s="7">
        <f>COUNTIFS(STATUS!$Q:$Q,H$1,STATUS!$D:$D,$A37)</f>
        <v>0</v>
      </c>
      <c r="I37" s="7">
        <f>COUNTIFS(STATUS!$Q:$Q,I$1,STATUS!$D:$D,$A37)</f>
        <v>0</v>
      </c>
      <c r="J37" s="7">
        <f t="shared" si="1"/>
        <v>16</v>
      </c>
    </row>
    <row r="38" spans="1:10" x14ac:dyDescent="0.3">
      <c r="A38" s="6">
        <v>43866</v>
      </c>
      <c r="B38" s="7">
        <f>COUNTIFS(STATUS!$Q:$Q,B$1,STATUS!$D:$D,$A38)</f>
        <v>8</v>
      </c>
      <c r="C38" s="7">
        <f>COUNTIFS(STATUS!$Q:$Q,C$1,STATUS!$D:$D,$A38)</f>
        <v>3</v>
      </c>
      <c r="D38" s="7">
        <f>COUNTIFS(STATUS!$Q:$Q,D$1,STATUS!$D:$D,$A38)</f>
        <v>5</v>
      </c>
      <c r="E38" s="7">
        <f>COUNTIFS(STATUS!$Q:$Q,E$1,STATUS!$D:$D,$A38)</f>
        <v>2</v>
      </c>
      <c r="F38" s="7">
        <f>COUNTIFS(STATUS!$Q:$Q,F$1,STATUS!$D:$D,$A38)</f>
        <v>0</v>
      </c>
      <c r="G38" s="7">
        <f>COUNTIFS(STATUS!$Q:$Q,G$1,STATUS!$D:$D,$A38)</f>
        <v>5</v>
      </c>
      <c r="H38" s="7">
        <f>COUNTIFS(STATUS!$Q:$Q,H$1,STATUS!$D:$D,$A38)</f>
        <v>0</v>
      </c>
      <c r="I38" s="7">
        <f>COUNTIFS(STATUS!$Q:$Q,I$1,STATUS!$D:$D,$A38)</f>
        <v>0</v>
      </c>
      <c r="J38" s="7">
        <f t="shared" si="1"/>
        <v>23</v>
      </c>
    </row>
    <row r="39" spans="1:10" x14ac:dyDescent="0.3">
      <c r="A39" s="6">
        <v>43867</v>
      </c>
      <c r="B39" s="7">
        <f>COUNTIFS(STATUS!$Q:$Q,B$1,STATUS!$D:$D,$A39)</f>
        <v>3</v>
      </c>
      <c r="C39" s="7">
        <f>COUNTIFS(STATUS!$Q:$Q,C$1,STATUS!$D:$D,$A39)</f>
        <v>2</v>
      </c>
      <c r="D39" s="7">
        <f>COUNTIFS(STATUS!$Q:$Q,D$1,STATUS!$D:$D,$A39)</f>
        <v>2</v>
      </c>
      <c r="E39" s="7">
        <f>COUNTIFS(STATUS!$Q:$Q,E$1,STATUS!$D:$D,$A39)</f>
        <v>5</v>
      </c>
      <c r="F39" s="7">
        <f>COUNTIFS(STATUS!$Q:$Q,F$1,STATUS!$D:$D,$A39)</f>
        <v>0</v>
      </c>
      <c r="G39" s="7">
        <f>COUNTIFS(STATUS!$Q:$Q,G$1,STATUS!$D:$D,$A39)</f>
        <v>3</v>
      </c>
      <c r="H39" s="7">
        <f>COUNTIFS(STATUS!$Q:$Q,H$1,STATUS!$D:$D,$A39)</f>
        <v>0</v>
      </c>
      <c r="I39" s="7">
        <f>COUNTIFS(STATUS!$Q:$Q,I$1,STATUS!$D:$D,$A39)</f>
        <v>0</v>
      </c>
      <c r="J39" s="7">
        <f t="shared" si="1"/>
        <v>15</v>
      </c>
    </row>
    <row r="40" spans="1:10" x14ac:dyDescent="0.3">
      <c r="A40" s="6">
        <v>43868</v>
      </c>
      <c r="B40" s="7">
        <f>COUNTIFS(STATUS!$Q:$Q,B$1,STATUS!$D:$D,$A40)</f>
        <v>3</v>
      </c>
      <c r="C40" s="7">
        <f>COUNTIFS(STATUS!$Q:$Q,C$1,STATUS!$D:$D,$A40)</f>
        <v>1</v>
      </c>
      <c r="D40" s="7">
        <f>COUNTIFS(STATUS!$Q:$Q,D$1,STATUS!$D:$D,$A40)</f>
        <v>2</v>
      </c>
      <c r="E40" s="7">
        <f>COUNTIFS(STATUS!$Q:$Q,E$1,STATUS!$D:$D,$A40)</f>
        <v>4</v>
      </c>
      <c r="F40" s="7">
        <f>COUNTIFS(STATUS!$Q:$Q,F$1,STATUS!$D:$D,$A40)</f>
        <v>0</v>
      </c>
      <c r="G40" s="7">
        <f>COUNTIFS(STATUS!$Q:$Q,G$1,STATUS!$D:$D,$A40)</f>
        <v>1</v>
      </c>
      <c r="H40" s="7">
        <f>COUNTIFS(STATUS!$Q:$Q,H$1,STATUS!$D:$D,$A40)</f>
        <v>0</v>
      </c>
      <c r="I40" s="7">
        <f>COUNTIFS(STATUS!$Q:$Q,I$1,STATUS!$D:$D,$A40)</f>
        <v>0</v>
      </c>
      <c r="J40" s="7">
        <f t="shared" si="1"/>
        <v>11</v>
      </c>
    </row>
    <row r="41" spans="1:10" x14ac:dyDescent="0.3">
      <c r="A41" s="6">
        <v>43871</v>
      </c>
      <c r="B41" s="7">
        <f>COUNTIFS(STATUS!$Q:$Q,B$1,STATUS!$D:$D,$A41)</f>
        <v>3</v>
      </c>
      <c r="C41" s="7">
        <f>COUNTIFS(STATUS!$Q:$Q,C$1,STATUS!$D:$D,$A41)</f>
        <v>3</v>
      </c>
      <c r="D41" s="7">
        <f>COUNTIFS(STATUS!$Q:$Q,D$1,STATUS!$D:$D,$A41)</f>
        <v>2</v>
      </c>
      <c r="E41" s="7">
        <f>COUNTIFS(STATUS!$Q:$Q,E$1,STATUS!$D:$D,$A41)</f>
        <v>5</v>
      </c>
      <c r="F41" s="7">
        <f>COUNTIFS(STATUS!$Q:$Q,F$1,STATUS!$D:$D,$A41)</f>
        <v>0</v>
      </c>
      <c r="G41" s="7">
        <f>COUNTIFS(STATUS!$Q:$Q,G$1,STATUS!$D:$D,$A41)</f>
        <v>4</v>
      </c>
      <c r="H41" s="7">
        <f>COUNTIFS(STATUS!$Q:$Q,H$1,STATUS!$D:$D,$A41)</f>
        <v>0</v>
      </c>
      <c r="I41" s="7">
        <f>COUNTIFS(STATUS!$Q:$Q,I$1,STATUS!$D:$D,$A41)</f>
        <v>1</v>
      </c>
      <c r="J41" s="7">
        <f t="shared" si="1"/>
        <v>18</v>
      </c>
    </row>
    <row r="42" spans="1:10" x14ac:dyDescent="0.3">
      <c r="A42" s="6">
        <v>43872</v>
      </c>
      <c r="B42" s="7">
        <f>COUNTIFS(STATUS!$Q:$Q,B$1,STATUS!$D:$D,$A42)</f>
        <v>5</v>
      </c>
      <c r="C42" s="7">
        <f>COUNTIFS(STATUS!$Q:$Q,C$1,STATUS!$D:$D,$A42)</f>
        <v>5</v>
      </c>
      <c r="D42" s="7">
        <f>COUNTIFS(STATUS!$Q:$Q,D$1,STATUS!$D:$D,$A42)</f>
        <v>5</v>
      </c>
      <c r="E42" s="7">
        <f>COUNTIFS(STATUS!$Q:$Q,E$1,STATUS!$D:$D,$A42)</f>
        <v>5</v>
      </c>
      <c r="F42" s="7">
        <f>COUNTIFS(STATUS!$Q:$Q,F$1,STATUS!$D:$D,$A42)</f>
        <v>0</v>
      </c>
      <c r="G42" s="7">
        <f>COUNTIFS(STATUS!$Q:$Q,G$1,STATUS!$D:$D,$A42)</f>
        <v>7</v>
      </c>
      <c r="H42" s="7">
        <f>COUNTIFS(STATUS!$Q:$Q,H$1,STATUS!$D:$D,$A42)</f>
        <v>0</v>
      </c>
      <c r="I42" s="7">
        <f>COUNTIFS(STATUS!$Q:$Q,I$1,STATUS!$D:$D,$A42)</f>
        <v>5</v>
      </c>
      <c r="J42" s="7">
        <f t="shared" si="1"/>
        <v>32</v>
      </c>
    </row>
    <row r="43" spans="1:10" x14ac:dyDescent="0.3">
      <c r="A43" s="6">
        <v>43873</v>
      </c>
      <c r="B43" s="7">
        <f>COUNTIFS(STATUS!$Q:$Q,B$1,STATUS!$D:$D,$A43)</f>
        <v>3</v>
      </c>
      <c r="C43" s="7">
        <f>COUNTIFS(STATUS!$Q:$Q,C$1,STATUS!$D:$D,$A43)</f>
        <v>3</v>
      </c>
      <c r="D43" s="7">
        <f>COUNTIFS(STATUS!$Q:$Q,D$1,STATUS!$D:$D,$A43)</f>
        <v>4</v>
      </c>
      <c r="E43" s="7">
        <f>COUNTIFS(STATUS!$Q:$Q,E$1,STATUS!$D:$D,$A43)</f>
        <v>6</v>
      </c>
      <c r="F43" s="7">
        <f>COUNTIFS(STATUS!$Q:$Q,F$1,STATUS!$D:$D,$A43)</f>
        <v>0</v>
      </c>
      <c r="G43" s="7">
        <f>COUNTIFS(STATUS!$Q:$Q,G$1,STATUS!$D:$D,$A43)</f>
        <v>3</v>
      </c>
      <c r="H43" s="7">
        <f>COUNTIFS(STATUS!$Q:$Q,H$1,STATUS!$D:$D,$A43)</f>
        <v>0</v>
      </c>
      <c r="I43" s="7">
        <f>COUNTIFS(STATUS!$Q:$Q,I$1,STATUS!$D:$D,$A43)</f>
        <v>4</v>
      </c>
      <c r="J43" s="7">
        <f t="shared" si="1"/>
        <v>23</v>
      </c>
    </row>
    <row r="44" spans="1:10" x14ac:dyDescent="0.3">
      <c r="A44" s="6">
        <v>43879</v>
      </c>
      <c r="B44" s="7">
        <f>COUNTIFS(STATUS!$Q:$Q,B$1,STATUS!$D:$D,$A44)</f>
        <v>4</v>
      </c>
      <c r="C44" s="7">
        <f>COUNTIFS(STATUS!$Q:$Q,C$1,STATUS!$D:$D,$A44)</f>
        <v>5</v>
      </c>
      <c r="D44" s="7">
        <f>COUNTIFS(STATUS!$Q:$Q,D$1,STATUS!$D:$D,$A44)</f>
        <v>3</v>
      </c>
      <c r="E44" s="7">
        <f>COUNTIFS(STATUS!$Q:$Q,E$1,STATUS!$D:$D,$A44)</f>
        <v>4</v>
      </c>
      <c r="F44" s="7">
        <f>COUNTIFS(STATUS!$Q:$Q,F$1,STATUS!$D:$D,$A44)</f>
        <v>0</v>
      </c>
      <c r="G44" s="7">
        <f>COUNTIFS(STATUS!$Q:$Q,G$1,STATUS!$D:$D,$A44)</f>
        <v>3</v>
      </c>
      <c r="H44" s="7">
        <f>COUNTIFS(STATUS!$Q:$Q,H$1,STATUS!$D:$D,$A44)</f>
        <v>0</v>
      </c>
      <c r="I44" s="7">
        <f>COUNTIFS(STATUS!$Q:$Q,I$1,STATUS!$D:$D,$A44)</f>
        <v>0</v>
      </c>
      <c r="J44" s="7">
        <f t="shared" si="1"/>
        <v>19</v>
      </c>
    </row>
    <row r="45" spans="1:10" x14ac:dyDescent="0.3">
      <c r="A45" s="6">
        <v>43880</v>
      </c>
      <c r="B45" s="7">
        <f>COUNTIFS(STATUS!$Q:$Q,B$1,STATUS!$D:$D,$A45)</f>
        <v>3</v>
      </c>
      <c r="C45" s="7">
        <f>COUNTIFS(STATUS!$Q:$Q,C$1,STATUS!$D:$D,$A45)</f>
        <v>5</v>
      </c>
      <c r="D45" s="7">
        <f>COUNTIFS(STATUS!$Q:$Q,D$1,STATUS!$D:$D,$A45)</f>
        <v>3</v>
      </c>
      <c r="E45" s="7">
        <f>COUNTIFS(STATUS!$Q:$Q,E$1,STATUS!$D:$D,$A45)</f>
        <v>4</v>
      </c>
      <c r="F45" s="7">
        <f>COUNTIFS(STATUS!$Q:$Q,F$1,STATUS!$D:$D,$A45)</f>
        <v>0</v>
      </c>
      <c r="G45" s="7">
        <f>COUNTIFS(STATUS!$Q:$Q,G$1,STATUS!$D:$D,$A45)</f>
        <v>3</v>
      </c>
      <c r="H45" s="7">
        <f>COUNTIFS(STATUS!$Q:$Q,H$1,STATUS!$D:$D,$A45)</f>
        <v>0</v>
      </c>
      <c r="I45" s="7">
        <f>COUNTIFS(STATUS!$Q:$Q,I$1,STATUS!$D:$D,$A45)</f>
        <v>0</v>
      </c>
      <c r="J45" s="7">
        <f t="shared" si="1"/>
        <v>18</v>
      </c>
    </row>
    <row r="46" spans="1:10" x14ac:dyDescent="0.3">
      <c r="A46" s="6">
        <v>43881</v>
      </c>
      <c r="B46" s="7">
        <f>COUNTIFS(STATUS!$Q:$Q,B$1,STATUS!$D:$D,$A46)</f>
        <v>3</v>
      </c>
      <c r="C46" s="7">
        <f>COUNTIFS(STATUS!$Q:$Q,C$1,STATUS!$D:$D,$A46)</f>
        <v>3</v>
      </c>
      <c r="D46" s="7">
        <f>COUNTIFS(STATUS!$Q:$Q,D$1,STATUS!$D:$D,$A46)</f>
        <v>6</v>
      </c>
      <c r="E46" s="7">
        <f>COUNTIFS(STATUS!$Q:$Q,E$1,STATUS!$D:$D,$A46)</f>
        <v>3</v>
      </c>
      <c r="F46" s="7">
        <f>COUNTIFS(STATUS!$Q:$Q,F$1,STATUS!$D:$D,$A46)</f>
        <v>0</v>
      </c>
      <c r="G46" s="7">
        <f>COUNTIFS(STATUS!$Q:$Q,G$1,STATUS!$D:$D,$A46)</f>
        <v>3</v>
      </c>
      <c r="H46" s="7">
        <f>COUNTIFS(STATUS!$Q:$Q,H$1,STATUS!$D:$D,$A46)</f>
        <v>0</v>
      </c>
      <c r="I46" s="7">
        <f>COUNTIFS(STATUS!$Q:$Q,I$1,STATUS!$D:$D,$A46)</f>
        <v>0</v>
      </c>
      <c r="J46" s="7">
        <f t="shared" si="1"/>
        <v>18</v>
      </c>
    </row>
    <row r="47" spans="1:10" x14ac:dyDescent="0.3">
      <c r="A47" s="6">
        <v>43882</v>
      </c>
      <c r="B47" s="7">
        <f>COUNTIFS(STATUS!$Q:$Q,B$1,STATUS!$D:$D,$A47)</f>
        <v>3</v>
      </c>
      <c r="C47" s="7">
        <f>COUNTIFS(STATUS!$Q:$Q,C$1,STATUS!$D:$D,$A47)</f>
        <v>3</v>
      </c>
      <c r="D47" s="7">
        <f>COUNTIFS(STATUS!$Q:$Q,D$1,STATUS!$D:$D,$A47)</f>
        <v>6</v>
      </c>
      <c r="E47" s="7">
        <f>COUNTIFS(STATUS!$Q:$Q,E$1,STATUS!$D:$D,$A47)</f>
        <v>2</v>
      </c>
      <c r="F47" s="7">
        <f>COUNTIFS(STATUS!$Q:$Q,F$1,STATUS!$D:$D,$A47)</f>
        <v>0</v>
      </c>
      <c r="G47" s="7">
        <f>COUNTIFS(STATUS!$Q:$Q,G$1,STATUS!$D:$D,$A47)</f>
        <v>3</v>
      </c>
      <c r="H47" s="7">
        <f>COUNTIFS(STATUS!$Q:$Q,H$1,STATUS!$D:$D,$A47)</f>
        <v>0</v>
      </c>
      <c r="I47" s="7">
        <f>COUNTIFS(STATUS!$Q:$Q,I$1,STATUS!$D:$D,$A47)</f>
        <v>0</v>
      </c>
      <c r="J47" s="7">
        <f t="shared" si="1"/>
        <v>17</v>
      </c>
    </row>
    <row r="48" spans="1:10" x14ac:dyDescent="0.3">
      <c r="A48" s="6">
        <v>43886</v>
      </c>
      <c r="B48" s="7">
        <f>COUNTIFS(STATUS!$Q:$Q,B$1,STATUS!$D:$D,$A48)</f>
        <v>6</v>
      </c>
      <c r="C48" s="7">
        <f>COUNTIFS(STATUS!$Q:$Q,C$1,STATUS!$D:$D,$A48)</f>
        <v>4</v>
      </c>
      <c r="D48" s="7">
        <f>COUNTIFS(STATUS!$Q:$Q,D$1,STATUS!$D:$D,$A48)</f>
        <v>5</v>
      </c>
      <c r="E48" s="7">
        <f>COUNTIFS(STATUS!$Q:$Q,E$1,STATUS!$D:$D,$A48)</f>
        <v>3</v>
      </c>
      <c r="F48" s="7">
        <f>COUNTIFS(STATUS!$Q:$Q,F$1,STATUS!$D:$D,$A48)</f>
        <v>0</v>
      </c>
      <c r="G48" s="7">
        <f>COUNTIFS(STATUS!$Q:$Q,G$1,STATUS!$D:$D,$A48)</f>
        <v>2</v>
      </c>
      <c r="H48" s="7">
        <f>COUNTIFS(STATUS!$Q:$Q,H$1,STATUS!$D:$D,$A48)</f>
        <v>0</v>
      </c>
      <c r="I48" s="7">
        <f>COUNTIFS(STATUS!$Q:$Q,I$1,STATUS!$D:$D,$A48)</f>
        <v>0</v>
      </c>
      <c r="J48" s="7">
        <f t="shared" ref="J48:J72" si="2">SUM(B48:I48)</f>
        <v>20</v>
      </c>
    </row>
    <row r="49" spans="1:10" x14ac:dyDescent="0.3">
      <c r="A49" s="6">
        <v>43887</v>
      </c>
      <c r="B49" s="7">
        <f>COUNTIFS(STATUS!$Q:$Q,B$1,STATUS!$D:$D,$A49)</f>
        <v>5</v>
      </c>
      <c r="C49" s="7">
        <f>COUNTIFS(STATUS!$Q:$Q,C$1,STATUS!$D:$D,$A49)</f>
        <v>4</v>
      </c>
      <c r="D49" s="7">
        <f>COUNTIFS(STATUS!$Q:$Q,D$1,STATUS!$D:$D,$A49)</f>
        <v>4</v>
      </c>
      <c r="E49" s="7">
        <f>COUNTIFS(STATUS!$Q:$Q,E$1,STATUS!$D:$D,$A49)</f>
        <v>7</v>
      </c>
      <c r="F49" s="7">
        <f>COUNTIFS(STATUS!$Q:$Q,F$1,STATUS!$D:$D,$A49)</f>
        <v>0</v>
      </c>
      <c r="G49" s="7">
        <f>COUNTIFS(STATUS!$Q:$Q,G$1,STATUS!$D:$D,$A49)</f>
        <v>4</v>
      </c>
      <c r="H49" s="7">
        <f>COUNTIFS(STATUS!$Q:$Q,H$1,STATUS!$D:$D,$A49)</f>
        <v>0</v>
      </c>
      <c r="I49" s="7">
        <f>COUNTIFS(STATUS!$Q:$Q,I$1,STATUS!$D:$D,$A49)</f>
        <v>0</v>
      </c>
      <c r="J49" s="7">
        <f t="shared" si="2"/>
        <v>24</v>
      </c>
    </row>
    <row r="50" spans="1:10" x14ac:dyDescent="0.3">
      <c r="A50" s="6">
        <v>43888</v>
      </c>
      <c r="B50" s="7">
        <f>COUNTIFS(STATUS!$Q:$Q,B$1,STATUS!$D:$D,$A50)</f>
        <v>5</v>
      </c>
      <c r="C50" s="7">
        <f>COUNTIFS(STATUS!$Q:$Q,C$1,STATUS!$D:$D,$A50)</f>
        <v>5</v>
      </c>
      <c r="D50" s="7">
        <f>COUNTIFS(STATUS!$Q:$Q,D$1,STATUS!$D:$D,$A50)</f>
        <v>5</v>
      </c>
      <c r="E50" s="7">
        <f>COUNTIFS(STATUS!$Q:$Q,E$1,STATUS!$D:$D,$A50)</f>
        <v>3</v>
      </c>
      <c r="F50" s="7">
        <f>COUNTIFS(STATUS!$Q:$Q,F$1,STATUS!$D:$D,$A50)</f>
        <v>0</v>
      </c>
      <c r="G50" s="7">
        <f>COUNTIFS(STATUS!$Q:$Q,G$1,STATUS!$D:$D,$A50)</f>
        <v>5</v>
      </c>
      <c r="H50" s="7">
        <f>COUNTIFS(STATUS!$Q:$Q,H$1,STATUS!$D:$D,$A50)</f>
        <v>0</v>
      </c>
      <c r="I50" s="7">
        <f>COUNTIFS(STATUS!$Q:$Q,I$1,STATUS!$D:$D,$A50)</f>
        <v>0</v>
      </c>
      <c r="J50" s="7">
        <f t="shared" si="2"/>
        <v>23</v>
      </c>
    </row>
    <row r="51" spans="1:10" x14ac:dyDescent="0.3">
      <c r="A51" s="6">
        <v>43889</v>
      </c>
      <c r="B51" s="7">
        <f>COUNTIFS(STATUS!$Q:$Q,B$1,STATUS!$D:$D,$A51)</f>
        <v>2</v>
      </c>
      <c r="C51" s="7">
        <f>COUNTIFS(STATUS!$Q:$Q,C$1,STATUS!$D:$D,$A51)</f>
        <v>4</v>
      </c>
      <c r="D51" s="7">
        <f>COUNTIFS(STATUS!$Q:$Q,D$1,STATUS!$D:$D,$A51)</f>
        <v>3</v>
      </c>
      <c r="E51" s="7">
        <f>COUNTIFS(STATUS!$Q:$Q,E$1,STATUS!$D:$D,$A51)</f>
        <v>2</v>
      </c>
      <c r="F51" s="7">
        <f>COUNTIFS(STATUS!$Q:$Q,F$1,STATUS!$D:$D,$A51)</f>
        <v>0</v>
      </c>
      <c r="G51" s="7">
        <f>COUNTIFS(STATUS!$Q:$Q,G$1,STATUS!$D:$D,$A51)</f>
        <v>5</v>
      </c>
      <c r="H51" s="7">
        <f>COUNTIFS(STATUS!$Q:$Q,H$1,STATUS!$D:$D,$A51)</f>
        <v>0</v>
      </c>
      <c r="I51" s="7">
        <f>COUNTIFS(STATUS!$Q:$Q,I$1,STATUS!$D:$D,$A51)</f>
        <v>0</v>
      </c>
      <c r="J51" s="7">
        <f t="shared" si="2"/>
        <v>16</v>
      </c>
    </row>
    <row r="52" spans="1:10" x14ac:dyDescent="0.3">
      <c r="A52" s="6">
        <v>43892</v>
      </c>
      <c r="B52" s="7">
        <f>COUNTIFS(STATUS!$Q:$Q,B$1,STATUS!$D:$D,$A52)</f>
        <v>4</v>
      </c>
      <c r="C52" s="7">
        <f>COUNTIFS(STATUS!$Q:$Q,C$1,STATUS!$D:$D,$A52)</f>
        <v>5</v>
      </c>
      <c r="D52" s="7">
        <f>COUNTIFS(STATUS!$Q:$Q,D$1,STATUS!$D:$D,$A52)</f>
        <v>3</v>
      </c>
      <c r="E52" s="7">
        <f>COUNTIFS(STATUS!$Q:$Q,E$1,STATUS!$D:$D,$A52)</f>
        <v>3</v>
      </c>
      <c r="F52" s="7">
        <f>COUNTIFS(STATUS!$Q:$Q,F$1,STATUS!$D:$D,$A52)</f>
        <v>0</v>
      </c>
      <c r="G52" s="7">
        <f>COUNTIFS(STATUS!$Q:$Q,G$1,STATUS!$D:$D,$A52)</f>
        <v>4</v>
      </c>
      <c r="H52" s="7">
        <f>COUNTIFS(STATUS!$Q:$Q,H$1,STATUS!$D:$D,$A52)</f>
        <v>0</v>
      </c>
      <c r="I52" s="7">
        <f>COUNTIFS(STATUS!$Q:$Q,I$1,STATUS!$D:$D,$A52)</f>
        <v>0</v>
      </c>
      <c r="J52" s="7">
        <f t="shared" si="2"/>
        <v>19</v>
      </c>
    </row>
    <row r="53" spans="1:10" x14ac:dyDescent="0.3">
      <c r="A53" s="6">
        <v>43893</v>
      </c>
      <c r="B53" s="7">
        <f>COUNTIFS(STATUS!$Q:$Q,B$1,STATUS!$D:$D,$A53)</f>
        <v>4</v>
      </c>
      <c r="C53" s="7">
        <f>COUNTIFS(STATUS!$Q:$Q,C$1,STATUS!$D:$D,$A53)</f>
        <v>2</v>
      </c>
      <c r="D53" s="7">
        <f>COUNTIFS(STATUS!$Q:$Q,D$1,STATUS!$D:$D,$A53)</f>
        <v>4</v>
      </c>
      <c r="E53" s="7">
        <f>COUNTIFS(STATUS!$Q:$Q,E$1,STATUS!$D:$D,$A53)</f>
        <v>5</v>
      </c>
      <c r="F53" s="7">
        <f>COUNTIFS(STATUS!$Q:$Q,F$1,STATUS!$D:$D,$A53)</f>
        <v>0</v>
      </c>
      <c r="G53" s="7">
        <f>COUNTIFS(STATUS!$Q:$Q,G$1,STATUS!$D:$D,$A53)</f>
        <v>3</v>
      </c>
      <c r="H53" s="7">
        <f>COUNTIFS(STATUS!$Q:$Q,H$1,STATUS!$D:$D,$A53)</f>
        <v>0</v>
      </c>
      <c r="I53" s="7">
        <f>COUNTIFS(STATUS!$Q:$Q,I$1,STATUS!$D:$D,$A53)</f>
        <v>0</v>
      </c>
      <c r="J53" s="7">
        <f t="shared" si="2"/>
        <v>18</v>
      </c>
    </row>
    <row r="54" spans="1:10" x14ac:dyDescent="0.3">
      <c r="A54" s="6">
        <v>43894</v>
      </c>
      <c r="B54" s="7">
        <f>COUNTIFS(STATUS!$Q:$Q,B$1,STATUS!$D:$D,$A54)</f>
        <v>4</v>
      </c>
      <c r="C54" s="7">
        <f>COUNTIFS(STATUS!$Q:$Q,C$1,STATUS!$D:$D,$A54)</f>
        <v>5</v>
      </c>
      <c r="D54" s="7">
        <f>COUNTIFS(STATUS!$Q:$Q,D$1,STATUS!$D:$D,$A54)</f>
        <v>4</v>
      </c>
      <c r="E54" s="7">
        <f>COUNTIFS(STATUS!$Q:$Q,E$1,STATUS!$D:$D,$A54)</f>
        <v>5</v>
      </c>
      <c r="F54" s="7">
        <f>COUNTIFS(STATUS!$Q:$Q,F$1,STATUS!$D:$D,$A54)</f>
        <v>0</v>
      </c>
      <c r="G54" s="7">
        <f>COUNTIFS(STATUS!$Q:$Q,G$1,STATUS!$D:$D,$A54)</f>
        <v>0</v>
      </c>
      <c r="H54" s="7">
        <f>COUNTIFS(STATUS!$Q:$Q,H$1,STATUS!$D:$D,$A54)</f>
        <v>0</v>
      </c>
      <c r="I54" s="7">
        <f>COUNTIFS(STATUS!$Q:$Q,I$1,STATUS!$D:$D,$A54)</f>
        <v>0</v>
      </c>
      <c r="J54" s="7">
        <f t="shared" si="2"/>
        <v>18</v>
      </c>
    </row>
    <row r="55" spans="1:10" x14ac:dyDescent="0.3">
      <c r="A55" s="6">
        <v>43895</v>
      </c>
      <c r="B55" s="7">
        <f>COUNTIFS(STATUS!$Q:$Q,B$1,STATUS!$D:$D,$A55)</f>
        <v>5</v>
      </c>
      <c r="C55" s="7">
        <f>COUNTIFS(STATUS!$Q:$Q,C$1,STATUS!$D:$D,$A55)</f>
        <v>5</v>
      </c>
      <c r="D55" s="7">
        <f>COUNTIFS(STATUS!$Q:$Q,D$1,STATUS!$D:$D,$A55)</f>
        <v>5</v>
      </c>
      <c r="E55" s="7">
        <f>COUNTIFS(STATUS!$Q:$Q,E$1,STATUS!$D:$D,$A55)</f>
        <v>3</v>
      </c>
      <c r="F55" s="7">
        <f>COUNTIFS(STATUS!$Q:$Q,F$1,STATUS!$D:$D,$A55)</f>
        <v>0</v>
      </c>
      <c r="G55" s="7">
        <f>COUNTIFS(STATUS!$Q:$Q,G$1,STATUS!$D:$D,$A55)</f>
        <v>0</v>
      </c>
      <c r="H55" s="7">
        <f>COUNTIFS(STATUS!$Q:$Q,H$1,STATUS!$D:$D,$A55)</f>
        <v>0</v>
      </c>
      <c r="I55" s="7">
        <f>COUNTIFS(STATUS!$Q:$Q,I$1,STATUS!$D:$D,$A55)</f>
        <v>0</v>
      </c>
      <c r="J55" s="7">
        <f t="shared" si="2"/>
        <v>18</v>
      </c>
    </row>
    <row r="56" spans="1:10" x14ac:dyDescent="0.3">
      <c r="A56" s="6">
        <v>43896</v>
      </c>
      <c r="B56" s="7">
        <f>COUNTIFS(STATUS!$Q:$Q,B$1,STATUS!$D:$D,$A56)</f>
        <v>4</v>
      </c>
      <c r="C56" s="7">
        <f>COUNTIFS(STATUS!$Q:$Q,C$1,STATUS!$D:$D,$A56)</f>
        <v>6</v>
      </c>
      <c r="D56" s="7">
        <f>COUNTIFS(STATUS!$Q:$Q,D$1,STATUS!$D:$D,$A56)</f>
        <v>3</v>
      </c>
      <c r="E56" s="7">
        <f>COUNTIFS(STATUS!$Q:$Q,E$1,STATUS!$D:$D,$A56)</f>
        <v>6</v>
      </c>
      <c r="F56" s="7">
        <f>COUNTIFS(STATUS!$Q:$Q,F$1,STATUS!$D:$D,$A56)</f>
        <v>0</v>
      </c>
      <c r="G56" s="7">
        <f>COUNTIFS(STATUS!$Q:$Q,G$1,STATUS!$D:$D,$A56)</f>
        <v>0</v>
      </c>
      <c r="H56" s="7">
        <f>COUNTIFS(STATUS!$Q:$Q,H$1,STATUS!$D:$D,$A56)</f>
        <v>0</v>
      </c>
      <c r="I56" s="7">
        <f>COUNTIFS(STATUS!$Q:$Q,I$1,STATUS!$D:$D,$A56)</f>
        <v>0</v>
      </c>
      <c r="J56" s="7">
        <f t="shared" si="2"/>
        <v>19</v>
      </c>
    </row>
    <row r="57" spans="1:10" x14ac:dyDescent="0.3">
      <c r="A57" s="6">
        <v>43900</v>
      </c>
      <c r="B57" s="7">
        <f>COUNTIFS(STATUS!$Q:$Q,B$1,STATUS!$D:$D,$A57)</f>
        <v>4</v>
      </c>
      <c r="C57" s="7">
        <f>COUNTIFS(STATUS!$Q:$Q,C$1,STATUS!$D:$D,$A57)</f>
        <v>3</v>
      </c>
      <c r="D57" s="7">
        <f>COUNTIFS(STATUS!$Q:$Q,D$1,STATUS!$D:$D,$A57)</f>
        <v>4</v>
      </c>
      <c r="E57" s="7">
        <f>COUNTIFS(STATUS!$Q:$Q,E$1,STATUS!$D:$D,$A57)</f>
        <v>2</v>
      </c>
      <c r="F57" s="7">
        <f>COUNTIFS(STATUS!$Q:$Q,F$1,STATUS!$D:$D,$A57)</f>
        <v>0</v>
      </c>
      <c r="G57" s="7">
        <f>COUNTIFS(STATUS!$Q:$Q,G$1,STATUS!$D:$D,$A57)</f>
        <v>0</v>
      </c>
      <c r="H57" s="7">
        <f>COUNTIFS(STATUS!$Q:$Q,H$1,STATUS!$D:$D,$A57)</f>
        <v>0</v>
      </c>
      <c r="I57" s="7">
        <f>COUNTIFS(STATUS!$Q:$Q,I$1,STATUS!$D:$D,$A57)</f>
        <v>0</v>
      </c>
      <c r="J57" s="7">
        <f t="shared" si="2"/>
        <v>13</v>
      </c>
    </row>
    <row r="58" spans="1:10" x14ac:dyDescent="0.3">
      <c r="A58" s="6">
        <v>43901</v>
      </c>
      <c r="B58" s="7">
        <f>COUNTIFS(STATUS!$Q:$Q,B$1,STATUS!$D:$D,$A58)</f>
        <v>4</v>
      </c>
      <c r="C58" s="7">
        <f>COUNTIFS(STATUS!$Q:$Q,C$1,STATUS!$D:$D,$A58)</f>
        <v>5</v>
      </c>
      <c r="D58" s="7">
        <f>COUNTIFS(STATUS!$Q:$Q,D$1,STATUS!$D:$D,$A58)</f>
        <v>3</v>
      </c>
      <c r="E58" s="7">
        <f>COUNTIFS(STATUS!$Q:$Q,E$1,STATUS!$D:$D,$A58)</f>
        <v>6</v>
      </c>
      <c r="F58" s="7">
        <f>COUNTIFS(STATUS!$Q:$Q,F$1,STATUS!$D:$D,$A58)</f>
        <v>0</v>
      </c>
      <c r="G58" s="7">
        <f>COUNTIFS(STATUS!$Q:$Q,G$1,STATUS!$D:$D,$A58)</f>
        <v>0</v>
      </c>
      <c r="H58" s="7">
        <f>COUNTIFS(STATUS!$Q:$Q,H$1,STATUS!$D:$D,$A58)</f>
        <v>0</v>
      </c>
      <c r="I58" s="7">
        <f>COUNTIFS(STATUS!$Q:$Q,I$1,STATUS!$D:$D,$A58)</f>
        <v>0</v>
      </c>
      <c r="J58" s="7">
        <f t="shared" si="2"/>
        <v>18</v>
      </c>
    </row>
    <row r="59" spans="1:10" x14ac:dyDescent="0.3">
      <c r="A59" s="6">
        <v>43902</v>
      </c>
      <c r="B59" s="7">
        <f>COUNTIFS(STATUS!$Q:$Q,B$1,STATUS!$D:$D,$A59)</f>
        <v>4</v>
      </c>
      <c r="C59" s="7">
        <f>COUNTIFS(STATUS!$Q:$Q,C$1,STATUS!$D:$D,$A59)</f>
        <v>5</v>
      </c>
      <c r="D59" s="7">
        <f>COUNTIFS(STATUS!$Q:$Q,D$1,STATUS!$D:$D,$A59)</f>
        <v>3</v>
      </c>
      <c r="E59" s="7">
        <f>COUNTIFS(STATUS!$Q:$Q,E$1,STATUS!$D:$D,$A59)</f>
        <v>4</v>
      </c>
      <c r="F59" s="7">
        <f>COUNTIFS(STATUS!$Q:$Q,F$1,STATUS!$D:$D,$A59)</f>
        <v>0</v>
      </c>
      <c r="G59" s="7">
        <f>COUNTIFS(STATUS!$Q:$Q,G$1,STATUS!$D:$D,$A59)</f>
        <v>0</v>
      </c>
      <c r="H59" s="7">
        <f>COUNTIFS(STATUS!$Q:$Q,H$1,STATUS!$D:$D,$A59)</f>
        <v>0</v>
      </c>
      <c r="I59" s="7">
        <f>COUNTIFS(STATUS!$Q:$Q,I$1,STATUS!$D:$D,$A59)</f>
        <v>0</v>
      </c>
      <c r="J59" s="7">
        <f t="shared" si="2"/>
        <v>16</v>
      </c>
    </row>
    <row r="60" spans="1:10" x14ac:dyDescent="0.3">
      <c r="A60" s="6">
        <v>43903</v>
      </c>
      <c r="B60" s="7">
        <f>COUNTIFS(STATUS!$Q:$Q,B$1,STATUS!$D:$D,$A60)</f>
        <v>3</v>
      </c>
      <c r="C60" s="7">
        <f>COUNTIFS(STATUS!$Q:$Q,C$1,STATUS!$D:$D,$A60)</f>
        <v>6</v>
      </c>
      <c r="D60" s="7">
        <f>COUNTIFS(STATUS!$Q:$Q,D$1,STATUS!$D:$D,$A60)</f>
        <v>5</v>
      </c>
      <c r="E60" s="7">
        <f>COUNTIFS(STATUS!$Q:$Q,E$1,STATUS!$D:$D,$A60)</f>
        <v>3</v>
      </c>
      <c r="F60" s="7">
        <f>COUNTIFS(STATUS!$Q:$Q,F$1,STATUS!$D:$D,$A60)</f>
        <v>0</v>
      </c>
      <c r="G60" s="7">
        <f>COUNTIFS(STATUS!$Q:$Q,G$1,STATUS!$D:$D,$A60)</f>
        <v>0</v>
      </c>
      <c r="H60" s="7">
        <f>COUNTIFS(STATUS!$Q:$Q,H$1,STATUS!$D:$D,$A60)</f>
        <v>0</v>
      </c>
      <c r="I60" s="7">
        <f>COUNTIFS(STATUS!$Q:$Q,I$1,STATUS!$D:$D,$A60)</f>
        <v>0</v>
      </c>
      <c r="J60" s="7">
        <f t="shared" si="2"/>
        <v>17</v>
      </c>
    </row>
    <row r="61" spans="1:10" x14ac:dyDescent="0.3">
      <c r="A61" s="6">
        <v>43906</v>
      </c>
      <c r="B61" s="7">
        <f>COUNTIFS(STATUS!$Q:$Q,B$1,STATUS!$D:$D,$A61)</f>
        <v>4</v>
      </c>
      <c r="C61" s="7">
        <f>COUNTIFS(STATUS!$Q:$Q,C$1,STATUS!$D:$D,$A61)</f>
        <v>4</v>
      </c>
      <c r="D61" s="7">
        <f>COUNTIFS(STATUS!$Q:$Q,D$1,STATUS!$D:$D,$A61)</f>
        <v>3</v>
      </c>
      <c r="E61" s="7">
        <f>COUNTIFS(STATUS!$Q:$Q,E$1,STATUS!$D:$D,$A61)</f>
        <v>4</v>
      </c>
      <c r="F61" s="7">
        <f>COUNTIFS(STATUS!$Q:$Q,F$1,STATUS!$D:$D,$A61)</f>
        <v>0</v>
      </c>
      <c r="G61" s="7">
        <f>COUNTIFS(STATUS!$Q:$Q,G$1,STATUS!$D:$D,$A61)</f>
        <v>0</v>
      </c>
      <c r="H61" s="7">
        <f>COUNTIFS(STATUS!$Q:$Q,H$1,STATUS!$D:$D,$A61)</f>
        <v>0</v>
      </c>
      <c r="I61" s="7">
        <f>COUNTIFS(STATUS!$Q:$Q,I$1,STATUS!$D:$D,$A61)</f>
        <v>0</v>
      </c>
      <c r="J61" s="7">
        <f t="shared" si="2"/>
        <v>15</v>
      </c>
    </row>
    <row r="62" spans="1:10" x14ac:dyDescent="0.3">
      <c r="A62" s="6">
        <v>43907</v>
      </c>
      <c r="B62" s="7">
        <f>COUNTIFS(STATUS!$Q:$Q,B$1,STATUS!$D:$D,$A62)</f>
        <v>3</v>
      </c>
      <c r="C62" s="7">
        <f>COUNTIFS(STATUS!$Q:$Q,C$1,STATUS!$D:$D,$A62)</f>
        <v>6</v>
      </c>
      <c r="D62" s="7">
        <f>COUNTIFS(STATUS!$Q:$Q,D$1,STATUS!$D:$D,$A62)</f>
        <v>3</v>
      </c>
      <c r="E62" s="7">
        <f>COUNTIFS(STATUS!$Q:$Q,E$1,STATUS!$D:$D,$A62)</f>
        <v>4</v>
      </c>
      <c r="F62" s="7">
        <f>COUNTIFS(STATUS!$Q:$Q,F$1,STATUS!$D:$D,$A62)</f>
        <v>0</v>
      </c>
      <c r="G62" s="7">
        <f>COUNTIFS(STATUS!$Q:$Q,G$1,STATUS!$D:$D,$A62)</f>
        <v>0</v>
      </c>
      <c r="H62" s="7">
        <f>COUNTIFS(STATUS!$Q:$Q,H$1,STATUS!$D:$D,$A62)</f>
        <v>0</v>
      </c>
      <c r="I62" s="7">
        <f>COUNTIFS(STATUS!$Q:$Q,I$1,STATUS!$D:$D,$A62)</f>
        <v>0</v>
      </c>
      <c r="J62" s="7">
        <f t="shared" si="2"/>
        <v>16</v>
      </c>
    </row>
    <row r="63" spans="1:10" x14ac:dyDescent="0.3">
      <c r="A63" s="6">
        <v>43908</v>
      </c>
      <c r="B63" s="7">
        <f>COUNTIFS(STATUS!$Q:$Q,B$1,STATUS!$D:$D,$A63)</f>
        <v>4</v>
      </c>
      <c r="C63" s="7">
        <f>COUNTIFS(STATUS!$Q:$Q,C$1,STATUS!$D:$D,$A63)</f>
        <v>5</v>
      </c>
      <c r="D63" s="7">
        <f>COUNTIFS(STATUS!$Q:$Q,D$1,STATUS!$D:$D,$A63)</f>
        <v>4</v>
      </c>
      <c r="E63" s="7">
        <f>COUNTIFS(STATUS!$Q:$Q,E$1,STATUS!$D:$D,$A63)</f>
        <v>5</v>
      </c>
      <c r="F63" s="7">
        <f>COUNTIFS(STATUS!$Q:$Q,F$1,STATUS!$D:$D,$A63)</f>
        <v>0</v>
      </c>
      <c r="G63" s="7">
        <f>COUNTIFS(STATUS!$Q:$Q,G$1,STATUS!$D:$D,$A63)</f>
        <v>0</v>
      </c>
      <c r="H63" s="7">
        <f>COUNTIFS(STATUS!$Q:$Q,H$1,STATUS!$D:$D,$A63)</f>
        <v>0</v>
      </c>
      <c r="I63" s="7">
        <f>COUNTIFS(STATUS!$Q:$Q,I$1,STATUS!$D:$D,$A63)</f>
        <v>0</v>
      </c>
      <c r="J63" s="7">
        <f t="shared" si="2"/>
        <v>18</v>
      </c>
    </row>
    <row r="64" spans="1:10" x14ac:dyDescent="0.3">
      <c r="A64" s="6">
        <v>43909</v>
      </c>
      <c r="B64" s="7">
        <f>COUNTIFS(STATUS!$Q:$Q,B$1,STATUS!$D:$D,$A64)</f>
        <v>4</v>
      </c>
      <c r="C64" s="7">
        <f>COUNTIFS(STATUS!$Q:$Q,C$1,STATUS!$D:$D,$A64)</f>
        <v>5</v>
      </c>
      <c r="D64" s="7">
        <f>COUNTIFS(STATUS!$Q:$Q,D$1,STATUS!$D:$D,$A64)</f>
        <v>6</v>
      </c>
      <c r="E64" s="7">
        <f>COUNTIFS(STATUS!$Q:$Q,E$1,STATUS!$D:$D,$A64)</f>
        <v>4</v>
      </c>
      <c r="F64" s="7">
        <f>COUNTIFS(STATUS!$Q:$Q,F$1,STATUS!$D:$D,$A64)</f>
        <v>0</v>
      </c>
      <c r="G64" s="7">
        <f>COUNTIFS(STATUS!$Q:$Q,G$1,STATUS!$D:$D,$A64)</f>
        <v>0</v>
      </c>
      <c r="H64" s="7">
        <f>COUNTIFS(STATUS!$Q:$Q,H$1,STATUS!$D:$D,$A64)</f>
        <v>0</v>
      </c>
      <c r="I64" s="7">
        <f>COUNTIFS(STATUS!$Q:$Q,I$1,STATUS!$D:$D,$A64)</f>
        <v>0</v>
      </c>
      <c r="J64" s="7">
        <f t="shared" si="2"/>
        <v>19</v>
      </c>
    </row>
    <row r="65" spans="1:10" x14ac:dyDescent="0.3">
      <c r="A65" s="6">
        <v>43910</v>
      </c>
      <c r="B65" s="7">
        <f>COUNTIFS(STATUS!$Q:$Q,B$1,STATUS!$D:$D,$A65)</f>
        <v>2</v>
      </c>
      <c r="C65" s="7">
        <f>COUNTIFS(STATUS!$Q:$Q,C$1,STATUS!$D:$D,$A65)</f>
        <v>4</v>
      </c>
      <c r="D65" s="7">
        <f>COUNTIFS(STATUS!$Q:$Q,D$1,STATUS!$D:$D,$A65)</f>
        <v>2</v>
      </c>
      <c r="E65" s="7">
        <f>COUNTIFS(STATUS!$Q:$Q,E$1,STATUS!$D:$D,$A65)</f>
        <v>2</v>
      </c>
      <c r="F65" s="7">
        <f>COUNTIFS(STATUS!$Q:$Q,F$1,STATUS!$D:$D,$A65)</f>
        <v>0</v>
      </c>
      <c r="G65" s="7">
        <f>COUNTIFS(STATUS!$Q:$Q,G$1,STATUS!$D:$D,$A65)</f>
        <v>0</v>
      </c>
      <c r="H65" s="7">
        <f>COUNTIFS(STATUS!$Q:$Q,H$1,STATUS!$D:$D,$A65)</f>
        <v>0</v>
      </c>
      <c r="I65" s="7">
        <f>COUNTIFS(STATUS!$Q:$Q,I$1,STATUS!$D:$D,$A65)</f>
        <v>0</v>
      </c>
      <c r="J65" s="7">
        <f t="shared" si="2"/>
        <v>10</v>
      </c>
    </row>
    <row r="66" spans="1:10" x14ac:dyDescent="0.3">
      <c r="A66" s="6">
        <v>43913</v>
      </c>
      <c r="B66" s="7">
        <f>COUNTIFS(STATUS!$Q:$Q,B$1,STATUS!$D:$D,$A66)</f>
        <v>5</v>
      </c>
      <c r="C66" s="7">
        <f>COUNTIFS(STATUS!$Q:$Q,C$1,STATUS!$D:$D,$A66)</f>
        <v>4</v>
      </c>
      <c r="D66" s="7">
        <f>COUNTIFS(STATUS!$Q:$Q,D$1,STATUS!$D:$D,$A66)</f>
        <v>6</v>
      </c>
      <c r="E66" s="7">
        <f>COUNTIFS(STATUS!$Q:$Q,E$1,STATUS!$D:$D,$A66)</f>
        <v>4</v>
      </c>
      <c r="F66" s="7">
        <f>COUNTIFS(STATUS!$Q:$Q,F$1,STATUS!$D:$D,$A66)</f>
        <v>0</v>
      </c>
      <c r="G66" s="7">
        <f>COUNTIFS(STATUS!$Q:$Q,G$1,STATUS!$D:$D,$A66)</f>
        <v>0</v>
      </c>
      <c r="H66" s="7">
        <f>COUNTIFS(STATUS!$Q:$Q,H$1,STATUS!$D:$D,$A66)</f>
        <v>7</v>
      </c>
      <c r="I66" s="7">
        <f>COUNTIFS(STATUS!$Q:$Q,I$1,STATUS!$D:$D,$A66)</f>
        <v>0</v>
      </c>
      <c r="J66" s="7">
        <f t="shared" si="2"/>
        <v>26</v>
      </c>
    </row>
    <row r="67" spans="1:10" x14ac:dyDescent="0.3">
      <c r="A67" s="6">
        <v>43914</v>
      </c>
      <c r="B67" s="7">
        <f>COUNTIFS(STATUS!$Q:$Q,B$1,STATUS!$D:$D,$A67)</f>
        <v>4</v>
      </c>
      <c r="C67" s="7">
        <f>COUNTIFS(STATUS!$Q:$Q,C$1,STATUS!$D:$D,$A67)</f>
        <v>3</v>
      </c>
      <c r="D67" s="7">
        <f>COUNTIFS(STATUS!$Q:$Q,D$1,STATUS!$D:$D,$A67)</f>
        <v>3</v>
      </c>
      <c r="E67" s="7">
        <f>COUNTIFS(STATUS!$Q:$Q,E$1,STATUS!$D:$D,$A67)</f>
        <v>2</v>
      </c>
      <c r="F67" s="7">
        <f>COUNTIFS(STATUS!$Q:$Q,F$1,STATUS!$D:$D,$A67)</f>
        <v>0</v>
      </c>
      <c r="G67" s="7">
        <f>COUNTIFS(STATUS!$Q:$Q,G$1,STATUS!$D:$D,$A67)</f>
        <v>0</v>
      </c>
      <c r="H67" s="7">
        <f>COUNTIFS(STATUS!$Q:$Q,H$1,STATUS!$D:$D,$A67)</f>
        <v>3</v>
      </c>
      <c r="I67" s="7">
        <f>COUNTIFS(STATUS!$Q:$Q,I$1,STATUS!$D:$D,$A67)</f>
        <v>0</v>
      </c>
      <c r="J67" s="7">
        <f t="shared" si="2"/>
        <v>15</v>
      </c>
    </row>
    <row r="68" spans="1:10" x14ac:dyDescent="0.3">
      <c r="A68" s="6">
        <v>43915</v>
      </c>
      <c r="B68" s="7">
        <f>COUNTIFS(STATUS!$Q:$Q,B$1,STATUS!$D:$D,$A68)</f>
        <v>3</v>
      </c>
      <c r="C68" s="7">
        <f>COUNTIFS(STATUS!$Q:$Q,C$1,STATUS!$D:$D,$A68)</f>
        <v>5</v>
      </c>
      <c r="D68" s="7">
        <f>COUNTIFS(STATUS!$Q:$Q,D$1,STATUS!$D:$D,$A68)</f>
        <v>4</v>
      </c>
      <c r="E68" s="7">
        <f>COUNTIFS(STATUS!$Q:$Q,E$1,STATUS!$D:$D,$A68)</f>
        <v>5</v>
      </c>
      <c r="F68" s="7">
        <f>COUNTIFS(STATUS!$Q:$Q,F$1,STATUS!$D:$D,$A68)</f>
        <v>0</v>
      </c>
      <c r="G68" s="7">
        <f>COUNTIFS(STATUS!$Q:$Q,G$1,STATUS!$D:$D,$A68)</f>
        <v>0</v>
      </c>
      <c r="H68" s="7">
        <f>COUNTIFS(STATUS!$Q:$Q,H$1,STATUS!$D:$D,$A68)</f>
        <v>6</v>
      </c>
      <c r="I68" s="7">
        <f>COUNTIFS(STATUS!$Q:$Q,I$1,STATUS!$D:$D,$A68)</f>
        <v>0</v>
      </c>
      <c r="J68" s="7">
        <f t="shared" si="2"/>
        <v>23</v>
      </c>
    </row>
    <row r="69" spans="1:10" x14ac:dyDescent="0.3">
      <c r="A69" s="6">
        <v>43916</v>
      </c>
      <c r="B69" s="7">
        <f>COUNTIFS(STATUS!$Q:$Q,B$1,STATUS!$D:$D,$A69)</f>
        <v>3</v>
      </c>
      <c r="C69" s="7">
        <f>COUNTIFS(STATUS!$Q:$Q,C$1,STATUS!$D:$D,$A69)</f>
        <v>5</v>
      </c>
      <c r="D69" s="7">
        <f>COUNTIFS(STATUS!$Q:$Q,D$1,STATUS!$D:$D,$A69)</f>
        <v>4</v>
      </c>
      <c r="E69" s="7">
        <f>COUNTIFS(STATUS!$Q:$Q,E$1,STATUS!$D:$D,$A69)</f>
        <v>4</v>
      </c>
      <c r="F69" s="7">
        <f>COUNTIFS(STATUS!$Q:$Q,F$1,STATUS!$D:$D,$A69)</f>
        <v>0</v>
      </c>
      <c r="G69" s="7">
        <f>COUNTIFS(STATUS!$Q:$Q,G$1,STATUS!$D:$D,$A69)</f>
        <v>0</v>
      </c>
      <c r="H69" s="7">
        <f>COUNTIFS(STATUS!$Q:$Q,H$1,STATUS!$D:$D,$A69)</f>
        <v>4</v>
      </c>
      <c r="I69" s="7">
        <f>COUNTIFS(STATUS!$Q:$Q,I$1,STATUS!$D:$D,$A69)</f>
        <v>0</v>
      </c>
      <c r="J69" s="7">
        <f t="shared" si="2"/>
        <v>20</v>
      </c>
    </row>
    <row r="70" spans="1:10" x14ac:dyDescent="0.3">
      <c r="A70" s="6">
        <v>43917</v>
      </c>
      <c r="B70" s="7">
        <f>COUNTIFS(STATUS!$Q:$Q,B$1,STATUS!$D:$D,$A70)</f>
        <v>2</v>
      </c>
      <c r="C70" s="7">
        <f>COUNTIFS(STATUS!$Q:$Q,C$1,STATUS!$D:$D,$A70)</f>
        <v>5</v>
      </c>
      <c r="D70" s="7">
        <f>COUNTIFS(STATUS!$Q:$Q,D$1,STATUS!$D:$D,$A70)</f>
        <v>5</v>
      </c>
      <c r="E70" s="7">
        <f>COUNTIFS(STATUS!$Q:$Q,E$1,STATUS!$D:$D,$A70)</f>
        <v>2</v>
      </c>
      <c r="F70" s="7">
        <f>COUNTIFS(STATUS!$Q:$Q,F$1,STATUS!$D:$D,$A70)</f>
        <v>0</v>
      </c>
      <c r="G70" s="7">
        <f>COUNTIFS(STATUS!$Q:$Q,G$1,STATUS!$D:$D,$A70)</f>
        <v>0</v>
      </c>
      <c r="H70" s="7">
        <f>COUNTIFS(STATUS!$Q:$Q,H$1,STATUS!$D:$D,$A70)</f>
        <v>2</v>
      </c>
      <c r="I70" s="7">
        <f>COUNTIFS(STATUS!$Q:$Q,I$1,STATUS!$D:$D,$A70)</f>
        <v>0</v>
      </c>
      <c r="J70" s="7">
        <f t="shared" si="2"/>
        <v>16</v>
      </c>
    </row>
    <row r="71" spans="1:10" x14ac:dyDescent="0.3">
      <c r="A71" s="6">
        <v>43927</v>
      </c>
      <c r="B71" s="7">
        <f>COUNTIFS(STATUS!$Q:$Q,B$1,STATUS!$D:$D,$A71)</f>
        <v>4</v>
      </c>
      <c r="C71" s="7">
        <f>COUNTIFS(STATUS!$Q:$Q,C$1,STATUS!$D:$D,$A71)</f>
        <v>4</v>
      </c>
      <c r="D71" s="7">
        <f>COUNTIFS(STATUS!$Q:$Q,D$1,STATUS!$D:$D,$A71)</f>
        <v>4</v>
      </c>
      <c r="E71" s="7">
        <f>COUNTIFS(STATUS!$Q:$Q,E$1,STATUS!$D:$D,$A71)</f>
        <v>3</v>
      </c>
      <c r="F71" s="7">
        <f>COUNTIFS(STATUS!$Q:$Q,F$1,STATUS!$D:$D,$A71)</f>
        <v>0</v>
      </c>
      <c r="G71" s="7">
        <f>COUNTIFS(STATUS!$Q:$Q,G$1,STATUS!$D:$D,$A71)</f>
        <v>7</v>
      </c>
      <c r="H71" s="7">
        <f>COUNTIFS(STATUS!$Q:$Q,H$1,STATUS!$D:$D,$A71)</f>
        <v>4</v>
      </c>
      <c r="I71" s="7">
        <f>COUNTIFS(STATUS!$Q:$Q,I$1,STATUS!$D:$D,$A71)</f>
        <v>0</v>
      </c>
      <c r="J71" s="7">
        <f t="shared" si="2"/>
        <v>26</v>
      </c>
    </row>
    <row r="72" spans="1:10" x14ac:dyDescent="0.3">
      <c r="A72" s="6">
        <v>43928</v>
      </c>
      <c r="B72" s="7">
        <f>COUNTIFS(STATUS!$Q:$Q,B$1,STATUS!$D:$D,$A72)</f>
        <v>3</v>
      </c>
      <c r="C72" s="7">
        <f>COUNTIFS(STATUS!$Q:$Q,C$1,STATUS!$D:$D,$A72)</f>
        <v>2</v>
      </c>
      <c r="D72" s="7">
        <f>COUNTIFS(STATUS!$Q:$Q,D$1,STATUS!$D:$D,$A72)</f>
        <v>6</v>
      </c>
      <c r="E72" s="7">
        <f>COUNTIFS(STATUS!$Q:$Q,E$1,STATUS!$D:$D,$A72)</f>
        <v>4</v>
      </c>
      <c r="F72" s="7">
        <f>COUNTIFS(STATUS!$Q:$Q,F$1,STATUS!$D:$D,$A72)</f>
        <v>0</v>
      </c>
      <c r="G72" s="7">
        <f>COUNTIFS(STATUS!$Q:$Q,G$1,STATUS!$D:$D,$A72)</f>
        <v>2</v>
      </c>
      <c r="H72" s="7">
        <f>COUNTIFS(STATUS!$Q:$Q,H$1,STATUS!$D:$D,$A72)</f>
        <v>5</v>
      </c>
      <c r="I72" s="7">
        <f>COUNTIFS(STATUS!$Q:$Q,I$1,STATUS!$D:$D,$A72)</f>
        <v>0</v>
      </c>
      <c r="J72" s="7">
        <f t="shared" si="2"/>
        <v>22</v>
      </c>
    </row>
    <row r="73" spans="1:10" x14ac:dyDescent="0.3">
      <c r="A73" s="6">
        <v>43929</v>
      </c>
      <c r="B73" s="7">
        <f>COUNTIFS(STATUS!$Q:$Q,B$1,STATUS!$D:$D,$A73)</f>
        <v>0</v>
      </c>
      <c r="C73" s="7">
        <f>COUNTIFS(STATUS!$Q:$Q,C$1,STATUS!$D:$D,$A73)</f>
        <v>6</v>
      </c>
      <c r="D73" s="7">
        <f>COUNTIFS(STATUS!$Q:$Q,D$1,STATUS!$D:$D,$A73)</f>
        <v>6</v>
      </c>
      <c r="E73" s="7">
        <f>COUNTIFS(STATUS!$Q:$Q,E$1,STATUS!$D:$D,$A73)</f>
        <v>1</v>
      </c>
      <c r="F73" s="7">
        <f>COUNTIFS(STATUS!$Q:$Q,F$1,STATUS!$D:$D,$A73)</f>
        <v>0</v>
      </c>
      <c r="G73" s="7">
        <f>COUNTIFS(STATUS!$Q:$Q,G$1,STATUS!$D:$D,$A73)</f>
        <v>4</v>
      </c>
      <c r="H73" s="7">
        <f>COUNTIFS(STATUS!$Q:$Q,H$1,STATUS!$D:$D,$A73)</f>
        <v>2</v>
      </c>
      <c r="I73" s="7">
        <f>COUNTIFS(STATUS!$Q:$Q,I$1,STATUS!$D:$D,$A73)</f>
        <v>0</v>
      </c>
      <c r="J73" s="7">
        <f t="shared" ref="J73" si="3">SUM(B73:I73)</f>
        <v>19</v>
      </c>
    </row>
    <row r="74" spans="1:10" x14ac:dyDescent="0.3">
      <c r="A74" s="6">
        <v>43963</v>
      </c>
      <c r="B74" s="7">
        <f>COUNTIFS(STATUS!$Q:$Q,B$1,STATUS!$D:$D,$A74)</f>
        <v>5</v>
      </c>
      <c r="C74" s="7">
        <f>COUNTIFS(STATUS!$Q:$Q,C$1,STATUS!$D:$D,$A74)</f>
        <v>3</v>
      </c>
      <c r="D74" s="7">
        <f>COUNTIFS(STATUS!$Q:$Q,D$1,STATUS!$D:$D,$A74)</f>
        <v>5</v>
      </c>
      <c r="E74" s="7">
        <f>COUNTIFS(STATUS!$Q:$Q,E$1,STATUS!$D:$D,$A74)</f>
        <v>3</v>
      </c>
      <c r="F74" s="7">
        <f>COUNTIFS(STATUS!$Q:$Q,F$1,STATUS!$D:$D,$A74)</f>
        <v>0</v>
      </c>
      <c r="G74" s="7">
        <f>COUNTIFS(STATUS!$Q:$Q,G$1,STATUS!$D:$D,$A74)</f>
        <v>5</v>
      </c>
      <c r="H74" s="7">
        <f>COUNTIFS(STATUS!$Q:$Q,H$1,STATUS!$D:$D,$A74)</f>
        <v>0</v>
      </c>
      <c r="I74" s="7">
        <f>COUNTIFS(STATUS!$Q:$Q,I$1,STATUS!$D:$D,$A74)</f>
        <v>0</v>
      </c>
      <c r="J74" s="7">
        <f t="shared" ref="J74:J75" si="4">SUM(B74:I74)</f>
        <v>21</v>
      </c>
    </row>
    <row r="75" spans="1:10" x14ac:dyDescent="0.3">
      <c r="A75" s="6">
        <v>43964</v>
      </c>
      <c r="B75" s="7">
        <f>COUNTIFS(STATUS!$Q:$Q,B$1,STATUS!$D:$D,$A75)</f>
        <v>2</v>
      </c>
      <c r="C75" s="7">
        <f>COUNTIFS(STATUS!$Q:$Q,C$1,STATUS!$D:$D,$A75)</f>
        <v>6</v>
      </c>
      <c r="D75" s="7">
        <f>COUNTIFS(STATUS!$Q:$Q,D$1,STATUS!$D:$D,$A75)</f>
        <v>7</v>
      </c>
      <c r="E75" s="7">
        <f>COUNTIFS(STATUS!$Q:$Q,E$1,STATUS!$D:$D,$A75)</f>
        <v>6</v>
      </c>
      <c r="F75" s="7">
        <f>COUNTIFS(STATUS!$Q:$Q,F$1,STATUS!$D:$D,$A75)</f>
        <v>0</v>
      </c>
      <c r="G75" s="7">
        <f>COUNTIFS(STATUS!$Q:$Q,G$1,STATUS!$D:$D,$A75)</f>
        <v>5</v>
      </c>
      <c r="H75" s="7">
        <f>COUNTIFS(STATUS!$Q:$Q,H$1,STATUS!$D:$D,$A75)</f>
        <v>0</v>
      </c>
      <c r="I75" s="7">
        <f>COUNTIFS(STATUS!$Q:$Q,I$1,STATUS!$D:$D,$A75)</f>
        <v>0</v>
      </c>
      <c r="J75" s="7">
        <f t="shared" si="4"/>
        <v>26</v>
      </c>
    </row>
    <row r="76" spans="1:10" x14ac:dyDescent="0.3">
      <c r="A76" s="6">
        <v>43965</v>
      </c>
      <c r="B76" s="7">
        <f>COUNTIFS(STATUS!$Q:$Q,B$1,STATUS!$D:$D,$A76)</f>
        <v>4</v>
      </c>
      <c r="C76" s="7">
        <f>COUNTIFS(STATUS!$Q:$Q,C$1,STATUS!$D:$D,$A76)</f>
        <v>3</v>
      </c>
      <c r="D76" s="7">
        <f>COUNTIFS(STATUS!$Q:$Q,D$1,STATUS!$D:$D,$A76)</f>
        <v>5</v>
      </c>
      <c r="E76" s="7">
        <f>COUNTIFS(STATUS!$Q:$Q,E$1,STATUS!$D:$D,$A76)</f>
        <v>4</v>
      </c>
      <c r="F76" s="7">
        <f>COUNTIFS(STATUS!$Q:$Q,F$1,STATUS!$D:$D,$A76)</f>
        <v>0</v>
      </c>
      <c r="G76" s="7">
        <f>COUNTIFS(STATUS!$Q:$Q,G$1,STATUS!$D:$D,$A76)</f>
        <v>2</v>
      </c>
      <c r="H76" s="7">
        <f>COUNTIFS(STATUS!$Q:$Q,H$1,STATUS!$D:$D,$A76)</f>
        <v>0</v>
      </c>
      <c r="I76" s="7">
        <f>COUNTIFS(STATUS!$Q:$Q,I$1,STATUS!$D:$D,$A76)</f>
        <v>0</v>
      </c>
      <c r="J76" s="7">
        <f t="shared" ref="J76:J85" si="5">SUM(B76:I76)</f>
        <v>18</v>
      </c>
    </row>
    <row r="77" spans="1:10" x14ac:dyDescent="0.3">
      <c r="A77" s="6">
        <v>43966</v>
      </c>
      <c r="B77" s="7">
        <f>COUNTIFS(STATUS!$Q:$Q,B$1,STATUS!$D:$D,$A77)</f>
        <v>4</v>
      </c>
      <c r="C77" s="7">
        <f>COUNTIFS(STATUS!$Q:$Q,C$1,STATUS!$D:$D,$A77)</f>
        <v>3</v>
      </c>
      <c r="D77" s="7">
        <f>COUNTIFS(STATUS!$Q:$Q,D$1,STATUS!$D:$D,$A77)</f>
        <v>3</v>
      </c>
      <c r="E77" s="7">
        <f>COUNTIFS(STATUS!$Q:$Q,E$1,STATUS!$D:$D,$A77)</f>
        <v>3</v>
      </c>
      <c r="F77" s="7">
        <f>COUNTIFS(STATUS!$Q:$Q,F$1,STATUS!$D:$D,$A77)</f>
        <v>0</v>
      </c>
      <c r="G77" s="7">
        <f>COUNTIFS(STATUS!$Q:$Q,G$1,STATUS!$D:$D,$A77)</f>
        <v>3</v>
      </c>
      <c r="H77" s="7">
        <f>COUNTIFS(STATUS!$Q:$Q,H$1,STATUS!$D:$D,$A77)</f>
        <v>0</v>
      </c>
      <c r="I77" s="7">
        <f>COUNTIFS(STATUS!$Q:$Q,I$1,STATUS!$D:$D,$A77)</f>
        <v>0</v>
      </c>
      <c r="J77" s="7">
        <f t="shared" si="5"/>
        <v>16</v>
      </c>
    </row>
    <row r="78" spans="1:10" x14ac:dyDescent="0.3">
      <c r="A78" s="6">
        <v>43969</v>
      </c>
      <c r="B78" s="7">
        <f>COUNTIFS(STATUS!$Q:$Q,B$1,STATUS!$D:$D,$A78)</f>
        <v>3</v>
      </c>
      <c r="C78" s="7">
        <f>COUNTIFS(STATUS!$Q:$Q,C$1,STATUS!$D:$D,$A78)</f>
        <v>5</v>
      </c>
      <c r="D78" s="7">
        <f>COUNTIFS(STATUS!$Q:$Q,D$1,STATUS!$D:$D,$A78)</f>
        <v>6</v>
      </c>
      <c r="E78" s="7">
        <f>COUNTIFS(STATUS!$Q:$Q,E$1,STATUS!$D:$D,$A78)</f>
        <v>6</v>
      </c>
      <c r="F78" s="7">
        <f>COUNTIFS(STATUS!$Q:$Q,F$1,STATUS!$D:$D,$A78)</f>
        <v>0</v>
      </c>
      <c r="G78" s="7">
        <f>COUNTIFS(STATUS!$Q:$Q,G$1,STATUS!$D:$D,$A78)</f>
        <v>5</v>
      </c>
      <c r="H78" s="7">
        <f>COUNTIFS(STATUS!$Q:$Q,H$1,STATUS!$D:$D,$A78)</f>
        <v>0</v>
      </c>
      <c r="I78" s="7">
        <f>COUNTIFS(STATUS!$Q:$Q,I$1,STATUS!$D:$D,$A78)</f>
        <v>0</v>
      </c>
      <c r="J78" s="7">
        <f t="shared" si="5"/>
        <v>25</v>
      </c>
    </row>
    <row r="79" spans="1:10" x14ac:dyDescent="0.3">
      <c r="A79" s="6">
        <v>43970</v>
      </c>
      <c r="B79" s="7">
        <f>COUNTIFS(STATUS!$Q:$Q,B$1,STATUS!$D:$D,$A79)</f>
        <v>5</v>
      </c>
      <c r="C79" s="7">
        <f>COUNTIFS(STATUS!$Q:$Q,C$1,STATUS!$D:$D,$A79)</f>
        <v>5</v>
      </c>
      <c r="D79" s="7">
        <f>COUNTIFS(STATUS!$Q:$Q,D$1,STATUS!$D:$D,$A79)</f>
        <v>7</v>
      </c>
      <c r="E79" s="7">
        <f>COUNTIFS(STATUS!$Q:$Q,E$1,STATUS!$D:$D,$A79)</f>
        <v>5</v>
      </c>
      <c r="F79" s="7">
        <f>COUNTIFS(STATUS!$Q:$Q,F$1,STATUS!$D:$D,$A79)</f>
        <v>0</v>
      </c>
      <c r="G79" s="7">
        <f>COUNTIFS(STATUS!$Q:$Q,G$1,STATUS!$D:$D,$A79)</f>
        <v>4</v>
      </c>
      <c r="H79" s="7">
        <f>COUNTIFS(STATUS!$Q:$Q,H$1,STATUS!$D:$D,$A79)</f>
        <v>0</v>
      </c>
      <c r="I79" s="7">
        <f>COUNTIFS(STATUS!$Q:$Q,I$1,STATUS!$D:$D,$A79)</f>
        <v>0</v>
      </c>
      <c r="J79" s="7">
        <f t="shared" si="5"/>
        <v>26</v>
      </c>
    </row>
    <row r="80" spans="1:10" x14ac:dyDescent="0.3">
      <c r="A80" s="6">
        <v>43971</v>
      </c>
      <c r="B80" s="7">
        <f>COUNTIFS(STATUS!$Q:$Q,B$1,STATUS!$D:$D,$A80)</f>
        <v>6</v>
      </c>
      <c r="C80" s="7">
        <f>COUNTIFS(STATUS!$Q:$Q,C$1,STATUS!$D:$D,$A80)</f>
        <v>5</v>
      </c>
      <c r="D80" s="7">
        <f>COUNTIFS(STATUS!$Q:$Q,D$1,STATUS!$D:$D,$A80)</f>
        <v>5</v>
      </c>
      <c r="E80" s="7">
        <f>COUNTIFS(STATUS!$Q:$Q,E$1,STATUS!$D:$D,$A80)</f>
        <v>3</v>
      </c>
      <c r="F80" s="7">
        <f>COUNTIFS(STATUS!$Q:$Q,F$1,STATUS!$D:$D,$A80)</f>
        <v>0</v>
      </c>
      <c r="G80" s="7">
        <f>COUNTIFS(STATUS!$Q:$Q,G$1,STATUS!$D:$D,$A80)</f>
        <v>4</v>
      </c>
      <c r="H80" s="7">
        <f>COUNTIFS(STATUS!$Q:$Q,H$1,STATUS!$D:$D,$A80)</f>
        <v>0</v>
      </c>
      <c r="I80" s="7">
        <f>COUNTIFS(STATUS!$Q:$Q,I$1,STATUS!$D:$D,$A80)</f>
        <v>0</v>
      </c>
      <c r="J80" s="7">
        <f t="shared" si="5"/>
        <v>23</v>
      </c>
    </row>
    <row r="81" spans="1:10" x14ac:dyDescent="0.3">
      <c r="A81" s="6">
        <v>43972</v>
      </c>
      <c r="B81" s="7">
        <f>COUNTIFS(STATUS!$Q:$Q,B$1,STATUS!$D:$D,$A81)</f>
        <v>5</v>
      </c>
      <c r="C81" s="7">
        <f>COUNTIFS(STATUS!$Q:$Q,C$1,STATUS!$D:$D,$A81)</f>
        <v>5</v>
      </c>
      <c r="D81" s="7">
        <f>COUNTIFS(STATUS!$Q:$Q,D$1,STATUS!$D:$D,$A81)</f>
        <v>6</v>
      </c>
      <c r="E81" s="7">
        <f>COUNTIFS(STATUS!$Q:$Q,E$1,STATUS!$D:$D,$A81)</f>
        <v>4</v>
      </c>
      <c r="F81" s="7">
        <f>COUNTIFS(STATUS!$Q:$Q,F$1,STATUS!$D:$D,$A81)</f>
        <v>0</v>
      </c>
      <c r="G81" s="7">
        <f>COUNTIFS(STATUS!$Q:$Q,G$1,STATUS!$D:$D,$A81)</f>
        <v>2</v>
      </c>
      <c r="H81" s="7">
        <f>COUNTIFS(STATUS!$Q:$Q,H$1,STATUS!$D:$D,$A81)</f>
        <v>0</v>
      </c>
      <c r="I81" s="7">
        <f>COUNTIFS(STATUS!$Q:$Q,I$1,STATUS!$D:$D,$A81)</f>
        <v>0</v>
      </c>
      <c r="J81" s="7">
        <f t="shared" si="5"/>
        <v>22</v>
      </c>
    </row>
    <row r="82" spans="1:10" x14ac:dyDescent="0.3">
      <c r="A82" s="6">
        <v>43973</v>
      </c>
      <c r="B82" s="7">
        <f>COUNTIFS(STATUS!$Q:$Q,B$1,STATUS!$D:$D,$A82)</f>
        <v>5</v>
      </c>
      <c r="C82" s="7">
        <f>COUNTIFS(STATUS!$Q:$Q,C$1,STATUS!$D:$D,$A82)</f>
        <v>4</v>
      </c>
      <c r="D82" s="7">
        <f>COUNTIFS(STATUS!$Q:$Q,D$1,STATUS!$D:$D,$A82)</f>
        <v>4</v>
      </c>
      <c r="E82" s="7">
        <f>COUNTIFS(STATUS!$Q:$Q,E$1,STATUS!$D:$D,$A82)</f>
        <v>4</v>
      </c>
      <c r="F82" s="7">
        <f>COUNTIFS(STATUS!$Q:$Q,F$1,STATUS!$D:$D,$A82)</f>
        <v>0</v>
      </c>
      <c r="G82" s="7">
        <f>COUNTIFS(STATUS!$Q:$Q,G$1,STATUS!$D:$D,$A82)</f>
        <v>3</v>
      </c>
      <c r="H82" s="7">
        <f>COUNTIFS(STATUS!$Q:$Q,H$1,STATUS!$D:$D,$A82)</f>
        <v>0</v>
      </c>
      <c r="I82" s="7">
        <f>COUNTIFS(STATUS!$Q:$Q,I$1,STATUS!$D:$D,$A82)</f>
        <v>0</v>
      </c>
      <c r="J82" s="7">
        <f t="shared" si="5"/>
        <v>20</v>
      </c>
    </row>
    <row r="83" spans="1:10" x14ac:dyDescent="0.3">
      <c r="A83" s="6">
        <v>43976</v>
      </c>
      <c r="B83" s="7">
        <f>COUNTIFS(STATUS!$Q:$Q,B$1,STATUS!$D:$D,$A83)</f>
        <v>6</v>
      </c>
      <c r="C83" s="7">
        <f>COUNTIFS(STATUS!$Q:$Q,C$1,STATUS!$D:$D,$A83)</f>
        <v>3</v>
      </c>
      <c r="D83" s="7">
        <f>COUNTIFS(STATUS!$Q:$Q,D$1,STATUS!$D:$D,$A83)</f>
        <v>3</v>
      </c>
      <c r="E83" s="7">
        <f>COUNTIFS(STATUS!$Q:$Q,E$1,STATUS!$D:$D,$A83)</f>
        <v>1</v>
      </c>
      <c r="F83" s="7">
        <f>COUNTIFS(STATUS!$Q:$Q,F$1,STATUS!$D:$D,$A83)</f>
        <v>0</v>
      </c>
      <c r="G83" s="7">
        <f>COUNTIFS(STATUS!$Q:$Q,G$1,STATUS!$D:$D,$A83)</f>
        <v>6</v>
      </c>
      <c r="H83" s="7">
        <f>COUNTIFS(STATUS!$Q:$Q,H$1,STATUS!$D:$D,$A83)</f>
        <v>0</v>
      </c>
      <c r="I83" s="7">
        <f>COUNTIFS(STATUS!$Q:$Q,I$1,STATUS!$D:$D,$A83)</f>
        <v>0</v>
      </c>
      <c r="J83" s="7">
        <f t="shared" si="5"/>
        <v>19</v>
      </c>
    </row>
    <row r="84" spans="1:10" x14ac:dyDescent="0.3">
      <c r="A84" s="6">
        <v>43977</v>
      </c>
      <c r="B84" s="7">
        <f>COUNTIFS(STATUS!$Q:$Q,B$1,STATUS!$D:$D,$A84)</f>
        <v>2</v>
      </c>
      <c r="C84" s="7">
        <f>COUNTIFS(STATUS!$Q:$Q,C$1,STATUS!$D:$D,$A84)</f>
        <v>3</v>
      </c>
      <c r="D84" s="7">
        <f>COUNTIFS(STATUS!$Q:$Q,D$1,STATUS!$D:$D,$A84)</f>
        <v>3</v>
      </c>
      <c r="E84" s="7">
        <f>COUNTIFS(STATUS!$Q:$Q,E$1,STATUS!$D:$D,$A84)</f>
        <v>5</v>
      </c>
      <c r="F84" s="7">
        <f>COUNTIFS(STATUS!$Q:$Q,F$1,STATUS!$D:$D,$A84)</f>
        <v>0</v>
      </c>
      <c r="G84" s="7">
        <f>COUNTIFS(STATUS!$Q:$Q,G$1,STATUS!$D:$D,$A84)</f>
        <v>2</v>
      </c>
      <c r="H84" s="7">
        <f>COUNTIFS(STATUS!$Q:$Q,H$1,STATUS!$D:$D,$A84)</f>
        <v>0</v>
      </c>
      <c r="I84" s="7">
        <f>COUNTIFS(STATUS!$Q:$Q,I$1,STATUS!$D:$D,$A84)</f>
        <v>0</v>
      </c>
      <c r="J84" s="7">
        <f t="shared" si="5"/>
        <v>15</v>
      </c>
    </row>
    <row r="85" spans="1:10" x14ac:dyDescent="0.3">
      <c r="A85" s="6">
        <v>43978</v>
      </c>
      <c r="B85" s="7">
        <f>COUNTIFS(STATUS!$Q:$Q,B$1,STATUS!$D:$D,$A85)</f>
        <v>17</v>
      </c>
      <c r="C85" s="7">
        <f>COUNTIFS(STATUS!$Q:$Q,C$1,STATUS!$D:$D,$A85)</f>
        <v>11</v>
      </c>
      <c r="D85" s="7">
        <f>COUNTIFS(STATUS!$Q:$Q,D$1,STATUS!$D:$D,$A85)</f>
        <v>12</v>
      </c>
      <c r="E85" s="7">
        <f>COUNTIFS(STATUS!$Q:$Q,E$1,STATUS!$D:$D,$A85)</f>
        <v>4</v>
      </c>
      <c r="F85" s="7">
        <f>COUNTIFS(STATUS!$Q:$Q,F$1,STATUS!$D:$D,$A85)</f>
        <v>0</v>
      </c>
      <c r="G85" s="7">
        <f>COUNTIFS(STATUS!$Q:$Q,G$1,STATUS!$D:$D,$A85)</f>
        <v>0</v>
      </c>
      <c r="H85" s="7">
        <f>COUNTIFS(STATUS!$Q:$Q,H$1,STATUS!$D:$D,$A85)</f>
        <v>0</v>
      </c>
      <c r="I85" s="7">
        <f>COUNTIFS(STATUS!$Q:$Q,I$1,STATUS!$D:$D,$A85)</f>
        <v>0</v>
      </c>
      <c r="J85" s="7">
        <f t="shared" si="5"/>
        <v>44</v>
      </c>
    </row>
    <row r="86" spans="1:10" x14ac:dyDescent="0.3">
      <c r="A86" s="6">
        <v>43979</v>
      </c>
      <c r="B86" s="7">
        <f>COUNTIFS(STATUS!$Q:$Q,B$1,STATUS!$D:$D,$A86)</f>
        <v>0</v>
      </c>
      <c r="C86" s="7">
        <f>COUNTIFS(STATUS!$Q:$Q,C$1,STATUS!$D:$D,$A86)</f>
        <v>0</v>
      </c>
      <c r="D86" s="7">
        <f>COUNTIFS(STATUS!$Q:$Q,D$1,STATUS!$D:$D,$A86)</f>
        <v>1</v>
      </c>
      <c r="E86" s="7">
        <f>COUNTIFS(STATUS!$Q:$Q,E$1,STATUS!$D:$D,$A86)</f>
        <v>3</v>
      </c>
      <c r="F86" s="7">
        <f>COUNTIFS(STATUS!$Q:$Q,F$1,STATUS!$D:$D,$A86)</f>
        <v>0</v>
      </c>
      <c r="G86" s="7">
        <f>COUNTIFS(STATUS!$Q:$Q,G$1,STATUS!$D:$D,$A86)</f>
        <v>0</v>
      </c>
      <c r="H86" s="7">
        <f>COUNTIFS(STATUS!$Q:$Q,H$1,STATUS!$D:$D,$A86)</f>
        <v>0</v>
      </c>
      <c r="I86" s="7">
        <f>COUNTIFS(STATUS!$Q:$Q,I$1,STATUS!$D:$D,$A86)</f>
        <v>0</v>
      </c>
      <c r="J86" s="7">
        <f t="shared" ref="J86:J92" si="6">SUM(B86:I86)</f>
        <v>4</v>
      </c>
    </row>
    <row r="87" spans="1:10" x14ac:dyDescent="0.3">
      <c r="A87" s="6">
        <v>43980</v>
      </c>
      <c r="B87" s="7">
        <f>COUNTIFS(STATUS!$Q:$Q,B$1,STATUS!$D:$D,$A87)</f>
        <v>0</v>
      </c>
      <c r="C87" s="7">
        <f>COUNTIFS(STATUS!$Q:$Q,C$1,STATUS!$D:$D,$A87)</f>
        <v>0</v>
      </c>
      <c r="D87" s="7">
        <f>COUNTIFS(STATUS!$Q:$Q,D$1,STATUS!$D:$D,$A87)</f>
        <v>1</v>
      </c>
      <c r="E87" s="7">
        <f>COUNTIFS(STATUS!$Q:$Q,E$1,STATUS!$D:$D,$A87)</f>
        <v>0</v>
      </c>
      <c r="F87" s="7">
        <f>COUNTIFS(STATUS!$Q:$Q,F$1,STATUS!$D:$D,$A87)</f>
        <v>0</v>
      </c>
      <c r="G87" s="7">
        <f>COUNTIFS(STATUS!$Q:$Q,G$1,STATUS!$D:$D,$A87)</f>
        <v>0</v>
      </c>
      <c r="H87" s="7">
        <f>COUNTIFS(STATUS!$Q:$Q,H$1,STATUS!$D:$D,$A87)</f>
        <v>0</v>
      </c>
      <c r="I87" s="7">
        <f>COUNTIFS(STATUS!$Q:$Q,I$1,STATUS!$D:$D,$A87)</f>
        <v>0</v>
      </c>
      <c r="J87" s="7">
        <f t="shared" si="6"/>
        <v>1</v>
      </c>
    </row>
    <row r="88" spans="1:10" x14ac:dyDescent="0.3">
      <c r="A88" s="6">
        <v>43981</v>
      </c>
      <c r="B88" s="7">
        <f>COUNTIFS(STATUS!$Q:$Q,B$1,STATUS!$D:$D,$A88)</f>
        <v>0</v>
      </c>
      <c r="C88" s="7">
        <f>COUNTIFS(STATUS!$Q:$Q,C$1,STATUS!$D:$D,$A88)</f>
        <v>0</v>
      </c>
      <c r="D88" s="7">
        <f>COUNTIFS(STATUS!$Q:$Q,D$1,STATUS!$D:$D,$A88)</f>
        <v>0</v>
      </c>
      <c r="E88" s="7">
        <f>COUNTIFS(STATUS!$Q:$Q,E$1,STATUS!$D:$D,$A88)</f>
        <v>0</v>
      </c>
      <c r="F88" s="7">
        <f>COUNTIFS(STATUS!$Q:$Q,F$1,STATUS!$D:$D,$A88)</f>
        <v>0</v>
      </c>
      <c r="G88" s="7">
        <f>COUNTIFS(STATUS!$Q:$Q,G$1,STATUS!$D:$D,$A88)</f>
        <v>0</v>
      </c>
      <c r="H88" s="7">
        <f>COUNTIFS(STATUS!$Q:$Q,H$1,STATUS!$D:$D,$A88)</f>
        <v>0</v>
      </c>
      <c r="I88" s="7">
        <f>COUNTIFS(STATUS!$Q:$Q,I$1,STATUS!$D:$D,$A88)</f>
        <v>0</v>
      </c>
      <c r="J88" s="7">
        <f t="shared" si="6"/>
        <v>0</v>
      </c>
    </row>
    <row r="89" spans="1:10" x14ac:dyDescent="0.3">
      <c r="A89" s="6">
        <v>43982</v>
      </c>
      <c r="B89" s="7">
        <f>COUNTIFS(STATUS!$Q:$Q,B$1,STATUS!$D:$D,$A89)</f>
        <v>0</v>
      </c>
      <c r="C89" s="7">
        <f>COUNTIFS(STATUS!$Q:$Q,C$1,STATUS!$D:$D,$A89)</f>
        <v>0</v>
      </c>
      <c r="D89" s="7">
        <f>COUNTIFS(STATUS!$Q:$Q,D$1,STATUS!$D:$D,$A89)</f>
        <v>0</v>
      </c>
      <c r="E89" s="7">
        <f>COUNTIFS(STATUS!$Q:$Q,E$1,STATUS!$D:$D,$A89)</f>
        <v>0</v>
      </c>
      <c r="F89" s="7">
        <f>COUNTIFS(STATUS!$Q:$Q,F$1,STATUS!$D:$D,$A89)</f>
        <v>0</v>
      </c>
      <c r="G89" s="7">
        <f>COUNTIFS(STATUS!$Q:$Q,G$1,STATUS!$D:$D,$A89)</f>
        <v>0</v>
      </c>
      <c r="H89" s="7">
        <f>COUNTIFS(STATUS!$Q:$Q,H$1,STATUS!$D:$D,$A89)</f>
        <v>0</v>
      </c>
      <c r="I89" s="7">
        <f>COUNTIFS(STATUS!$Q:$Q,I$1,STATUS!$D:$D,$A89)</f>
        <v>0</v>
      </c>
      <c r="J89" s="7">
        <f t="shared" si="6"/>
        <v>0</v>
      </c>
    </row>
    <row r="90" spans="1:10" x14ac:dyDescent="0.3">
      <c r="A90" s="6">
        <v>43983</v>
      </c>
      <c r="B90" s="7">
        <f>COUNTIFS(STATUS!$Q:$Q,B$1,STATUS!$D:$D,$A90)</f>
        <v>15</v>
      </c>
      <c r="C90" s="7">
        <f>COUNTIFS(STATUS!$Q:$Q,C$1,STATUS!$D:$D,$A90)</f>
        <v>17</v>
      </c>
      <c r="D90" s="7">
        <f>COUNTIFS(STATUS!$Q:$Q,D$1,STATUS!$D:$D,$A90)</f>
        <v>21</v>
      </c>
      <c r="E90" s="7">
        <f>COUNTIFS(STATUS!$Q:$Q,E$1,STATUS!$D:$D,$A90)</f>
        <v>16</v>
      </c>
      <c r="F90" s="7">
        <f>COUNTIFS(STATUS!$Q:$Q,F$1,STATUS!$D:$D,$A90)</f>
        <v>0</v>
      </c>
      <c r="G90" s="7">
        <f>COUNTIFS(STATUS!$Q:$Q,G$1,STATUS!$D:$D,$A90)</f>
        <v>15</v>
      </c>
      <c r="H90" s="7">
        <f>COUNTIFS(STATUS!$Q:$Q,H$1,STATUS!$D:$D,$A90)</f>
        <v>0</v>
      </c>
      <c r="I90" s="7">
        <f>COUNTIFS(STATUS!$Q:$Q,I$1,STATUS!$D:$D,$A90)</f>
        <v>0</v>
      </c>
      <c r="J90" s="7">
        <f t="shared" si="6"/>
        <v>84</v>
      </c>
    </row>
    <row r="91" spans="1:10" x14ac:dyDescent="0.3">
      <c r="A91" s="6">
        <v>43984</v>
      </c>
      <c r="B91" s="7">
        <f>COUNTIFS(STATUS!$Q:$Q,B$1,STATUS!$D:$D,$A91)</f>
        <v>5</v>
      </c>
      <c r="C91" s="7">
        <f>COUNTIFS(STATUS!$Q:$Q,C$1,STATUS!$D:$D,$A91)</f>
        <v>2</v>
      </c>
      <c r="D91" s="7">
        <f>COUNTIFS(STATUS!$Q:$Q,D$1,STATUS!$D:$D,$A91)</f>
        <v>1</v>
      </c>
      <c r="E91" s="7">
        <f>COUNTIFS(STATUS!$Q:$Q,E$1,STATUS!$D:$D,$A91)</f>
        <v>4</v>
      </c>
      <c r="F91" s="7">
        <f>COUNTIFS(STATUS!$Q:$Q,F$1,STATUS!$D:$D,$A91)</f>
        <v>0</v>
      </c>
      <c r="G91" s="7">
        <f>COUNTIFS(STATUS!$Q:$Q,G$1,STATUS!$D:$D,$A91)</f>
        <v>3</v>
      </c>
      <c r="H91" s="7">
        <f>COUNTIFS(STATUS!$Q:$Q,H$1,STATUS!$D:$D,$A91)</f>
        <v>0</v>
      </c>
      <c r="I91" s="7">
        <f>COUNTIFS(STATUS!$Q:$Q,I$1,STATUS!$D:$D,$A91)</f>
        <v>0</v>
      </c>
      <c r="J91" s="7">
        <f t="shared" si="6"/>
        <v>15</v>
      </c>
    </row>
    <row r="92" spans="1:10" x14ac:dyDescent="0.3">
      <c r="A92" s="6">
        <v>43985</v>
      </c>
      <c r="B92" s="7">
        <f>COUNTIFS(STATUS!$Q:$Q,B$1,STATUS!$D:$D,$A92)</f>
        <v>5</v>
      </c>
      <c r="C92" s="7">
        <f>COUNTIFS(STATUS!$Q:$Q,C$1,STATUS!$D:$D,$A92)</f>
        <v>1</v>
      </c>
      <c r="D92" s="7">
        <f>COUNTIFS(STATUS!$Q:$Q,D$1,STATUS!$D:$D,$A92)</f>
        <v>2</v>
      </c>
      <c r="E92" s="7">
        <f>COUNTIFS(STATUS!$Q:$Q,E$1,STATUS!$D:$D,$A92)</f>
        <v>1</v>
      </c>
      <c r="F92" s="7">
        <f>COUNTIFS(STATUS!$Q:$Q,F$1,STATUS!$D:$D,$A92)</f>
        <v>0</v>
      </c>
      <c r="G92" s="7">
        <f>COUNTIFS(STATUS!$Q:$Q,G$1,STATUS!$D:$D,$A92)</f>
        <v>2</v>
      </c>
      <c r="H92" s="7">
        <f>COUNTIFS(STATUS!$Q:$Q,H$1,STATUS!$D:$D,$A92)</f>
        <v>0</v>
      </c>
      <c r="I92" s="7">
        <f>COUNTIFS(STATUS!$Q:$Q,I$1,STATUS!$D:$D,$A92)</f>
        <v>0</v>
      </c>
      <c r="J92" s="7">
        <f t="shared" si="6"/>
        <v>11</v>
      </c>
    </row>
    <row r="93" spans="1:10" x14ac:dyDescent="0.3">
      <c r="A93" s="6">
        <v>43986</v>
      </c>
      <c r="B93" s="7">
        <f>COUNTIFS(STATUS!$Q:$Q,B$1,STATUS!$D:$D,$A93)</f>
        <v>3</v>
      </c>
      <c r="C93" s="7">
        <f>COUNTIFS(STATUS!$Q:$Q,C$1,STATUS!$D:$D,$A93)</f>
        <v>3</v>
      </c>
      <c r="D93" s="7">
        <f>COUNTIFS(STATUS!$Q:$Q,D$1,STATUS!$D:$D,$A93)</f>
        <v>4</v>
      </c>
      <c r="E93" s="7">
        <f>COUNTIFS(STATUS!$Q:$Q,E$1,STATUS!$D:$D,$A93)</f>
        <v>3</v>
      </c>
      <c r="F93" s="7">
        <f>COUNTIFS(STATUS!$Q:$Q,F$1,STATUS!$D:$D,$A93)</f>
        <v>0</v>
      </c>
      <c r="G93" s="7">
        <f>COUNTIFS(STATUS!$Q:$Q,G$1,STATUS!$D:$D,$A93)</f>
        <v>5</v>
      </c>
      <c r="H93" s="7">
        <f>COUNTIFS(STATUS!$Q:$Q,H$1,STATUS!$D:$D,$A93)</f>
        <v>0</v>
      </c>
      <c r="I93" s="7">
        <f>COUNTIFS(STATUS!$Q:$Q,I$1,STATUS!$D:$D,$A93)</f>
        <v>0</v>
      </c>
      <c r="J93" s="7">
        <f t="shared" ref="J93:J156" si="7">SUM(B93:I93)</f>
        <v>18</v>
      </c>
    </row>
    <row r="94" spans="1:10" x14ac:dyDescent="0.3">
      <c r="A94" s="6">
        <v>43987</v>
      </c>
      <c r="B94" s="7">
        <f>COUNTIFS(STATUS!$Q:$Q,B$1,STATUS!$D:$D,$A94)</f>
        <v>3</v>
      </c>
      <c r="C94" s="7">
        <f>COUNTIFS(STATUS!$Q:$Q,C$1,STATUS!$D:$D,$A94)</f>
        <v>3</v>
      </c>
      <c r="D94" s="7">
        <f>COUNTIFS(STATUS!$Q:$Q,D$1,STATUS!$D:$D,$A94)</f>
        <v>3</v>
      </c>
      <c r="E94" s="7">
        <f>COUNTIFS(STATUS!$Q:$Q,E$1,STATUS!$D:$D,$A94)</f>
        <v>2</v>
      </c>
      <c r="F94" s="7">
        <f>COUNTIFS(STATUS!$Q:$Q,F$1,STATUS!$D:$D,$A94)</f>
        <v>0</v>
      </c>
      <c r="G94" s="7">
        <f>COUNTIFS(STATUS!$Q:$Q,G$1,STATUS!$D:$D,$A94)</f>
        <v>3</v>
      </c>
      <c r="H94" s="7">
        <f>COUNTIFS(STATUS!$Q:$Q,H$1,STATUS!$D:$D,$A94)</f>
        <v>0</v>
      </c>
      <c r="I94" s="7">
        <f>COUNTIFS(STATUS!$Q:$Q,I$1,STATUS!$D:$D,$A94)</f>
        <v>0</v>
      </c>
      <c r="J94" s="7">
        <f t="shared" si="7"/>
        <v>14</v>
      </c>
    </row>
    <row r="95" spans="1:10" x14ac:dyDescent="0.3">
      <c r="A95" s="6">
        <v>43988</v>
      </c>
      <c r="B95" s="7">
        <f>COUNTIFS(STATUS!$Q:$Q,B$1,STATUS!$D:$D,$A95)</f>
        <v>0</v>
      </c>
      <c r="C95" s="7">
        <f>COUNTIFS(STATUS!$Q:$Q,C$1,STATUS!$D:$D,$A95)</f>
        <v>0</v>
      </c>
      <c r="D95" s="7">
        <f>COUNTIFS(STATUS!$Q:$Q,D$1,STATUS!$D:$D,$A95)</f>
        <v>0</v>
      </c>
      <c r="E95" s="7">
        <f>COUNTIFS(STATUS!$Q:$Q,E$1,STATUS!$D:$D,$A95)</f>
        <v>0</v>
      </c>
      <c r="F95" s="7">
        <f>COUNTIFS(STATUS!$Q:$Q,F$1,STATUS!$D:$D,$A95)</f>
        <v>0</v>
      </c>
      <c r="G95" s="7">
        <f>COUNTIFS(STATUS!$Q:$Q,G$1,STATUS!$D:$D,$A95)</f>
        <v>0</v>
      </c>
      <c r="H95" s="7">
        <f>COUNTIFS(STATUS!$Q:$Q,H$1,STATUS!$D:$D,$A95)</f>
        <v>0</v>
      </c>
      <c r="I95" s="7">
        <f>COUNTIFS(STATUS!$Q:$Q,I$1,STATUS!$D:$D,$A95)</f>
        <v>0</v>
      </c>
      <c r="J95" s="7">
        <f t="shared" si="7"/>
        <v>0</v>
      </c>
    </row>
    <row r="96" spans="1:10" x14ac:dyDescent="0.3">
      <c r="A96" s="6">
        <v>43989</v>
      </c>
      <c r="B96" s="7">
        <f>COUNTIFS(STATUS!$Q:$Q,B$1,STATUS!$D:$D,$A96)</f>
        <v>0</v>
      </c>
      <c r="C96" s="7">
        <f>COUNTIFS(STATUS!$Q:$Q,C$1,STATUS!$D:$D,$A96)</f>
        <v>0</v>
      </c>
      <c r="D96" s="7">
        <f>COUNTIFS(STATUS!$Q:$Q,D$1,STATUS!$D:$D,$A96)</f>
        <v>0</v>
      </c>
      <c r="E96" s="7">
        <f>COUNTIFS(STATUS!$Q:$Q,E$1,STATUS!$D:$D,$A96)</f>
        <v>0</v>
      </c>
      <c r="F96" s="7">
        <f>COUNTIFS(STATUS!$Q:$Q,F$1,STATUS!$D:$D,$A96)</f>
        <v>0</v>
      </c>
      <c r="G96" s="7">
        <f>COUNTIFS(STATUS!$Q:$Q,G$1,STATUS!$D:$D,$A96)</f>
        <v>0</v>
      </c>
      <c r="H96" s="7">
        <f>COUNTIFS(STATUS!$Q:$Q,H$1,STATUS!$D:$D,$A96)</f>
        <v>0</v>
      </c>
      <c r="I96" s="7">
        <f>COUNTIFS(STATUS!$Q:$Q,I$1,STATUS!$D:$D,$A96)</f>
        <v>0</v>
      </c>
      <c r="J96" s="7">
        <f t="shared" si="7"/>
        <v>0</v>
      </c>
    </row>
    <row r="97" spans="1:10" x14ac:dyDescent="0.3">
      <c r="A97" s="6">
        <v>43990</v>
      </c>
      <c r="B97" s="7">
        <f>COUNTIFS(STATUS!$Q:$Q,B$1,STATUS!$D:$D,$A97)</f>
        <v>1</v>
      </c>
      <c r="C97" s="7">
        <f>COUNTIFS(STATUS!$Q:$Q,C$1,STATUS!$D:$D,$A97)</f>
        <v>3</v>
      </c>
      <c r="D97" s="7">
        <f>COUNTIFS(STATUS!$Q:$Q,D$1,STATUS!$D:$D,$A97)</f>
        <v>7</v>
      </c>
      <c r="E97" s="7">
        <f>COUNTIFS(STATUS!$Q:$Q,E$1,STATUS!$D:$D,$A97)</f>
        <v>5</v>
      </c>
      <c r="F97" s="7">
        <f>COUNTIFS(STATUS!$Q:$Q,F$1,STATUS!$D:$D,$A97)</f>
        <v>0</v>
      </c>
      <c r="G97" s="7">
        <f>COUNTIFS(STATUS!$Q:$Q,G$1,STATUS!$D:$D,$A97)</f>
        <v>5</v>
      </c>
      <c r="H97" s="7">
        <f>COUNTIFS(STATUS!$Q:$Q,H$1,STATUS!$D:$D,$A97)</f>
        <v>0</v>
      </c>
      <c r="I97" s="7">
        <f>COUNTIFS(STATUS!$Q:$Q,I$1,STATUS!$D:$D,$A97)</f>
        <v>0</v>
      </c>
      <c r="J97" s="7">
        <f t="shared" si="7"/>
        <v>21</v>
      </c>
    </row>
    <row r="98" spans="1:10" x14ac:dyDescent="0.3">
      <c r="A98" s="6">
        <v>43991</v>
      </c>
      <c r="B98" s="7">
        <f>COUNTIFS(STATUS!$Q:$Q,B$1,STATUS!$D:$D,$A98)</f>
        <v>5</v>
      </c>
      <c r="C98" s="7">
        <f>COUNTIFS(STATUS!$Q:$Q,C$1,STATUS!$D:$D,$A98)</f>
        <v>5</v>
      </c>
      <c r="D98" s="7">
        <f>COUNTIFS(STATUS!$Q:$Q,D$1,STATUS!$D:$D,$A98)</f>
        <v>3</v>
      </c>
      <c r="E98" s="7">
        <f>COUNTIFS(STATUS!$Q:$Q,E$1,STATUS!$D:$D,$A98)</f>
        <v>3</v>
      </c>
      <c r="F98" s="7">
        <f>COUNTIFS(STATUS!$Q:$Q,F$1,STATUS!$D:$D,$A98)</f>
        <v>0</v>
      </c>
      <c r="G98" s="7">
        <f>COUNTIFS(STATUS!$Q:$Q,G$1,STATUS!$D:$D,$A98)</f>
        <v>2</v>
      </c>
      <c r="H98" s="7">
        <f>COUNTIFS(STATUS!$Q:$Q,H$1,STATUS!$D:$D,$A98)</f>
        <v>0</v>
      </c>
      <c r="I98" s="7">
        <f>COUNTIFS(STATUS!$Q:$Q,I$1,STATUS!$D:$D,$A98)</f>
        <v>0</v>
      </c>
      <c r="J98" s="7">
        <f t="shared" si="7"/>
        <v>18</v>
      </c>
    </row>
    <row r="99" spans="1:10" x14ac:dyDescent="0.3">
      <c r="A99" s="6">
        <v>43992</v>
      </c>
      <c r="B99" s="7">
        <f>COUNTIFS(STATUS!$Q:$Q,B$1,STATUS!$D:$D,$A99)</f>
        <v>5</v>
      </c>
      <c r="C99" s="7">
        <f>COUNTIFS(STATUS!$Q:$Q,C$1,STATUS!$D:$D,$A99)</f>
        <v>3</v>
      </c>
      <c r="D99" s="7">
        <f>COUNTIFS(STATUS!$Q:$Q,D$1,STATUS!$D:$D,$A99)</f>
        <v>3</v>
      </c>
      <c r="E99" s="7">
        <f>COUNTIFS(STATUS!$Q:$Q,E$1,STATUS!$D:$D,$A99)</f>
        <v>3</v>
      </c>
      <c r="F99" s="7">
        <f>COUNTIFS(STATUS!$Q:$Q,F$1,STATUS!$D:$D,$A99)</f>
        <v>0</v>
      </c>
      <c r="G99" s="7">
        <f>COUNTIFS(STATUS!$Q:$Q,G$1,STATUS!$D:$D,$A99)</f>
        <v>4</v>
      </c>
      <c r="H99" s="7">
        <f>COUNTIFS(STATUS!$Q:$Q,H$1,STATUS!$D:$D,$A99)</f>
        <v>0</v>
      </c>
      <c r="I99" s="7">
        <f>COUNTIFS(STATUS!$Q:$Q,I$1,STATUS!$D:$D,$A99)</f>
        <v>0</v>
      </c>
      <c r="J99" s="7">
        <f t="shared" si="7"/>
        <v>18</v>
      </c>
    </row>
    <row r="100" spans="1:10" x14ac:dyDescent="0.3">
      <c r="A100" s="6">
        <v>43993</v>
      </c>
      <c r="B100" s="7">
        <f>COUNTIFS(STATUS!$Q:$Q,B$1,STATUS!$D:$D,$A100)</f>
        <v>4</v>
      </c>
      <c r="C100" s="7">
        <f>COUNTIFS(STATUS!$Q:$Q,C$1,STATUS!$D:$D,$A100)</f>
        <v>4</v>
      </c>
      <c r="D100" s="7">
        <f>COUNTIFS(STATUS!$Q:$Q,D$1,STATUS!$D:$D,$A100)</f>
        <v>2</v>
      </c>
      <c r="E100" s="7">
        <f>COUNTIFS(STATUS!$Q:$Q,E$1,STATUS!$D:$D,$A100)</f>
        <v>2</v>
      </c>
      <c r="F100" s="7">
        <f>COUNTIFS(STATUS!$Q:$Q,F$1,STATUS!$D:$D,$A100)</f>
        <v>0</v>
      </c>
      <c r="G100" s="7">
        <f>COUNTIFS(STATUS!$Q:$Q,G$1,STATUS!$D:$D,$A100)</f>
        <v>3</v>
      </c>
      <c r="H100" s="7">
        <f>COUNTIFS(STATUS!$Q:$Q,H$1,STATUS!$D:$D,$A100)</f>
        <v>0</v>
      </c>
      <c r="I100" s="7">
        <f>COUNTIFS(STATUS!$Q:$Q,I$1,STATUS!$D:$D,$A100)</f>
        <v>0</v>
      </c>
      <c r="J100" s="7">
        <f t="shared" si="7"/>
        <v>15</v>
      </c>
    </row>
    <row r="101" spans="1:10" x14ac:dyDescent="0.3">
      <c r="A101" s="6">
        <v>43994</v>
      </c>
      <c r="B101" s="7">
        <f>COUNTIFS(STATUS!$Q:$Q,B$1,STATUS!$D:$D,$A101)</f>
        <v>0</v>
      </c>
      <c r="C101" s="7">
        <f>COUNTIFS(STATUS!$Q:$Q,C$1,STATUS!$D:$D,$A101)</f>
        <v>0</v>
      </c>
      <c r="D101" s="7">
        <f>COUNTIFS(STATUS!$Q:$Q,D$1,STATUS!$D:$D,$A101)</f>
        <v>0</v>
      </c>
      <c r="E101" s="7">
        <f>COUNTIFS(STATUS!$Q:$Q,E$1,STATUS!$D:$D,$A101)</f>
        <v>0</v>
      </c>
      <c r="F101" s="7">
        <f>COUNTIFS(STATUS!$Q:$Q,F$1,STATUS!$D:$D,$A101)</f>
        <v>0</v>
      </c>
      <c r="G101" s="7">
        <f>COUNTIFS(STATUS!$Q:$Q,G$1,STATUS!$D:$D,$A101)</f>
        <v>0</v>
      </c>
      <c r="H101" s="7">
        <f>COUNTIFS(STATUS!$Q:$Q,H$1,STATUS!$D:$D,$A101)</f>
        <v>0</v>
      </c>
      <c r="I101" s="7">
        <f>COUNTIFS(STATUS!$Q:$Q,I$1,STATUS!$D:$D,$A101)</f>
        <v>0</v>
      </c>
      <c r="J101" s="7">
        <f t="shared" si="7"/>
        <v>0</v>
      </c>
    </row>
    <row r="102" spans="1:10" x14ac:dyDescent="0.3">
      <c r="A102" s="6">
        <v>43995</v>
      </c>
      <c r="B102" s="7">
        <f>COUNTIFS(STATUS!$Q:$Q,B$1,STATUS!$D:$D,$A102)</f>
        <v>0</v>
      </c>
      <c r="C102" s="7">
        <f>COUNTIFS(STATUS!$Q:$Q,C$1,STATUS!$D:$D,$A102)</f>
        <v>0</v>
      </c>
      <c r="D102" s="7">
        <f>COUNTIFS(STATUS!$Q:$Q,D$1,STATUS!$D:$D,$A102)</f>
        <v>0</v>
      </c>
      <c r="E102" s="7">
        <f>COUNTIFS(STATUS!$Q:$Q,E$1,STATUS!$D:$D,$A102)</f>
        <v>0</v>
      </c>
      <c r="F102" s="7">
        <f>COUNTIFS(STATUS!$Q:$Q,F$1,STATUS!$D:$D,$A102)</f>
        <v>0</v>
      </c>
      <c r="G102" s="7">
        <f>COUNTIFS(STATUS!$Q:$Q,G$1,STATUS!$D:$D,$A102)</f>
        <v>0</v>
      </c>
      <c r="H102" s="7">
        <f>COUNTIFS(STATUS!$Q:$Q,H$1,STATUS!$D:$D,$A102)</f>
        <v>0</v>
      </c>
      <c r="I102" s="7">
        <f>COUNTIFS(STATUS!$Q:$Q,I$1,STATUS!$D:$D,$A102)</f>
        <v>0</v>
      </c>
      <c r="J102" s="7">
        <f t="shared" si="7"/>
        <v>0</v>
      </c>
    </row>
    <row r="103" spans="1:10" x14ac:dyDescent="0.3">
      <c r="A103" s="6">
        <v>43996</v>
      </c>
      <c r="B103" s="7">
        <f>COUNTIFS(STATUS!$Q:$Q,B$1,STATUS!$D:$D,$A103)</f>
        <v>0</v>
      </c>
      <c r="C103" s="7">
        <f>COUNTIFS(STATUS!$Q:$Q,C$1,STATUS!$D:$D,$A103)</f>
        <v>0</v>
      </c>
      <c r="D103" s="7">
        <f>COUNTIFS(STATUS!$Q:$Q,D$1,STATUS!$D:$D,$A103)</f>
        <v>0</v>
      </c>
      <c r="E103" s="7">
        <f>COUNTIFS(STATUS!$Q:$Q,E$1,STATUS!$D:$D,$A103)</f>
        <v>0</v>
      </c>
      <c r="F103" s="7">
        <f>COUNTIFS(STATUS!$Q:$Q,F$1,STATUS!$D:$D,$A103)</f>
        <v>0</v>
      </c>
      <c r="G103" s="7">
        <f>COUNTIFS(STATUS!$Q:$Q,G$1,STATUS!$D:$D,$A103)</f>
        <v>0</v>
      </c>
      <c r="H103" s="7">
        <f>COUNTIFS(STATUS!$Q:$Q,H$1,STATUS!$D:$D,$A103)</f>
        <v>0</v>
      </c>
      <c r="I103" s="7">
        <f>COUNTIFS(STATUS!$Q:$Q,I$1,STATUS!$D:$D,$A103)</f>
        <v>0</v>
      </c>
      <c r="J103" s="7">
        <f t="shared" si="7"/>
        <v>0</v>
      </c>
    </row>
    <row r="104" spans="1:10" x14ac:dyDescent="0.3">
      <c r="A104" s="6">
        <v>43997</v>
      </c>
      <c r="B104" s="7">
        <f>COUNTIFS(STATUS!$Q:$Q,B$1,STATUS!$D:$D,$A104)</f>
        <v>3</v>
      </c>
      <c r="C104" s="7">
        <f>COUNTIFS(STATUS!$Q:$Q,C$1,STATUS!$D:$D,$A104)</f>
        <v>2</v>
      </c>
      <c r="D104" s="7">
        <f>COUNTIFS(STATUS!$Q:$Q,D$1,STATUS!$D:$D,$A104)</f>
        <v>3</v>
      </c>
      <c r="E104" s="7">
        <f>COUNTIFS(STATUS!$Q:$Q,E$1,STATUS!$D:$D,$A104)</f>
        <v>3</v>
      </c>
      <c r="F104" s="7">
        <f>COUNTIFS(STATUS!$Q:$Q,F$1,STATUS!$D:$D,$A104)</f>
        <v>0</v>
      </c>
      <c r="G104" s="7">
        <f>COUNTIFS(STATUS!$Q:$Q,G$1,STATUS!$D:$D,$A104)</f>
        <v>3</v>
      </c>
      <c r="H104" s="7">
        <f>COUNTIFS(STATUS!$Q:$Q,H$1,STATUS!$D:$D,$A104)</f>
        <v>0</v>
      </c>
      <c r="I104" s="7">
        <f>COUNTIFS(STATUS!$Q:$Q,I$1,STATUS!$D:$D,$A104)</f>
        <v>0</v>
      </c>
      <c r="J104" s="7">
        <f t="shared" si="7"/>
        <v>14</v>
      </c>
    </row>
    <row r="105" spans="1:10" x14ac:dyDescent="0.3">
      <c r="A105" s="6">
        <v>43998</v>
      </c>
      <c r="B105" s="7">
        <f>COUNTIFS(STATUS!$Q:$Q,B$1,STATUS!$D:$D,$A105)</f>
        <v>37</v>
      </c>
      <c r="C105" s="7">
        <f>COUNTIFS(STATUS!$Q:$Q,C$1,STATUS!$D:$D,$A105)</f>
        <v>42</v>
      </c>
      <c r="D105" s="7">
        <f>COUNTIFS(STATUS!$Q:$Q,D$1,STATUS!$D:$D,$A105)</f>
        <v>41</v>
      </c>
      <c r="E105" s="7">
        <f>COUNTIFS(STATUS!$Q:$Q,E$1,STATUS!$D:$D,$A105)</f>
        <v>41</v>
      </c>
      <c r="F105" s="7">
        <f>COUNTIFS(STATUS!$Q:$Q,F$1,STATUS!$D:$D,$A105)</f>
        <v>0</v>
      </c>
      <c r="G105" s="7">
        <f>COUNTIFS(STATUS!$Q:$Q,G$1,STATUS!$D:$D,$A105)</f>
        <v>49</v>
      </c>
      <c r="H105" s="7">
        <f>COUNTIFS(STATUS!$Q:$Q,H$1,STATUS!$D:$D,$A105)</f>
        <v>0</v>
      </c>
      <c r="I105" s="7">
        <f>COUNTIFS(STATUS!$Q:$Q,I$1,STATUS!$D:$D,$A105)</f>
        <v>0</v>
      </c>
      <c r="J105" s="7">
        <f t="shared" si="7"/>
        <v>210</v>
      </c>
    </row>
    <row r="106" spans="1:10" x14ac:dyDescent="0.3">
      <c r="A106" s="6">
        <v>43999</v>
      </c>
      <c r="B106" s="7">
        <f>COUNTIFS(STATUS!$Q:$Q,B$1,STATUS!$D:$D,$A106)</f>
        <v>2</v>
      </c>
      <c r="C106" s="7">
        <f>COUNTIFS(STATUS!$Q:$Q,C$1,STATUS!$D:$D,$A106)</f>
        <v>3</v>
      </c>
      <c r="D106" s="7">
        <f>COUNTIFS(STATUS!$Q:$Q,D$1,STATUS!$D:$D,$A106)</f>
        <v>3</v>
      </c>
      <c r="E106" s="7">
        <f>COUNTIFS(STATUS!$Q:$Q,E$1,STATUS!$D:$D,$A106)</f>
        <v>1</v>
      </c>
      <c r="F106" s="7">
        <f>COUNTIFS(STATUS!$Q:$Q,F$1,STATUS!$D:$D,$A106)</f>
        <v>0</v>
      </c>
      <c r="G106" s="7">
        <f>COUNTIFS(STATUS!$Q:$Q,G$1,STATUS!$D:$D,$A106)</f>
        <v>4</v>
      </c>
      <c r="H106" s="7">
        <f>COUNTIFS(STATUS!$Q:$Q,H$1,STATUS!$D:$D,$A106)</f>
        <v>0</v>
      </c>
      <c r="I106" s="7">
        <f>COUNTIFS(STATUS!$Q:$Q,I$1,STATUS!$D:$D,$A106)</f>
        <v>0</v>
      </c>
      <c r="J106" s="7">
        <f t="shared" si="7"/>
        <v>13</v>
      </c>
    </row>
    <row r="107" spans="1:10" x14ac:dyDescent="0.3">
      <c r="A107" s="6">
        <v>44000</v>
      </c>
      <c r="B107" s="7">
        <f>COUNTIFS(STATUS!$Q:$Q,B$1,STATUS!$D:$D,$A107)</f>
        <v>3</v>
      </c>
      <c r="C107" s="7">
        <f>COUNTIFS(STATUS!$Q:$Q,C$1,STATUS!$D:$D,$A107)</f>
        <v>2</v>
      </c>
      <c r="D107" s="7">
        <f>COUNTIFS(STATUS!$Q:$Q,D$1,STATUS!$D:$D,$A107)</f>
        <v>1</v>
      </c>
      <c r="E107" s="7">
        <f>COUNTIFS(STATUS!$Q:$Q,E$1,STATUS!$D:$D,$A107)</f>
        <v>2</v>
      </c>
      <c r="F107" s="7">
        <f>COUNTIFS(STATUS!$Q:$Q,F$1,STATUS!$D:$D,$A107)</f>
        <v>0</v>
      </c>
      <c r="G107" s="7">
        <f>COUNTIFS(STATUS!$Q:$Q,G$1,STATUS!$D:$D,$A107)</f>
        <v>4</v>
      </c>
      <c r="H107" s="7">
        <f>COUNTIFS(STATUS!$Q:$Q,H$1,STATUS!$D:$D,$A107)</f>
        <v>0</v>
      </c>
      <c r="I107" s="7">
        <f>COUNTIFS(STATUS!$Q:$Q,I$1,STATUS!$D:$D,$A107)</f>
        <v>0</v>
      </c>
      <c r="J107" s="7">
        <f t="shared" si="7"/>
        <v>12</v>
      </c>
    </row>
    <row r="108" spans="1:10" x14ac:dyDescent="0.3">
      <c r="A108" s="6">
        <v>44001</v>
      </c>
      <c r="B108" s="7">
        <f>COUNTIFS(STATUS!$Q:$Q,B$1,STATUS!$D:$D,$A108)</f>
        <v>1</v>
      </c>
      <c r="C108" s="7">
        <f>COUNTIFS(STATUS!$Q:$Q,C$1,STATUS!$D:$D,$A108)</f>
        <v>4</v>
      </c>
      <c r="D108" s="7">
        <f>COUNTIFS(STATUS!$Q:$Q,D$1,STATUS!$D:$D,$A108)</f>
        <v>4</v>
      </c>
      <c r="E108" s="7">
        <f>COUNTIFS(STATUS!$Q:$Q,E$1,STATUS!$D:$D,$A108)</f>
        <v>4</v>
      </c>
      <c r="F108" s="7">
        <f>COUNTIFS(STATUS!$Q:$Q,F$1,STATUS!$D:$D,$A108)</f>
        <v>0</v>
      </c>
      <c r="G108" s="7">
        <f>COUNTIFS(STATUS!$Q:$Q,G$1,STATUS!$D:$D,$A108)</f>
        <v>3</v>
      </c>
      <c r="H108" s="7">
        <f>COUNTIFS(STATUS!$Q:$Q,H$1,STATUS!$D:$D,$A108)</f>
        <v>0</v>
      </c>
      <c r="I108" s="7">
        <f>COUNTIFS(STATUS!$Q:$Q,I$1,STATUS!$D:$D,$A108)</f>
        <v>0</v>
      </c>
      <c r="J108" s="7">
        <f t="shared" si="7"/>
        <v>16</v>
      </c>
    </row>
    <row r="109" spans="1:10" x14ac:dyDescent="0.3">
      <c r="A109" s="6">
        <v>44002</v>
      </c>
      <c r="B109" s="7">
        <f>COUNTIFS(STATUS!$Q:$Q,B$1,STATUS!$D:$D,$A109)</f>
        <v>0</v>
      </c>
      <c r="C109" s="7">
        <f>COUNTIFS(STATUS!$Q:$Q,C$1,STATUS!$D:$D,$A109)</f>
        <v>0</v>
      </c>
      <c r="D109" s="7">
        <f>COUNTIFS(STATUS!$Q:$Q,D$1,STATUS!$D:$D,$A109)</f>
        <v>0</v>
      </c>
      <c r="E109" s="7">
        <f>COUNTIFS(STATUS!$Q:$Q,E$1,STATUS!$D:$D,$A109)</f>
        <v>0</v>
      </c>
      <c r="F109" s="7">
        <f>COUNTIFS(STATUS!$Q:$Q,F$1,STATUS!$D:$D,$A109)</f>
        <v>0</v>
      </c>
      <c r="G109" s="7">
        <f>COUNTIFS(STATUS!$Q:$Q,G$1,STATUS!$D:$D,$A109)</f>
        <v>0</v>
      </c>
      <c r="H109" s="7">
        <f>COUNTIFS(STATUS!$Q:$Q,H$1,STATUS!$D:$D,$A109)</f>
        <v>0</v>
      </c>
      <c r="I109" s="7">
        <f>COUNTIFS(STATUS!$Q:$Q,I$1,STATUS!$D:$D,$A109)</f>
        <v>0</v>
      </c>
      <c r="J109" s="7">
        <f t="shared" si="7"/>
        <v>0</v>
      </c>
    </row>
    <row r="110" spans="1:10" x14ac:dyDescent="0.3">
      <c r="A110" s="6">
        <v>44003</v>
      </c>
      <c r="B110" s="7">
        <f>COUNTIFS(STATUS!$Q:$Q,B$1,STATUS!$D:$D,$A110)</f>
        <v>0</v>
      </c>
      <c r="C110" s="7">
        <f>COUNTIFS(STATUS!$Q:$Q,C$1,STATUS!$D:$D,$A110)</f>
        <v>0</v>
      </c>
      <c r="D110" s="7">
        <f>COUNTIFS(STATUS!$Q:$Q,D$1,STATUS!$D:$D,$A110)</f>
        <v>0</v>
      </c>
      <c r="E110" s="7">
        <f>COUNTIFS(STATUS!$Q:$Q,E$1,STATUS!$D:$D,$A110)</f>
        <v>0</v>
      </c>
      <c r="F110" s="7">
        <f>COUNTIFS(STATUS!$Q:$Q,F$1,STATUS!$D:$D,$A110)</f>
        <v>0</v>
      </c>
      <c r="G110" s="7">
        <f>COUNTIFS(STATUS!$Q:$Q,G$1,STATUS!$D:$D,$A110)</f>
        <v>0</v>
      </c>
      <c r="H110" s="7">
        <f>COUNTIFS(STATUS!$Q:$Q,H$1,STATUS!$D:$D,$A110)</f>
        <v>0</v>
      </c>
      <c r="I110" s="7">
        <f>COUNTIFS(STATUS!$Q:$Q,I$1,STATUS!$D:$D,$A110)</f>
        <v>0</v>
      </c>
      <c r="J110" s="7">
        <f t="shared" si="7"/>
        <v>0</v>
      </c>
    </row>
    <row r="111" spans="1:10" x14ac:dyDescent="0.3">
      <c r="A111" s="6">
        <v>44004</v>
      </c>
      <c r="B111" s="7">
        <f>COUNTIFS(STATUS!$Q:$Q,B$1,STATUS!$D:$D,$A111)</f>
        <v>2</v>
      </c>
      <c r="C111" s="7">
        <f>COUNTIFS(STATUS!$Q:$Q,C$1,STATUS!$D:$D,$A111)</f>
        <v>3</v>
      </c>
      <c r="D111" s="7">
        <f>COUNTIFS(STATUS!$Q:$Q,D$1,STATUS!$D:$D,$A111)</f>
        <v>3</v>
      </c>
      <c r="E111" s="7">
        <f>COUNTIFS(STATUS!$Q:$Q,E$1,STATUS!$D:$D,$A111)</f>
        <v>2</v>
      </c>
      <c r="F111" s="7">
        <f>COUNTIFS(STATUS!$Q:$Q,F$1,STATUS!$D:$D,$A111)</f>
        <v>0</v>
      </c>
      <c r="G111" s="7">
        <f>COUNTIFS(STATUS!$Q:$Q,G$1,STATUS!$D:$D,$A111)</f>
        <v>4</v>
      </c>
      <c r="H111" s="7">
        <f>COUNTIFS(STATUS!$Q:$Q,H$1,STATUS!$D:$D,$A111)</f>
        <v>0</v>
      </c>
      <c r="I111" s="7">
        <f>COUNTIFS(STATUS!$Q:$Q,I$1,STATUS!$D:$D,$A111)</f>
        <v>0</v>
      </c>
      <c r="J111" s="7">
        <f t="shared" si="7"/>
        <v>14</v>
      </c>
    </row>
    <row r="112" spans="1:10" x14ac:dyDescent="0.3">
      <c r="A112" s="6">
        <v>44005</v>
      </c>
      <c r="B112" s="7">
        <f>COUNTIFS(STATUS!$Q:$Q,B$1,STATUS!$D:$D,$A112)</f>
        <v>3</v>
      </c>
      <c r="C112" s="7">
        <f>COUNTIFS(STATUS!$Q:$Q,C$1,STATUS!$D:$D,$A112)</f>
        <v>7</v>
      </c>
      <c r="D112" s="7">
        <f>COUNTIFS(STATUS!$Q:$Q,D$1,STATUS!$D:$D,$A112)</f>
        <v>10</v>
      </c>
      <c r="E112" s="7">
        <f>COUNTIFS(STATUS!$Q:$Q,E$1,STATUS!$D:$D,$A112)</f>
        <v>4</v>
      </c>
      <c r="F112" s="7">
        <f>COUNTIFS(STATUS!$Q:$Q,F$1,STATUS!$D:$D,$A112)</f>
        <v>0</v>
      </c>
      <c r="G112" s="7">
        <f>COUNTIFS(STATUS!$Q:$Q,G$1,STATUS!$D:$D,$A112)</f>
        <v>7</v>
      </c>
      <c r="H112" s="7">
        <f>COUNTIFS(STATUS!$Q:$Q,H$1,STATUS!$D:$D,$A112)</f>
        <v>0</v>
      </c>
      <c r="I112" s="7">
        <f>COUNTIFS(STATUS!$Q:$Q,I$1,STATUS!$D:$D,$A112)</f>
        <v>0</v>
      </c>
      <c r="J112" s="7">
        <f t="shared" si="7"/>
        <v>31</v>
      </c>
    </row>
    <row r="113" spans="1:10" x14ac:dyDescent="0.3">
      <c r="A113" s="6">
        <v>44006</v>
      </c>
      <c r="B113" s="7">
        <f>COUNTIFS(STATUS!$Q:$Q,B$1,STATUS!$D:$D,$A113)</f>
        <v>0</v>
      </c>
      <c r="C113" s="7">
        <f>COUNTIFS(STATUS!$Q:$Q,C$1,STATUS!$D:$D,$A113)</f>
        <v>0</v>
      </c>
      <c r="D113" s="7">
        <f>COUNTIFS(STATUS!$Q:$Q,D$1,STATUS!$D:$D,$A113)</f>
        <v>0</v>
      </c>
      <c r="E113" s="7">
        <f>COUNTIFS(STATUS!$Q:$Q,E$1,STATUS!$D:$D,$A113)</f>
        <v>0</v>
      </c>
      <c r="F113" s="7">
        <f>COUNTIFS(STATUS!$Q:$Q,F$1,STATUS!$D:$D,$A113)</f>
        <v>0</v>
      </c>
      <c r="G113" s="7">
        <f>COUNTIFS(STATUS!$Q:$Q,G$1,STATUS!$D:$D,$A113)</f>
        <v>0</v>
      </c>
      <c r="H113" s="7">
        <f>COUNTIFS(STATUS!$Q:$Q,H$1,STATUS!$D:$D,$A113)</f>
        <v>0</v>
      </c>
      <c r="I113" s="7">
        <f>COUNTIFS(STATUS!$Q:$Q,I$1,STATUS!$D:$D,$A113)</f>
        <v>0</v>
      </c>
      <c r="J113" s="7">
        <f t="shared" si="7"/>
        <v>0</v>
      </c>
    </row>
    <row r="114" spans="1:10" x14ac:dyDescent="0.3">
      <c r="A114" s="6">
        <v>44007</v>
      </c>
      <c r="B114" s="7">
        <f>COUNTIFS(STATUS!$Q:$Q,B$1,STATUS!$D:$D,$A114)</f>
        <v>6</v>
      </c>
      <c r="C114" s="7">
        <f>COUNTIFS(STATUS!$Q:$Q,C$1,STATUS!$D:$D,$A114)</f>
        <v>7</v>
      </c>
      <c r="D114" s="7">
        <f>COUNTIFS(STATUS!$Q:$Q,D$1,STATUS!$D:$D,$A114)</f>
        <v>7</v>
      </c>
      <c r="E114" s="7">
        <f>COUNTIFS(STATUS!$Q:$Q,E$1,STATUS!$D:$D,$A114)</f>
        <v>6</v>
      </c>
      <c r="F114" s="7">
        <f>COUNTIFS(STATUS!$Q:$Q,F$1,STATUS!$D:$D,$A114)</f>
        <v>0</v>
      </c>
      <c r="G114" s="7">
        <f>COUNTIFS(STATUS!$Q:$Q,G$1,STATUS!$D:$D,$A114)</f>
        <v>5</v>
      </c>
      <c r="H114" s="7">
        <f>COUNTIFS(STATUS!$Q:$Q,H$1,STATUS!$D:$D,$A114)</f>
        <v>0</v>
      </c>
      <c r="I114" s="7">
        <f>COUNTIFS(STATUS!$Q:$Q,I$1,STATUS!$D:$D,$A114)</f>
        <v>0</v>
      </c>
      <c r="J114" s="7">
        <f t="shared" si="7"/>
        <v>31</v>
      </c>
    </row>
    <row r="115" spans="1:10" x14ac:dyDescent="0.3">
      <c r="A115" s="6">
        <v>44008</v>
      </c>
      <c r="B115" s="7">
        <f>COUNTIFS(STATUS!$Q:$Q,B$1,STATUS!$D:$D,$A115)</f>
        <v>4</v>
      </c>
      <c r="C115" s="7">
        <f>COUNTIFS(STATUS!$Q:$Q,C$1,STATUS!$D:$D,$A115)</f>
        <v>2</v>
      </c>
      <c r="D115" s="7">
        <f>COUNTIFS(STATUS!$Q:$Q,D$1,STATUS!$D:$D,$A115)</f>
        <v>4</v>
      </c>
      <c r="E115" s="7">
        <f>COUNTIFS(STATUS!$Q:$Q,E$1,STATUS!$D:$D,$A115)</f>
        <v>4</v>
      </c>
      <c r="F115" s="7">
        <f>COUNTIFS(STATUS!$Q:$Q,F$1,STATUS!$D:$D,$A115)</f>
        <v>0</v>
      </c>
      <c r="G115" s="7">
        <f>COUNTIFS(STATUS!$Q:$Q,G$1,STATUS!$D:$D,$A115)</f>
        <v>1</v>
      </c>
      <c r="H115" s="7">
        <f>COUNTIFS(STATUS!$Q:$Q,H$1,STATUS!$D:$D,$A115)</f>
        <v>0</v>
      </c>
      <c r="I115" s="7">
        <f>COUNTIFS(STATUS!$Q:$Q,I$1,STATUS!$D:$D,$A115)</f>
        <v>0</v>
      </c>
      <c r="J115" s="7">
        <f t="shared" si="7"/>
        <v>15</v>
      </c>
    </row>
    <row r="116" spans="1:10" x14ac:dyDescent="0.3">
      <c r="A116" s="6">
        <v>44009</v>
      </c>
      <c r="B116" s="7">
        <f>COUNTIFS(STATUS!$Q:$Q,B$1,STATUS!$D:$D,$A116)</f>
        <v>0</v>
      </c>
      <c r="C116" s="7">
        <f>COUNTIFS(STATUS!$Q:$Q,C$1,STATUS!$D:$D,$A116)</f>
        <v>0</v>
      </c>
      <c r="D116" s="7">
        <f>COUNTIFS(STATUS!$Q:$Q,D$1,STATUS!$D:$D,$A116)</f>
        <v>0</v>
      </c>
      <c r="E116" s="7">
        <f>COUNTIFS(STATUS!$Q:$Q,E$1,STATUS!$D:$D,$A116)</f>
        <v>0</v>
      </c>
      <c r="F116" s="7">
        <f>COUNTIFS(STATUS!$Q:$Q,F$1,STATUS!$D:$D,$A116)</f>
        <v>0</v>
      </c>
      <c r="G116" s="7">
        <f>COUNTIFS(STATUS!$Q:$Q,G$1,STATUS!$D:$D,$A116)</f>
        <v>0</v>
      </c>
      <c r="H116" s="7">
        <f>COUNTIFS(STATUS!$Q:$Q,H$1,STATUS!$D:$D,$A116)</f>
        <v>0</v>
      </c>
      <c r="I116" s="7">
        <f>COUNTIFS(STATUS!$Q:$Q,I$1,STATUS!$D:$D,$A116)</f>
        <v>0</v>
      </c>
      <c r="J116" s="7">
        <f t="shared" si="7"/>
        <v>0</v>
      </c>
    </row>
    <row r="117" spans="1:10" x14ac:dyDescent="0.3">
      <c r="A117" s="6">
        <v>44010</v>
      </c>
      <c r="B117" s="7">
        <f>COUNTIFS(STATUS!$Q:$Q,B$1,STATUS!$D:$D,$A117)</f>
        <v>0</v>
      </c>
      <c r="C117" s="7">
        <f>COUNTIFS(STATUS!$Q:$Q,C$1,STATUS!$D:$D,$A117)</f>
        <v>0</v>
      </c>
      <c r="D117" s="7">
        <f>COUNTIFS(STATUS!$Q:$Q,D$1,STATUS!$D:$D,$A117)</f>
        <v>0</v>
      </c>
      <c r="E117" s="7">
        <f>COUNTIFS(STATUS!$Q:$Q,E$1,STATUS!$D:$D,$A117)</f>
        <v>0</v>
      </c>
      <c r="F117" s="7">
        <f>COUNTIFS(STATUS!$Q:$Q,F$1,STATUS!$D:$D,$A117)</f>
        <v>0</v>
      </c>
      <c r="G117" s="7">
        <f>COUNTIFS(STATUS!$Q:$Q,G$1,STATUS!$D:$D,$A117)</f>
        <v>0</v>
      </c>
      <c r="H117" s="7">
        <f>COUNTIFS(STATUS!$Q:$Q,H$1,STATUS!$D:$D,$A117)</f>
        <v>0</v>
      </c>
      <c r="I117" s="7">
        <f>COUNTIFS(STATUS!$Q:$Q,I$1,STATUS!$D:$D,$A117)</f>
        <v>0</v>
      </c>
      <c r="J117" s="7">
        <f t="shared" si="7"/>
        <v>0</v>
      </c>
    </row>
    <row r="118" spans="1:10" x14ac:dyDescent="0.3">
      <c r="A118" s="6">
        <v>44011</v>
      </c>
      <c r="B118" s="7">
        <f>COUNTIFS(STATUS!$Q:$Q,B$1,STATUS!$D:$D,$A118)</f>
        <v>2</v>
      </c>
      <c r="C118" s="7">
        <f>COUNTIFS(STATUS!$Q:$Q,C$1,STATUS!$D:$D,$A118)</f>
        <v>5</v>
      </c>
      <c r="D118" s="7">
        <f>COUNTIFS(STATUS!$Q:$Q,D$1,STATUS!$D:$D,$A118)</f>
        <v>2</v>
      </c>
      <c r="E118" s="7">
        <f>COUNTIFS(STATUS!$Q:$Q,E$1,STATUS!$D:$D,$A118)</f>
        <v>3</v>
      </c>
      <c r="F118" s="7">
        <f>COUNTIFS(STATUS!$Q:$Q,F$1,STATUS!$D:$D,$A118)</f>
        <v>0</v>
      </c>
      <c r="G118" s="7">
        <f>COUNTIFS(STATUS!$Q:$Q,G$1,STATUS!$D:$D,$A118)</f>
        <v>4</v>
      </c>
      <c r="H118" s="7">
        <f>COUNTIFS(STATUS!$Q:$Q,H$1,STATUS!$D:$D,$A118)</f>
        <v>0</v>
      </c>
      <c r="I118" s="7">
        <f>COUNTIFS(STATUS!$Q:$Q,I$1,STATUS!$D:$D,$A118)</f>
        <v>0</v>
      </c>
      <c r="J118" s="7">
        <f t="shared" si="7"/>
        <v>16</v>
      </c>
    </row>
    <row r="119" spans="1:10" x14ac:dyDescent="0.3">
      <c r="A119" s="6">
        <v>44012</v>
      </c>
      <c r="B119" s="7">
        <f>COUNTIFS(STATUS!$Q:$Q,B$1,STATUS!$D:$D,$A119)</f>
        <v>2</v>
      </c>
      <c r="C119" s="7">
        <f>COUNTIFS(STATUS!$Q:$Q,C$1,STATUS!$D:$D,$A119)</f>
        <v>0</v>
      </c>
      <c r="D119" s="7">
        <f>COUNTIFS(STATUS!$Q:$Q,D$1,STATUS!$D:$D,$A119)</f>
        <v>4</v>
      </c>
      <c r="E119" s="7">
        <f>COUNTIFS(STATUS!$Q:$Q,E$1,STATUS!$D:$D,$A119)</f>
        <v>2</v>
      </c>
      <c r="F119" s="7">
        <f>COUNTIFS(STATUS!$Q:$Q,F$1,STATUS!$D:$D,$A119)</f>
        <v>0</v>
      </c>
      <c r="G119" s="7">
        <f>COUNTIFS(STATUS!$Q:$Q,G$1,STATUS!$D:$D,$A119)</f>
        <v>2</v>
      </c>
      <c r="H119" s="7">
        <f>COUNTIFS(STATUS!$Q:$Q,H$1,STATUS!$D:$D,$A119)</f>
        <v>0</v>
      </c>
      <c r="I119" s="7">
        <f>COUNTIFS(STATUS!$Q:$Q,I$1,STATUS!$D:$D,$A119)</f>
        <v>0</v>
      </c>
      <c r="J119" s="7">
        <f t="shared" si="7"/>
        <v>10</v>
      </c>
    </row>
    <row r="120" spans="1:10" x14ac:dyDescent="0.3">
      <c r="A120" s="6">
        <v>44013</v>
      </c>
      <c r="B120" s="7">
        <f>COUNTIFS(STATUS!$Q:$Q,B$1,STATUS!$D:$D,$A120)</f>
        <v>0</v>
      </c>
      <c r="C120" s="7">
        <f>COUNTIFS(STATUS!$Q:$Q,C$1,STATUS!$D:$D,$A120)</f>
        <v>0</v>
      </c>
      <c r="D120" s="7">
        <f>COUNTIFS(STATUS!$Q:$Q,D$1,STATUS!$D:$D,$A120)</f>
        <v>0</v>
      </c>
      <c r="E120" s="7">
        <f>COUNTIFS(STATUS!$Q:$Q,E$1,STATUS!$D:$D,$A120)</f>
        <v>0</v>
      </c>
      <c r="F120" s="7">
        <f>COUNTIFS(STATUS!$Q:$Q,F$1,STATUS!$D:$D,$A120)</f>
        <v>0</v>
      </c>
      <c r="G120" s="7">
        <f>COUNTIFS(STATUS!$Q:$Q,G$1,STATUS!$D:$D,$A120)</f>
        <v>0</v>
      </c>
      <c r="H120" s="7">
        <f>COUNTIFS(STATUS!$Q:$Q,H$1,STATUS!$D:$D,$A120)</f>
        <v>0</v>
      </c>
      <c r="I120" s="7">
        <f>COUNTIFS(STATUS!$Q:$Q,I$1,STATUS!$D:$D,$A120)</f>
        <v>0</v>
      </c>
      <c r="J120" s="7">
        <f t="shared" si="7"/>
        <v>0</v>
      </c>
    </row>
    <row r="121" spans="1:10" x14ac:dyDescent="0.3">
      <c r="A121" s="6">
        <v>44014</v>
      </c>
      <c r="B121" s="7">
        <f>COUNTIFS(STATUS!$Q:$Q,B$1,STATUS!$D:$D,$A121)</f>
        <v>6</v>
      </c>
      <c r="C121" s="7">
        <f>COUNTIFS(STATUS!$Q:$Q,C$1,STATUS!$D:$D,$A121)</f>
        <v>0</v>
      </c>
      <c r="D121" s="7">
        <f>COUNTIFS(STATUS!$Q:$Q,D$1,STATUS!$D:$D,$A121)</f>
        <v>8</v>
      </c>
      <c r="E121" s="7">
        <f>COUNTIFS(STATUS!$Q:$Q,E$1,STATUS!$D:$D,$A121)</f>
        <v>5</v>
      </c>
      <c r="F121" s="7">
        <f>COUNTIFS(STATUS!$Q:$Q,F$1,STATUS!$D:$D,$A121)</f>
        <v>0</v>
      </c>
      <c r="G121" s="7">
        <f>COUNTIFS(STATUS!$Q:$Q,G$1,STATUS!$D:$D,$A121)</f>
        <v>6</v>
      </c>
      <c r="H121" s="7">
        <f>COUNTIFS(STATUS!$Q:$Q,H$1,STATUS!$D:$D,$A121)</f>
        <v>0</v>
      </c>
      <c r="I121" s="7">
        <f>COUNTIFS(STATUS!$Q:$Q,I$1,STATUS!$D:$D,$A121)</f>
        <v>0</v>
      </c>
      <c r="J121" s="7">
        <f t="shared" si="7"/>
        <v>25</v>
      </c>
    </row>
    <row r="122" spans="1:10" x14ac:dyDescent="0.3">
      <c r="A122" s="6">
        <v>44015</v>
      </c>
      <c r="B122" s="7">
        <f>COUNTIFS(STATUS!$Q:$Q,B$1,STATUS!$D:$D,$A122)</f>
        <v>2</v>
      </c>
      <c r="C122" s="7">
        <f>COUNTIFS(STATUS!$Q:$Q,C$1,STATUS!$D:$D,$A122)</f>
        <v>0</v>
      </c>
      <c r="D122" s="7">
        <f>COUNTIFS(STATUS!$Q:$Q,D$1,STATUS!$D:$D,$A122)</f>
        <v>4</v>
      </c>
      <c r="E122" s="7">
        <f>COUNTIFS(STATUS!$Q:$Q,E$1,STATUS!$D:$D,$A122)</f>
        <v>4</v>
      </c>
      <c r="F122" s="7">
        <f>COUNTIFS(STATUS!$Q:$Q,F$1,STATUS!$D:$D,$A122)</f>
        <v>0</v>
      </c>
      <c r="G122" s="7">
        <f>COUNTIFS(STATUS!$Q:$Q,G$1,STATUS!$D:$D,$A122)</f>
        <v>3</v>
      </c>
      <c r="H122" s="7">
        <f>COUNTIFS(STATUS!$Q:$Q,H$1,STATUS!$D:$D,$A122)</f>
        <v>0</v>
      </c>
      <c r="I122" s="7">
        <f>COUNTIFS(STATUS!$Q:$Q,I$1,STATUS!$D:$D,$A122)</f>
        <v>0</v>
      </c>
      <c r="J122" s="7">
        <f t="shared" si="7"/>
        <v>13</v>
      </c>
    </row>
    <row r="123" spans="1:10" x14ac:dyDescent="0.3">
      <c r="A123" s="6">
        <v>44016</v>
      </c>
      <c r="B123" s="7">
        <f>COUNTIFS(STATUS!$Q:$Q,B$1,STATUS!$D:$D,$A123)</f>
        <v>0</v>
      </c>
      <c r="C123" s="7">
        <f>COUNTIFS(STATUS!$Q:$Q,C$1,STATUS!$D:$D,$A123)</f>
        <v>0</v>
      </c>
      <c r="D123" s="7">
        <f>COUNTIFS(STATUS!$Q:$Q,D$1,STATUS!$D:$D,$A123)</f>
        <v>0</v>
      </c>
      <c r="E123" s="7">
        <f>COUNTIFS(STATUS!$Q:$Q,E$1,STATUS!$D:$D,$A123)</f>
        <v>0</v>
      </c>
      <c r="F123" s="7">
        <f>COUNTIFS(STATUS!$Q:$Q,F$1,STATUS!$D:$D,$A123)</f>
        <v>0</v>
      </c>
      <c r="G123" s="7">
        <f>COUNTIFS(STATUS!$Q:$Q,G$1,STATUS!$D:$D,$A123)</f>
        <v>0</v>
      </c>
      <c r="H123" s="7">
        <f>COUNTIFS(STATUS!$Q:$Q,H$1,STATUS!$D:$D,$A123)</f>
        <v>0</v>
      </c>
      <c r="I123" s="7">
        <f>COUNTIFS(STATUS!$Q:$Q,I$1,STATUS!$D:$D,$A123)</f>
        <v>0</v>
      </c>
      <c r="J123" s="7">
        <f t="shared" si="7"/>
        <v>0</v>
      </c>
    </row>
    <row r="124" spans="1:10" x14ac:dyDescent="0.3">
      <c r="A124" s="6">
        <v>44017</v>
      </c>
      <c r="B124" s="7">
        <f>COUNTIFS(STATUS!$Q:$Q,B$1,STATUS!$D:$D,$A124)</f>
        <v>0</v>
      </c>
      <c r="C124" s="7">
        <f>COUNTIFS(STATUS!$Q:$Q,C$1,STATUS!$D:$D,$A124)</f>
        <v>0</v>
      </c>
      <c r="D124" s="7">
        <f>COUNTIFS(STATUS!$Q:$Q,D$1,STATUS!$D:$D,$A124)</f>
        <v>0</v>
      </c>
      <c r="E124" s="7">
        <f>COUNTIFS(STATUS!$Q:$Q,E$1,STATUS!$D:$D,$A124)</f>
        <v>0</v>
      </c>
      <c r="F124" s="7">
        <f>COUNTIFS(STATUS!$Q:$Q,F$1,STATUS!$D:$D,$A124)</f>
        <v>0</v>
      </c>
      <c r="G124" s="7">
        <f>COUNTIFS(STATUS!$Q:$Q,G$1,STATUS!$D:$D,$A124)</f>
        <v>0</v>
      </c>
      <c r="H124" s="7">
        <f>COUNTIFS(STATUS!$Q:$Q,H$1,STATUS!$D:$D,$A124)</f>
        <v>0</v>
      </c>
      <c r="I124" s="7">
        <f>COUNTIFS(STATUS!$Q:$Q,I$1,STATUS!$D:$D,$A124)</f>
        <v>0</v>
      </c>
      <c r="J124" s="7">
        <f t="shared" si="7"/>
        <v>0</v>
      </c>
    </row>
    <row r="125" spans="1:10" x14ac:dyDescent="0.3">
      <c r="A125" s="6">
        <v>44018</v>
      </c>
      <c r="B125" s="7">
        <f>COUNTIFS(STATUS!$Q:$Q,B$1,STATUS!$D:$D,$A125)</f>
        <v>3</v>
      </c>
      <c r="C125" s="7">
        <f>COUNTIFS(STATUS!$Q:$Q,C$1,STATUS!$D:$D,$A125)</f>
        <v>0</v>
      </c>
      <c r="D125" s="7">
        <f>COUNTIFS(STATUS!$Q:$Q,D$1,STATUS!$D:$D,$A125)</f>
        <v>4</v>
      </c>
      <c r="E125" s="7">
        <f>COUNTIFS(STATUS!$Q:$Q,E$1,STATUS!$D:$D,$A125)</f>
        <v>2</v>
      </c>
      <c r="F125" s="7">
        <f>COUNTIFS(STATUS!$Q:$Q,F$1,STATUS!$D:$D,$A125)</f>
        <v>0</v>
      </c>
      <c r="G125" s="7">
        <f>COUNTIFS(STATUS!$Q:$Q,G$1,STATUS!$D:$D,$A125)</f>
        <v>2</v>
      </c>
      <c r="H125" s="7">
        <f>COUNTIFS(STATUS!$Q:$Q,H$1,STATUS!$D:$D,$A125)</f>
        <v>0</v>
      </c>
      <c r="I125" s="7">
        <f>COUNTIFS(STATUS!$Q:$Q,I$1,STATUS!$D:$D,$A125)</f>
        <v>0</v>
      </c>
      <c r="J125" s="7">
        <f t="shared" si="7"/>
        <v>11</v>
      </c>
    </row>
    <row r="126" spans="1:10" x14ac:dyDescent="0.3">
      <c r="A126" s="6">
        <v>44019</v>
      </c>
      <c r="B126" s="7">
        <f>COUNTIFS(STATUS!$Q:$Q,B$1,STATUS!$D:$D,$A126)</f>
        <v>2</v>
      </c>
      <c r="C126" s="7">
        <f>COUNTIFS(STATUS!$Q:$Q,C$1,STATUS!$D:$D,$A126)</f>
        <v>0</v>
      </c>
      <c r="D126" s="7">
        <f>COUNTIFS(STATUS!$Q:$Q,D$1,STATUS!$D:$D,$A126)</f>
        <v>2</v>
      </c>
      <c r="E126" s="7">
        <f>COUNTIFS(STATUS!$Q:$Q,E$1,STATUS!$D:$D,$A126)</f>
        <v>1</v>
      </c>
      <c r="F126" s="7">
        <f>COUNTIFS(STATUS!$Q:$Q,F$1,STATUS!$D:$D,$A126)</f>
        <v>0</v>
      </c>
      <c r="G126" s="7">
        <f>COUNTIFS(STATUS!$Q:$Q,G$1,STATUS!$D:$D,$A126)</f>
        <v>4</v>
      </c>
      <c r="H126" s="7">
        <f>COUNTIFS(STATUS!$Q:$Q,H$1,STATUS!$D:$D,$A126)</f>
        <v>0</v>
      </c>
      <c r="I126" s="7">
        <f>COUNTIFS(STATUS!$Q:$Q,I$1,STATUS!$D:$D,$A126)</f>
        <v>0</v>
      </c>
      <c r="J126" s="7">
        <f t="shared" si="7"/>
        <v>9</v>
      </c>
    </row>
    <row r="127" spans="1:10" x14ac:dyDescent="0.3">
      <c r="A127" s="6">
        <v>44020</v>
      </c>
      <c r="B127" s="7">
        <f>COUNTIFS(STATUS!$Q:$Q,B$1,STATUS!$D:$D,$A127)</f>
        <v>2</v>
      </c>
      <c r="C127" s="7">
        <f>COUNTIFS(STATUS!$Q:$Q,C$1,STATUS!$D:$D,$A127)</f>
        <v>0</v>
      </c>
      <c r="D127" s="7">
        <f>COUNTIFS(STATUS!$Q:$Q,D$1,STATUS!$D:$D,$A127)</f>
        <v>2</v>
      </c>
      <c r="E127" s="7">
        <f>COUNTIFS(STATUS!$Q:$Q,E$1,STATUS!$D:$D,$A127)</f>
        <v>3</v>
      </c>
      <c r="F127" s="7">
        <f>COUNTIFS(STATUS!$Q:$Q,F$1,STATUS!$D:$D,$A127)</f>
        <v>0</v>
      </c>
      <c r="G127" s="7">
        <f>COUNTIFS(STATUS!$Q:$Q,G$1,STATUS!$D:$D,$A127)</f>
        <v>3</v>
      </c>
      <c r="H127" s="7">
        <f>COUNTIFS(STATUS!$Q:$Q,H$1,STATUS!$D:$D,$A127)</f>
        <v>0</v>
      </c>
      <c r="I127" s="7">
        <f>COUNTIFS(STATUS!$Q:$Q,I$1,STATUS!$D:$D,$A127)</f>
        <v>0</v>
      </c>
      <c r="J127" s="7">
        <f t="shared" si="7"/>
        <v>10</v>
      </c>
    </row>
    <row r="128" spans="1:10" x14ac:dyDescent="0.3">
      <c r="A128" s="6">
        <v>44021</v>
      </c>
      <c r="B128" s="7">
        <f>COUNTIFS(STATUS!$Q:$Q,B$1,STATUS!$D:$D,$A128)</f>
        <v>6</v>
      </c>
      <c r="C128" s="7">
        <f>COUNTIFS(STATUS!$Q:$Q,C$1,STATUS!$D:$D,$A128)</f>
        <v>0</v>
      </c>
      <c r="D128" s="7">
        <f>COUNTIFS(STATUS!$Q:$Q,D$1,STATUS!$D:$D,$A128)</f>
        <v>6</v>
      </c>
      <c r="E128" s="7">
        <f>COUNTIFS(STATUS!$Q:$Q,E$1,STATUS!$D:$D,$A128)</f>
        <v>4</v>
      </c>
      <c r="F128" s="7">
        <f>COUNTIFS(STATUS!$Q:$Q,F$1,STATUS!$D:$D,$A128)</f>
        <v>0</v>
      </c>
      <c r="G128" s="7">
        <f>COUNTIFS(STATUS!$Q:$Q,G$1,STATUS!$D:$D,$A128)</f>
        <v>4</v>
      </c>
      <c r="H128" s="7">
        <f>COUNTIFS(STATUS!$Q:$Q,H$1,STATUS!$D:$D,$A128)</f>
        <v>0</v>
      </c>
      <c r="I128" s="7">
        <f>COUNTIFS(STATUS!$Q:$Q,I$1,STATUS!$D:$D,$A128)</f>
        <v>0</v>
      </c>
      <c r="J128" s="7">
        <f t="shared" si="7"/>
        <v>20</v>
      </c>
    </row>
    <row r="129" spans="1:10" x14ac:dyDescent="0.3">
      <c r="A129" s="6">
        <v>44022</v>
      </c>
      <c r="B129" s="7">
        <f>COUNTIFS(STATUS!$Q:$Q,B$1,STATUS!$D:$D,$A129)</f>
        <v>6</v>
      </c>
      <c r="C129" s="7">
        <f>COUNTIFS(STATUS!$Q:$Q,C$1,STATUS!$D:$D,$A129)</f>
        <v>0</v>
      </c>
      <c r="D129" s="7">
        <f>COUNTIFS(STATUS!$Q:$Q,D$1,STATUS!$D:$D,$A129)</f>
        <v>4</v>
      </c>
      <c r="E129" s="7">
        <f>COUNTIFS(STATUS!$Q:$Q,E$1,STATUS!$D:$D,$A129)</f>
        <v>4</v>
      </c>
      <c r="F129" s="7">
        <f>COUNTIFS(STATUS!$Q:$Q,F$1,STATUS!$D:$D,$A129)</f>
        <v>0</v>
      </c>
      <c r="G129" s="7">
        <f>COUNTIFS(STATUS!$Q:$Q,G$1,STATUS!$D:$D,$A129)</f>
        <v>6</v>
      </c>
      <c r="H129" s="7">
        <f>COUNTIFS(STATUS!$Q:$Q,H$1,STATUS!$D:$D,$A129)</f>
        <v>0</v>
      </c>
      <c r="I129" s="7">
        <f>COUNTIFS(STATUS!$Q:$Q,I$1,STATUS!$D:$D,$A129)</f>
        <v>0</v>
      </c>
      <c r="J129" s="7">
        <f t="shared" si="7"/>
        <v>20</v>
      </c>
    </row>
    <row r="130" spans="1:10" x14ac:dyDescent="0.3">
      <c r="A130" s="6">
        <v>44023</v>
      </c>
      <c r="B130" s="7">
        <f>COUNTIFS(STATUS!$Q:$Q,B$1,STATUS!$D:$D,$A130)</f>
        <v>0</v>
      </c>
      <c r="C130" s="7">
        <f>COUNTIFS(STATUS!$Q:$Q,C$1,STATUS!$D:$D,$A130)</f>
        <v>0</v>
      </c>
      <c r="D130" s="7">
        <f>COUNTIFS(STATUS!$Q:$Q,D$1,STATUS!$D:$D,$A130)</f>
        <v>0</v>
      </c>
      <c r="E130" s="7">
        <f>COUNTIFS(STATUS!$Q:$Q,E$1,STATUS!$D:$D,$A130)</f>
        <v>0</v>
      </c>
      <c r="F130" s="7">
        <f>COUNTIFS(STATUS!$Q:$Q,F$1,STATUS!$D:$D,$A130)</f>
        <v>0</v>
      </c>
      <c r="G130" s="7">
        <f>COUNTIFS(STATUS!$Q:$Q,G$1,STATUS!$D:$D,$A130)</f>
        <v>0</v>
      </c>
      <c r="H130" s="7">
        <f>COUNTIFS(STATUS!$Q:$Q,H$1,STATUS!$D:$D,$A130)</f>
        <v>0</v>
      </c>
      <c r="I130" s="7">
        <f>COUNTIFS(STATUS!$Q:$Q,I$1,STATUS!$D:$D,$A130)</f>
        <v>0</v>
      </c>
      <c r="J130" s="7">
        <f t="shared" si="7"/>
        <v>0</v>
      </c>
    </row>
    <row r="131" spans="1:10" x14ac:dyDescent="0.3">
      <c r="A131" s="6">
        <v>44024</v>
      </c>
      <c r="B131" s="7">
        <f>COUNTIFS(STATUS!$Q:$Q,B$1,STATUS!$D:$D,$A131)</f>
        <v>0</v>
      </c>
      <c r="C131" s="7">
        <f>COUNTIFS(STATUS!$Q:$Q,C$1,STATUS!$D:$D,$A131)</f>
        <v>0</v>
      </c>
      <c r="D131" s="7">
        <f>COUNTIFS(STATUS!$Q:$Q,D$1,STATUS!$D:$D,$A131)</f>
        <v>0</v>
      </c>
      <c r="E131" s="7">
        <f>COUNTIFS(STATUS!$Q:$Q,E$1,STATUS!$D:$D,$A131)</f>
        <v>0</v>
      </c>
      <c r="F131" s="7">
        <f>COUNTIFS(STATUS!$Q:$Q,F$1,STATUS!$D:$D,$A131)</f>
        <v>0</v>
      </c>
      <c r="G131" s="7">
        <f>COUNTIFS(STATUS!$Q:$Q,G$1,STATUS!$D:$D,$A131)</f>
        <v>0</v>
      </c>
      <c r="H131" s="7">
        <f>COUNTIFS(STATUS!$Q:$Q,H$1,STATUS!$D:$D,$A131)</f>
        <v>0</v>
      </c>
      <c r="I131" s="7">
        <f>COUNTIFS(STATUS!$Q:$Q,I$1,STATUS!$D:$D,$A131)</f>
        <v>0</v>
      </c>
      <c r="J131" s="7">
        <f t="shared" si="7"/>
        <v>0</v>
      </c>
    </row>
    <row r="132" spans="1:10" x14ac:dyDescent="0.3">
      <c r="A132" s="6">
        <v>44025</v>
      </c>
      <c r="B132" s="7">
        <f>COUNTIFS(STATUS!$Q:$Q,B$1,STATUS!$D:$D,$A132)</f>
        <v>1</v>
      </c>
      <c r="C132" s="7">
        <f>COUNTIFS(STATUS!$Q:$Q,C$1,STATUS!$D:$D,$A132)</f>
        <v>3</v>
      </c>
      <c r="D132" s="7">
        <f>COUNTIFS(STATUS!$Q:$Q,D$1,STATUS!$D:$D,$A132)</f>
        <v>1</v>
      </c>
      <c r="E132" s="7">
        <f>COUNTIFS(STATUS!$Q:$Q,E$1,STATUS!$D:$D,$A132)</f>
        <v>1</v>
      </c>
      <c r="F132" s="7">
        <f>COUNTIFS(STATUS!$Q:$Q,F$1,STATUS!$D:$D,$A132)</f>
        <v>0</v>
      </c>
      <c r="G132" s="7">
        <f>COUNTIFS(STATUS!$Q:$Q,G$1,STATUS!$D:$D,$A132)</f>
        <v>4</v>
      </c>
      <c r="H132" s="7">
        <f>COUNTIFS(STATUS!$Q:$Q,H$1,STATUS!$D:$D,$A132)</f>
        <v>0</v>
      </c>
      <c r="I132" s="7">
        <f>COUNTIFS(STATUS!$Q:$Q,I$1,STATUS!$D:$D,$A132)</f>
        <v>0</v>
      </c>
      <c r="J132" s="7">
        <f t="shared" si="7"/>
        <v>10</v>
      </c>
    </row>
    <row r="133" spans="1:10" x14ac:dyDescent="0.3">
      <c r="A133" s="6">
        <v>44026</v>
      </c>
      <c r="B133" s="7">
        <f>COUNTIFS(STATUS!$Q:$Q,B$1,STATUS!$D:$D,$A133)</f>
        <v>3</v>
      </c>
      <c r="C133" s="7">
        <f>COUNTIFS(STATUS!$Q:$Q,C$1,STATUS!$D:$D,$A133)</f>
        <v>0</v>
      </c>
      <c r="D133" s="7">
        <f>COUNTIFS(STATUS!$Q:$Q,D$1,STATUS!$D:$D,$A133)</f>
        <v>2</v>
      </c>
      <c r="E133" s="7">
        <f>COUNTIFS(STATUS!$Q:$Q,E$1,STATUS!$D:$D,$A133)</f>
        <v>1</v>
      </c>
      <c r="F133" s="7">
        <f>COUNTIFS(STATUS!$Q:$Q,F$1,STATUS!$D:$D,$A133)</f>
        <v>0</v>
      </c>
      <c r="G133" s="7">
        <f>COUNTIFS(STATUS!$Q:$Q,G$1,STATUS!$D:$D,$A133)</f>
        <v>1</v>
      </c>
      <c r="H133" s="7">
        <f>COUNTIFS(STATUS!$Q:$Q,H$1,STATUS!$D:$D,$A133)</f>
        <v>0</v>
      </c>
      <c r="I133" s="7">
        <f>COUNTIFS(STATUS!$Q:$Q,I$1,STATUS!$D:$D,$A133)</f>
        <v>0</v>
      </c>
      <c r="J133" s="7">
        <f t="shared" si="7"/>
        <v>7</v>
      </c>
    </row>
    <row r="134" spans="1:10" x14ac:dyDescent="0.3">
      <c r="A134" s="6">
        <v>44027</v>
      </c>
      <c r="B134" s="7">
        <f>COUNTIFS(STATUS!$Q:$Q,B$1,STATUS!$D:$D,$A134)</f>
        <v>3</v>
      </c>
      <c r="C134" s="7">
        <f>COUNTIFS(STATUS!$Q:$Q,C$1,STATUS!$D:$D,$A134)</f>
        <v>0</v>
      </c>
      <c r="D134" s="7">
        <f>COUNTIFS(STATUS!$Q:$Q,D$1,STATUS!$D:$D,$A134)</f>
        <v>1</v>
      </c>
      <c r="E134" s="7">
        <f>COUNTIFS(STATUS!$Q:$Q,E$1,STATUS!$D:$D,$A134)</f>
        <v>2</v>
      </c>
      <c r="F134" s="7">
        <f>COUNTIFS(STATUS!$Q:$Q,F$1,STATUS!$D:$D,$A134)</f>
        <v>0</v>
      </c>
      <c r="G134" s="7">
        <f>COUNTIFS(STATUS!$Q:$Q,G$1,STATUS!$D:$D,$A134)</f>
        <v>3</v>
      </c>
      <c r="H134" s="7">
        <f>COUNTIFS(STATUS!$Q:$Q,H$1,STATUS!$D:$D,$A134)</f>
        <v>0</v>
      </c>
      <c r="I134" s="7">
        <f>COUNTIFS(STATUS!$Q:$Q,I$1,STATUS!$D:$D,$A134)</f>
        <v>0</v>
      </c>
      <c r="J134" s="7">
        <f t="shared" si="7"/>
        <v>9</v>
      </c>
    </row>
    <row r="135" spans="1:10" x14ac:dyDescent="0.3">
      <c r="A135" s="6">
        <v>44028</v>
      </c>
      <c r="B135" s="7">
        <f>COUNTIFS(STATUS!$Q:$Q,B$1,STATUS!$D:$D,$A135)</f>
        <v>4</v>
      </c>
      <c r="C135" s="7">
        <f>COUNTIFS(STATUS!$Q:$Q,C$1,STATUS!$D:$D,$A135)</f>
        <v>0</v>
      </c>
      <c r="D135" s="7">
        <f>COUNTIFS(STATUS!$Q:$Q,D$1,STATUS!$D:$D,$A135)</f>
        <v>1</v>
      </c>
      <c r="E135" s="7">
        <f>COUNTIFS(STATUS!$Q:$Q,E$1,STATUS!$D:$D,$A135)</f>
        <v>5</v>
      </c>
      <c r="F135" s="7">
        <f>COUNTIFS(STATUS!$Q:$Q,F$1,STATUS!$D:$D,$A135)</f>
        <v>0</v>
      </c>
      <c r="G135" s="7">
        <f>COUNTIFS(STATUS!$Q:$Q,G$1,STATUS!$D:$D,$A135)</f>
        <v>4</v>
      </c>
      <c r="H135" s="7">
        <f>COUNTIFS(STATUS!$Q:$Q,H$1,STATUS!$D:$D,$A135)</f>
        <v>0</v>
      </c>
      <c r="I135" s="7">
        <f>COUNTIFS(STATUS!$Q:$Q,I$1,STATUS!$D:$D,$A135)</f>
        <v>0</v>
      </c>
      <c r="J135" s="7">
        <f t="shared" si="7"/>
        <v>14</v>
      </c>
    </row>
    <row r="136" spans="1:10" x14ac:dyDescent="0.3">
      <c r="A136" s="6">
        <v>44029</v>
      </c>
      <c r="B136" s="7">
        <f>COUNTIFS(STATUS!$Q:$Q,B$1,STATUS!$D:$D,$A136)</f>
        <v>3</v>
      </c>
      <c r="C136" s="7">
        <f>COUNTIFS(STATUS!$Q:$Q,C$1,STATUS!$D:$D,$A136)</f>
        <v>0</v>
      </c>
      <c r="D136" s="7">
        <f>COUNTIFS(STATUS!$Q:$Q,D$1,STATUS!$D:$D,$A136)</f>
        <v>0</v>
      </c>
      <c r="E136" s="7">
        <f>COUNTIFS(STATUS!$Q:$Q,E$1,STATUS!$D:$D,$A136)</f>
        <v>0</v>
      </c>
      <c r="F136" s="7">
        <f>COUNTIFS(STATUS!$Q:$Q,F$1,STATUS!$D:$D,$A136)</f>
        <v>0</v>
      </c>
      <c r="G136" s="7">
        <f>COUNTIFS(STATUS!$Q:$Q,G$1,STATUS!$D:$D,$A136)</f>
        <v>4</v>
      </c>
      <c r="H136" s="7">
        <f>COUNTIFS(STATUS!$Q:$Q,H$1,STATUS!$D:$D,$A136)</f>
        <v>0</v>
      </c>
      <c r="I136" s="7">
        <f>COUNTIFS(STATUS!$Q:$Q,I$1,STATUS!$D:$D,$A136)</f>
        <v>0</v>
      </c>
      <c r="J136" s="7">
        <f t="shared" si="7"/>
        <v>7</v>
      </c>
    </row>
    <row r="137" spans="1:10" x14ac:dyDescent="0.3">
      <c r="A137" s="6">
        <v>44030</v>
      </c>
      <c r="B137" s="7">
        <f>COUNTIFS(STATUS!$Q:$Q,B$1,STATUS!$D:$D,$A137)</f>
        <v>0</v>
      </c>
      <c r="C137" s="7">
        <f>COUNTIFS(STATUS!$Q:$Q,C$1,STATUS!$D:$D,$A137)</f>
        <v>0</v>
      </c>
      <c r="D137" s="7">
        <f>COUNTIFS(STATUS!$Q:$Q,D$1,STATUS!$D:$D,$A137)</f>
        <v>0</v>
      </c>
      <c r="E137" s="7">
        <f>COUNTIFS(STATUS!$Q:$Q,E$1,STATUS!$D:$D,$A137)</f>
        <v>0</v>
      </c>
      <c r="F137" s="7">
        <f>COUNTIFS(STATUS!$Q:$Q,F$1,STATUS!$D:$D,$A137)</f>
        <v>0</v>
      </c>
      <c r="G137" s="7">
        <f>COUNTIFS(STATUS!$Q:$Q,G$1,STATUS!$D:$D,$A137)</f>
        <v>0</v>
      </c>
      <c r="H137" s="7">
        <f>COUNTIFS(STATUS!$Q:$Q,H$1,STATUS!$D:$D,$A137)</f>
        <v>0</v>
      </c>
      <c r="I137" s="7">
        <f>COUNTIFS(STATUS!$Q:$Q,I$1,STATUS!$D:$D,$A137)</f>
        <v>0</v>
      </c>
      <c r="J137" s="7">
        <f t="shared" si="7"/>
        <v>0</v>
      </c>
    </row>
    <row r="138" spans="1:10" x14ac:dyDescent="0.3">
      <c r="A138" s="6">
        <v>44031</v>
      </c>
      <c r="B138" s="7">
        <f>COUNTIFS(STATUS!$Q:$Q,B$1,STATUS!$D:$D,$A138)</f>
        <v>0</v>
      </c>
      <c r="C138" s="7">
        <f>COUNTIFS(STATUS!$Q:$Q,C$1,STATUS!$D:$D,$A138)</f>
        <v>0</v>
      </c>
      <c r="D138" s="7">
        <f>COUNTIFS(STATUS!$Q:$Q,D$1,STATUS!$D:$D,$A138)</f>
        <v>0</v>
      </c>
      <c r="E138" s="7">
        <f>COUNTIFS(STATUS!$Q:$Q,E$1,STATUS!$D:$D,$A138)</f>
        <v>0</v>
      </c>
      <c r="F138" s="7">
        <f>COUNTIFS(STATUS!$Q:$Q,F$1,STATUS!$D:$D,$A138)</f>
        <v>0</v>
      </c>
      <c r="G138" s="7">
        <f>COUNTIFS(STATUS!$Q:$Q,G$1,STATUS!$D:$D,$A138)</f>
        <v>0</v>
      </c>
      <c r="H138" s="7">
        <f>COUNTIFS(STATUS!$Q:$Q,H$1,STATUS!$D:$D,$A138)</f>
        <v>0</v>
      </c>
      <c r="I138" s="7">
        <f>COUNTIFS(STATUS!$Q:$Q,I$1,STATUS!$D:$D,$A138)</f>
        <v>0</v>
      </c>
      <c r="J138" s="7">
        <f t="shared" si="7"/>
        <v>0</v>
      </c>
    </row>
    <row r="139" spans="1:10" x14ac:dyDescent="0.3">
      <c r="A139" s="6">
        <v>44032</v>
      </c>
      <c r="B139" s="7">
        <f>COUNTIFS(STATUS!$Q:$Q,B$1,STATUS!$D:$D,$A139)</f>
        <v>2</v>
      </c>
      <c r="C139" s="7">
        <f>COUNTIFS(STATUS!$Q:$Q,C$1,STATUS!$D:$D,$A139)</f>
        <v>0</v>
      </c>
      <c r="D139" s="7">
        <f>COUNTIFS(STATUS!$Q:$Q,D$1,STATUS!$D:$D,$A139)</f>
        <v>0</v>
      </c>
      <c r="E139" s="7">
        <f>COUNTIFS(STATUS!$Q:$Q,E$1,STATUS!$D:$D,$A139)</f>
        <v>0</v>
      </c>
      <c r="F139" s="7">
        <f>COUNTIFS(STATUS!$Q:$Q,F$1,STATUS!$D:$D,$A139)</f>
        <v>0</v>
      </c>
      <c r="G139" s="7">
        <f>COUNTIFS(STATUS!$Q:$Q,G$1,STATUS!$D:$D,$A139)</f>
        <v>0</v>
      </c>
      <c r="H139" s="7">
        <f>COUNTIFS(STATUS!$Q:$Q,H$1,STATUS!$D:$D,$A139)</f>
        <v>0</v>
      </c>
      <c r="I139" s="7">
        <f>COUNTIFS(STATUS!$Q:$Q,I$1,STATUS!$D:$D,$A139)</f>
        <v>0</v>
      </c>
      <c r="J139" s="7">
        <f t="shared" si="7"/>
        <v>2</v>
      </c>
    </row>
    <row r="140" spans="1:10" x14ac:dyDescent="0.3">
      <c r="A140" s="6">
        <v>44033</v>
      </c>
      <c r="B140" s="7">
        <f>COUNTIFS(STATUS!$Q:$Q,B$1,STATUS!$D:$D,$A140)</f>
        <v>0</v>
      </c>
      <c r="C140" s="7">
        <f>COUNTIFS(STATUS!$Q:$Q,C$1,STATUS!$D:$D,$A140)</f>
        <v>0</v>
      </c>
      <c r="D140" s="7">
        <f>COUNTIFS(STATUS!$Q:$Q,D$1,STATUS!$D:$D,$A140)</f>
        <v>0</v>
      </c>
      <c r="E140" s="7">
        <f>COUNTIFS(STATUS!$Q:$Q,E$1,STATUS!$D:$D,$A140)</f>
        <v>1</v>
      </c>
      <c r="F140" s="7">
        <f>COUNTIFS(STATUS!$Q:$Q,F$1,STATUS!$D:$D,$A140)</f>
        <v>0</v>
      </c>
      <c r="G140" s="7">
        <f>COUNTIFS(STATUS!$Q:$Q,G$1,STATUS!$D:$D,$A140)</f>
        <v>0</v>
      </c>
      <c r="H140" s="7">
        <f>COUNTIFS(STATUS!$Q:$Q,H$1,STATUS!$D:$D,$A140)</f>
        <v>0</v>
      </c>
      <c r="I140" s="7">
        <f>COUNTIFS(STATUS!$Q:$Q,I$1,STATUS!$D:$D,$A140)</f>
        <v>0</v>
      </c>
      <c r="J140" s="7">
        <f t="shared" si="7"/>
        <v>1</v>
      </c>
    </row>
    <row r="141" spans="1:10" x14ac:dyDescent="0.3">
      <c r="A141" s="6">
        <v>44034</v>
      </c>
      <c r="B141" s="7">
        <f>COUNTIFS(STATUS!$Q:$Q,B$1,STATUS!$D:$D,$A141)</f>
        <v>3</v>
      </c>
      <c r="C141" s="7">
        <f>COUNTIFS(STATUS!$Q:$Q,C$1,STATUS!$D:$D,$A141)</f>
        <v>0</v>
      </c>
      <c r="D141" s="7">
        <f>COUNTIFS(STATUS!$Q:$Q,D$1,STATUS!$D:$D,$A141)</f>
        <v>0</v>
      </c>
      <c r="E141" s="7">
        <f>COUNTIFS(STATUS!$Q:$Q,E$1,STATUS!$D:$D,$A141)</f>
        <v>1</v>
      </c>
      <c r="F141" s="7">
        <f>COUNTIFS(STATUS!$Q:$Q,F$1,STATUS!$D:$D,$A141)</f>
        <v>0</v>
      </c>
      <c r="G141" s="7">
        <f>COUNTIFS(STATUS!$Q:$Q,G$1,STATUS!$D:$D,$A141)</f>
        <v>0</v>
      </c>
      <c r="H141" s="7">
        <f>COUNTIFS(STATUS!$Q:$Q,H$1,STATUS!$D:$D,$A141)</f>
        <v>0</v>
      </c>
      <c r="I141" s="7">
        <f>COUNTIFS(STATUS!$Q:$Q,I$1,STATUS!$D:$D,$A141)</f>
        <v>0</v>
      </c>
      <c r="J141" s="7">
        <f t="shared" si="7"/>
        <v>4</v>
      </c>
    </row>
    <row r="142" spans="1:10" x14ac:dyDescent="0.3">
      <c r="A142" s="6">
        <v>44035</v>
      </c>
      <c r="B142" s="7">
        <f>COUNTIFS(STATUS!$Q:$Q,B$1,STATUS!$D:$D,$A142)</f>
        <v>5</v>
      </c>
      <c r="C142" s="7">
        <f>COUNTIFS(STATUS!$Q:$Q,C$1,STATUS!$D:$D,$A142)</f>
        <v>0</v>
      </c>
      <c r="D142" s="7">
        <f>COUNTIFS(STATUS!$Q:$Q,D$1,STATUS!$D:$D,$A142)</f>
        <v>7</v>
      </c>
      <c r="E142" s="7">
        <f>COUNTIFS(STATUS!$Q:$Q,E$1,STATUS!$D:$D,$A142)</f>
        <v>4</v>
      </c>
      <c r="F142" s="7">
        <f>COUNTIFS(STATUS!$Q:$Q,F$1,STATUS!$D:$D,$A142)</f>
        <v>0</v>
      </c>
      <c r="G142" s="7">
        <f>COUNTIFS(STATUS!$Q:$Q,G$1,STATUS!$D:$D,$A142)</f>
        <v>0</v>
      </c>
      <c r="H142" s="7">
        <f>COUNTIFS(STATUS!$Q:$Q,H$1,STATUS!$D:$D,$A142)</f>
        <v>0</v>
      </c>
      <c r="I142" s="7">
        <f>COUNTIFS(STATUS!$Q:$Q,I$1,STATUS!$D:$D,$A142)</f>
        <v>0</v>
      </c>
      <c r="J142" s="7">
        <f t="shared" si="7"/>
        <v>16</v>
      </c>
    </row>
    <row r="143" spans="1:10" x14ac:dyDescent="0.3">
      <c r="A143" s="6">
        <v>44036</v>
      </c>
      <c r="B143" s="7">
        <f>COUNTIFS(STATUS!$Q:$Q,B$1,STATUS!$D:$D,$A143)</f>
        <v>4</v>
      </c>
      <c r="C143" s="7">
        <f>COUNTIFS(STATUS!$Q:$Q,C$1,STATUS!$D:$D,$A143)</f>
        <v>0</v>
      </c>
      <c r="D143" s="7">
        <f>COUNTIFS(STATUS!$Q:$Q,D$1,STATUS!$D:$D,$A143)</f>
        <v>5</v>
      </c>
      <c r="E143" s="7">
        <f>COUNTIFS(STATUS!$Q:$Q,E$1,STATUS!$D:$D,$A143)</f>
        <v>4</v>
      </c>
      <c r="F143" s="7">
        <f>COUNTIFS(STATUS!$Q:$Q,F$1,STATUS!$D:$D,$A143)</f>
        <v>0</v>
      </c>
      <c r="G143" s="7">
        <f>COUNTIFS(STATUS!$Q:$Q,G$1,STATUS!$D:$D,$A143)</f>
        <v>0</v>
      </c>
      <c r="H143" s="7">
        <f>COUNTIFS(STATUS!$Q:$Q,H$1,STATUS!$D:$D,$A143)</f>
        <v>0</v>
      </c>
      <c r="I143" s="7">
        <f>COUNTIFS(STATUS!$Q:$Q,I$1,STATUS!$D:$D,$A143)</f>
        <v>0</v>
      </c>
      <c r="J143" s="7">
        <f t="shared" si="7"/>
        <v>13</v>
      </c>
    </row>
    <row r="144" spans="1:10" x14ac:dyDescent="0.3">
      <c r="A144" s="6">
        <v>44037</v>
      </c>
      <c r="B144" s="7">
        <f>COUNTIFS(STATUS!$Q:$Q,B$1,STATUS!$D:$D,$A144)</f>
        <v>0</v>
      </c>
      <c r="C144" s="7">
        <f>COUNTIFS(STATUS!$Q:$Q,C$1,STATUS!$D:$D,$A144)</f>
        <v>0</v>
      </c>
      <c r="D144" s="7">
        <f>COUNTIFS(STATUS!$Q:$Q,D$1,STATUS!$D:$D,$A144)</f>
        <v>0</v>
      </c>
      <c r="E144" s="7">
        <f>COUNTIFS(STATUS!$Q:$Q,E$1,STATUS!$D:$D,$A144)</f>
        <v>0</v>
      </c>
      <c r="F144" s="7">
        <f>COUNTIFS(STATUS!$Q:$Q,F$1,STATUS!$D:$D,$A144)</f>
        <v>0</v>
      </c>
      <c r="G144" s="7">
        <f>COUNTIFS(STATUS!$Q:$Q,G$1,STATUS!$D:$D,$A144)</f>
        <v>0</v>
      </c>
      <c r="H144" s="7">
        <f>COUNTIFS(STATUS!$Q:$Q,H$1,STATUS!$D:$D,$A144)</f>
        <v>0</v>
      </c>
      <c r="I144" s="7">
        <f>COUNTIFS(STATUS!$Q:$Q,I$1,STATUS!$D:$D,$A144)</f>
        <v>0</v>
      </c>
      <c r="J144" s="7">
        <f t="shared" si="7"/>
        <v>0</v>
      </c>
    </row>
    <row r="145" spans="1:10" x14ac:dyDescent="0.3">
      <c r="A145" s="6">
        <v>44038</v>
      </c>
      <c r="B145" s="7">
        <f>COUNTIFS(STATUS!$Q:$Q,B$1,STATUS!$D:$D,$A145)</f>
        <v>0</v>
      </c>
      <c r="C145" s="7">
        <f>COUNTIFS(STATUS!$Q:$Q,C$1,STATUS!$D:$D,$A145)</f>
        <v>0</v>
      </c>
      <c r="D145" s="7">
        <f>COUNTIFS(STATUS!$Q:$Q,D$1,STATUS!$D:$D,$A145)</f>
        <v>0</v>
      </c>
      <c r="E145" s="7">
        <f>COUNTIFS(STATUS!$Q:$Q,E$1,STATUS!$D:$D,$A145)</f>
        <v>0</v>
      </c>
      <c r="F145" s="7">
        <f>COUNTIFS(STATUS!$Q:$Q,F$1,STATUS!$D:$D,$A145)</f>
        <v>0</v>
      </c>
      <c r="G145" s="7">
        <f>COUNTIFS(STATUS!$Q:$Q,G$1,STATUS!$D:$D,$A145)</f>
        <v>0</v>
      </c>
      <c r="H145" s="7">
        <f>COUNTIFS(STATUS!$Q:$Q,H$1,STATUS!$D:$D,$A145)</f>
        <v>0</v>
      </c>
      <c r="I145" s="7">
        <f>COUNTIFS(STATUS!$Q:$Q,I$1,STATUS!$D:$D,$A145)</f>
        <v>0</v>
      </c>
      <c r="J145" s="7">
        <f t="shared" si="7"/>
        <v>0</v>
      </c>
    </row>
    <row r="146" spans="1:10" x14ac:dyDescent="0.3">
      <c r="A146" s="6">
        <v>44039</v>
      </c>
      <c r="B146" s="7">
        <f>COUNTIFS(STATUS!$Q:$Q,B$1,STATUS!$D:$D,$A146)</f>
        <v>0</v>
      </c>
      <c r="C146" s="7">
        <f>COUNTIFS(STATUS!$Q:$Q,C$1,STATUS!$D:$D,$A146)</f>
        <v>0</v>
      </c>
      <c r="D146" s="7">
        <f>COUNTIFS(STATUS!$Q:$Q,D$1,STATUS!$D:$D,$A146)</f>
        <v>5</v>
      </c>
      <c r="E146" s="7">
        <f>COUNTIFS(STATUS!$Q:$Q,E$1,STATUS!$D:$D,$A146)</f>
        <v>3</v>
      </c>
      <c r="F146" s="7">
        <f>COUNTIFS(STATUS!$Q:$Q,F$1,STATUS!$D:$D,$A146)</f>
        <v>0</v>
      </c>
      <c r="G146" s="7">
        <f>COUNTIFS(STATUS!$Q:$Q,G$1,STATUS!$D:$D,$A146)</f>
        <v>0</v>
      </c>
      <c r="H146" s="7">
        <f>COUNTIFS(STATUS!$Q:$Q,H$1,STATUS!$D:$D,$A146)</f>
        <v>0</v>
      </c>
      <c r="I146" s="7">
        <f>COUNTIFS(STATUS!$Q:$Q,I$1,STATUS!$D:$D,$A146)</f>
        <v>0</v>
      </c>
      <c r="J146" s="7">
        <f t="shared" si="7"/>
        <v>8</v>
      </c>
    </row>
    <row r="147" spans="1:10" x14ac:dyDescent="0.3">
      <c r="A147" s="6">
        <v>44040</v>
      </c>
      <c r="B147" s="7">
        <f>COUNTIFS(STATUS!$Q:$Q,B$1,STATUS!$D:$D,$A147)</f>
        <v>0</v>
      </c>
      <c r="C147" s="7">
        <f>COUNTIFS(STATUS!$Q:$Q,C$1,STATUS!$D:$D,$A147)</f>
        <v>0</v>
      </c>
      <c r="D147" s="7">
        <f>COUNTIFS(STATUS!$Q:$Q,D$1,STATUS!$D:$D,$A147)</f>
        <v>2</v>
      </c>
      <c r="E147" s="7">
        <f>COUNTIFS(STATUS!$Q:$Q,E$1,STATUS!$D:$D,$A147)</f>
        <v>3</v>
      </c>
      <c r="F147" s="7">
        <f>COUNTIFS(STATUS!$Q:$Q,F$1,STATUS!$D:$D,$A147)</f>
        <v>0</v>
      </c>
      <c r="G147" s="7">
        <f>COUNTIFS(STATUS!$Q:$Q,G$1,STATUS!$D:$D,$A147)</f>
        <v>0</v>
      </c>
      <c r="H147" s="7">
        <f>COUNTIFS(STATUS!$Q:$Q,H$1,STATUS!$D:$D,$A147)</f>
        <v>0</v>
      </c>
      <c r="I147" s="7">
        <f>COUNTIFS(STATUS!$Q:$Q,I$1,STATUS!$D:$D,$A147)</f>
        <v>0</v>
      </c>
      <c r="J147" s="7">
        <f t="shared" si="7"/>
        <v>5</v>
      </c>
    </row>
    <row r="148" spans="1:10" x14ac:dyDescent="0.3">
      <c r="A148" s="6">
        <v>44041</v>
      </c>
      <c r="B148" s="7">
        <f>COUNTIFS(STATUS!$Q:$Q,B$1,STATUS!$D:$D,$A148)</f>
        <v>0</v>
      </c>
      <c r="C148" s="7">
        <f>COUNTIFS(STATUS!$Q:$Q,C$1,STATUS!$D:$D,$A148)</f>
        <v>0</v>
      </c>
      <c r="D148" s="7">
        <f>COUNTIFS(STATUS!$Q:$Q,D$1,STATUS!$D:$D,$A148)</f>
        <v>4</v>
      </c>
      <c r="E148" s="7">
        <f>COUNTIFS(STATUS!$Q:$Q,E$1,STATUS!$D:$D,$A148)</f>
        <v>6</v>
      </c>
      <c r="F148" s="7">
        <f>COUNTIFS(STATUS!$Q:$Q,F$1,STATUS!$D:$D,$A148)</f>
        <v>0</v>
      </c>
      <c r="G148" s="7">
        <f>COUNTIFS(STATUS!$Q:$Q,G$1,STATUS!$D:$D,$A148)</f>
        <v>0</v>
      </c>
      <c r="H148" s="7">
        <f>COUNTIFS(STATUS!$Q:$Q,H$1,STATUS!$D:$D,$A148)</f>
        <v>0</v>
      </c>
      <c r="I148" s="7">
        <f>COUNTIFS(STATUS!$Q:$Q,I$1,STATUS!$D:$D,$A148)</f>
        <v>0</v>
      </c>
      <c r="J148" s="7">
        <f t="shared" si="7"/>
        <v>10</v>
      </c>
    </row>
    <row r="149" spans="1:10" x14ac:dyDescent="0.3">
      <c r="A149" s="6">
        <v>44042</v>
      </c>
      <c r="B149" s="7">
        <f>COUNTIFS(STATUS!$Q:$Q,B$1,STATUS!$D:$D,$A149)</f>
        <v>0</v>
      </c>
      <c r="C149" s="7">
        <f>COUNTIFS(STATUS!$Q:$Q,C$1,STATUS!$D:$D,$A149)</f>
        <v>0</v>
      </c>
      <c r="D149" s="7">
        <f>COUNTIFS(STATUS!$Q:$Q,D$1,STATUS!$D:$D,$A149)</f>
        <v>5</v>
      </c>
      <c r="E149" s="7">
        <f>COUNTIFS(STATUS!$Q:$Q,E$1,STATUS!$D:$D,$A149)</f>
        <v>4</v>
      </c>
      <c r="F149" s="7">
        <f>COUNTIFS(STATUS!$Q:$Q,F$1,STATUS!$D:$D,$A149)</f>
        <v>0</v>
      </c>
      <c r="G149" s="7">
        <f>COUNTIFS(STATUS!$Q:$Q,G$1,STATUS!$D:$D,$A149)</f>
        <v>0</v>
      </c>
      <c r="H149" s="7">
        <f>COUNTIFS(STATUS!$Q:$Q,H$1,STATUS!$D:$D,$A149)</f>
        <v>0</v>
      </c>
      <c r="I149" s="7">
        <f>COUNTIFS(STATUS!$Q:$Q,I$1,STATUS!$D:$D,$A149)</f>
        <v>0</v>
      </c>
      <c r="J149" s="7">
        <f t="shared" si="7"/>
        <v>9</v>
      </c>
    </row>
    <row r="150" spans="1:10" x14ac:dyDescent="0.3">
      <c r="A150" s="6">
        <v>44043</v>
      </c>
      <c r="B150" s="7">
        <f>COUNTIFS(STATUS!$Q:$Q,B$1,STATUS!$D:$D,$A150)</f>
        <v>0</v>
      </c>
      <c r="C150" s="7">
        <f>COUNTIFS(STATUS!$Q:$Q,C$1,STATUS!$D:$D,$A150)</f>
        <v>0</v>
      </c>
      <c r="D150" s="7">
        <f>COUNTIFS(STATUS!$Q:$Q,D$1,STATUS!$D:$D,$A150)</f>
        <v>4</v>
      </c>
      <c r="E150" s="7">
        <f>COUNTIFS(STATUS!$Q:$Q,E$1,STATUS!$D:$D,$A150)</f>
        <v>4</v>
      </c>
      <c r="F150" s="7">
        <f>COUNTIFS(STATUS!$Q:$Q,F$1,STATUS!$D:$D,$A150)</f>
        <v>0</v>
      </c>
      <c r="G150" s="7">
        <f>COUNTIFS(STATUS!$Q:$Q,G$1,STATUS!$D:$D,$A150)</f>
        <v>0</v>
      </c>
      <c r="H150" s="7">
        <f>COUNTIFS(STATUS!$Q:$Q,H$1,STATUS!$D:$D,$A150)</f>
        <v>0</v>
      </c>
      <c r="I150" s="7">
        <f>COUNTIFS(STATUS!$Q:$Q,I$1,STATUS!$D:$D,$A150)</f>
        <v>0</v>
      </c>
      <c r="J150" s="7">
        <f t="shared" si="7"/>
        <v>8</v>
      </c>
    </row>
    <row r="151" spans="1:10" x14ac:dyDescent="0.3">
      <c r="A151" s="6">
        <v>44044</v>
      </c>
      <c r="B151" s="7">
        <f>COUNTIFS(STATUS!$Q:$Q,B$1,STATUS!$D:$D,$A151)</f>
        <v>0</v>
      </c>
      <c r="C151" s="7">
        <f>COUNTIFS(STATUS!$Q:$Q,C$1,STATUS!$D:$D,$A151)</f>
        <v>0</v>
      </c>
      <c r="D151" s="7">
        <f>COUNTIFS(STATUS!$Q:$Q,D$1,STATUS!$D:$D,$A151)</f>
        <v>0</v>
      </c>
      <c r="E151" s="7">
        <f>COUNTIFS(STATUS!$Q:$Q,E$1,STATUS!$D:$D,$A151)</f>
        <v>0</v>
      </c>
      <c r="F151" s="7">
        <f>COUNTIFS(STATUS!$Q:$Q,F$1,STATUS!$D:$D,$A151)</f>
        <v>0</v>
      </c>
      <c r="G151" s="7">
        <f>COUNTIFS(STATUS!$Q:$Q,G$1,STATUS!$D:$D,$A151)</f>
        <v>0</v>
      </c>
      <c r="H151" s="7">
        <f>COUNTIFS(STATUS!$Q:$Q,H$1,STATUS!$D:$D,$A151)</f>
        <v>0</v>
      </c>
      <c r="I151" s="7">
        <f>COUNTIFS(STATUS!$Q:$Q,I$1,STATUS!$D:$D,$A151)</f>
        <v>0</v>
      </c>
      <c r="J151" s="7">
        <f t="shared" si="7"/>
        <v>0</v>
      </c>
    </row>
    <row r="152" spans="1:10" x14ac:dyDescent="0.3">
      <c r="A152" s="6">
        <v>44045</v>
      </c>
      <c r="B152" s="7">
        <f>COUNTIFS(STATUS!$Q:$Q,B$1,STATUS!$D:$D,$A152)</f>
        <v>0</v>
      </c>
      <c r="C152" s="7">
        <f>COUNTIFS(STATUS!$Q:$Q,C$1,STATUS!$D:$D,$A152)</f>
        <v>0</v>
      </c>
      <c r="D152" s="7">
        <f>COUNTIFS(STATUS!$Q:$Q,D$1,STATUS!$D:$D,$A152)</f>
        <v>0</v>
      </c>
      <c r="E152" s="7">
        <f>COUNTIFS(STATUS!$Q:$Q,E$1,STATUS!$D:$D,$A152)</f>
        <v>0</v>
      </c>
      <c r="F152" s="7">
        <f>COUNTIFS(STATUS!$Q:$Q,F$1,STATUS!$D:$D,$A152)</f>
        <v>0</v>
      </c>
      <c r="G152" s="7">
        <f>COUNTIFS(STATUS!$Q:$Q,G$1,STATUS!$D:$D,$A152)</f>
        <v>0</v>
      </c>
      <c r="H152" s="7">
        <f>COUNTIFS(STATUS!$Q:$Q,H$1,STATUS!$D:$D,$A152)</f>
        <v>0</v>
      </c>
      <c r="I152" s="7">
        <f>COUNTIFS(STATUS!$Q:$Q,I$1,STATUS!$D:$D,$A152)</f>
        <v>0</v>
      </c>
      <c r="J152" s="7">
        <f t="shared" si="7"/>
        <v>0</v>
      </c>
    </row>
    <row r="153" spans="1:10" x14ac:dyDescent="0.3">
      <c r="A153" s="6">
        <v>44046</v>
      </c>
      <c r="B153" s="7">
        <f>COUNTIFS(STATUS!$Q:$Q,B$1,STATUS!$D:$D,$A153)</f>
        <v>0</v>
      </c>
      <c r="C153" s="7">
        <f>COUNTIFS(STATUS!$Q:$Q,C$1,STATUS!$D:$D,$A153)</f>
        <v>4</v>
      </c>
      <c r="D153" s="7">
        <f>COUNTIFS(STATUS!$Q:$Q,D$1,STATUS!$D:$D,$A153)</f>
        <v>6</v>
      </c>
      <c r="E153" s="7">
        <f>COUNTIFS(STATUS!$Q:$Q,E$1,STATUS!$D:$D,$A153)</f>
        <v>0</v>
      </c>
      <c r="F153" s="7">
        <f>COUNTIFS(STATUS!$Q:$Q,F$1,STATUS!$D:$D,$A153)</f>
        <v>0</v>
      </c>
      <c r="G153" s="7">
        <f>COUNTIFS(STATUS!$Q:$Q,G$1,STATUS!$D:$D,$A153)</f>
        <v>0</v>
      </c>
      <c r="H153" s="7">
        <f>COUNTIFS(STATUS!$Q:$Q,H$1,STATUS!$D:$D,$A153)</f>
        <v>0</v>
      </c>
      <c r="I153" s="7">
        <f>COUNTIFS(STATUS!$Q:$Q,I$1,STATUS!$D:$D,$A153)</f>
        <v>0</v>
      </c>
      <c r="J153" s="7">
        <f t="shared" si="7"/>
        <v>10</v>
      </c>
    </row>
    <row r="154" spans="1:10" x14ac:dyDescent="0.3">
      <c r="A154" s="6">
        <v>44047</v>
      </c>
      <c r="B154" s="7">
        <f>COUNTIFS(STATUS!$Q:$Q,B$1,STATUS!$D:$D,$A154)</f>
        <v>0</v>
      </c>
      <c r="C154" s="7">
        <f>COUNTIFS(STATUS!$Q:$Q,C$1,STATUS!$D:$D,$A154)</f>
        <v>6</v>
      </c>
      <c r="D154" s="7">
        <f>COUNTIFS(STATUS!$Q:$Q,D$1,STATUS!$D:$D,$A154)</f>
        <v>6</v>
      </c>
      <c r="E154" s="7">
        <f>COUNTIFS(STATUS!$Q:$Q,E$1,STATUS!$D:$D,$A154)</f>
        <v>0</v>
      </c>
      <c r="F154" s="7">
        <f>COUNTIFS(STATUS!$Q:$Q,F$1,STATUS!$D:$D,$A154)</f>
        <v>0</v>
      </c>
      <c r="G154" s="7">
        <f>COUNTIFS(STATUS!$Q:$Q,G$1,STATUS!$D:$D,$A154)</f>
        <v>0</v>
      </c>
      <c r="H154" s="7">
        <f>COUNTIFS(STATUS!$Q:$Q,H$1,STATUS!$D:$D,$A154)</f>
        <v>0</v>
      </c>
      <c r="I154" s="7">
        <f>COUNTIFS(STATUS!$Q:$Q,I$1,STATUS!$D:$D,$A154)</f>
        <v>0</v>
      </c>
      <c r="J154" s="7">
        <f t="shared" si="7"/>
        <v>12</v>
      </c>
    </row>
    <row r="155" spans="1:10" x14ac:dyDescent="0.3">
      <c r="A155" s="6">
        <v>44048</v>
      </c>
      <c r="B155" s="7">
        <f>COUNTIFS(STATUS!$Q:$Q,B$1,STATUS!$D:$D,$A155)</f>
        <v>0</v>
      </c>
      <c r="C155" s="7">
        <f>COUNTIFS(STATUS!$Q:$Q,C$1,STATUS!$D:$D,$A155)</f>
        <v>3</v>
      </c>
      <c r="D155" s="7">
        <f>COUNTIFS(STATUS!$Q:$Q,D$1,STATUS!$D:$D,$A155)</f>
        <v>6</v>
      </c>
      <c r="E155" s="7">
        <f>COUNTIFS(STATUS!$Q:$Q,E$1,STATUS!$D:$D,$A155)</f>
        <v>0</v>
      </c>
      <c r="F155" s="7">
        <f>COUNTIFS(STATUS!$Q:$Q,F$1,STATUS!$D:$D,$A155)</f>
        <v>0</v>
      </c>
      <c r="G155" s="7">
        <f>COUNTIFS(STATUS!$Q:$Q,G$1,STATUS!$D:$D,$A155)</f>
        <v>0</v>
      </c>
      <c r="H155" s="7">
        <f>COUNTIFS(STATUS!$Q:$Q,H$1,STATUS!$D:$D,$A155)</f>
        <v>0</v>
      </c>
      <c r="I155" s="7">
        <f>COUNTIFS(STATUS!$Q:$Q,I$1,STATUS!$D:$D,$A155)</f>
        <v>0</v>
      </c>
      <c r="J155" s="7">
        <f t="shared" si="7"/>
        <v>9</v>
      </c>
    </row>
    <row r="156" spans="1:10" x14ac:dyDescent="0.3">
      <c r="A156" s="6">
        <v>44049</v>
      </c>
      <c r="B156" s="7">
        <f>COUNTIFS(STATUS!$Q:$Q,B$1,STATUS!$D:$D,$A156)</f>
        <v>0</v>
      </c>
      <c r="C156" s="7">
        <f>COUNTIFS(STATUS!$Q:$Q,C$1,STATUS!$D:$D,$A156)</f>
        <v>5</v>
      </c>
      <c r="D156" s="7">
        <f>COUNTIFS(STATUS!$Q:$Q,D$1,STATUS!$D:$D,$A156)</f>
        <v>6</v>
      </c>
      <c r="E156" s="7">
        <f>COUNTIFS(STATUS!$Q:$Q,E$1,STATUS!$D:$D,$A156)</f>
        <v>0</v>
      </c>
      <c r="F156" s="7">
        <f>COUNTIFS(STATUS!$Q:$Q,F$1,STATUS!$D:$D,$A156)</f>
        <v>0</v>
      </c>
      <c r="G156" s="7">
        <f>COUNTIFS(STATUS!$Q:$Q,G$1,STATUS!$D:$D,$A156)</f>
        <v>0</v>
      </c>
      <c r="H156" s="7">
        <f>COUNTIFS(STATUS!$Q:$Q,H$1,STATUS!$D:$D,$A156)</f>
        <v>0</v>
      </c>
      <c r="I156" s="7">
        <f>COUNTIFS(STATUS!$Q:$Q,I$1,STATUS!$D:$D,$A156)</f>
        <v>0</v>
      </c>
      <c r="J156" s="7">
        <f t="shared" si="7"/>
        <v>11</v>
      </c>
    </row>
    <row r="157" spans="1:10" x14ac:dyDescent="0.3">
      <c r="A157" s="6">
        <v>44050</v>
      </c>
      <c r="B157" s="7">
        <f>COUNTIFS(STATUS!$Q:$Q,B$1,STATUS!$D:$D,$A157)</f>
        <v>0</v>
      </c>
      <c r="C157" s="7">
        <f>COUNTIFS(STATUS!$Q:$Q,C$1,STATUS!$D:$D,$A157)</f>
        <v>5</v>
      </c>
      <c r="D157" s="7">
        <f>COUNTIFS(STATUS!$Q:$Q,D$1,STATUS!$D:$D,$A157)</f>
        <v>4</v>
      </c>
      <c r="E157" s="7">
        <f>COUNTIFS(STATUS!$Q:$Q,E$1,STATUS!$D:$D,$A157)</f>
        <v>0</v>
      </c>
      <c r="F157" s="7">
        <f>COUNTIFS(STATUS!$Q:$Q,F$1,STATUS!$D:$D,$A157)</f>
        <v>0</v>
      </c>
      <c r="G157" s="7">
        <f>COUNTIFS(STATUS!$Q:$Q,G$1,STATUS!$D:$D,$A157)</f>
        <v>0</v>
      </c>
      <c r="H157" s="7">
        <f>COUNTIFS(STATUS!$Q:$Q,H$1,STATUS!$D:$D,$A157)</f>
        <v>0</v>
      </c>
      <c r="I157" s="7">
        <f>COUNTIFS(STATUS!$Q:$Q,I$1,STATUS!$D:$D,$A157)</f>
        <v>0</v>
      </c>
      <c r="J157" s="7">
        <f t="shared" ref="J157:J171" si="8">SUM(B157:I157)</f>
        <v>9</v>
      </c>
    </row>
    <row r="158" spans="1:10" x14ac:dyDescent="0.3">
      <c r="A158" s="6">
        <v>44051</v>
      </c>
      <c r="B158" s="7">
        <f>COUNTIFS(STATUS!$Q:$Q,B$1,STATUS!$D:$D,$A158)</f>
        <v>0</v>
      </c>
      <c r="C158" s="7">
        <f>COUNTIFS(STATUS!$Q:$Q,C$1,STATUS!$D:$D,$A158)</f>
        <v>0</v>
      </c>
      <c r="D158" s="7">
        <f>COUNTIFS(STATUS!$Q:$Q,D$1,STATUS!$D:$D,$A158)</f>
        <v>0</v>
      </c>
      <c r="E158" s="7">
        <f>COUNTIFS(STATUS!$Q:$Q,E$1,STATUS!$D:$D,$A158)</f>
        <v>0</v>
      </c>
      <c r="F158" s="7">
        <f>COUNTIFS(STATUS!$Q:$Q,F$1,STATUS!$D:$D,$A158)</f>
        <v>0</v>
      </c>
      <c r="G158" s="7">
        <f>COUNTIFS(STATUS!$Q:$Q,G$1,STATUS!$D:$D,$A158)</f>
        <v>0</v>
      </c>
      <c r="H158" s="7">
        <f>COUNTIFS(STATUS!$Q:$Q,H$1,STATUS!$D:$D,$A158)</f>
        <v>0</v>
      </c>
      <c r="I158" s="7">
        <f>COUNTIFS(STATUS!$Q:$Q,I$1,STATUS!$D:$D,$A158)</f>
        <v>0</v>
      </c>
      <c r="J158" s="7">
        <f t="shared" si="8"/>
        <v>0</v>
      </c>
    </row>
    <row r="159" spans="1:10" x14ac:dyDescent="0.3">
      <c r="A159" s="6">
        <v>44052</v>
      </c>
      <c r="B159" s="7">
        <f>COUNTIFS(STATUS!$Q:$Q,B$1,STATUS!$D:$D,$A159)</f>
        <v>0</v>
      </c>
      <c r="C159" s="7">
        <f>COUNTIFS(STATUS!$Q:$Q,C$1,STATUS!$D:$D,$A159)</f>
        <v>0</v>
      </c>
      <c r="D159" s="7">
        <f>COUNTIFS(STATUS!$Q:$Q,D$1,STATUS!$D:$D,$A159)</f>
        <v>0</v>
      </c>
      <c r="E159" s="7">
        <f>COUNTIFS(STATUS!$Q:$Q,E$1,STATUS!$D:$D,$A159)</f>
        <v>0</v>
      </c>
      <c r="F159" s="7">
        <f>COUNTIFS(STATUS!$Q:$Q,F$1,STATUS!$D:$D,$A159)</f>
        <v>0</v>
      </c>
      <c r="G159" s="7">
        <f>COUNTIFS(STATUS!$Q:$Q,G$1,STATUS!$D:$D,$A159)</f>
        <v>0</v>
      </c>
      <c r="H159" s="7">
        <f>COUNTIFS(STATUS!$Q:$Q,H$1,STATUS!$D:$D,$A159)</f>
        <v>0</v>
      </c>
      <c r="I159" s="7">
        <f>COUNTIFS(STATUS!$Q:$Q,I$1,STATUS!$D:$D,$A159)</f>
        <v>0</v>
      </c>
      <c r="J159" s="7">
        <f t="shared" si="8"/>
        <v>0</v>
      </c>
    </row>
    <row r="160" spans="1:10" x14ac:dyDescent="0.3">
      <c r="A160" s="6">
        <v>44053</v>
      </c>
      <c r="B160" s="7">
        <f>COUNTIFS(STATUS!$Q:$Q,B$1,STATUS!$D:$D,$A160)</f>
        <v>0</v>
      </c>
      <c r="C160" s="7">
        <f>COUNTIFS(STATUS!$Q:$Q,C$1,STATUS!$D:$D,$A160)</f>
        <v>4</v>
      </c>
      <c r="D160" s="7">
        <f>COUNTIFS(STATUS!$Q:$Q,D$1,STATUS!$D:$D,$A160)</f>
        <v>5</v>
      </c>
      <c r="E160" s="7">
        <f>COUNTIFS(STATUS!$Q:$Q,E$1,STATUS!$D:$D,$A160)</f>
        <v>0</v>
      </c>
      <c r="F160" s="7">
        <f>COUNTIFS(STATUS!$Q:$Q,F$1,STATUS!$D:$D,$A160)</f>
        <v>0</v>
      </c>
      <c r="G160" s="7">
        <f>COUNTIFS(STATUS!$Q:$Q,G$1,STATUS!$D:$D,$A160)</f>
        <v>0</v>
      </c>
      <c r="H160" s="7">
        <f>COUNTIFS(STATUS!$Q:$Q,H$1,STATUS!$D:$D,$A160)</f>
        <v>0</v>
      </c>
      <c r="I160" s="7">
        <f>COUNTIFS(STATUS!$Q:$Q,I$1,STATUS!$D:$D,$A160)</f>
        <v>0</v>
      </c>
      <c r="J160" s="7">
        <f t="shared" si="8"/>
        <v>9</v>
      </c>
    </row>
    <row r="161" spans="1:10" x14ac:dyDescent="0.3">
      <c r="A161" s="6">
        <v>44054</v>
      </c>
      <c r="B161" s="7">
        <f>COUNTIFS(STATUS!$Q:$Q,B$1,STATUS!$D:$D,$A161)</f>
        <v>0</v>
      </c>
      <c r="C161" s="7">
        <f>COUNTIFS(STATUS!$Q:$Q,C$1,STATUS!$D:$D,$A161)</f>
        <v>3</v>
      </c>
      <c r="D161" s="7">
        <f>COUNTIFS(STATUS!$Q:$Q,D$1,STATUS!$D:$D,$A161)</f>
        <v>6</v>
      </c>
      <c r="E161" s="7">
        <f>COUNTIFS(STATUS!$Q:$Q,E$1,STATUS!$D:$D,$A161)</f>
        <v>0</v>
      </c>
      <c r="F161" s="7">
        <f>COUNTIFS(STATUS!$Q:$Q,F$1,STATUS!$D:$D,$A161)</f>
        <v>0</v>
      </c>
      <c r="G161" s="7">
        <f>COUNTIFS(STATUS!$Q:$Q,G$1,STATUS!$D:$D,$A161)</f>
        <v>0</v>
      </c>
      <c r="H161" s="7">
        <f>COUNTIFS(STATUS!$Q:$Q,H$1,STATUS!$D:$D,$A161)</f>
        <v>0</v>
      </c>
      <c r="I161" s="7">
        <f>COUNTIFS(STATUS!$Q:$Q,I$1,STATUS!$D:$D,$A161)</f>
        <v>0</v>
      </c>
      <c r="J161" s="7">
        <f t="shared" si="8"/>
        <v>9</v>
      </c>
    </row>
    <row r="162" spans="1:10" x14ac:dyDescent="0.3">
      <c r="A162" s="6">
        <v>44055</v>
      </c>
      <c r="B162" s="7">
        <f>COUNTIFS(STATUS!$Q:$Q,B$1,STATUS!$D:$D,$A162)</f>
        <v>0</v>
      </c>
      <c r="C162" s="7">
        <f>COUNTIFS(STATUS!$Q:$Q,C$1,STATUS!$D:$D,$A162)</f>
        <v>3</v>
      </c>
      <c r="D162" s="7">
        <f>COUNTIFS(STATUS!$Q:$Q,D$1,STATUS!$D:$D,$A162)</f>
        <v>3</v>
      </c>
      <c r="E162" s="7">
        <f>COUNTIFS(STATUS!$Q:$Q,E$1,STATUS!$D:$D,$A162)</f>
        <v>0</v>
      </c>
      <c r="F162" s="7">
        <f>COUNTIFS(STATUS!$Q:$Q,F$1,STATUS!$D:$D,$A162)</f>
        <v>0</v>
      </c>
      <c r="G162" s="7">
        <f>COUNTIFS(STATUS!$Q:$Q,G$1,STATUS!$D:$D,$A162)</f>
        <v>0</v>
      </c>
      <c r="H162" s="7">
        <f>COUNTIFS(STATUS!$Q:$Q,H$1,STATUS!$D:$D,$A162)</f>
        <v>0</v>
      </c>
      <c r="I162" s="7">
        <f>COUNTIFS(STATUS!$Q:$Q,I$1,STATUS!$D:$D,$A162)</f>
        <v>0</v>
      </c>
      <c r="J162" s="7">
        <f t="shared" si="8"/>
        <v>6</v>
      </c>
    </row>
    <row r="163" spans="1:10" x14ac:dyDescent="0.3">
      <c r="A163" s="6">
        <v>44056</v>
      </c>
      <c r="B163" s="7">
        <f>COUNTIFS(STATUS!$Q:$Q,B$1,STATUS!$D:$D,$A163)</f>
        <v>0</v>
      </c>
      <c r="C163" s="7">
        <f>COUNTIFS(STATUS!$Q:$Q,C$1,STATUS!$D:$D,$A163)</f>
        <v>6</v>
      </c>
      <c r="D163" s="7">
        <f>COUNTIFS(STATUS!$Q:$Q,D$1,STATUS!$D:$D,$A163)</f>
        <v>4</v>
      </c>
      <c r="E163" s="7">
        <f>COUNTIFS(STATUS!$Q:$Q,E$1,STATUS!$D:$D,$A163)</f>
        <v>0</v>
      </c>
      <c r="F163" s="7">
        <f>COUNTIFS(STATUS!$Q:$Q,F$1,STATUS!$D:$D,$A163)</f>
        <v>0</v>
      </c>
      <c r="G163" s="7">
        <f>COUNTIFS(STATUS!$Q:$Q,G$1,STATUS!$D:$D,$A163)</f>
        <v>0</v>
      </c>
      <c r="H163" s="7">
        <f>COUNTIFS(STATUS!$Q:$Q,H$1,STATUS!$D:$D,$A163)</f>
        <v>0</v>
      </c>
      <c r="I163" s="7">
        <f>COUNTIFS(STATUS!$Q:$Q,I$1,STATUS!$D:$D,$A163)</f>
        <v>0</v>
      </c>
      <c r="J163" s="7">
        <f t="shared" si="8"/>
        <v>10</v>
      </c>
    </row>
    <row r="164" spans="1:10" x14ac:dyDescent="0.3">
      <c r="A164" s="6">
        <v>44057</v>
      </c>
      <c r="B164" s="7">
        <f>COUNTIFS(STATUS!$Q:$Q,B$1,STATUS!$D:$D,$A164)</f>
        <v>0</v>
      </c>
      <c r="C164" s="7">
        <f>COUNTIFS(STATUS!$Q:$Q,C$1,STATUS!$D:$D,$A164)</f>
        <v>4</v>
      </c>
      <c r="D164" s="7">
        <f>COUNTIFS(STATUS!$Q:$Q,D$1,STATUS!$D:$D,$A164)</f>
        <v>5</v>
      </c>
      <c r="E164" s="7">
        <f>COUNTIFS(STATUS!$Q:$Q,E$1,STATUS!$D:$D,$A164)</f>
        <v>0</v>
      </c>
      <c r="F164" s="7">
        <f>COUNTIFS(STATUS!$Q:$Q,F$1,STATUS!$D:$D,$A164)</f>
        <v>0</v>
      </c>
      <c r="G164" s="7">
        <f>COUNTIFS(STATUS!$Q:$Q,G$1,STATUS!$D:$D,$A164)</f>
        <v>0</v>
      </c>
      <c r="H164" s="7">
        <f>COUNTIFS(STATUS!$Q:$Q,H$1,STATUS!$D:$D,$A164)</f>
        <v>0</v>
      </c>
      <c r="I164" s="7">
        <f>COUNTIFS(STATUS!$Q:$Q,I$1,STATUS!$D:$D,$A164)</f>
        <v>0</v>
      </c>
      <c r="J164" s="7">
        <f t="shared" si="8"/>
        <v>9</v>
      </c>
    </row>
    <row r="165" spans="1:10" x14ac:dyDescent="0.3">
      <c r="A165" s="6">
        <v>44058</v>
      </c>
      <c r="B165" s="7">
        <f>COUNTIFS(STATUS!$Q:$Q,B$1,STATUS!$D:$D,$A165)</f>
        <v>0</v>
      </c>
      <c r="C165" s="7">
        <f>COUNTIFS(STATUS!$Q:$Q,C$1,STATUS!$D:$D,$A165)</f>
        <v>0</v>
      </c>
      <c r="D165" s="7">
        <f>COUNTIFS(STATUS!$Q:$Q,D$1,STATUS!$D:$D,$A165)</f>
        <v>0</v>
      </c>
      <c r="E165" s="7">
        <f>COUNTIFS(STATUS!$Q:$Q,E$1,STATUS!$D:$D,$A165)</f>
        <v>0</v>
      </c>
      <c r="F165" s="7">
        <f>COUNTIFS(STATUS!$Q:$Q,F$1,STATUS!$D:$D,$A165)</f>
        <v>0</v>
      </c>
      <c r="G165" s="7">
        <f>COUNTIFS(STATUS!$Q:$Q,G$1,STATUS!$D:$D,$A165)</f>
        <v>0</v>
      </c>
      <c r="H165" s="7">
        <f>COUNTIFS(STATUS!$Q:$Q,H$1,STATUS!$D:$D,$A165)</f>
        <v>0</v>
      </c>
      <c r="I165" s="7">
        <f>COUNTIFS(STATUS!$Q:$Q,I$1,STATUS!$D:$D,$A165)</f>
        <v>0</v>
      </c>
      <c r="J165" s="7">
        <f t="shared" si="8"/>
        <v>0</v>
      </c>
    </row>
    <row r="166" spans="1:10" x14ac:dyDescent="0.3">
      <c r="A166" s="6">
        <v>44059</v>
      </c>
      <c r="B166" s="7">
        <f>COUNTIFS(STATUS!$Q:$Q,B$1,STATUS!$D:$D,$A166)</f>
        <v>0</v>
      </c>
      <c r="C166" s="7">
        <f>COUNTIFS(STATUS!$Q:$Q,C$1,STATUS!$D:$D,$A166)</f>
        <v>0</v>
      </c>
      <c r="D166" s="7">
        <f>COUNTIFS(STATUS!$Q:$Q,D$1,STATUS!$D:$D,$A166)</f>
        <v>0</v>
      </c>
      <c r="E166" s="7">
        <f>COUNTIFS(STATUS!$Q:$Q,E$1,STATUS!$D:$D,$A166)</f>
        <v>0</v>
      </c>
      <c r="F166" s="7">
        <f>COUNTIFS(STATUS!$Q:$Q,F$1,STATUS!$D:$D,$A166)</f>
        <v>0</v>
      </c>
      <c r="G166" s="7">
        <f>COUNTIFS(STATUS!$Q:$Q,G$1,STATUS!$D:$D,$A166)</f>
        <v>0</v>
      </c>
      <c r="H166" s="7">
        <f>COUNTIFS(STATUS!$Q:$Q,H$1,STATUS!$D:$D,$A166)</f>
        <v>0</v>
      </c>
      <c r="I166" s="7">
        <f>COUNTIFS(STATUS!$Q:$Q,I$1,STATUS!$D:$D,$A166)</f>
        <v>0</v>
      </c>
      <c r="J166" s="7">
        <f t="shared" si="8"/>
        <v>0</v>
      </c>
    </row>
    <row r="167" spans="1:10" x14ac:dyDescent="0.3">
      <c r="A167" s="6">
        <v>44060</v>
      </c>
      <c r="B167" s="7">
        <f>COUNTIFS(STATUS!$Q:$Q,B$1,STATUS!$D:$D,$A167)</f>
        <v>0</v>
      </c>
      <c r="C167" s="7">
        <f>COUNTIFS(STATUS!$Q:$Q,C$1,STATUS!$D:$D,$A167)</f>
        <v>4</v>
      </c>
      <c r="D167" s="7">
        <f>COUNTIFS(STATUS!$Q:$Q,D$1,STATUS!$D:$D,$A167)</f>
        <v>3</v>
      </c>
      <c r="E167" s="7">
        <f>COUNTIFS(STATUS!$Q:$Q,E$1,STATUS!$D:$D,$A167)</f>
        <v>0</v>
      </c>
      <c r="F167" s="7">
        <f>COUNTIFS(STATUS!$Q:$Q,F$1,STATUS!$D:$D,$A167)</f>
        <v>0</v>
      </c>
      <c r="G167" s="7">
        <f>COUNTIFS(STATUS!$Q:$Q,G$1,STATUS!$D:$D,$A167)</f>
        <v>0</v>
      </c>
      <c r="H167" s="7">
        <f>COUNTIFS(STATUS!$Q:$Q,H$1,STATUS!$D:$D,$A167)</f>
        <v>0</v>
      </c>
      <c r="I167" s="7">
        <f>COUNTIFS(STATUS!$Q:$Q,I$1,STATUS!$D:$D,$A167)</f>
        <v>0</v>
      </c>
      <c r="J167" s="7">
        <f t="shared" si="8"/>
        <v>7</v>
      </c>
    </row>
    <row r="168" spans="1:10" x14ac:dyDescent="0.3">
      <c r="A168" s="6">
        <v>44061</v>
      </c>
      <c r="B168" s="7">
        <f>COUNTIFS(STATUS!$Q:$Q,B$1,STATUS!$D:$D,$A168)</f>
        <v>0</v>
      </c>
      <c r="C168" s="7">
        <f>COUNTIFS(STATUS!$Q:$Q,C$1,STATUS!$D:$D,$A168)</f>
        <v>4</v>
      </c>
      <c r="D168" s="7">
        <f>COUNTIFS(STATUS!$Q:$Q,D$1,STATUS!$D:$D,$A168)</f>
        <v>6</v>
      </c>
      <c r="E168" s="7">
        <f>COUNTIFS(STATUS!$Q:$Q,E$1,STATUS!$D:$D,$A168)</f>
        <v>4</v>
      </c>
      <c r="F168" s="7">
        <f>COUNTIFS(STATUS!$Q:$Q,F$1,STATUS!$D:$D,$A168)</f>
        <v>0</v>
      </c>
      <c r="G168" s="7">
        <f>COUNTIFS(STATUS!$Q:$Q,G$1,STATUS!$D:$D,$A168)</f>
        <v>0</v>
      </c>
      <c r="H168" s="7">
        <f>COUNTIFS(STATUS!$Q:$Q,H$1,STATUS!$D:$D,$A168)</f>
        <v>0</v>
      </c>
      <c r="I168" s="7">
        <f>COUNTIFS(STATUS!$Q:$Q,I$1,STATUS!$D:$D,$A168)</f>
        <v>0</v>
      </c>
      <c r="J168" s="7">
        <f t="shared" si="8"/>
        <v>14</v>
      </c>
    </row>
    <row r="169" spans="1:10" x14ac:dyDescent="0.3">
      <c r="A169" s="6">
        <v>44062</v>
      </c>
      <c r="B169" s="7">
        <f>COUNTIFS(STATUS!$Q:$Q,B$1,STATUS!$D:$D,$A169)</f>
        <v>0</v>
      </c>
      <c r="C169" s="7">
        <f>COUNTIFS(STATUS!$Q:$Q,C$1,STATUS!$D:$D,$A169)</f>
        <v>3</v>
      </c>
      <c r="D169" s="7">
        <f>COUNTIFS(STATUS!$Q:$Q,D$1,STATUS!$D:$D,$A169)</f>
        <v>4</v>
      </c>
      <c r="E169" s="7">
        <f>COUNTIFS(STATUS!$Q:$Q,E$1,STATUS!$D:$D,$A169)</f>
        <v>3</v>
      </c>
      <c r="F169" s="7">
        <f>COUNTIFS(STATUS!$Q:$Q,F$1,STATUS!$D:$D,$A169)</f>
        <v>0</v>
      </c>
      <c r="G169" s="7">
        <f>COUNTIFS(STATUS!$Q:$Q,G$1,STATUS!$D:$D,$A169)</f>
        <v>0</v>
      </c>
      <c r="H169" s="7">
        <f>COUNTIFS(STATUS!$Q:$Q,H$1,STATUS!$D:$D,$A169)</f>
        <v>0</v>
      </c>
      <c r="I169" s="7">
        <f>COUNTIFS(STATUS!$Q:$Q,I$1,STATUS!$D:$D,$A169)</f>
        <v>0</v>
      </c>
      <c r="J169" s="7">
        <f t="shared" si="8"/>
        <v>10</v>
      </c>
    </row>
    <row r="170" spans="1:10" x14ac:dyDescent="0.3">
      <c r="A170" s="6">
        <v>44063</v>
      </c>
      <c r="B170" s="7">
        <f>COUNTIFS(STATUS!$Q:$Q,B$1,STATUS!$D:$D,$A170)</f>
        <v>0</v>
      </c>
      <c r="C170" s="7">
        <f>COUNTIFS(STATUS!$Q:$Q,C$1,STATUS!$D:$D,$A170)</f>
        <v>3</v>
      </c>
      <c r="D170" s="7">
        <f>COUNTIFS(STATUS!$Q:$Q,D$1,STATUS!$D:$D,$A170)</f>
        <v>4</v>
      </c>
      <c r="E170" s="7">
        <f>COUNTIFS(STATUS!$Q:$Q,E$1,STATUS!$D:$D,$A170)</f>
        <v>3</v>
      </c>
      <c r="F170" s="7">
        <f>COUNTIFS(STATUS!$Q:$Q,F$1,STATUS!$D:$D,$A170)</f>
        <v>0</v>
      </c>
      <c r="G170" s="7">
        <f>COUNTIFS(STATUS!$Q:$Q,G$1,STATUS!$D:$D,$A170)</f>
        <v>0</v>
      </c>
      <c r="H170" s="7">
        <f>COUNTIFS(STATUS!$Q:$Q,H$1,STATUS!$D:$D,$A170)</f>
        <v>0</v>
      </c>
      <c r="I170" s="7">
        <f>COUNTIFS(STATUS!$Q:$Q,I$1,STATUS!$D:$D,$A170)</f>
        <v>0</v>
      </c>
      <c r="J170" s="7">
        <f t="shared" si="8"/>
        <v>10</v>
      </c>
    </row>
    <row r="171" spans="1:10" x14ac:dyDescent="0.3">
      <c r="A171" s="6">
        <v>44064</v>
      </c>
      <c r="B171" s="7">
        <f>COUNTIFS(STATUS!$Q:$Q,B$1,STATUS!$D:$D,$A171)</f>
        <v>0</v>
      </c>
      <c r="C171" s="7">
        <f>COUNTIFS(STATUS!$Q:$Q,C$1,STATUS!$D:$D,$A171)</f>
        <v>2</v>
      </c>
      <c r="D171" s="7">
        <f>COUNTIFS(STATUS!$Q:$Q,D$1,STATUS!$D:$D,$A171)</f>
        <v>2</v>
      </c>
      <c r="E171" s="7">
        <f>COUNTIFS(STATUS!$Q:$Q,E$1,STATUS!$D:$D,$A171)</f>
        <v>3</v>
      </c>
      <c r="F171" s="7">
        <f>COUNTIFS(STATUS!$Q:$Q,F$1,STATUS!$D:$D,$A171)</f>
        <v>0</v>
      </c>
      <c r="G171" s="7">
        <f>COUNTIFS(STATUS!$Q:$Q,G$1,STATUS!$D:$D,$A171)</f>
        <v>0</v>
      </c>
      <c r="H171" s="7">
        <f>COUNTIFS(STATUS!$Q:$Q,H$1,STATUS!$D:$D,$A171)</f>
        <v>0</v>
      </c>
      <c r="I171" s="7">
        <f>COUNTIFS(STATUS!$Q:$Q,I$1,STATUS!$D:$D,$A171)</f>
        <v>0</v>
      </c>
      <c r="J171" s="7">
        <f t="shared" si="8"/>
        <v>7</v>
      </c>
    </row>
  </sheetData>
  <conditionalFormatting sqref="J1:J1048576">
    <cfRule type="colorScale" priority="3">
      <colorScale>
        <cfvo type="min"/>
        <cfvo type="percentile" val="50"/>
        <cfvo type="max"/>
        <color rgb="FF63BE7B"/>
        <color rgb="FFFFEB84"/>
        <color rgb="FFF8696B"/>
      </colorScale>
    </cfRule>
  </conditionalFormatting>
  <conditionalFormatting sqref="A1:A1048576">
    <cfRule type="timePeriod" dxfId="0" priority="1" timePeriod="today">
      <formula>FLOOR(A1,1)=TODAY()</formula>
    </cfRule>
  </conditionalFormatting>
  <conditionalFormatting sqref="B2:I171">
    <cfRule type="colorScale" priority="16128">
      <colorScale>
        <cfvo type="min"/>
        <cfvo type="percentile" val="50"/>
        <cfvo type="max"/>
        <color rgb="FF63BE7B"/>
        <color rgb="FFFFEB84"/>
        <color rgb="FFF8696B"/>
      </colorScale>
    </cfRule>
  </conditionalFormatting>
  <pageMargins left="0.7" right="0.7" top="0.75" bottom="0.75" header="0.3" footer="0.3"/>
  <pageSetup paperSize="9"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E12"/>
  <sheetViews>
    <sheetView workbookViewId="0">
      <selection activeCell="C19" sqref="C19"/>
    </sheetView>
  </sheetViews>
  <sheetFormatPr defaultRowHeight="14.4" x14ac:dyDescent="0.3"/>
  <cols>
    <col min="1" max="1" width="32.88671875" customWidth="1"/>
    <col min="2" max="2" width="15.109375" customWidth="1"/>
    <col min="3" max="3" width="18.33203125" customWidth="1"/>
    <col min="4" max="4" width="20.33203125" customWidth="1"/>
  </cols>
  <sheetData>
    <row r="1" spans="1:5" ht="21.75" customHeight="1" thickTop="1" thickBot="1" x14ac:dyDescent="0.35">
      <c r="A1" s="447"/>
      <c r="B1" s="425" t="s">
        <v>923</v>
      </c>
      <c r="C1" s="426" t="s">
        <v>924</v>
      </c>
      <c r="D1" s="426" t="s">
        <v>925</v>
      </c>
    </row>
    <row r="2" spans="1:5" ht="15.6" thickTop="1" thickBot="1" x14ac:dyDescent="0.35">
      <c r="A2" s="427" t="s">
        <v>2037</v>
      </c>
      <c r="B2" s="400">
        <f>COUNTIFS(STATUS!$T:$T,B$1,STATUS!$Q:$Q,$A2)</f>
        <v>145</v>
      </c>
      <c r="C2" s="398">
        <f>COUNTIFS(STATUS!$T:$T,C$1,STATUS!$Q:$Q,$A2)</f>
        <v>122</v>
      </c>
      <c r="D2" s="399">
        <f>COUNTIFS(STATUS!$T:$T,D$1,STATUS!$Q:$Q,$A2)</f>
        <v>164</v>
      </c>
    </row>
    <row r="3" spans="1:5" ht="15.6" thickTop="1" thickBot="1" x14ac:dyDescent="0.35">
      <c r="A3" s="427" t="s">
        <v>2076</v>
      </c>
      <c r="B3" s="401">
        <f>COUNTIFS(STATUS!$T:$T,B$1,STATUS!$Q:$Q,$A3)</f>
        <v>182</v>
      </c>
      <c r="C3" s="306">
        <f>COUNTIFS(STATUS!$T:$T,C$1,STATUS!$Q:$Q,$A3)</f>
        <v>115</v>
      </c>
      <c r="D3" s="396">
        <f>COUNTIFS(STATUS!$T:$T,D$1,STATUS!$Q:$Q,$A3)</f>
        <v>143</v>
      </c>
    </row>
    <row r="4" spans="1:5" ht="15.6" thickTop="1" thickBot="1" x14ac:dyDescent="0.35">
      <c r="A4" s="427" t="s">
        <v>2142</v>
      </c>
      <c r="B4" s="401">
        <f>COUNTIFS(STATUS!$T:$T,B$1,STATUS!$Q:$Q,$A4)</f>
        <v>200</v>
      </c>
      <c r="C4" s="306">
        <f>COUNTIFS(STATUS!$T:$T,C$1,STATUS!$Q:$Q,$A4)</f>
        <v>186</v>
      </c>
      <c r="D4" s="396">
        <f>COUNTIFS(STATUS!$T:$T,D$1,STATUS!$Q:$Q,$A4)</f>
        <v>177</v>
      </c>
    </row>
    <row r="5" spans="1:5" ht="15.6" thickTop="1" thickBot="1" x14ac:dyDescent="0.35">
      <c r="A5" s="427" t="s">
        <v>2109</v>
      </c>
      <c r="B5" s="402">
        <f>COUNTIFS(STATUS!$T:$T,B$1,STATUS!$Q:$Q,$A5)</f>
        <v>93</v>
      </c>
      <c r="C5" s="403">
        <f>COUNTIFS(STATUS!$T:$T,C$1,STATUS!$Q:$Q,$A5)</f>
        <v>135</v>
      </c>
      <c r="D5" s="404">
        <f>COUNTIFS(STATUS!$T:$T,D$1,STATUS!$Q:$Q,$A5)</f>
        <v>63</v>
      </c>
    </row>
    <row r="6" spans="1:5" ht="15.6" thickTop="1" thickBot="1" x14ac:dyDescent="0.35">
      <c r="A6" s="446" t="s">
        <v>2417</v>
      </c>
      <c r="B6" s="402">
        <f>COUNTIFS(STATUS!$T:$T,B$1,STATUS!$Q:$Q,$A6)</f>
        <v>71</v>
      </c>
      <c r="C6" s="403">
        <f>COUNTIFS(STATUS!$T:$T,C$1,STATUS!$Q:$Q,$A6)</f>
        <v>70</v>
      </c>
      <c r="D6" s="404">
        <f>COUNTIFS(STATUS!$T:$T,D$1,STATUS!$Q:$Q,$A6)</f>
        <v>74</v>
      </c>
    </row>
    <row r="7" spans="1:5" ht="15" thickTop="1" x14ac:dyDescent="0.3">
      <c r="A7" s="1571" t="s">
        <v>45</v>
      </c>
      <c r="B7" s="405">
        <f>SUM(B2:B6)</f>
        <v>691</v>
      </c>
      <c r="C7" s="406">
        <f>SUM(C2:C6)</f>
        <v>628</v>
      </c>
      <c r="D7" s="407">
        <f>SUM(D2:D6)</f>
        <v>621</v>
      </c>
      <c r="E7" s="432">
        <f>SUM(B7:D7)</f>
        <v>1940</v>
      </c>
    </row>
    <row r="8" spans="1:5" ht="16.2" thickBot="1" x14ac:dyDescent="0.35">
      <c r="A8" s="1572"/>
      <c r="B8" s="435">
        <f>B7/$E7</f>
        <v>0.35618556701030929</v>
      </c>
      <c r="C8" s="436">
        <f t="shared" ref="C8:E8" si="0">C7/$E7</f>
        <v>0.32371134020618558</v>
      </c>
      <c r="D8" s="437">
        <f t="shared" si="0"/>
        <v>0.32010309278350513</v>
      </c>
      <c r="E8" s="433">
        <f t="shared" si="0"/>
        <v>1</v>
      </c>
    </row>
    <row r="9" spans="1:5" ht="15" thickTop="1" x14ac:dyDescent="0.3"/>
    <row r="12" spans="1:5" x14ac:dyDescent="0.3">
      <c r="B12" s="6"/>
    </row>
  </sheetData>
  <mergeCells count="1">
    <mergeCell ref="A7:A8"/>
  </mergeCells>
  <conditionalFormatting sqref="B8:D8">
    <cfRule type="colorScale" priority="2">
      <colorScale>
        <cfvo type="min"/>
        <cfvo type="percentile" val="50"/>
        <cfvo type="max"/>
        <color rgb="FF92D050"/>
        <color theme="7"/>
        <color rgb="FFFF0000"/>
      </colorScale>
    </cfRule>
  </conditionalFormatting>
  <conditionalFormatting sqref="B2:D6">
    <cfRule type="colorScale" priority="1">
      <colorScale>
        <cfvo type="min"/>
        <cfvo type="percentile" val="50"/>
        <cfvo type="max"/>
        <color rgb="FF92D050"/>
        <color theme="7"/>
        <color rgb="FFFF0000"/>
      </colorScale>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31</vt:i4>
      </vt:variant>
      <vt:variant>
        <vt:lpstr>Именованные диапазоны</vt:lpstr>
      </vt:variant>
      <vt:variant>
        <vt:i4>1</vt:i4>
      </vt:variant>
    </vt:vector>
  </HeadingPairs>
  <TitlesOfParts>
    <vt:vector size="32" baseType="lpstr">
      <vt:lpstr>TOTAL</vt:lpstr>
      <vt:lpstr>DRAFT</vt:lpstr>
      <vt:lpstr>MOTIV</vt:lpstr>
      <vt:lpstr>ФО</vt:lpstr>
      <vt:lpstr>WORKSHEET</vt:lpstr>
      <vt:lpstr>DDLSettings</vt:lpstr>
      <vt:lpstr>DATES</vt:lpstr>
      <vt:lpstr>DATES (by hand)</vt:lpstr>
      <vt:lpstr>STATUS</vt:lpstr>
      <vt:lpstr>FILLING</vt:lpstr>
      <vt:lpstr>СОГЛАСОВАНИЕ</vt:lpstr>
      <vt:lpstr>ДЕЛА</vt:lpstr>
      <vt:lpstr>МАТРИЦА</vt:lpstr>
      <vt:lpstr>CHALLANGE_draft</vt:lpstr>
      <vt:lpstr>CHALLANGE</vt:lpstr>
      <vt:lpstr>STATISTICS</vt:lpstr>
      <vt:lpstr>РАБОЧИЕ</vt:lpstr>
      <vt:lpstr>MOTIV (2)</vt:lpstr>
      <vt:lpstr>Лист1</vt:lpstr>
      <vt:lpstr>ВОЗВРАТЫ</vt:lpstr>
      <vt:lpstr>ВОЗВРАТЫ ФУ</vt:lpstr>
      <vt:lpstr>RES</vt:lpstr>
      <vt:lpstr>MOT (Ущерб)</vt:lpstr>
      <vt:lpstr>СТАНДАРТИЗАЦИЯ</vt:lpstr>
      <vt:lpstr>MOT (Расходы)</vt:lpstr>
      <vt:lpstr>MOT (penalty)</vt:lpstr>
      <vt:lpstr>ANALYSE</vt:lpstr>
      <vt:lpstr>PENALTY</vt:lpstr>
      <vt:lpstr>СТАТИСТИКА_PAST</vt:lpstr>
      <vt:lpstr>СТАТИСТИКА_FUTURE</vt:lpstr>
      <vt:lpstr>ФУ</vt:lpstr>
      <vt:lpstr>DATES!_Hlk4846348</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Шиляев Анатолий Николаевич</cp:lastModifiedBy>
  <dcterms:created xsi:type="dcterms:W3CDTF">2019-10-19T06:10:01Z</dcterms:created>
  <dcterms:modified xsi:type="dcterms:W3CDTF">2022-06-22T07:23:14Z</dcterms:modified>
</cp:coreProperties>
</file>